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Z:\RA104\REGULATORY MATTERS 2009 FORWARD\20200176 - Clean Energy Connection\Discovery\LULAC POD 1 (Nos. 1-8)\Attachments\Q5\"/>
    </mc:Choice>
  </mc:AlternateContent>
  <xr:revisionPtr revIDLastSave="0" documentId="13_ncr:1_{9C3199A3-3A60-4FCB-86E4-1A82B4A4EF3E}" xr6:coauthVersionLast="44" xr6:coauthVersionMax="44" xr10:uidLastSave="{00000000-0000-0000-0000-000000000000}"/>
  <bookViews>
    <workbookView xWindow="-110" yWindow="-110" windowWidth="19420" windowHeight="10420" xr2:uid="{00000000-000D-0000-FFFF-FFFF00000000}"/>
  </bookViews>
  <sheets>
    <sheet name="Solar_Cap_FOM_Summary" sheetId="27" r:id="rId1"/>
    <sheet name="Columbia" sheetId="2" r:id="rId2"/>
    <sheet name="Hamilton" sheetId="1" r:id="rId3"/>
    <sheet name="Trenton" sheetId="28" r:id="rId4"/>
    <sheet name="Lake_Placid" sheetId="31" r:id="rId5"/>
    <sheet name="Debary" sheetId="30" r:id="rId6"/>
    <sheet name="Santa_Fe" sheetId="38" r:id="rId7"/>
    <sheet name="Twin_Rivers" sheetId="36" r:id="rId8"/>
    <sheet name="Duette" sheetId="37" r:id="rId9"/>
    <sheet name="Charlie_Creek" sheetId="39" r:id="rId10"/>
    <sheet name="Archer" sheetId="40" r:id="rId11"/>
    <sheet name="CEC_2022" sheetId="41" r:id="rId12"/>
    <sheet name="CEC_2023" sheetId="42" r:id="rId13"/>
    <sheet name="CEC_2024" sheetId="43" r:id="rId14"/>
    <sheet name="Resource_Plans" sheetId="3" r:id="rId15"/>
    <sheet name="Chart_CPVRR_NC" sheetId="46" r:id="rId16"/>
    <sheet name="Chart_CPVRR_LC" sheetId="49" r:id="rId17"/>
    <sheet name="Chart_CPVRR_LF" sheetId="44" r:id="rId18"/>
    <sheet name="Chart_CPVRR_MF" sheetId="22" r:id="rId19"/>
    <sheet name="Chart_PV_MF " sheetId="51" r:id="rId20"/>
    <sheet name="Chart_Nominal_MF" sheetId="50" r:id="rId21"/>
    <sheet name="Chart_CPVRR_HF" sheetId="45" r:id="rId22"/>
    <sheet name="Fish_Curves_NC_MF" sheetId="19" r:id="rId23"/>
    <sheet name="Fish_Curves_LC_MF" sheetId="48" r:id="rId24"/>
    <sheet name="Fish_Curves_WC_LF" sheetId="21" r:id="rId25"/>
    <sheet name="Fish_Curves_WC_MF" sheetId="17" r:id="rId26"/>
    <sheet name="Fish_Curves_WC_HF" sheetId="20" r:id="rId27"/>
    <sheet name="Sensitivity_Summary" sheetId="15" r:id="rId28"/>
    <sheet name="LowCarbon_Summary_2053" sheetId="47" r:id="rId29"/>
    <sheet name="Summary_2053" sheetId="11" r:id="rId30"/>
    <sheet name="NoCarbon_Summary_2053" sheetId="12" r:id="rId31"/>
    <sheet name="LowFuel_Summary_2053" sheetId="13" r:id="rId32"/>
    <sheet name="HighFuel_Summary_2053" sheetId="14" r:id="rId33"/>
    <sheet name="Financial Information" sheetId="4" r:id="rId34"/>
    <sheet name="Program Admin Budget" sheetId="52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</externalReferences>
  <definedNames>
    <definedName name="_Fill" localSheetId="34" hidden="1">#REF!</definedName>
    <definedName name="_Fill" hidden="1">#REF!</definedName>
    <definedName name="AFUDCRate">0.065</definedName>
    <definedName name="avghours">[1]Input!$B$152</definedName>
    <definedName name="Business_Blended_Rate">[1]Input!$E$6</definedName>
    <definedName name="Change_Enablement_Add_on_Factor">[1]Input!$E$12</definedName>
    <definedName name="Contractor_IT_Blended_Rate">[1]Input!$E$5</definedName>
    <definedName name="Discount_Rate">[2]financial_assumptions!$D$13</definedName>
    <definedName name="DiscountRate">0.08</definedName>
    <definedName name="Internal_IT_Rate">[1]Input!$E$4</definedName>
    <definedName name="Model_Start">[3]ContractAssumptions!$C$13</definedName>
    <definedName name="Name_NPV">'[4]1 New Overview'!$B$39</definedName>
    <definedName name="new.analysis" hidden="1">{"Analysis",#N/A,FALSE,"Analysis";"Details",#N/A,FALSE,"Analysis"}</definedName>
    <definedName name="PhaseFactor">[1]Input!$E$152</definedName>
    <definedName name="Pre_TCO">'[4]1 New Overview'!$B$36</definedName>
    <definedName name="_xlnm.Print_Area" localSheetId="28">LowCarbon_Summary_2053!$A$1:$F$121</definedName>
    <definedName name="_xlnm.Print_Area" localSheetId="30">NoCarbon_Summary_2053!$A$1:$F$121</definedName>
    <definedName name="_xlnm.Print_Area" localSheetId="34">'Program Admin Budget'!$A$1:$AJ$75</definedName>
    <definedName name="_xlnm.Print_Area" localSheetId="29">Summary_2053!$A$1:$F$81</definedName>
    <definedName name="QueryData">OFFSET([5]Input!$B$16,0,0,COUNTA([5]Input!$B$16:$B$1001))</definedName>
    <definedName name="QueryName">[5]Input!$B$5</definedName>
    <definedName name="QueryTable">OFFSET([6]Input!$B$23:$F$23,0,0,COUNTA([6]Input!$B$23:$B$95))</definedName>
    <definedName name="Resource">'[7]Values-Update Year annually'!$B$2:$B$5</definedName>
    <definedName name="Scores" localSheetId="34">#REF!</definedName>
    <definedName name="Scores">#REF!</definedName>
    <definedName name="TCO">'[4]1 New Overview'!$B$37</definedName>
    <definedName name="Total_Dollars_Per_Person_Per_Trip">[1]Input!$E$9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wrn.Analysis." hidden="1">{"Analysis",#N/A,FALSE,"Analysis";"Details",#N/A,FALSE,"Analysis"}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I88" i="48" l="1"/>
  <c r="AH88" i="48"/>
  <c r="AG88" i="48"/>
  <c r="AF88" i="48"/>
  <c r="AE88" i="48"/>
  <c r="AD88" i="48"/>
  <c r="AC88" i="48"/>
  <c r="AB88" i="48"/>
  <c r="AA88" i="48"/>
  <c r="Z88" i="48"/>
  <c r="Y88" i="48"/>
  <c r="X88" i="48"/>
  <c r="W88" i="48"/>
  <c r="V88" i="48"/>
  <c r="U88" i="48"/>
  <c r="T88" i="48"/>
  <c r="S88" i="48"/>
  <c r="R88" i="48"/>
  <c r="Q88" i="48"/>
  <c r="P88" i="48"/>
  <c r="O88" i="48"/>
  <c r="N88" i="48"/>
  <c r="M88" i="48"/>
  <c r="L88" i="48"/>
  <c r="K88" i="48"/>
  <c r="J88" i="48"/>
  <c r="I88" i="48"/>
  <c r="H88" i="48"/>
  <c r="G88" i="48"/>
  <c r="F88" i="48"/>
  <c r="E88" i="48"/>
  <c r="D88" i="48"/>
  <c r="C88" i="48"/>
  <c r="B88" i="48"/>
  <c r="AI88" i="21"/>
  <c r="AH88" i="21"/>
  <c r="AG88" i="21"/>
  <c r="AF88" i="21"/>
  <c r="AE88" i="21"/>
  <c r="AD88" i="21"/>
  <c r="AC88" i="21"/>
  <c r="AB88" i="21"/>
  <c r="AA88" i="21"/>
  <c r="Z88" i="21"/>
  <c r="Y88" i="21"/>
  <c r="X88" i="21"/>
  <c r="W88" i="21"/>
  <c r="V88" i="21"/>
  <c r="U88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AI88" i="17"/>
  <c r="AH88" i="17"/>
  <c r="AG88" i="17"/>
  <c r="AF88" i="17"/>
  <c r="AE88" i="17"/>
  <c r="AD88" i="17"/>
  <c r="AC88" i="17"/>
  <c r="AB88" i="17"/>
  <c r="AA88" i="17"/>
  <c r="Z88" i="17"/>
  <c r="Y88" i="17"/>
  <c r="X88" i="17"/>
  <c r="W88" i="17"/>
  <c r="V88" i="17"/>
  <c r="U88" i="17"/>
  <c r="T88" i="17"/>
  <c r="S88" i="17"/>
  <c r="R88" i="17"/>
  <c r="Q88" i="17"/>
  <c r="P88" i="17"/>
  <c r="O88" i="17"/>
  <c r="N88" i="17"/>
  <c r="M88" i="17"/>
  <c r="L88" i="17"/>
  <c r="K88" i="17"/>
  <c r="J88" i="17"/>
  <c r="I88" i="17"/>
  <c r="H88" i="17"/>
  <c r="G88" i="17"/>
  <c r="F88" i="17"/>
  <c r="E88" i="17"/>
  <c r="D88" i="17"/>
  <c r="C88" i="17"/>
  <c r="B88" i="17"/>
  <c r="AI88" i="20"/>
  <c r="AH88" i="20"/>
  <c r="AG88" i="20"/>
  <c r="AF88" i="20"/>
  <c r="AE88" i="20"/>
  <c r="AD88" i="20"/>
  <c r="AC88" i="20"/>
  <c r="AB88" i="20"/>
  <c r="AA88" i="20"/>
  <c r="Z88" i="20"/>
  <c r="Y88" i="20"/>
  <c r="X88" i="20"/>
  <c r="W88" i="20"/>
  <c r="V88" i="20"/>
  <c r="U88" i="20"/>
  <c r="T88" i="20"/>
  <c r="S88" i="20"/>
  <c r="R88" i="20"/>
  <c r="Q88" i="20"/>
  <c r="P88" i="20"/>
  <c r="O88" i="20"/>
  <c r="N88" i="20"/>
  <c r="M88" i="20"/>
  <c r="L88" i="20"/>
  <c r="K88" i="20"/>
  <c r="J88" i="20"/>
  <c r="I88" i="20"/>
  <c r="H88" i="20"/>
  <c r="G88" i="20"/>
  <c r="F88" i="20"/>
  <c r="E88" i="20"/>
  <c r="D88" i="20"/>
  <c r="C88" i="20"/>
  <c r="B88" i="20"/>
  <c r="AI88" i="19"/>
  <c r="AH88" i="19"/>
  <c r="AG88" i="19"/>
  <c r="AF88" i="19"/>
  <c r="AE88" i="19"/>
  <c r="AD88" i="19"/>
  <c r="AC88" i="19"/>
  <c r="AB88" i="19"/>
  <c r="AA88" i="19"/>
  <c r="Z88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K88" i="19"/>
  <c r="J88" i="19"/>
  <c r="I88" i="19"/>
  <c r="H88" i="19"/>
  <c r="G88" i="19"/>
  <c r="F88" i="19"/>
  <c r="E88" i="19"/>
  <c r="D88" i="19"/>
  <c r="C88" i="19"/>
  <c r="B88" i="19"/>
  <c r="C20" i="48"/>
  <c r="D20" i="48"/>
  <c r="E20" i="48"/>
  <c r="F20" i="48"/>
  <c r="G20" i="48"/>
  <c r="H20" i="48"/>
  <c r="I20" i="48"/>
  <c r="J20" i="48"/>
  <c r="K20" i="48"/>
  <c r="L20" i="48"/>
  <c r="M20" i="48"/>
  <c r="N20" i="48"/>
  <c r="O20" i="48"/>
  <c r="P20" i="48"/>
  <c r="Q20" i="48"/>
  <c r="R20" i="48"/>
  <c r="S20" i="48"/>
  <c r="T20" i="48"/>
  <c r="U20" i="48"/>
  <c r="V20" i="48"/>
  <c r="W20" i="48"/>
  <c r="X20" i="48"/>
  <c r="Y20" i="48"/>
  <c r="Z20" i="48"/>
  <c r="AA20" i="48"/>
  <c r="AB20" i="48"/>
  <c r="AC20" i="48"/>
  <c r="AD20" i="48"/>
  <c r="AE20" i="48"/>
  <c r="AF20" i="48"/>
  <c r="AG20" i="48"/>
  <c r="AH20" i="48"/>
  <c r="AI20" i="48"/>
  <c r="C20" i="21"/>
  <c r="D20" i="21"/>
  <c r="E20" i="21"/>
  <c r="F20" i="21"/>
  <c r="G20" i="21"/>
  <c r="H20" i="21"/>
  <c r="I20" i="21"/>
  <c r="J20" i="21"/>
  <c r="K20" i="21"/>
  <c r="L20" i="21"/>
  <c r="M20" i="21"/>
  <c r="N20" i="21"/>
  <c r="O20" i="21"/>
  <c r="P20" i="21"/>
  <c r="Q20" i="21"/>
  <c r="R20" i="21"/>
  <c r="S20" i="21"/>
  <c r="T20" i="21"/>
  <c r="U20" i="21"/>
  <c r="V20" i="21"/>
  <c r="W20" i="21"/>
  <c r="X20" i="21"/>
  <c r="Y20" i="21"/>
  <c r="Z20" i="21"/>
  <c r="AA20" i="21"/>
  <c r="AB20" i="21"/>
  <c r="AC20" i="21"/>
  <c r="AD20" i="21"/>
  <c r="AE20" i="21"/>
  <c r="AF20" i="21"/>
  <c r="AG20" i="21"/>
  <c r="AH20" i="21"/>
  <c r="AI20" i="21"/>
  <c r="C20" i="17"/>
  <c r="D20" i="17"/>
  <c r="E20" i="17"/>
  <c r="F20" i="17"/>
  <c r="G20" i="17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B20" i="17"/>
  <c r="AC20" i="17"/>
  <c r="AD20" i="17"/>
  <c r="AE20" i="17"/>
  <c r="AF20" i="17"/>
  <c r="AG20" i="17"/>
  <c r="AH20" i="17"/>
  <c r="AI20" i="17"/>
  <c r="C20" i="20"/>
  <c r="D20" i="20"/>
  <c r="E20" i="20"/>
  <c r="F20" i="20"/>
  <c r="G20" i="20"/>
  <c r="H20" i="20"/>
  <c r="I20" i="20"/>
  <c r="J20" i="20"/>
  <c r="K20" i="20"/>
  <c r="L20" i="20"/>
  <c r="M20" i="20"/>
  <c r="N20" i="20"/>
  <c r="O20" i="20"/>
  <c r="P20" i="20"/>
  <c r="Q20" i="20"/>
  <c r="R20" i="20"/>
  <c r="S20" i="20"/>
  <c r="T20" i="20"/>
  <c r="U20" i="20"/>
  <c r="V20" i="20"/>
  <c r="W20" i="20"/>
  <c r="X20" i="20"/>
  <c r="Y20" i="20"/>
  <c r="Z20" i="20"/>
  <c r="AA20" i="20"/>
  <c r="AB20" i="20"/>
  <c r="AC20" i="20"/>
  <c r="AD20" i="20"/>
  <c r="AE20" i="20"/>
  <c r="AF20" i="20"/>
  <c r="AG20" i="20"/>
  <c r="AH20" i="20"/>
  <c r="AI20" i="20"/>
  <c r="C20" i="19"/>
  <c r="D20" i="19"/>
  <c r="E20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U20" i="19"/>
  <c r="V20" i="19"/>
  <c r="W20" i="19"/>
  <c r="X20" i="19"/>
  <c r="Y20" i="19"/>
  <c r="Z20" i="19"/>
  <c r="AA20" i="19"/>
  <c r="AB20" i="19"/>
  <c r="AC20" i="19"/>
  <c r="AD20" i="19"/>
  <c r="AE20" i="19"/>
  <c r="AF20" i="19"/>
  <c r="AG20" i="19"/>
  <c r="AH20" i="19"/>
  <c r="AI20" i="19"/>
  <c r="B20" i="48"/>
  <c r="B20" i="21"/>
  <c r="B20" i="17"/>
  <c r="B20" i="20"/>
  <c r="B20" i="19"/>
  <c r="AT26" i="41" l="1"/>
  <c r="AS26" i="41"/>
  <c r="AR26" i="41"/>
  <c r="AQ26" i="41"/>
  <c r="AP26" i="41"/>
  <c r="AO26" i="41"/>
  <c r="AN26" i="41"/>
  <c r="AM26" i="41"/>
  <c r="AL26" i="41"/>
  <c r="AK26" i="41"/>
  <c r="AJ26" i="41"/>
  <c r="AI26" i="41"/>
  <c r="AH26" i="41"/>
  <c r="AG26" i="41"/>
  <c r="AF26" i="41"/>
  <c r="AE26" i="41"/>
  <c r="AD26" i="41"/>
  <c r="AC26" i="41"/>
  <c r="AB26" i="41"/>
  <c r="AA26" i="41"/>
  <c r="Z26" i="41"/>
  <c r="Y26" i="41"/>
  <c r="X26" i="41"/>
  <c r="W26" i="41"/>
  <c r="V26" i="41"/>
  <c r="U26" i="41"/>
  <c r="T26" i="41"/>
  <c r="S26" i="41"/>
  <c r="R26" i="41"/>
  <c r="D26" i="41"/>
  <c r="E26" i="41"/>
  <c r="F26" i="41"/>
  <c r="N26" i="41"/>
  <c r="M26" i="41"/>
  <c r="L26" i="41"/>
  <c r="K26" i="41"/>
  <c r="J26" i="41"/>
  <c r="I26" i="41"/>
  <c r="H26" i="41"/>
  <c r="G26" i="41"/>
  <c r="O26" i="41"/>
  <c r="P26" i="41"/>
  <c r="Q26" i="41"/>
  <c r="AJ103" i="52" l="1"/>
  <c r="AI103" i="52"/>
  <c r="AH103" i="52"/>
  <c r="AG103" i="52"/>
  <c r="AF103" i="52"/>
  <c r="AE103" i="52"/>
  <c r="AD103" i="52"/>
  <c r="AC103" i="52"/>
  <c r="AB103" i="52"/>
  <c r="AA103" i="52"/>
  <c r="Z103" i="52"/>
  <c r="Y103" i="52"/>
  <c r="X103" i="52"/>
  <c r="W103" i="52"/>
  <c r="V103" i="52"/>
  <c r="U103" i="52"/>
  <c r="T103" i="52"/>
  <c r="S103" i="52"/>
  <c r="R103" i="52"/>
  <c r="Q103" i="52"/>
  <c r="P103" i="52"/>
  <c r="O103" i="52"/>
  <c r="N103" i="52"/>
  <c r="M103" i="52"/>
  <c r="L103" i="52"/>
  <c r="K103" i="52"/>
  <c r="J103" i="52"/>
  <c r="I99" i="52"/>
  <c r="D99" i="52"/>
  <c r="I91" i="52"/>
  <c r="G91" i="52"/>
  <c r="F91" i="52"/>
  <c r="I90" i="52"/>
  <c r="E90" i="52"/>
  <c r="D90" i="52"/>
  <c r="F83" i="52"/>
  <c r="E83" i="52"/>
  <c r="E85" i="52" s="1"/>
  <c r="D83" i="52"/>
  <c r="D85" i="52" s="1"/>
  <c r="D86" i="52" s="1"/>
  <c r="D87" i="52" s="1"/>
  <c r="D94" i="52" s="1"/>
  <c r="I85" i="52"/>
  <c r="H84" i="52"/>
  <c r="G84" i="52"/>
  <c r="G99" i="52" s="1"/>
  <c r="F84" i="52"/>
  <c r="F99" i="52" s="1"/>
  <c r="E84" i="52"/>
  <c r="E91" i="52" s="1"/>
  <c r="D84" i="52"/>
  <c r="D91" i="52" s="1"/>
  <c r="D92" i="52" s="1"/>
  <c r="E92" i="52" s="1"/>
  <c r="G83" i="52"/>
  <c r="G85" i="52" s="1"/>
  <c r="B82" i="52"/>
  <c r="D73" i="52"/>
  <c r="E71" i="52"/>
  <c r="F71" i="52" s="1"/>
  <c r="G71" i="52" s="1"/>
  <c r="H71" i="52" s="1"/>
  <c r="I71" i="52" s="1"/>
  <c r="J71" i="52" s="1"/>
  <c r="K71" i="52" s="1"/>
  <c r="L71" i="52" s="1"/>
  <c r="M71" i="52" s="1"/>
  <c r="N71" i="52" s="1"/>
  <c r="O71" i="52" s="1"/>
  <c r="P71" i="52" s="1"/>
  <c r="Q71" i="52" s="1"/>
  <c r="R71" i="52" s="1"/>
  <c r="S71" i="52" s="1"/>
  <c r="T71" i="52" s="1"/>
  <c r="U71" i="52" s="1"/>
  <c r="V71" i="52" s="1"/>
  <c r="W71" i="52" s="1"/>
  <c r="X71" i="52" s="1"/>
  <c r="Y71" i="52" s="1"/>
  <c r="Z71" i="52" s="1"/>
  <c r="AA71" i="52" s="1"/>
  <c r="AB71" i="52" s="1"/>
  <c r="AC71" i="52" s="1"/>
  <c r="AD71" i="52" s="1"/>
  <c r="AE71" i="52" s="1"/>
  <c r="AF71" i="52" s="1"/>
  <c r="AG71" i="52" s="1"/>
  <c r="AH71" i="52" s="1"/>
  <c r="AI71" i="52" s="1"/>
  <c r="AJ71" i="52" s="1"/>
  <c r="AK71" i="52" s="1"/>
  <c r="AI67" i="52"/>
  <c r="AH67" i="52"/>
  <c r="AE67" i="52"/>
  <c r="AD67" i="52"/>
  <c r="AC67" i="52"/>
  <c r="F66" i="52"/>
  <c r="I65" i="52"/>
  <c r="H65" i="52"/>
  <c r="G65" i="52"/>
  <c r="F65" i="52"/>
  <c r="E65" i="52"/>
  <c r="D65" i="52"/>
  <c r="AA64" i="52"/>
  <c r="Y64" i="52"/>
  <c r="W64" i="52"/>
  <c r="U64" i="52"/>
  <c r="S64" i="52"/>
  <c r="Q64" i="52"/>
  <c r="O64" i="52"/>
  <c r="M64" i="52"/>
  <c r="K64" i="52"/>
  <c r="I64" i="52"/>
  <c r="F64" i="52"/>
  <c r="E64" i="52"/>
  <c r="D64" i="52"/>
  <c r="AJ63" i="52"/>
  <c r="AH63" i="52"/>
  <c r="AF63" i="52"/>
  <c r="AD63" i="52"/>
  <c r="AB63" i="52"/>
  <c r="Z63" i="52"/>
  <c r="X63" i="52"/>
  <c r="V63" i="52"/>
  <c r="T63" i="52"/>
  <c r="R63" i="52"/>
  <c r="P63" i="52"/>
  <c r="N63" i="52"/>
  <c r="L63" i="52"/>
  <c r="J63" i="52"/>
  <c r="H63" i="52"/>
  <c r="F63" i="52"/>
  <c r="E63" i="52"/>
  <c r="D63" i="52"/>
  <c r="AB62" i="52"/>
  <c r="AA62" i="52"/>
  <c r="Z62" i="52"/>
  <c r="Y62" i="52"/>
  <c r="X62" i="52"/>
  <c r="W62" i="52"/>
  <c r="V62" i="52"/>
  <c r="U62" i="52"/>
  <c r="T62" i="52"/>
  <c r="S62" i="52"/>
  <c r="R62" i="52"/>
  <c r="Q62" i="52"/>
  <c r="P62" i="52"/>
  <c r="O62" i="52"/>
  <c r="N62" i="52"/>
  <c r="M62" i="52"/>
  <c r="L62" i="52"/>
  <c r="K62" i="52"/>
  <c r="J62" i="52"/>
  <c r="I62" i="52"/>
  <c r="H62" i="52"/>
  <c r="G62" i="52"/>
  <c r="F62" i="52"/>
  <c r="E62" i="52"/>
  <c r="D62" i="52"/>
  <c r="V61" i="52"/>
  <c r="F60" i="52"/>
  <c r="E60" i="52"/>
  <c r="AB59" i="52"/>
  <c r="Y59" i="52"/>
  <c r="V59" i="52"/>
  <c r="S59" i="52"/>
  <c r="P59" i="52"/>
  <c r="M59" i="52"/>
  <c r="J59" i="52"/>
  <c r="G59" i="52"/>
  <c r="D59" i="52"/>
  <c r="AJ58" i="52"/>
  <c r="AJ67" i="52" s="1"/>
  <c r="AI58" i="52"/>
  <c r="AH58" i="52"/>
  <c r="AG58" i="52"/>
  <c r="AG67" i="52" s="1"/>
  <c r="AF58" i="52"/>
  <c r="AF67" i="52" s="1"/>
  <c r="AE58" i="52"/>
  <c r="AD58" i="52"/>
  <c r="AC58" i="52"/>
  <c r="AB58" i="52"/>
  <c r="AA58" i="52"/>
  <c r="Z58" i="52"/>
  <c r="Y58" i="52"/>
  <c r="X58" i="52"/>
  <c r="W58" i="52"/>
  <c r="V58" i="52"/>
  <c r="U58" i="52"/>
  <c r="T58" i="52"/>
  <c r="S58" i="52"/>
  <c r="R58" i="52"/>
  <c r="Q58" i="52"/>
  <c r="P58" i="52"/>
  <c r="O58" i="52"/>
  <c r="N58" i="52"/>
  <c r="M58" i="52"/>
  <c r="L58" i="52"/>
  <c r="K58" i="52"/>
  <c r="J58" i="52"/>
  <c r="I58" i="52"/>
  <c r="H58" i="52"/>
  <c r="G58" i="52"/>
  <c r="D58" i="52"/>
  <c r="E49" i="52"/>
  <c r="D60" i="52" s="1"/>
  <c r="E41" i="52"/>
  <c r="H40" i="52"/>
  <c r="I40" i="52" s="1"/>
  <c r="J40" i="52" s="1"/>
  <c r="K40" i="52" s="1"/>
  <c r="L40" i="52" s="1"/>
  <c r="M40" i="52" s="1"/>
  <c r="N40" i="52" s="1"/>
  <c r="O40" i="52" s="1"/>
  <c r="P40" i="52" s="1"/>
  <c r="Q40" i="52" s="1"/>
  <c r="R40" i="52" s="1"/>
  <c r="S40" i="52" s="1"/>
  <c r="T40" i="52" s="1"/>
  <c r="U40" i="52" s="1"/>
  <c r="V40" i="52" s="1"/>
  <c r="W40" i="52" s="1"/>
  <c r="X40" i="52" s="1"/>
  <c r="Y40" i="52" s="1"/>
  <c r="Z40" i="52" s="1"/>
  <c r="AA40" i="52" s="1"/>
  <c r="AB40" i="52" s="1"/>
  <c r="AC40" i="52" s="1"/>
  <c r="AD40" i="52" s="1"/>
  <c r="AE40" i="52" s="1"/>
  <c r="AF40" i="52" s="1"/>
  <c r="AG40" i="52" s="1"/>
  <c r="AH40" i="52" s="1"/>
  <c r="AI40" i="52" s="1"/>
  <c r="AJ40" i="52" s="1"/>
  <c r="G40" i="52"/>
  <c r="F40" i="52"/>
  <c r="E40" i="52"/>
  <c r="I39" i="52"/>
  <c r="J39" i="52" s="1"/>
  <c r="K39" i="52" s="1"/>
  <c r="L39" i="52" s="1"/>
  <c r="M39" i="52" s="1"/>
  <c r="N39" i="52" s="1"/>
  <c r="O39" i="52" s="1"/>
  <c r="P39" i="52" s="1"/>
  <c r="Q39" i="52" s="1"/>
  <c r="R39" i="52" s="1"/>
  <c r="S39" i="52" s="1"/>
  <c r="T39" i="52" s="1"/>
  <c r="U39" i="52" s="1"/>
  <c r="V39" i="52" s="1"/>
  <c r="W39" i="52" s="1"/>
  <c r="X39" i="52" s="1"/>
  <c r="Y39" i="52" s="1"/>
  <c r="Z39" i="52" s="1"/>
  <c r="AA39" i="52" s="1"/>
  <c r="AB39" i="52" s="1"/>
  <c r="AC39" i="52" s="1"/>
  <c r="AD39" i="52" s="1"/>
  <c r="AE39" i="52" s="1"/>
  <c r="AF39" i="52" s="1"/>
  <c r="AG39" i="52" s="1"/>
  <c r="AH39" i="52" s="1"/>
  <c r="AI39" i="52" s="1"/>
  <c r="AJ39" i="52" s="1"/>
  <c r="H39" i="52"/>
  <c r="G39" i="52"/>
  <c r="F39" i="52"/>
  <c r="E39" i="52"/>
  <c r="D39" i="52"/>
  <c r="F38" i="52"/>
  <c r="E38" i="52"/>
  <c r="G37" i="52"/>
  <c r="F37" i="52"/>
  <c r="E37" i="52"/>
  <c r="D37" i="52"/>
  <c r="D41" i="52" s="1"/>
  <c r="I26" i="52"/>
  <c r="I33" i="52" s="1"/>
  <c r="H26" i="52"/>
  <c r="B23" i="52"/>
  <c r="I22" i="52"/>
  <c r="H22" i="52"/>
  <c r="J21" i="52"/>
  <c r="J22" i="52" s="1"/>
  <c r="AN16" i="52"/>
  <c r="J16" i="52"/>
  <c r="J26" i="52" s="1"/>
  <c r="I16" i="52"/>
  <c r="AN15" i="52"/>
  <c r="O15" i="52"/>
  <c r="P15" i="52" s="1"/>
  <c r="Q15" i="52" s="1"/>
  <c r="R15" i="52" s="1"/>
  <c r="S15" i="52" s="1"/>
  <c r="T15" i="52" s="1"/>
  <c r="U15" i="52" s="1"/>
  <c r="V15" i="52" s="1"/>
  <c r="W15" i="52" s="1"/>
  <c r="X15" i="52" s="1"/>
  <c r="Y15" i="52" s="1"/>
  <c r="Z15" i="52" s="1"/>
  <c r="AA15" i="52" s="1"/>
  <c r="AB15" i="52" s="1"/>
  <c r="AC15" i="52" s="1"/>
  <c r="AD15" i="52" s="1"/>
  <c r="AE15" i="52" s="1"/>
  <c r="AF15" i="52" s="1"/>
  <c r="AG15" i="52" s="1"/>
  <c r="AH15" i="52" s="1"/>
  <c r="AI15" i="52" s="1"/>
  <c r="AJ15" i="52" s="1"/>
  <c r="AK15" i="52" s="1"/>
  <c r="E15" i="52"/>
  <c r="AN14" i="52"/>
  <c r="AN13" i="52"/>
  <c r="AN12" i="52"/>
  <c r="AN11" i="52"/>
  <c r="AN10" i="52"/>
  <c r="AN9" i="52"/>
  <c r="AN8" i="52"/>
  <c r="AN7" i="52"/>
  <c r="R7" i="52"/>
  <c r="Q7" i="52"/>
  <c r="P7" i="52"/>
  <c r="AN6" i="52"/>
  <c r="R6" i="52"/>
  <c r="Q6" i="52"/>
  <c r="P6" i="52"/>
  <c r="E6" i="52"/>
  <c r="D56" i="52" s="1"/>
  <c r="AN5" i="52"/>
  <c r="R5" i="52"/>
  <c r="Q5" i="52"/>
  <c r="P5" i="52"/>
  <c r="H6" i="52"/>
  <c r="E5" i="52"/>
  <c r="E72" i="52"/>
  <c r="E4" i="52"/>
  <c r="Y57" i="52" s="1"/>
  <c r="G16" i="52" l="1"/>
  <c r="K6" i="52"/>
  <c r="G21" i="52"/>
  <c r="G22" i="52" s="1"/>
  <c r="J33" i="52"/>
  <c r="J34" i="52"/>
  <c r="K16" i="52"/>
  <c r="E21" i="52"/>
  <c r="H37" i="52"/>
  <c r="F21" i="52"/>
  <c r="F22" i="52" s="1"/>
  <c r="H99" i="52"/>
  <c r="H91" i="52"/>
  <c r="K5" i="52"/>
  <c r="I34" i="52"/>
  <c r="I57" i="52"/>
  <c r="I67" i="52" s="1"/>
  <c r="F85" i="52"/>
  <c r="H83" i="52"/>
  <c r="H85" i="52" s="1"/>
  <c r="E73" i="52"/>
  <c r="F72" i="52"/>
  <c r="Q57" i="52"/>
  <c r="Q67" i="52" s="1"/>
  <c r="E16" i="52"/>
  <c r="K4" i="52"/>
  <c r="F16" i="52"/>
  <c r="K21" i="52"/>
  <c r="E93" i="52"/>
  <c r="F90" i="52"/>
  <c r="G38" i="52"/>
  <c r="H38" i="52" s="1"/>
  <c r="I38" i="52" s="1"/>
  <c r="J38" i="52" s="1"/>
  <c r="K38" i="52" s="1"/>
  <c r="L38" i="52" s="1"/>
  <c r="M38" i="52" s="1"/>
  <c r="N38" i="52" s="1"/>
  <c r="O38" i="52" s="1"/>
  <c r="P38" i="52" s="1"/>
  <c r="Q38" i="52" s="1"/>
  <c r="R38" i="52" s="1"/>
  <c r="S38" i="52" s="1"/>
  <c r="T38" i="52" s="1"/>
  <c r="U38" i="52" s="1"/>
  <c r="V38" i="52" s="1"/>
  <c r="W38" i="52" s="1"/>
  <c r="X38" i="52" s="1"/>
  <c r="Y38" i="52" s="1"/>
  <c r="Z38" i="52" s="1"/>
  <c r="AA38" i="52" s="1"/>
  <c r="AB38" i="52" s="1"/>
  <c r="AC38" i="52" s="1"/>
  <c r="AD38" i="52" s="1"/>
  <c r="AE38" i="52" s="1"/>
  <c r="AF38" i="52" s="1"/>
  <c r="AG38" i="52" s="1"/>
  <c r="AH38" i="52" s="1"/>
  <c r="AI38" i="52" s="1"/>
  <c r="AJ38" i="52" s="1"/>
  <c r="F41" i="52"/>
  <c r="F92" i="52"/>
  <c r="G92" i="52" s="1"/>
  <c r="E86" i="52"/>
  <c r="S61" i="52"/>
  <c r="X57" i="52"/>
  <c r="X67" i="52" s="1"/>
  <c r="P57" i="52"/>
  <c r="H57" i="52"/>
  <c r="H67" i="52" s="1"/>
  <c r="P61" i="52"/>
  <c r="W57" i="52"/>
  <c r="W67" i="52" s="1"/>
  <c r="O57" i="52"/>
  <c r="O67" i="52" s="1"/>
  <c r="G57" i="52"/>
  <c r="M61" i="52"/>
  <c r="V57" i="52"/>
  <c r="V67" i="52" s="1"/>
  <c r="N57" i="52"/>
  <c r="N67" i="52" s="1"/>
  <c r="F57" i="52"/>
  <c r="J61" i="52"/>
  <c r="U57" i="52"/>
  <c r="U67" i="52" s="1"/>
  <c r="M57" i="52"/>
  <c r="E57" i="52"/>
  <c r="G61" i="52"/>
  <c r="AB57" i="52"/>
  <c r="AB67" i="52" s="1"/>
  <c r="T57" i="52"/>
  <c r="T67" i="52" s="1"/>
  <c r="L57" i="52"/>
  <c r="L67" i="52" s="1"/>
  <c r="D57" i="52"/>
  <c r="D67" i="52" s="1"/>
  <c r="AB61" i="52"/>
  <c r="D61" i="52"/>
  <c r="AA57" i="52"/>
  <c r="AA67" i="52" s="1"/>
  <c r="S57" i="52"/>
  <c r="S67" i="52" s="1"/>
  <c r="K57" i="52"/>
  <c r="K67" i="52" s="1"/>
  <c r="Y61" i="52"/>
  <c r="Y67" i="52" s="1"/>
  <c r="Z57" i="52"/>
  <c r="Z67" i="52" s="1"/>
  <c r="R57" i="52"/>
  <c r="R67" i="52" s="1"/>
  <c r="J57" i="52"/>
  <c r="H34" i="52"/>
  <c r="E99" i="52"/>
  <c r="D93" i="52"/>
  <c r="D95" i="52" s="1"/>
  <c r="D96" i="52" s="1"/>
  <c r="D98" i="52" s="1"/>
  <c r="D100" i="52" s="1"/>
  <c r="D103" i="52" s="1"/>
  <c r="E58" i="52"/>
  <c r="F58" i="52"/>
  <c r="P67" i="52" l="1"/>
  <c r="F93" i="52"/>
  <c r="G90" i="52"/>
  <c r="F67" i="52"/>
  <c r="G72" i="52"/>
  <c r="F73" i="52"/>
  <c r="F74" i="52" s="1"/>
  <c r="E17" i="52"/>
  <c r="E26" i="52"/>
  <c r="G23" i="52"/>
  <c r="F23" i="52"/>
  <c r="F24" i="52" s="1"/>
  <c r="G24" i="52" s="1"/>
  <c r="K26" i="52"/>
  <c r="L16" i="52"/>
  <c r="E67" i="52"/>
  <c r="G67" i="52"/>
  <c r="E87" i="52"/>
  <c r="E94" i="52" s="1"/>
  <c r="E95" i="52" s="1"/>
  <c r="E96" i="52" s="1"/>
  <c r="E98" i="52" s="1"/>
  <c r="E100" i="52" s="1"/>
  <c r="E103" i="52" s="1"/>
  <c r="F86" i="52"/>
  <c r="K22" i="52"/>
  <c r="L21" i="52"/>
  <c r="G41" i="52"/>
  <c r="M67" i="52"/>
  <c r="H92" i="52"/>
  <c r="I92" i="52" s="1"/>
  <c r="I93" i="52" s="1"/>
  <c r="F26" i="52"/>
  <c r="I37" i="52"/>
  <c r="H41" i="52"/>
  <c r="G26" i="52"/>
  <c r="J67" i="52"/>
  <c r="E74" i="52"/>
  <c r="D74" i="52"/>
  <c r="D79" i="52" s="1"/>
  <c r="D104" i="52" s="1"/>
  <c r="D105" i="52" s="1"/>
  <c r="E23" i="52"/>
  <c r="E22" i="52"/>
  <c r="E24" i="52" s="1"/>
  <c r="F79" i="52" l="1"/>
  <c r="F104" i="52" s="1"/>
  <c r="H23" i="52"/>
  <c r="H24" i="52" s="1"/>
  <c r="G33" i="52"/>
  <c r="H33" i="52"/>
  <c r="G93" i="52"/>
  <c r="H90" i="52"/>
  <c r="H93" i="52" s="1"/>
  <c r="G86" i="52"/>
  <c r="F87" i="52"/>
  <c r="F94" i="52" s="1"/>
  <c r="F95" i="52" s="1"/>
  <c r="L22" i="52"/>
  <c r="M21" i="52"/>
  <c r="E18" i="52"/>
  <c r="E27" i="52"/>
  <c r="E79" i="52"/>
  <c r="E104" i="52" s="1"/>
  <c r="E105" i="52" s="1"/>
  <c r="J37" i="52"/>
  <c r="I41" i="52"/>
  <c r="L26" i="52"/>
  <c r="M16" i="52"/>
  <c r="K34" i="52"/>
  <c r="K33" i="52"/>
  <c r="G73" i="52"/>
  <c r="G74" i="52" s="1"/>
  <c r="H72" i="52"/>
  <c r="I23" i="52" l="1"/>
  <c r="I24" i="52" s="1"/>
  <c r="E28" i="52"/>
  <c r="E29" i="52" s="1"/>
  <c r="F17" i="52"/>
  <c r="L34" i="52"/>
  <c r="L33" i="52"/>
  <c r="E19" i="52"/>
  <c r="G79" i="52"/>
  <c r="G104" i="52" s="1"/>
  <c r="M22" i="52"/>
  <c r="N21" i="52"/>
  <c r="J41" i="52"/>
  <c r="K37" i="52"/>
  <c r="H73" i="52"/>
  <c r="H74" i="52" s="1"/>
  <c r="I72" i="52"/>
  <c r="M26" i="52"/>
  <c r="N16" i="52"/>
  <c r="F96" i="52"/>
  <c r="F98" i="52" s="1"/>
  <c r="F100" i="52" s="1"/>
  <c r="F103" i="52" s="1"/>
  <c r="F105" i="52" s="1"/>
  <c r="H86" i="52"/>
  <c r="G87" i="52"/>
  <c r="G94" i="52" s="1"/>
  <c r="G95" i="52" s="1"/>
  <c r="J23" i="52" l="1"/>
  <c r="J24" i="52"/>
  <c r="F27" i="52"/>
  <c r="F18" i="52"/>
  <c r="I73" i="52"/>
  <c r="I74" i="52" s="1"/>
  <c r="I79" i="52" s="1"/>
  <c r="I104" i="52" s="1"/>
  <c r="J72" i="52"/>
  <c r="E20" i="52"/>
  <c r="F19" i="52"/>
  <c r="K41" i="52"/>
  <c r="L37" i="52"/>
  <c r="N26" i="52"/>
  <c r="O16" i="52"/>
  <c r="H79" i="52"/>
  <c r="H104" i="52" s="1"/>
  <c r="G96" i="52"/>
  <c r="G98" i="52" s="1"/>
  <c r="G100" i="52" s="1"/>
  <c r="G103" i="52" s="1"/>
  <c r="G105" i="52" s="1"/>
  <c r="I86" i="52"/>
  <c r="I87" i="52" s="1"/>
  <c r="I94" i="52" s="1"/>
  <c r="I95" i="52" s="1"/>
  <c r="H87" i="52"/>
  <c r="H94" i="52" s="1"/>
  <c r="H95" i="52" s="1"/>
  <c r="I96" i="52" s="1"/>
  <c r="I98" i="52" s="1"/>
  <c r="I100" i="52" s="1"/>
  <c r="I103" i="52" s="1"/>
  <c r="M33" i="52"/>
  <c r="M34" i="52"/>
  <c r="N22" i="52"/>
  <c r="O21" i="52"/>
  <c r="I105" i="52" l="1"/>
  <c r="F28" i="52"/>
  <c r="F29" i="52" s="1"/>
  <c r="G17" i="52"/>
  <c r="G27" i="52" s="1"/>
  <c r="H96" i="52"/>
  <c r="H98" i="52" s="1"/>
  <c r="H100" i="52" s="1"/>
  <c r="H103" i="52" s="1"/>
  <c r="H105" i="52" s="1"/>
  <c r="L41" i="52"/>
  <c r="M37" i="52"/>
  <c r="F20" i="52"/>
  <c r="K23" i="52"/>
  <c r="K24" i="52" s="1"/>
  <c r="P16" i="52"/>
  <c r="O26" i="52"/>
  <c r="N33" i="52"/>
  <c r="N34" i="52"/>
  <c r="O22" i="52"/>
  <c r="P21" i="52"/>
  <c r="J73" i="52"/>
  <c r="J74" i="52" s="1"/>
  <c r="J79" i="52" s="1"/>
  <c r="J104" i="52" s="1"/>
  <c r="J105" i="52" s="1"/>
  <c r="K72" i="52"/>
  <c r="L23" i="52" l="1"/>
  <c r="L24" i="52" s="1"/>
  <c r="P26" i="52"/>
  <c r="Q16" i="52"/>
  <c r="K73" i="52"/>
  <c r="K74" i="52" s="1"/>
  <c r="K79" i="52" s="1"/>
  <c r="K104" i="52" s="1"/>
  <c r="K105" i="52" s="1"/>
  <c r="L72" i="52"/>
  <c r="O34" i="52"/>
  <c r="O33" i="52"/>
  <c r="N37" i="52"/>
  <c r="M41" i="52"/>
  <c r="G18" i="52"/>
  <c r="P22" i="52"/>
  <c r="Q21" i="52"/>
  <c r="M23" i="52" l="1"/>
  <c r="M24" i="52" s="1"/>
  <c r="L73" i="52"/>
  <c r="L74" i="52" s="1"/>
  <c r="L79" i="52" s="1"/>
  <c r="L104" i="52" s="1"/>
  <c r="L105" i="52" s="1"/>
  <c r="M72" i="52"/>
  <c r="H17" i="52"/>
  <c r="H27" i="52" s="1"/>
  <c r="G28" i="52"/>
  <c r="G29" i="52" s="1"/>
  <c r="G19" i="52"/>
  <c r="Q22" i="52"/>
  <c r="R21" i="52"/>
  <c r="Q26" i="52"/>
  <c r="R16" i="52"/>
  <c r="P33" i="52"/>
  <c r="P34" i="52"/>
  <c r="N41" i="52"/>
  <c r="O37" i="52"/>
  <c r="N23" i="52" l="1"/>
  <c r="N24" i="52" s="1"/>
  <c r="H18" i="52"/>
  <c r="G20" i="52"/>
  <c r="R26" i="52"/>
  <c r="S16" i="52"/>
  <c r="M73" i="52"/>
  <c r="M74" i="52" s="1"/>
  <c r="M79" i="52" s="1"/>
  <c r="M104" i="52" s="1"/>
  <c r="M105" i="52" s="1"/>
  <c r="N72" i="52"/>
  <c r="Q33" i="52"/>
  <c r="Q34" i="52"/>
  <c r="P37" i="52"/>
  <c r="O41" i="52"/>
  <c r="R22" i="52"/>
  <c r="S21" i="52"/>
  <c r="O23" i="52" l="1"/>
  <c r="O24" i="52" s="1"/>
  <c r="H28" i="52"/>
  <c r="H29" i="52" s="1"/>
  <c r="I17" i="52"/>
  <c r="I27" i="52" s="1"/>
  <c r="S26" i="52"/>
  <c r="T16" i="52"/>
  <c r="R33" i="52"/>
  <c r="R34" i="52"/>
  <c r="H19" i="52"/>
  <c r="Q37" i="52"/>
  <c r="P41" i="52"/>
  <c r="O72" i="52"/>
  <c r="N73" i="52"/>
  <c r="N74" i="52" s="1"/>
  <c r="N79" i="52" s="1"/>
  <c r="N104" i="52" s="1"/>
  <c r="N105" i="52" s="1"/>
  <c r="S22" i="52"/>
  <c r="T21" i="52"/>
  <c r="P23" i="52" l="1"/>
  <c r="P24" i="52" s="1"/>
  <c r="O73" i="52"/>
  <c r="O74" i="52" s="1"/>
  <c r="O79" i="52" s="1"/>
  <c r="O104" i="52" s="1"/>
  <c r="O105" i="52" s="1"/>
  <c r="P72" i="52"/>
  <c r="R37" i="52"/>
  <c r="Q41" i="52"/>
  <c r="T26" i="52"/>
  <c r="U16" i="52"/>
  <c r="S34" i="52"/>
  <c r="S33" i="52"/>
  <c r="I18" i="52"/>
  <c r="H20" i="52"/>
  <c r="T22" i="52"/>
  <c r="U21" i="52"/>
  <c r="Q23" i="52" l="1"/>
  <c r="Q24" i="52" s="1"/>
  <c r="U22" i="52"/>
  <c r="V21" i="52"/>
  <c r="R41" i="52"/>
  <c r="S37" i="52"/>
  <c r="P73" i="52"/>
  <c r="P74" i="52" s="1"/>
  <c r="P79" i="52" s="1"/>
  <c r="P104" i="52" s="1"/>
  <c r="P105" i="52" s="1"/>
  <c r="Q72" i="52"/>
  <c r="I28" i="52"/>
  <c r="I29" i="52" s="1"/>
  <c r="J17" i="52"/>
  <c r="J27" i="52" s="1"/>
  <c r="I19" i="52"/>
  <c r="U26" i="52"/>
  <c r="V16" i="52"/>
  <c r="T34" i="52"/>
  <c r="T33" i="52"/>
  <c r="R23" i="52" l="1"/>
  <c r="R24" i="52"/>
  <c r="V26" i="52"/>
  <c r="W16" i="52"/>
  <c r="S41" i="52"/>
  <c r="T37" i="52"/>
  <c r="U33" i="52"/>
  <c r="U34" i="52"/>
  <c r="J18" i="52"/>
  <c r="I20" i="52"/>
  <c r="V22" i="52"/>
  <c r="W21" i="52"/>
  <c r="Q73" i="52"/>
  <c r="Q74" i="52" s="1"/>
  <c r="Q79" i="52" s="1"/>
  <c r="Q104" i="52" s="1"/>
  <c r="Q105" i="52" s="1"/>
  <c r="R72" i="52"/>
  <c r="T41" i="52" l="1"/>
  <c r="U37" i="52"/>
  <c r="R73" i="52"/>
  <c r="R74" i="52" s="1"/>
  <c r="R79" i="52" s="1"/>
  <c r="R104" i="52" s="1"/>
  <c r="R105" i="52" s="1"/>
  <c r="S72" i="52"/>
  <c r="J28" i="52"/>
  <c r="J29" i="52" s="1"/>
  <c r="K17" i="52"/>
  <c r="K27" i="52" s="1"/>
  <c r="X16" i="52"/>
  <c r="W26" i="52"/>
  <c r="J19" i="52"/>
  <c r="V33" i="52"/>
  <c r="V34" i="52"/>
  <c r="W22" i="52"/>
  <c r="X21" i="52"/>
  <c r="S23" i="52"/>
  <c r="S24" i="52" s="1"/>
  <c r="T23" i="52" l="1"/>
  <c r="T24" i="52" s="1"/>
  <c r="X22" i="52"/>
  <c r="Y21" i="52"/>
  <c r="S73" i="52"/>
  <c r="S74" i="52" s="1"/>
  <c r="S79" i="52" s="1"/>
  <c r="S104" i="52" s="1"/>
  <c r="S105" i="52" s="1"/>
  <c r="T72" i="52"/>
  <c r="X26" i="52"/>
  <c r="Y16" i="52"/>
  <c r="V37" i="52"/>
  <c r="U41" i="52"/>
  <c r="K18" i="52"/>
  <c r="J20" i="52"/>
  <c r="W34" i="52"/>
  <c r="W33" i="52"/>
  <c r="U23" i="52" l="1"/>
  <c r="U24" i="52" s="1"/>
  <c r="Y26" i="52"/>
  <c r="Z16" i="52"/>
  <c r="T73" i="52"/>
  <c r="T74" i="52" s="1"/>
  <c r="T79" i="52" s="1"/>
  <c r="T104" i="52" s="1"/>
  <c r="T105" i="52" s="1"/>
  <c r="U72" i="52"/>
  <c r="K28" i="52"/>
  <c r="K29" i="52" s="1"/>
  <c r="L17" i="52"/>
  <c r="L27" i="52" s="1"/>
  <c r="K19" i="52"/>
  <c r="Y22" i="52"/>
  <c r="Z21" i="52"/>
  <c r="X33" i="52"/>
  <c r="X34" i="52"/>
  <c r="V41" i="52"/>
  <c r="W37" i="52"/>
  <c r="V23" i="52" l="1"/>
  <c r="V24" i="52" s="1"/>
  <c r="U73" i="52"/>
  <c r="U74" i="52" s="1"/>
  <c r="U79" i="52" s="1"/>
  <c r="U104" i="52" s="1"/>
  <c r="U105" i="52" s="1"/>
  <c r="V72" i="52"/>
  <c r="Z22" i="52"/>
  <c r="AA21" i="52"/>
  <c r="Z26" i="52"/>
  <c r="AA16" i="52"/>
  <c r="Y33" i="52"/>
  <c r="Y34" i="52"/>
  <c r="X37" i="52"/>
  <c r="W41" i="52"/>
  <c r="L18" i="52"/>
  <c r="L19" i="52" s="1"/>
  <c r="K20" i="52"/>
  <c r="W23" i="52" l="1"/>
  <c r="W24" i="52" s="1"/>
  <c r="L20" i="52"/>
  <c r="AA22" i="52"/>
  <c r="AB21" i="52"/>
  <c r="W72" i="52"/>
  <c r="V73" i="52"/>
  <c r="V74" i="52" s="1"/>
  <c r="V79" i="52" s="1"/>
  <c r="V104" i="52" s="1"/>
  <c r="V105" i="52" s="1"/>
  <c r="Y37" i="52"/>
  <c r="X41" i="52"/>
  <c r="AA26" i="52"/>
  <c r="AB16" i="52"/>
  <c r="Z33" i="52"/>
  <c r="Z34" i="52"/>
  <c r="L28" i="52"/>
  <c r="L29" i="52" s="1"/>
  <c r="M17" i="52"/>
  <c r="M27" i="52" s="1"/>
  <c r="M18" i="52" l="1"/>
  <c r="X23" i="52"/>
  <c r="X24" i="52" s="1"/>
  <c r="W73" i="52"/>
  <c r="W74" i="52" s="1"/>
  <c r="W79" i="52" s="1"/>
  <c r="W104" i="52" s="1"/>
  <c r="W105" i="52" s="1"/>
  <c r="X72" i="52"/>
  <c r="AB26" i="52"/>
  <c r="AC16" i="52"/>
  <c r="AA34" i="52"/>
  <c r="AA33" i="52"/>
  <c r="M28" i="52"/>
  <c r="N17" i="52"/>
  <c r="N27" i="52" s="1"/>
  <c r="Z37" i="52"/>
  <c r="Y41" i="52"/>
  <c r="M19" i="52"/>
  <c r="M29" i="52"/>
  <c r="AB22" i="52"/>
  <c r="AC21" i="52"/>
  <c r="Y23" i="52" l="1"/>
  <c r="Y24" i="52" s="1"/>
  <c r="N18" i="52"/>
  <c r="M20" i="52"/>
  <c r="AD16" i="52"/>
  <c r="AC26" i="52"/>
  <c r="AB34" i="52"/>
  <c r="AB33" i="52"/>
  <c r="X73" i="52"/>
  <c r="X74" i="52" s="1"/>
  <c r="X79" i="52" s="1"/>
  <c r="X104" i="52" s="1"/>
  <c r="X105" i="52" s="1"/>
  <c r="Y72" i="52"/>
  <c r="Z41" i="52"/>
  <c r="AA37" i="52"/>
  <c r="AD21" i="52"/>
  <c r="AC22" i="52"/>
  <c r="Z23" i="52" l="1"/>
  <c r="Z24" i="52"/>
  <c r="AD26" i="52"/>
  <c r="AE16" i="52"/>
  <c r="N28" i="52"/>
  <c r="N29" i="52" s="1"/>
  <c r="O17" i="52"/>
  <c r="O27" i="52" s="1"/>
  <c r="AC33" i="52"/>
  <c r="AC34" i="52"/>
  <c r="Y73" i="52"/>
  <c r="Y74" i="52" s="1"/>
  <c r="Y79" i="52" s="1"/>
  <c r="Y104" i="52" s="1"/>
  <c r="Y105" i="52" s="1"/>
  <c r="Z72" i="52"/>
  <c r="N19" i="52"/>
  <c r="AA41" i="52"/>
  <c r="AB37" i="52"/>
  <c r="AD22" i="52"/>
  <c r="AE21" i="52"/>
  <c r="AE22" i="52" l="1"/>
  <c r="AF21" i="52"/>
  <c r="AB41" i="52"/>
  <c r="AC37" i="52"/>
  <c r="AD33" i="52"/>
  <c r="AD34" i="52"/>
  <c r="O18" i="52"/>
  <c r="O19" i="52" s="1"/>
  <c r="N20" i="52"/>
  <c r="AE26" i="52"/>
  <c r="AF16" i="52"/>
  <c r="Z73" i="52"/>
  <c r="Z74" i="52" s="1"/>
  <c r="Z79" i="52" s="1"/>
  <c r="Z104" i="52" s="1"/>
  <c r="Z105" i="52" s="1"/>
  <c r="AA72" i="52"/>
  <c r="AA23" i="52"/>
  <c r="AA24" i="52" s="1"/>
  <c r="AB23" i="52" l="1"/>
  <c r="AB24" i="52" s="1"/>
  <c r="AA73" i="52"/>
  <c r="AA74" i="52" s="1"/>
  <c r="AA79" i="52" s="1"/>
  <c r="AA104" i="52" s="1"/>
  <c r="AA105" i="52" s="1"/>
  <c r="AB72" i="52"/>
  <c r="AF26" i="52"/>
  <c r="AG16" i="52"/>
  <c r="AE34" i="52"/>
  <c r="AE33" i="52"/>
  <c r="AD37" i="52"/>
  <c r="AC41" i="52"/>
  <c r="O20" i="52"/>
  <c r="AF22" i="52"/>
  <c r="AG21" i="52"/>
  <c r="P17" i="52"/>
  <c r="P27" i="52" s="1"/>
  <c r="O28" i="52"/>
  <c r="O29" i="52" s="1"/>
  <c r="P18" i="52" l="1"/>
  <c r="AC23" i="52"/>
  <c r="AC24" i="52" s="1"/>
  <c r="AF33" i="52"/>
  <c r="AF34" i="52"/>
  <c r="AB73" i="52"/>
  <c r="AB74" i="52" s="1"/>
  <c r="AB79" i="52" s="1"/>
  <c r="AB104" i="52" s="1"/>
  <c r="AB105" i="52" s="1"/>
  <c r="AC72" i="52"/>
  <c r="P28" i="52"/>
  <c r="P29" i="52" s="1"/>
  <c r="Q17" i="52"/>
  <c r="Q27" i="52" s="1"/>
  <c r="P19" i="52"/>
  <c r="AD41" i="52"/>
  <c r="AE37" i="52"/>
  <c r="AG26" i="52"/>
  <c r="AH16" i="52"/>
  <c r="AG22" i="52"/>
  <c r="AH21" i="52"/>
  <c r="AD23" i="52" l="1"/>
  <c r="AD24" i="52" s="1"/>
  <c r="AH26" i="52"/>
  <c r="AI16" i="52"/>
  <c r="AG33" i="52"/>
  <c r="AG34" i="52"/>
  <c r="AC73" i="52"/>
  <c r="AC74" i="52" s="1"/>
  <c r="AC79" i="52" s="1"/>
  <c r="AC104" i="52" s="1"/>
  <c r="AC105" i="52" s="1"/>
  <c r="AD72" i="52"/>
  <c r="AH22" i="52"/>
  <c r="AI21" i="52"/>
  <c r="AF37" i="52"/>
  <c r="AE41" i="52"/>
  <c r="Q18" i="52"/>
  <c r="Q19" i="52" s="1"/>
  <c r="P20" i="52"/>
  <c r="AE23" i="52" l="1"/>
  <c r="AE24" i="52" s="1"/>
  <c r="Q20" i="52"/>
  <c r="AH33" i="52"/>
  <c r="AH34" i="52"/>
  <c r="AG37" i="52"/>
  <c r="AF41" i="52"/>
  <c r="AI26" i="52"/>
  <c r="AJ16" i="52"/>
  <c r="AE72" i="52"/>
  <c r="AD73" i="52"/>
  <c r="AD74" i="52" s="1"/>
  <c r="AD79" i="52" s="1"/>
  <c r="AD104" i="52" s="1"/>
  <c r="AD105" i="52" s="1"/>
  <c r="AI22" i="52"/>
  <c r="AJ21" i="52"/>
  <c r="Q28" i="52"/>
  <c r="Q29" i="52" s="1"/>
  <c r="R17" i="52"/>
  <c r="R27" i="52" s="1"/>
  <c r="R18" i="52" l="1"/>
  <c r="AF23" i="52"/>
  <c r="AF24" i="52" s="1"/>
  <c r="R28" i="52"/>
  <c r="S17" i="52"/>
  <c r="S27" i="52" s="1"/>
  <c r="R19" i="52"/>
  <c r="AH37" i="52"/>
  <c r="AG41" i="52"/>
  <c r="AE73" i="52"/>
  <c r="AE74" i="52" s="1"/>
  <c r="AE79" i="52" s="1"/>
  <c r="AE104" i="52" s="1"/>
  <c r="AE105" i="52" s="1"/>
  <c r="AF72" i="52"/>
  <c r="AJ26" i="52"/>
  <c r="AK16" i="52"/>
  <c r="AK26" i="52" s="1"/>
  <c r="AI34" i="52"/>
  <c r="AI33" i="52"/>
  <c r="R29" i="52"/>
  <c r="AJ22" i="52"/>
  <c r="AK21" i="52"/>
  <c r="AK22" i="52" s="1"/>
  <c r="AG23" i="52" l="1"/>
  <c r="AG24" i="52" s="1"/>
  <c r="AH41" i="52"/>
  <c r="AI37" i="52"/>
  <c r="S18" i="52"/>
  <c r="S19" i="52" s="1"/>
  <c r="R20" i="52"/>
  <c r="AF73" i="52"/>
  <c r="AF74" i="52" s="1"/>
  <c r="AF79" i="52" s="1"/>
  <c r="AF104" i="52" s="1"/>
  <c r="AF105" i="52" s="1"/>
  <c r="AG72" i="52"/>
  <c r="AK33" i="52"/>
  <c r="AK34" i="52"/>
  <c r="AJ34" i="52"/>
  <c r="AJ33" i="52"/>
  <c r="S20" i="52" l="1"/>
  <c r="AH23" i="52"/>
  <c r="AH24" i="52"/>
  <c r="T17" i="52"/>
  <c r="T27" i="52" s="1"/>
  <c r="S28" i="52"/>
  <c r="S29" i="52" s="1"/>
  <c r="AG73" i="52"/>
  <c r="AG74" i="52" s="1"/>
  <c r="AG79" i="52" s="1"/>
  <c r="AG104" i="52" s="1"/>
  <c r="AG105" i="52" s="1"/>
  <c r="AH72" i="52"/>
  <c r="AI41" i="52"/>
  <c r="AJ37" i="52"/>
  <c r="AJ41" i="52" s="1"/>
  <c r="B4" i="52"/>
  <c r="AI23" i="52" l="1"/>
  <c r="AI24" i="52"/>
  <c r="AH73" i="52"/>
  <c r="AH74" i="52" s="1"/>
  <c r="AH79" i="52" s="1"/>
  <c r="AH104" i="52" s="1"/>
  <c r="AH105" i="52" s="1"/>
  <c r="AI72" i="52"/>
  <c r="T18" i="52"/>
  <c r="U17" i="52" l="1"/>
  <c r="U27" i="52" s="1"/>
  <c r="T28" i="52"/>
  <c r="T29" i="52" s="1"/>
  <c r="AI73" i="52"/>
  <c r="AI74" i="52" s="1"/>
  <c r="AI79" i="52" s="1"/>
  <c r="AI104" i="52" s="1"/>
  <c r="AI105" i="52" s="1"/>
  <c r="AJ72" i="52"/>
  <c r="AJ23" i="52"/>
  <c r="AJ24" i="52" s="1"/>
  <c r="T19" i="52"/>
  <c r="AK23" i="52" l="1"/>
  <c r="AK24" i="52" s="1"/>
  <c r="AJ73" i="52"/>
  <c r="AJ74" i="52" s="1"/>
  <c r="AJ79" i="52" s="1"/>
  <c r="AJ104" i="52" s="1"/>
  <c r="AJ105" i="52" s="1"/>
  <c r="AK72" i="52"/>
  <c r="U18" i="52"/>
  <c r="T20" i="52"/>
  <c r="U28" i="52" l="1"/>
  <c r="U29" i="52" s="1"/>
  <c r="V17" i="52"/>
  <c r="V27" i="52" s="1"/>
  <c r="U19" i="52"/>
  <c r="AK73" i="52"/>
  <c r="AK40" i="52"/>
  <c r="AK58" i="52"/>
  <c r="AK67" i="52" s="1"/>
  <c r="B6" i="52" s="1"/>
  <c r="AK39" i="52"/>
  <c r="AK38" i="52"/>
  <c r="AK37" i="52"/>
  <c r="AK74" i="52"/>
  <c r="B7" i="52" s="1"/>
  <c r="V18" i="52" l="1"/>
  <c r="V19" i="52"/>
  <c r="U20" i="52"/>
  <c r="AK41" i="52"/>
  <c r="B5" i="52" l="1"/>
  <c r="B8" i="52" s="1"/>
  <c r="AK79" i="52"/>
  <c r="V20" i="52"/>
  <c r="V28" i="52"/>
  <c r="V29" i="52" s="1"/>
  <c r="W17" i="52"/>
  <c r="W27" i="52" s="1"/>
  <c r="W18" i="52" l="1"/>
  <c r="W28" i="52" l="1"/>
  <c r="W29" i="52" s="1"/>
  <c r="X17" i="52"/>
  <c r="X27" i="52" s="1"/>
  <c r="W19" i="52"/>
  <c r="X18" i="52" l="1"/>
  <c r="W20" i="52"/>
  <c r="X28" i="52" l="1"/>
  <c r="X29" i="52" s="1"/>
  <c r="Y17" i="52"/>
  <c r="Y27" i="52" s="1"/>
  <c r="X19" i="52"/>
  <c r="Y18" i="52" l="1"/>
  <c r="X20" i="52"/>
  <c r="Y28" i="52" l="1"/>
  <c r="Y29" i="52" s="1"/>
  <c r="Z17" i="52"/>
  <c r="Z27" i="52" s="1"/>
  <c r="Y19" i="52"/>
  <c r="Z18" i="52" l="1"/>
  <c r="Y20" i="52"/>
  <c r="Z28" i="52" l="1"/>
  <c r="Z29" i="52" s="1"/>
  <c r="AA17" i="52"/>
  <c r="AA27" i="52" s="1"/>
  <c r="Z19" i="52"/>
  <c r="AA18" i="52" l="1"/>
  <c r="Z20" i="52"/>
  <c r="AA28" i="52" l="1"/>
  <c r="AA29" i="52" s="1"/>
  <c r="AB17" i="52"/>
  <c r="AB27" i="52" s="1"/>
  <c r="AA19" i="52"/>
  <c r="AB18" i="52" l="1"/>
  <c r="AA20" i="52"/>
  <c r="AB28" i="52" l="1"/>
  <c r="AB29" i="52" s="1"/>
  <c r="AC17" i="52"/>
  <c r="AC27" i="52" s="1"/>
  <c r="AB19" i="52"/>
  <c r="AC18" i="52" l="1"/>
  <c r="AB20" i="52"/>
  <c r="AC28" i="52" l="1"/>
  <c r="AC29" i="52" s="1"/>
  <c r="AD17" i="52"/>
  <c r="AD27" i="52" s="1"/>
  <c r="AC19" i="52"/>
  <c r="AD18" i="52" l="1"/>
  <c r="AD19" i="52"/>
  <c r="AC20" i="52"/>
  <c r="AD20" i="52" l="1"/>
  <c r="AD28" i="52"/>
  <c r="AD29" i="52" s="1"/>
  <c r="AE17" i="52"/>
  <c r="AE27" i="52" s="1"/>
  <c r="AE18" i="52" l="1"/>
  <c r="AE19" i="52" s="1"/>
  <c r="AE20" i="52" l="1"/>
  <c r="AE28" i="52"/>
  <c r="AE29" i="52" s="1"/>
  <c r="AF17" i="52"/>
  <c r="AF27" i="52" s="1"/>
  <c r="AF18" i="52" l="1"/>
  <c r="AF19" i="52"/>
  <c r="AF20" i="52" l="1"/>
  <c r="AF28" i="52"/>
  <c r="AF29" i="52" s="1"/>
  <c r="AG17" i="52"/>
  <c r="AG27" i="52" s="1"/>
  <c r="AG18" i="52" l="1"/>
  <c r="AG28" i="52" l="1"/>
  <c r="AG29" i="52" s="1"/>
  <c r="AH17" i="52"/>
  <c r="AH27" i="52" s="1"/>
  <c r="AG19" i="52"/>
  <c r="AH18" i="52" l="1"/>
  <c r="AG20" i="52"/>
  <c r="AH28" i="52" l="1"/>
  <c r="AH29" i="52" s="1"/>
  <c r="AI17" i="52"/>
  <c r="AI27" i="52" s="1"/>
  <c r="AH19" i="52"/>
  <c r="AI18" i="52" l="1"/>
  <c r="AH20" i="52"/>
  <c r="AJ17" i="52" l="1"/>
  <c r="AJ27" i="52" s="1"/>
  <c r="AI28" i="52"/>
  <c r="AI29" i="52" s="1"/>
  <c r="AI19" i="52"/>
  <c r="AJ18" i="52" l="1"/>
  <c r="AI20" i="52"/>
  <c r="AK17" i="52" l="1"/>
  <c r="AK27" i="52" s="1"/>
  <c r="AJ28" i="52"/>
  <c r="AJ29" i="52" s="1"/>
  <c r="AJ19" i="52"/>
  <c r="AK18" i="52" l="1"/>
  <c r="AK28" i="52" s="1"/>
  <c r="AJ20" i="52"/>
  <c r="AK29" i="52"/>
  <c r="AK19" i="52" l="1"/>
  <c r="AK20" i="52" s="1"/>
  <c r="BC9" i="43" l="1"/>
  <c r="BB9" i="43"/>
  <c r="BA9" i="43"/>
  <c r="AZ9" i="43"/>
  <c r="AY9" i="43"/>
  <c r="AX9" i="43"/>
  <c r="AW9" i="43"/>
  <c r="AV9" i="43"/>
  <c r="AU9" i="43"/>
  <c r="AT9" i="43"/>
  <c r="AS9" i="43"/>
  <c r="AR9" i="43"/>
  <c r="AQ9" i="43"/>
  <c r="AP9" i="43"/>
  <c r="AO9" i="43"/>
  <c r="AN9" i="43"/>
  <c r="AM9" i="43"/>
  <c r="AL9" i="43"/>
  <c r="AK9" i="43"/>
  <c r="AJ9" i="43"/>
  <c r="AI9" i="43"/>
  <c r="AH9" i="43"/>
  <c r="AG9" i="43"/>
  <c r="AF9" i="43"/>
  <c r="AE9" i="43"/>
  <c r="AD9" i="43"/>
  <c r="AC9" i="43"/>
  <c r="AB9" i="43"/>
  <c r="AA9" i="43"/>
  <c r="Z9" i="43"/>
  <c r="Y9" i="43"/>
  <c r="X9" i="43"/>
  <c r="W9" i="43"/>
  <c r="V9" i="43"/>
  <c r="U9" i="43"/>
  <c r="T9" i="43"/>
  <c r="S9" i="43"/>
  <c r="R9" i="43"/>
  <c r="Q9" i="43"/>
  <c r="P9" i="43"/>
  <c r="O9" i="43"/>
  <c r="N9" i="43"/>
  <c r="M9" i="43"/>
  <c r="L9" i="43"/>
  <c r="K9" i="43"/>
  <c r="J9" i="43"/>
  <c r="I9" i="43"/>
  <c r="BC8" i="43"/>
  <c r="BB8" i="43"/>
  <c r="BA8" i="43"/>
  <c r="AZ8" i="43"/>
  <c r="AY8" i="43"/>
  <c r="AX8" i="43"/>
  <c r="AW8" i="43"/>
  <c r="AV8" i="43"/>
  <c r="AU8" i="43"/>
  <c r="AT8" i="43"/>
  <c r="AS8" i="43"/>
  <c r="AR8" i="43"/>
  <c r="AQ8" i="43"/>
  <c r="AP8" i="43"/>
  <c r="AO8" i="43"/>
  <c r="AN8" i="43"/>
  <c r="AM8" i="43"/>
  <c r="AL8" i="43"/>
  <c r="AK8" i="43"/>
  <c r="AJ8" i="43"/>
  <c r="AI8" i="43"/>
  <c r="AH8" i="43"/>
  <c r="AG8" i="43"/>
  <c r="AF8" i="43"/>
  <c r="AE8" i="43"/>
  <c r="AD8" i="43"/>
  <c r="AC8" i="43"/>
  <c r="AB8" i="43"/>
  <c r="AA8" i="43"/>
  <c r="Z8" i="43"/>
  <c r="Y8" i="43"/>
  <c r="X8" i="43"/>
  <c r="W8" i="43"/>
  <c r="V8" i="43"/>
  <c r="U8" i="43"/>
  <c r="T8" i="43"/>
  <c r="S8" i="43"/>
  <c r="R8" i="43"/>
  <c r="R7" i="43" s="1"/>
  <c r="Q8" i="43"/>
  <c r="Q7" i="43" s="1"/>
  <c r="P8" i="43"/>
  <c r="O8" i="43"/>
  <c r="N8" i="43"/>
  <c r="M8" i="43"/>
  <c r="L8" i="43"/>
  <c r="K8" i="43"/>
  <c r="J8" i="43"/>
  <c r="I8" i="43"/>
  <c r="I7" i="43" s="1"/>
  <c r="AW7" i="43"/>
  <c r="AM7" i="43"/>
  <c r="C21" i="43"/>
  <c r="C21" i="42"/>
  <c r="BB9" i="42"/>
  <c r="BA9" i="42"/>
  <c r="AZ9" i="42"/>
  <c r="AY9" i="42"/>
  <c r="AX9" i="42"/>
  <c r="AW9" i="42"/>
  <c r="AV9" i="42"/>
  <c r="AU9" i="42"/>
  <c r="AT9" i="42"/>
  <c r="AS9" i="42"/>
  <c r="AR9" i="42"/>
  <c r="AQ9" i="42"/>
  <c r="AP9" i="42"/>
  <c r="AO9" i="42"/>
  <c r="AN9" i="42"/>
  <c r="AM9" i="42"/>
  <c r="AL9" i="42"/>
  <c r="AK9" i="42"/>
  <c r="AJ9" i="42"/>
  <c r="AI9" i="42"/>
  <c r="AH9" i="42"/>
  <c r="AG9" i="42"/>
  <c r="AF9" i="42"/>
  <c r="AE9" i="42"/>
  <c r="AD9" i="42"/>
  <c r="AC9" i="42"/>
  <c r="AB9" i="42"/>
  <c r="AA9" i="42"/>
  <c r="Z9" i="42"/>
  <c r="Y9" i="42"/>
  <c r="X9" i="42"/>
  <c r="W9" i="42"/>
  <c r="V9" i="42"/>
  <c r="U9" i="42"/>
  <c r="T9" i="42"/>
  <c r="S9" i="42"/>
  <c r="R9" i="42"/>
  <c r="Q9" i="42"/>
  <c r="P9" i="42"/>
  <c r="O9" i="42"/>
  <c r="N9" i="42"/>
  <c r="M9" i="42"/>
  <c r="L9" i="42"/>
  <c r="K9" i="42"/>
  <c r="J9" i="42"/>
  <c r="I9" i="42"/>
  <c r="H9" i="42"/>
  <c r="BB8" i="42"/>
  <c r="BA8" i="42"/>
  <c r="AZ8" i="42"/>
  <c r="AY8" i="42"/>
  <c r="AX8" i="42"/>
  <c r="AW8" i="42"/>
  <c r="AV8" i="42"/>
  <c r="AU8" i="42"/>
  <c r="AT8" i="42"/>
  <c r="AS8" i="42"/>
  <c r="AR8" i="42"/>
  <c r="AQ8" i="42"/>
  <c r="AP8" i="42"/>
  <c r="AO8" i="42"/>
  <c r="AN8" i="42"/>
  <c r="AN7" i="42" s="1"/>
  <c r="AM8" i="42"/>
  <c r="AL8" i="42"/>
  <c r="AK8" i="42"/>
  <c r="AJ8" i="42"/>
  <c r="AI8" i="42"/>
  <c r="AH8" i="42"/>
  <c r="AH7" i="42" s="1"/>
  <c r="AG8" i="42"/>
  <c r="AF8" i="42"/>
  <c r="AF7" i="42" s="1"/>
  <c r="AE8" i="42"/>
  <c r="AD8" i="42"/>
  <c r="AC8" i="42"/>
  <c r="AB8" i="42"/>
  <c r="AA8" i="42"/>
  <c r="Z8" i="42"/>
  <c r="Z7" i="42" s="1"/>
  <c r="Y8" i="42"/>
  <c r="X8" i="42"/>
  <c r="X7" i="42" s="1"/>
  <c r="W8" i="42"/>
  <c r="V8" i="42"/>
  <c r="U8" i="42"/>
  <c r="T8" i="42"/>
  <c r="S8" i="42"/>
  <c r="R8" i="42"/>
  <c r="R7" i="42" s="1"/>
  <c r="Q8" i="42"/>
  <c r="P8" i="42"/>
  <c r="P7" i="42" s="1"/>
  <c r="O8" i="42"/>
  <c r="N8" i="42"/>
  <c r="M8" i="42"/>
  <c r="L8" i="42"/>
  <c r="K8" i="42"/>
  <c r="J8" i="42"/>
  <c r="J7" i="42" s="1"/>
  <c r="I8" i="42"/>
  <c r="H8" i="42"/>
  <c r="H7" i="42" s="1"/>
  <c r="BC6" i="43"/>
  <c r="BB6" i="43"/>
  <c r="BA6" i="43"/>
  <c r="AZ6" i="43"/>
  <c r="AY6" i="43"/>
  <c r="AX6" i="43"/>
  <c r="AW6" i="43"/>
  <c r="AV6" i="43"/>
  <c r="AU6" i="43"/>
  <c r="AT6" i="43"/>
  <c r="AS6" i="43"/>
  <c r="AR6" i="43"/>
  <c r="AQ6" i="43"/>
  <c r="AP6" i="43"/>
  <c r="AO6" i="43"/>
  <c r="AN6" i="43"/>
  <c r="AM6" i="43"/>
  <c r="AL6" i="43"/>
  <c r="AK6" i="43"/>
  <c r="AJ6" i="43"/>
  <c r="AI6" i="43"/>
  <c r="AH6" i="43"/>
  <c r="AG6" i="43"/>
  <c r="AF6" i="43"/>
  <c r="AE6" i="43"/>
  <c r="AD6" i="43"/>
  <c r="AC6" i="43"/>
  <c r="AB6" i="43"/>
  <c r="AA6" i="43"/>
  <c r="Z6" i="43"/>
  <c r="Y6" i="43"/>
  <c r="X6" i="43"/>
  <c r="W6" i="43"/>
  <c r="V6" i="43"/>
  <c r="U6" i="43"/>
  <c r="T6" i="43"/>
  <c r="S6" i="43"/>
  <c r="R6" i="43"/>
  <c r="Q6" i="43"/>
  <c r="P6" i="43"/>
  <c r="O6" i="43"/>
  <c r="N6" i="43"/>
  <c r="M6" i="43"/>
  <c r="L6" i="43"/>
  <c r="K6" i="43"/>
  <c r="J6" i="43"/>
  <c r="I6" i="43"/>
  <c r="BC5" i="43"/>
  <c r="BB5" i="43"/>
  <c r="BA5" i="43"/>
  <c r="AZ5" i="43"/>
  <c r="AY5" i="43"/>
  <c r="AX5" i="43"/>
  <c r="AW5" i="43"/>
  <c r="AV5" i="43"/>
  <c r="AU5" i="43"/>
  <c r="AT5" i="43"/>
  <c r="AS5" i="43"/>
  <c r="AR5" i="43"/>
  <c r="AQ5" i="43"/>
  <c r="AP5" i="43"/>
  <c r="AO5" i="43"/>
  <c r="AN5" i="43"/>
  <c r="AM5" i="43"/>
  <c r="AL5" i="43"/>
  <c r="AK5" i="43"/>
  <c r="AJ5" i="43"/>
  <c r="AI5" i="43"/>
  <c r="AH5" i="43"/>
  <c r="AG5" i="43"/>
  <c r="AF5" i="43"/>
  <c r="AE5" i="43"/>
  <c r="AD5" i="43"/>
  <c r="AC5" i="43"/>
  <c r="AB5" i="43"/>
  <c r="AA5" i="43"/>
  <c r="Z5" i="43"/>
  <c r="Y5" i="43"/>
  <c r="X5" i="43"/>
  <c r="W5" i="43"/>
  <c r="V5" i="43"/>
  <c r="U5" i="43"/>
  <c r="T5" i="43"/>
  <c r="S5" i="43"/>
  <c r="R5" i="43"/>
  <c r="Q5" i="43"/>
  <c r="P5" i="43"/>
  <c r="O5" i="43"/>
  <c r="N5" i="43"/>
  <c r="M5" i="43"/>
  <c r="L5" i="43"/>
  <c r="K5" i="43"/>
  <c r="J5" i="43"/>
  <c r="I5" i="43"/>
  <c r="BC4" i="43"/>
  <c r="BB4" i="43"/>
  <c r="BA4" i="43"/>
  <c r="AZ4" i="43"/>
  <c r="AY4" i="43"/>
  <c r="AX4" i="43"/>
  <c r="AW4" i="43"/>
  <c r="AV4" i="43"/>
  <c r="AU4" i="43"/>
  <c r="AT4" i="43"/>
  <c r="AS4" i="43"/>
  <c r="AR4" i="43"/>
  <c r="AQ4" i="43"/>
  <c r="AP4" i="43"/>
  <c r="AO4" i="43"/>
  <c r="AN4" i="43"/>
  <c r="AM4" i="43"/>
  <c r="AL4" i="43"/>
  <c r="AK4" i="43"/>
  <c r="AJ4" i="43"/>
  <c r="AI4" i="43"/>
  <c r="AH4" i="43"/>
  <c r="AG4" i="43"/>
  <c r="AF4" i="43"/>
  <c r="AE4" i="43"/>
  <c r="AD4" i="43"/>
  <c r="AC4" i="43"/>
  <c r="AB4" i="43"/>
  <c r="AA4" i="43"/>
  <c r="Z4" i="43"/>
  <c r="Y4" i="43"/>
  <c r="X4" i="43"/>
  <c r="W4" i="43"/>
  <c r="V4" i="43"/>
  <c r="U4" i="43"/>
  <c r="T4" i="43"/>
  <c r="S4" i="43"/>
  <c r="R4" i="43"/>
  <c r="Q4" i="43"/>
  <c r="P4" i="43"/>
  <c r="O4" i="43"/>
  <c r="N4" i="43"/>
  <c r="M4" i="43"/>
  <c r="L4" i="43"/>
  <c r="K4" i="43"/>
  <c r="J4" i="43"/>
  <c r="I4" i="43"/>
  <c r="BC3" i="43"/>
  <c r="BB3" i="43"/>
  <c r="BA3" i="43"/>
  <c r="AZ3" i="43"/>
  <c r="AY3" i="43"/>
  <c r="AX3" i="43"/>
  <c r="AW3" i="43"/>
  <c r="AV3" i="43"/>
  <c r="AU3" i="43"/>
  <c r="AT3" i="43"/>
  <c r="AS3" i="43"/>
  <c r="AS2" i="43" s="1"/>
  <c r="AR3" i="43"/>
  <c r="AQ3" i="43"/>
  <c r="AP3" i="43"/>
  <c r="AO3" i="43"/>
  <c r="AN3" i="43"/>
  <c r="AM3" i="43"/>
  <c r="AL3" i="43"/>
  <c r="AK3" i="43"/>
  <c r="AJ3" i="43"/>
  <c r="AI3" i="43"/>
  <c r="AH3" i="43"/>
  <c r="AG3" i="43"/>
  <c r="AF3" i="43"/>
  <c r="AE3" i="43"/>
  <c r="AD3" i="43"/>
  <c r="AC3" i="43"/>
  <c r="AB3" i="43"/>
  <c r="AA3" i="43"/>
  <c r="Z3" i="43"/>
  <c r="Y3" i="43"/>
  <c r="X3" i="43"/>
  <c r="W3" i="43"/>
  <c r="V3" i="43"/>
  <c r="U3" i="43"/>
  <c r="T3" i="43"/>
  <c r="S3" i="43"/>
  <c r="R3" i="43"/>
  <c r="Q3" i="43"/>
  <c r="P3" i="43"/>
  <c r="O3" i="43"/>
  <c r="N3" i="43"/>
  <c r="M3" i="43"/>
  <c r="L3" i="43"/>
  <c r="K3" i="43"/>
  <c r="J3" i="43"/>
  <c r="I3" i="43"/>
  <c r="C14" i="43"/>
  <c r="C14" i="42"/>
  <c r="BB6" i="42"/>
  <c r="BA6" i="42"/>
  <c r="AZ6" i="42"/>
  <c r="AY6" i="42"/>
  <c r="AX6" i="42"/>
  <c r="AW6" i="42"/>
  <c r="AV6" i="42"/>
  <c r="AU6" i="42"/>
  <c r="AT6" i="42"/>
  <c r="AS6" i="42"/>
  <c r="AR6" i="42"/>
  <c r="AQ6" i="42"/>
  <c r="AP6" i="42"/>
  <c r="AO6" i="42"/>
  <c r="AN6" i="42"/>
  <c r="AM6" i="42"/>
  <c r="AL6" i="42"/>
  <c r="AK6" i="42"/>
  <c r="AJ6" i="42"/>
  <c r="AI6" i="42"/>
  <c r="AH6" i="42"/>
  <c r="AG6" i="42"/>
  <c r="AF6" i="42"/>
  <c r="AE6" i="42"/>
  <c r="AD6" i="42"/>
  <c r="AC6" i="42"/>
  <c r="AB6" i="42"/>
  <c r="AA6" i="42"/>
  <c r="Z6" i="42"/>
  <c r="Y6" i="42"/>
  <c r="X6" i="42"/>
  <c r="W6" i="42"/>
  <c r="V6" i="42"/>
  <c r="U6" i="42"/>
  <c r="T6" i="42"/>
  <c r="S6" i="42"/>
  <c r="R6" i="42"/>
  <c r="Q6" i="42"/>
  <c r="P6" i="42"/>
  <c r="O6" i="42"/>
  <c r="N6" i="42"/>
  <c r="M6" i="42"/>
  <c r="L6" i="42"/>
  <c r="K6" i="42"/>
  <c r="J6" i="42"/>
  <c r="I6" i="42"/>
  <c r="H6" i="42"/>
  <c r="BB5" i="42"/>
  <c r="BA5" i="42"/>
  <c r="AZ5" i="42"/>
  <c r="AY5" i="42"/>
  <c r="AX5" i="42"/>
  <c r="AW5" i="42"/>
  <c r="AV5" i="42"/>
  <c r="AU5" i="42"/>
  <c r="AT5" i="42"/>
  <c r="AS5" i="42"/>
  <c r="AR5" i="42"/>
  <c r="AQ5" i="42"/>
  <c r="AP5" i="42"/>
  <c r="AO5" i="42"/>
  <c r="AN5" i="42"/>
  <c r="AM5" i="42"/>
  <c r="AL5" i="42"/>
  <c r="AK5" i="42"/>
  <c r="AJ5" i="42"/>
  <c r="AI5" i="42"/>
  <c r="AH5" i="42"/>
  <c r="AG5" i="42"/>
  <c r="AF5" i="42"/>
  <c r="AE5" i="42"/>
  <c r="AD5" i="42"/>
  <c r="AC5" i="42"/>
  <c r="AB5" i="42"/>
  <c r="AA5" i="42"/>
  <c r="Z5" i="42"/>
  <c r="Y5" i="42"/>
  <c r="X5" i="42"/>
  <c r="W5" i="42"/>
  <c r="V5" i="42"/>
  <c r="U5" i="42"/>
  <c r="T5" i="42"/>
  <c r="S5" i="42"/>
  <c r="R5" i="42"/>
  <c r="Q5" i="42"/>
  <c r="P5" i="42"/>
  <c r="O5" i="42"/>
  <c r="N5" i="42"/>
  <c r="M5" i="42"/>
  <c r="L5" i="42"/>
  <c r="K5" i="42"/>
  <c r="J5" i="42"/>
  <c r="I5" i="42"/>
  <c r="H5" i="42"/>
  <c r="BB4" i="42"/>
  <c r="BA4" i="42"/>
  <c r="AZ4" i="42"/>
  <c r="AY4" i="42"/>
  <c r="AX4" i="42"/>
  <c r="AW4" i="42"/>
  <c r="AV4" i="42"/>
  <c r="AU4" i="42"/>
  <c r="AT4" i="42"/>
  <c r="AS4" i="42"/>
  <c r="AR4" i="42"/>
  <c r="AQ4" i="42"/>
  <c r="AP4" i="42"/>
  <c r="AO4" i="42"/>
  <c r="AN4" i="42"/>
  <c r="AM4" i="42"/>
  <c r="AL4" i="42"/>
  <c r="AK4" i="42"/>
  <c r="AJ4" i="42"/>
  <c r="AI4" i="42"/>
  <c r="AH4" i="42"/>
  <c r="AG4" i="42"/>
  <c r="AF4" i="42"/>
  <c r="AE4" i="42"/>
  <c r="AD4" i="42"/>
  <c r="AC4" i="42"/>
  <c r="AB4" i="42"/>
  <c r="AA4" i="42"/>
  <c r="Z4" i="42"/>
  <c r="Y4" i="42"/>
  <c r="X4" i="42"/>
  <c r="W4" i="42"/>
  <c r="V4" i="42"/>
  <c r="U4" i="42"/>
  <c r="T4" i="42"/>
  <c r="S4" i="42"/>
  <c r="R4" i="42"/>
  <c r="Q4" i="42"/>
  <c r="P4" i="42"/>
  <c r="O4" i="42"/>
  <c r="N4" i="42"/>
  <c r="M4" i="42"/>
  <c r="L4" i="42"/>
  <c r="K4" i="42"/>
  <c r="J4" i="42"/>
  <c r="I4" i="42"/>
  <c r="H4" i="42"/>
  <c r="BB3" i="42"/>
  <c r="BA3" i="42"/>
  <c r="AZ3" i="42"/>
  <c r="AY3" i="42"/>
  <c r="AX3" i="42"/>
  <c r="AW3" i="42"/>
  <c r="AW2" i="42" s="1"/>
  <c r="AV3" i="42"/>
  <c r="AU3" i="42"/>
  <c r="AT3" i="42"/>
  <c r="AS3" i="42"/>
  <c r="AR3" i="42"/>
  <c r="AQ3" i="42"/>
  <c r="AP3" i="42"/>
  <c r="AO3" i="42"/>
  <c r="AN3" i="42"/>
  <c r="AM3" i="42"/>
  <c r="AL3" i="42"/>
  <c r="AK3" i="42"/>
  <c r="AJ3" i="42"/>
  <c r="AI3" i="42"/>
  <c r="AH3" i="42"/>
  <c r="AG3" i="42"/>
  <c r="AF3" i="42"/>
  <c r="AE3" i="42"/>
  <c r="AD3" i="42"/>
  <c r="AC3" i="42"/>
  <c r="AB3" i="42"/>
  <c r="AA3" i="42"/>
  <c r="Z3" i="42"/>
  <c r="Y3" i="42"/>
  <c r="X3" i="42"/>
  <c r="W3" i="42"/>
  <c r="V3" i="42"/>
  <c r="U3" i="42"/>
  <c r="T3" i="42"/>
  <c r="S3" i="42"/>
  <c r="R3" i="42"/>
  <c r="Q3" i="42"/>
  <c r="P3" i="42"/>
  <c r="O3" i="42"/>
  <c r="N3" i="42"/>
  <c r="M3" i="42"/>
  <c r="L3" i="42"/>
  <c r="K3" i="42"/>
  <c r="J3" i="42"/>
  <c r="I3" i="42"/>
  <c r="H3" i="42"/>
  <c r="C21" i="41"/>
  <c r="BB9" i="41"/>
  <c r="BA9" i="41"/>
  <c r="AZ9" i="41"/>
  <c r="AY9" i="41"/>
  <c r="AX9" i="41"/>
  <c r="AW9" i="41"/>
  <c r="AV9" i="41"/>
  <c r="AU9" i="41"/>
  <c r="AT9" i="41"/>
  <c r="AS9" i="41"/>
  <c r="AR9" i="41"/>
  <c r="AQ9" i="41"/>
  <c r="AP9" i="41"/>
  <c r="AO9" i="41"/>
  <c r="AN9" i="41"/>
  <c r="AM9" i="41"/>
  <c r="AL9" i="41"/>
  <c r="AK9" i="41"/>
  <c r="AJ9" i="41"/>
  <c r="AI9" i="41"/>
  <c r="AH9" i="41"/>
  <c r="AG9" i="41"/>
  <c r="AF9" i="41"/>
  <c r="AE9" i="41"/>
  <c r="AD9" i="41"/>
  <c r="AC9" i="41"/>
  <c r="AB9" i="41"/>
  <c r="AA9" i="41"/>
  <c r="Z9" i="41"/>
  <c r="Y9" i="41"/>
  <c r="X9" i="41"/>
  <c r="W9" i="41"/>
  <c r="V9" i="41"/>
  <c r="U9" i="41"/>
  <c r="T9" i="41"/>
  <c r="S9" i="41"/>
  <c r="R9" i="41"/>
  <c r="Q9" i="41"/>
  <c r="P9" i="41"/>
  <c r="O9" i="41"/>
  <c r="N9" i="41"/>
  <c r="M9" i="41"/>
  <c r="L9" i="41"/>
  <c r="K9" i="41"/>
  <c r="J9" i="41"/>
  <c r="I9" i="41"/>
  <c r="H9" i="41"/>
  <c r="G9" i="41"/>
  <c r="BB8" i="41"/>
  <c r="BA8" i="41"/>
  <c r="AZ8" i="41"/>
  <c r="AY8" i="41"/>
  <c r="AX8" i="41"/>
  <c r="AW8" i="41"/>
  <c r="AV8" i="41"/>
  <c r="AU8" i="41"/>
  <c r="AT8" i="41"/>
  <c r="AS8" i="41"/>
  <c r="AR8" i="41"/>
  <c r="AQ8" i="41"/>
  <c r="AP8" i="41"/>
  <c r="AO8" i="41"/>
  <c r="AN8" i="41"/>
  <c r="AM8" i="41"/>
  <c r="AL8" i="41"/>
  <c r="AK8" i="41"/>
  <c r="AJ8" i="41"/>
  <c r="AI8" i="41"/>
  <c r="AH8" i="41"/>
  <c r="AG8" i="41"/>
  <c r="AF8" i="41"/>
  <c r="AE8" i="41"/>
  <c r="AD8" i="41"/>
  <c r="AC8" i="41"/>
  <c r="AB8" i="41"/>
  <c r="AA8" i="41"/>
  <c r="Z8" i="41"/>
  <c r="Y8" i="41"/>
  <c r="Y7" i="41" s="1"/>
  <c r="X8" i="41"/>
  <c r="W8" i="41"/>
  <c r="W7" i="41" s="1"/>
  <c r="V8" i="41"/>
  <c r="U8" i="41"/>
  <c r="U7" i="41" s="1"/>
  <c r="T8" i="41"/>
  <c r="T7" i="41" s="1"/>
  <c r="S8" i="41"/>
  <c r="S7" i="41" s="1"/>
  <c r="R8" i="41"/>
  <c r="R7" i="41" s="1"/>
  <c r="Q8" i="41"/>
  <c r="Q7" i="41" s="1"/>
  <c r="P8" i="41"/>
  <c r="O8" i="41"/>
  <c r="O7" i="41" s="1"/>
  <c r="N8" i="41"/>
  <c r="M8" i="41"/>
  <c r="L8" i="41"/>
  <c r="L7" i="41" s="1"/>
  <c r="K8" i="41"/>
  <c r="J8" i="41"/>
  <c r="J7" i="41" s="1"/>
  <c r="I8" i="41"/>
  <c r="I7" i="41" s="1"/>
  <c r="H8" i="41"/>
  <c r="G8" i="41"/>
  <c r="BB7" i="41"/>
  <c r="BA7" i="41"/>
  <c r="AZ7" i="41"/>
  <c r="AY7" i="41"/>
  <c r="AX7" i="41"/>
  <c r="AW7" i="41"/>
  <c r="AV7" i="41"/>
  <c r="AU7" i="41"/>
  <c r="AT7" i="41"/>
  <c r="AS7" i="41"/>
  <c r="AR7" i="41"/>
  <c r="AQ7" i="41"/>
  <c r="AP7" i="41"/>
  <c r="AO7" i="41"/>
  <c r="AN7" i="41"/>
  <c r="AM7" i="41"/>
  <c r="AL7" i="41"/>
  <c r="AK7" i="41"/>
  <c r="AJ7" i="41"/>
  <c r="AI7" i="41"/>
  <c r="AH7" i="41"/>
  <c r="AG7" i="41"/>
  <c r="AF7" i="41"/>
  <c r="AE7" i="41"/>
  <c r="AD7" i="41"/>
  <c r="AC7" i="41"/>
  <c r="AB7" i="41"/>
  <c r="AA7" i="41"/>
  <c r="X7" i="41"/>
  <c r="V7" i="41"/>
  <c r="P7" i="41"/>
  <c r="N7" i="41"/>
  <c r="M7" i="41"/>
  <c r="K7" i="41"/>
  <c r="H7" i="41"/>
  <c r="G7" i="41"/>
  <c r="C14" i="41"/>
  <c r="BB6" i="41"/>
  <c r="BA6" i="41"/>
  <c r="AZ6" i="41"/>
  <c r="AY6" i="41"/>
  <c r="AX6" i="41"/>
  <c r="AW6" i="41"/>
  <c r="AV6" i="41"/>
  <c r="AU6" i="41"/>
  <c r="AT6" i="41"/>
  <c r="AS6" i="41"/>
  <c r="AR6" i="41"/>
  <c r="AQ6" i="41"/>
  <c r="AP6" i="41"/>
  <c r="AO6" i="41"/>
  <c r="AN6" i="41"/>
  <c r="AM6" i="41"/>
  <c r="AL6" i="41"/>
  <c r="AK6" i="41"/>
  <c r="AJ6" i="41"/>
  <c r="AI6" i="41"/>
  <c r="AH6" i="41"/>
  <c r="AG6" i="41"/>
  <c r="AF6" i="41"/>
  <c r="AE6" i="41"/>
  <c r="AD6" i="41"/>
  <c r="AC6" i="41"/>
  <c r="AB6" i="41"/>
  <c r="AA6" i="41"/>
  <c r="Z6" i="41"/>
  <c r="Y6" i="41"/>
  <c r="X6" i="41"/>
  <c r="W6" i="41"/>
  <c r="V6" i="41"/>
  <c r="U6" i="41"/>
  <c r="T6" i="41"/>
  <c r="S6" i="41"/>
  <c r="R6" i="41"/>
  <c r="Q6" i="41"/>
  <c r="P6" i="41"/>
  <c r="O6" i="41"/>
  <c r="N6" i="41"/>
  <c r="M6" i="41"/>
  <c r="L6" i="41"/>
  <c r="K6" i="41"/>
  <c r="J6" i="41"/>
  <c r="I6" i="41"/>
  <c r="H6" i="41"/>
  <c r="G6" i="41"/>
  <c r="BB5" i="41"/>
  <c r="BA5" i="41"/>
  <c r="AZ5" i="41"/>
  <c r="AY5" i="41"/>
  <c r="AX5" i="41"/>
  <c r="AW5" i="41"/>
  <c r="AV5" i="41"/>
  <c r="AU5" i="41"/>
  <c r="AT5" i="41"/>
  <c r="AS5" i="41"/>
  <c r="AR5" i="41"/>
  <c r="AQ5" i="41"/>
  <c r="AP5" i="41"/>
  <c r="AO5" i="41"/>
  <c r="AN5" i="41"/>
  <c r="AM5" i="41"/>
  <c r="AL5" i="41"/>
  <c r="AK5" i="41"/>
  <c r="AJ5" i="41"/>
  <c r="AI5" i="41"/>
  <c r="AH5" i="41"/>
  <c r="AG5" i="41"/>
  <c r="AF5" i="41"/>
  <c r="AE5" i="41"/>
  <c r="AD5" i="41"/>
  <c r="AC5" i="41"/>
  <c r="AB5" i="41"/>
  <c r="AA5" i="41"/>
  <c r="Z5" i="41"/>
  <c r="Y5" i="41"/>
  <c r="X5" i="41"/>
  <c r="W5" i="41"/>
  <c r="V5" i="41"/>
  <c r="U5" i="41"/>
  <c r="T5" i="41"/>
  <c r="S5" i="41"/>
  <c r="R5" i="41"/>
  <c r="Q5" i="41"/>
  <c r="P5" i="41"/>
  <c r="O5" i="41"/>
  <c r="N5" i="41"/>
  <c r="M5" i="41"/>
  <c r="L5" i="41"/>
  <c r="K5" i="41"/>
  <c r="J5" i="41"/>
  <c r="I5" i="41"/>
  <c r="H5" i="41"/>
  <c r="G5" i="41"/>
  <c r="BB4" i="41"/>
  <c r="BA4" i="41"/>
  <c r="AZ4" i="41"/>
  <c r="AY4" i="41"/>
  <c r="AX4" i="41"/>
  <c r="AW4" i="41"/>
  <c r="AV4" i="41"/>
  <c r="AU4" i="41"/>
  <c r="AT4" i="41"/>
  <c r="AS4" i="41"/>
  <c r="AR4" i="41"/>
  <c r="AQ4" i="41"/>
  <c r="AP4" i="41"/>
  <c r="AO4" i="41"/>
  <c r="AN4" i="41"/>
  <c r="AM4" i="41"/>
  <c r="AL4" i="41"/>
  <c r="AK4" i="41"/>
  <c r="AJ4" i="41"/>
  <c r="AI4" i="41"/>
  <c r="AH4" i="41"/>
  <c r="AG4" i="41"/>
  <c r="AF4" i="41"/>
  <c r="AE4" i="41"/>
  <c r="AD4" i="41"/>
  <c r="AC4" i="41"/>
  <c r="AB4" i="41"/>
  <c r="AA4" i="41"/>
  <c r="Z4" i="41"/>
  <c r="Y4" i="41"/>
  <c r="X4" i="41"/>
  <c r="W4" i="41"/>
  <c r="V4" i="41"/>
  <c r="U4" i="41"/>
  <c r="T4" i="41"/>
  <c r="S4" i="41"/>
  <c r="R4" i="41"/>
  <c r="Q4" i="41"/>
  <c r="P4" i="41"/>
  <c r="O4" i="41"/>
  <c r="N4" i="41"/>
  <c r="M4" i="41"/>
  <c r="L4" i="41"/>
  <c r="K4" i="41"/>
  <c r="J4" i="41"/>
  <c r="I4" i="41"/>
  <c r="H4" i="41"/>
  <c r="G4" i="41"/>
  <c r="BB3" i="41"/>
  <c r="BA3" i="41"/>
  <c r="AZ3" i="41"/>
  <c r="AY3" i="41"/>
  <c r="AX3" i="41"/>
  <c r="AW3" i="41"/>
  <c r="AV3" i="41"/>
  <c r="AU3" i="41"/>
  <c r="AT3" i="41"/>
  <c r="AS3" i="41"/>
  <c r="AR3" i="41"/>
  <c r="AQ3" i="41"/>
  <c r="AP3" i="41"/>
  <c r="AO3" i="41"/>
  <c r="AN3" i="41"/>
  <c r="AM3" i="41"/>
  <c r="AL3" i="41"/>
  <c r="AK3" i="41"/>
  <c r="AJ3" i="41"/>
  <c r="AI3" i="41"/>
  <c r="AI2" i="41" s="1"/>
  <c r="AH3" i="41"/>
  <c r="AH2" i="41" s="1"/>
  <c r="AG3" i="41"/>
  <c r="AG2" i="41" s="1"/>
  <c r="AF3" i="41"/>
  <c r="AF2" i="41" s="1"/>
  <c r="AE3" i="41"/>
  <c r="AE2" i="41" s="1"/>
  <c r="AD3" i="41"/>
  <c r="AD2" i="41" s="1"/>
  <c r="AC3" i="41"/>
  <c r="AC2" i="41" s="1"/>
  <c r="AB3" i="41"/>
  <c r="AB2" i="41" s="1"/>
  <c r="AA3" i="41"/>
  <c r="Z3" i="41"/>
  <c r="Z2" i="41" s="1"/>
  <c r="Y3" i="41"/>
  <c r="Y2" i="41" s="1"/>
  <c r="X3" i="41"/>
  <c r="X2" i="41" s="1"/>
  <c r="W3" i="41"/>
  <c r="W2" i="41" s="1"/>
  <c r="V3" i="41"/>
  <c r="V2" i="41" s="1"/>
  <c r="U3" i="41"/>
  <c r="U2" i="41" s="1"/>
  <c r="T3" i="41"/>
  <c r="T2" i="41" s="1"/>
  <c r="S3" i="41"/>
  <c r="S2" i="41" s="1"/>
  <c r="R3" i="41"/>
  <c r="R2" i="41" s="1"/>
  <c r="Q3" i="41"/>
  <c r="Q2" i="41" s="1"/>
  <c r="P3" i="41"/>
  <c r="P2" i="41" s="1"/>
  <c r="O3" i="41"/>
  <c r="O2" i="41" s="1"/>
  <c r="N3" i="41"/>
  <c r="N2" i="41" s="1"/>
  <c r="M3" i="41"/>
  <c r="M2" i="41" s="1"/>
  <c r="L3" i="41"/>
  <c r="L2" i="41" s="1"/>
  <c r="K3" i="41"/>
  <c r="K2" i="41" s="1"/>
  <c r="J3" i="41"/>
  <c r="J2" i="41" s="1"/>
  <c r="I3" i="41"/>
  <c r="I2" i="41" s="1"/>
  <c r="H3" i="41"/>
  <c r="H2" i="41" s="1"/>
  <c r="G3" i="41"/>
  <c r="G2" i="41" s="1"/>
  <c r="BB2" i="41"/>
  <c r="BA2" i="41"/>
  <c r="AZ2" i="41"/>
  <c r="AY2" i="41"/>
  <c r="AX2" i="41"/>
  <c r="AW2" i="41"/>
  <c r="AV2" i="41"/>
  <c r="AU2" i="41"/>
  <c r="AT2" i="41"/>
  <c r="AS2" i="41"/>
  <c r="AR2" i="41"/>
  <c r="AQ2" i="41"/>
  <c r="AP2" i="41"/>
  <c r="AO2" i="41"/>
  <c r="AN2" i="41"/>
  <c r="AM2" i="41"/>
  <c r="AL2" i="41"/>
  <c r="AK2" i="41"/>
  <c r="AJ2" i="41"/>
  <c r="P7" i="43" l="1"/>
  <c r="X7" i="43"/>
  <c r="AF7" i="43"/>
  <c r="AN7" i="43"/>
  <c r="AV7" i="43"/>
  <c r="AP7" i="42"/>
  <c r="AX7" i="42"/>
  <c r="AG7" i="43"/>
  <c r="AO7" i="43"/>
  <c r="AO7" i="42"/>
  <c r="AD7" i="43"/>
  <c r="I7" i="42"/>
  <c r="N7" i="43"/>
  <c r="V7" i="43"/>
  <c r="AL7" i="43"/>
  <c r="AT7" i="43"/>
  <c r="BB7" i="43"/>
  <c r="W7" i="43"/>
  <c r="K7" i="42"/>
  <c r="S7" i="42"/>
  <c r="AA7" i="42"/>
  <c r="AI7" i="42"/>
  <c r="AQ7" i="42"/>
  <c r="AY7" i="42"/>
  <c r="Y7" i="43"/>
  <c r="X2" i="42"/>
  <c r="O7" i="42"/>
  <c r="W7" i="42"/>
  <c r="AE7" i="42"/>
  <c r="AM7" i="42"/>
  <c r="AU7" i="42"/>
  <c r="M7" i="43"/>
  <c r="U7" i="43"/>
  <c r="AC7" i="43"/>
  <c r="AK7" i="43"/>
  <c r="K2" i="43"/>
  <c r="L2" i="43"/>
  <c r="L7" i="42"/>
  <c r="T7" i="42"/>
  <c r="AB7" i="42"/>
  <c r="AJ7" i="42"/>
  <c r="AR7" i="42"/>
  <c r="AZ7" i="42"/>
  <c r="J7" i="43"/>
  <c r="Z7" i="43"/>
  <c r="AH7" i="43"/>
  <c r="AP7" i="43"/>
  <c r="AX7" i="43"/>
  <c r="K7" i="43"/>
  <c r="S7" i="43"/>
  <c r="AA7" i="43"/>
  <c r="AI7" i="43"/>
  <c r="AQ7" i="43"/>
  <c r="AY7" i="43"/>
  <c r="M2" i="43"/>
  <c r="BA2" i="43"/>
  <c r="N7" i="42"/>
  <c r="V7" i="42"/>
  <c r="BB7" i="42"/>
  <c r="L7" i="43"/>
  <c r="T7" i="43"/>
  <c r="AB7" i="43"/>
  <c r="AJ7" i="43"/>
  <c r="AR7" i="43"/>
  <c r="AZ7" i="43"/>
  <c r="AS7" i="43"/>
  <c r="BA7" i="43"/>
  <c r="U2" i="43"/>
  <c r="AY2" i="42"/>
  <c r="AK2" i="43"/>
  <c r="AE7" i="43"/>
  <c r="BC7" i="43"/>
  <c r="Z7" i="41"/>
  <c r="AQ2" i="42"/>
  <c r="AC2" i="43"/>
  <c r="AY2" i="43"/>
  <c r="AR2" i="43"/>
  <c r="AZ2" i="43"/>
  <c r="Q7" i="42"/>
  <c r="Y7" i="42"/>
  <c r="AG7" i="42"/>
  <c r="AW7" i="42"/>
  <c r="AA2" i="43"/>
  <c r="AI2" i="43"/>
  <c r="AJ2" i="43"/>
  <c r="AA2" i="41"/>
  <c r="AB2" i="43"/>
  <c r="H2" i="42"/>
  <c r="Y2" i="42"/>
  <c r="N2" i="43"/>
  <c r="V2" i="43"/>
  <c r="AD2" i="43"/>
  <c r="AL2" i="43"/>
  <c r="AT2" i="43"/>
  <c r="BB2" i="43"/>
  <c r="AP2" i="43"/>
  <c r="AX2" i="43"/>
  <c r="J2" i="42"/>
  <c r="R2" i="42"/>
  <c r="Z2" i="42"/>
  <c r="AH2" i="42"/>
  <c r="AP2" i="42"/>
  <c r="AX2" i="42"/>
  <c r="AR2" i="42"/>
  <c r="AZ2" i="42"/>
  <c r="O7" i="43"/>
  <c r="AU7" i="43"/>
  <c r="AQ2" i="43"/>
  <c r="AV7" i="42"/>
  <c r="AT2" i="42"/>
  <c r="AM2" i="42"/>
  <c r="P2" i="42"/>
  <c r="AN2" i="42"/>
  <c r="AV2" i="42"/>
  <c r="Q2" i="42"/>
  <c r="AG2" i="42"/>
  <c r="AO2" i="42"/>
  <c r="T2" i="43"/>
  <c r="AE2" i="42"/>
  <c r="AV2" i="43"/>
  <c r="M7" i="42"/>
  <c r="U7" i="42"/>
  <c r="AC7" i="42"/>
  <c r="AK7" i="42"/>
  <c r="AS7" i="42"/>
  <c r="BA7" i="42"/>
  <c r="AF2" i="42"/>
  <c r="I2" i="42"/>
  <c r="S2" i="43"/>
  <c r="K2" i="42"/>
  <c r="S2" i="42"/>
  <c r="AA2" i="42"/>
  <c r="AI2" i="42"/>
  <c r="AL2" i="42"/>
  <c r="BB2" i="42"/>
  <c r="O2" i="42"/>
  <c r="W2" i="42"/>
  <c r="AU2" i="42"/>
  <c r="O2" i="43"/>
  <c r="W2" i="43"/>
  <c r="AE2" i="43"/>
  <c r="AM2" i="43"/>
  <c r="AU2" i="43"/>
  <c r="BC2" i="43"/>
  <c r="P2" i="43"/>
  <c r="X2" i="43"/>
  <c r="AF2" i="43"/>
  <c r="AN2" i="43"/>
  <c r="M2" i="42"/>
  <c r="U2" i="42"/>
  <c r="AC2" i="42"/>
  <c r="AK2" i="42"/>
  <c r="AS2" i="42"/>
  <c r="BA2" i="42"/>
  <c r="N2" i="42"/>
  <c r="V2" i="42"/>
  <c r="AD2" i="42"/>
  <c r="I2" i="43"/>
  <c r="Q2" i="43"/>
  <c r="Y2" i="43"/>
  <c r="AG2" i="43"/>
  <c r="AO2" i="43"/>
  <c r="AW2" i="43"/>
  <c r="J2" i="43"/>
  <c r="R2" i="43"/>
  <c r="Z2" i="43"/>
  <c r="AH2" i="43"/>
  <c r="L2" i="42"/>
  <c r="T2" i="42"/>
  <c r="AB2" i="42"/>
  <c r="AJ2" i="42"/>
  <c r="AD7" i="42"/>
  <c r="AL7" i="42"/>
  <c r="AT7" i="42"/>
  <c r="BB21" i="43"/>
  <c r="BA21" i="43"/>
  <c r="AZ21" i="43"/>
  <c r="AY21" i="43"/>
  <c r="H21" i="43"/>
  <c r="G21" i="43"/>
  <c r="F21" i="43"/>
  <c r="E21" i="43"/>
  <c r="BB21" i="42"/>
  <c r="BA21" i="42"/>
  <c r="AZ21" i="42"/>
  <c r="AY21" i="42"/>
  <c r="G21" i="42"/>
  <c r="F21" i="42"/>
  <c r="E21" i="42"/>
  <c r="E21" i="41"/>
  <c r="F21" i="41"/>
  <c r="AY21" i="41"/>
  <c r="AZ21" i="41"/>
  <c r="BA21" i="41"/>
  <c r="BB21" i="41"/>
  <c r="H14" i="43"/>
  <c r="I10" i="43" l="1"/>
  <c r="J10" i="43"/>
  <c r="K10" i="43" l="1"/>
  <c r="L10" i="43" l="1"/>
  <c r="M10" i="43"/>
  <c r="N10" i="43" l="1"/>
  <c r="O10" i="43" l="1"/>
  <c r="P10" i="43" l="1"/>
  <c r="Q10" i="43" l="1"/>
  <c r="R10" i="43" l="1"/>
  <c r="S10" i="43" l="1"/>
  <c r="T10" i="43"/>
  <c r="U10" i="43" l="1"/>
  <c r="V10" i="43" l="1"/>
  <c r="W10" i="43" l="1"/>
  <c r="X10" i="43" l="1"/>
  <c r="Y10" i="43" l="1"/>
  <c r="Z10" i="43"/>
  <c r="AA10" i="43" l="1"/>
  <c r="AB10" i="43" l="1"/>
  <c r="AC10" i="43" l="1"/>
  <c r="AD10" i="43" l="1"/>
  <c r="AE10" i="43" l="1"/>
  <c r="AF10" i="43"/>
  <c r="AG10" i="43" l="1"/>
  <c r="AH10" i="43" l="1"/>
  <c r="AI10" i="43"/>
  <c r="AL10" i="43" l="1"/>
  <c r="AJ10" i="43"/>
  <c r="AK10" i="43" l="1"/>
  <c r="C16" i="20" l="1"/>
  <c r="B16" i="20"/>
  <c r="C16" i="21"/>
  <c r="B16" i="21"/>
  <c r="C16" i="48"/>
  <c r="B16" i="48"/>
  <c r="C16" i="19"/>
  <c r="B16" i="19"/>
  <c r="B14" i="40"/>
  <c r="F10" i="40"/>
  <c r="G10" i="40"/>
  <c r="BB10" i="40"/>
  <c r="AW10" i="40"/>
  <c r="AU10" i="40"/>
  <c r="AT10" i="40"/>
  <c r="AO10" i="40"/>
  <c r="AM10" i="40"/>
  <c r="AL10" i="40"/>
  <c r="AK10" i="40"/>
  <c r="AG10" i="40"/>
  <c r="AE10" i="40"/>
  <c r="AD10" i="40"/>
  <c r="V10" i="40"/>
  <c r="Q10" i="40"/>
  <c r="N10" i="40"/>
  <c r="I10" i="40"/>
  <c r="BA10" i="40"/>
  <c r="AV10" i="40"/>
  <c r="AS10" i="40"/>
  <c r="AN10" i="40"/>
  <c r="AF10" i="40"/>
  <c r="AC10" i="40"/>
  <c r="H10" i="40"/>
  <c r="AJ10" i="40" l="1"/>
  <c r="AR10" i="40"/>
  <c r="AZ10" i="40"/>
  <c r="M10" i="40"/>
  <c r="L10" i="40"/>
  <c r="T10" i="40"/>
  <c r="R10" i="40"/>
  <c r="U10" i="40"/>
  <c r="W10" i="40"/>
  <c r="O10" i="40"/>
  <c r="P10" i="40"/>
  <c r="Y10" i="40"/>
  <c r="X10" i="40"/>
  <c r="K10" i="40"/>
  <c r="S10" i="40"/>
  <c r="AA10" i="40"/>
  <c r="AI10" i="40"/>
  <c r="AQ10" i="40"/>
  <c r="AY10" i="40"/>
  <c r="AP10" i="40"/>
  <c r="J10" i="40"/>
  <c r="Z10" i="40"/>
  <c r="AX10" i="40"/>
  <c r="AH10" i="40"/>
  <c r="AB10" i="4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B24" i="20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B23" i="20"/>
  <c r="AI21" i="20"/>
  <c r="AH21" i="20"/>
  <c r="AG21" i="20"/>
  <c r="AF21" i="20"/>
  <c r="AE21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21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22" i="20"/>
  <c r="AI19" i="20"/>
  <c r="AH19" i="20"/>
  <c r="AG19" i="20"/>
  <c r="AF19" i="20"/>
  <c r="AE19" i="20"/>
  <c r="AD19" i="20"/>
  <c r="AC19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B19" i="20"/>
  <c r="AI18" i="20"/>
  <c r="AH18" i="20"/>
  <c r="AG18" i="20"/>
  <c r="AF18" i="20"/>
  <c r="AE18" i="20"/>
  <c r="AD18" i="20"/>
  <c r="AC18" i="20"/>
  <c r="AB18" i="20"/>
  <c r="AA18" i="20"/>
  <c r="Z18" i="20"/>
  <c r="Y18" i="20"/>
  <c r="X18" i="20"/>
  <c r="W18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B18" i="20"/>
  <c r="AI11" i="20"/>
  <c r="AH11" i="20"/>
  <c r="AG11" i="20"/>
  <c r="AF11" i="20"/>
  <c r="AE11" i="20"/>
  <c r="AD11" i="20"/>
  <c r="AC11" i="20"/>
  <c r="AB11" i="20"/>
  <c r="AA11" i="20"/>
  <c r="Z11" i="20"/>
  <c r="Y11" i="20"/>
  <c r="X11" i="20"/>
  <c r="W11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B11" i="20"/>
  <c r="AI10" i="20"/>
  <c r="AH10" i="20"/>
  <c r="AG10" i="20"/>
  <c r="AF10" i="20"/>
  <c r="AE10" i="20"/>
  <c r="AD10" i="20"/>
  <c r="AC10" i="20"/>
  <c r="AB10" i="20"/>
  <c r="AA10" i="20"/>
  <c r="Z10" i="20"/>
  <c r="Y10" i="20"/>
  <c r="X10" i="20"/>
  <c r="W10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B10" i="20"/>
  <c r="AI8" i="20"/>
  <c r="AH8" i="20"/>
  <c r="AG8" i="20"/>
  <c r="AF8" i="20"/>
  <c r="AE8" i="20"/>
  <c r="AD8" i="20"/>
  <c r="AC8" i="20"/>
  <c r="AB8" i="20"/>
  <c r="AA8" i="20"/>
  <c r="Z8" i="20"/>
  <c r="Y8" i="20"/>
  <c r="X8" i="20"/>
  <c r="W8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B8" i="20"/>
  <c r="AI9" i="20"/>
  <c r="AH9" i="20"/>
  <c r="AG9" i="20"/>
  <c r="AF9" i="20"/>
  <c r="AE9" i="20"/>
  <c r="AD9" i="20"/>
  <c r="AC9" i="20"/>
  <c r="AB9" i="20"/>
  <c r="AA9" i="20"/>
  <c r="Z9" i="20"/>
  <c r="Y9" i="20"/>
  <c r="X9" i="20"/>
  <c r="W9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B9" i="20"/>
  <c r="AI6" i="20"/>
  <c r="AH6" i="20"/>
  <c r="AG6" i="20"/>
  <c r="AF6" i="20"/>
  <c r="AE6" i="20"/>
  <c r="AD6" i="20"/>
  <c r="AC6" i="20"/>
  <c r="AB6" i="20"/>
  <c r="AA6" i="20"/>
  <c r="Z6" i="20"/>
  <c r="Y6" i="20"/>
  <c r="X6" i="20"/>
  <c r="W6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B6" i="20"/>
  <c r="AI5" i="20"/>
  <c r="AH5" i="20"/>
  <c r="AG5" i="20"/>
  <c r="AF5" i="20"/>
  <c r="AE5" i="20"/>
  <c r="AD5" i="20"/>
  <c r="AC5" i="20"/>
  <c r="AB5" i="20"/>
  <c r="AA5" i="20"/>
  <c r="Z5" i="20"/>
  <c r="Y5" i="20"/>
  <c r="X5" i="20"/>
  <c r="W5" i="20"/>
  <c r="V5" i="20"/>
  <c r="U5" i="20"/>
  <c r="T5" i="20"/>
  <c r="S5" i="20"/>
  <c r="R5" i="20"/>
  <c r="Q5" i="20"/>
  <c r="P5" i="20"/>
  <c r="O5" i="20"/>
  <c r="N5" i="20"/>
  <c r="M5" i="20"/>
  <c r="L5" i="20"/>
  <c r="K5" i="20"/>
  <c r="J5" i="20"/>
  <c r="I5" i="20"/>
  <c r="H5" i="20"/>
  <c r="G5" i="20"/>
  <c r="F5" i="20"/>
  <c r="E5" i="20"/>
  <c r="D5" i="20"/>
  <c r="C5" i="20"/>
  <c r="B5" i="20"/>
  <c r="AI11" i="21"/>
  <c r="AH11" i="21"/>
  <c r="AG11" i="21"/>
  <c r="AF11" i="21"/>
  <c r="AE11" i="21"/>
  <c r="AD11" i="21"/>
  <c r="AC11" i="21"/>
  <c r="AB11" i="21"/>
  <c r="AA11" i="21"/>
  <c r="Z11" i="21"/>
  <c r="Y11" i="21"/>
  <c r="X11" i="21"/>
  <c r="W11" i="21"/>
  <c r="V11" i="21"/>
  <c r="U11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AI10" i="21"/>
  <c r="AH10" i="21"/>
  <c r="AG10" i="21"/>
  <c r="AF10" i="21"/>
  <c r="AE10" i="21"/>
  <c r="AD10" i="21"/>
  <c r="AC10" i="21"/>
  <c r="AB10" i="21"/>
  <c r="AA10" i="21"/>
  <c r="Z10" i="21"/>
  <c r="Y10" i="21"/>
  <c r="X10" i="21"/>
  <c r="W10" i="21"/>
  <c r="V10" i="21"/>
  <c r="U10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B10" i="21"/>
  <c r="AI8" i="21"/>
  <c r="AH8" i="21"/>
  <c r="AG8" i="21"/>
  <c r="AF8" i="21"/>
  <c r="AE8" i="21"/>
  <c r="AD8" i="21"/>
  <c r="AC8" i="21"/>
  <c r="AB8" i="21"/>
  <c r="AA8" i="21"/>
  <c r="Z8" i="21"/>
  <c r="Y8" i="21"/>
  <c r="X8" i="21"/>
  <c r="W8" i="21"/>
  <c r="V8" i="21"/>
  <c r="U8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D8" i="21"/>
  <c r="C8" i="21"/>
  <c r="B8" i="21"/>
  <c r="AI9" i="21"/>
  <c r="AH9" i="21"/>
  <c r="AG9" i="21"/>
  <c r="AF9" i="21"/>
  <c r="AE9" i="21"/>
  <c r="AD9" i="21"/>
  <c r="AC9" i="21"/>
  <c r="AB9" i="21"/>
  <c r="AA9" i="21"/>
  <c r="Z9" i="21"/>
  <c r="Y9" i="21"/>
  <c r="X9" i="21"/>
  <c r="W9" i="21"/>
  <c r="V9" i="21"/>
  <c r="U9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/>
  <c r="C9" i="21"/>
  <c r="B9" i="21"/>
  <c r="AI6" i="21"/>
  <c r="AH6" i="21"/>
  <c r="AG6" i="21"/>
  <c r="AF6" i="21"/>
  <c r="AE6" i="21"/>
  <c r="AD6" i="21"/>
  <c r="AC6" i="21"/>
  <c r="AB6" i="21"/>
  <c r="AA6" i="21"/>
  <c r="Z6" i="21"/>
  <c r="Y6" i="21"/>
  <c r="X6" i="21"/>
  <c r="W6" i="21"/>
  <c r="V6" i="21"/>
  <c r="U6" i="21"/>
  <c r="T6" i="21"/>
  <c r="S6" i="21"/>
  <c r="R6" i="21"/>
  <c r="Q6" i="21"/>
  <c r="P6" i="21"/>
  <c r="O6" i="21"/>
  <c r="N6" i="21"/>
  <c r="M6" i="21"/>
  <c r="L6" i="21"/>
  <c r="K6" i="21"/>
  <c r="J6" i="21"/>
  <c r="I6" i="21"/>
  <c r="H6" i="21"/>
  <c r="G6" i="21"/>
  <c r="F6" i="21"/>
  <c r="E6" i="21"/>
  <c r="D6" i="21"/>
  <c r="C6" i="21"/>
  <c r="B6" i="21"/>
  <c r="AI5" i="21"/>
  <c r="AH5" i="21"/>
  <c r="AG5" i="21"/>
  <c r="AF5" i="21"/>
  <c r="AE5" i="21"/>
  <c r="AD5" i="21"/>
  <c r="AC5" i="21"/>
  <c r="AB5" i="21"/>
  <c r="AA5" i="21"/>
  <c r="Z5" i="21"/>
  <c r="Y5" i="21"/>
  <c r="X5" i="21"/>
  <c r="W5" i="21"/>
  <c r="V5" i="21"/>
  <c r="U5" i="21"/>
  <c r="T5" i="21"/>
  <c r="S5" i="21"/>
  <c r="R5" i="21"/>
  <c r="Q5" i="21"/>
  <c r="P5" i="21"/>
  <c r="O5" i="21"/>
  <c r="N5" i="21"/>
  <c r="M5" i="21"/>
  <c r="L5" i="21"/>
  <c r="K5" i="21"/>
  <c r="J5" i="21"/>
  <c r="I5" i="21"/>
  <c r="H5" i="21"/>
  <c r="G5" i="21"/>
  <c r="F5" i="21"/>
  <c r="E5" i="21"/>
  <c r="D5" i="21"/>
  <c r="C5" i="21"/>
  <c r="B5" i="21"/>
  <c r="AI24" i="21"/>
  <c r="AH24" i="21"/>
  <c r="AG24" i="21"/>
  <c r="AF24" i="21"/>
  <c r="AE24" i="21"/>
  <c r="AD24" i="21"/>
  <c r="AC24" i="21"/>
  <c r="AB24" i="21"/>
  <c r="AA24" i="21"/>
  <c r="Z24" i="21"/>
  <c r="Y24" i="21"/>
  <c r="X24" i="21"/>
  <c r="W24" i="21"/>
  <c r="V24" i="21"/>
  <c r="U24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AI23" i="21"/>
  <c r="AH23" i="21"/>
  <c r="AG23" i="21"/>
  <c r="AF23" i="21"/>
  <c r="AE23" i="21"/>
  <c r="AD23" i="21"/>
  <c r="AC23" i="21"/>
  <c r="AB23" i="21"/>
  <c r="AA23" i="21"/>
  <c r="Z23" i="21"/>
  <c r="Y23" i="21"/>
  <c r="X23" i="21"/>
  <c r="W23" i="21"/>
  <c r="V23" i="21"/>
  <c r="U23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AI21" i="21"/>
  <c r="AH21" i="21"/>
  <c r="AG21" i="21"/>
  <c r="AF21" i="21"/>
  <c r="AE21" i="21"/>
  <c r="AD21" i="21"/>
  <c r="AC21" i="21"/>
  <c r="AB21" i="21"/>
  <c r="AA21" i="21"/>
  <c r="Z21" i="21"/>
  <c r="Y21" i="21"/>
  <c r="X21" i="21"/>
  <c r="W21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AI22" i="21"/>
  <c r="AH22" i="21"/>
  <c r="AG22" i="21"/>
  <c r="AF22" i="21"/>
  <c r="AE22" i="21"/>
  <c r="AD22" i="21"/>
  <c r="AC22" i="21"/>
  <c r="AB22" i="21"/>
  <c r="AA22" i="21"/>
  <c r="Z22" i="21"/>
  <c r="Y22" i="21"/>
  <c r="X22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AI19" i="21"/>
  <c r="AH19" i="21"/>
  <c r="AG19" i="21"/>
  <c r="AF19" i="21"/>
  <c r="AE19" i="21"/>
  <c r="AD19" i="21"/>
  <c r="AC19" i="21"/>
  <c r="AB19" i="21"/>
  <c r="AA19" i="21"/>
  <c r="Z19" i="21"/>
  <c r="Y19" i="21"/>
  <c r="X19" i="21"/>
  <c r="W19" i="21"/>
  <c r="V19" i="21"/>
  <c r="U19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AI18" i="21"/>
  <c r="AH18" i="21"/>
  <c r="AG18" i="21"/>
  <c r="AF18" i="21"/>
  <c r="AE18" i="21"/>
  <c r="AD18" i="21"/>
  <c r="AC18" i="21"/>
  <c r="AB18" i="21"/>
  <c r="AA18" i="21"/>
  <c r="Z18" i="21"/>
  <c r="Y18" i="21"/>
  <c r="X18" i="21"/>
  <c r="W18" i="21"/>
  <c r="V18" i="21"/>
  <c r="U18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AI24" i="19"/>
  <c r="AH24" i="19"/>
  <c r="AG24" i="19"/>
  <c r="AF24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B24" i="19"/>
  <c r="AI23" i="19"/>
  <c r="AH23" i="19"/>
  <c r="AG23" i="19"/>
  <c r="AF23" i="19"/>
  <c r="AE23" i="19"/>
  <c r="AD23" i="19"/>
  <c r="AC23" i="19"/>
  <c r="AB23" i="19"/>
  <c r="AA23" i="19"/>
  <c r="Z23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AI21" i="19"/>
  <c r="AH21" i="19"/>
  <c r="AG21" i="19"/>
  <c r="AF21" i="19"/>
  <c r="AE21" i="19"/>
  <c r="AD21" i="19"/>
  <c r="AC21" i="19"/>
  <c r="AB21" i="19"/>
  <c r="AA21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B21" i="19"/>
  <c r="AI22" i="19"/>
  <c r="AH22" i="19"/>
  <c r="AG22" i="19"/>
  <c r="AF22" i="19"/>
  <c r="AE22" i="19"/>
  <c r="AD22" i="19"/>
  <c r="AC22" i="19"/>
  <c r="AB22" i="19"/>
  <c r="AA22" i="19"/>
  <c r="Z22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B22" i="19"/>
  <c r="AI19" i="19"/>
  <c r="AH19" i="19"/>
  <c r="AG19" i="19"/>
  <c r="AF19" i="19"/>
  <c r="AE19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B19" i="19"/>
  <c r="AI18" i="19"/>
  <c r="AH18" i="19"/>
  <c r="AG18" i="19"/>
  <c r="AF18" i="19"/>
  <c r="AE18" i="19"/>
  <c r="AD18" i="19"/>
  <c r="AC18" i="19"/>
  <c r="AB18" i="19"/>
  <c r="AA18" i="19"/>
  <c r="Z18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B18" i="19"/>
  <c r="AI11" i="19"/>
  <c r="AH11" i="19"/>
  <c r="AG11" i="19"/>
  <c r="AF11" i="19"/>
  <c r="AE11" i="19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B11" i="19"/>
  <c r="AI10" i="19"/>
  <c r="AH10" i="19"/>
  <c r="AG10" i="19"/>
  <c r="AF10" i="19"/>
  <c r="AE10" i="19"/>
  <c r="AD10" i="19"/>
  <c r="AC10" i="19"/>
  <c r="AB10" i="19"/>
  <c r="AA10" i="19"/>
  <c r="Z10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B10" i="19"/>
  <c r="AI8" i="19"/>
  <c r="AH8" i="19"/>
  <c r="AG8" i="19"/>
  <c r="AF8" i="19"/>
  <c r="AE8" i="19"/>
  <c r="AD8" i="19"/>
  <c r="AC8" i="19"/>
  <c r="AB8" i="19"/>
  <c r="AA8" i="19"/>
  <c r="Z8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B8" i="19"/>
  <c r="AI9" i="19"/>
  <c r="AH9" i="19"/>
  <c r="AG9" i="19"/>
  <c r="AF9" i="19"/>
  <c r="AE9" i="19"/>
  <c r="AD9" i="19"/>
  <c r="AC9" i="19"/>
  <c r="AB9" i="19"/>
  <c r="AA9" i="19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B9" i="19"/>
  <c r="AI6" i="19"/>
  <c r="AH6" i="19"/>
  <c r="AG6" i="19"/>
  <c r="AF6" i="19"/>
  <c r="AE6" i="19"/>
  <c r="AD6" i="19"/>
  <c r="AC6" i="19"/>
  <c r="AB6" i="19"/>
  <c r="AA6" i="19"/>
  <c r="Z6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B6" i="19"/>
  <c r="AI5" i="19"/>
  <c r="AH5" i="19"/>
  <c r="AG5" i="19"/>
  <c r="AF5" i="19"/>
  <c r="AE5" i="19"/>
  <c r="AD5" i="19"/>
  <c r="AC5" i="19"/>
  <c r="AB5" i="19"/>
  <c r="AA5" i="19"/>
  <c r="Z5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K5" i="19"/>
  <c r="J5" i="19"/>
  <c r="I5" i="19"/>
  <c r="H5" i="19"/>
  <c r="G5" i="19"/>
  <c r="F5" i="19"/>
  <c r="E5" i="19"/>
  <c r="D5" i="19"/>
  <c r="C5" i="19"/>
  <c r="B5" i="19"/>
  <c r="AI24" i="48"/>
  <c r="AH24" i="48"/>
  <c r="AG24" i="48"/>
  <c r="AF24" i="48"/>
  <c r="AE24" i="48"/>
  <c r="AD24" i="48"/>
  <c r="AC24" i="48"/>
  <c r="AB24" i="48"/>
  <c r="AA24" i="48"/>
  <c r="Z24" i="48"/>
  <c r="Y24" i="48"/>
  <c r="X24" i="48"/>
  <c r="W24" i="48"/>
  <c r="V24" i="48"/>
  <c r="U24" i="48"/>
  <c r="T24" i="48"/>
  <c r="S24" i="48"/>
  <c r="R24" i="48"/>
  <c r="Q24" i="48"/>
  <c r="P24" i="48"/>
  <c r="O24" i="48"/>
  <c r="N24" i="48"/>
  <c r="M24" i="48"/>
  <c r="L24" i="48"/>
  <c r="K24" i="48"/>
  <c r="J24" i="48"/>
  <c r="I24" i="48"/>
  <c r="H24" i="48"/>
  <c r="G24" i="48"/>
  <c r="F24" i="48"/>
  <c r="E24" i="48"/>
  <c r="D24" i="48"/>
  <c r="C24" i="48"/>
  <c r="B24" i="48"/>
  <c r="AI23" i="48"/>
  <c r="AH23" i="48"/>
  <c r="AG23" i="48"/>
  <c r="AF23" i="48"/>
  <c r="AE23" i="48"/>
  <c r="AD23" i="48"/>
  <c r="AC23" i="48"/>
  <c r="AB23" i="48"/>
  <c r="AA23" i="48"/>
  <c r="Z23" i="48"/>
  <c r="Y23" i="48"/>
  <c r="X23" i="48"/>
  <c r="W23" i="48"/>
  <c r="V23" i="48"/>
  <c r="U23" i="48"/>
  <c r="T23" i="48"/>
  <c r="S23" i="48"/>
  <c r="R23" i="48"/>
  <c r="Q23" i="48"/>
  <c r="P23" i="48"/>
  <c r="O23" i="48"/>
  <c r="N23" i="48"/>
  <c r="M23" i="48"/>
  <c r="L23" i="48"/>
  <c r="K23" i="48"/>
  <c r="J23" i="48"/>
  <c r="I23" i="48"/>
  <c r="H23" i="48"/>
  <c r="G23" i="48"/>
  <c r="F23" i="48"/>
  <c r="E23" i="48"/>
  <c r="D23" i="48"/>
  <c r="C23" i="48"/>
  <c r="B23" i="48"/>
  <c r="AI21" i="48"/>
  <c r="AH21" i="48"/>
  <c r="AG21" i="48"/>
  <c r="AF21" i="48"/>
  <c r="AE21" i="48"/>
  <c r="AD21" i="48"/>
  <c r="AC21" i="48"/>
  <c r="AB21" i="48"/>
  <c r="AA21" i="48"/>
  <c r="Z21" i="48"/>
  <c r="Y21" i="48"/>
  <c r="X21" i="48"/>
  <c r="W21" i="48"/>
  <c r="V21" i="48"/>
  <c r="U21" i="48"/>
  <c r="T21" i="48"/>
  <c r="S21" i="48"/>
  <c r="R21" i="48"/>
  <c r="Q21" i="48"/>
  <c r="P21" i="48"/>
  <c r="O21" i="48"/>
  <c r="N21" i="48"/>
  <c r="M21" i="48"/>
  <c r="L21" i="48"/>
  <c r="K21" i="48"/>
  <c r="J21" i="48"/>
  <c r="I21" i="48"/>
  <c r="H21" i="48"/>
  <c r="G21" i="48"/>
  <c r="F21" i="48"/>
  <c r="E21" i="48"/>
  <c r="D21" i="48"/>
  <c r="C21" i="48"/>
  <c r="B21" i="48"/>
  <c r="AI22" i="48"/>
  <c r="AH22" i="48"/>
  <c r="AG22" i="48"/>
  <c r="AF22" i="48"/>
  <c r="AE22" i="48"/>
  <c r="AD22" i="48"/>
  <c r="AC22" i="48"/>
  <c r="AB22" i="48"/>
  <c r="AA22" i="48"/>
  <c r="Z22" i="48"/>
  <c r="Y22" i="48"/>
  <c r="X22" i="48"/>
  <c r="W22" i="48"/>
  <c r="V22" i="48"/>
  <c r="U22" i="48"/>
  <c r="T22" i="48"/>
  <c r="S22" i="48"/>
  <c r="R22" i="48"/>
  <c r="Q22" i="48"/>
  <c r="P22" i="48"/>
  <c r="O22" i="48"/>
  <c r="N22" i="48"/>
  <c r="M22" i="48"/>
  <c r="L22" i="48"/>
  <c r="K22" i="48"/>
  <c r="J22" i="48"/>
  <c r="I22" i="48"/>
  <c r="H22" i="48"/>
  <c r="G22" i="48"/>
  <c r="F22" i="48"/>
  <c r="E22" i="48"/>
  <c r="D22" i="48"/>
  <c r="C22" i="48"/>
  <c r="B22" i="48"/>
  <c r="AI19" i="48"/>
  <c r="AH19" i="48"/>
  <c r="AG19" i="48"/>
  <c r="AF19" i="48"/>
  <c r="AE19" i="48"/>
  <c r="AD19" i="48"/>
  <c r="AC19" i="48"/>
  <c r="AB19" i="48"/>
  <c r="AA19" i="48"/>
  <c r="Z19" i="48"/>
  <c r="Y19" i="48"/>
  <c r="X19" i="48"/>
  <c r="W19" i="48"/>
  <c r="V19" i="48"/>
  <c r="U19" i="48"/>
  <c r="T19" i="48"/>
  <c r="S19" i="48"/>
  <c r="R19" i="48"/>
  <c r="Q19" i="48"/>
  <c r="P19" i="48"/>
  <c r="O19" i="48"/>
  <c r="N19" i="48"/>
  <c r="M19" i="48"/>
  <c r="L19" i="48"/>
  <c r="K19" i="48"/>
  <c r="J19" i="48"/>
  <c r="I19" i="48"/>
  <c r="H19" i="48"/>
  <c r="G19" i="48"/>
  <c r="F19" i="48"/>
  <c r="E19" i="48"/>
  <c r="D19" i="48"/>
  <c r="C19" i="48"/>
  <c r="B19" i="48"/>
  <c r="AI18" i="48"/>
  <c r="AH18" i="48"/>
  <c r="AG18" i="48"/>
  <c r="AF18" i="48"/>
  <c r="AE18" i="48"/>
  <c r="AD18" i="48"/>
  <c r="AC18" i="48"/>
  <c r="AB18" i="48"/>
  <c r="AA18" i="48"/>
  <c r="Z18" i="48"/>
  <c r="Y18" i="48"/>
  <c r="X18" i="48"/>
  <c r="W18" i="48"/>
  <c r="V18" i="48"/>
  <c r="U18" i="48"/>
  <c r="T18" i="48"/>
  <c r="S18" i="48"/>
  <c r="R18" i="48"/>
  <c r="Q18" i="48"/>
  <c r="P18" i="48"/>
  <c r="O18" i="48"/>
  <c r="N18" i="48"/>
  <c r="M18" i="48"/>
  <c r="L18" i="48"/>
  <c r="K18" i="48"/>
  <c r="J18" i="48"/>
  <c r="I18" i="48"/>
  <c r="H18" i="48"/>
  <c r="G18" i="48"/>
  <c r="F18" i="48"/>
  <c r="E18" i="48"/>
  <c r="D18" i="48"/>
  <c r="C18" i="48"/>
  <c r="B18" i="48"/>
  <c r="AI11" i="48"/>
  <c r="AH11" i="48"/>
  <c r="AG11" i="48"/>
  <c r="AF11" i="48"/>
  <c r="AE11" i="48"/>
  <c r="AD11" i="48"/>
  <c r="AC11" i="48"/>
  <c r="AB11" i="48"/>
  <c r="AA11" i="48"/>
  <c r="Z11" i="48"/>
  <c r="Y11" i="48"/>
  <c r="X11" i="48"/>
  <c r="W11" i="48"/>
  <c r="V11" i="48"/>
  <c r="U11" i="48"/>
  <c r="T11" i="48"/>
  <c r="S11" i="48"/>
  <c r="R11" i="48"/>
  <c r="Q11" i="48"/>
  <c r="P11" i="48"/>
  <c r="O11" i="48"/>
  <c r="N11" i="48"/>
  <c r="M11" i="48"/>
  <c r="L11" i="48"/>
  <c r="K11" i="48"/>
  <c r="J11" i="48"/>
  <c r="I11" i="48"/>
  <c r="H11" i="48"/>
  <c r="G11" i="48"/>
  <c r="F11" i="48"/>
  <c r="E11" i="48"/>
  <c r="D11" i="48"/>
  <c r="C11" i="48"/>
  <c r="B11" i="48"/>
  <c r="AI10" i="48"/>
  <c r="AH10" i="48"/>
  <c r="AG10" i="48"/>
  <c r="AF10" i="48"/>
  <c r="AE10" i="48"/>
  <c r="AD10" i="48"/>
  <c r="AC10" i="48"/>
  <c r="AB10" i="48"/>
  <c r="AA10" i="48"/>
  <c r="Z10" i="48"/>
  <c r="Y10" i="48"/>
  <c r="X10" i="48"/>
  <c r="W10" i="48"/>
  <c r="V10" i="48"/>
  <c r="U10" i="48"/>
  <c r="T10" i="48"/>
  <c r="S10" i="48"/>
  <c r="R10" i="48"/>
  <c r="Q10" i="48"/>
  <c r="P10" i="48"/>
  <c r="O10" i="48"/>
  <c r="N10" i="48"/>
  <c r="M10" i="48"/>
  <c r="L10" i="48"/>
  <c r="K10" i="48"/>
  <c r="J10" i="48"/>
  <c r="I10" i="48"/>
  <c r="H10" i="48"/>
  <c r="G10" i="48"/>
  <c r="F10" i="48"/>
  <c r="E10" i="48"/>
  <c r="D10" i="48"/>
  <c r="C10" i="48"/>
  <c r="B10" i="48"/>
  <c r="AI8" i="48"/>
  <c r="AH8" i="48"/>
  <c r="AG8" i="48"/>
  <c r="AF8" i="48"/>
  <c r="AE8" i="48"/>
  <c r="AD8" i="48"/>
  <c r="AC8" i="48"/>
  <c r="AB8" i="48"/>
  <c r="AA8" i="48"/>
  <c r="Z8" i="48"/>
  <c r="Y8" i="48"/>
  <c r="X8" i="48"/>
  <c r="W8" i="48"/>
  <c r="V8" i="48"/>
  <c r="U8" i="48"/>
  <c r="T8" i="48"/>
  <c r="S8" i="48"/>
  <c r="R8" i="48"/>
  <c r="Q8" i="48"/>
  <c r="P8" i="48"/>
  <c r="O8" i="48"/>
  <c r="N8" i="48"/>
  <c r="M8" i="48"/>
  <c r="L8" i="48"/>
  <c r="K8" i="48"/>
  <c r="J8" i="48"/>
  <c r="I8" i="48"/>
  <c r="H8" i="48"/>
  <c r="G8" i="48"/>
  <c r="F8" i="48"/>
  <c r="E8" i="48"/>
  <c r="D8" i="48"/>
  <c r="C8" i="48"/>
  <c r="B8" i="48"/>
  <c r="AI9" i="48"/>
  <c r="AH9" i="48"/>
  <c r="AG9" i="48"/>
  <c r="AF9" i="48"/>
  <c r="AE9" i="48"/>
  <c r="AD9" i="48"/>
  <c r="AC9" i="48"/>
  <c r="AB9" i="48"/>
  <c r="AA9" i="48"/>
  <c r="Z9" i="48"/>
  <c r="Y9" i="48"/>
  <c r="X9" i="48"/>
  <c r="W9" i="48"/>
  <c r="V9" i="48"/>
  <c r="U9" i="48"/>
  <c r="T9" i="48"/>
  <c r="S9" i="48"/>
  <c r="R9" i="48"/>
  <c r="Q9" i="48"/>
  <c r="P9" i="48"/>
  <c r="O9" i="48"/>
  <c r="N9" i="48"/>
  <c r="M9" i="48"/>
  <c r="L9" i="48"/>
  <c r="K9" i="48"/>
  <c r="J9" i="48"/>
  <c r="I9" i="48"/>
  <c r="H9" i="48"/>
  <c r="G9" i="48"/>
  <c r="F9" i="48"/>
  <c r="E9" i="48"/>
  <c r="D9" i="48"/>
  <c r="C9" i="48"/>
  <c r="B9" i="48"/>
  <c r="AI6" i="48"/>
  <c r="AH6" i="48"/>
  <c r="AG6" i="48"/>
  <c r="AF6" i="48"/>
  <c r="AE6" i="48"/>
  <c r="AD6" i="48"/>
  <c r="AC6" i="48"/>
  <c r="AB6" i="48"/>
  <c r="AA6" i="48"/>
  <c r="Z6" i="48"/>
  <c r="Y6" i="48"/>
  <c r="X6" i="48"/>
  <c r="W6" i="48"/>
  <c r="V6" i="48"/>
  <c r="U6" i="48"/>
  <c r="T6" i="48"/>
  <c r="S6" i="48"/>
  <c r="R6" i="48"/>
  <c r="Q6" i="48"/>
  <c r="P6" i="48"/>
  <c r="O6" i="48"/>
  <c r="N6" i="48"/>
  <c r="M6" i="48"/>
  <c r="L6" i="48"/>
  <c r="K6" i="48"/>
  <c r="J6" i="48"/>
  <c r="I6" i="48"/>
  <c r="H6" i="48"/>
  <c r="G6" i="48"/>
  <c r="F6" i="48"/>
  <c r="E6" i="48"/>
  <c r="D6" i="48"/>
  <c r="C6" i="48"/>
  <c r="B6" i="48"/>
  <c r="AI5" i="48"/>
  <c r="AH5" i="48"/>
  <c r="AG5" i="48"/>
  <c r="AF5" i="48"/>
  <c r="AE5" i="48"/>
  <c r="AD5" i="48"/>
  <c r="AC5" i="48"/>
  <c r="AB5" i="48"/>
  <c r="AA5" i="48"/>
  <c r="Z5" i="48"/>
  <c r="Y5" i="48"/>
  <c r="X5" i="48"/>
  <c r="W5" i="48"/>
  <c r="V5" i="48"/>
  <c r="U5" i="48"/>
  <c r="T5" i="48"/>
  <c r="S5" i="48"/>
  <c r="R5" i="48"/>
  <c r="Q5" i="48"/>
  <c r="P5" i="48"/>
  <c r="O5" i="48"/>
  <c r="N5" i="48"/>
  <c r="M5" i="48"/>
  <c r="L5" i="48"/>
  <c r="K5" i="48"/>
  <c r="J5" i="48"/>
  <c r="I5" i="48"/>
  <c r="H5" i="48"/>
  <c r="G5" i="48"/>
  <c r="F5" i="48"/>
  <c r="E5" i="48"/>
  <c r="D5" i="48"/>
  <c r="C5" i="48"/>
  <c r="B5" i="48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B24" i="17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B23" i="17"/>
  <c r="AI21" i="17"/>
  <c r="AH21" i="17"/>
  <c r="AG21" i="17"/>
  <c r="AF21" i="17"/>
  <c r="AE21" i="17"/>
  <c r="AD21" i="17"/>
  <c r="AC21" i="17"/>
  <c r="AB21" i="17"/>
  <c r="AA21" i="17"/>
  <c r="Z21" i="17"/>
  <c r="Y21" i="17"/>
  <c r="X21" i="17"/>
  <c r="W21" i="17"/>
  <c r="V21" i="17"/>
  <c r="U21" i="17"/>
  <c r="T21" i="17"/>
  <c r="S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B21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B22" i="17"/>
  <c r="AI19" i="17"/>
  <c r="AH19" i="17"/>
  <c r="AG19" i="17"/>
  <c r="AF19" i="17"/>
  <c r="AE19" i="17"/>
  <c r="AD19" i="17"/>
  <c r="AC19" i="17"/>
  <c r="AB19" i="17"/>
  <c r="AA19" i="17"/>
  <c r="Z19" i="17"/>
  <c r="Y19" i="17"/>
  <c r="X19" i="17"/>
  <c r="W19" i="17"/>
  <c r="V19" i="17"/>
  <c r="U19" i="17"/>
  <c r="T19" i="17"/>
  <c r="S19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B19" i="17"/>
  <c r="AI18" i="17"/>
  <c r="AH18" i="17"/>
  <c r="AG18" i="17"/>
  <c r="AF18" i="17"/>
  <c r="AE18" i="17"/>
  <c r="AD18" i="17"/>
  <c r="AC18" i="17"/>
  <c r="AB18" i="17"/>
  <c r="AA18" i="17"/>
  <c r="Z18" i="17"/>
  <c r="Y18" i="17"/>
  <c r="X18" i="17"/>
  <c r="W18" i="17"/>
  <c r="V18" i="17"/>
  <c r="U18" i="17"/>
  <c r="T18" i="17"/>
  <c r="S18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B18" i="17"/>
  <c r="AI11" i="17"/>
  <c r="AH11" i="17"/>
  <c r="AG11" i="17"/>
  <c r="AF11" i="17"/>
  <c r="AE11" i="17"/>
  <c r="AD11" i="17"/>
  <c r="AC11" i="17"/>
  <c r="AB11" i="17"/>
  <c r="AA11" i="17"/>
  <c r="Z11" i="17"/>
  <c r="Y11" i="17"/>
  <c r="X11" i="17"/>
  <c r="W11" i="17"/>
  <c r="V11" i="17"/>
  <c r="U11" i="17"/>
  <c r="T11" i="17"/>
  <c r="S11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B11" i="17"/>
  <c r="AI10" i="17"/>
  <c r="AH10" i="17"/>
  <c r="AG10" i="17"/>
  <c r="AF10" i="17"/>
  <c r="AE10" i="17"/>
  <c r="AD10" i="17"/>
  <c r="AC10" i="17"/>
  <c r="AB10" i="17"/>
  <c r="AA10" i="17"/>
  <c r="Z10" i="17"/>
  <c r="Y10" i="17"/>
  <c r="X10" i="17"/>
  <c r="W10" i="17"/>
  <c r="V10" i="17"/>
  <c r="U10" i="17"/>
  <c r="T10" i="17"/>
  <c r="S10" i="17"/>
  <c r="R10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B10" i="17"/>
  <c r="AI8" i="17"/>
  <c r="AH8" i="17"/>
  <c r="AG8" i="17"/>
  <c r="AF8" i="17"/>
  <c r="AE8" i="17"/>
  <c r="AD8" i="17"/>
  <c r="AC8" i="17"/>
  <c r="AB8" i="17"/>
  <c r="AA8" i="17"/>
  <c r="Z8" i="17"/>
  <c r="Y8" i="17"/>
  <c r="X8" i="17"/>
  <c r="W8" i="17"/>
  <c r="V8" i="17"/>
  <c r="U8" i="17"/>
  <c r="T8" i="17"/>
  <c r="S8" i="17"/>
  <c r="R8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B8" i="17"/>
  <c r="AI9" i="17"/>
  <c r="AH9" i="17"/>
  <c r="AG9" i="17"/>
  <c r="AF9" i="17"/>
  <c r="AE9" i="17"/>
  <c r="AD9" i="17"/>
  <c r="AC9" i="17"/>
  <c r="AB9" i="17"/>
  <c r="AA9" i="17"/>
  <c r="Z9" i="17"/>
  <c r="Y9" i="17"/>
  <c r="X9" i="17"/>
  <c r="W9" i="17"/>
  <c r="V9" i="17"/>
  <c r="U9" i="17"/>
  <c r="T9" i="17"/>
  <c r="S9" i="17"/>
  <c r="R9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B9" i="17"/>
  <c r="AI6" i="17"/>
  <c r="AH6" i="17"/>
  <c r="AG6" i="17"/>
  <c r="AF6" i="17"/>
  <c r="AE6" i="17"/>
  <c r="AD6" i="17"/>
  <c r="AC6" i="17"/>
  <c r="AB6" i="17"/>
  <c r="AA6" i="17"/>
  <c r="Z6" i="17"/>
  <c r="Y6" i="17"/>
  <c r="X6" i="17"/>
  <c r="W6" i="17"/>
  <c r="V6" i="17"/>
  <c r="U6" i="17"/>
  <c r="T6" i="17"/>
  <c r="S6" i="17"/>
  <c r="R6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B6" i="17"/>
  <c r="AI5" i="17"/>
  <c r="AH5" i="17"/>
  <c r="AG5" i="17"/>
  <c r="AF5" i="17"/>
  <c r="AE5" i="17"/>
  <c r="AD5" i="17"/>
  <c r="AC5" i="17"/>
  <c r="AB5" i="17"/>
  <c r="AA5" i="17"/>
  <c r="Z5" i="17"/>
  <c r="Y5" i="17"/>
  <c r="X5" i="17"/>
  <c r="W5" i="17"/>
  <c r="V5" i="17"/>
  <c r="U5" i="17"/>
  <c r="T5" i="17"/>
  <c r="S5" i="17"/>
  <c r="R5" i="17"/>
  <c r="Q5" i="17"/>
  <c r="P5" i="17"/>
  <c r="O5" i="17"/>
  <c r="N5" i="17"/>
  <c r="M5" i="17"/>
  <c r="L5" i="17"/>
  <c r="K5" i="17"/>
  <c r="J5" i="17"/>
  <c r="I5" i="17"/>
  <c r="H5" i="17"/>
  <c r="G5" i="17"/>
  <c r="F5" i="17"/>
  <c r="E5" i="17"/>
  <c r="D5" i="17"/>
  <c r="C5" i="17"/>
  <c r="B5" i="17"/>
  <c r="C109" i="14" l="1"/>
  <c r="C109" i="13"/>
  <c r="C109" i="12"/>
  <c r="C109" i="11"/>
  <c r="C109" i="47"/>
  <c r="B109" i="14"/>
  <c r="B109" i="13"/>
  <c r="B109" i="12"/>
  <c r="B109" i="11"/>
  <c r="B109" i="47"/>
  <c r="C107" i="14"/>
  <c r="C107" i="13"/>
  <c r="C107" i="12"/>
  <c r="C107" i="11"/>
  <c r="C107" i="47"/>
  <c r="C106" i="14"/>
  <c r="C106" i="13"/>
  <c r="C106" i="12"/>
  <c r="C106" i="11"/>
  <c r="C106" i="47"/>
  <c r="AI17" i="20"/>
  <c r="AH17" i="20"/>
  <c r="AG17" i="20"/>
  <c r="AF17" i="20"/>
  <c r="AE17" i="20"/>
  <c r="AD17" i="20"/>
  <c r="AC17" i="20"/>
  <c r="AB17" i="20"/>
  <c r="AA17" i="20"/>
  <c r="Z17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B17" i="20"/>
  <c r="AI17" i="17"/>
  <c r="AH17" i="17"/>
  <c r="AG17" i="17"/>
  <c r="AF17" i="17"/>
  <c r="AE17" i="17"/>
  <c r="AD17" i="17"/>
  <c r="AC17" i="17"/>
  <c r="AB17" i="17"/>
  <c r="AA17" i="17"/>
  <c r="Z17" i="17"/>
  <c r="Y17" i="17"/>
  <c r="X17" i="17"/>
  <c r="W17" i="17"/>
  <c r="V17" i="17"/>
  <c r="U17" i="17"/>
  <c r="T17" i="17"/>
  <c r="S17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B17" i="17"/>
  <c r="AI17" i="21"/>
  <c r="AH17" i="21"/>
  <c r="AG17" i="21"/>
  <c r="AF17" i="21"/>
  <c r="AE17" i="21"/>
  <c r="AD17" i="21"/>
  <c r="AC17" i="21"/>
  <c r="AB17" i="21"/>
  <c r="AA17" i="21"/>
  <c r="Z17" i="21"/>
  <c r="Y17" i="21"/>
  <c r="X17" i="21"/>
  <c r="W17" i="21"/>
  <c r="V17" i="21"/>
  <c r="U17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C17" i="48"/>
  <c r="B17" i="48"/>
  <c r="AI17" i="19"/>
  <c r="AH17" i="19"/>
  <c r="AG17" i="19"/>
  <c r="AF17" i="19"/>
  <c r="AE17" i="19"/>
  <c r="AD17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B17" i="19"/>
  <c r="B107" i="14"/>
  <c r="B107" i="13"/>
  <c r="B107" i="12"/>
  <c r="B107" i="11"/>
  <c r="B107" i="47"/>
  <c r="B106" i="14"/>
  <c r="B106" i="13"/>
  <c r="B106" i="12"/>
  <c r="B106" i="11"/>
  <c r="B106" i="47"/>
  <c r="AI4" i="20"/>
  <c r="AH4" i="20"/>
  <c r="AG4" i="20"/>
  <c r="AF4" i="20"/>
  <c r="AE4" i="20"/>
  <c r="AD4" i="20"/>
  <c r="AC4" i="20"/>
  <c r="AB4" i="20"/>
  <c r="AA4" i="20"/>
  <c r="Z4" i="20"/>
  <c r="Y4" i="20"/>
  <c r="X4" i="20"/>
  <c r="W4" i="20"/>
  <c r="V4" i="20"/>
  <c r="U4" i="20"/>
  <c r="T4" i="20"/>
  <c r="S4" i="20"/>
  <c r="R4" i="20"/>
  <c r="Q4" i="20"/>
  <c r="P4" i="20"/>
  <c r="O4" i="20"/>
  <c r="N4" i="20"/>
  <c r="M4" i="20"/>
  <c r="L4" i="20"/>
  <c r="K4" i="20"/>
  <c r="J4" i="20"/>
  <c r="I4" i="20"/>
  <c r="H4" i="20"/>
  <c r="G4" i="20"/>
  <c r="F4" i="20"/>
  <c r="E4" i="20"/>
  <c r="D4" i="20"/>
  <c r="C4" i="20"/>
  <c r="B4" i="20"/>
  <c r="AI4" i="17"/>
  <c r="AH4" i="17"/>
  <c r="AG4" i="17"/>
  <c r="AF4" i="17"/>
  <c r="AE4" i="17"/>
  <c r="AD4" i="17"/>
  <c r="AC4" i="17"/>
  <c r="AB4" i="17"/>
  <c r="AA4" i="17"/>
  <c r="Z4" i="17"/>
  <c r="Y4" i="17"/>
  <c r="X4" i="17"/>
  <c r="W4" i="17"/>
  <c r="V4" i="17"/>
  <c r="U4" i="17"/>
  <c r="T4" i="17"/>
  <c r="S4" i="17"/>
  <c r="R4" i="17"/>
  <c r="Q4" i="17"/>
  <c r="P4" i="17"/>
  <c r="O4" i="17"/>
  <c r="N4" i="17"/>
  <c r="M4" i="17"/>
  <c r="L4" i="17"/>
  <c r="K4" i="17"/>
  <c r="J4" i="17"/>
  <c r="I4" i="17"/>
  <c r="H4" i="17"/>
  <c r="G4" i="17"/>
  <c r="F4" i="17"/>
  <c r="E4" i="17"/>
  <c r="D4" i="17"/>
  <c r="C4" i="17"/>
  <c r="B4" i="17"/>
  <c r="AI4" i="21"/>
  <c r="AH4" i="21"/>
  <c r="AG4" i="21"/>
  <c r="AF4" i="21"/>
  <c r="AE4" i="21"/>
  <c r="AD4" i="21"/>
  <c r="AC4" i="21"/>
  <c r="AB4" i="21"/>
  <c r="AA4" i="21"/>
  <c r="Z4" i="21"/>
  <c r="Y4" i="21"/>
  <c r="X4" i="21"/>
  <c r="W4" i="21"/>
  <c r="V4" i="21"/>
  <c r="U4" i="21"/>
  <c r="T4" i="21"/>
  <c r="S4" i="21"/>
  <c r="R4" i="21"/>
  <c r="Q4" i="21"/>
  <c r="P4" i="21"/>
  <c r="O4" i="21"/>
  <c r="N4" i="21"/>
  <c r="M4" i="21"/>
  <c r="L4" i="21"/>
  <c r="K4" i="21"/>
  <c r="J4" i="21"/>
  <c r="I4" i="21"/>
  <c r="H4" i="21"/>
  <c r="G4" i="21"/>
  <c r="F4" i="21"/>
  <c r="E4" i="21"/>
  <c r="D4" i="21"/>
  <c r="C4" i="21"/>
  <c r="B4" i="21"/>
  <c r="AI4" i="48"/>
  <c r="AH4" i="48"/>
  <c r="AG4" i="48"/>
  <c r="AF4" i="48"/>
  <c r="AE4" i="48"/>
  <c r="AD4" i="48"/>
  <c r="AC4" i="48"/>
  <c r="AB4" i="48"/>
  <c r="AA4" i="48"/>
  <c r="Z4" i="48"/>
  <c r="Y4" i="48"/>
  <c r="X4" i="48"/>
  <c r="W4" i="48"/>
  <c r="V4" i="48"/>
  <c r="U4" i="48"/>
  <c r="T4" i="48"/>
  <c r="S4" i="48"/>
  <c r="R4" i="48"/>
  <c r="Q4" i="48"/>
  <c r="P4" i="48"/>
  <c r="O4" i="48"/>
  <c r="N4" i="48"/>
  <c r="M4" i="48"/>
  <c r="L4" i="48"/>
  <c r="K4" i="48"/>
  <c r="J4" i="48"/>
  <c r="I4" i="48"/>
  <c r="H4" i="48"/>
  <c r="G4" i="48"/>
  <c r="F4" i="48"/>
  <c r="E4" i="48"/>
  <c r="D4" i="48"/>
  <c r="C4" i="48"/>
  <c r="B4" i="48"/>
  <c r="AI4" i="19"/>
  <c r="AH4" i="19"/>
  <c r="AG4" i="19"/>
  <c r="AF4" i="19"/>
  <c r="AE4" i="19"/>
  <c r="AD4" i="19"/>
  <c r="AC4" i="19"/>
  <c r="AB4" i="19"/>
  <c r="AA4" i="19"/>
  <c r="Z4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K4" i="19"/>
  <c r="J4" i="19"/>
  <c r="I4" i="19"/>
  <c r="H4" i="19"/>
  <c r="G4" i="19"/>
  <c r="F4" i="19"/>
  <c r="E4" i="19"/>
  <c r="D4" i="19"/>
  <c r="C4" i="19"/>
  <c r="B4" i="19"/>
  <c r="AK27" i="27" l="1"/>
  <c r="AK28" i="27"/>
  <c r="AK29" i="27"/>
  <c r="AK30" i="27"/>
  <c r="AK31" i="27"/>
  <c r="AK32" i="27"/>
  <c r="AK33" i="27"/>
  <c r="AK34" i="27"/>
  <c r="AK26" i="27"/>
  <c r="AK24" i="27"/>
  <c r="AO15" i="27" s="1"/>
  <c r="B12" i="43" l="1"/>
  <c r="B12" i="42"/>
  <c r="R3" i="27" l="1" a="1"/>
  <c r="R34" i="27" s="1"/>
  <c r="D3" i="27" a="1"/>
  <c r="C3" i="27" a="1"/>
  <c r="B3" i="27" a="1"/>
  <c r="S3" i="27" a="1"/>
  <c r="AC3" i="27" a="1"/>
  <c r="E3" i="27" a="1"/>
  <c r="F3" i="27" a="1"/>
  <c r="G3" i="27" a="1"/>
  <c r="H3" i="27" a="1"/>
  <c r="I3" i="27" a="1"/>
  <c r="AB3" i="27" a="1"/>
  <c r="F10" i="42"/>
  <c r="G10" i="42"/>
  <c r="R37" i="27" l="1"/>
  <c r="R26" i="27"/>
  <c r="R35" i="27"/>
  <c r="R45" i="27"/>
  <c r="R41" i="27"/>
  <c r="R15" i="27"/>
  <c r="R9" i="27"/>
  <c r="R48" i="27"/>
  <c r="R47" i="27"/>
  <c r="R16" i="27"/>
  <c r="R50" i="27"/>
  <c r="R52" i="27"/>
  <c r="R53" i="27"/>
  <c r="R13" i="27"/>
  <c r="R23" i="27"/>
  <c r="R18" i="27"/>
  <c r="R44" i="27"/>
  <c r="R32" i="27"/>
  <c r="R6" i="27"/>
  <c r="J10" i="42"/>
  <c r="AH10" i="42"/>
  <c r="R49" i="27"/>
  <c r="R10" i="42"/>
  <c r="R5" i="27"/>
  <c r="R24" i="27"/>
  <c r="R42" i="27"/>
  <c r="R4" i="27"/>
  <c r="R14" i="27"/>
  <c r="R19" i="27"/>
  <c r="Z10" i="42"/>
  <c r="R28" i="27"/>
  <c r="R39" i="27"/>
  <c r="R20" i="27"/>
  <c r="R17" i="27"/>
  <c r="R21" i="27"/>
  <c r="R3" i="27"/>
  <c r="O3" i="27" a="1"/>
  <c r="O7" i="27" s="1"/>
  <c r="AA3" i="27" a="1"/>
  <c r="AA41" i="27" s="1"/>
  <c r="R33" i="27"/>
  <c r="R31" i="27"/>
  <c r="R12" i="27"/>
  <c r="R7" i="27"/>
  <c r="R10" i="27"/>
  <c r="R51" i="27"/>
  <c r="R38" i="27"/>
  <c r="R36" i="27"/>
  <c r="R25" i="27"/>
  <c r="R46" i="27"/>
  <c r="R27" i="27"/>
  <c r="R43" i="27"/>
  <c r="R8" i="27"/>
  <c r="R30" i="27"/>
  <c r="R11" i="27"/>
  <c r="R22" i="27"/>
  <c r="R29" i="27"/>
  <c r="R40" i="27"/>
  <c r="AB26" i="27"/>
  <c r="AB51" i="27"/>
  <c r="AB43" i="27"/>
  <c r="AB25" i="27"/>
  <c r="AB8" i="27"/>
  <c r="AB15" i="27"/>
  <c r="AB21" i="27"/>
  <c r="AB12" i="27"/>
  <c r="AB17" i="27"/>
  <c r="AB38" i="27"/>
  <c r="AB7" i="27"/>
  <c r="AB13" i="27"/>
  <c r="AB4" i="27"/>
  <c r="AB34" i="27"/>
  <c r="AB9" i="27"/>
  <c r="AB30" i="27"/>
  <c r="AB46" i="27"/>
  <c r="AB5" i="27"/>
  <c r="AB27" i="27"/>
  <c r="AB6" i="27"/>
  <c r="AB18" i="27"/>
  <c r="AB40" i="27"/>
  <c r="AB47" i="27"/>
  <c r="AB53" i="27"/>
  <c r="AB44" i="27"/>
  <c r="AB11" i="27"/>
  <c r="AB50" i="27"/>
  <c r="AB49" i="27"/>
  <c r="AB32" i="27"/>
  <c r="AB39" i="27"/>
  <c r="AB45" i="27"/>
  <c r="AB36" i="27"/>
  <c r="AB19" i="27"/>
  <c r="AB41" i="27"/>
  <c r="AB24" i="27"/>
  <c r="AB31" i="27"/>
  <c r="AB37" i="27"/>
  <c r="AB28" i="27"/>
  <c r="AB52" i="27"/>
  <c r="AB10" i="27"/>
  <c r="AB33" i="27"/>
  <c r="AB20" i="27"/>
  <c r="AB42" i="27"/>
  <c r="AB48" i="27"/>
  <c r="AB16" i="27"/>
  <c r="AB3" i="27"/>
  <c r="AB22" i="27"/>
  <c r="AB23" i="27"/>
  <c r="AB14" i="27"/>
  <c r="AB35" i="27"/>
  <c r="AB29" i="27"/>
  <c r="W3" i="27" a="1"/>
  <c r="Q3" i="27" a="1"/>
  <c r="I53" i="27"/>
  <c r="I49" i="27"/>
  <c r="I17" i="27"/>
  <c r="I9" i="27"/>
  <c r="I25" i="27"/>
  <c r="I41" i="27"/>
  <c r="I33" i="27"/>
  <c r="I46" i="27"/>
  <c r="I23" i="27"/>
  <c r="I8" i="27"/>
  <c r="I27" i="27"/>
  <c r="I31" i="27"/>
  <c r="I16" i="27"/>
  <c r="I35" i="27"/>
  <c r="I6" i="27"/>
  <c r="I39" i="27"/>
  <c r="I22" i="27"/>
  <c r="I15" i="27"/>
  <c r="I32" i="27"/>
  <c r="I50" i="27"/>
  <c r="I36" i="27"/>
  <c r="I13" i="27"/>
  <c r="I30" i="27"/>
  <c r="I47" i="27"/>
  <c r="I40" i="27"/>
  <c r="I44" i="27"/>
  <c r="I21" i="27"/>
  <c r="I38" i="27"/>
  <c r="I48" i="27"/>
  <c r="I3" i="27"/>
  <c r="I52" i="27"/>
  <c r="I29" i="27"/>
  <c r="I11" i="27"/>
  <c r="I10" i="27"/>
  <c r="I37" i="27"/>
  <c r="I19" i="27"/>
  <c r="I18" i="27"/>
  <c r="I4" i="27"/>
  <c r="I45" i="27"/>
  <c r="I43" i="27"/>
  <c r="I34" i="27"/>
  <c r="I12" i="27"/>
  <c r="I51" i="27"/>
  <c r="I42" i="27"/>
  <c r="I20" i="27"/>
  <c r="I14" i="27"/>
  <c r="I7" i="27"/>
  <c r="I24" i="27"/>
  <c r="I26" i="27"/>
  <c r="I28" i="27"/>
  <c r="I5" i="27"/>
  <c r="H49" i="27"/>
  <c r="H29" i="27"/>
  <c r="H13" i="27"/>
  <c r="H5" i="27"/>
  <c r="H21" i="27"/>
  <c r="H37" i="27"/>
  <c r="H45" i="27"/>
  <c r="H53" i="27"/>
  <c r="H34" i="27"/>
  <c r="H42" i="27"/>
  <c r="H11" i="27"/>
  <c r="H6" i="27"/>
  <c r="H15" i="27"/>
  <c r="H50" i="27"/>
  <c r="H19" i="27"/>
  <c r="H4" i="27"/>
  <c r="H14" i="27"/>
  <c r="H23" i="27"/>
  <c r="H27" i="27"/>
  <c r="H39" i="27"/>
  <c r="H24" i="27"/>
  <c r="H12" i="27"/>
  <c r="H47" i="27"/>
  <c r="H32" i="27"/>
  <c r="H20" i="27"/>
  <c r="H40" i="27"/>
  <c r="H9" i="27"/>
  <c r="H3" i="27"/>
  <c r="H28" i="27"/>
  <c r="H22" i="27"/>
  <c r="H48" i="27"/>
  <c r="H17" i="27"/>
  <c r="H10" i="27"/>
  <c r="H35" i="27"/>
  <c r="H36" i="27"/>
  <c r="H30" i="27"/>
  <c r="H25" i="27"/>
  <c r="H18" i="27"/>
  <c r="H43" i="27"/>
  <c r="H44" i="27"/>
  <c r="H38" i="27"/>
  <c r="H33" i="27"/>
  <c r="H26" i="27"/>
  <c r="H51" i="27"/>
  <c r="H52" i="27"/>
  <c r="H46" i="27"/>
  <c r="H7" i="27"/>
  <c r="H8" i="27"/>
  <c r="H41" i="27"/>
  <c r="H31" i="27"/>
  <c r="H16" i="27"/>
  <c r="B49" i="27"/>
  <c r="B29" i="27"/>
  <c r="B50" i="27"/>
  <c r="B3" i="27"/>
  <c r="B52" i="27"/>
  <c r="B7" i="27"/>
  <c r="B11" i="27"/>
  <c r="B15" i="27"/>
  <c r="B10" i="27"/>
  <c r="B19" i="27"/>
  <c r="B26" i="27"/>
  <c r="B44" i="27"/>
  <c r="B21" i="27"/>
  <c r="B46" i="27"/>
  <c r="B16" i="27"/>
  <c r="B34" i="27"/>
  <c r="B23" i="27"/>
  <c r="B37" i="27"/>
  <c r="B24" i="27"/>
  <c r="B9" i="27"/>
  <c r="B42" i="27"/>
  <c r="B31" i="27"/>
  <c r="B45" i="27"/>
  <c r="B32" i="27"/>
  <c r="B17" i="27"/>
  <c r="B27" i="27"/>
  <c r="B4" i="27"/>
  <c r="B39" i="27"/>
  <c r="B53" i="27"/>
  <c r="B40" i="27"/>
  <c r="B13" i="27"/>
  <c r="B25" i="27"/>
  <c r="B35" i="27"/>
  <c r="B12" i="27"/>
  <c r="B47" i="27"/>
  <c r="B48" i="27"/>
  <c r="B6" i="27"/>
  <c r="B33" i="27"/>
  <c r="B43" i="27"/>
  <c r="B20" i="27"/>
  <c r="B22" i="27"/>
  <c r="B41" i="27"/>
  <c r="B51" i="27"/>
  <c r="B28" i="27"/>
  <c r="B14" i="27"/>
  <c r="B38" i="27"/>
  <c r="B18" i="27"/>
  <c r="B36" i="27"/>
  <c r="B5" i="27"/>
  <c r="B30" i="27"/>
  <c r="B8" i="27"/>
  <c r="Z3" i="27" a="1"/>
  <c r="G53" i="27"/>
  <c r="G49" i="27"/>
  <c r="G9" i="27"/>
  <c r="G25" i="27"/>
  <c r="G17" i="27"/>
  <c r="G41" i="27"/>
  <c r="G33" i="27"/>
  <c r="G38" i="27"/>
  <c r="G48" i="27"/>
  <c r="G3" i="27"/>
  <c r="G7" i="27"/>
  <c r="G46" i="27"/>
  <c r="G11" i="27"/>
  <c r="G15" i="27"/>
  <c r="G14" i="27"/>
  <c r="G31" i="27"/>
  <c r="G40" i="27"/>
  <c r="G34" i="27"/>
  <c r="G12" i="27"/>
  <c r="G37" i="27"/>
  <c r="G22" i="27"/>
  <c r="G39" i="27"/>
  <c r="G42" i="27"/>
  <c r="G19" i="27"/>
  <c r="G20" i="27"/>
  <c r="G45" i="27"/>
  <c r="G30" i="27"/>
  <c r="G47" i="27"/>
  <c r="G50" i="27"/>
  <c r="G27" i="27"/>
  <c r="G28" i="27"/>
  <c r="G35" i="27"/>
  <c r="G36" i="27"/>
  <c r="G8" i="27"/>
  <c r="G43" i="27"/>
  <c r="G44" i="27"/>
  <c r="G5" i="27"/>
  <c r="G16" i="27"/>
  <c r="G10" i="27"/>
  <c r="G51" i="27"/>
  <c r="G52" i="27"/>
  <c r="G13" i="27"/>
  <c r="G24" i="27"/>
  <c r="G18" i="27"/>
  <c r="G21" i="27"/>
  <c r="G6" i="27"/>
  <c r="G23" i="27"/>
  <c r="G32" i="27"/>
  <c r="G26" i="27"/>
  <c r="G4" i="27"/>
  <c r="G29" i="27"/>
  <c r="N3" i="27" a="1"/>
  <c r="F49" i="27"/>
  <c r="F6" i="27"/>
  <c r="F29" i="27"/>
  <c r="F46" i="27"/>
  <c r="F21" i="27"/>
  <c r="F30" i="27"/>
  <c r="F53" i="27"/>
  <c r="F37" i="27"/>
  <c r="F13" i="27"/>
  <c r="F5" i="27"/>
  <c r="F22" i="27"/>
  <c r="F45" i="27"/>
  <c r="F14" i="27"/>
  <c r="F38" i="27"/>
  <c r="F26" i="27"/>
  <c r="F34" i="27"/>
  <c r="F51" i="27"/>
  <c r="F36" i="27"/>
  <c r="F42" i="27"/>
  <c r="F44" i="27"/>
  <c r="F50" i="27"/>
  <c r="F3" i="27"/>
  <c r="F12" i="27"/>
  <c r="F47" i="27"/>
  <c r="F17" i="27"/>
  <c r="F20" i="27"/>
  <c r="F8" i="27"/>
  <c r="F25" i="27"/>
  <c r="F11" i="27"/>
  <c r="F28" i="27"/>
  <c r="F16" i="27"/>
  <c r="F33" i="27"/>
  <c r="F19" i="27"/>
  <c r="F52" i="27"/>
  <c r="F7" i="27"/>
  <c r="F24" i="27"/>
  <c r="F41" i="27"/>
  <c r="F27" i="27"/>
  <c r="F15" i="27"/>
  <c r="F32" i="27"/>
  <c r="F10" i="27"/>
  <c r="F35" i="27"/>
  <c r="F23" i="27"/>
  <c r="F40" i="27"/>
  <c r="F18" i="27"/>
  <c r="F43" i="27"/>
  <c r="F31" i="27"/>
  <c r="F48" i="27"/>
  <c r="F4" i="27"/>
  <c r="F39" i="27"/>
  <c r="F9" i="27"/>
  <c r="S53" i="27"/>
  <c r="S47" i="27"/>
  <c r="S6" i="27"/>
  <c r="S30" i="27"/>
  <c r="S15" i="27"/>
  <c r="S22" i="27"/>
  <c r="S25" i="27"/>
  <c r="S34" i="27"/>
  <c r="S3" i="27"/>
  <c r="S52" i="27"/>
  <c r="S21" i="27"/>
  <c r="S38" i="27"/>
  <c r="S33" i="27"/>
  <c r="S42" i="27"/>
  <c r="S11" i="27"/>
  <c r="S29" i="27"/>
  <c r="S7" i="27"/>
  <c r="S8" i="27"/>
  <c r="S41" i="27"/>
  <c r="S50" i="27"/>
  <c r="S19" i="27"/>
  <c r="S4" i="27"/>
  <c r="S37" i="27"/>
  <c r="S23" i="27"/>
  <c r="S16" i="27"/>
  <c r="S49" i="27"/>
  <c r="S27" i="27"/>
  <c r="S12" i="27"/>
  <c r="S45" i="27"/>
  <c r="S31" i="27"/>
  <c r="S24" i="27"/>
  <c r="S39" i="27"/>
  <c r="S32" i="27"/>
  <c r="S10" i="27"/>
  <c r="S48" i="27"/>
  <c r="S9" i="27"/>
  <c r="S14" i="27"/>
  <c r="S17" i="27"/>
  <c r="S46" i="27"/>
  <c r="S18" i="27"/>
  <c r="S35" i="27"/>
  <c r="S20" i="27"/>
  <c r="S26" i="27"/>
  <c r="S43" i="27"/>
  <c r="S28" i="27"/>
  <c r="S51" i="27"/>
  <c r="S36" i="27"/>
  <c r="S5" i="27"/>
  <c r="S40" i="27"/>
  <c r="S44" i="27"/>
  <c r="S13" i="27"/>
  <c r="P3" i="27" a="1"/>
  <c r="M3" i="27" a="1"/>
  <c r="Y3" i="27" a="1"/>
  <c r="E53" i="27"/>
  <c r="E39" i="27"/>
  <c r="E46" i="27"/>
  <c r="E24" i="27"/>
  <c r="E42" i="27"/>
  <c r="E43" i="27"/>
  <c r="E47" i="27"/>
  <c r="E32" i="27"/>
  <c r="E50" i="27"/>
  <c r="E51" i="27"/>
  <c r="E23" i="27"/>
  <c r="E22" i="27"/>
  <c r="E19" i="27"/>
  <c r="E9" i="27"/>
  <c r="E52" i="27"/>
  <c r="E31" i="27"/>
  <c r="E30" i="27"/>
  <c r="E27" i="27"/>
  <c r="E17" i="27"/>
  <c r="E10" i="27"/>
  <c r="E5" i="27"/>
  <c r="E38" i="27"/>
  <c r="E35" i="27"/>
  <c r="E25" i="27"/>
  <c r="E34" i="27"/>
  <c r="E4" i="27"/>
  <c r="E13" i="27"/>
  <c r="E8" i="27"/>
  <c r="E18" i="27"/>
  <c r="E33" i="27"/>
  <c r="E12" i="27"/>
  <c r="E21" i="27"/>
  <c r="E16" i="27"/>
  <c r="E26" i="27"/>
  <c r="E41" i="27"/>
  <c r="E20" i="27"/>
  <c r="E29" i="27"/>
  <c r="E40" i="27"/>
  <c r="E49" i="27"/>
  <c r="E28" i="27"/>
  <c r="E37" i="27"/>
  <c r="E7" i="27"/>
  <c r="E6" i="27"/>
  <c r="E48" i="27"/>
  <c r="E3" i="27"/>
  <c r="E36" i="27"/>
  <c r="E45" i="27"/>
  <c r="E15" i="27"/>
  <c r="E14" i="27"/>
  <c r="E11" i="27"/>
  <c r="E44" i="27"/>
  <c r="AC53" i="27"/>
  <c r="AC22" i="27"/>
  <c r="AC30" i="27"/>
  <c r="AC6" i="27"/>
  <c r="AC38" i="27"/>
  <c r="AC24" i="27"/>
  <c r="AC19" i="27"/>
  <c r="AC20" i="27"/>
  <c r="AC21" i="27"/>
  <c r="AC32" i="27"/>
  <c r="AC27" i="27"/>
  <c r="AC28" i="27"/>
  <c r="AC29" i="27"/>
  <c r="AC23" i="27"/>
  <c r="AC14" i="27"/>
  <c r="AC40" i="27"/>
  <c r="AC9" i="27"/>
  <c r="AC35" i="27"/>
  <c r="AC36" i="27"/>
  <c r="AC37" i="27"/>
  <c r="AC7" i="27"/>
  <c r="AC46" i="27"/>
  <c r="AC15" i="27"/>
  <c r="AC39" i="27"/>
  <c r="AC47" i="27"/>
  <c r="AC25" i="27"/>
  <c r="AC51" i="27"/>
  <c r="AC52" i="27"/>
  <c r="AC31" i="27"/>
  <c r="AC50" i="27"/>
  <c r="AC42" i="27"/>
  <c r="AC26" i="27"/>
  <c r="AC34" i="27"/>
  <c r="AC17" i="27"/>
  <c r="AC33" i="27"/>
  <c r="AC8" i="27"/>
  <c r="AC41" i="27"/>
  <c r="AC3" i="27"/>
  <c r="AC4" i="27"/>
  <c r="AC5" i="27"/>
  <c r="AC16" i="27"/>
  <c r="AC49" i="27"/>
  <c r="AC11" i="27"/>
  <c r="AC12" i="27"/>
  <c r="AC13" i="27"/>
  <c r="AC48" i="27"/>
  <c r="AC43" i="27"/>
  <c r="AC44" i="27"/>
  <c r="AC45" i="27"/>
  <c r="AC10" i="27"/>
  <c r="AC18" i="27"/>
  <c r="C53" i="27"/>
  <c r="C6" i="27"/>
  <c r="C26" i="27"/>
  <c r="C15" i="27"/>
  <c r="C19" i="27"/>
  <c r="C14" i="27"/>
  <c r="C50" i="27"/>
  <c r="C23" i="27"/>
  <c r="C8" i="27"/>
  <c r="C27" i="27"/>
  <c r="C9" i="27"/>
  <c r="C22" i="27"/>
  <c r="C31" i="27"/>
  <c r="C39" i="27"/>
  <c r="C43" i="27"/>
  <c r="C28" i="27"/>
  <c r="C21" i="27"/>
  <c r="C47" i="27"/>
  <c r="C16" i="27"/>
  <c r="C51" i="27"/>
  <c r="C10" i="27"/>
  <c r="C36" i="27"/>
  <c r="C29" i="27"/>
  <c r="C25" i="27"/>
  <c r="C24" i="27"/>
  <c r="C34" i="27"/>
  <c r="C44" i="27"/>
  <c r="C37" i="27"/>
  <c r="C30" i="27"/>
  <c r="C38" i="27"/>
  <c r="C32" i="27"/>
  <c r="C42" i="27"/>
  <c r="C52" i="27"/>
  <c r="C45" i="27"/>
  <c r="C46" i="27"/>
  <c r="C40" i="27"/>
  <c r="C17" i="27"/>
  <c r="C48" i="27"/>
  <c r="C3" i="27"/>
  <c r="C33" i="27"/>
  <c r="C4" i="27"/>
  <c r="C11" i="27"/>
  <c r="C41" i="27"/>
  <c r="C12" i="27"/>
  <c r="C5" i="27"/>
  <c r="C7" i="27"/>
  <c r="C35" i="27"/>
  <c r="C49" i="27"/>
  <c r="C20" i="27"/>
  <c r="C18" i="27"/>
  <c r="C13" i="27"/>
  <c r="X3" i="27" a="1"/>
  <c r="D49" i="27"/>
  <c r="D29" i="27"/>
  <c r="D5" i="27"/>
  <c r="D13" i="27"/>
  <c r="D45" i="27"/>
  <c r="D53" i="27"/>
  <c r="D37" i="27"/>
  <c r="D21" i="27"/>
  <c r="D27" i="27"/>
  <c r="D34" i="27"/>
  <c r="D12" i="27"/>
  <c r="D31" i="27"/>
  <c r="D35" i="27"/>
  <c r="D42" i="27"/>
  <c r="D20" i="27"/>
  <c r="D39" i="27"/>
  <c r="D43" i="27"/>
  <c r="D50" i="27"/>
  <c r="D36" i="27"/>
  <c r="D46" i="27"/>
  <c r="D40" i="27"/>
  <c r="D14" i="27"/>
  <c r="D41" i="27"/>
  <c r="D44" i="27"/>
  <c r="D48" i="27"/>
  <c r="D3" i="27"/>
  <c r="D52" i="27"/>
  <c r="D7" i="27"/>
  <c r="D11" i="27"/>
  <c r="D10" i="27"/>
  <c r="D15" i="27"/>
  <c r="D19" i="27"/>
  <c r="D18" i="27"/>
  <c r="D23" i="27"/>
  <c r="D6" i="27"/>
  <c r="D8" i="27"/>
  <c r="D9" i="27"/>
  <c r="D51" i="27"/>
  <c r="D26" i="27"/>
  <c r="D47" i="27"/>
  <c r="D22" i="27"/>
  <c r="D16" i="27"/>
  <c r="D17" i="27"/>
  <c r="D4" i="27"/>
  <c r="D30" i="27"/>
  <c r="D24" i="27"/>
  <c r="D25" i="27"/>
  <c r="D28" i="27"/>
  <c r="D38" i="27"/>
  <c r="D32" i="27"/>
  <c r="D33" i="27"/>
  <c r="H10" i="42"/>
  <c r="P10" i="42"/>
  <c r="I10" i="42"/>
  <c r="Q10" i="42"/>
  <c r="Y10" i="42"/>
  <c r="AG10" i="42"/>
  <c r="E10" i="42"/>
  <c r="D10" i="42"/>
  <c r="X10" i="42"/>
  <c r="AF10" i="42"/>
  <c r="AA10" i="42"/>
  <c r="AI10" i="42"/>
  <c r="L10" i="42"/>
  <c r="AJ10" i="42"/>
  <c r="K10" i="42"/>
  <c r="T10" i="42"/>
  <c r="AB10" i="42"/>
  <c r="S10" i="42"/>
  <c r="M10" i="42"/>
  <c r="U10" i="42"/>
  <c r="AC10" i="42"/>
  <c r="AK10" i="42"/>
  <c r="N10" i="42"/>
  <c r="V10" i="42"/>
  <c r="AD10" i="42"/>
  <c r="O10" i="42"/>
  <c r="W10" i="42"/>
  <c r="AE10" i="42"/>
  <c r="AA50" i="27" l="1"/>
  <c r="O35" i="27"/>
  <c r="AA21" i="27"/>
  <c r="O33" i="27"/>
  <c r="O39" i="27"/>
  <c r="AA17" i="27"/>
  <c r="O27" i="27"/>
  <c r="AA6" i="27"/>
  <c r="AA9" i="27"/>
  <c r="O15" i="27"/>
  <c r="AA46" i="27"/>
  <c r="O14" i="27"/>
  <c r="AA12" i="27"/>
  <c r="AA14" i="27"/>
  <c r="AA31" i="27"/>
  <c r="AA5" i="27"/>
  <c r="O11" i="27"/>
  <c r="O22" i="27"/>
  <c r="AA48" i="27"/>
  <c r="AA28" i="27"/>
  <c r="AA22" i="27"/>
  <c r="O38" i="27"/>
  <c r="O48" i="27"/>
  <c r="AA36" i="27"/>
  <c r="AA39" i="27"/>
  <c r="AA23" i="27"/>
  <c r="O28" i="27"/>
  <c r="O6" i="27"/>
  <c r="AA35" i="27"/>
  <c r="AA20" i="27"/>
  <c r="O45" i="27"/>
  <c r="O34" i="27"/>
  <c r="O47" i="27"/>
  <c r="AA25" i="27"/>
  <c r="AA19" i="27"/>
  <c r="O16" i="27"/>
  <c r="O20" i="27"/>
  <c r="O24" i="27"/>
  <c r="AA51" i="27"/>
  <c r="AA33" i="27"/>
  <c r="AA42" i="27"/>
  <c r="AA47" i="27"/>
  <c r="AA15" i="27"/>
  <c r="AA8" i="27"/>
  <c r="O3" i="27"/>
  <c r="O44" i="27"/>
  <c r="O23" i="27"/>
  <c r="O42" i="27"/>
  <c r="O10" i="27"/>
  <c r="O41" i="27"/>
  <c r="O53" i="27"/>
  <c r="AA29" i="27"/>
  <c r="AA38" i="27"/>
  <c r="AA40" i="27"/>
  <c r="AA13" i="27"/>
  <c r="AA7" i="27"/>
  <c r="AA30" i="27"/>
  <c r="O37" i="27"/>
  <c r="O32" i="27"/>
  <c r="O29" i="27"/>
  <c r="O18" i="27"/>
  <c r="O49" i="27"/>
  <c r="O40" i="27"/>
  <c r="AA34" i="27"/>
  <c r="AA32" i="27"/>
  <c r="AA37" i="27"/>
  <c r="AA27" i="27"/>
  <c r="AA18" i="27"/>
  <c r="AA11" i="27"/>
  <c r="AA53" i="27"/>
  <c r="O52" i="27"/>
  <c r="O17" i="27"/>
  <c r="O43" i="27"/>
  <c r="O13" i="27"/>
  <c r="O5" i="27"/>
  <c r="O31" i="27"/>
  <c r="AA45" i="27"/>
  <c r="AA4" i="27"/>
  <c r="AA44" i="27"/>
  <c r="AA26" i="27"/>
  <c r="AA49" i="27"/>
  <c r="AA10" i="27"/>
  <c r="O36" i="27"/>
  <c r="O51" i="27"/>
  <c r="O46" i="27"/>
  <c r="O30" i="27"/>
  <c r="O26" i="27"/>
  <c r="O4" i="27"/>
  <c r="O8" i="27"/>
  <c r="AA52" i="27"/>
  <c r="AA3" i="27"/>
  <c r="AA43" i="27"/>
  <c r="AA24" i="27"/>
  <c r="AA16" i="27"/>
  <c r="O50" i="27"/>
  <c r="O25" i="27"/>
  <c r="O9" i="27"/>
  <c r="O21" i="27"/>
  <c r="O12" i="27"/>
  <c r="O19" i="27"/>
  <c r="L3" i="27" a="1"/>
  <c r="P49" i="27"/>
  <c r="P11" i="27"/>
  <c r="P4" i="27"/>
  <c r="P19" i="27"/>
  <c r="P10" i="27"/>
  <c r="P12" i="27"/>
  <c r="P27" i="27"/>
  <c r="P26" i="27"/>
  <c r="P20" i="27"/>
  <c r="P43" i="27"/>
  <c r="P36" i="27"/>
  <c r="P50" i="27"/>
  <c r="P53" i="27"/>
  <c r="P31" i="27"/>
  <c r="P16" i="27"/>
  <c r="P25" i="27"/>
  <c r="P3" i="27"/>
  <c r="P39" i="27"/>
  <c r="P24" i="27"/>
  <c r="P33" i="27"/>
  <c r="P35" i="27"/>
  <c r="P28" i="27"/>
  <c r="P5" i="27"/>
  <c r="P47" i="27"/>
  <c r="P32" i="27"/>
  <c r="P41" i="27"/>
  <c r="P51" i="27"/>
  <c r="P44" i="27"/>
  <c r="P13" i="27"/>
  <c r="P40" i="27"/>
  <c r="P6" i="27"/>
  <c r="P52" i="27"/>
  <c r="P21" i="27"/>
  <c r="P29" i="27"/>
  <c r="P7" i="27"/>
  <c r="P34" i="27"/>
  <c r="P18" i="27"/>
  <c r="P14" i="27"/>
  <c r="P46" i="27"/>
  <c r="P42" i="27"/>
  <c r="P30" i="27"/>
  <c r="P15" i="27"/>
  <c r="P38" i="27"/>
  <c r="P8" i="27"/>
  <c r="P37" i="27"/>
  <c r="P23" i="27"/>
  <c r="P48" i="27"/>
  <c r="P45" i="27"/>
  <c r="P9" i="27"/>
  <c r="P17" i="27"/>
  <c r="P22" i="27"/>
  <c r="U3" i="27" a="1"/>
  <c r="Z42" i="27"/>
  <c r="Z40" i="27"/>
  <c r="Z49" i="27"/>
  <c r="Z32" i="27"/>
  <c r="Z15" i="27"/>
  <c r="Z5" i="27"/>
  <c r="Z22" i="27"/>
  <c r="Z30" i="27"/>
  <c r="Z27" i="27"/>
  <c r="Z41" i="27"/>
  <c r="Z24" i="27"/>
  <c r="Z7" i="27"/>
  <c r="Z52" i="27"/>
  <c r="Z43" i="27"/>
  <c r="Z51" i="27"/>
  <c r="Z18" i="27"/>
  <c r="Z33" i="27"/>
  <c r="Z16" i="27"/>
  <c r="Z53" i="27"/>
  <c r="Z44" i="27"/>
  <c r="Z3" i="27"/>
  <c r="Z38" i="27"/>
  <c r="Z25" i="27"/>
  <c r="Z17" i="27"/>
  <c r="Z47" i="27"/>
  <c r="Z37" i="27"/>
  <c r="Z28" i="27"/>
  <c r="Z35" i="27"/>
  <c r="Z46" i="27"/>
  <c r="Z11" i="27"/>
  <c r="Z14" i="27"/>
  <c r="Z19" i="27"/>
  <c r="Z9" i="27"/>
  <c r="Z39" i="27"/>
  <c r="Z29" i="27"/>
  <c r="Z20" i="27"/>
  <c r="Z48" i="27"/>
  <c r="Z31" i="27"/>
  <c r="Z21" i="27"/>
  <c r="Z12" i="27"/>
  <c r="Z50" i="27"/>
  <c r="Z8" i="27"/>
  <c r="Z26" i="27"/>
  <c r="Z23" i="27"/>
  <c r="Z45" i="27"/>
  <c r="Z13" i="27"/>
  <c r="Z36" i="27"/>
  <c r="Z4" i="27"/>
  <c r="Z10" i="27"/>
  <c r="Z6" i="27"/>
  <c r="Z34" i="27"/>
  <c r="Q53" i="27"/>
  <c r="Q23" i="27"/>
  <c r="Q31" i="27"/>
  <c r="Q39" i="27"/>
  <c r="Q6" i="27"/>
  <c r="Q38" i="27"/>
  <c r="Q32" i="27"/>
  <c r="Q50" i="27"/>
  <c r="Q43" i="27"/>
  <c r="Q10" i="27"/>
  <c r="Q28" i="27"/>
  <c r="Q45" i="27"/>
  <c r="Q40" i="27"/>
  <c r="Q14" i="27"/>
  <c r="Q9" i="27"/>
  <c r="Q51" i="27"/>
  <c r="Q26" i="27"/>
  <c r="Q36" i="27"/>
  <c r="Q48" i="27"/>
  <c r="Q30" i="27"/>
  <c r="Q17" i="27"/>
  <c r="Q44" i="27"/>
  <c r="Q46" i="27"/>
  <c r="Q25" i="27"/>
  <c r="Q3" i="27"/>
  <c r="Q52" i="27"/>
  <c r="Q5" i="27"/>
  <c r="Q7" i="27"/>
  <c r="Q33" i="27"/>
  <c r="Q15" i="27"/>
  <c r="Q8" i="27"/>
  <c r="Q41" i="27"/>
  <c r="Q19" i="27"/>
  <c r="Q22" i="27"/>
  <c r="Q24" i="27"/>
  <c r="Q47" i="27"/>
  <c r="Q21" i="27"/>
  <c r="Q34" i="27"/>
  <c r="Q29" i="27"/>
  <c r="Q37" i="27"/>
  <c r="Q16" i="27"/>
  <c r="Q11" i="27"/>
  <c r="Q4" i="27"/>
  <c r="Q49" i="27"/>
  <c r="Q27" i="27"/>
  <c r="Q12" i="27"/>
  <c r="Q18" i="27"/>
  <c r="Q35" i="27"/>
  <c r="Q20" i="27"/>
  <c r="Q42" i="27"/>
  <c r="Q13" i="27"/>
  <c r="X46" i="27"/>
  <c r="X26" i="27"/>
  <c r="X11" i="27"/>
  <c r="X42" i="27"/>
  <c r="X20" i="27"/>
  <c r="X44" i="27"/>
  <c r="X38" i="27"/>
  <c r="X43" i="27"/>
  <c r="X49" i="27"/>
  <c r="X32" i="27"/>
  <c r="X15" i="27"/>
  <c r="X5" i="27"/>
  <c r="X35" i="27"/>
  <c r="X41" i="27"/>
  <c r="X24" i="27"/>
  <c r="X7" i="27"/>
  <c r="X52" i="27"/>
  <c r="X51" i="27"/>
  <c r="X22" i="27"/>
  <c r="X33" i="27"/>
  <c r="X16" i="27"/>
  <c r="X53" i="27"/>
  <c r="X18" i="27"/>
  <c r="X6" i="27"/>
  <c r="X10" i="27"/>
  <c r="X28" i="27"/>
  <c r="X36" i="27"/>
  <c r="X17" i="27"/>
  <c r="X47" i="27"/>
  <c r="X37" i="27"/>
  <c r="X50" i="27"/>
  <c r="X30" i="27"/>
  <c r="X4" i="27"/>
  <c r="X9" i="27"/>
  <c r="X39" i="27"/>
  <c r="X29" i="27"/>
  <c r="X12" i="27"/>
  <c r="X27" i="27"/>
  <c r="X48" i="27"/>
  <c r="X31" i="27"/>
  <c r="X21" i="27"/>
  <c r="X3" i="27"/>
  <c r="X8" i="27"/>
  <c r="X23" i="27"/>
  <c r="X45" i="27"/>
  <c r="X13" i="27"/>
  <c r="X34" i="27"/>
  <c r="X19" i="27"/>
  <c r="X25" i="27"/>
  <c r="X14" i="27"/>
  <c r="X40" i="27"/>
  <c r="W48" i="27"/>
  <c r="W47" i="27"/>
  <c r="W29" i="27"/>
  <c r="W20" i="27"/>
  <c r="W11" i="27"/>
  <c r="W18" i="27"/>
  <c r="W8" i="27"/>
  <c r="W10" i="27"/>
  <c r="W21" i="27"/>
  <c r="W12" i="27"/>
  <c r="W3" i="27"/>
  <c r="W34" i="27"/>
  <c r="W31" i="27"/>
  <c r="W32" i="27"/>
  <c r="W13" i="27"/>
  <c r="W4" i="27"/>
  <c r="W49" i="27"/>
  <c r="W50" i="27"/>
  <c r="W15" i="27"/>
  <c r="W30" i="27"/>
  <c r="W52" i="27"/>
  <c r="W43" i="27"/>
  <c r="W33" i="27"/>
  <c r="W23" i="27"/>
  <c r="W26" i="27"/>
  <c r="W14" i="27"/>
  <c r="W42" i="27"/>
  <c r="W16" i="27"/>
  <c r="W53" i="27"/>
  <c r="W44" i="27"/>
  <c r="W35" i="27"/>
  <c r="W25" i="27"/>
  <c r="W24" i="27"/>
  <c r="W40" i="27"/>
  <c r="W46" i="27"/>
  <c r="W45" i="27"/>
  <c r="W36" i="27"/>
  <c r="W27" i="27"/>
  <c r="W17" i="27"/>
  <c r="W22" i="27"/>
  <c r="W5" i="27"/>
  <c r="W28" i="27"/>
  <c r="W6" i="27"/>
  <c r="W51" i="27"/>
  <c r="W38" i="27"/>
  <c r="W19" i="27"/>
  <c r="W7" i="27"/>
  <c r="W41" i="27"/>
  <c r="W39" i="27"/>
  <c r="W9" i="27"/>
  <c r="W37" i="27"/>
  <c r="V3" i="27" a="1"/>
  <c r="Y34" i="27"/>
  <c r="Y6" i="27"/>
  <c r="Y26" i="27"/>
  <c r="Y53" i="27"/>
  <c r="Y44" i="27"/>
  <c r="Y35" i="27"/>
  <c r="Y25" i="27"/>
  <c r="Y8" i="27"/>
  <c r="Y47" i="27"/>
  <c r="Y14" i="27"/>
  <c r="Y45" i="27"/>
  <c r="Y36" i="27"/>
  <c r="Y27" i="27"/>
  <c r="Y17" i="27"/>
  <c r="Y46" i="27"/>
  <c r="Y7" i="27"/>
  <c r="Y37" i="27"/>
  <c r="Y28" i="27"/>
  <c r="Y19" i="27"/>
  <c r="Y9" i="27"/>
  <c r="Y22" i="27"/>
  <c r="Y30" i="27"/>
  <c r="Y50" i="27"/>
  <c r="Y21" i="27"/>
  <c r="Y12" i="27"/>
  <c r="Y3" i="27"/>
  <c r="Y40" i="27"/>
  <c r="Y31" i="27"/>
  <c r="Y13" i="27"/>
  <c r="Y4" i="27"/>
  <c r="Y49" i="27"/>
  <c r="Y32" i="27"/>
  <c r="Y18" i="27"/>
  <c r="Y15" i="27"/>
  <c r="Y5" i="27"/>
  <c r="Y51" i="27"/>
  <c r="Y41" i="27"/>
  <c r="Y24" i="27"/>
  <c r="Y10" i="27"/>
  <c r="Y39" i="27"/>
  <c r="Y38" i="27"/>
  <c r="Y11" i="27"/>
  <c r="Y33" i="27"/>
  <c r="Y48" i="27"/>
  <c r="Y16" i="27"/>
  <c r="Y29" i="27"/>
  <c r="Y52" i="27"/>
  <c r="Y23" i="27"/>
  <c r="Y20" i="27"/>
  <c r="Y42" i="27"/>
  <c r="Y43" i="27"/>
  <c r="M53" i="27"/>
  <c r="M30" i="27"/>
  <c r="M32" i="27"/>
  <c r="M46" i="27"/>
  <c r="M40" i="27"/>
  <c r="M7" i="27"/>
  <c r="M48" i="27"/>
  <c r="M14" i="27"/>
  <c r="M6" i="27"/>
  <c r="M22" i="27"/>
  <c r="M47" i="27"/>
  <c r="M38" i="27"/>
  <c r="M16" i="27"/>
  <c r="M17" i="27"/>
  <c r="M34" i="27"/>
  <c r="M44" i="27"/>
  <c r="M29" i="27"/>
  <c r="M24" i="27"/>
  <c r="M25" i="27"/>
  <c r="M3" i="27"/>
  <c r="M42" i="27"/>
  <c r="M52" i="27"/>
  <c r="M37" i="27"/>
  <c r="M31" i="27"/>
  <c r="M23" i="27"/>
  <c r="M33" i="27"/>
  <c r="M11" i="27"/>
  <c r="M50" i="27"/>
  <c r="M45" i="27"/>
  <c r="M41" i="27"/>
  <c r="M19" i="27"/>
  <c r="M4" i="27"/>
  <c r="M15" i="27"/>
  <c r="M49" i="27"/>
  <c r="M39" i="27"/>
  <c r="M35" i="27"/>
  <c r="M10" i="27"/>
  <c r="M20" i="27"/>
  <c r="M18" i="27"/>
  <c r="M28" i="27"/>
  <c r="M26" i="27"/>
  <c r="M36" i="27"/>
  <c r="M27" i="27"/>
  <c r="M8" i="27"/>
  <c r="M43" i="27"/>
  <c r="M5" i="27"/>
  <c r="M51" i="27"/>
  <c r="M13" i="27"/>
  <c r="M9" i="27"/>
  <c r="M21" i="27"/>
  <c r="M12" i="27"/>
  <c r="N49" i="27"/>
  <c r="N35" i="27"/>
  <c r="N43" i="27"/>
  <c r="N44" i="27"/>
  <c r="N51" i="27"/>
  <c r="N52" i="27"/>
  <c r="N12" i="27"/>
  <c r="N29" i="27"/>
  <c r="N7" i="27"/>
  <c r="N46" i="27"/>
  <c r="N37" i="27"/>
  <c r="N15" i="27"/>
  <c r="N4" i="27"/>
  <c r="N10" i="27"/>
  <c r="N45" i="27"/>
  <c r="N23" i="27"/>
  <c r="N8" i="27"/>
  <c r="N11" i="27"/>
  <c r="N20" i="27"/>
  <c r="N18" i="27"/>
  <c r="N3" i="27"/>
  <c r="N53" i="27"/>
  <c r="N31" i="27"/>
  <c r="N6" i="27"/>
  <c r="N16" i="27"/>
  <c r="N9" i="27"/>
  <c r="N19" i="27"/>
  <c r="N28" i="27"/>
  <c r="N26" i="27"/>
  <c r="N27" i="27"/>
  <c r="N36" i="27"/>
  <c r="N34" i="27"/>
  <c r="N5" i="27"/>
  <c r="N47" i="27"/>
  <c r="N50" i="27"/>
  <c r="N21" i="27"/>
  <c r="N25" i="27"/>
  <c r="N33" i="27"/>
  <c r="N41" i="27"/>
  <c r="N14" i="27"/>
  <c r="N24" i="27"/>
  <c r="N22" i="27"/>
  <c r="N32" i="27"/>
  <c r="N30" i="27"/>
  <c r="N40" i="27"/>
  <c r="N39" i="27"/>
  <c r="N38" i="27"/>
  <c r="N48" i="27"/>
  <c r="N42" i="27"/>
  <c r="N13" i="27"/>
  <c r="N17" i="27"/>
  <c r="U53" i="27" l="1"/>
  <c r="U14" i="27"/>
  <c r="U40" i="27"/>
  <c r="U10" i="27"/>
  <c r="U3" i="27"/>
  <c r="U39" i="27"/>
  <c r="U6" i="27"/>
  <c r="U37" i="27"/>
  <c r="U23" i="27"/>
  <c r="U48" i="27"/>
  <c r="U18" i="27"/>
  <c r="U11" i="27"/>
  <c r="U4" i="27"/>
  <c r="U46" i="27"/>
  <c r="U45" i="27"/>
  <c r="U30" i="27"/>
  <c r="U9" i="27"/>
  <c r="U26" i="27"/>
  <c r="U19" i="27"/>
  <c r="U12" i="27"/>
  <c r="U15" i="27"/>
  <c r="U7" i="27"/>
  <c r="U17" i="27"/>
  <c r="U34" i="27"/>
  <c r="U27" i="27"/>
  <c r="U20" i="27"/>
  <c r="U31" i="27"/>
  <c r="U8" i="27"/>
  <c r="U25" i="27"/>
  <c r="U42" i="27"/>
  <c r="U35" i="27"/>
  <c r="U28" i="27"/>
  <c r="U5" i="27"/>
  <c r="U16" i="27"/>
  <c r="U33" i="27"/>
  <c r="U50" i="27"/>
  <c r="U43" i="27"/>
  <c r="U36" i="27"/>
  <c r="U13" i="27"/>
  <c r="U24" i="27"/>
  <c r="U41" i="27"/>
  <c r="U22" i="27"/>
  <c r="U51" i="27"/>
  <c r="U44" i="27"/>
  <c r="U21" i="27"/>
  <c r="U32" i="27"/>
  <c r="U49" i="27"/>
  <c r="U47" i="27"/>
  <c r="U38" i="27"/>
  <c r="U52" i="27"/>
  <c r="U29" i="27"/>
  <c r="V30" i="27"/>
  <c r="V41" i="27"/>
  <c r="V24" i="27"/>
  <c r="V7" i="27"/>
  <c r="V18" i="27"/>
  <c r="V33" i="27"/>
  <c r="V16" i="27"/>
  <c r="V53" i="27"/>
  <c r="V34" i="27"/>
  <c r="V52" i="27"/>
  <c r="V11" i="27"/>
  <c r="V25" i="27"/>
  <c r="V8" i="27"/>
  <c r="V45" i="27"/>
  <c r="V50" i="27"/>
  <c r="V27" i="27"/>
  <c r="V17" i="27"/>
  <c r="V47" i="27"/>
  <c r="V37" i="27"/>
  <c r="V28" i="27"/>
  <c r="V3" i="27"/>
  <c r="V10" i="27"/>
  <c r="V43" i="27"/>
  <c r="V12" i="27"/>
  <c r="V9" i="27"/>
  <c r="V39" i="27"/>
  <c r="V29" i="27"/>
  <c r="V44" i="27"/>
  <c r="V48" i="27"/>
  <c r="V31" i="27"/>
  <c r="V21" i="27"/>
  <c r="V22" i="27"/>
  <c r="V35" i="27"/>
  <c r="V42" i="27"/>
  <c r="V40" i="27"/>
  <c r="V23" i="27"/>
  <c r="V13" i="27"/>
  <c r="V46" i="27"/>
  <c r="V38" i="27"/>
  <c r="V51" i="27"/>
  <c r="V14" i="27"/>
  <c r="V49" i="27"/>
  <c r="V32" i="27"/>
  <c r="V15" i="27"/>
  <c r="V5" i="27"/>
  <c r="V4" i="27"/>
  <c r="V26" i="27"/>
  <c r="V6" i="27"/>
  <c r="V19" i="27"/>
  <c r="V20" i="27"/>
  <c r="V36" i="27"/>
  <c r="L49" i="27"/>
  <c r="L3" i="27"/>
  <c r="L35" i="27"/>
  <c r="L12" i="27"/>
  <c r="L20" i="27"/>
  <c r="L27" i="27"/>
  <c r="L44" i="27"/>
  <c r="L26" i="27"/>
  <c r="L19" i="27"/>
  <c r="L5" i="27"/>
  <c r="L47" i="27"/>
  <c r="L34" i="27"/>
  <c r="L32" i="27"/>
  <c r="L9" i="27"/>
  <c r="L42" i="27"/>
  <c r="L51" i="27"/>
  <c r="L13" i="27"/>
  <c r="L6" i="27"/>
  <c r="L40" i="27"/>
  <c r="L17" i="27"/>
  <c r="L11" i="27"/>
  <c r="L21" i="27"/>
  <c r="L14" i="27"/>
  <c r="L48" i="27"/>
  <c r="L25" i="27"/>
  <c r="L43" i="27"/>
  <c r="L29" i="27"/>
  <c r="L18" i="27"/>
  <c r="L7" i="27"/>
  <c r="L22" i="27"/>
  <c r="L33" i="27"/>
  <c r="L37" i="27"/>
  <c r="L4" i="27"/>
  <c r="L45" i="27"/>
  <c r="L38" i="27"/>
  <c r="L23" i="27"/>
  <c r="L52" i="27"/>
  <c r="L15" i="27"/>
  <c r="L31" i="27"/>
  <c r="L36" i="27"/>
  <c r="L46" i="27"/>
  <c r="L39" i="27"/>
  <c r="L28" i="27"/>
  <c r="L41" i="27"/>
  <c r="L8" i="27"/>
  <c r="L53" i="27"/>
  <c r="L50" i="27"/>
  <c r="L16" i="27"/>
  <c r="L10" i="27"/>
  <c r="L24" i="27"/>
  <c r="L30" i="27"/>
  <c r="D10" i="40"/>
  <c r="BB16" i="40"/>
  <c r="BA16" i="40"/>
  <c r="AZ16" i="40"/>
  <c r="AY16" i="40"/>
  <c r="AX16" i="40"/>
  <c r="AW16" i="40"/>
  <c r="AV16" i="40"/>
  <c r="AU16" i="40"/>
  <c r="AT16" i="40"/>
  <c r="AS16" i="40"/>
  <c r="AR16" i="40"/>
  <c r="AQ16" i="40"/>
  <c r="AP16" i="40"/>
  <c r="AO16" i="40"/>
  <c r="AN16" i="40"/>
  <c r="AM16" i="40"/>
  <c r="AL16" i="40"/>
  <c r="AK16" i="40"/>
  <c r="AJ16" i="40"/>
  <c r="AI16" i="40"/>
  <c r="AH16" i="40"/>
  <c r="AG16" i="40"/>
  <c r="AF16" i="40"/>
  <c r="AE12" i="40"/>
  <c r="AD16" i="40"/>
  <c r="AC16" i="40"/>
  <c r="AB16" i="40"/>
  <c r="AA16" i="40"/>
  <c r="Z16" i="40"/>
  <c r="Y16" i="40"/>
  <c r="X16" i="40"/>
  <c r="W12" i="40"/>
  <c r="V16" i="40"/>
  <c r="U16" i="40"/>
  <c r="T16" i="40"/>
  <c r="S16" i="40"/>
  <c r="R16" i="40"/>
  <c r="Q16" i="40"/>
  <c r="P16" i="40"/>
  <c r="O12" i="40"/>
  <c r="N16" i="40"/>
  <c r="M16" i="40"/>
  <c r="L16" i="40"/>
  <c r="K16" i="40"/>
  <c r="J16" i="40"/>
  <c r="I16" i="40"/>
  <c r="H16" i="40"/>
  <c r="G12" i="40"/>
  <c r="F16" i="40"/>
  <c r="E16" i="40"/>
  <c r="E1" i="40"/>
  <c r="F1" i="40" s="1"/>
  <c r="G1" i="40" s="1"/>
  <c r="H1" i="40" s="1"/>
  <c r="I1" i="40" s="1"/>
  <c r="J1" i="40" s="1"/>
  <c r="K1" i="40" s="1"/>
  <c r="L1" i="40" s="1"/>
  <c r="M1" i="40" s="1"/>
  <c r="N1" i="40" s="1"/>
  <c r="O1" i="40" s="1"/>
  <c r="P1" i="40" s="1"/>
  <c r="Q1" i="40" s="1"/>
  <c r="R1" i="40" s="1"/>
  <c r="S1" i="40" s="1"/>
  <c r="T1" i="40" s="1"/>
  <c r="U1" i="40" s="1"/>
  <c r="V1" i="40" s="1"/>
  <c r="W1" i="40" s="1"/>
  <c r="X1" i="40" s="1"/>
  <c r="Y1" i="40" s="1"/>
  <c r="Z1" i="40" s="1"/>
  <c r="AA1" i="40" s="1"/>
  <c r="AB1" i="40" s="1"/>
  <c r="AC1" i="40" s="1"/>
  <c r="AD1" i="40" s="1"/>
  <c r="AE1" i="40" s="1"/>
  <c r="AF1" i="40" s="1"/>
  <c r="AG1" i="40" s="1"/>
  <c r="AH1" i="40" s="1"/>
  <c r="AI1" i="40" s="1"/>
  <c r="AJ1" i="40" s="1"/>
  <c r="AK1" i="40" s="1"/>
  <c r="AL1" i="40" s="1"/>
  <c r="AM1" i="40" s="1"/>
  <c r="AN1" i="40" s="1"/>
  <c r="AO1" i="40" s="1"/>
  <c r="AP1" i="40" s="1"/>
  <c r="AQ1" i="40" s="1"/>
  <c r="AR1" i="40" s="1"/>
  <c r="AS1" i="40" s="1"/>
  <c r="AT1" i="40" s="1"/>
  <c r="AU1" i="40" s="1"/>
  <c r="AV1" i="40" s="1"/>
  <c r="AW1" i="40" s="1"/>
  <c r="AX1" i="40" s="1"/>
  <c r="AY1" i="40" s="1"/>
  <c r="AZ1" i="40" s="1"/>
  <c r="BA1" i="40" s="1"/>
  <c r="BB1" i="40" s="1"/>
  <c r="E1" i="39"/>
  <c r="F1" i="39"/>
  <c r="G1" i="39"/>
  <c r="H1" i="39"/>
  <c r="I1" i="39" s="1"/>
  <c r="J1" i="39" s="1"/>
  <c r="K1" i="39" s="1"/>
  <c r="L1" i="39" s="1"/>
  <c r="M1" i="39" s="1"/>
  <c r="N1" i="39" s="1"/>
  <c r="O1" i="39" s="1"/>
  <c r="P1" i="39" s="1"/>
  <c r="Q1" i="39" s="1"/>
  <c r="R1" i="39" s="1"/>
  <c r="S1" i="39" s="1"/>
  <c r="T1" i="39" s="1"/>
  <c r="U1" i="39" s="1"/>
  <c r="V1" i="39" s="1"/>
  <c r="W1" i="39" s="1"/>
  <c r="X1" i="39" s="1"/>
  <c r="Y1" i="39" s="1"/>
  <c r="Z1" i="39" s="1"/>
  <c r="AA1" i="39" s="1"/>
  <c r="AB1" i="39" s="1"/>
  <c r="AC1" i="39" s="1"/>
  <c r="AD1" i="39" s="1"/>
  <c r="AE1" i="39" s="1"/>
  <c r="AF1" i="39" s="1"/>
  <c r="AG1" i="39" s="1"/>
  <c r="AH1" i="39" s="1"/>
  <c r="AI1" i="39" s="1"/>
  <c r="AJ1" i="39" s="1"/>
  <c r="AK1" i="39" s="1"/>
  <c r="AL1" i="39" s="1"/>
  <c r="AM1" i="39" s="1"/>
  <c r="AN1" i="39" s="1"/>
  <c r="AO1" i="39" s="1"/>
  <c r="AP1" i="39" s="1"/>
  <c r="AQ1" i="39" s="1"/>
  <c r="AR1" i="39" s="1"/>
  <c r="AS1" i="39" s="1"/>
  <c r="AT1" i="39" s="1"/>
  <c r="AU1" i="39" s="1"/>
  <c r="AV1" i="39" s="1"/>
  <c r="AW1" i="39" s="1"/>
  <c r="AX1" i="39" s="1"/>
  <c r="AY1" i="39" s="1"/>
  <c r="AZ1" i="39" s="1"/>
  <c r="BA1" i="39" s="1"/>
  <c r="BB1" i="39" s="1"/>
  <c r="E12" i="39"/>
  <c r="F16" i="39"/>
  <c r="G12" i="39"/>
  <c r="H12" i="39"/>
  <c r="I12" i="39"/>
  <c r="J12" i="39"/>
  <c r="L12" i="39"/>
  <c r="M12" i="39"/>
  <c r="N12" i="39"/>
  <c r="O12" i="39"/>
  <c r="P16" i="39"/>
  <c r="Q12" i="39"/>
  <c r="R12" i="39"/>
  <c r="S12" i="39"/>
  <c r="T16" i="39"/>
  <c r="U12" i="39"/>
  <c r="V12" i="39"/>
  <c r="W12" i="39"/>
  <c r="X12" i="39"/>
  <c r="Y12" i="39"/>
  <c r="Z12" i="39"/>
  <c r="AA12" i="39"/>
  <c r="AB16" i="39"/>
  <c r="AC12" i="39"/>
  <c r="AD12" i="39"/>
  <c r="AF12" i="39"/>
  <c r="AG12" i="39"/>
  <c r="AH12" i="39"/>
  <c r="AI12" i="39"/>
  <c r="AJ12" i="39"/>
  <c r="AK12" i="39"/>
  <c r="AL16" i="39"/>
  <c r="AM16" i="39"/>
  <c r="AN16" i="39"/>
  <c r="AO16" i="39"/>
  <c r="AP16" i="39"/>
  <c r="AQ16" i="39"/>
  <c r="AR16" i="39"/>
  <c r="AS16" i="39"/>
  <c r="AT16" i="39"/>
  <c r="AU16" i="39"/>
  <c r="AW16" i="39"/>
  <c r="AX16" i="39"/>
  <c r="AY16" i="39"/>
  <c r="AZ16" i="39"/>
  <c r="BA16" i="39"/>
  <c r="BB16" i="39"/>
  <c r="D10" i="39"/>
  <c r="F12" i="39"/>
  <c r="P12" i="39"/>
  <c r="E16" i="39"/>
  <c r="N16" i="39"/>
  <c r="AC16" i="39"/>
  <c r="AF16" i="39"/>
  <c r="AV16" i="39"/>
  <c r="D10" i="37"/>
  <c r="BB16" i="37"/>
  <c r="BA16" i="37"/>
  <c r="AZ16" i="37"/>
  <c r="AY16" i="37"/>
  <c r="AX16" i="37"/>
  <c r="AW16" i="37"/>
  <c r="AV16" i="37"/>
  <c r="AU16" i="37"/>
  <c r="AT16" i="37"/>
  <c r="AS16" i="37"/>
  <c r="AR16" i="37"/>
  <c r="AQ16" i="37"/>
  <c r="AP16" i="37"/>
  <c r="AO16" i="37"/>
  <c r="AN16" i="37"/>
  <c r="AM16" i="37"/>
  <c r="AL16" i="37"/>
  <c r="AJ12" i="37"/>
  <c r="AI12" i="37"/>
  <c r="AH16" i="37"/>
  <c r="AG16" i="37"/>
  <c r="AF16" i="37"/>
  <c r="AE16" i="37"/>
  <c r="AD16" i="37"/>
  <c r="AC16" i="37"/>
  <c r="AB12" i="37"/>
  <c r="AA12" i="37"/>
  <c r="Z16" i="37"/>
  <c r="Y16" i="37"/>
  <c r="X16" i="37"/>
  <c r="W16" i="37"/>
  <c r="V16" i="37"/>
  <c r="T12" i="37"/>
  <c r="S12" i="37"/>
  <c r="R16" i="37"/>
  <c r="Q16" i="37"/>
  <c r="P16" i="37"/>
  <c r="O16" i="37"/>
  <c r="N16" i="37"/>
  <c r="M16" i="37"/>
  <c r="L12" i="37"/>
  <c r="K12" i="37"/>
  <c r="J16" i="37"/>
  <c r="I16" i="37"/>
  <c r="H16" i="37"/>
  <c r="G16" i="37"/>
  <c r="F16" i="37"/>
  <c r="E1" i="37"/>
  <c r="F1" i="37" s="1"/>
  <c r="G1" i="37" s="1"/>
  <c r="H1" i="37" s="1"/>
  <c r="I1" i="37" s="1"/>
  <c r="J1" i="37" s="1"/>
  <c r="K1" i="37" s="1"/>
  <c r="L1" i="37" s="1"/>
  <c r="M1" i="37" s="1"/>
  <c r="N1" i="37" s="1"/>
  <c r="O1" i="37" s="1"/>
  <c r="P1" i="37" s="1"/>
  <c r="Q1" i="37" s="1"/>
  <c r="R1" i="37" s="1"/>
  <c r="S1" i="37" s="1"/>
  <c r="T1" i="37" s="1"/>
  <c r="U1" i="37" s="1"/>
  <c r="V1" i="37" s="1"/>
  <c r="W1" i="37" s="1"/>
  <c r="X1" i="37" s="1"/>
  <c r="Y1" i="37" s="1"/>
  <c r="Z1" i="37" s="1"/>
  <c r="AA1" i="37" s="1"/>
  <c r="AB1" i="37" s="1"/>
  <c r="AC1" i="37" s="1"/>
  <c r="AD1" i="37" s="1"/>
  <c r="AE1" i="37" s="1"/>
  <c r="AF1" i="37" s="1"/>
  <c r="AG1" i="37" s="1"/>
  <c r="AH1" i="37" s="1"/>
  <c r="AI1" i="37" s="1"/>
  <c r="AJ1" i="37" s="1"/>
  <c r="AK1" i="37" s="1"/>
  <c r="AL1" i="37" s="1"/>
  <c r="AM1" i="37" s="1"/>
  <c r="AN1" i="37" s="1"/>
  <c r="AO1" i="37" s="1"/>
  <c r="AP1" i="37" s="1"/>
  <c r="AQ1" i="37" s="1"/>
  <c r="AR1" i="37" s="1"/>
  <c r="AS1" i="37" s="1"/>
  <c r="AT1" i="37" s="1"/>
  <c r="AU1" i="37" s="1"/>
  <c r="AV1" i="37" s="1"/>
  <c r="AW1" i="37" s="1"/>
  <c r="AX1" i="37" s="1"/>
  <c r="AY1" i="37" s="1"/>
  <c r="AZ1" i="37" s="1"/>
  <c r="BA1" i="37" s="1"/>
  <c r="BB1" i="37" s="1"/>
  <c r="D10" i="36"/>
  <c r="BB16" i="36"/>
  <c r="BA16" i="36"/>
  <c r="AZ16" i="36"/>
  <c r="AY16" i="36"/>
  <c r="AX16" i="36"/>
  <c r="AW16" i="36"/>
  <c r="AV16" i="36"/>
  <c r="AU16" i="36"/>
  <c r="AT16" i="36"/>
  <c r="AS16" i="36"/>
  <c r="AR16" i="36"/>
  <c r="AQ16" i="36"/>
  <c r="AP16" i="36"/>
  <c r="AO16" i="36"/>
  <c r="AN16" i="36"/>
  <c r="AM16" i="36"/>
  <c r="AL16" i="36"/>
  <c r="AK16" i="36"/>
  <c r="AJ16" i="36"/>
  <c r="AI12" i="36"/>
  <c r="AH16" i="36"/>
  <c r="AG16" i="36"/>
  <c r="AF16" i="36"/>
  <c r="AE16" i="36"/>
  <c r="AD16" i="36"/>
  <c r="AC16" i="36"/>
  <c r="AB16" i="36"/>
  <c r="AA12" i="36"/>
  <c r="Z16" i="36"/>
  <c r="Y16" i="36"/>
  <c r="X16" i="36"/>
  <c r="W16" i="36"/>
  <c r="V16" i="36"/>
  <c r="U16" i="36"/>
  <c r="T16" i="36"/>
  <c r="S12" i="36"/>
  <c r="R16" i="36"/>
  <c r="Q16" i="36"/>
  <c r="P16" i="36"/>
  <c r="O16" i="36"/>
  <c r="N16" i="36"/>
  <c r="M16" i="36"/>
  <c r="L16" i="36"/>
  <c r="K12" i="36"/>
  <c r="J16" i="36"/>
  <c r="I16" i="36"/>
  <c r="H16" i="36"/>
  <c r="G16" i="36"/>
  <c r="F16" i="36"/>
  <c r="E16" i="36"/>
  <c r="E1" i="36"/>
  <c r="F1" i="36" s="1"/>
  <c r="G1" i="36" s="1"/>
  <c r="H1" i="36" s="1"/>
  <c r="I1" i="36" s="1"/>
  <c r="J1" i="36" s="1"/>
  <c r="K1" i="36" s="1"/>
  <c r="L1" i="36" s="1"/>
  <c r="M1" i="36" s="1"/>
  <c r="N1" i="36" s="1"/>
  <c r="O1" i="36" s="1"/>
  <c r="P1" i="36" s="1"/>
  <c r="Q1" i="36" s="1"/>
  <c r="R1" i="36" s="1"/>
  <c r="S1" i="36" s="1"/>
  <c r="T1" i="36" s="1"/>
  <c r="U1" i="36" s="1"/>
  <c r="V1" i="36" s="1"/>
  <c r="W1" i="36" s="1"/>
  <c r="X1" i="36" s="1"/>
  <c r="Y1" i="36" s="1"/>
  <c r="Z1" i="36" s="1"/>
  <c r="AA1" i="36" s="1"/>
  <c r="AB1" i="36" s="1"/>
  <c r="AC1" i="36" s="1"/>
  <c r="AD1" i="36" s="1"/>
  <c r="AE1" i="36" s="1"/>
  <c r="AF1" i="36" s="1"/>
  <c r="AG1" i="36" s="1"/>
  <c r="AH1" i="36" s="1"/>
  <c r="AI1" i="36" s="1"/>
  <c r="AJ1" i="36" s="1"/>
  <c r="AK1" i="36" s="1"/>
  <c r="AL1" i="36" s="1"/>
  <c r="AM1" i="36" s="1"/>
  <c r="AN1" i="36" s="1"/>
  <c r="AO1" i="36" s="1"/>
  <c r="AP1" i="36" s="1"/>
  <c r="AQ1" i="36" s="1"/>
  <c r="AR1" i="36" s="1"/>
  <c r="AS1" i="36" s="1"/>
  <c r="AT1" i="36" s="1"/>
  <c r="AU1" i="36" s="1"/>
  <c r="AV1" i="36" s="1"/>
  <c r="AW1" i="36" s="1"/>
  <c r="AX1" i="36" s="1"/>
  <c r="AY1" i="36" s="1"/>
  <c r="AZ1" i="36" s="1"/>
  <c r="BA1" i="36" s="1"/>
  <c r="BB1" i="36" s="1"/>
  <c r="C16" i="38"/>
  <c r="C12" i="38"/>
  <c r="D10" i="38"/>
  <c r="BB16" i="38"/>
  <c r="BA16" i="38"/>
  <c r="AZ16" i="38"/>
  <c r="AY16" i="38"/>
  <c r="AX16" i="38"/>
  <c r="AW16" i="38"/>
  <c r="AV16" i="38"/>
  <c r="AU16" i="38"/>
  <c r="AT16" i="38"/>
  <c r="AS16" i="38"/>
  <c r="AR16" i="38"/>
  <c r="AQ16" i="38"/>
  <c r="AP16" i="38"/>
  <c r="AO16" i="38"/>
  <c r="AN16" i="38"/>
  <c r="AM16" i="38"/>
  <c r="AL16" i="38"/>
  <c r="AK16" i="38"/>
  <c r="AJ16" i="38"/>
  <c r="AI16" i="38"/>
  <c r="AH16" i="38"/>
  <c r="AG16" i="38"/>
  <c r="AF16" i="38"/>
  <c r="AE16" i="38"/>
  <c r="AD16" i="38"/>
  <c r="AC16" i="38"/>
  <c r="AB16" i="38"/>
  <c r="AA16" i="38"/>
  <c r="Z16" i="38"/>
  <c r="Y16" i="38"/>
  <c r="X16" i="38"/>
  <c r="W16" i="38"/>
  <c r="V16" i="38"/>
  <c r="U16" i="38"/>
  <c r="T16" i="38"/>
  <c r="S16" i="38"/>
  <c r="R12" i="38"/>
  <c r="Q16" i="38"/>
  <c r="P16" i="38"/>
  <c r="O16" i="38"/>
  <c r="N16" i="38"/>
  <c r="M16" i="38"/>
  <c r="L16" i="38"/>
  <c r="K16" i="38"/>
  <c r="J12" i="38"/>
  <c r="I16" i="38"/>
  <c r="H16" i="38"/>
  <c r="G16" i="38"/>
  <c r="F16" i="38"/>
  <c r="E16" i="38"/>
  <c r="E1" i="38"/>
  <c r="F1" i="38" s="1"/>
  <c r="G1" i="38" s="1"/>
  <c r="H1" i="38" s="1"/>
  <c r="I1" i="38" s="1"/>
  <c r="J1" i="38" s="1"/>
  <c r="K1" i="38" s="1"/>
  <c r="L1" i="38" s="1"/>
  <c r="M1" i="38" s="1"/>
  <c r="N1" i="38" s="1"/>
  <c r="O1" i="38" s="1"/>
  <c r="P1" i="38" s="1"/>
  <c r="Q1" i="38" s="1"/>
  <c r="R1" i="38" s="1"/>
  <c r="S1" i="38" s="1"/>
  <c r="T1" i="38" s="1"/>
  <c r="U1" i="38" s="1"/>
  <c r="V1" i="38" s="1"/>
  <c r="W1" i="38" s="1"/>
  <c r="X1" i="38" s="1"/>
  <c r="Y1" i="38" s="1"/>
  <c r="Z1" i="38" s="1"/>
  <c r="AA1" i="38" s="1"/>
  <c r="AB1" i="38" s="1"/>
  <c r="AC1" i="38" s="1"/>
  <c r="AD1" i="38" s="1"/>
  <c r="AE1" i="38" s="1"/>
  <c r="AF1" i="38" s="1"/>
  <c r="AG1" i="38" s="1"/>
  <c r="AH1" i="38" s="1"/>
  <c r="AI1" i="38" s="1"/>
  <c r="AJ1" i="38" s="1"/>
  <c r="AK1" i="38" s="1"/>
  <c r="AL1" i="38" s="1"/>
  <c r="AM1" i="38" s="1"/>
  <c r="AN1" i="38" s="1"/>
  <c r="AO1" i="38" s="1"/>
  <c r="AP1" i="38" s="1"/>
  <c r="AQ1" i="38" s="1"/>
  <c r="AR1" i="38" s="1"/>
  <c r="AS1" i="38" s="1"/>
  <c r="AT1" i="38" s="1"/>
  <c r="AU1" i="38" s="1"/>
  <c r="AV1" i="38" s="1"/>
  <c r="AW1" i="38" s="1"/>
  <c r="AX1" i="38" s="1"/>
  <c r="AY1" i="38" s="1"/>
  <c r="AZ1" i="38" s="1"/>
  <c r="BA1" i="38" s="1"/>
  <c r="BB1" i="38" s="1"/>
  <c r="AC20" i="39" l="1"/>
  <c r="H16" i="39"/>
  <c r="AG20" i="39"/>
  <c r="X16" i="39"/>
  <c r="AD20" i="39"/>
  <c r="Z18" i="39"/>
  <c r="R18" i="39"/>
  <c r="AZ18" i="39"/>
  <c r="I18" i="40"/>
  <c r="Q18" i="40"/>
  <c r="Y18" i="40"/>
  <c r="AG18" i="40"/>
  <c r="AO18" i="40"/>
  <c r="V16" i="39"/>
  <c r="AE20" i="39"/>
  <c r="K18" i="36"/>
  <c r="S18" i="36"/>
  <c r="AA18" i="36"/>
  <c r="AI18" i="36"/>
  <c r="AB12" i="39"/>
  <c r="I18" i="38"/>
  <c r="Q18" i="38"/>
  <c r="Y18" i="38"/>
  <c r="AG18" i="38"/>
  <c r="T12" i="39"/>
  <c r="AB20" i="39"/>
  <c r="L16" i="39"/>
  <c r="BB18" i="39"/>
  <c r="AJ16" i="39"/>
  <c r="H18" i="36"/>
  <c r="P18" i="36"/>
  <c r="X18" i="36"/>
  <c r="AF18" i="36"/>
  <c r="AN18" i="36"/>
  <c r="AV18" i="36"/>
  <c r="K18" i="40"/>
  <c r="S18" i="40"/>
  <c r="AA18" i="40"/>
  <c r="H10" i="38"/>
  <c r="P10" i="38"/>
  <c r="X10" i="38"/>
  <c r="AN10" i="38"/>
  <c r="AV10" i="38"/>
  <c r="F18" i="38"/>
  <c r="N18" i="38"/>
  <c r="V18" i="38"/>
  <c r="AD18" i="38"/>
  <c r="AL18" i="38"/>
  <c r="AT18" i="38"/>
  <c r="BB18" i="38"/>
  <c r="AX18" i="39"/>
  <c r="AE18" i="36"/>
  <c r="Z12" i="38"/>
  <c r="M16" i="39"/>
  <c r="I18" i="39"/>
  <c r="R16" i="38"/>
  <c r="AR18" i="39"/>
  <c r="AJ18" i="39"/>
  <c r="AB18" i="39"/>
  <c r="T18" i="39"/>
  <c r="L18" i="39"/>
  <c r="AT18" i="39"/>
  <c r="AL18" i="39"/>
  <c r="AZ17" i="39"/>
  <c r="AR17" i="39"/>
  <c r="AJ17" i="39"/>
  <c r="AB17" i="39"/>
  <c r="T17" i="39"/>
  <c r="L17" i="39"/>
  <c r="AW18" i="40"/>
  <c r="AO18" i="38"/>
  <c r="AW18" i="38"/>
  <c r="AQ18" i="36"/>
  <c r="U10" i="38"/>
  <c r="AB16" i="37"/>
  <c r="AK16" i="39"/>
  <c r="U16" i="39"/>
  <c r="AQ18" i="40"/>
  <c r="AG18" i="39"/>
  <c r="AW10" i="39"/>
  <c r="AQ17" i="39"/>
  <c r="S17" i="39"/>
  <c r="L18" i="40"/>
  <c r="T18" i="40"/>
  <c r="AB18" i="40"/>
  <c r="AJ18" i="40"/>
  <c r="AR18" i="40"/>
  <c r="X12" i="40"/>
  <c r="AF20" i="38"/>
  <c r="AI16" i="39"/>
  <c r="AD16" i="39"/>
  <c r="Q10" i="38"/>
  <c r="AO10" i="38"/>
  <c r="AW10" i="38"/>
  <c r="AC10" i="38"/>
  <c r="BA10" i="38"/>
  <c r="G18" i="38"/>
  <c r="O18" i="38"/>
  <c r="W18" i="38"/>
  <c r="AE18" i="38"/>
  <c r="AM18" i="38"/>
  <c r="AU18" i="38"/>
  <c r="AH12" i="38"/>
  <c r="F10" i="36"/>
  <c r="BB10" i="36"/>
  <c r="T12" i="36"/>
  <c r="I10" i="37"/>
  <c r="Q10" i="37"/>
  <c r="Y10" i="37"/>
  <c r="AG10" i="37"/>
  <c r="AO10" i="37"/>
  <c r="AW10" i="37"/>
  <c r="G18" i="37"/>
  <c r="O18" i="37"/>
  <c r="W18" i="37"/>
  <c r="AE18" i="37"/>
  <c r="AM18" i="37"/>
  <c r="AU18" i="37"/>
  <c r="I10" i="38"/>
  <c r="Y10" i="38"/>
  <c r="S16" i="36"/>
  <c r="J10" i="37"/>
  <c r="R10" i="37"/>
  <c r="Z10" i="37"/>
  <c r="AH10" i="37"/>
  <c r="AP10" i="37"/>
  <c r="AX10" i="37"/>
  <c r="H18" i="37"/>
  <c r="P18" i="37"/>
  <c r="X18" i="37"/>
  <c r="AF18" i="37"/>
  <c r="AN18" i="37"/>
  <c r="AV18" i="37"/>
  <c r="Q10" i="39"/>
  <c r="G18" i="36"/>
  <c r="O18" i="36"/>
  <c r="W18" i="36"/>
  <c r="AU18" i="36"/>
  <c r="J18" i="37"/>
  <c r="R18" i="37"/>
  <c r="Z18" i="37"/>
  <c r="G16" i="40"/>
  <c r="AJ12" i="38"/>
  <c r="J10" i="36"/>
  <c r="R10" i="36"/>
  <c r="Z10" i="36"/>
  <c r="AH10" i="36"/>
  <c r="AP10" i="36"/>
  <c r="AX10" i="36"/>
  <c r="AL10" i="36"/>
  <c r="AT10" i="36"/>
  <c r="O16" i="40"/>
  <c r="AS10" i="38"/>
  <c r="AK12" i="38"/>
  <c r="K10" i="36"/>
  <c r="S10" i="36"/>
  <c r="AA10" i="36"/>
  <c r="AI10" i="36"/>
  <c r="AQ10" i="36"/>
  <c r="AY10" i="36"/>
  <c r="I18" i="36"/>
  <c r="Q18" i="36"/>
  <c r="Y18" i="36"/>
  <c r="AG18" i="36"/>
  <c r="AO18" i="36"/>
  <c r="AW18" i="36"/>
  <c r="AM18" i="36"/>
  <c r="AC12" i="37"/>
  <c r="AP18" i="39"/>
  <c r="AH18" i="39"/>
  <c r="J18" i="39"/>
  <c r="G18" i="40"/>
  <c r="O18" i="40"/>
  <c r="W18" i="40"/>
  <c r="AE18" i="40"/>
  <c r="AM18" i="40"/>
  <c r="AU18" i="40"/>
  <c r="AI18" i="40"/>
  <c r="W16" i="40"/>
  <c r="AK10" i="38"/>
  <c r="O10" i="37"/>
  <c r="L16" i="37"/>
  <c r="AO18" i="39"/>
  <c r="Y18" i="39"/>
  <c r="AY17" i="39"/>
  <c r="AA17" i="39"/>
  <c r="K17" i="39"/>
  <c r="AG20" i="38"/>
  <c r="T10" i="38"/>
  <c r="AZ10" i="38"/>
  <c r="AH18" i="38"/>
  <c r="N17" i="36"/>
  <c r="AD17" i="36"/>
  <c r="AJ18" i="36"/>
  <c r="M17" i="38"/>
  <c r="F17" i="38"/>
  <c r="V17" i="38"/>
  <c r="AL17" i="38"/>
  <c r="AT17" i="38"/>
  <c r="G17" i="38"/>
  <c r="O17" i="38"/>
  <c r="W17" i="38"/>
  <c r="AE17" i="38"/>
  <c r="AM17" i="38"/>
  <c r="AU17" i="38"/>
  <c r="E18" i="38"/>
  <c r="M18" i="38"/>
  <c r="U18" i="38"/>
  <c r="AC18" i="38"/>
  <c r="AK18" i="38"/>
  <c r="AS18" i="38"/>
  <c r="BA18" i="38"/>
  <c r="M10" i="38"/>
  <c r="I10" i="36"/>
  <c r="Q10" i="36"/>
  <c r="Y10" i="36"/>
  <c r="AG10" i="36"/>
  <c r="AO10" i="36"/>
  <c r="AW10" i="36"/>
  <c r="AD10" i="36"/>
  <c r="K16" i="36"/>
  <c r="H17" i="37"/>
  <c r="P17" i="37"/>
  <c r="X17" i="37"/>
  <c r="AF17" i="37"/>
  <c r="AN17" i="37"/>
  <c r="AV17" i="37"/>
  <c r="J17" i="37"/>
  <c r="R17" i="37"/>
  <c r="Z17" i="37"/>
  <c r="AH17" i="37"/>
  <c r="AP17" i="37"/>
  <c r="AX17" i="37"/>
  <c r="M12" i="37"/>
  <c r="W16" i="39"/>
  <c r="J10" i="38"/>
  <c r="R10" i="38"/>
  <c r="Z10" i="38"/>
  <c r="AH20" i="38"/>
  <c r="AP10" i="38"/>
  <c r="AX10" i="38"/>
  <c r="H18" i="38"/>
  <c r="P18" i="38"/>
  <c r="X18" i="38"/>
  <c r="AF18" i="38"/>
  <c r="AN18" i="38"/>
  <c r="AV18" i="38"/>
  <c r="L10" i="36"/>
  <c r="T10" i="36"/>
  <c r="AB10" i="36"/>
  <c r="AJ10" i="36"/>
  <c r="AR10" i="36"/>
  <c r="AZ10" i="36"/>
  <c r="J18" i="36"/>
  <c r="R18" i="36"/>
  <c r="Z18" i="36"/>
  <c r="AH18" i="36"/>
  <c r="AP18" i="36"/>
  <c r="AX18" i="36"/>
  <c r="AI16" i="36"/>
  <c r="K10" i="37"/>
  <c r="S10" i="37"/>
  <c r="AA10" i="37"/>
  <c r="AI10" i="37"/>
  <c r="AQ10" i="37"/>
  <c r="AY10" i="37"/>
  <c r="I18" i="37"/>
  <c r="Q18" i="37"/>
  <c r="Y18" i="37"/>
  <c r="AG18" i="37"/>
  <c r="AO18" i="37"/>
  <c r="AW18" i="37"/>
  <c r="S16" i="39"/>
  <c r="K10" i="38"/>
  <c r="S10" i="38"/>
  <c r="AA10" i="38"/>
  <c r="AI10" i="38"/>
  <c r="AQ10" i="38"/>
  <c r="AY10" i="38"/>
  <c r="J16" i="38"/>
  <c r="E10" i="36"/>
  <c r="M10" i="36"/>
  <c r="U10" i="36"/>
  <c r="AC10" i="36"/>
  <c r="AK10" i="36"/>
  <c r="AS10" i="36"/>
  <c r="BA10" i="36"/>
  <c r="AY18" i="36"/>
  <c r="L12" i="36"/>
  <c r="L10" i="37"/>
  <c r="T10" i="37"/>
  <c r="AB10" i="37"/>
  <c r="AJ10" i="37"/>
  <c r="AR10" i="37"/>
  <c r="AZ10" i="37"/>
  <c r="G16" i="39"/>
  <c r="AJ10" i="38"/>
  <c r="Z18" i="38"/>
  <c r="AT17" i="36"/>
  <c r="T18" i="36"/>
  <c r="AZ18" i="36"/>
  <c r="E10" i="37"/>
  <c r="M10" i="37"/>
  <c r="U10" i="37"/>
  <c r="AC10" i="37"/>
  <c r="AK10" i="37"/>
  <c r="AS10" i="37"/>
  <c r="BA10" i="37"/>
  <c r="E16" i="37"/>
  <c r="E12" i="37"/>
  <c r="U16" i="37"/>
  <c r="U12" i="37"/>
  <c r="AK16" i="37"/>
  <c r="AK12" i="37"/>
  <c r="K18" i="37"/>
  <c r="S18" i="37"/>
  <c r="AA18" i="37"/>
  <c r="AI18" i="37"/>
  <c r="AQ18" i="37"/>
  <c r="AY18" i="37"/>
  <c r="O16" i="39"/>
  <c r="AW18" i="39"/>
  <c r="Q18" i="39"/>
  <c r="K12" i="39"/>
  <c r="K16" i="39"/>
  <c r="AO10" i="39"/>
  <c r="AG10" i="39"/>
  <c r="Y10" i="39"/>
  <c r="I10" i="39"/>
  <c r="AI17" i="39"/>
  <c r="J17" i="40"/>
  <c r="R17" i="40"/>
  <c r="Z17" i="40"/>
  <c r="AH17" i="40"/>
  <c r="AP17" i="40"/>
  <c r="AX17" i="40"/>
  <c r="H18" i="40"/>
  <c r="P18" i="40"/>
  <c r="X18" i="40"/>
  <c r="AF18" i="40"/>
  <c r="AN18" i="40"/>
  <c r="AV18" i="40"/>
  <c r="L10" i="38"/>
  <c r="AR10" i="38"/>
  <c r="R18" i="38"/>
  <c r="AP18" i="38"/>
  <c r="V17" i="36"/>
  <c r="BB17" i="36"/>
  <c r="AB18" i="36"/>
  <c r="E17" i="38"/>
  <c r="AC17" i="38"/>
  <c r="AK17" i="38"/>
  <c r="AS17" i="38"/>
  <c r="BA17" i="38"/>
  <c r="K18" i="38"/>
  <c r="S18" i="38"/>
  <c r="AA18" i="38"/>
  <c r="AI18" i="38"/>
  <c r="AQ18" i="38"/>
  <c r="AY18" i="38"/>
  <c r="G17" i="36"/>
  <c r="O17" i="36"/>
  <c r="W17" i="36"/>
  <c r="AE17" i="36"/>
  <c r="AM17" i="36"/>
  <c r="AU17" i="36"/>
  <c r="I17" i="36"/>
  <c r="Q17" i="36"/>
  <c r="Y17" i="36"/>
  <c r="AG17" i="36"/>
  <c r="AO17" i="36"/>
  <c r="AW17" i="36"/>
  <c r="E18" i="36"/>
  <c r="M18" i="36"/>
  <c r="U18" i="36"/>
  <c r="AC18" i="36"/>
  <c r="AK18" i="36"/>
  <c r="AS18" i="36"/>
  <c r="BA18" i="36"/>
  <c r="N10" i="36"/>
  <c r="AB12" i="36"/>
  <c r="F17" i="37"/>
  <c r="N17" i="37"/>
  <c r="V17" i="37"/>
  <c r="AD17" i="37"/>
  <c r="AL17" i="37"/>
  <c r="AT17" i="37"/>
  <c r="BB17" i="37"/>
  <c r="AA16" i="39"/>
  <c r="AE12" i="39"/>
  <c r="AE16" i="39"/>
  <c r="AA16" i="36"/>
  <c r="AB10" i="38"/>
  <c r="J18" i="38"/>
  <c r="AX18" i="38"/>
  <c r="F17" i="36"/>
  <c r="AL17" i="36"/>
  <c r="L18" i="36"/>
  <c r="AR18" i="36"/>
  <c r="U17" i="38"/>
  <c r="N17" i="38"/>
  <c r="AD17" i="38"/>
  <c r="BB17" i="38"/>
  <c r="H17" i="38"/>
  <c r="P17" i="38"/>
  <c r="X17" i="38"/>
  <c r="AF17" i="38"/>
  <c r="AN17" i="38"/>
  <c r="AV17" i="38"/>
  <c r="L18" i="38"/>
  <c r="T18" i="38"/>
  <c r="AB18" i="38"/>
  <c r="AJ18" i="38"/>
  <c r="AR18" i="38"/>
  <c r="AZ18" i="38"/>
  <c r="E10" i="38"/>
  <c r="H17" i="36"/>
  <c r="P17" i="36"/>
  <c r="X17" i="36"/>
  <c r="AF17" i="36"/>
  <c r="AN17" i="36"/>
  <c r="AV17" i="36"/>
  <c r="F18" i="36"/>
  <c r="N18" i="36"/>
  <c r="V18" i="36"/>
  <c r="AD18" i="36"/>
  <c r="AL18" i="36"/>
  <c r="AT18" i="36"/>
  <c r="BB18" i="36"/>
  <c r="V10" i="36"/>
  <c r="AJ12" i="36"/>
  <c r="G17" i="37"/>
  <c r="G10" i="37"/>
  <c r="O17" i="37"/>
  <c r="W17" i="37"/>
  <c r="W10" i="37"/>
  <c r="AE17" i="37"/>
  <c r="AM17" i="37"/>
  <c r="AM10" i="37"/>
  <c r="AU17" i="37"/>
  <c r="AU10" i="37"/>
  <c r="E18" i="37"/>
  <c r="M18" i="37"/>
  <c r="U18" i="37"/>
  <c r="AC18" i="37"/>
  <c r="AK18" i="37"/>
  <c r="AS18" i="37"/>
  <c r="BA18" i="37"/>
  <c r="AE10" i="37"/>
  <c r="AF20" i="39"/>
  <c r="F18" i="37"/>
  <c r="N18" i="37"/>
  <c r="V18" i="37"/>
  <c r="AD18" i="37"/>
  <c r="AL18" i="37"/>
  <c r="AT18" i="37"/>
  <c r="BB18" i="37"/>
  <c r="T16" i="37"/>
  <c r="AD18" i="39"/>
  <c r="V18" i="39"/>
  <c r="N18" i="39"/>
  <c r="F18" i="39"/>
  <c r="AV18" i="39"/>
  <c r="AN18" i="39"/>
  <c r="AF18" i="39"/>
  <c r="X18" i="39"/>
  <c r="P18" i="39"/>
  <c r="H18" i="39"/>
  <c r="AZ10" i="39"/>
  <c r="AR10" i="39"/>
  <c r="AJ10" i="39"/>
  <c r="AB10" i="39"/>
  <c r="T10" i="39"/>
  <c r="L10" i="39"/>
  <c r="BB17" i="39"/>
  <c r="AT17" i="39"/>
  <c r="AL17" i="39"/>
  <c r="AD17" i="39"/>
  <c r="V17" i="39"/>
  <c r="N17" i="39"/>
  <c r="F17" i="39"/>
  <c r="AV17" i="39"/>
  <c r="AN10" i="39"/>
  <c r="AF17" i="39"/>
  <c r="X10" i="39"/>
  <c r="P17" i="39"/>
  <c r="H17" i="39"/>
  <c r="AX10" i="39"/>
  <c r="AP10" i="39"/>
  <c r="AH10" i="39"/>
  <c r="Z10" i="39"/>
  <c r="R10" i="39"/>
  <c r="J10" i="39"/>
  <c r="K17" i="40"/>
  <c r="S17" i="40"/>
  <c r="AA17" i="40"/>
  <c r="AI17" i="40"/>
  <c r="AQ17" i="40"/>
  <c r="AY17" i="40"/>
  <c r="E17" i="40"/>
  <c r="M17" i="40"/>
  <c r="U17" i="40"/>
  <c r="AC17" i="40"/>
  <c r="AK17" i="40"/>
  <c r="AS17" i="40"/>
  <c r="BA17" i="40"/>
  <c r="AE16" i="40"/>
  <c r="AY18" i="39"/>
  <c r="AQ18" i="39"/>
  <c r="AI18" i="39"/>
  <c r="AA18" i="39"/>
  <c r="S18" i="39"/>
  <c r="K18" i="39"/>
  <c r="BA18" i="39"/>
  <c r="AS18" i="39"/>
  <c r="AK18" i="39"/>
  <c r="AC18" i="39"/>
  <c r="U18" i="39"/>
  <c r="M18" i="39"/>
  <c r="E18" i="39"/>
  <c r="AU18" i="39"/>
  <c r="AM18" i="39"/>
  <c r="AE18" i="39"/>
  <c r="W18" i="39"/>
  <c r="O18" i="39"/>
  <c r="G18" i="39"/>
  <c r="AY10" i="39"/>
  <c r="AQ10" i="39"/>
  <c r="AI10" i="39"/>
  <c r="AA10" i="39"/>
  <c r="S10" i="39"/>
  <c r="K10" i="39"/>
  <c r="BA17" i="39"/>
  <c r="AS17" i="39"/>
  <c r="AK17" i="39"/>
  <c r="AC17" i="39"/>
  <c r="U17" i="39"/>
  <c r="M17" i="39"/>
  <c r="E17" i="39"/>
  <c r="AU17" i="39"/>
  <c r="AM17" i="39"/>
  <c r="AE17" i="39"/>
  <c r="W17" i="39"/>
  <c r="O17" i="39"/>
  <c r="G17" i="39"/>
  <c r="AW17" i="39"/>
  <c r="AO17" i="39"/>
  <c r="Y17" i="39"/>
  <c r="Q17" i="39"/>
  <c r="I17" i="39"/>
  <c r="L17" i="40"/>
  <c r="T17" i="40"/>
  <c r="AB17" i="40"/>
  <c r="AJ17" i="40"/>
  <c r="AR17" i="40"/>
  <c r="AZ17" i="40"/>
  <c r="J18" i="40"/>
  <c r="R18" i="40"/>
  <c r="Z18" i="40"/>
  <c r="AH18" i="40"/>
  <c r="AP18" i="40"/>
  <c r="AX18" i="40"/>
  <c r="H12" i="40"/>
  <c r="AH18" i="37"/>
  <c r="AP18" i="37"/>
  <c r="AX18" i="37"/>
  <c r="AJ16" i="37"/>
  <c r="E10" i="40"/>
  <c r="P12" i="40"/>
  <c r="L18" i="37"/>
  <c r="T18" i="37"/>
  <c r="AB18" i="37"/>
  <c r="AJ18" i="37"/>
  <c r="AR18" i="37"/>
  <c r="AZ18" i="37"/>
  <c r="E18" i="40"/>
  <c r="M18" i="40"/>
  <c r="U18" i="40"/>
  <c r="AC18" i="40"/>
  <c r="AK18" i="40"/>
  <c r="AS18" i="40"/>
  <c r="AF12" i="40"/>
  <c r="F18" i="40"/>
  <c r="N18" i="40"/>
  <c r="V18" i="40"/>
  <c r="AD18" i="40"/>
  <c r="AL18" i="40"/>
  <c r="AT18" i="40"/>
  <c r="I12" i="40"/>
  <c r="Q12" i="40"/>
  <c r="Y12" i="40"/>
  <c r="AG12" i="40"/>
  <c r="F17" i="40"/>
  <c r="N17" i="40"/>
  <c r="V17" i="40"/>
  <c r="AD17" i="40"/>
  <c r="AL17" i="40"/>
  <c r="AT17" i="40"/>
  <c r="BB17" i="40"/>
  <c r="J12" i="40"/>
  <c r="R12" i="40"/>
  <c r="Z12" i="40"/>
  <c r="AH12" i="40"/>
  <c r="G17" i="40"/>
  <c r="O17" i="40"/>
  <c r="W17" i="40"/>
  <c r="AE17" i="40"/>
  <c r="AM17" i="40"/>
  <c r="AU17" i="40"/>
  <c r="K12" i="40"/>
  <c r="S12" i="40"/>
  <c r="AA12" i="40"/>
  <c r="AI12" i="40"/>
  <c r="H17" i="40"/>
  <c r="P17" i="40"/>
  <c r="X17" i="40"/>
  <c r="AF17" i="40"/>
  <c r="AN17" i="40"/>
  <c r="AV17" i="40"/>
  <c r="L12" i="40"/>
  <c r="T12" i="40"/>
  <c r="AB12" i="40"/>
  <c r="AJ12" i="40"/>
  <c r="I17" i="40"/>
  <c r="Q17" i="40"/>
  <c r="Y17" i="40"/>
  <c r="AG17" i="40"/>
  <c r="AO17" i="40"/>
  <c r="AW17" i="40"/>
  <c r="E12" i="40"/>
  <c r="M12" i="40"/>
  <c r="U12" i="40"/>
  <c r="AC12" i="40"/>
  <c r="AK12" i="40"/>
  <c r="F12" i="40"/>
  <c r="N12" i="40"/>
  <c r="V12" i="40"/>
  <c r="AD12" i="40"/>
  <c r="AF10" i="39"/>
  <c r="H10" i="39"/>
  <c r="AX17" i="39"/>
  <c r="AP17" i="39"/>
  <c r="AH17" i="39"/>
  <c r="Z17" i="39"/>
  <c r="R17" i="39"/>
  <c r="J17" i="39"/>
  <c r="AU10" i="39"/>
  <c r="AM10" i="39"/>
  <c r="AE10" i="39"/>
  <c r="W10" i="39"/>
  <c r="O10" i="39"/>
  <c r="G10" i="39"/>
  <c r="P10" i="39"/>
  <c r="AG17" i="39"/>
  <c r="BB10" i="39"/>
  <c r="AT10" i="39"/>
  <c r="AL10" i="39"/>
  <c r="AD10" i="39"/>
  <c r="V10" i="39"/>
  <c r="N10" i="39"/>
  <c r="F10" i="39"/>
  <c r="AV10" i="39"/>
  <c r="AN17" i="39"/>
  <c r="X17" i="39"/>
  <c r="AH16" i="39"/>
  <c r="Z16" i="39"/>
  <c r="R16" i="39"/>
  <c r="J16" i="39"/>
  <c r="BA10" i="39"/>
  <c r="AS10" i="39"/>
  <c r="AK10" i="39"/>
  <c r="AC10" i="39"/>
  <c r="U10" i="39"/>
  <c r="M10" i="39"/>
  <c r="E10" i="39"/>
  <c r="AH20" i="39"/>
  <c r="AG16" i="39"/>
  <c r="Y16" i="39"/>
  <c r="Q16" i="39"/>
  <c r="I16" i="39"/>
  <c r="F10" i="37"/>
  <c r="N10" i="37"/>
  <c r="V10" i="37"/>
  <c r="AD10" i="37"/>
  <c r="AL10" i="37"/>
  <c r="AT10" i="37"/>
  <c r="BB10" i="37"/>
  <c r="K16" i="37"/>
  <c r="S16" i="37"/>
  <c r="AA16" i="37"/>
  <c r="AI16" i="37"/>
  <c r="I17" i="37"/>
  <c r="Q17" i="37"/>
  <c r="Y17" i="37"/>
  <c r="AG17" i="37"/>
  <c r="AO17" i="37"/>
  <c r="AW17" i="37"/>
  <c r="H10" i="37"/>
  <c r="P10" i="37"/>
  <c r="X10" i="37"/>
  <c r="AF10" i="37"/>
  <c r="AN10" i="37"/>
  <c r="AV10" i="37"/>
  <c r="F12" i="37"/>
  <c r="N12" i="37"/>
  <c r="V12" i="37"/>
  <c r="AD12" i="37"/>
  <c r="K17" i="37"/>
  <c r="S17" i="37"/>
  <c r="AA17" i="37"/>
  <c r="AI17" i="37"/>
  <c r="AQ17" i="37"/>
  <c r="AY17" i="37"/>
  <c r="G12" i="37"/>
  <c r="O12" i="37"/>
  <c r="W12" i="37"/>
  <c r="AE12" i="37"/>
  <c r="L17" i="37"/>
  <c r="T17" i="37"/>
  <c r="AB17" i="37"/>
  <c r="AJ17" i="37"/>
  <c r="AR17" i="37"/>
  <c r="AZ17" i="37"/>
  <c r="H12" i="37"/>
  <c r="P12" i="37"/>
  <c r="X12" i="37"/>
  <c r="AF12" i="37"/>
  <c r="E17" i="37"/>
  <c r="M17" i="37"/>
  <c r="U17" i="37"/>
  <c r="AC17" i="37"/>
  <c r="AK17" i="37"/>
  <c r="AS17" i="37"/>
  <c r="BA17" i="37"/>
  <c r="I12" i="37"/>
  <c r="Q12" i="37"/>
  <c r="Y12" i="37"/>
  <c r="AG12" i="37"/>
  <c r="J12" i="37"/>
  <c r="R12" i="37"/>
  <c r="Z12" i="37"/>
  <c r="AH12" i="37"/>
  <c r="G10" i="36"/>
  <c r="O10" i="36"/>
  <c r="W10" i="36"/>
  <c r="AE10" i="36"/>
  <c r="AM10" i="36"/>
  <c r="AU10" i="36"/>
  <c r="E12" i="36"/>
  <c r="M12" i="36"/>
  <c r="U12" i="36"/>
  <c r="AC12" i="36"/>
  <c r="AK12" i="36"/>
  <c r="J17" i="36"/>
  <c r="R17" i="36"/>
  <c r="Z17" i="36"/>
  <c r="AH17" i="36"/>
  <c r="AP17" i="36"/>
  <c r="AX17" i="36"/>
  <c r="H10" i="36"/>
  <c r="P10" i="36"/>
  <c r="X10" i="36"/>
  <c r="AF10" i="36"/>
  <c r="AN10" i="36"/>
  <c r="AV10" i="36"/>
  <c r="F12" i="36"/>
  <c r="N12" i="36"/>
  <c r="V12" i="36"/>
  <c r="AD12" i="36"/>
  <c r="K17" i="36"/>
  <c r="S17" i="36"/>
  <c r="AA17" i="36"/>
  <c r="AI17" i="36"/>
  <c r="AQ17" i="36"/>
  <c r="AY17" i="36"/>
  <c r="G12" i="36"/>
  <c r="O12" i="36"/>
  <c r="W12" i="36"/>
  <c r="AE12" i="36"/>
  <c r="L17" i="36"/>
  <c r="T17" i="36"/>
  <c r="AB17" i="36"/>
  <c r="AJ17" i="36"/>
  <c r="AR17" i="36"/>
  <c r="AZ17" i="36"/>
  <c r="H12" i="36"/>
  <c r="P12" i="36"/>
  <c r="X12" i="36"/>
  <c r="AF12" i="36"/>
  <c r="E17" i="36"/>
  <c r="M17" i="36"/>
  <c r="U17" i="36"/>
  <c r="AC17" i="36"/>
  <c r="AK17" i="36"/>
  <c r="AS17" i="36"/>
  <c r="BA17" i="36"/>
  <c r="I12" i="36"/>
  <c r="Q12" i="36"/>
  <c r="Y12" i="36"/>
  <c r="AG12" i="36"/>
  <c r="J12" i="36"/>
  <c r="R12" i="36"/>
  <c r="Z12" i="36"/>
  <c r="AH12" i="36"/>
  <c r="F10" i="38"/>
  <c r="N10" i="38"/>
  <c r="V10" i="38"/>
  <c r="AD10" i="38"/>
  <c r="AL10" i="38"/>
  <c r="AT10" i="38"/>
  <c r="BB10" i="38"/>
  <c r="K12" i="38"/>
  <c r="S12" i="38"/>
  <c r="AA12" i="38"/>
  <c r="AI12" i="38"/>
  <c r="I17" i="38"/>
  <c r="Q17" i="38"/>
  <c r="Y17" i="38"/>
  <c r="AG17" i="38"/>
  <c r="AO17" i="38"/>
  <c r="AW17" i="38"/>
  <c r="AB20" i="38"/>
  <c r="G10" i="38"/>
  <c r="O10" i="38"/>
  <c r="W10" i="38"/>
  <c r="AE10" i="38"/>
  <c r="AM10" i="38"/>
  <c r="AU10" i="38"/>
  <c r="L12" i="38"/>
  <c r="T12" i="38"/>
  <c r="AB12" i="38"/>
  <c r="J17" i="38"/>
  <c r="R17" i="38"/>
  <c r="Z17" i="38"/>
  <c r="AH17" i="38"/>
  <c r="AP17" i="38"/>
  <c r="AX17" i="38"/>
  <c r="AC20" i="38"/>
  <c r="AF10" i="38"/>
  <c r="E12" i="38"/>
  <c r="M12" i="38"/>
  <c r="U12" i="38"/>
  <c r="AC12" i="38"/>
  <c r="K17" i="38"/>
  <c r="S17" i="38"/>
  <c r="AA17" i="38"/>
  <c r="AI17" i="38"/>
  <c r="AQ17" i="38"/>
  <c r="AY17" i="38"/>
  <c r="AD20" i="38"/>
  <c r="AG10" i="38"/>
  <c r="F12" i="38"/>
  <c r="N12" i="38"/>
  <c r="V12" i="38"/>
  <c r="AD12" i="38"/>
  <c r="L17" i="38"/>
  <c r="T17" i="38"/>
  <c r="AB17" i="38"/>
  <c r="AJ17" i="38"/>
  <c r="AR17" i="38"/>
  <c r="AZ17" i="38"/>
  <c r="AE20" i="38"/>
  <c r="AH10" i="38"/>
  <c r="G12" i="38"/>
  <c r="O12" i="38"/>
  <c r="W12" i="38"/>
  <c r="AE12" i="38"/>
  <c r="H12" i="38"/>
  <c r="P12" i="38"/>
  <c r="X12" i="38"/>
  <c r="AF12" i="38"/>
  <c r="I12" i="38"/>
  <c r="Q12" i="38"/>
  <c r="Y12" i="38"/>
  <c r="AG12" i="38"/>
  <c r="D7" i="4" l="1"/>
  <c r="D6" i="4"/>
  <c r="C2" i="4"/>
  <c r="B9" i="4" l="1"/>
  <c r="B8" i="4"/>
  <c r="D3" i="4"/>
  <c r="B10" i="4"/>
  <c r="D2" i="4"/>
  <c r="C8" i="4"/>
  <c r="B5" i="4"/>
  <c r="B12" i="4"/>
  <c r="AC47" i="48" l="1"/>
  <c r="U47" i="48"/>
  <c r="M47" i="48"/>
  <c r="E47" i="48"/>
  <c r="AE47" i="21"/>
  <c r="W47" i="21"/>
  <c r="O47" i="21"/>
  <c r="G47" i="21"/>
  <c r="AG47" i="17"/>
  <c r="Y47" i="17"/>
  <c r="Q47" i="17"/>
  <c r="I47" i="17"/>
  <c r="AI47" i="20"/>
  <c r="AA47" i="20"/>
  <c r="S47" i="20"/>
  <c r="K47" i="20"/>
  <c r="C47" i="20"/>
  <c r="AC47" i="19"/>
  <c r="U47" i="19"/>
  <c r="M47" i="19"/>
  <c r="E47" i="19"/>
  <c r="AE34" i="48"/>
  <c r="W34" i="48"/>
  <c r="O34" i="48"/>
  <c r="G34" i="48"/>
  <c r="AG34" i="21"/>
  <c r="Y34" i="21"/>
  <c r="Q34" i="21"/>
  <c r="I34" i="21"/>
  <c r="AI34" i="17"/>
  <c r="AA34" i="17"/>
  <c r="S34" i="17"/>
  <c r="K34" i="17"/>
  <c r="C34" i="17"/>
  <c r="AC34" i="20"/>
  <c r="U34" i="20"/>
  <c r="M34" i="20"/>
  <c r="E34" i="20"/>
  <c r="AE34" i="19"/>
  <c r="W34" i="19"/>
  <c r="AB47" i="48"/>
  <c r="T47" i="48"/>
  <c r="L47" i="48"/>
  <c r="D47" i="48"/>
  <c r="AD47" i="21"/>
  <c r="AI47" i="48"/>
  <c r="AA47" i="48"/>
  <c r="S47" i="48"/>
  <c r="K47" i="48"/>
  <c r="C47" i="48"/>
  <c r="AC47" i="21"/>
  <c r="U47" i="21"/>
  <c r="M47" i="21"/>
  <c r="E47" i="21"/>
  <c r="AE47" i="17"/>
  <c r="W47" i="17"/>
  <c r="O47" i="17"/>
  <c r="G47" i="17"/>
  <c r="AG47" i="20"/>
  <c r="Y47" i="20"/>
  <c r="Q47" i="20"/>
  <c r="I47" i="20"/>
  <c r="AI47" i="19"/>
  <c r="AA47" i="19"/>
  <c r="S47" i="19"/>
  <c r="K47" i="19"/>
  <c r="C47" i="19"/>
  <c r="AC34" i="48"/>
  <c r="U34" i="48"/>
  <c r="M34" i="48"/>
  <c r="E34" i="48"/>
  <c r="AE34" i="21"/>
  <c r="W34" i="21"/>
  <c r="O34" i="21"/>
  <c r="G34" i="21"/>
  <c r="AG34" i="17"/>
  <c r="Y34" i="17"/>
  <c r="Q34" i="17"/>
  <c r="I34" i="17"/>
  <c r="AI34" i="20"/>
  <c r="AA34" i="20"/>
  <c r="S34" i="20"/>
  <c r="K34" i="20"/>
  <c r="AH47" i="48"/>
  <c r="Z47" i="48"/>
  <c r="R47" i="48"/>
  <c r="J47" i="48"/>
  <c r="B47" i="48"/>
  <c r="AB47" i="21"/>
  <c r="T47" i="21"/>
  <c r="L47" i="21"/>
  <c r="D47" i="21"/>
  <c r="AD47" i="17"/>
  <c r="V47" i="17"/>
  <c r="N47" i="17"/>
  <c r="F47" i="17"/>
  <c r="AF47" i="20"/>
  <c r="X47" i="20"/>
  <c r="P47" i="20"/>
  <c r="H47" i="20"/>
  <c r="AH47" i="19"/>
  <c r="Z47" i="19"/>
  <c r="R47" i="19"/>
  <c r="J47" i="19"/>
  <c r="B47" i="19"/>
  <c r="AB34" i="48"/>
  <c r="T34" i="48"/>
  <c r="L34" i="48"/>
  <c r="D34" i="48"/>
  <c r="AD34" i="21"/>
  <c r="V34" i="21"/>
  <c r="N34" i="21"/>
  <c r="F34" i="21"/>
  <c r="AF34" i="17"/>
  <c r="X34" i="17"/>
  <c r="P34" i="17"/>
  <c r="H34" i="17"/>
  <c r="AH34" i="20"/>
  <c r="Z34" i="20"/>
  <c r="R34" i="20"/>
  <c r="J34" i="20"/>
  <c r="AG47" i="48"/>
  <c r="Y47" i="48"/>
  <c r="Q47" i="48"/>
  <c r="I47" i="48"/>
  <c r="AI47" i="21"/>
  <c r="AA47" i="21"/>
  <c r="S47" i="21"/>
  <c r="K47" i="21"/>
  <c r="C47" i="21"/>
  <c r="AC47" i="17"/>
  <c r="U47" i="17"/>
  <c r="M47" i="17"/>
  <c r="E47" i="17"/>
  <c r="AE47" i="20"/>
  <c r="W47" i="20"/>
  <c r="O47" i="20"/>
  <c r="G47" i="20"/>
  <c r="AG47" i="19"/>
  <c r="Y47" i="19"/>
  <c r="Q47" i="19"/>
  <c r="I47" i="19"/>
  <c r="AI34" i="48"/>
  <c r="AA34" i="48"/>
  <c r="S34" i="48"/>
  <c r="K34" i="48"/>
  <c r="C34" i="48"/>
  <c r="AC34" i="21"/>
  <c r="U34" i="21"/>
  <c r="M34" i="21"/>
  <c r="E34" i="21"/>
  <c r="AE34" i="17"/>
  <c r="W34" i="17"/>
  <c r="O34" i="17"/>
  <c r="G34" i="17"/>
  <c r="AG34" i="20"/>
  <c r="Y34" i="20"/>
  <c r="Q34" i="20"/>
  <c r="I34" i="20"/>
  <c r="AI34" i="19"/>
  <c r="AA34" i="19"/>
  <c r="S34" i="19"/>
  <c r="AF47" i="48"/>
  <c r="X47" i="48"/>
  <c r="P47" i="48"/>
  <c r="H47" i="48"/>
  <c r="AH47" i="21"/>
  <c r="Z47" i="21"/>
  <c r="R47" i="21"/>
  <c r="J47" i="21"/>
  <c r="B47" i="21"/>
  <c r="AB47" i="17"/>
  <c r="T47" i="17"/>
  <c r="L47" i="17"/>
  <c r="D47" i="17"/>
  <c r="AD47" i="20"/>
  <c r="V47" i="20"/>
  <c r="N47" i="20"/>
  <c r="F47" i="20"/>
  <c r="AF47" i="19"/>
  <c r="X47" i="19"/>
  <c r="P47" i="19"/>
  <c r="H47" i="19"/>
  <c r="AH34" i="48"/>
  <c r="Z34" i="48"/>
  <c r="R34" i="48"/>
  <c r="J34" i="48"/>
  <c r="B34" i="48"/>
  <c r="B61" i="48" s="1"/>
  <c r="C61" i="48" s="1"/>
  <c r="D61" i="48" s="1"/>
  <c r="E61" i="48" s="1"/>
  <c r="AB34" i="21"/>
  <c r="T34" i="21"/>
  <c r="L34" i="21"/>
  <c r="D34" i="21"/>
  <c r="AD34" i="17"/>
  <c r="V34" i="17"/>
  <c r="N34" i="17"/>
  <c r="F34" i="17"/>
  <c r="AF34" i="20"/>
  <c r="X34" i="20"/>
  <c r="P34" i="20"/>
  <c r="H34" i="20"/>
  <c r="AH34" i="19"/>
  <c r="Z34" i="19"/>
  <c r="R34" i="19"/>
  <c r="J34" i="19"/>
  <c r="AD47" i="48"/>
  <c r="V47" i="48"/>
  <c r="N47" i="48"/>
  <c r="F47" i="48"/>
  <c r="AF47" i="21"/>
  <c r="X47" i="21"/>
  <c r="P47" i="21"/>
  <c r="H47" i="21"/>
  <c r="AH47" i="17"/>
  <c r="Z47" i="17"/>
  <c r="R47" i="17"/>
  <c r="J47" i="17"/>
  <c r="B47" i="17"/>
  <c r="AB47" i="20"/>
  <c r="T47" i="20"/>
  <c r="L47" i="20"/>
  <c r="D47" i="20"/>
  <c r="AD47" i="19"/>
  <c r="V47" i="19"/>
  <c r="N47" i="19"/>
  <c r="F47" i="19"/>
  <c r="AF34" i="48"/>
  <c r="X34" i="48"/>
  <c r="P34" i="48"/>
  <c r="H34" i="48"/>
  <c r="AH34" i="21"/>
  <c r="Z34" i="21"/>
  <c r="R34" i="21"/>
  <c r="J34" i="21"/>
  <c r="B34" i="21"/>
  <c r="B61" i="21" s="1"/>
  <c r="AB34" i="17"/>
  <c r="T34" i="17"/>
  <c r="L34" i="17"/>
  <c r="D34" i="17"/>
  <c r="AD34" i="20"/>
  <c r="V34" i="20"/>
  <c r="N34" i="20"/>
  <c r="F34" i="20"/>
  <c r="AF34" i="19"/>
  <c r="X34" i="19"/>
  <c r="P34" i="19"/>
  <c r="O47" i="48"/>
  <c r="O102" i="48" s="1"/>
  <c r="F47" i="21"/>
  <c r="F102" i="21" s="1"/>
  <c r="H47" i="17"/>
  <c r="H102" i="17" s="1"/>
  <c r="J47" i="20"/>
  <c r="J102" i="20" s="1"/>
  <c r="L47" i="19"/>
  <c r="N34" i="48"/>
  <c r="P34" i="21"/>
  <c r="R34" i="17"/>
  <c r="T34" i="20"/>
  <c r="AD34" i="19"/>
  <c r="O34" i="19"/>
  <c r="F34" i="19"/>
  <c r="AB34" i="19"/>
  <c r="Y47" i="21"/>
  <c r="Y102" i="21" s="1"/>
  <c r="AG34" i="48"/>
  <c r="G34" i="20"/>
  <c r="C34" i="19"/>
  <c r="W47" i="19"/>
  <c r="W102" i="19" s="1"/>
  <c r="AA34" i="21"/>
  <c r="U34" i="19"/>
  <c r="N47" i="21"/>
  <c r="N102" i="21" s="1"/>
  <c r="X34" i="21"/>
  <c r="H34" i="19"/>
  <c r="G47" i="48"/>
  <c r="G102" i="48" s="1"/>
  <c r="AI47" i="17"/>
  <c r="AI102" i="17" s="1"/>
  <c r="C47" i="17"/>
  <c r="C102" i="17" s="1"/>
  <c r="E47" i="20"/>
  <c r="E102" i="20" s="1"/>
  <c r="G47" i="19"/>
  <c r="I34" i="48"/>
  <c r="K34" i="21"/>
  <c r="M34" i="17"/>
  <c r="O34" i="20"/>
  <c r="AC34" i="19"/>
  <c r="N34" i="19"/>
  <c r="E34" i="19"/>
  <c r="M34" i="19"/>
  <c r="AA47" i="17"/>
  <c r="AA102" i="17" s="1"/>
  <c r="AE47" i="19"/>
  <c r="AE102" i="19" s="1"/>
  <c r="C34" i="21"/>
  <c r="L34" i="19"/>
  <c r="S47" i="17"/>
  <c r="S102" i="17" s="1"/>
  <c r="AC34" i="17"/>
  <c r="I34" i="19"/>
  <c r="R47" i="20"/>
  <c r="R102" i="20" s="1"/>
  <c r="Z34" i="17"/>
  <c r="T34" i="19"/>
  <c r="K47" i="17"/>
  <c r="K102" i="17" s="1"/>
  <c r="Q34" i="48"/>
  <c r="AG47" i="21"/>
  <c r="AG102" i="21" s="1"/>
  <c r="AF47" i="17"/>
  <c r="AF102" i="17" s="1"/>
  <c r="AH47" i="20"/>
  <c r="AH102" i="20" s="1"/>
  <c r="B47" i="20"/>
  <c r="D47" i="19"/>
  <c r="F34" i="48"/>
  <c r="H34" i="21"/>
  <c r="J34" i="17"/>
  <c r="L34" i="20"/>
  <c r="D34" i="19"/>
  <c r="AC47" i="20"/>
  <c r="AC102" i="20" s="1"/>
  <c r="AI34" i="21"/>
  <c r="E34" i="17"/>
  <c r="Y34" i="19"/>
  <c r="U47" i="20"/>
  <c r="U102" i="20" s="1"/>
  <c r="C34" i="20"/>
  <c r="AE47" i="48"/>
  <c r="AE102" i="48" s="1"/>
  <c r="T47" i="19"/>
  <c r="T102" i="19" s="1"/>
  <c r="B34" i="20"/>
  <c r="B61" i="20" s="1"/>
  <c r="C61" i="20" s="1"/>
  <c r="W47" i="48"/>
  <c r="W102" i="48" s="1"/>
  <c r="M47" i="20"/>
  <c r="M102" i="20" s="1"/>
  <c r="U34" i="17"/>
  <c r="AG34" i="19"/>
  <c r="Q34" i="19"/>
  <c r="V47" i="21"/>
  <c r="V102" i="21" s="1"/>
  <c r="X47" i="17"/>
  <c r="X102" i="17" s="1"/>
  <c r="Z47" i="20"/>
  <c r="Z102" i="20" s="1"/>
  <c r="AB47" i="19"/>
  <c r="AB102" i="19" s="1"/>
  <c r="AD34" i="48"/>
  <c r="AF34" i="21"/>
  <c r="AH34" i="17"/>
  <c r="B34" i="17"/>
  <c r="B61" i="17" s="1"/>
  <c r="C61" i="17" s="1"/>
  <c r="D61" i="17" s="1"/>
  <c r="E61" i="17" s="1"/>
  <c r="F61" i="17" s="1"/>
  <c r="G61" i="17" s="1"/>
  <c r="H61" i="17" s="1"/>
  <c r="I61" i="17" s="1"/>
  <c r="J61" i="17" s="1"/>
  <c r="K61" i="17" s="1"/>
  <c r="L61" i="17" s="1"/>
  <c r="M61" i="17" s="1"/>
  <c r="N61" i="17" s="1"/>
  <c r="O61" i="17" s="1"/>
  <c r="P61" i="17" s="1"/>
  <c r="Q61" i="17" s="1"/>
  <c r="R61" i="17" s="1"/>
  <c r="S61" i="17" s="1"/>
  <c r="T61" i="17" s="1"/>
  <c r="U61" i="17" s="1"/>
  <c r="V61" i="17" s="1"/>
  <c r="W61" i="17" s="1"/>
  <c r="X61" i="17" s="1"/>
  <c r="Y61" i="17" s="1"/>
  <c r="Z61" i="17" s="1"/>
  <c r="AA61" i="17" s="1"/>
  <c r="AB61" i="17" s="1"/>
  <c r="AC61" i="17" s="1"/>
  <c r="AD61" i="17" s="1"/>
  <c r="AE61" i="17" s="1"/>
  <c r="AF61" i="17" s="1"/>
  <c r="AG61" i="17" s="1"/>
  <c r="AH61" i="17" s="1"/>
  <c r="AI61" i="17" s="1"/>
  <c r="D34" i="20"/>
  <c r="V34" i="19"/>
  <c r="K34" i="19"/>
  <c r="B34" i="19"/>
  <c r="B61" i="19" s="1"/>
  <c r="C61" i="19" s="1"/>
  <c r="D61" i="19" s="1"/>
  <c r="E61" i="19" s="1"/>
  <c r="F61" i="19" s="1"/>
  <c r="G61" i="19" s="1"/>
  <c r="H61" i="19" s="1"/>
  <c r="I61" i="19" s="1"/>
  <c r="J61" i="19" s="1"/>
  <c r="K61" i="19" s="1"/>
  <c r="L61" i="19" s="1"/>
  <c r="M61" i="19" s="1"/>
  <c r="N61" i="19" s="1"/>
  <c r="O61" i="19" s="1"/>
  <c r="P61" i="19" s="1"/>
  <c r="Q61" i="19" s="1"/>
  <c r="R61" i="19" s="1"/>
  <c r="S61" i="19" s="1"/>
  <c r="T61" i="19" s="1"/>
  <c r="U61" i="19" s="1"/>
  <c r="V61" i="19" s="1"/>
  <c r="W61" i="19" s="1"/>
  <c r="X61" i="19" s="1"/>
  <c r="Y61" i="19" s="1"/>
  <c r="Z61" i="19" s="1"/>
  <c r="AA61" i="19" s="1"/>
  <c r="AB61" i="19" s="1"/>
  <c r="AC61" i="19" s="1"/>
  <c r="AD61" i="19" s="1"/>
  <c r="AE61" i="19" s="1"/>
  <c r="AF61" i="19" s="1"/>
  <c r="AG61" i="19" s="1"/>
  <c r="AH61" i="19" s="1"/>
  <c r="AI61" i="19" s="1"/>
  <c r="Q47" i="21"/>
  <c r="Q102" i="21" s="1"/>
  <c r="Y34" i="48"/>
  <c r="AE34" i="20"/>
  <c r="P47" i="17"/>
  <c r="P102" i="17" s="1"/>
  <c r="V34" i="48"/>
  <c r="AB34" i="20"/>
  <c r="I47" i="21"/>
  <c r="I102" i="21" s="1"/>
  <c r="O47" i="19"/>
  <c r="O102" i="19" s="1"/>
  <c r="S34" i="21"/>
  <c r="W34" i="20"/>
  <c r="G34" i="19"/>
  <c r="A5" i="42"/>
  <c r="A9" i="41"/>
  <c r="A5" i="41"/>
  <c r="A6" i="42"/>
  <c r="A4" i="42"/>
  <c r="A8" i="41"/>
  <c r="A2" i="42"/>
  <c r="A3" i="42"/>
  <c r="A7" i="41"/>
  <c r="A6" i="41"/>
  <c r="A8" i="42"/>
  <c r="A2" i="41"/>
  <c r="A7" i="42"/>
  <c r="A9" i="42"/>
  <c r="A4" i="41"/>
  <c r="A3" i="41"/>
  <c r="A105" i="52"/>
  <c r="C114" i="14"/>
  <c r="B117" i="14"/>
  <c r="B118" i="13"/>
  <c r="C116" i="13"/>
  <c r="C113" i="13"/>
  <c r="C120" i="12"/>
  <c r="B114" i="12"/>
  <c r="C115" i="47"/>
  <c r="C110" i="47"/>
  <c r="B118" i="47"/>
  <c r="C116" i="11"/>
  <c r="C108" i="14"/>
  <c r="B115" i="11"/>
  <c r="B110" i="11"/>
  <c r="B114" i="14"/>
  <c r="B115" i="13"/>
  <c r="B108" i="12"/>
  <c r="B110" i="47"/>
  <c r="C108" i="47"/>
  <c r="C111" i="14"/>
  <c r="C115" i="14"/>
  <c r="C110" i="14"/>
  <c r="B118" i="14"/>
  <c r="B116" i="13"/>
  <c r="B113" i="13"/>
  <c r="C112" i="13"/>
  <c r="C111" i="12"/>
  <c r="B115" i="12"/>
  <c r="B110" i="12"/>
  <c r="C117" i="47"/>
  <c r="B116" i="47"/>
  <c r="B113" i="47"/>
  <c r="C108" i="13"/>
  <c r="B117" i="11"/>
  <c r="C113" i="12"/>
  <c r="C117" i="11"/>
  <c r="B117" i="13"/>
  <c r="B111" i="12"/>
  <c r="C117" i="14"/>
  <c r="B116" i="14"/>
  <c r="B113" i="14"/>
  <c r="B112" i="13"/>
  <c r="C120" i="13"/>
  <c r="C114" i="12"/>
  <c r="B117" i="12"/>
  <c r="C118" i="47"/>
  <c r="B112" i="47"/>
  <c r="C120" i="11"/>
  <c r="C108" i="12"/>
  <c r="B118" i="11"/>
  <c r="C117" i="13"/>
  <c r="B120" i="12"/>
  <c r="C111" i="47"/>
  <c r="B115" i="14"/>
  <c r="C112" i="12"/>
  <c r="B117" i="47"/>
  <c r="B114" i="11"/>
  <c r="C118" i="14"/>
  <c r="B112" i="14"/>
  <c r="B120" i="13"/>
  <c r="B108" i="13"/>
  <c r="C111" i="13"/>
  <c r="C115" i="12"/>
  <c r="C110" i="12"/>
  <c r="B118" i="12"/>
  <c r="C116" i="47"/>
  <c r="C113" i="47"/>
  <c r="B120" i="47"/>
  <c r="B108" i="47"/>
  <c r="C111" i="11"/>
  <c r="C113" i="11"/>
  <c r="B116" i="11"/>
  <c r="B113" i="11"/>
  <c r="B110" i="13"/>
  <c r="B115" i="47"/>
  <c r="B110" i="14"/>
  <c r="C118" i="13"/>
  <c r="C116" i="14"/>
  <c r="C113" i="14"/>
  <c r="B120" i="14"/>
  <c r="B108" i="14"/>
  <c r="B111" i="13"/>
  <c r="C114" i="13"/>
  <c r="C117" i="12"/>
  <c r="B116" i="12"/>
  <c r="B113" i="12"/>
  <c r="C112" i="47"/>
  <c r="B111" i="47"/>
  <c r="C114" i="11"/>
  <c r="C112" i="11"/>
  <c r="B112" i="11"/>
  <c r="C116" i="12"/>
  <c r="B111" i="11"/>
  <c r="C114" i="47"/>
  <c r="C118" i="11"/>
  <c r="C112" i="14"/>
  <c r="B111" i="14"/>
  <c r="B114" i="13"/>
  <c r="C115" i="13"/>
  <c r="C110" i="13"/>
  <c r="C118" i="12"/>
  <c r="B112" i="12"/>
  <c r="C120" i="47"/>
  <c r="B114" i="47"/>
  <c r="C115" i="11"/>
  <c r="C110" i="11"/>
  <c r="C108" i="11"/>
  <c r="B120" i="11"/>
  <c r="B108" i="11"/>
  <c r="C120" i="14"/>
  <c r="B7" i="38"/>
  <c r="B7" i="36"/>
  <c r="B7" i="37"/>
  <c r="B7" i="39"/>
  <c r="B7" i="40"/>
  <c r="B7" i="41"/>
  <c r="B7" i="42"/>
  <c r="B7" i="43"/>
  <c r="B6" i="38"/>
  <c r="B6" i="36"/>
  <c r="B6" i="37"/>
  <c r="B6" i="39"/>
  <c r="B6" i="40"/>
  <c r="B6" i="41"/>
  <c r="B6" i="42"/>
  <c r="B6" i="43"/>
  <c r="B5" i="38"/>
  <c r="B5" i="36"/>
  <c r="B5" i="37"/>
  <c r="B5" i="39"/>
  <c r="B5" i="40"/>
  <c r="B5" i="41"/>
  <c r="B5" i="42"/>
  <c r="B5" i="43"/>
  <c r="B4" i="38"/>
  <c r="B4" i="36"/>
  <c r="B4" i="37"/>
  <c r="B4" i="39"/>
  <c r="B4" i="40"/>
  <c r="B4" i="41"/>
  <c r="B4" i="42"/>
  <c r="B4" i="43"/>
  <c r="B3" i="38"/>
  <c r="B3" i="36"/>
  <c r="B3" i="37"/>
  <c r="B3" i="39"/>
  <c r="B3" i="40"/>
  <c r="B3" i="41"/>
  <c r="B3" i="42"/>
  <c r="B3" i="43"/>
  <c r="B2" i="38"/>
  <c r="B2" i="36"/>
  <c r="B2" i="37"/>
  <c r="B2" i="39"/>
  <c r="B2" i="40"/>
  <c r="B2" i="41"/>
  <c r="B2" i="42"/>
  <c r="B2" i="43"/>
  <c r="B9" i="38"/>
  <c r="B9" i="36"/>
  <c r="B9" i="37"/>
  <c r="B9" i="39"/>
  <c r="B9" i="40"/>
  <c r="B9" i="41"/>
  <c r="B9" i="42"/>
  <c r="B9" i="43"/>
  <c r="B8" i="38"/>
  <c r="B8" i="36"/>
  <c r="B8" i="37"/>
  <c r="B8" i="39"/>
  <c r="B8" i="40"/>
  <c r="B8" i="41"/>
  <c r="B8" i="42"/>
  <c r="B8" i="43"/>
  <c r="D4" i="4"/>
  <c r="S55" i="27"/>
  <c r="F55" i="27"/>
  <c r="O55" i="27"/>
  <c r="M55" i="27"/>
  <c r="B55" i="27"/>
  <c r="N55" i="27"/>
  <c r="Q55" i="27"/>
  <c r="W55" i="27"/>
  <c r="R55" i="27"/>
  <c r="L55" i="27"/>
  <c r="AB55" i="27"/>
  <c r="Y55" i="27"/>
  <c r="X55" i="27"/>
  <c r="AA55" i="27"/>
  <c r="C55" i="27"/>
  <c r="G55" i="27"/>
  <c r="Z55" i="27"/>
  <c r="AC55" i="27"/>
  <c r="P55" i="27"/>
  <c r="H55" i="27"/>
  <c r="V55" i="27"/>
  <c r="D55" i="27"/>
  <c r="E55" i="27"/>
  <c r="I55" i="27"/>
  <c r="U55" i="27"/>
  <c r="A18" i="38"/>
  <c r="A4" i="38"/>
  <c r="A7" i="36"/>
  <c r="A16" i="39"/>
  <c r="A2" i="39"/>
  <c r="A5" i="40"/>
  <c r="A3" i="43"/>
  <c r="A17" i="38"/>
  <c r="A3" i="38"/>
  <c r="A6" i="36"/>
  <c r="A9" i="39"/>
  <c r="A18" i="40"/>
  <c r="A4" i="40"/>
  <c r="A2" i="43"/>
  <c r="A16" i="38"/>
  <c r="A2" i="38"/>
  <c r="A5" i="36"/>
  <c r="A8" i="39"/>
  <c r="A17" i="40"/>
  <c r="A3" i="40"/>
  <c r="A9" i="38"/>
  <c r="A18" i="36"/>
  <c r="A4" i="36"/>
  <c r="A7" i="39"/>
  <c r="A16" i="40"/>
  <c r="A2" i="40"/>
  <c r="A8" i="38"/>
  <c r="A17" i="36"/>
  <c r="A3" i="36"/>
  <c r="A6" i="39"/>
  <c r="A9" i="40"/>
  <c r="A7" i="43"/>
  <c r="A7" i="38"/>
  <c r="A16" i="36"/>
  <c r="A2" i="36"/>
  <c r="A5" i="39"/>
  <c r="A8" i="40"/>
  <c r="A6" i="43"/>
  <c r="A18" i="1"/>
  <c r="A6" i="38"/>
  <c r="A9" i="36"/>
  <c r="A18" i="39"/>
  <c r="A4" i="39"/>
  <c r="A7" i="40"/>
  <c r="A17" i="1"/>
  <c r="A5" i="38"/>
  <c r="A8" i="36"/>
  <c r="A17" i="39"/>
  <c r="A3" i="39"/>
  <c r="A6" i="40"/>
  <c r="A4" i="43"/>
  <c r="B14" i="4"/>
  <c r="D61" i="20" l="1"/>
  <c r="E61" i="20" s="1"/>
  <c r="F61" i="20" s="1"/>
  <c r="G61" i="20" s="1"/>
  <c r="H61" i="20" s="1"/>
  <c r="I61" i="20" s="1"/>
  <c r="J61" i="20" s="1"/>
  <c r="K61" i="20" s="1"/>
  <c r="L61" i="20" s="1"/>
  <c r="M61" i="20" s="1"/>
  <c r="N61" i="20" s="1"/>
  <c r="O61" i="20" s="1"/>
  <c r="P61" i="20" s="1"/>
  <c r="Q61" i="20" s="1"/>
  <c r="R61" i="20" s="1"/>
  <c r="S61" i="20" s="1"/>
  <c r="T61" i="20" s="1"/>
  <c r="U61" i="20" s="1"/>
  <c r="V61" i="20" s="1"/>
  <c r="W61" i="20" s="1"/>
  <c r="X61" i="20" s="1"/>
  <c r="Y61" i="20" s="1"/>
  <c r="Z61" i="20" s="1"/>
  <c r="AA61" i="20" s="1"/>
  <c r="AB61" i="20" s="1"/>
  <c r="AC61" i="20" s="1"/>
  <c r="AD61" i="20" s="1"/>
  <c r="AE61" i="20" s="1"/>
  <c r="AF61" i="20" s="1"/>
  <c r="AG61" i="20" s="1"/>
  <c r="AH61" i="20" s="1"/>
  <c r="AI61" i="20" s="1"/>
  <c r="N102" i="19"/>
  <c r="J102" i="17"/>
  <c r="F102" i="48"/>
  <c r="AD102" i="20"/>
  <c r="Z102" i="21"/>
  <c r="W102" i="20"/>
  <c r="S102" i="21"/>
  <c r="J102" i="19"/>
  <c r="F102" i="17"/>
  <c r="B102" i="48"/>
  <c r="B74" i="48"/>
  <c r="AA102" i="19"/>
  <c r="W102" i="17"/>
  <c r="S102" i="48"/>
  <c r="K102" i="20"/>
  <c r="G102" i="21"/>
  <c r="V102" i="19"/>
  <c r="R102" i="17"/>
  <c r="N102" i="48"/>
  <c r="H102" i="19"/>
  <c r="D102" i="17"/>
  <c r="AH102" i="21"/>
  <c r="AE102" i="20"/>
  <c r="AA102" i="21"/>
  <c r="R102" i="19"/>
  <c r="N102" i="17"/>
  <c r="J102" i="48"/>
  <c r="AI102" i="19"/>
  <c r="AE102" i="17"/>
  <c r="AA102" i="48"/>
  <c r="S102" i="20"/>
  <c r="O102" i="21"/>
  <c r="AD102" i="19"/>
  <c r="Z102" i="17"/>
  <c r="V102" i="48"/>
  <c r="P102" i="19"/>
  <c r="L102" i="17"/>
  <c r="H102" i="48"/>
  <c r="I102" i="19"/>
  <c r="E102" i="17"/>
  <c r="AI102" i="21"/>
  <c r="Z102" i="19"/>
  <c r="V102" i="17"/>
  <c r="R102" i="48"/>
  <c r="I102" i="20"/>
  <c r="E102" i="21"/>
  <c r="AI102" i="48"/>
  <c r="AA102" i="20"/>
  <c r="W102" i="21"/>
  <c r="D102" i="20"/>
  <c r="AH102" i="17"/>
  <c r="AD102" i="48"/>
  <c r="X102" i="19"/>
  <c r="T102" i="17"/>
  <c r="P102" i="48"/>
  <c r="Q102" i="19"/>
  <c r="M102" i="17"/>
  <c r="I102" i="48"/>
  <c r="AH102" i="19"/>
  <c r="AD102" i="17"/>
  <c r="Z102" i="48"/>
  <c r="Q102" i="20"/>
  <c r="M102" i="21"/>
  <c r="AD102" i="21"/>
  <c r="E102" i="19"/>
  <c r="AI102" i="20"/>
  <c r="AE102" i="21"/>
  <c r="L102" i="20"/>
  <c r="H102" i="21"/>
  <c r="F61" i="48"/>
  <c r="G61" i="48" s="1"/>
  <c r="H61" i="48" s="1"/>
  <c r="I61" i="48" s="1"/>
  <c r="J61" i="48" s="1"/>
  <c r="K61" i="48" s="1"/>
  <c r="L61" i="48" s="1"/>
  <c r="M61" i="48" s="1"/>
  <c r="N61" i="48" s="1"/>
  <c r="O61" i="48" s="1"/>
  <c r="P61" i="48" s="1"/>
  <c r="Q61" i="48" s="1"/>
  <c r="R61" i="48" s="1"/>
  <c r="S61" i="48" s="1"/>
  <c r="T61" i="48" s="1"/>
  <c r="U61" i="48" s="1"/>
  <c r="V61" i="48" s="1"/>
  <c r="W61" i="48" s="1"/>
  <c r="X61" i="48" s="1"/>
  <c r="Y61" i="48" s="1"/>
  <c r="Z61" i="48" s="1"/>
  <c r="AA61" i="48" s="1"/>
  <c r="AB61" i="48" s="1"/>
  <c r="AC61" i="48" s="1"/>
  <c r="AD61" i="48" s="1"/>
  <c r="AE61" i="48" s="1"/>
  <c r="AF61" i="48" s="1"/>
  <c r="AG61" i="48" s="1"/>
  <c r="AH61" i="48" s="1"/>
  <c r="AI61" i="48" s="1"/>
  <c r="AF102" i="19"/>
  <c r="AB102" i="17"/>
  <c r="X102" i="48"/>
  <c r="Y102" i="19"/>
  <c r="U102" i="17"/>
  <c r="Q102" i="48"/>
  <c r="H102" i="20"/>
  <c r="D102" i="21"/>
  <c r="AH102" i="48"/>
  <c r="Y102" i="20"/>
  <c r="U102" i="21"/>
  <c r="D102" i="48"/>
  <c r="M102" i="19"/>
  <c r="I102" i="17"/>
  <c r="E102" i="48"/>
  <c r="T102" i="20"/>
  <c r="P102" i="21"/>
  <c r="F102" i="20"/>
  <c r="B102" i="21"/>
  <c r="B74" i="21"/>
  <c r="AF102" i="48"/>
  <c r="AG102" i="19"/>
  <c r="AC102" i="17"/>
  <c r="Y102" i="48"/>
  <c r="P102" i="20"/>
  <c r="L102" i="21"/>
  <c r="C102" i="19"/>
  <c r="AG102" i="20"/>
  <c r="AC102" i="21"/>
  <c r="L102" i="48"/>
  <c r="U102" i="19"/>
  <c r="Q102" i="17"/>
  <c r="M102" i="48"/>
  <c r="D102" i="19"/>
  <c r="L102" i="19"/>
  <c r="C61" i="21"/>
  <c r="D61" i="21" s="1"/>
  <c r="E61" i="21" s="1"/>
  <c r="F61" i="21" s="1"/>
  <c r="G61" i="21" s="1"/>
  <c r="H61" i="21" s="1"/>
  <c r="I61" i="21" s="1"/>
  <c r="J61" i="21" s="1"/>
  <c r="K61" i="21" s="1"/>
  <c r="L61" i="21" s="1"/>
  <c r="M61" i="21" s="1"/>
  <c r="N61" i="21" s="1"/>
  <c r="O61" i="21" s="1"/>
  <c r="P61" i="21" s="1"/>
  <c r="Q61" i="21" s="1"/>
  <c r="R61" i="21" s="1"/>
  <c r="S61" i="21" s="1"/>
  <c r="T61" i="21" s="1"/>
  <c r="U61" i="21" s="1"/>
  <c r="V61" i="21" s="1"/>
  <c r="W61" i="21" s="1"/>
  <c r="X61" i="21" s="1"/>
  <c r="Y61" i="21" s="1"/>
  <c r="Z61" i="21" s="1"/>
  <c r="AA61" i="21" s="1"/>
  <c r="AB61" i="21" s="1"/>
  <c r="AC61" i="21" s="1"/>
  <c r="AD61" i="21" s="1"/>
  <c r="AE61" i="21" s="1"/>
  <c r="AF61" i="21" s="1"/>
  <c r="AG61" i="21" s="1"/>
  <c r="AH61" i="21" s="1"/>
  <c r="AI61" i="21" s="1"/>
  <c r="AB102" i="20"/>
  <c r="X102" i="21"/>
  <c r="N102" i="20"/>
  <c r="J102" i="21"/>
  <c r="G102" i="20"/>
  <c r="C102" i="21"/>
  <c r="AG102" i="48"/>
  <c r="X102" i="20"/>
  <c r="T102" i="21"/>
  <c r="K102" i="19"/>
  <c r="G102" i="17"/>
  <c r="C102" i="48"/>
  <c r="T102" i="48"/>
  <c r="AC102" i="19"/>
  <c r="Y102" i="17"/>
  <c r="U102" i="48"/>
  <c r="B102" i="20"/>
  <c r="B74" i="20"/>
  <c r="G102" i="19"/>
  <c r="F102" i="19"/>
  <c r="B74" i="17"/>
  <c r="B102" i="17"/>
  <c r="AF102" i="21"/>
  <c r="V102" i="20"/>
  <c r="R102" i="21"/>
  <c r="O102" i="20"/>
  <c r="K102" i="21"/>
  <c r="B102" i="19"/>
  <c r="B74" i="19"/>
  <c r="AF102" i="20"/>
  <c r="AB102" i="21"/>
  <c r="S102" i="19"/>
  <c r="O102" i="17"/>
  <c r="K102" i="48"/>
  <c r="AB102" i="48"/>
  <c r="C102" i="20"/>
  <c r="AG102" i="17"/>
  <c r="AC102" i="48"/>
  <c r="A10" i="42"/>
  <c r="K20" i="15"/>
  <c r="Q20" i="15" s="1"/>
  <c r="I20" i="15"/>
  <c r="P20" i="15" s="1"/>
  <c r="G20" i="15"/>
  <c r="O20" i="15" s="1"/>
  <c r="E20" i="15"/>
  <c r="C20" i="15"/>
  <c r="AL6" i="27"/>
  <c r="AM6" i="27" s="1"/>
  <c r="AL5" i="27"/>
  <c r="AM5" i="27" s="1"/>
  <c r="AL10" i="27"/>
  <c r="AM10" i="27" s="1"/>
  <c r="AN16" i="27" a="1"/>
  <c r="AL16" i="27" a="1"/>
  <c r="AL9" i="27"/>
  <c r="AM9" i="27" s="1"/>
  <c r="AL7" i="27"/>
  <c r="AM7" i="27" s="1"/>
  <c r="AM16" i="27" a="1"/>
  <c r="N20" i="15"/>
  <c r="A19" i="40"/>
  <c r="A10" i="39"/>
  <c r="A10" i="40"/>
  <c r="A19" i="39"/>
  <c r="A10" i="36"/>
  <c r="A10" i="38"/>
  <c r="A19" i="36"/>
  <c r="A19" i="38"/>
  <c r="N33" i="3"/>
  <c r="F33" i="3"/>
  <c r="K32" i="3"/>
  <c r="M32" i="3" s="1"/>
  <c r="E32" i="3"/>
  <c r="M31" i="3"/>
  <c r="E31" i="3"/>
  <c r="M30" i="3"/>
  <c r="E30" i="3"/>
  <c r="M29" i="3"/>
  <c r="E29" i="3"/>
  <c r="M26" i="3"/>
  <c r="K25" i="3"/>
  <c r="C25" i="3"/>
  <c r="M24" i="3"/>
  <c r="E24" i="3"/>
  <c r="M23" i="3"/>
  <c r="E23" i="3"/>
  <c r="M22" i="3"/>
  <c r="E22" i="3"/>
  <c r="L21" i="3"/>
  <c r="K21" i="3"/>
  <c r="M21" i="3" s="1"/>
  <c r="E21" i="3"/>
  <c r="D21" i="3"/>
  <c r="M20" i="3"/>
  <c r="E20" i="3"/>
  <c r="M19" i="3"/>
  <c r="E19" i="3"/>
  <c r="M18" i="3"/>
  <c r="E18" i="3"/>
  <c r="K15" i="3"/>
  <c r="K33" i="3" s="1"/>
  <c r="C15" i="3"/>
  <c r="M14" i="3"/>
  <c r="D14" i="3"/>
  <c r="C14" i="3"/>
  <c r="M13" i="3"/>
  <c r="D13" i="3"/>
  <c r="C13" i="3"/>
  <c r="E13" i="3" s="1"/>
  <c r="M12" i="3"/>
  <c r="E12" i="3"/>
  <c r="E11" i="3"/>
  <c r="M10" i="3"/>
  <c r="E10" i="3"/>
  <c r="M9" i="3"/>
  <c r="D9" i="3"/>
  <c r="C9" i="3"/>
  <c r="E9" i="3" s="1"/>
  <c r="M8" i="3"/>
  <c r="E8" i="3"/>
  <c r="M7" i="3"/>
  <c r="E7" i="3"/>
  <c r="M6" i="3"/>
  <c r="E6" i="3"/>
  <c r="O3" i="3"/>
  <c r="O4" i="3" s="1"/>
  <c r="O5" i="3" s="1"/>
  <c r="O6" i="3" s="1"/>
  <c r="O7" i="3" s="1"/>
  <c r="O8" i="3" s="1"/>
  <c r="O9" i="3" s="1"/>
  <c r="O10" i="3" s="1"/>
  <c r="O11" i="3" s="1"/>
  <c r="O12" i="3" s="1"/>
  <c r="O13" i="3" s="1"/>
  <c r="O14" i="3" s="1"/>
  <c r="G3" i="3"/>
  <c r="G4" i="3" s="1"/>
  <c r="G5" i="3" s="1"/>
  <c r="G6" i="3" s="1"/>
  <c r="G7" i="3" s="1"/>
  <c r="G8" i="3" s="1"/>
  <c r="M33" i="3" l="1"/>
  <c r="C74" i="19"/>
  <c r="B116" i="19"/>
  <c r="C74" i="17"/>
  <c r="B116" i="17"/>
  <c r="C74" i="20"/>
  <c r="B116" i="20"/>
  <c r="C74" i="48"/>
  <c r="B116" i="48"/>
  <c r="C74" i="21"/>
  <c r="B116" i="21"/>
  <c r="AM20" i="27"/>
  <c r="AM17" i="27"/>
  <c r="AM19" i="27"/>
  <c r="AM21" i="27"/>
  <c r="AM18" i="27"/>
  <c r="AM23" i="27"/>
  <c r="AM22" i="27"/>
  <c r="AM16" i="27"/>
  <c r="M20" i="15"/>
  <c r="AL23" i="27"/>
  <c r="AL22" i="27"/>
  <c r="AL16" i="27"/>
  <c r="AL17" i="27"/>
  <c r="AL20" i="27"/>
  <c r="AL18" i="27"/>
  <c r="AL19" i="27"/>
  <c r="AL21" i="27"/>
  <c r="AN23" i="27"/>
  <c r="AN17" i="27"/>
  <c r="AN18" i="27"/>
  <c r="AN19" i="27"/>
  <c r="AN20" i="27"/>
  <c r="AN16" i="27"/>
  <c r="AN21" i="27"/>
  <c r="AN22" i="27"/>
  <c r="O15" i="3"/>
  <c r="O16" i="3" s="1"/>
  <c r="O17" i="3" s="1"/>
  <c r="O18" i="3" s="1"/>
  <c r="O19" i="3" s="1"/>
  <c r="O20" i="3" s="1"/>
  <c r="O21" i="3" s="1"/>
  <c r="O22" i="3" s="1"/>
  <c r="O23" i="3" s="1"/>
  <c r="O24" i="3" s="1"/>
  <c r="O25" i="3" s="1"/>
  <c r="O26" i="3" s="1"/>
  <c r="O27" i="3" s="1"/>
  <c r="O28" i="3" s="1"/>
  <c r="O29" i="3" s="1"/>
  <c r="O30" i="3" s="1"/>
  <c r="O31" i="3" s="1"/>
  <c r="O32" i="3" s="1"/>
  <c r="C33" i="3"/>
  <c r="E14" i="3"/>
  <c r="E33" i="3" s="1"/>
  <c r="G9" i="3"/>
  <c r="G10" i="3" s="1"/>
  <c r="G11" i="3" s="1"/>
  <c r="G12" i="3" s="1"/>
  <c r="G13" i="3" s="1"/>
  <c r="G14" i="3" s="1"/>
  <c r="G15" i="3" s="1"/>
  <c r="G16" i="3" s="1"/>
  <c r="G17" i="3" s="1"/>
  <c r="G18" i="3" s="1"/>
  <c r="G19" i="3" s="1"/>
  <c r="G20" i="3" s="1"/>
  <c r="G21" i="3" s="1"/>
  <c r="G22" i="3" s="1"/>
  <c r="G23" i="3" s="1"/>
  <c r="G24" i="3" s="1"/>
  <c r="G25" i="3" s="1"/>
  <c r="G26" i="3" s="1"/>
  <c r="G27" i="3" s="1"/>
  <c r="G28" i="3" s="1"/>
  <c r="G29" i="3" s="1"/>
  <c r="G30" i="3" s="1"/>
  <c r="G31" i="3" s="1"/>
  <c r="G32" i="3" s="1"/>
  <c r="D74" i="20" l="1"/>
  <c r="C116" i="20"/>
  <c r="D74" i="19"/>
  <c r="C116" i="19"/>
  <c r="D74" i="21"/>
  <c r="C116" i="21"/>
  <c r="D74" i="48"/>
  <c r="C116" i="48"/>
  <c r="D74" i="17"/>
  <c r="C116" i="17"/>
  <c r="AN24" i="27"/>
  <c r="AN34" i="27" s="1"/>
  <c r="AO20" i="27"/>
  <c r="AM24" i="27"/>
  <c r="AM34" i="27" s="1"/>
  <c r="AO18" i="27"/>
  <c r="AN29" i="27"/>
  <c r="AL27" i="27"/>
  <c r="AO17" i="27"/>
  <c r="AO16" i="27"/>
  <c r="AL24" i="27"/>
  <c r="AL29" i="27" s="1"/>
  <c r="AN32" i="27"/>
  <c r="AN27" i="27"/>
  <c r="AO22" i="27"/>
  <c r="AN33" i="27"/>
  <c r="AO23" i="27"/>
  <c r="AO21" i="27"/>
  <c r="AO19" i="27"/>
  <c r="AK120" i="48"/>
  <c r="AK119" i="48"/>
  <c r="AK118" i="48"/>
  <c r="AK117" i="48"/>
  <c r="AK115" i="48"/>
  <c r="AK114" i="48"/>
  <c r="AK113" i="48"/>
  <c r="AK112" i="48"/>
  <c r="AK111" i="48"/>
  <c r="B110" i="48"/>
  <c r="C110" i="48" s="1"/>
  <c r="D110" i="48" s="1"/>
  <c r="E110" i="48" s="1"/>
  <c r="F110" i="48" s="1"/>
  <c r="G110" i="48" s="1"/>
  <c r="H110" i="48" s="1"/>
  <c r="I110" i="48" s="1"/>
  <c r="J110" i="48" s="1"/>
  <c r="K110" i="48" s="1"/>
  <c r="L110" i="48" s="1"/>
  <c r="M110" i="48" s="1"/>
  <c r="N110" i="48" s="1"/>
  <c r="O110" i="48" s="1"/>
  <c r="P110" i="48" s="1"/>
  <c r="Q110" i="48" s="1"/>
  <c r="R110" i="48" s="1"/>
  <c r="S110" i="48" s="1"/>
  <c r="T110" i="48" s="1"/>
  <c r="U110" i="48" s="1"/>
  <c r="V110" i="48" s="1"/>
  <c r="W110" i="48" s="1"/>
  <c r="X110" i="48" s="1"/>
  <c r="Y110" i="48" s="1"/>
  <c r="Z110" i="48" s="1"/>
  <c r="AA110" i="48" s="1"/>
  <c r="AB110" i="48" s="1"/>
  <c r="AC110" i="48" s="1"/>
  <c r="AD110" i="48" s="1"/>
  <c r="AE110" i="48" s="1"/>
  <c r="AF110" i="48" s="1"/>
  <c r="AG110" i="48" s="1"/>
  <c r="AH110" i="48" s="1"/>
  <c r="AI110" i="48" s="1"/>
  <c r="M96" i="48"/>
  <c r="N96" i="48" s="1"/>
  <c r="O96" i="48" s="1"/>
  <c r="P96" i="48" s="1"/>
  <c r="Q96" i="48" s="1"/>
  <c r="R96" i="48" s="1"/>
  <c r="S96" i="48" s="1"/>
  <c r="T96" i="48" s="1"/>
  <c r="U96" i="48" s="1"/>
  <c r="V96" i="48" s="1"/>
  <c r="W96" i="48" s="1"/>
  <c r="X96" i="48" s="1"/>
  <c r="Y96" i="48" s="1"/>
  <c r="Z96" i="48" s="1"/>
  <c r="AA96" i="48" s="1"/>
  <c r="AB96" i="48" s="1"/>
  <c r="AC96" i="48" s="1"/>
  <c r="AD96" i="48" s="1"/>
  <c r="AE96" i="48" s="1"/>
  <c r="AF96" i="48" s="1"/>
  <c r="AG96" i="48" s="1"/>
  <c r="AH96" i="48" s="1"/>
  <c r="AI96" i="48" s="1"/>
  <c r="B96" i="48"/>
  <c r="C96" i="48" s="1"/>
  <c r="D96" i="48" s="1"/>
  <c r="E96" i="48" s="1"/>
  <c r="F96" i="48" s="1"/>
  <c r="G96" i="48" s="1"/>
  <c r="H96" i="48" s="1"/>
  <c r="I96" i="48" s="1"/>
  <c r="J96" i="48" s="1"/>
  <c r="K96" i="48" s="1"/>
  <c r="L96" i="48" s="1"/>
  <c r="D82" i="48"/>
  <c r="E82" i="48" s="1"/>
  <c r="F82" i="48" s="1"/>
  <c r="G82" i="48" s="1"/>
  <c r="H82" i="48" s="1"/>
  <c r="I82" i="48" s="1"/>
  <c r="J82" i="48" s="1"/>
  <c r="K82" i="48" s="1"/>
  <c r="L82" i="48" s="1"/>
  <c r="M82" i="48" s="1"/>
  <c r="N82" i="48" s="1"/>
  <c r="O82" i="48" s="1"/>
  <c r="P82" i="48" s="1"/>
  <c r="Q82" i="48" s="1"/>
  <c r="R82" i="48" s="1"/>
  <c r="S82" i="48" s="1"/>
  <c r="T82" i="48" s="1"/>
  <c r="U82" i="48" s="1"/>
  <c r="V82" i="48" s="1"/>
  <c r="W82" i="48" s="1"/>
  <c r="X82" i="48" s="1"/>
  <c r="Y82" i="48" s="1"/>
  <c r="Z82" i="48" s="1"/>
  <c r="AA82" i="48" s="1"/>
  <c r="AB82" i="48" s="1"/>
  <c r="AC82" i="48" s="1"/>
  <c r="AD82" i="48" s="1"/>
  <c r="AE82" i="48" s="1"/>
  <c r="AF82" i="48" s="1"/>
  <c r="AG82" i="48" s="1"/>
  <c r="AH82" i="48" s="1"/>
  <c r="AI82" i="48" s="1"/>
  <c r="B82" i="48"/>
  <c r="C82" i="48" s="1"/>
  <c r="I68" i="48"/>
  <c r="J68" i="48" s="1"/>
  <c r="K68" i="48" s="1"/>
  <c r="L68" i="48" s="1"/>
  <c r="M68" i="48" s="1"/>
  <c r="N68" i="48" s="1"/>
  <c r="O68" i="48" s="1"/>
  <c r="P68" i="48" s="1"/>
  <c r="Q68" i="48" s="1"/>
  <c r="R68" i="48" s="1"/>
  <c r="S68" i="48" s="1"/>
  <c r="T68" i="48" s="1"/>
  <c r="U68" i="48" s="1"/>
  <c r="V68" i="48" s="1"/>
  <c r="W68" i="48" s="1"/>
  <c r="X68" i="48" s="1"/>
  <c r="Y68" i="48" s="1"/>
  <c r="Z68" i="48" s="1"/>
  <c r="AA68" i="48" s="1"/>
  <c r="AB68" i="48" s="1"/>
  <c r="AC68" i="48" s="1"/>
  <c r="AD68" i="48" s="1"/>
  <c r="AE68" i="48" s="1"/>
  <c r="AF68" i="48" s="1"/>
  <c r="AG68" i="48" s="1"/>
  <c r="AH68" i="48" s="1"/>
  <c r="AI68" i="48" s="1"/>
  <c r="H68" i="48"/>
  <c r="B68" i="48"/>
  <c r="C68" i="48" s="1"/>
  <c r="D68" i="48" s="1"/>
  <c r="E68" i="48" s="1"/>
  <c r="F68" i="48" s="1"/>
  <c r="G68" i="48" s="1"/>
  <c r="B55" i="48"/>
  <c r="C55" i="48" s="1"/>
  <c r="D55" i="48" s="1"/>
  <c r="E55" i="48" s="1"/>
  <c r="F55" i="48" s="1"/>
  <c r="G55" i="48" s="1"/>
  <c r="H55" i="48" s="1"/>
  <c r="I55" i="48" s="1"/>
  <c r="J55" i="48" s="1"/>
  <c r="K55" i="48" s="1"/>
  <c r="L55" i="48" s="1"/>
  <c r="M55" i="48" s="1"/>
  <c r="N55" i="48" s="1"/>
  <c r="O55" i="48" s="1"/>
  <c r="P55" i="48" s="1"/>
  <c r="Q55" i="48" s="1"/>
  <c r="R55" i="48" s="1"/>
  <c r="S55" i="48" s="1"/>
  <c r="T55" i="48" s="1"/>
  <c r="U55" i="48" s="1"/>
  <c r="V55" i="48" s="1"/>
  <c r="W55" i="48" s="1"/>
  <c r="X55" i="48" s="1"/>
  <c r="Y55" i="48" s="1"/>
  <c r="Z55" i="48" s="1"/>
  <c r="AA55" i="48" s="1"/>
  <c r="AB55" i="48" s="1"/>
  <c r="AC55" i="48" s="1"/>
  <c r="AD55" i="48" s="1"/>
  <c r="AE55" i="48" s="1"/>
  <c r="AF55" i="48" s="1"/>
  <c r="AG55" i="48" s="1"/>
  <c r="AH55" i="48" s="1"/>
  <c r="AI55" i="48" s="1"/>
  <c r="A55" i="48"/>
  <c r="B41" i="48"/>
  <c r="C41" i="48" s="1"/>
  <c r="D41" i="48" s="1"/>
  <c r="E41" i="48" s="1"/>
  <c r="F41" i="48" s="1"/>
  <c r="G41" i="48" s="1"/>
  <c r="H41" i="48" s="1"/>
  <c r="I41" i="48" s="1"/>
  <c r="J41" i="48" s="1"/>
  <c r="K41" i="48" s="1"/>
  <c r="L41" i="48" s="1"/>
  <c r="M41" i="48" s="1"/>
  <c r="N41" i="48" s="1"/>
  <c r="O41" i="48" s="1"/>
  <c r="P41" i="48" s="1"/>
  <c r="Q41" i="48" s="1"/>
  <c r="R41" i="48" s="1"/>
  <c r="S41" i="48" s="1"/>
  <c r="T41" i="48" s="1"/>
  <c r="U41" i="48" s="1"/>
  <c r="V41" i="48" s="1"/>
  <c r="W41" i="48" s="1"/>
  <c r="X41" i="48" s="1"/>
  <c r="Y41" i="48" s="1"/>
  <c r="Z41" i="48" s="1"/>
  <c r="AA41" i="48" s="1"/>
  <c r="AB41" i="48" s="1"/>
  <c r="AC41" i="48" s="1"/>
  <c r="AD41" i="48" s="1"/>
  <c r="AE41" i="48" s="1"/>
  <c r="AF41" i="48" s="1"/>
  <c r="AG41" i="48" s="1"/>
  <c r="AH41" i="48" s="1"/>
  <c r="AI41" i="48" s="1"/>
  <c r="A41" i="48"/>
  <c r="A68" i="48" s="1"/>
  <c r="A82" i="48" s="1"/>
  <c r="A96" i="48" s="1"/>
  <c r="A110" i="48" s="1"/>
  <c r="D28" i="48"/>
  <c r="C28" i="48"/>
  <c r="B28" i="48"/>
  <c r="A28" i="48"/>
  <c r="B14" i="48"/>
  <c r="C14" i="48" s="1"/>
  <c r="D14" i="48" s="1"/>
  <c r="E14" i="48" s="1"/>
  <c r="F14" i="48" s="1"/>
  <c r="G14" i="48" s="1"/>
  <c r="H14" i="48" s="1"/>
  <c r="I14" i="48" s="1"/>
  <c r="J14" i="48" s="1"/>
  <c r="K14" i="48" s="1"/>
  <c r="L14" i="48" s="1"/>
  <c r="M14" i="48" s="1"/>
  <c r="N14" i="48" s="1"/>
  <c r="O14" i="48" s="1"/>
  <c r="P14" i="48" s="1"/>
  <c r="Q14" i="48" s="1"/>
  <c r="R14" i="48" s="1"/>
  <c r="S14" i="48" s="1"/>
  <c r="T14" i="48" s="1"/>
  <c r="U14" i="48" s="1"/>
  <c r="V14" i="48" s="1"/>
  <c r="W14" i="48" s="1"/>
  <c r="X14" i="48" s="1"/>
  <c r="Y14" i="48" s="1"/>
  <c r="Z14" i="48" s="1"/>
  <c r="AA14" i="48" s="1"/>
  <c r="AB14" i="48" s="1"/>
  <c r="AC14" i="48" s="1"/>
  <c r="AD14" i="48" s="1"/>
  <c r="AE14" i="48" s="1"/>
  <c r="AF14" i="48" s="1"/>
  <c r="AG14" i="48" s="1"/>
  <c r="AH14" i="48" s="1"/>
  <c r="AI14" i="48" s="1"/>
  <c r="C1" i="48"/>
  <c r="D1" i="48" s="1"/>
  <c r="E1" i="48" s="1"/>
  <c r="F1" i="48" s="1"/>
  <c r="G1" i="48" s="1"/>
  <c r="H1" i="48" s="1"/>
  <c r="I1" i="48" s="1"/>
  <c r="J1" i="48" s="1"/>
  <c r="K1" i="48" s="1"/>
  <c r="L1" i="48" s="1"/>
  <c r="M1" i="48" s="1"/>
  <c r="N1" i="48" s="1"/>
  <c r="O1" i="48" s="1"/>
  <c r="P1" i="48" s="1"/>
  <c r="Q1" i="48" s="1"/>
  <c r="R1" i="48" s="1"/>
  <c r="S1" i="48" s="1"/>
  <c r="T1" i="48" s="1"/>
  <c r="U1" i="48" s="1"/>
  <c r="V1" i="48" s="1"/>
  <c r="W1" i="48" s="1"/>
  <c r="X1" i="48" s="1"/>
  <c r="Y1" i="48" s="1"/>
  <c r="Z1" i="48" s="1"/>
  <c r="AA1" i="48" s="1"/>
  <c r="AB1" i="48" s="1"/>
  <c r="AC1" i="48" s="1"/>
  <c r="AD1" i="48" s="1"/>
  <c r="AE1" i="48" s="1"/>
  <c r="AF1" i="48" s="1"/>
  <c r="AG1" i="48" s="1"/>
  <c r="AH1" i="48" s="1"/>
  <c r="AI1" i="48" s="1"/>
  <c r="D109" i="47"/>
  <c r="D107" i="47"/>
  <c r="D106" i="47"/>
  <c r="D1" i="47"/>
  <c r="AN31" i="27" l="1"/>
  <c r="AN28" i="27"/>
  <c r="E74" i="48"/>
  <c r="D116" i="48"/>
  <c r="E74" i="21"/>
  <c r="D116" i="21"/>
  <c r="E74" i="19"/>
  <c r="D116" i="19"/>
  <c r="E74" i="17"/>
  <c r="D116" i="17"/>
  <c r="E74" i="20"/>
  <c r="D116" i="20"/>
  <c r="AN30" i="27"/>
  <c r="AM28" i="27"/>
  <c r="AL31" i="27"/>
  <c r="AM31" i="27"/>
  <c r="AM26" i="27"/>
  <c r="AM33" i="27"/>
  <c r="AM30" i="27"/>
  <c r="AM32" i="27"/>
  <c r="AM27" i="27"/>
  <c r="AM29" i="27"/>
  <c r="AL28" i="27"/>
  <c r="AL26" i="27"/>
  <c r="AL30" i="27"/>
  <c r="AL33" i="27"/>
  <c r="AL34" i="27"/>
  <c r="AO24" i="27"/>
  <c r="AL32" i="27"/>
  <c r="AN26" i="27"/>
  <c r="J85" i="48"/>
  <c r="Y85" i="48"/>
  <c r="R85" i="48"/>
  <c r="H85" i="48"/>
  <c r="P85" i="48"/>
  <c r="X85" i="48"/>
  <c r="AF85" i="48"/>
  <c r="E86" i="48"/>
  <c r="Q85" i="48"/>
  <c r="Z85" i="48"/>
  <c r="C85" i="48"/>
  <c r="K85" i="48"/>
  <c r="S85" i="48"/>
  <c r="AA85" i="48"/>
  <c r="AI85" i="48"/>
  <c r="E28" i="48"/>
  <c r="D85" i="48"/>
  <c r="L85" i="48"/>
  <c r="T85" i="48"/>
  <c r="AB85" i="48"/>
  <c r="I86" i="48"/>
  <c r="B85" i="48"/>
  <c r="E85" i="48"/>
  <c r="M85" i="48"/>
  <c r="U85" i="48"/>
  <c r="AC85" i="48"/>
  <c r="B86" i="48"/>
  <c r="J86" i="48"/>
  <c r="R86" i="48"/>
  <c r="Z86" i="48"/>
  <c r="AH86" i="48"/>
  <c r="G87" i="48"/>
  <c r="O87" i="48"/>
  <c r="W87" i="48"/>
  <c r="AE87" i="48"/>
  <c r="D89" i="48"/>
  <c r="L89" i="48"/>
  <c r="T89" i="48"/>
  <c r="AB89" i="48"/>
  <c r="I90" i="48"/>
  <c r="Q90" i="48"/>
  <c r="Y90" i="48"/>
  <c r="AG90" i="48"/>
  <c r="F91" i="48"/>
  <c r="N91" i="48"/>
  <c r="V91" i="48"/>
  <c r="AD91" i="48"/>
  <c r="C92" i="48"/>
  <c r="K92" i="48"/>
  <c r="S92" i="48"/>
  <c r="AA92" i="48"/>
  <c r="AI92" i="48"/>
  <c r="I85" i="48"/>
  <c r="F85" i="48"/>
  <c r="N85" i="48"/>
  <c r="V85" i="48"/>
  <c r="AD85" i="48"/>
  <c r="C86" i="48"/>
  <c r="K86" i="48"/>
  <c r="S86" i="48"/>
  <c r="AA86" i="48"/>
  <c r="AI86" i="48"/>
  <c r="H87" i="48"/>
  <c r="P87" i="48"/>
  <c r="X87" i="48"/>
  <c r="AF87" i="48"/>
  <c r="E89" i="48"/>
  <c r="M89" i="48"/>
  <c r="U89" i="48"/>
  <c r="AC89" i="48"/>
  <c r="B90" i="48"/>
  <c r="J90" i="48"/>
  <c r="R90" i="48"/>
  <c r="Z90" i="48"/>
  <c r="AH90" i="48"/>
  <c r="G91" i="48"/>
  <c r="O91" i="48"/>
  <c r="W91" i="48"/>
  <c r="AE91" i="48"/>
  <c r="D92" i="48"/>
  <c r="L92" i="48"/>
  <c r="T92" i="48"/>
  <c r="AB92" i="48"/>
  <c r="AH85" i="48"/>
  <c r="G85" i="48"/>
  <c r="O85" i="48"/>
  <c r="W85" i="48"/>
  <c r="AE85" i="48"/>
  <c r="Q86" i="48"/>
  <c r="Y86" i="48"/>
  <c r="AG86" i="48"/>
  <c r="F87" i="48"/>
  <c r="V87" i="48"/>
  <c r="AD87" i="48"/>
  <c r="C89" i="48"/>
  <c r="K89" i="48"/>
  <c r="S89" i="48"/>
  <c r="AA89" i="48"/>
  <c r="AI89" i="48"/>
  <c r="H90" i="48"/>
  <c r="P90" i="48"/>
  <c r="X90" i="48"/>
  <c r="AF90" i="48"/>
  <c r="E91" i="48"/>
  <c r="U91" i="48"/>
  <c r="AC91" i="48"/>
  <c r="B92" i="48"/>
  <c r="J92" i="48"/>
  <c r="R92" i="48"/>
  <c r="Z92" i="48"/>
  <c r="AH92" i="48"/>
  <c r="D86" i="48"/>
  <c r="L86" i="48"/>
  <c r="T86" i="48"/>
  <c r="AB86" i="48"/>
  <c r="I87" i="48"/>
  <c r="Q87" i="48"/>
  <c r="Y87" i="48"/>
  <c r="AG87" i="48"/>
  <c r="F89" i="48"/>
  <c r="N89" i="48"/>
  <c r="V89" i="48"/>
  <c r="AD89" i="48"/>
  <c r="C90" i="48"/>
  <c r="K90" i="48"/>
  <c r="S90" i="48"/>
  <c r="AA90" i="48"/>
  <c r="AI90" i="48"/>
  <c r="H91" i="48"/>
  <c r="P91" i="48"/>
  <c r="X91" i="48"/>
  <c r="AF91" i="48"/>
  <c r="E92" i="48"/>
  <c r="M92" i="48"/>
  <c r="U92" i="48"/>
  <c r="AC92" i="48"/>
  <c r="M86" i="48"/>
  <c r="U86" i="48"/>
  <c r="AC86" i="48"/>
  <c r="B87" i="48"/>
  <c r="J87" i="48"/>
  <c r="R87" i="48"/>
  <c r="Z87" i="48"/>
  <c r="AH87" i="48"/>
  <c r="G89" i="48"/>
  <c r="O89" i="48"/>
  <c r="W89" i="48"/>
  <c r="AE89" i="48"/>
  <c r="D90" i="48"/>
  <c r="L90" i="48"/>
  <c r="T90" i="48"/>
  <c r="AB90" i="48"/>
  <c r="I91" i="48"/>
  <c r="Q91" i="48"/>
  <c r="Y91" i="48"/>
  <c r="AG91" i="48"/>
  <c r="F92" i="48"/>
  <c r="N92" i="48"/>
  <c r="V92" i="48"/>
  <c r="AD92" i="48"/>
  <c r="M87" i="48"/>
  <c r="AG85" i="48"/>
  <c r="F86" i="48"/>
  <c r="N86" i="48"/>
  <c r="V86" i="48"/>
  <c r="AD86" i="48"/>
  <c r="C87" i="48"/>
  <c r="K87" i="48"/>
  <c r="S87" i="48"/>
  <c r="AA87" i="48"/>
  <c r="AI87" i="48"/>
  <c r="H89" i="48"/>
  <c r="P89" i="48"/>
  <c r="X89" i="48"/>
  <c r="AF89" i="48"/>
  <c r="E90" i="48"/>
  <c r="M90" i="48"/>
  <c r="U90" i="48"/>
  <c r="AC90" i="48"/>
  <c r="B91" i="48"/>
  <c r="J91" i="48"/>
  <c r="R91" i="48"/>
  <c r="Z91" i="48"/>
  <c r="AH91" i="48"/>
  <c r="G92" i="48"/>
  <c r="O92" i="48"/>
  <c r="W92" i="48"/>
  <c r="AE92" i="48"/>
  <c r="N87" i="48"/>
  <c r="G86" i="48"/>
  <c r="O86" i="48"/>
  <c r="W86" i="48"/>
  <c r="AE86" i="48"/>
  <c r="D87" i="48"/>
  <c r="L87" i="48"/>
  <c r="T87" i="48"/>
  <c r="AB87" i="48"/>
  <c r="I89" i="48"/>
  <c r="Q89" i="48"/>
  <c r="Y89" i="48"/>
  <c r="AG89" i="48"/>
  <c r="F90" i="48"/>
  <c r="N90" i="48"/>
  <c r="V90" i="48"/>
  <c r="AD90" i="48"/>
  <c r="C91" i="48"/>
  <c r="K91" i="48"/>
  <c r="S91" i="48"/>
  <c r="AA91" i="48"/>
  <c r="AI91" i="48"/>
  <c r="H92" i="48"/>
  <c r="P92" i="48"/>
  <c r="X92" i="48"/>
  <c r="AF92" i="48"/>
  <c r="M91" i="48"/>
  <c r="H86" i="48"/>
  <c r="P86" i="48"/>
  <c r="X86" i="48"/>
  <c r="AF86" i="48"/>
  <c r="E87" i="48"/>
  <c r="U87" i="48"/>
  <c r="AC87" i="48"/>
  <c r="B89" i="48"/>
  <c r="J89" i="48"/>
  <c r="R89" i="48"/>
  <c r="Z89" i="48"/>
  <c r="AH89" i="48"/>
  <c r="G90" i="48"/>
  <c r="O90" i="48"/>
  <c r="W90" i="48"/>
  <c r="AE90" i="48"/>
  <c r="D91" i="48"/>
  <c r="L91" i="48"/>
  <c r="T91" i="48"/>
  <c r="AB91" i="48"/>
  <c r="I92" i="48"/>
  <c r="Q92" i="48"/>
  <c r="Y92" i="48"/>
  <c r="AG92" i="48"/>
  <c r="F74" i="17" l="1"/>
  <c r="E116" i="17"/>
  <c r="F74" i="19"/>
  <c r="E116" i="19"/>
  <c r="F74" i="21"/>
  <c r="E116" i="21"/>
  <c r="F74" i="20"/>
  <c r="E116" i="20"/>
  <c r="F74" i="48"/>
  <c r="E116" i="48"/>
  <c r="F28" i="48"/>
  <c r="G74" i="20" l="1"/>
  <c r="F116" i="20"/>
  <c r="G74" i="21"/>
  <c r="F116" i="21"/>
  <c r="G74" i="19"/>
  <c r="F116" i="19"/>
  <c r="G74" i="48"/>
  <c r="F116" i="48"/>
  <c r="G74" i="17"/>
  <c r="F116" i="17"/>
  <c r="G28" i="48"/>
  <c r="H74" i="48" l="1"/>
  <c r="G116" i="48"/>
  <c r="H74" i="19"/>
  <c r="G116" i="19"/>
  <c r="H74" i="21"/>
  <c r="G116" i="21"/>
  <c r="H74" i="17"/>
  <c r="G116" i="17"/>
  <c r="H74" i="20"/>
  <c r="G116" i="20"/>
  <c r="H28" i="48"/>
  <c r="I74" i="17" l="1"/>
  <c r="H116" i="17"/>
  <c r="I74" i="21"/>
  <c r="H116" i="21"/>
  <c r="I74" i="19"/>
  <c r="H116" i="19"/>
  <c r="I74" i="20"/>
  <c r="H116" i="20"/>
  <c r="I74" i="48"/>
  <c r="H116" i="48"/>
  <c r="I28" i="48"/>
  <c r="J74" i="20" l="1"/>
  <c r="I116" i="20"/>
  <c r="J74" i="19"/>
  <c r="I116" i="19"/>
  <c r="J74" i="21"/>
  <c r="I116" i="21"/>
  <c r="J74" i="48"/>
  <c r="I116" i="48"/>
  <c r="J74" i="17"/>
  <c r="I116" i="17"/>
  <c r="J28" i="48"/>
  <c r="K74" i="48" l="1"/>
  <c r="J116" i="48"/>
  <c r="K74" i="21"/>
  <c r="J116" i="21"/>
  <c r="K74" i="19"/>
  <c r="J116" i="19"/>
  <c r="K74" i="17"/>
  <c r="J116" i="17"/>
  <c r="K74" i="20"/>
  <c r="J116" i="20"/>
  <c r="K28" i="48"/>
  <c r="L74" i="17" l="1"/>
  <c r="K116" i="17"/>
  <c r="L74" i="19"/>
  <c r="K116" i="19"/>
  <c r="L74" i="21"/>
  <c r="K116" i="21"/>
  <c r="L74" i="20"/>
  <c r="K116" i="20"/>
  <c r="L74" i="48"/>
  <c r="K116" i="48"/>
  <c r="L28" i="48"/>
  <c r="M74" i="20" l="1"/>
  <c r="L116" i="20"/>
  <c r="M74" i="21"/>
  <c r="L116" i="21"/>
  <c r="M74" i="19"/>
  <c r="L116" i="19"/>
  <c r="M74" i="48"/>
  <c r="L116" i="48"/>
  <c r="M74" i="17"/>
  <c r="L116" i="17"/>
  <c r="M28" i="48"/>
  <c r="N74" i="48" l="1"/>
  <c r="M116" i="48"/>
  <c r="N74" i="19"/>
  <c r="M116" i="19"/>
  <c r="N74" i="21"/>
  <c r="M116" i="21"/>
  <c r="N74" i="17"/>
  <c r="M116" i="17"/>
  <c r="N74" i="20"/>
  <c r="M116" i="20"/>
  <c r="N28" i="48"/>
  <c r="O74" i="17" l="1"/>
  <c r="N116" i="17"/>
  <c r="O74" i="21"/>
  <c r="N116" i="21"/>
  <c r="O74" i="19"/>
  <c r="N116" i="19"/>
  <c r="O74" i="20"/>
  <c r="N116" i="20"/>
  <c r="O74" i="48"/>
  <c r="N116" i="48"/>
  <c r="O28" i="48"/>
  <c r="P74" i="20" l="1"/>
  <c r="O116" i="20"/>
  <c r="P74" i="19"/>
  <c r="O116" i="19"/>
  <c r="P74" i="21"/>
  <c r="O116" i="21"/>
  <c r="P74" i="48"/>
  <c r="O116" i="48"/>
  <c r="P74" i="17"/>
  <c r="O116" i="17"/>
  <c r="P28" i="48"/>
  <c r="Q74" i="48" l="1"/>
  <c r="P116" i="48"/>
  <c r="Q74" i="21"/>
  <c r="P116" i="21"/>
  <c r="Q74" i="19"/>
  <c r="P116" i="19"/>
  <c r="Q74" i="17"/>
  <c r="P116" i="17"/>
  <c r="Q74" i="20"/>
  <c r="P116" i="20"/>
  <c r="Q28" i="48"/>
  <c r="R74" i="17" l="1"/>
  <c r="Q116" i="17"/>
  <c r="R74" i="19"/>
  <c r="Q116" i="19"/>
  <c r="R74" i="21"/>
  <c r="Q116" i="21"/>
  <c r="R74" i="20"/>
  <c r="Q116" i="20"/>
  <c r="R74" i="48"/>
  <c r="Q116" i="48"/>
  <c r="R28" i="48"/>
  <c r="S74" i="20" l="1"/>
  <c r="R116" i="20"/>
  <c r="S74" i="21"/>
  <c r="R116" i="21"/>
  <c r="S74" i="19"/>
  <c r="R116" i="19"/>
  <c r="S74" i="48"/>
  <c r="R116" i="48"/>
  <c r="S74" i="17"/>
  <c r="R116" i="17"/>
  <c r="S28" i="48"/>
  <c r="T74" i="48" l="1"/>
  <c r="S116" i="48"/>
  <c r="T74" i="19"/>
  <c r="S116" i="19"/>
  <c r="T74" i="21"/>
  <c r="S116" i="21"/>
  <c r="T74" i="17"/>
  <c r="S116" i="17"/>
  <c r="T74" i="20"/>
  <c r="S116" i="20"/>
  <c r="T28" i="48"/>
  <c r="U74" i="17" l="1"/>
  <c r="T116" i="17"/>
  <c r="U74" i="21"/>
  <c r="T116" i="21"/>
  <c r="U74" i="19"/>
  <c r="T116" i="19"/>
  <c r="U74" i="20"/>
  <c r="T116" i="20"/>
  <c r="U74" i="48"/>
  <c r="T116" i="48"/>
  <c r="U28" i="48"/>
  <c r="V74" i="20" l="1"/>
  <c r="U116" i="20"/>
  <c r="V74" i="19"/>
  <c r="U116" i="19"/>
  <c r="V74" i="21"/>
  <c r="U116" i="21"/>
  <c r="V74" i="48"/>
  <c r="U116" i="48"/>
  <c r="V74" i="17"/>
  <c r="U116" i="17"/>
  <c r="V28" i="48"/>
  <c r="W74" i="48" l="1"/>
  <c r="V116" i="48"/>
  <c r="W74" i="21"/>
  <c r="V116" i="21"/>
  <c r="W74" i="19"/>
  <c r="V116" i="19"/>
  <c r="W74" i="17"/>
  <c r="V116" i="17"/>
  <c r="W74" i="20"/>
  <c r="V116" i="20"/>
  <c r="W28" i="48"/>
  <c r="X74" i="21" l="1"/>
  <c r="W116" i="21"/>
  <c r="X74" i="19"/>
  <c r="W116" i="19"/>
  <c r="X74" i="17"/>
  <c r="W116" i="17"/>
  <c r="X74" i="20"/>
  <c r="W116" i="20"/>
  <c r="X74" i="48"/>
  <c r="W116" i="48"/>
  <c r="X28" i="48"/>
  <c r="Y74" i="17" l="1"/>
  <c r="X116" i="17"/>
  <c r="Y74" i="20"/>
  <c r="X116" i="20"/>
  <c r="Y74" i="19"/>
  <c r="X116" i="19"/>
  <c r="Y74" i="48"/>
  <c r="X116" i="48"/>
  <c r="Y74" i="21"/>
  <c r="X116" i="21"/>
  <c r="Y28" i="48"/>
  <c r="Z74" i="19" l="1"/>
  <c r="Y116" i="19"/>
  <c r="Z74" i="20"/>
  <c r="Y116" i="20"/>
  <c r="Z74" i="48"/>
  <c r="Y116" i="48"/>
  <c r="Z74" i="21"/>
  <c r="Y116" i="21"/>
  <c r="Z74" i="17"/>
  <c r="Y116" i="17"/>
  <c r="Z28" i="48"/>
  <c r="AA74" i="20" l="1"/>
  <c r="Z116" i="20"/>
  <c r="AA74" i="21"/>
  <c r="Z116" i="21"/>
  <c r="AA74" i="48"/>
  <c r="Z116" i="48"/>
  <c r="AA74" i="17"/>
  <c r="Z116" i="17"/>
  <c r="AA74" i="19"/>
  <c r="Z116" i="19"/>
  <c r="AA28" i="48"/>
  <c r="AB74" i="17" l="1"/>
  <c r="AA116" i="17"/>
  <c r="AB74" i="21"/>
  <c r="AA116" i="21"/>
  <c r="AB74" i="48"/>
  <c r="AA116" i="48"/>
  <c r="AB74" i="19"/>
  <c r="AA116" i="19"/>
  <c r="AB74" i="20"/>
  <c r="AA116" i="20"/>
  <c r="AB28" i="48"/>
  <c r="AC74" i="19" l="1"/>
  <c r="AB116" i="19"/>
  <c r="AC74" i="48"/>
  <c r="AB116" i="48"/>
  <c r="AC74" i="21"/>
  <c r="AB116" i="21"/>
  <c r="AC74" i="20"/>
  <c r="AB116" i="20"/>
  <c r="AC74" i="17"/>
  <c r="AB116" i="17"/>
  <c r="AC28" i="48"/>
  <c r="AD74" i="20" l="1"/>
  <c r="AC116" i="20"/>
  <c r="AD74" i="21"/>
  <c r="AC116" i="21"/>
  <c r="AD74" i="48"/>
  <c r="AC116" i="48"/>
  <c r="AD74" i="17"/>
  <c r="AC116" i="17"/>
  <c r="AD74" i="19"/>
  <c r="AC116" i="19"/>
  <c r="AD28" i="48"/>
  <c r="AE74" i="17" l="1"/>
  <c r="AD116" i="17"/>
  <c r="AE74" i="48"/>
  <c r="AD116" i="48"/>
  <c r="AE74" i="21"/>
  <c r="AD116" i="21"/>
  <c r="AE74" i="19"/>
  <c r="AD116" i="19"/>
  <c r="AE74" i="20"/>
  <c r="AD116" i="20"/>
  <c r="AE28" i="48"/>
  <c r="AF74" i="21" l="1"/>
  <c r="AE116" i="21"/>
  <c r="AF74" i="19"/>
  <c r="AE116" i="19"/>
  <c r="AF74" i="48"/>
  <c r="AE116" i="48"/>
  <c r="AF74" i="20"/>
  <c r="AE116" i="20"/>
  <c r="AF74" i="17"/>
  <c r="AE116" i="17"/>
  <c r="AF28" i="48"/>
  <c r="AG74" i="20" l="1"/>
  <c r="AF116" i="20"/>
  <c r="AG74" i="48"/>
  <c r="AF116" i="48"/>
  <c r="AG74" i="19"/>
  <c r="AF116" i="19"/>
  <c r="AG74" i="17"/>
  <c r="AF116" i="17"/>
  <c r="AG74" i="21"/>
  <c r="AF116" i="21"/>
  <c r="AG28" i="48"/>
  <c r="AH74" i="17" l="1"/>
  <c r="AG116" i="17"/>
  <c r="AH74" i="19"/>
  <c r="AG116" i="19"/>
  <c r="AH74" i="48"/>
  <c r="AG116" i="48"/>
  <c r="AH74" i="21"/>
  <c r="AG116" i="21"/>
  <c r="AH74" i="20"/>
  <c r="AG116" i="20"/>
  <c r="AH28" i="48"/>
  <c r="AI74" i="21" l="1"/>
  <c r="AI116" i="21" s="1"/>
  <c r="AH116" i="21"/>
  <c r="AI74" i="48"/>
  <c r="AI116" i="48" s="1"/>
  <c r="AH116" i="48"/>
  <c r="AI74" i="19"/>
  <c r="AI116" i="19" s="1"/>
  <c r="AH116" i="19"/>
  <c r="AI74" i="20"/>
  <c r="AI116" i="20" s="1"/>
  <c r="AH116" i="20"/>
  <c r="AI74" i="17"/>
  <c r="AI116" i="17" s="1"/>
  <c r="AH116" i="17"/>
  <c r="AI28" i="48"/>
  <c r="H12" i="42" l="1"/>
  <c r="O12" i="42"/>
  <c r="AD12" i="42"/>
  <c r="V12" i="42"/>
  <c r="N12" i="42"/>
  <c r="M12" i="42"/>
  <c r="AI12" i="42"/>
  <c r="AA12" i="42"/>
  <c r="S12" i="42"/>
  <c r="K12" i="42"/>
  <c r="AH12" i="42"/>
  <c r="R12" i="42"/>
  <c r="J12" i="42"/>
  <c r="AG12" i="42"/>
  <c r="Y12" i="42"/>
  <c r="Q12" i="42"/>
  <c r="I12" i="42"/>
  <c r="AL12" i="43"/>
  <c r="N12" i="43"/>
  <c r="AK12" i="43"/>
  <c r="AC12" i="43"/>
  <c r="U12" i="43"/>
  <c r="M12" i="43"/>
  <c r="AJ12" i="43"/>
  <c r="L12" i="43"/>
  <c r="S12" i="43"/>
  <c r="K12" i="43"/>
  <c r="R12" i="43"/>
  <c r="J12" i="43"/>
  <c r="AF12" i="43"/>
  <c r="X12" i="43"/>
  <c r="P12" i="43"/>
  <c r="O12" i="43"/>
  <c r="W12" i="43"/>
  <c r="AE12" i="43"/>
  <c r="AM12" i="43"/>
  <c r="V12" i="43"/>
  <c r="I12" i="43"/>
  <c r="Y12" i="43"/>
  <c r="Z12" i="43"/>
  <c r="AH12" i="43"/>
  <c r="AD12" i="43"/>
  <c r="AI12" i="43"/>
  <c r="Q12" i="43"/>
  <c r="AG12" i="43"/>
  <c r="T12" i="43"/>
  <c r="AB12" i="43"/>
  <c r="L12" i="42"/>
  <c r="T12" i="42"/>
  <c r="AB12" i="42"/>
  <c r="AJ12" i="42"/>
  <c r="U12" i="42"/>
  <c r="AC12" i="42"/>
  <c r="W12" i="42"/>
  <c r="AE12" i="42"/>
  <c r="AL12" i="42"/>
  <c r="P12" i="42"/>
  <c r="X12" i="42"/>
  <c r="AF12" i="42"/>
  <c r="Z12" i="42"/>
  <c r="AA12" i="43"/>
  <c r="D1" i="12"/>
  <c r="D109" i="11"/>
  <c r="AK120" i="19"/>
  <c r="AK119" i="19"/>
  <c r="AK118" i="19"/>
  <c r="AK117" i="19"/>
  <c r="AK115" i="19"/>
  <c r="AK114" i="19"/>
  <c r="AK113" i="19"/>
  <c r="AK112" i="19"/>
  <c r="AK111" i="19"/>
  <c r="C110" i="19"/>
  <c r="D110" i="19" s="1"/>
  <c r="E110" i="19" s="1"/>
  <c r="F110" i="19" s="1"/>
  <c r="G110" i="19" s="1"/>
  <c r="H110" i="19" s="1"/>
  <c r="I110" i="19" s="1"/>
  <c r="J110" i="19" s="1"/>
  <c r="K110" i="19" s="1"/>
  <c r="L110" i="19" s="1"/>
  <c r="M110" i="19" s="1"/>
  <c r="N110" i="19" s="1"/>
  <c r="O110" i="19" s="1"/>
  <c r="P110" i="19" s="1"/>
  <c r="Q110" i="19" s="1"/>
  <c r="R110" i="19" s="1"/>
  <c r="S110" i="19" s="1"/>
  <c r="T110" i="19" s="1"/>
  <c r="U110" i="19" s="1"/>
  <c r="V110" i="19" s="1"/>
  <c r="W110" i="19" s="1"/>
  <c r="X110" i="19" s="1"/>
  <c r="Y110" i="19" s="1"/>
  <c r="Z110" i="19" s="1"/>
  <c r="AA110" i="19" s="1"/>
  <c r="AB110" i="19" s="1"/>
  <c r="AC110" i="19" s="1"/>
  <c r="AD110" i="19" s="1"/>
  <c r="AE110" i="19" s="1"/>
  <c r="AF110" i="19" s="1"/>
  <c r="AG110" i="19" s="1"/>
  <c r="AH110" i="19" s="1"/>
  <c r="AI110" i="19" s="1"/>
  <c r="B110" i="19"/>
  <c r="B96" i="19"/>
  <c r="C96" i="19" s="1"/>
  <c r="D96" i="19" s="1"/>
  <c r="E96" i="19" s="1"/>
  <c r="F96" i="19" s="1"/>
  <c r="G96" i="19" s="1"/>
  <c r="H96" i="19" s="1"/>
  <c r="I96" i="19" s="1"/>
  <c r="J96" i="19" s="1"/>
  <c r="K96" i="19" s="1"/>
  <c r="L96" i="19" s="1"/>
  <c r="M96" i="19" s="1"/>
  <c r="N96" i="19" s="1"/>
  <c r="O96" i="19" s="1"/>
  <c r="P96" i="19" s="1"/>
  <c r="Q96" i="19" s="1"/>
  <c r="R96" i="19" s="1"/>
  <c r="S96" i="19" s="1"/>
  <c r="T96" i="19" s="1"/>
  <c r="U96" i="19" s="1"/>
  <c r="V96" i="19" s="1"/>
  <c r="W96" i="19" s="1"/>
  <c r="X96" i="19" s="1"/>
  <c r="Y96" i="19" s="1"/>
  <c r="Z96" i="19" s="1"/>
  <c r="AA96" i="19" s="1"/>
  <c r="AB96" i="19" s="1"/>
  <c r="AC96" i="19" s="1"/>
  <c r="AD96" i="19" s="1"/>
  <c r="AE96" i="19" s="1"/>
  <c r="AF96" i="19" s="1"/>
  <c r="AG96" i="19" s="1"/>
  <c r="AH96" i="19" s="1"/>
  <c r="AI96" i="19" s="1"/>
  <c r="I82" i="19"/>
  <c r="J82" i="19" s="1"/>
  <c r="K82" i="19" s="1"/>
  <c r="L82" i="19" s="1"/>
  <c r="M82" i="19" s="1"/>
  <c r="N82" i="19" s="1"/>
  <c r="O82" i="19" s="1"/>
  <c r="P82" i="19" s="1"/>
  <c r="Q82" i="19" s="1"/>
  <c r="R82" i="19" s="1"/>
  <c r="S82" i="19" s="1"/>
  <c r="T82" i="19" s="1"/>
  <c r="U82" i="19" s="1"/>
  <c r="V82" i="19" s="1"/>
  <c r="W82" i="19" s="1"/>
  <c r="X82" i="19" s="1"/>
  <c r="Y82" i="19" s="1"/>
  <c r="Z82" i="19" s="1"/>
  <c r="AA82" i="19" s="1"/>
  <c r="AB82" i="19" s="1"/>
  <c r="AC82" i="19" s="1"/>
  <c r="AD82" i="19" s="1"/>
  <c r="AE82" i="19" s="1"/>
  <c r="AF82" i="19" s="1"/>
  <c r="AG82" i="19" s="1"/>
  <c r="AH82" i="19" s="1"/>
  <c r="AI82" i="19" s="1"/>
  <c r="B82" i="19"/>
  <c r="C82" i="19" s="1"/>
  <c r="D82" i="19" s="1"/>
  <c r="E82" i="19" s="1"/>
  <c r="F82" i="19" s="1"/>
  <c r="G82" i="19" s="1"/>
  <c r="H82" i="19" s="1"/>
  <c r="C68" i="19"/>
  <c r="D68" i="19" s="1"/>
  <c r="E68" i="19" s="1"/>
  <c r="F68" i="19" s="1"/>
  <c r="G68" i="19" s="1"/>
  <c r="H68" i="19" s="1"/>
  <c r="I68" i="19" s="1"/>
  <c r="J68" i="19" s="1"/>
  <c r="K68" i="19" s="1"/>
  <c r="L68" i="19" s="1"/>
  <c r="M68" i="19" s="1"/>
  <c r="N68" i="19" s="1"/>
  <c r="O68" i="19" s="1"/>
  <c r="P68" i="19" s="1"/>
  <c r="Q68" i="19" s="1"/>
  <c r="R68" i="19" s="1"/>
  <c r="S68" i="19" s="1"/>
  <c r="T68" i="19" s="1"/>
  <c r="U68" i="19" s="1"/>
  <c r="V68" i="19" s="1"/>
  <c r="W68" i="19" s="1"/>
  <c r="X68" i="19" s="1"/>
  <c r="Y68" i="19" s="1"/>
  <c r="Z68" i="19" s="1"/>
  <c r="AA68" i="19" s="1"/>
  <c r="AB68" i="19" s="1"/>
  <c r="AC68" i="19" s="1"/>
  <c r="AD68" i="19" s="1"/>
  <c r="AE68" i="19" s="1"/>
  <c r="AF68" i="19" s="1"/>
  <c r="AG68" i="19" s="1"/>
  <c r="AH68" i="19" s="1"/>
  <c r="AI68" i="19" s="1"/>
  <c r="B68" i="19"/>
  <c r="D55" i="19"/>
  <c r="E55" i="19" s="1"/>
  <c r="F55" i="19" s="1"/>
  <c r="G55" i="19" s="1"/>
  <c r="H55" i="19" s="1"/>
  <c r="I55" i="19" s="1"/>
  <c r="J55" i="19" s="1"/>
  <c r="K55" i="19" s="1"/>
  <c r="L55" i="19" s="1"/>
  <c r="M55" i="19" s="1"/>
  <c r="N55" i="19" s="1"/>
  <c r="O55" i="19" s="1"/>
  <c r="P55" i="19" s="1"/>
  <c r="Q55" i="19" s="1"/>
  <c r="R55" i="19" s="1"/>
  <c r="S55" i="19" s="1"/>
  <c r="T55" i="19" s="1"/>
  <c r="U55" i="19" s="1"/>
  <c r="V55" i="19" s="1"/>
  <c r="W55" i="19" s="1"/>
  <c r="X55" i="19" s="1"/>
  <c r="Y55" i="19" s="1"/>
  <c r="Z55" i="19" s="1"/>
  <c r="AA55" i="19" s="1"/>
  <c r="AB55" i="19" s="1"/>
  <c r="AC55" i="19" s="1"/>
  <c r="AD55" i="19" s="1"/>
  <c r="AE55" i="19" s="1"/>
  <c r="AF55" i="19" s="1"/>
  <c r="AG55" i="19" s="1"/>
  <c r="AH55" i="19" s="1"/>
  <c r="AI55" i="19" s="1"/>
  <c r="C55" i="19"/>
  <c r="B55" i="19"/>
  <c r="A55" i="19"/>
  <c r="B41" i="19"/>
  <c r="C41" i="19" s="1"/>
  <c r="D41" i="19" s="1"/>
  <c r="E41" i="19" s="1"/>
  <c r="F41" i="19" s="1"/>
  <c r="G41" i="19" s="1"/>
  <c r="H41" i="19" s="1"/>
  <c r="I41" i="19" s="1"/>
  <c r="J41" i="19" s="1"/>
  <c r="K41" i="19" s="1"/>
  <c r="L41" i="19" s="1"/>
  <c r="M41" i="19" s="1"/>
  <c r="N41" i="19" s="1"/>
  <c r="O41" i="19" s="1"/>
  <c r="P41" i="19" s="1"/>
  <c r="Q41" i="19" s="1"/>
  <c r="R41" i="19" s="1"/>
  <c r="S41" i="19" s="1"/>
  <c r="T41" i="19" s="1"/>
  <c r="U41" i="19" s="1"/>
  <c r="V41" i="19" s="1"/>
  <c r="W41" i="19" s="1"/>
  <c r="X41" i="19" s="1"/>
  <c r="Y41" i="19" s="1"/>
  <c r="Z41" i="19" s="1"/>
  <c r="AA41" i="19" s="1"/>
  <c r="AB41" i="19" s="1"/>
  <c r="AC41" i="19" s="1"/>
  <c r="AD41" i="19" s="1"/>
  <c r="AE41" i="19" s="1"/>
  <c r="AF41" i="19" s="1"/>
  <c r="AG41" i="19" s="1"/>
  <c r="AH41" i="19" s="1"/>
  <c r="AI41" i="19" s="1"/>
  <c r="A41" i="19"/>
  <c r="A68" i="19" s="1"/>
  <c r="A82" i="19" s="1"/>
  <c r="A96" i="19" s="1"/>
  <c r="A110" i="19" s="1"/>
  <c r="B28" i="19"/>
  <c r="C28" i="19" s="1"/>
  <c r="A28" i="19"/>
  <c r="B14" i="19"/>
  <c r="C14" i="19" s="1"/>
  <c r="D14" i="19" s="1"/>
  <c r="E14" i="19" s="1"/>
  <c r="F14" i="19" s="1"/>
  <c r="G14" i="19" s="1"/>
  <c r="H14" i="19" s="1"/>
  <c r="I14" i="19" s="1"/>
  <c r="J14" i="19" s="1"/>
  <c r="K14" i="19" s="1"/>
  <c r="L14" i="19" s="1"/>
  <c r="M14" i="19" s="1"/>
  <c r="N14" i="19" s="1"/>
  <c r="O14" i="19" s="1"/>
  <c r="P14" i="19" s="1"/>
  <c r="Q14" i="19" s="1"/>
  <c r="R14" i="19" s="1"/>
  <c r="S14" i="19" s="1"/>
  <c r="T14" i="19" s="1"/>
  <c r="U14" i="19" s="1"/>
  <c r="V14" i="19" s="1"/>
  <c r="W14" i="19" s="1"/>
  <c r="X14" i="19" s="1"/>
  <c r="Y14" i="19" s="1"/>
  <c r="Z14" i="19" s="1"/>
  <c r="AA14" i="19" s="1"/>
  <c r="AB14" i="19" s="1"/>
  <c r="AC14" i="19" s="1"/>
  <c r="AD14" i="19" s="1"/>
  <c r="AE14" i="19" s="1"/>
  <c r="AF14" i="19" s="1"/>
  <c r="AG14" i="19" s="1"/>
  <c r="AH14" i="19" s="1"/>
  <c r="AI14" i="19" s="1"/>
  <c r="E1" i="19"/>
  <c r="F1" i="19" s="1"/>
  <c r="G1" i="19" s="1"/>
  <c r="H1" i="19" s="1"/>
  <c r="I1" i="19" s="1"/>
  <c r="J1" i="19" s="1"/>
  <c r="K1" i="19" s="1"/>
  <c r="L1" i="19" s="1"/>
  <c r="M1" i="19" s="1"/>
  <c r="N1" i="19" s="1"/>
  <c r="O1" i="19" s="1"/>
  <c r="P1" i="19" s="1"/>
  <c r="Q1" i="19" s="1"/>
  <c r="R1" i="19" s="1"/>
  <c r="S1" i="19" s="1"/>
  <c r="T1" i="19" s="1"/>
  <c r="U1" i="19" s="1"/>
  <c r="V1" i="19" s="1"/>
  <c r="W1" i="19" s="1"/>
  <c r="X1" i="19" s="1"/>
  <c r="Y1" i="19" s="1"/>
  <c r="Z1" i="19" s="1"/>
  <c r="AA1" i="19" s="1"/>
  <c r="AB1" i="19" s="1"/>
  <c r="AC1" i="19" s="1"/>
  <c r="AD1" i="19" s="1"/>
  <c r="AE1" i="19" s="1"/>
  <c r="AF1" i="19" s="1"/>
  <c r="AG1" i="19" s="1"/>
  <c r="AH1" i="19" s="1"/>
  <c r="AI1" i="19" s="1"/>
  <c r="C1" i="19"/>
  <c r="D1" i="19" s="1"/>
  <c r="AK120" i="21"/>
  <c r="AK119" i="21"/>
  <c r="AK118" i="21"/>
  <c r="AK117" i="21"/>
  <c r="AK115" i="21"/>
  <c r="AK114" i="21"/>
  <c r="AK113" i="21"/>
  <c r="AK112" i="21"/>
  <c r="AK111" i="21"/>
  <c r="O110" i="21"/>
  <c r="P110" i="21" s="1"/>
  <c r="Q110" i="21" s="1"/>
  <c r="R110" i="21" s="1"/>
  <c r="S110" i="21" s="1"/>
  <c r="T110" i="21" s="1"/>
  <c r="U110" i="21" s="1"/>
  <c r="V110" i="21" s="1"/>
  <c r="W110" i="21" s="1"/>
  <c r="X110" i="21" s="1"/>
  <c r="Y110" i="21" s="1"/>
  <c r="Z110" i="21" s="1"/>
  <c r="AA110" i="21" s="1"/>
  <c r="AB110" i="21" s="1"/>
  <c r="AC110" i="21" s="1"/>
  <c r="AD110" i="21" s="1"/>
  <c r="AE110" i="21" s="1"/>
  <c r="AF110" i="21" s="1"/>
  <c r="AG110" i="21" s="1"/>
  <c r="AH110" i="21" s="1"/>
  <c r="AI110" i="21" s="1"/>
  <c r="B110" i="21"/>
  <c r="C110" i="21" s="1"/>
  <c r="D110" i="21" s="1"/>
  <c r="E110" i="21" s="1"/>
  <c r="F110" i="21" s="1"/>
  <c r="G110" i="21" s="1"/>
  <c r="H110" i="21" s="1"/>
  <c r="I110" i="21" s="1"/>
  <c r="J110" i="21" s="1"/>
  <c r="K110" i="21" s="1"/>
  <c r="L110" i="21" s="1"/>
  <c r="M110" i="21" s="1"/>
  <c r="N110" i="21" s="1"/>
  <c r="C96" i="21"/>
  <c r="D96" i="21" s="1"/>
  <c r="E96" i="21" s="1"/>
  <c r="F96" i="21" s="1"/>
  <c r="G96" i="21" s="1"/>
  <c r="H96" i="21" s="1"/>
  <c r="I96" i="21" s="1"/>
  <c r="J96" i="21" s="1"/>
  <c r="K96" i="21" s="1"/>
  <c r="L96" i="21" s="1"/>
  <c r="M96" i="21" s="1"/>
  <c r="N96" i="21" s="1"/>
  <c r="O96" i="21" s="1"/>
  <c r="P96" i="21" s="1"/>
  <c r="Q96" i="21" s="1"/>
  <c r="R96" i="21" s="1"/>
  <c r="S96" i="21" s="1"/>
  <c r="T96" i="21" s="1"/>
  <c r="U96" i="21" s="1"/>
  <c r="V96" i="21" s="1"/>
  <c r="W96" i="21" s="1"/>
  <c r="X96" i="21" s="1"/>
  <c r="Y96" i="21" s="1"/>
  <c r="Z96" i="21" s="1"/>
  <c r="AA96" i="21" s="1"/>
  <c r="AB96" i="21" s="1"/>
  <c r="AC96" i="21" s="1"/>
  <c r="AD96" i="21" s="1"/>
  <c r="AE96" i="21" s="1"/>
  <c r="AF96" i="21" s="1"/>
  <c r="AG96" i="21" s="1"/>
  <c r="AH96" i="21" s="1"/>
  <c r="AI96" i="21" s="1"/>
  <c r="B96" i="21"/>
  <c r="C82" i="21"/>
  <c r="D82" i="21" s="1"/>
  <c r="E82" i="21" s="1"/>
  <c r="F82" i="21" s="1"/>
  <c r="G82" i="21" s="1"/>
  <c r="H82" i="21" s="1"/>
  <c r="I82" i="21" s="1"/>
  <c r="J82" i="21" s="1"/>
  <c r="K82" i="21" s="1"/>
  <c r="L82" i="21" s="1"/>
  <c r="M82" i="21" s="1"/>
  <c r="N82" i="21" s="1"/>
  <c r="O82" i="21" s="1"/>
  <c r="P82" i="21" s="1"/>
  <c r="Q82" i="21" s="1"/>
  <c r="R82" i="21" s="1"/>
  <c r="S82" i="21" s="1"/>
  <c r="T82" i="21" s="1"/>
  <c r="U82" i="21" s="1"/>
  <c r="V82" i="21" s="1"/>
  <c r="W82" i="21" s="1"/>
  <c r="X82" i="21" s="1"/>
  <c r="Y82" i="21" s="1"/>
  <c r="Z82" i="21" s="1"/>
  <c r="AA82" i="21" s="1"/>
  <c r="AB82" i="21" s="1"/>
  <c r="AC82" i="21" s="1"/>
  <c r="AD82" i="21" s="1"/>
  <c r="AE82" i="21" s="1"/>
  <c r="AF82" i="21" s="1"/>
  <c r="AG82" i="21" s="1"/>
  <c r="AH82" i="21" s="1"/>
  <c r="AI82" i="21" s="1"/>
  <c r="B82" i="21"/>
  <c r="B68" i="21"/>
  <c r="C68" i="21" s="1"/>
  <c r="D68" i="21" s="1"/>
  <c r="E68" i="21" s="1"/>
  <c r="F68" i="21" s="1"/>
  <c r="G68" i="21" s="1"/>
  <c r="H68" i="21" s="1"/>
  <c r="I68" i="21" s="1"/>
  <c r="J68" i="21" s="1"/>
  <c r="K68" i="21" s="1"/>
  <c r="L68" i="21" s="1"/>
  <c r="M68" i="21" s="1"/>
  <c r="N68" i="21" s="1"/>
  <c r="O68" i="21" s="1"/>
  <c r="P68" i="21" s="1"/>
  <c r="Q68" i="21" s="1"/>
  <c r="R68" i="21" s="1"/>
  <c r="S68" i="21" s="1"/>
  <c r="T68" i="21" s="1"/>
  <c r="U68" i="21" s="1"/>
  <c r="V68" i="21" s="1"/>
  <c r="W68" i="21" s="1"/>
  <c r="X68" i="21" s="1"/>
  <c r="Y68" i="21" s="1"/>
  <c r="Z68" i="21" s="1"/>
  <c r="AA68" i="21" s="1"/>
  <c r="AB68" i="21" s="1"/>
  <c r="AC68" i="21" s="1"/>
  <c r="AD68" i="21" s="1"/>
  <c r="AE68" i="21" s="1"/>
  <c r="AF68" i="21" s="1"/>
  <c r="AG68" i="21" s="1"/>
  <c r="AH68" i="21" s="1"/>
  <c r="AI68" i="21" s="1"/>
  <c r="C55" i="21"/>
  <c r="D55" i="21" s="1"/>
  <c r="E55" i="21" s="1"/>
  <c r="F55" i="21" s="1"/>
  <c r="G55" i="21" s="1"/>
  <c r="H55" i="21" s="1"/>
  <c r="I55" i="21" s="1"/>
  <c r="J55" i="21" s="1"/>
  <c r="K55" i="21" s="1"/>
  <c r="L55" i="21" s="1"/>
  <c r="M55" i="21" s="1"/>
  <c r="N55" i="21" s="1"/>
  <c r="O55" i="21" s="1"/>
  <c r="P55" i="21" s="1"/>
  <c r="Q55" i="21" s="1"/>
  <c r="R55" i="21" s="1"/>
  <c r="S55" i="21" s="1"/>
  <c r="T55" i="21" s="1"/>
  <c r="U55" i="21" s="1"/>
  <c r="V55" i="21" s="1"/>
  <c r="W55" i="21" s="1"/>
  <c r="X55" i="21" s="1"/>
  <c r="Y55" i="21" s="1"/>
  <c r="Z55" i="21" s="1"/>
  <c r="AA55" i="21" s="1"/>
  <c r="AB55" i="21" s="1"/>
  <c r="AC55" i="21" s="1"/>
  <c r="AD55" i="21" s="1"/>
  <c r="AE55" i="21" s="1"/>
  <c r="AF55" i="21" s="1"/>
  <c r="AG55" i="21" s="1"/>
  <c r="AH55" i="21" s="1"/>
  <c r="AI55" i="21" s="1"/>
  <c r="B55" i="21"/>
  <c r="A55" i="21"/>
  <c r="B41" i="21"/>
  <c r="C41" i="21" s="1"/>
  <c r="D41" i="21" s="1"/>
  <c r="E41" i="21" s="1"/>
  <c r="F41" i="21" s="1"/>
  <c r="G41" i="21" s="1"/>
  <c r="H41" i="21" s="1"/>
  <c r="I41" i="21" s="1"/>
  <c r="J41" i="21" s="1"/>
  <c r="K41" i="21" s="1"/>
  <c r="L41" i="21" s="1"/>
  <c r="M41" i="21" s="1"/>
  <c r="N41" i="21" s="1"/>
  <c r="O41" i="21" s="1"/>
  <c r="P41" i="21" s="1"/>
  <c r="Q41" i="21" s="1"/>
  <c r="R41" i="21" s="1"/>
  <c r="S41" i="21" s="1"/>
  <c r="T41" i="21" s="1"/>
  <c r="U41" i="21" s="1"/>
  <c r="V41" i="21" s="1"/>
  <c r="W41" i="21" s="1"/>
  <c r="X41" i="21" s="1"/>
  <c r="Y41" i="21" s="1"/>
  <c r="Z41" i="21" s="1"/>
  <c r="AA41" i="21" s="1"/>
  <c r="AB41" i="21" s="1"/>
  <c r="AC41" i="21" s="1"/>
  <c r="AD41" i="21" s="1"/>
  <c r="AE41" i="21" s="1"/>
  <c r="AF41" i="21" s="1"/>
  <c r="AG41" i="21" s="1"/>
  <c r="AH41" i="21" s="1"/>
  <c r="AI41" i="21" s="1"/>
  <c r="A41" i="21"/>
  <c r="A68" i="21" s="1"/>
  <c r="A82" i="21" s="1"/>
  <c r="A96" i="21" s="1"/>
  <c r="A110" i="21" s="1"/>
  <c r="B28" i="21"/>
  <c r="C28" i="21" s="1"/>
  <c r="A28" i="21"/>
  <c r="B14" i="21"/>
  <c r="C14" i="21" s="1"/>
  <c r="D14" i="21" s="1"/>
  <c r="E14" i="21" s="1"/>
  <c r="F14" i="21" s="1"/>
  <c r="G14" i="21" s="1"/>
  <c r="H14" i="21" s="1"/>
  <c r="I14" i="21" s="1"/>
  <c r="J14" i="21" s="1"/>
  <c r="K14" i="21" s="1"/>
  <c r="L14" i="21" s="1"/>
  <c r="M14" i="21" s="1"/>
  <c r="N14" i="21" s="1"/>
  <c r="O14" i="21" s="1"/>
  <c r="P14" i="21" s="1"/>
  <c r="Q14" i="21" s="1"/>
  <c r="R14" i="21" s="1"/>
  <c r="S14" i="21" s="1"/>
  <c r="T14" i="21" s="1"/>
  <c r="U14" i="21" s="1"/>
  <c r="V14" i="21" s="1"/>
  <c r="W14" i="21" s="1"/>
  <c r="X14" i="21" s="1"/>
  <c r="Y14" i="21" s="1"/>
  <c r="Z14" i="21" s="1"/>
  <c r="AA14" i="21" s="1"/>
  <c r="AB14" i="21" s="1"/>
  <c r="AC14" i="21" s="1"/>
  <c r="AD14" i="21" s="1"/>
  <c r="AE14" i="21" s="1"/>
  <c r="AF14" i="21" s="1"/>
  <c r="AG14" i="21" s="1"/>
  <c r="AH14" i="21" s="1"/>
  <c r="AI14" i="21" s="1"/>
  <c r="D1" i="21"/>
  <c r="E1" i="21" s="1"/>
  <c r="F1" i="21" s="1"/>
  <c r="G1" i="21" s="1"/>
  <c r="H1" i="21" s="1"/>
  <c r="I1" i="21" s="1"/>
  <c r="J1" i="21" s="1"/>
  <c r="K1" i="21" s="1"/>
  <c r="L1" i="21" s="1"/>
  <c r="M1" i="21" s="1"/>
  <c r="N1" i="21" s="1"/>
  <c r="O1" i="21" s="1"/>
  <c r="P1" i="21" s="1"/>
  <c r="Q1" i="21" s="1"/>
  <c r="R1" i="21" s="1"/>
  <c r="S1" i="21" s="1"/>
  <c r="T1" i="21" s="1"/>
  <c r="U1" i="21" s="1"/>
  <c r="V1" i="21" s="1"/>
  <c r="W1" i="21" s="1"/>
  <c r="X1" i="21" s="1"/>
  <c r="Y1" i="21" s="1"/>
  <c r="Z1" i="21" s="1"/>
  <c r="AA1" i="21" s="1"/>
  <c r="AB1" i="21" s="1"/>
  <c r="AC1" i="21" s="1"/>
  <c r="AD1" i="21" s="1"/>
  <c r="AE1" i="21" s="1"/>
  <c r="AF1" i="21" s="1"/>
  <c r="AG1" i="21" s="1"/>
  <c r="AH1" i="21" s="1"/>
  <c r="AI1" i="21" s="1"/>
  <c r="C1" i="21"/>
  <c r="AK120" i="20"/>
  <c r="AK119" i="20"/>
  <c r="AK118" i="20"/>
  <c r="AK117" i="20"/>
  <c r="AK115" i="20"/>
  <c r="AK114" i="20"/>
  <c r="AK113" i="20"/>
  <c r="AK112" i="20"/>
  <c r="AK111" i="20"/>
  <c r="C110" i="20"/>
  <c r="D110" i="20" s="1"/>
  <c r="E110" i="20" s="1"/>
  <c r="F110" i="20" s="1"/>
  <c r="G110" i="20" s="1"/>
  <c r="H110" i="20" s="1"/>
  <c r="I110" i="20" s="1"/>
  <c r="J110" i="20" s="1"/>
  <c r="K110" i="20" s="1"/>
  <c r="L110" i="20" s="1"/>
  <c r="M110" i="20" s="1"/>
  <c r="N110" i="20" s="1"/>
  <c r="O110" i="20" s="1"/>
  <c r="P110" i="20" s="1"/>
  <c r="Q110" i="20" s="1"/>
  <c r="R110" i="20" s="1"/>
  <c r="S110" i="20" s="1"/>
  <c r="T110" i="20" s="1"/>
  <c r="U110" i="20" s="1"/>
  <c r="V110" i="20" s="1"/>
  <c r="W110" i="20" s="1"/>
  <c r="X110" i="20" s="1"/>
  <c r="Y110" i="20" s="1"/>
  <c r="Z110" i="20" s="1"/>
  <c r="AA110" i="20" s="1"/>
  <c r="AB110" i="20" s="1"/>
  <c r="AC110" i="20" s="1"/>
  <c r="AD110" i="20" s="1"/>
  <c r="AE110" i="20" s="1"/>
  <c r="AF110" i="20" s="1"/>
  <c r="AG110" i="20" s="1"/>
  <c r="AH110" i="20" s="1"/>
  <c r="AI110" i="20" s="1"/>
  <c r="B110" i="20"/>
  <c r="B96" i="20"/>
  <c r="C96" i="20" s="1"/>
  <c r="D96" i="20" s="1"/>
  <c r="E96" i="20" s="1"/>
  <c r="F96" i="20" s="1"/>
  <c r="G96" i="20" s="1"/>
  <c r="H96" i="20" s="1"/>
  <c r="I96" i="20" s="1"/>
  <c r="J96" i="20" s="1"/>
  <c r="K96" i="20" s="1"/>
  <c r="L96" i="20" s="1"/>
  <c r="M96" i="20" s="1"/>
  <c r="N96" i="20" s="1"/>
  <c r="O96" i="20" s="1"/>
  <c r="P96" i="20" s="1"/>
  <c r="Q96" i="20" s="1"/>
  <c r="R96" i="20" s="1"/>
  <c r="S96" i="20" s="1"/>
  <c r="T96" i="20" s="1"/>
  <c r="U96" i="20" s="1"/>
  <c r="V96" i="20" s="1"/>
  <c r="W96" i="20" s="1"/>
  <c r="X96" i="20" s="1"/>
  <c r="Y96" i="20" s="1"/>
  <c r="Z96" i="20" s="1"/>
  <c r="AA96" i="20" s="1"/>
  <c r="AB96" i="20" s="1"/>
  <c r="AC96" i="20" s="1"/>
  <c r="AD96" i="20" s="1"/>
  <c r="AE96" i="20" s="1"/>
  <c r="AF96" i="20" s="1"/>
  <c r="AG96" i="20" s="1"/>
  <c r="AH96" i="20" s="1"/>
  <c r="AI96" i="20" s="1"/>
  <c r="B82" i="20"/>
  <c r="C82" i="20" s="1"/>
  <c r="D82" i="20" s="1"/>
  <c r="E82" i="20" s="1"/>
  <c r="F82" i="20" s="1"/>
  <c r="G82" i="20" s="1"/>
  <c r="H82" i="20" s="1"/>
  <c r="I82" i="20" s="1"/>
  <c r="J82" i="20" s="1"/>
  <c r="K82" i="20" s="1"/>
  <c r="L82" i="20" s="1"/>
  <c r="M82" i="20" s="1"/>
  <c r="N82" i="20" s="1"/>
  <c r="O82" i="20" s="1"/>
  <c r="P82" i="20" s="1"/>
  <c r="Q82" i="20" s="1"/>
  <c r="R82" i="20" s="1"/>
  <c r="S82" i="20" s="1"/>
  <c r="T82" i="20" s="1"/>
  <c r="U82" i="20" s="1"/>
  <c r="V82" i="20" s="1"/>
  <c r="W82" i="20" s="1"/>
  <c r="X82" i="20" s="1"/>
  <c r="Y82" i="20" s="1"/>
  <c r="Z82" i="20" s="1"/>
  <c r="AA82" i="20" s="1"/>
  <c r="AB82" i="20" s="1"/>
  <c r="AC82" i="20" s="1"/>
  <c r="AD82" i="20" s="1"/>
  <c r="AE82" i="20" s="1"/>
  <c r="AF82" i="20" s="1"/>
  <c r="AG82" i="20" s="1"/>
  <c r="AH82" i="20" s="1"/>
  <c r="AI82" i="20" s="1"/>
  <c r="C68" i="20"/>
  <c r="D68" i="20" s="1"/>
  <c r="E68" i="20" s="1"/>
  <c r="F68" i="20" s="1"/>
  <c r="G68" i="20" s="1"/>
  <c r="H68" i="20" s="1"/>
  <c r="I68" i="20" s="1"/>
  <c r="J68" i="20" s="1"/>
  <c r="K68" i="20" s="1"/>
  <c r="L68" i="20" s="1"/>
  <c r="M68" i="20" s="1"/>
  <c r="N68" i="20" s="1"/>
  <c r="O68" i="20" s="1"/>
  <c r="P68" i="20" s="1"/>
  <c r="Q68" i="20" s="1"/>
  <c r="R68" i="20" s="1"/>
  <c r="S68" i="20" s="1"/>
  <c r="T68" i="20" s="1"/>
  <c r="U68" i="20" s="1"/>
  <c r="V68" i="20" s="1"/>
  <c r="W68" i="20" s="1"/>
  <c r="X68" i="20" s="1"/>
  <c r="Y68" i="20" s="1"/>
  <c r="Z68" i="20" s="1"/>
  <c r="AA68" i="20" s="1"/>
  <c r="AB68" i="20" s="1"/>
  <c r="AC68" i="20" s="1"/>
  <c r="AD68" i="20" s="1"/>
  <c r="AE68" i="20" s="1"/>
  <c r="AF68" i="20" s="1"/>
  <c r="AG68" i="20" s="1"/>
  <c r="AH68" i="20" s="1"/>
  <c r="AI68" i="20" s="1"/>
  <c r="B68" i="20"/>
  <c r="AI55" i="20"/>
  <c r="D55" i="20"/>
  <c r="E55" i="20" s="1"/>
  <c r="F55" i="20" s="1"/>
  <c r="G55" i="20" s="1"/>
  <c r="H55" i="20" s="1"/>
  <c r="I55" i="20" s="1"/>
  <c r="J55" i="20" s="1"/>
  <c r="K55" i="20" s="1"/>
  <c r="L55" i="20" s="1"/>
  <c r="M55" i="20" s="1"/>
  <c r="N55" i="20" s="1"/>
  <c r="O55" i="20" s="1"/>
  <c r="P55" i="20" s="1"/>
  <c r="Q55" i="20" s="1"/>
  <c r="R55" i="20" s="1"/>
  <c r="S55" i="20" s="1"/>
  <c r="T55" i="20" s="1"/>
  <c r="U55" i="20" s="1"/>
  <c r="V55" i="20" s="1"/>
  <c r="W55" i="20" s="1"/>
  <c r="X55" i="20" s="1"/>
  <c r="Y55" i="20" s="1"/>
  <c r="Z55" i="20" s="1"/>
  <c r="AA55" i="20" s="1"/>
  <c r="AB55" i="20" s="1"/>
  <c r="AC55" i="20" s="1"/>
  <c r="AD55" i="20" s="1"/>
  <c r="AE55" i="20" s="1"/>
  <c r="AF55" i="20" s="1"/>
  <c r="AG55" i="20" s="1"/>
  <c r="AH55" i="20" s="1"/>
  <c r="C55" i="20"/>
  <c r="B55" i="20"/>
  <c r="A55" i="20"/>
  <c r="O41" i="20"/>
  <c r="P41" i="20" s="1"/>
  <c r="Q41" i="20" s="1"/>
  <c r="R41" i="20" s="1"/>
  <c r="S41" i="20" s="1"/>
  <c r="T41" i="20" s="1"/>
  <c r="U41" i="20" s="1"/>
  <c r="V41" i="20" s="1"/>
  <c r="W41" i="20" s="1"/>
  <c r="X41" i="20" s="1"/>
  <c r="Y41" i="20" s="1"/>
  <c r="Z41" i="20" s="1"/>
  <c r="AA41" i="20" s="1"/>
  <c r="AB41" i="20" s="1"/>
  <c r="AC41" i="20" s="1"/>
  <c r="AD41" i="20" s="1"/>
  <c r="AE41" i="20" s="1"/>
  <c r="AF41" i="20" s="1"/>
  <c r="AG41" i="20" s="1"/>
  <c r="AH41" i="20" s="1"/>
  <c r="AI41" i="20" s="1"/>
  <c r="G41" i="20"/>
  <c r="H41" i="20" s="1"/>
  <c r="I41" i="20" s="1"/>
  <c r="J41" i="20" s="1"/>
  <c r="K41" i="20" s="1"/>
  <c r="L41" i="20" s="1"/>
  <c r="M41" i="20" s="1"/>
  <c r="N41" i="20" s="1"/>
  <c r="B41" i="20"/>
  <c r="C41" i="20" s="1"/>
  <c r="D41" i="20" s="1"/>
  <c r="E41" i="20" s="1"/>
  <c r="F41" i="20" s="1"/>
  <c r="A41" i="20"/>
  <c r="A68" i="20" s="1"/>
  <c r="A82" i="20" s="1"/>
  <c r="A96" i="20" s="1"/>
  <c r="A110" i="20" s="1"/>
  <c r="B28" i="20"/>
  <c r="C28" i="20" s="1"/>
  <c r="A28" i="20"/>
  <c r="C86" i="20"/>
  <c r="B14" i="20"/>
  <c r="C14" i="20" s="1"/>
  <c r="D14" i="20" s="1"/>
  <c r="E14" i="20" s="1"/>
  <c r="F14" i="20" s="1"/>
  <c r="G14" i="20" s="1"/>
  <c r="H14" i="20" s="1"/>
  <c r="I14" i="20" s="1"/>
  <c r="J14" i="20" s="1"/>
  <c r="K14" i="20" s="1"/>
  <c r="L14" i="20" s="1"/>
  <c r="M14" i="20" s="1"/>
  <c r="N14" i="20" s="1"/>
  <c r="O14" i="20" s="1"/>
  <c r="P14" i="20" s="1"/>
  <c r="Q14" i="20" s="1"/>
  <c r="R14" i="20" s="1"/>
  <c r="S14" i="20" s="1"/>
  <c r="T14" i="20" s="1"/>
  <c r="U14" i="20" s="1"/>
  <c r="V14" i="20" s="1"/>
  <c r="W14" i="20" s="1"/>
  <c r="X14" i="20" s="1"/>
  <c r="Y14" i="20" s="1"/>
  <c r="Z14" i="20" s="1"/>
  <c r="AA14" i="20" s="1"/>
  <c r="AB14" i="20" s="1"/>
  <c r="AC14" i="20" s="1"/>
  <c r="AD14" i="20" s="1"/>
  <c r="AE14" i="20" s="1"/>
  <c r="AF14" i="20" s="1"/>
  <c r="AG14" i="20" s="1"/>
  <c r="AH14" i="20" s="1"/>
  <c r="AI14" i="20" s="1"/>
  <c r="D1" i="20"/>
  <c r="E1" i="20" s="1"/>
  <c r="F1" i="20" s="1"/>
  <c r="G1" i="20" s="1"/>
  <c r="H1" i="20" s="1"/>
  <c r="I1" i="20" s="1"/>
  <c r="J1" i="20" s="1"/>
  <c r="K1" i="20" s="1"/>
  <c r="L1" i="20" s="1"/>
  <c r="M1" i="20" s="1"/>
  <c r="N1" i="20" s="1"/>
  <c r="O1" i="20" s="1"/>
  <c r="P1" i="20" s="1"/>
  <c r="Q1" i="20" s="1"/>
  <c r="R1" i="20" s="1"/>
  <c r="S1" i="20" s="1"/>
  <c r="T1" i="20" s="1"/>
  <c r="U1" i="20" s="1"/>
  <c r="V1" i="20" s="1"/>
  <c r="W1" i="20" s="1"/>
  <c r="X1" i="20" s="1"/>
  <c r="Y1" i="20" s="1"/>
  <c r="Z1" i="20" s="1"/>
  <c r="AA1" i="20" s="1"/>
  <c r="AB1" i="20" s="1"/>
  <c r="AC1" i="20" s="1"/>
  <c r="AD1" i="20" s="1"/>
  <c r="AE1" i="20" s="1"/>
  <c r="AF1" i="20" s="1"/>
  <c r="AG1" i="20" s="1"/>
  <c r="AH1" i="20" s="1"/>
  <c r="AI1" i="20" s="1"/>
  <c r="C1" i="20"/>
  <c r="AK12" i="42" l="1"/>
  <c r="D106" i="12"/>
  <c r="D107" i="12"/>
  <c r="D109" i="12"/>
  <c r="Q92" i="19"/>
  <c r="D28" i="19"/>
  <c r="F85" i="19"/>
  <c r="N85" i="19"/>
  <c r="V85" i="19"/>
  <c r="AD85" i="19"/>
  <c r="C86" i="19"/>
  <c r="K86" i="19"/>
  <c r="S86" i="19"/>
  <c r="AA86" i="19"/>
  <c r="AI86" i="19"/>
  <c r="H87" i="19"/>
  <c r="P87" i="19"/>
  <c r="X87" i="19"/>
  <c r="AF87" i="19"/>
  <c r="E89" i="19"/>
  <c r="M89" i="19"/>
  <c r="U89" i="19"/>
  <c r="AC89" i="19"/>
  <c r="B90" i="19"/>
  <c r="J90" i="19"/>
  <c r="R90" i="19"/>
  <c r="Z90" i="19"/>
  <c r="AH90" i="19"/>
  <c r="G91" i="19"/>
  <c r="O91" i="19"/>
  <c r="W91" i="19"/>
  <c r="AE91" i="19"/>
  <c r="D92" i="19"/>
  <c r="L92" i="19"/>
  <c r="T92" i="19"/>
  <c r="AB92" i="19"/>
  <c r="G85" i="19"/>
  <c r="O85" i="19"/>
  <c r="W85" i="19"/>
  <c r="AE85" i="19"/>
  <c r="D86" i="19"/>
  <c r="L86" i="19"/>
  <c r="T86" i="19"/>
  <c r="AB86" i="19"/>
  <c r="I87" i="19"/>
  <c r="Q87" i="19"/>
  <c r="Y87" i="19"/>
  <c r="AG87" i="19"/>
  <c r="F89" i="19"/>
  <c r="N89" i="19"/>
  <c r="V89" i="19"/>
  <c r="AD89" i="19"/>
  <c r="C90" i="19"/>
  <c r="K90" i="19"/>
  <c r="S90" i="19"/>
  <c r="AA90" i="19"/>
  <c r="AI90" i="19"/>
  <c r="H91" i="19"/>
  <c r="P91" i="19"/>
  <c r="X91" i="19"/>
  <c r="AF91" i="19"/>
  <c r="E92" i="19"/>
  <c r="M92" i="19"/>
  <c r="U92" i="19"/>
  <c r="AC92" i="19"/>
  <c r="H85" i="19"/>
  <c r="P85" i="19"/>
  <c r="X85" i="19"/>
  <c r="AF85" i="19"/>
  <c r="E86" i="19"/>
  <c r="M86" i="19"/>
  <c r="U86" i="19"/>
  <c r="AC86" i="19"/>
  <c r="B87" i="19"/>
  <c r="J87" i="19"/>
  <c r="R87" i="19"/>
  <c r="Z87" i="19"/>
  <c r="AH87" i="19"/>
  <c r="G89" i="19"/>
  <c r="O89" i="19"/>
  <c r="W89" i="19"/>
  <c r="AE89" i="19"/>
  <c r="D90" i="19"/>
  <c r="L90" i="19"/>
  <c r="T90" i="19"/>
  <c r="AB90" i="19"/>
  <c r="I91" i="19"/>
  <c r="Q91" i="19"/>
  <c r="Y91" i="19"/>
  <c r="AG91" i="19"/>
  <c r="F92" i="19"/>
  <c r="N92" i="19"/>
  <c r="V92" i="19"/>
  <c r="AD92" i="19"/>
  <c r="I85" i="19"/>
  <c r="Q85" i="19"/>
  <c r="Y85" i="19"/>
  <c r="AG85" i="19"/>
  <c r="F86" i="19"/>
  <c r="N86" i="19"/>
  <c r="V86" i="19"/>
  <c r="AD86" i="19"/>
  <c r="C87" i="19"/>
  <c r="K87" i="19"/>
  <c r="S87" i="19"/>
  <c r="AA87" i="19"/>
  <c r="AI87" i="19"/>
  <c r="H89" i="19"/>
  <c r="P89" i="19"/>
  <c r="X89" i="19"/>
  <c r="AF89" i="19"/>
  <c r="E90" i="19"/>
  <c r="M90" i="19"/>
  <c r="U90" i="19"/>
  <c r="AC90" i="19"/>
  <c r="B91" i="19"/>
  <c r="J91" i="19"/>
  <c r="R91" i="19"/>
  <c r="Z91" i="19"/>
  <c r="AH91" i="19"/>
  <c r="G92" i="19"/>
  <c r="O92" i="19"/>
  <c r="W92" i="19"/>
  <c r="AE92" i="19"/>
  <c r="B85" i="19"/>
  <c r="J85" i="19"/>
  <c r="R85" i="19"/>
  <c r="Z85" i="19"/>
  <c r="AH85" i="19"/>
  <c r="G86" i="19"/>
  <c r="O86" i="19"/>
  <c r="W86" i="19"/>
  <c r="AE86" i="19"/>
  <c r="D87" i="19"/>
  <c r="L87" i="19"/>
  <c r="T87" i="19"/>
  <c r="AB87" i="19"/>
  <c r="I89" i="19"/>
  <c r="Q89" i="19"/>
  <c r="Y89" i="19"/>
  <c r="AG89" i="19"/>
  <c r="F90" i="19"/>
  <c r="N90" i="19"/>
  <c r="V90" i="19"/>
  <c r="AD90" i="19"/>
  <c r="C91" i="19"/>
  <c r="K91" i="19"/>
  <c r="S91" i="19"/>
  <c r="AA91" i="19"/>
  <c r="AI91" i="19"/>
  <c r="H92" i="19"/>
  <c r="P92" i="19"/>
  <c r="X92" i="19"/>
  <c r="AF92" i="19"/>
  <c r="C85" i="19"/>
  <c r="K85" i="19"/>
  <c r="S85" i="19"/>
  <c r="AA85" i="19"/>
  <c r="AI85" i="19"/>
  <c r="H86" i="19"/>
  <c r="P86" i="19"/>
  <c r="X86" i="19"/>
  <c r="AF86" i="19"/>
  <c r="E87" i="19"/>
  <c r="M87" i="19"/>
  <c r="U87" i="19"/>
  <c r="AC87" i="19"/>
  <c r="B89" i="19"/>
  <c r="J89" i="19"/>
  <c r="R89" i="19"/>
  <c r="Z89" i="19"/>
  <c r="AH89" i="19"/>
  <c r="G90" i="19"/>
  <c r="O90" i="19"/>
  <c r="W90" i="19"/>
  <c r="AE90" i="19"/>
  <c r="D91" i="19"/>
  <c r="L91" i="19"/>
  <c r="T91" i="19"/>
  <c r="AB91" i="19"/>
  <c r="I92" i="19"/>
  <c r="Y92" i="19"/>
  <c r="AG92" i="19"/>
  <c r="D85" i="19"/>
  <c r="L85" i="19"/>
  <c r="T85" i="19"/>
  <c r="AB85" i="19"/>
  <c r="I86" i="19"/>
  <c r="Q86" i="19"/>
  <c r="Y86" i="19"/>
  <c r="AG86" i="19"/>
  <c r="F87" i="19"/>
  <c r="N87" i="19"/>
  <c r="V87" i="19"/>
  <c r="AD87" i="19"/>
  <c r="C89" i="19"/>
  <c r="K89" i="19"/>
  <c r="S89" i="19"/>
  <c r="AA89" i="19"/>
  <c r="AI89" i="19"/>
  <c r="H90" i="19"/>
  <c r="P90" i="19"/>
  <c r="X90" i="19"/>
  <c r="AF90" i="19"/>
  <c r="E91" i="19"/>
  <c r="M91" i="19"/>
  <c r="U91" i="19"/>
  <c r="AC91" i="19"/>
  <c r="B92" i="19"/>
  <c r="J92" i="19"/>
  <c r="R92" i="19"/>
  <c r="Z92" i="19"/>
  <c r="AH92" i="19"/>
  <c r="E85" i="19"/>
  <c r="M85" i="19"/>
  <c r="U85" i="19"/>
  <c r="AC85" i="19"/>
  <c r="B86" i="19"/>
  <c r="J86" i="19"/>
  <c r="R86" i="19"/>
  <c r="Z86" i="19"/>
  <c r="AH86" i="19"/>
  <c r="G87" i="19"/>
  <c r="O87" i="19"/>
  <c r="W87" i="19"/>
  <c r="AE87" i="19"/>
  <c r="D89" i="19"/>
  <c r="L89" i="19"/>
  <c r="T89" i="19"/>
  <c r="AB89" i="19"/>
  <c r="I90" i="19"/>
  <c r="Q90" i="19"/>
  <c r="Y90" i="19"/>
  <c r="AG90" i="19"/>
  <c r="F91" i="19"/>
  <c r="N91" i="19"/>
  <c r="V91" i="19"/>
  <c r="AD91" i="19"/>
  <c r="C92" i="19"/>
  <c r="K92" i="19"/>
  <c r="S92" i="19"/>
  <c r="AA92" i="19"/>
  <c r="AI92" i="19"/>
  <c r="C85" i="21"/>
  <c r="X86" i="21"/>
  <c r="AC87" i="21"/>
  <c r="J89" i="21"/>
  <c r="D91" i="21"/>
  <c r="D85" i="21"/>
  <c r="L85" i="21"/>
  <c r="T85" i="21"/>
  <c r="AB85" i="21"/>
  <c r="I86" i="21"/>
  <c r="Q86" i="21"/>
  <c r="Y86" i="21"/>
  <c r="AG86" i="21"/>
  <c r="F87" i="21"/>
  <c r="N87" i="21"/>
  <c r="V87" i="21"/>
  <c r="AD87" i="21"/>
  <c r="C89" i="21"/>
  <c r="K89" i="21"/>
  <c r="S89" i="21"/>
  <c r="AA89" i="21"/>
  <c r="AI89" i="21"/>
  <c r="H90" i="21"/>
  <c r="P90" i="21"/>
  <c r="X90" i="21"/>
  <c r="AF90" i="21"/>
  <c r="E91" i="21"/>
  <c r="M91" i="21"/>
  <c r="U91" i="21"/>
  <c r="H86" i="21"/>
  <c r="O90" i="21"/>
  <c r="E85" i="21"/>
  <c r="M85" i="21"/>
  <c r="U85" i="21"/>
  <c r="AC85" i="21"/>
  <c r="B86" i="21"/>
  <c r="J86" i="21"/>
  <c r="R86" i="21"/>
  <c r="Z86" i="21"/>
  <c r="AH86" i="21"/>
  <c r="G87" i="21"/>
  <c r="O87" i="21"/>
  <c r="W87" i="21"/>
  <c r="AE87" i="21"/>
  <c r="D89" i="21"/>
  <c r="L89" i="21"/>
  <c r="T89" i="21"/>
  <c r="AB89" i="21"/>
  <c r="I90" i="21"/>
  <c r="Q90" i="21"/>
  <c r="Y90" i="21"/>
  <c r="AG90" i="21"/>
  <c r="F91" i="21"/>
  <c r="N91" i="21"/>
  <c r="V91" i="21"/>
  <c r="S85" i="21"/>
  <c r="U87" i="21"/>
  <c r="W90" i="21"/>
  <c r="F85" i="21"/>
  <c r="N85" i="21"/>
  <c r="V85" i="21"/>
  <c r="AD85" i="21"/>
  <c r="C86" i="21"/>
  <c r="K86" i="21"/>
  <c r="S86" i="21"/>
  <c r="AA86" i="21"/>
  <c r="AI86" i="21"/>
  <c r="H87" i="21"/>
  <c r="P87" i="21"/>
  <c r="X87" i="21"/>
  <c r="AF87" i="21"/>
  <c r="E89" i="21"/>
  <c r="M89" i="21"/>
  <c r="U89" i="21"/>
  <c r="AC89" i="21"/>
  <c r="B90" i="21"/>
  <c r="J90" i="21"/>
  <c r="R90" i="21"/>
  <c r="Z90" i="21"/>
  <c r="AH90" i="21"/>
  <c r="G91" i="21"/>
  <c r="O91" i="21"/>
  <c r="W91" i="21"/>
  <c r="P86" i="21"/>
  <c r="B89" i="21"/>
  <c r="AH89" i="21"/>
  <c r="AB91" i="21"/>
  <c r="G85" i="21"/>
  <c r="O85" i="21"/>
  <c r="W85" i="21"/>
  <c r="AE85" i="21"/>
  <c r="D86" i="21"/>
  <c r="L86" i="21"/>
  <c r="T86" i="21"/>
  <c r="AB86" i="21"/>
  <c r="I87" i="21"/>
  <c r="Q87" i="21"/>
  <c r="Y87" i="21"/>
  <c r="AG87" i="21"/>
  <c r="F89" i="21"/>
  <c r="N89" i="21"/>
  <c r="V89" i="21"/>
  <c r="AD89" i="21"/>
  <c r="C90" i="21"/>
  <c r="K90" i="21"/>
  <c r="S90" i="21"/>
  <c r="AA90" i="21"/>
  <c r="AI90" i="21"/>
  <c r="H91" i="21"/>
  <c r="P91" i="21"/>
  <c r="X91" i="21"/>
  <c r="AF91" i="21"/>
  <c r="E92" i="21"/>
  <c r="M92" i="21"/>
  <c r="U92" i="21"/>
  <c r="AC92" i="21"/>
  <c r="AI85" i="21"/>
  <c r="M87" i="21"/>
  <c r="R89" i="21"/>
  <c r="AE90" i="21"/>
  <c r="H85" i="21"/>
  <c r="P85" i="21"/>
  <c r="X85" i="21"/>
  <c r="AF85" i="21"/>
  <c r="E86" i="21"/>
  <c r="M86" i="21"/>
  <c r="U86" i="21"/>
  <c r="AC86" i="21"/>
  <c r="B87" i="21"/>
  <c r="J87" i="21"/>
  <c r="R87" i="21"/>
  <c r="Z87" i="21"/>
  <c r="AH87" i="21"/>
  <c r="G89" i="21"/>
  <c r="O89" i="21"/>
  <c r="W89" i="21"/>
  <c r="AE89" i="21"/>
  <c r="D90" i="21"/>
  <c r="L90" i="21"/>
  <c r="T90" i="21"/>
  <c r="AB90" i="21"/>
  <c r="I91" i="21"/>
  <c r="Q91" i="21"/>
  <c r="Y91" i="21"/>
  <c r="AG91" i="21"/>
  <c r="AA85" i="21"/>
  <c r="E87" i="21"/>
  <c r="Z89" i="21"/>
  <c r="L91" i="21"/>
  <c r="I85" i="21"/>
  <c r="Q85" i="21"/>
  <c r="Y85" i="21"/>
  <c r="AG85" i="21"/>
  <c r="F86" i="21"/>
  <c r="N86" i="21"/>
  <c r="V86" i="21"/>
  <c r="AD86" i="21"/>
  <c r="C87" i="21"/>
  <c r="K87" i="21"/>
  <c r="S87" i="21"/>
  <c r="AA87" i="21"/>
  <c r="AI87" i="21"/>
  <c r="H89" i="21"/>
  <c r="P89" i="21"/>
  <c r="X89" i="21"/>
  <c r="AF89" i="21"/>
  <c r="E90" i="21"/>
  <c r="M90" i="21"/>
  <c r="U90" i="21"/>
  <c r="AC90" i="21"/>
  <c r="B91" i="21"/>
  <c r="J91" i="21"/>
  <c r="R91" i="21"/>
  <c r="Z91" i="21"/>
  <c r="AH91" i="21"/>
  <c r="G92" i="21"/>
  <c r="O92" i="21"/>
  <c r="W92" i="21"/>
  <c r="AE92" i="21"/>
  <c r="K85" i="21"/>
  <c r="AF86" i="21"/>
  <c r="G90" i="21"/>
  <c r="T91" i="21"/>
  <c r="B85" i="21"/>
  <c r="J85" i="21"/>
  <c r="R85" i="21"/>
  <c r="Z85" i="21"/>
  <c r="AH85" i="21"/>
  <c r="G86" i="21"/>
  <c r="O86" i="21"/>
  <c r="W86" i="21"/>
  <c r="AE86" i="21"/>
  <c r="D87" i="21"/>
  <c r="L87" i="21"/>
  <c r="T87" i="21"/>
  <c r="AB87" i="21"/>
  <c r="I89" i="21"/>
  <c r="Q89" i="21"/>
  <c r="Y89" i="21"/>
  <c r="AG89" i="21"/>
  <c r="F90" i="21"/>
  <c r="N90" i="21"/>
  <c r="V90" i="21"/>
  <c r="AD90" i="21"/>
  <c r="C91" i="21"/>
  <c r="K91" i="21"/>
  <c r="S91" i="21"/>
  <c r="AA91" i="21"/>
  <c r="D28" i="21"/>
  <c r="F92" i="21"/>
  <c r="N92" i="21"/>
  <c r="V92" i="21"/>
  <c r="AD92" i="21"/>
  <c r="AI91" i="21"/>
  <c r="H92" i="21"/>
  <c r="P92" i="21"/>
  <c r="X92" i="21"/>
  <c r="AF92" i="21"/>
  <c r="I92" i="21"/>
  <c r="Q92" i="21"/>
  <c r="Y92" i="21"/>
  <c r="AG92" i="21"/>
  <c r="AC91" i="21"/>
  <c r="B92" i="21"/>
  <c r="J92" i="21"/>
  <c r="R92" i="21"/>
  <c r="Z92" i="21"/>
  <c r="AH92" i="21"/>
  <c r="AD91" i="21"/>
  <c r="C92" i="21"/>
  <c r="K92" i="21"/>
  <c r="S92" i="21"/>
  <c r="AA92" i="21"/>
  <c r="AI92" i="21"/>
  <c r="AE91" i="21"/>
  <c r="D92" i="21"/>
  <c r="L92" i="21"/>
  <c r="T92" i="21"/>
  <c r="AB92" i="21"/>
  <c r="AA86" i="20"/>
  <c r="P87" i="20"/>
  <c r="M89" i="20"/>
  <c r="B90" i="20"/>
  <c r="AH90" i="20"/>
  <c r="W91" i="20"/>
  <c r="T92" i="20"/>
  <c r="AD85" i="20"/>
  <c r="K86" i="20"/>
  <c r="AI86" i="20"/>
  <c r="X87" i="20"/>
  <c r="E89" i="20"/>
  <c r="AC89" i="20"/>
  <c r="R90" i="20"/>
  <c r="G91" i="20"/>
  <c r="AE91" i="20"/>
  <c r="L92" i="20"/>
  <c r="V85" i="20"/>
  <c r="S86" i="20"/>
  <c r="H87" i="20"/>
  <c r="AF87" i="20"/>
  <c r="U89" i="20"/>
  <c r="J90" i="20"/>
  <c r="Z90" i="20"/>
  <c r="O91" i="20"/>
  <c r="D92" i="20"/>
  <c r="AB92" i="20"/>
  <c r="F85" i="20"/>
  <c r="D28" i="20"/>
  <c r="N85" i="20"/>
  <c r="G85" i="20"/>
  <c r="O85" i="20"/>
  <c r="W85" i="20"/>
  <c r="AE85" i="20"/>
  <c r="D86" i="20"/>
  <c r="L86" i="20"/>
  <c r="T86" i="20"/>
  <c r="AB86" i="20"/>
  <c r="I87" i="20"/>
  <c r="Q87" i="20"/>
  <c r="Y87" i="20"/>
  <c r="AG87" i="20"/>
  <c r="F89" i="20"/>
  <c r="N89" i="20"/>
  <c r="V89" i="20"/>
  <c r="AD89" i="20"/>
  <c r="C90" i="20"/>
  <c r="K90" i="20"/>
  <c r="S90" i="20"/>
  <c r="AA90" i="20"/>
  <c r="AI90" i="20"/>
  <c r="H91" i="20"/>
  <c r="P91" i="20"/>
  <c r="X91" i="20"/>
  <c r="AF91" i="20"/>
  <c r="E92" i="20"/>
  <c r="M92" i="20"/>
  <c r="U92" i="20"/>
  <c r="AC92" i="20"/>
  <c r="H85" i="20"/>
  <c r="P85" i="20"/>
  <c r="X85" i="20"/>
  <c r="AF85" i="20"/>
  <c r="E86" i="20"/>
  <c r="M86" i="20"/>
  <c r="U86" i="20"/>
  <c r="AC86" i="20"/>
  <c r="B87" i="20"/>
  <c r="R87" i="20"/>
  <c r="Z87" i="20"/>
  <c r="AH87" i="20"/>
  <c r="G89" i="20"/>
  <c r="O89" i="20"/>
  <c r="W89" i="20"/>
  <c r="AE89" i="20"/>
  <c r="D90" i="20"/>
  <c r="L90" i="20"/>
  <c r="T90" i="20"/>
  <c r="AB90" i="20"/>
  <c r="I91" i="20"/>
  <c r="Q91" i="20"/>
  <c r="Y91" i="20"/>
  <c r="AG91" i="20"/>
  <c r="F92" i="20"/>
  <c r="N92" i="20"/>
  <c r="V92" i="20"/>
  <c r="AD92" i="20"/>
  <c r="I85" i="20"/>
  <c r="Q85" i="20"/>
  <c r="Y85" i="20"/>
  <c r="AG85" i="20"/>
  <c r="F86" i="20"/>
  <c r="N86" i="20"/>
  <c r="V86" i="20"/>
  <c r="AD86" i="20"/>
  <c r="C87" i="20"/>
  <c r="K87" i="20"/>
  <c r="S87" i="20"/>
  <c r="AA87" i="20"/>
  <c r="AI87" i="20"/>
  <c r="H89" i="20"/>
  <c r="P89" i="20"/>
  <c r="X89" i="20"/>
  <c r="AF89" i="20"/>
  <c r="E90" i="20"/>
  <c r="M90" i="20"/>
  <c r="U90" i="20"/>
  <c r="AC90" i="20"/>
  <c r="B91" i="20"/>
  <c r="J91" i="20"/>
  <c r="R91" i="20"/>
  <c r="Z91" i="20"/>
  <c r="AH91" i="20"/>
  <c r="G92" i="20"/>
  <c r="O92" i="20"/>
  <c r="W92" i="20"/>
  <c r="AE92" i="20"/>
  <c r="J87" i="20"/>
  <c r="B85" i="20"/>
  <c r="J85" i="20"/>
  <c r="R85" i="20"/>
  <c r="Z85" i="20"/>
  <c r="AH85" i="20"/>
  <c r="G86" i="20"/>
  <c r="O86" i="20"/>
  <c r="W86" i="20"/>
  <c r="AE86" i="20"/>
  <c r="D87" i="20"/>
  <c r="L87" i="20"/>
  <c r="T87" i="20"/>
  <c r="AB87" i="20"/>
  <c r="I89" i="20"/>
  <c r="Q89" i="20"/>
  <c r="Y89" i="20"/>
  <c r="AG89" i="20"/>
  <c r="F90" i="20"/>
  <c r="N90" i="20"/>
  <c r="V90" i="20"/>
  <c r="AD90" i="20"/>
  <c r="C91" i="20"/>
  <c r="K91" i="20"/>
  <c r="S91" i="20"/>
  <c r="AA91" i="20"/>
  <c r="AI91" i="20"/>
  <c r="H92" i="20"/>
  <c r="P92" i="20"/>
  <c r="X92" i="20"/>
  <c r="AF92" i="20"/>
  <c r="C85" i="20"/>
  <c r="K85" i="20"/>
  <c r="S85" i="20"/>
  <c r="AA85" i="20"/>
  <c r="AI85" i="20"/>
  <c r="H86" i="20"/>
  <c r="P86" i="20"/>
  <c r="X86" i="20"/>
  <c r="AF86" i="20"/>
  <c r="E87" i="20"/>
  <c r="M87" i="20"/>
  <c r="U87" i="20"/>
  <c r="AC87" i="20"/>
  <c r="B89" i="20"/>
  <c r="J89" i="20"/>
  <c r="R89" i="20"/>
  <c r="Z89" i="20"/>
  <c r="AH89" i="20"/>
  <c r="G90" i="20"/>
  <c r="O90" i="20"/>
  <c r="W90" i="20"/>
  <c r="AE90" i="20"/>
  <c r="D91" i="20"/>
  <c r="L91" i="20"/>
  <c r="T91" i="20"/>
  <c r="AB91" i="20"/>
  <c r="I92" i="20"/>
  <c r="Q92" i="20"/>
  <c r="Y92" i="20"/>
  <c r="AG92" i="20"/>
  <c r="D85" i="20"/>
  <c r="L85" i="20"/>
  <c r="T85" i="20"/>
  <c r="AB85" i="20"/>
  <c r="I86" i="20"/>
  <c r="Q86" i="20"/>
  <c r="Y86" i="20"/>
  <c r="AG86" i="20"/>
  <c r="F87" i="20"/>
  <c r="N87" i="20"/>
  <c r="V87" i="20"/>
  <c r="AD87" i="20"/>
  <c r="C89" i="20"/>
  <c r="K89" i="20"/>
  <c r="S89" i="20"/>
  <c r="AA89" i="20"/>
  <c r="AI89" i="20"/>
  <c r="H90" i="20"/>
  <c r="P90" i="20"/>
  <c r="X90" i="20"/>
  <c r="AF90" i="20"/>
  <c r="E91" i="20"/>
  <c r="M91" i="20"/>
  <c r="U91" i="20"/>
  <c r="AC91" i="20"/>
  <c r="B92" i="20"/>
  <c r="J92" i="20"/>
  <c r="R92" i="20"/>
  <c r="Z92" i="20"/>
  <c r="AH92" i="20"/>
  <c r="E85" i="20"/>
  <c r="M85" i="20"/>
  <c r="U85" i="20"/>
  <c r="AC85" i="20"/>
  <c r="B86" i="20"/>
  <c r="J86" i="20"/>
  <c r="R86" i="20"/>
  <c r="Z86" i="20"/>
  <c r="AH86" i="20"/>
  <c r="G87" i="20"/>
  <c r="O87" i="20"/>
  <c r="W87" i="20"/>
  <c r="AE87" i="20"/>
  <c r="D89" i="20"/>
  <c r="L89" i="20"/>
  <c r="T89" i="20"/>
  <c r="AB89" i="20"/>
  <c r="I90" i="20"/>
  <c r="Q90" i="20"/>
  <c r="Y90" i="20"/>
  <c r="AG90" i="20"/>
  <c r="F91" i="20"/>
  <c r="N91" i="20"/>
  <c r="V91" i="20"/>
  <c r="AD91" i="20"/>
  <c r="C92" i="20"/>
  <c r="K92" i="20"/>
  <c r="S92" i="20"/>
  <c r="AA92" i="20"/>
  <c r="AI92" i="20"/>
  <c r="C34" i="3"/>
  <c r="K34" i="3"/>
  <c r="U3" i="3"/>
  <c r="U4" i="3" s="1"/>
  <c r="U5" i="3" s="1"/>
  <c r="T3" i="3"/>
  <c r="T4" i="3" s="1"/>
  <c r="T5" i="3" s="1"/>
  <c r="S3" i="3"/>
  <c r="S4" i="3" s="1"/>
  <c r="S5" i="3" s="1"/>
  <c r="S6" i="3" s="1"/>
  <c r="S7" i="3" s="1"/>
  <c r="S8" i="3" s="1"/>
  <c r="S9" i="3" s="1"/>
  <c r="S10" i="3" s="1"/>
  <c r="S11" i="3" s="1"/>
  <c r="S12" i="3" s="1"/>
  <c r="S13" i="3" s="1"/>
  <c r="S14" i="3" s="1"/>
  <c r="S15" i="3" s="1"/>
  <c r="S16" i="3" s="1"/>
  <c r="S17" i="3" s="1"/>
  <c r="S18" i="3" s="1"/>
  <c r="S19" i="3" s="1"/>
  <c r="S20" i="3" s="1"/>
  <c r="S21" i="3" s="1"/>
  <c r="U1" i="3"/>
  <c r="T1" i="3"/>
  <c r="E28" i="19" l="1"/>
  <c r="E28" i="21"/>
  <c r="E28" i="20"/>
  <c r="T6" i="3"/>
  <c r="T7" i="3" s="1"/>
  <c r="T8" i="3" s="1"/>
  <c r="T9" i="3" s="1"/>
  <c r="T10" i="3" s="1"/>
  <c r="T11" i="3" s="1"/>
  <c r="T12" i="3" s="1"/>
  <c r="T13" i="3" s="1"/>
  <c r="T14" i="3" s="1"/>
  <c r="T15" i="3" s="1"/>
  <c r="T16" i="3" s="1"/>
  <c r="T17" i="3" s="1"/>
  <c r="T18" i="3" s="1"/>
  <c r="T19" i="3" s="1"/>
  <c r="T20" i="3" s="1"/>
  <c r="T21" i="3" s="1"/>
  <c r="T22" i="3" s="1"/>
  <c r="U6" i="3"/>
  <c r="F28" i="19" l="1"/>
  <c r="F28" i="21"/>
  <c r="F28" i="20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G28" i="19" l="1"/>
  <c r="G28" i="21"/>
  <c r="G28" i="20"/>
  <c r="H28" i="19" l="1"/>
  <c r="H28" i="21"/>
  <c r="H28" i="20"/>
  <c r="I28" i="19" l="1"/>
  <c r="I28" i="21"/>
  <c r="I28" i="20"/>
  <c r="J28" i="19" l="1"/>
  <c r="J28" i="21"/>
  <c r="J28" i="20"/>
  <c r="K28" i="19" l="1"/>
  <c r="K28" i="21"/>
  <c r="K28" i="20"/>
  <c r="A9" i="43"/>
  <c r="A8" i="43"/>
  <c r="A5" i="43"/>
  <c r="AL8" i="27" l="1"/>
  <c r="AM8" i="27" s="1"/>
  <c r="AL12" i="27"/>
  <c r="AM12" i="27" s="1"/>
  <c r="AL11" i="27"/>
  <c r="AM11" i="27" s="1"/>
  <c r="A10" i="41"/>
  <c r="A10" i="43"/>
  <c r="L28" i="19"/>
  <c r="L28" i="21"/>
  <c r="L28" i="20"/>
  <c r="M28" i="19" l="1"/>
  <c r="M28" i="21"/>
  <c r="M28" i="20"/>
  <c r="D1" i="13"/>
  <c r="D1" i="14"/>
  <c r="BB16" i="43"/>
  <c r="BA16" i="43"/>
  <c r="AZ16" i="43"/>
  <c r="AY16" i="43"/>
  <c r="AX16" i="43"/>
  <c r="AW16" i="43"/>
  <c r="AV16" i="43"/>
  <c r="AT16" i="43"/>
  <c r="AS16" i="43"/>
  <c r="AR16" i="43"/>
  <c r="AQ16" i="43"/>
  <c r="AP16" i="43"/>
  <c r="AO16" i="43"/>
  <c r="AN16" i="43"/>
  <c r="AL16" i="43"/>
  <c r="AJ16" i="43"/>
  <c r="AH16" i="43"/>
  <c r="AD16" i="43"/>
  <c r="AC16" i="43"/>
  <c r="AB16" i="43"/>
  <c r="Z16" i="43"/>
  <c r="T16" i="43"/>
  <c r="S16" i="43"/>
  <c r="R16" i="43"/>
  <c r="N16" i="43"/>
  <c r="L16" i="43"/>
  <c r="G18" i="43"/>
  <c r="G17" i="43"/>
  <c r="F17" i="43"/>
  <c r="AK16" i="43"/>
  <c r="U16" i="43"/>
  <c r="M16" i="43"/>
  <c r="G16" i="43"/>
  <c r="F16" i="43"/>
  <c r="E16" i="43"/>
  <c r="C16" i="43"/>
  <c r="G13" i="43"/>
  <c r="F13" i="43"/>
  <c r="G12" i="43"/>
  <c r="F12" i="43"/>
  <c r="E12" i="43"/>
  <c r="C12" i="43"/>
  <c r="G10" i="43"/>
  <c r="H12" i="43"/>
  <c r="E1" i="43"/>
  <c r="F1" i="43" s="1"/>
  <c r="G1" i="43" s="1"/>
  <c r="H1" i="43" s="1"/>
  <c r="I1" i="43" s="1"/>
  <c r="J1" i="43" s="1"/>
  <c r="K1" i="43" s="1"/>
  <c r="L1" i="43" s="1"/>
  <c r="M1" i="43" s="1"/>
  <c r="N1" i="43" s="1"/>
  <c r="O1" i="43" s="1"/>
  <c r="P1" i="43" s="1"/>
  <c r="Q1" i="43" s="1"/>
  <c r="R1" i="43" s="1"/>
  <c r="S1" i="43" s="1"/>
  <c r="T1" i="43" s="1"/>
  <c r="U1" i="43" s="1"/>
  <c r="V1" i="43" s="1"/>
  <c r="W1" i="43" s="1"/>
  <c r="X1" i="43" s="1"/>
  <c r="Y1" i="43" s="1"/>
  <c r="Z1" i="43" s="1"/>
  <c r="AA1" i="43" s="1"/>
  <c r="AB1" i="43" s="1"/>
  <c r="AC1" i="43" s="1"/>
  <c r="AD1" i="43" s="1"/>
  <c r="AE1" i="43" s="1"/>
  <c r="AF1" i="43" s="1"/>
  <c r="AG1" i="43" s="1"/>
  <c r="AH1" i="43" s="1"/>
  <c r="AI1" i="43" s="1"/>
  <c r="AJ1" i="43" s="1"/>
  <c r="AK1" i="43" s="1"/>
  <c r="AL1" i="43" s="1"/>
  <c r="AM1" i="43" s="1"/>
  <c r="AN1" i="43" s="1"/>
  <c r="AO1" i="43" s="1"/>
  <c r="AP1" i="43" s="1"/>
  <c r="AQ1" i="43" s="1"/>
  <c r="AR1" i="43" s="1"/>
  <c r="AS1" i="43" s="1"/>
  <c r="AT1" i="43" s="1"/>
  <c r="AU1" i="43" s="1"/>
  <c r="AV1" i="43" s="1"/>
  <c r="AW1" i="43" s="1"/>
  <c r="AX1" i="43" s="1"/>
  <c r="AY1" i="43" s="1"/>
  <c r="AZ1" i="43" s="1"/>
  <c r="BA1" i="43" s="1"/>
  <c r="BB1" i="43" s="1"/>
  <c r="F17" i="42"/>
  <c r="G16" i="42"/>
  <c r="F16" i="42"/>
  <c r="E16" i="42"/>
  <c r="C16" i="42"/>
  <c r="F13" i="42"/>
  <c r="F12" i="42"/>
  <c r="E12" i="42"/>
  <c r="C12" i="42"/>
  <c r="G12" i="42"/>
  <c r="G17" i="42"/>
  <c r="E1" i="42"/>
  <c r="F1" i="42" s="1"/>
  <c r="G1" i="42" s="1"/>
  <c r="H1" i="42" s="1"/>
  <c r="I1" i="42" s="1"/>
  <c r="J1" i="42" s="1"/>
  <c r="K1" i="42" s="1"/>
  <c r="L1" i="42" s="1"/>
  <c r="M1" i="42" s="1"/>
  <c r="N1" i="42" s="1"/>
  <c r="O1" i="42" s="1"/>
  <c r="P1" i="42" s="1"/>
  <c r="Q1" i="42" s="1"/>
  <c r="R1" i="42" s="1"/>
  <c r="S1" i="42" s="1"/>
  <c r="T1" i="42" s="1"/>
  <c r="U1" i="42" s="1"/>
  <c r="V1" i="42" s="1"/>
  <c r="W1" i="42" s="1"/>
  <c r="X1" i="42" s="1"/>
  <c r="Y1" i="42" s="1"/>
  <c r="Z1" i="42" s="1"/>
  <c r="AA1" i="42" s="1"/>
  <c r="AB1" i="42" s="1"/>
  <c r="AC1" i="42" s="1"/>
  <c r="AD1" i="42" s="1"/>
  <c r="AE1" i="42" s="1"/>
  <c r="AF1" i="42" s="1"/>
  <c r="AG1" i="42" s="1"/>
  <c r="AH1" i="42" s="1"/>
  <c r="AI1" i="42" s="1"/>
  <c r="AJ1" i="42" s="1"/>
  <c r="AK1" i="42" s="1"/>
  <c r="AL1" i="42" s="1"/>
  <c r="AM1" i="42" s="1"/>
  <c r="AN1" i="42" s="1"/>
  <c r="AO1" i="42" s="1"/>
  <c r="AP1" i="42" s="1"/>
  <c r="AQ1" i="42" s="1"/>
  <c r="AR1" i="42" s="1"/>
  <c r="AS1" i="42" s="1"/>
  <c r="AT1" i="42" s="1"/>
  <c r="AU1" i="42" s="1"/>
  <c r="AV1" i="42" s="1"/>
  <c r="AW1" i="42" s="1"/>
  <c r="AX1" i="42" s="1"/>
  <c r="AY1" i="42" s="1"/>
  <c r="AZ1" i="42" s="1"/>
  <c r="BA1" i="42" s="1"/>
  <c r="BB1" i="42" s="1"/>
  <c r="B12" i="41"/>
  <c r="H12" i="41"/>
  <c r="I12" i="41"/>
  <c r="J12" i="41"/>
  <c r="K12" i="41"/>
  <c r="L12" i="41"/>
  <c r="M12" i="41"/>
  <c r="N12" i="41"/>
  <c r="O12" i="41"/>
  <c r="P12" i="41"/>
  <c r="Q12" i="41"/>
  <c r="R12" i="41"/>
  <c r="S12" i="41"/>
  <c r="T12" i="41"/>
  <c r="U12" i="41"/>
  <c r="V12" i="41"/>
  <c r="W12" i="41"/>
  <c r="X12" i="41"/>
  <c r="Y12" i="41"/>
  <c r="Z12" i="41"/>
  <c r="AA12" i="41"/>
  <c r="AB12" i="41"/>
  <c r="AC12" i="41"/>
  <c r="AD12" i="41"/>
  <c r="AE12" i="41"/>
  <c r="AF12" i="41"/>
  <c r="AG12" i="41"/>
  <c r="AH12" i="41"/>
  <c r="AI12" i="41"/>
  <c r="AJ12" i="41"/>
  <c r="AK12" i="41"/>
  <c r="J16" i="43" l="1"/>
  <c r="N28" i="19"/>
  <c r="N28" i="21"/>
  <c r="N28" i="20"/>
  <c r="Y18" i="43"/>
  <c r="Y21" i="43" s="1"/>
  <c r="Q18" i="43"/>
  <c r="Q21" i="43" s="1"/>
  <c r="AG18" i="43"/>
  <c r="AG21" i="43" s="1"/>
  <c r="K16" i="43"/>
  <c r="AB18" i="41"/>
  <c r="AB21" i="41" s="1"/>
  <c r="K18" i="43"/>
  <c r="K21" i="43" s="1"/>
  <c r="S18" i="43"/>
  <c r="S21" i="43" s="1"/>
  <c r="AA18" i="43"/>
  <c r="AA21" i="43" s="1"/>
  <c r="AI18" i="43"/>
  <c r="AI21" i="43" s="1"/>
  <c r="AQ18" i="43"/>
  <c r="AQ21" i="43" s="1"/>
  <c r="L18" i="43"/>
  <c r="L21" i="43" s="1"/>
  <c r="T18" i="43"/>
  <c r="T21" i="43" s="1"/>
  <c r="AB18" i="43"/>
  <c r="AB21" i="43" s="1"/>
  <c r="AJ18" i="43"/>
  <c r="AJ21" i="43" s="1"/>
  <c r="AR18" i="43"/>
  <c r="AR21" i="43" s="1"/>
  <c r="AV18" i="41"/>
  <c r="AV21" i="41" s="1"/>
  <c r="AN18" i="41"/>
  <c r="AN21" i="41" s="1"/>
  <c r="AF18" i="41"/>
  <c r="AF21" i="41" s="1"/>
  <c r="AA16" i="43"/>
  <c r="K17" i="43"/>
  <c r="S17" i="43"/>
  <c r="AA13" i="43"/>
  <c r="AA14" i="43" s="1"/>
  <c r="AI13" i="43"/>
  <c r="AI14" i="43" s="1"/>
  <c r="AQ17" i="43"/>
  <c r="AY17" i="43"/>
  <c r="AS18" i="41"/>
  <c r="AS21" i="41" s="1"/>
  <c r="AK18" i="41"/>
  <c r="AK21" i="41" s="1"/>
  <c r="U18" i="41"/>
  <c r="U21" i="41" s="1"/>
  <c r="AI16" i="43"/>
  <c r="E18" i="43"/>
  <c r="AH18" i="43"/>
  <c r="AH21" i="43" s="1"/>
  <c r="AV18" i="43"/>
  <c r="AV21" i="43" s="1"/>
  <c r="J17" i="43"/>
  <c r="R13" i="43"/>
  <c r="R14" i="43" s="1"/>
  <c r="Z17" i="43"/>
  <c r="AH17" i="43"/>
  <c r="AP17" i="43"/>
  <c r="AX17" i="43"/>
  <c r="X18" i="41"/>
  <c r="X21" i="41" s="1"/>
  <c r="P18" i="41"/>
  <c r="P21" i="41" s="1"/>
  <c r="H18" i="41"/>
  <c r="H21" i="41" s="1"/>
  <c r="F18" i="42"/>
  <c r="AX17" i="41"/>
  <c r="AK17" i="43"/>
  <c r="BA17" i="43"/>
  <c r="D10" i="43"/>
  <c r="O18" i="43"/>
  <c r="O21" i="43" s="1"/>
  <c r="W18" i="43"/>
  <c r="W21" i="43" s="1"/>
  <c r="AE18" i="43"/>
  <c r="AE21" i="43" s="1"/>
  <c r="AO18" i="43"/>
  <c r="AO21" i="43" s="1"/>
  <c r="AW18" i="43"/>
  <c r="AW21" i="43" s="1"/>
  <c r="E10" i="43"/>
  <c r="V16" i="43"/>
  <c r="N17" i="43"/>
  <c r="V13" i="43"/>
  <c r="V14" i="43" s="1"/>
  <c r="AD13" i="43"/>
  <c r="AD14" i="43" s="1"/>
  <c r="AL17" i="43"/>
  <c r="AT17" i="43"/>
  <c r="BB17" i="43"/>
  <c r="Q17" i="43"/>
  <c r="Y17" i="43"/>
  <c r="AG13" i="43"/>
  <c r="AG14" i="43" s="1"/>
  <c r="AO13" i="43"/>
  <c r="AW17" i="43"/>
  <c r="AR18" i="41"/>
  <c r="AR21" i="41" s="1"/>
  <c r="T18" i="41"/>
  <c r="T21" i="41" s="1"/>
  <c r="L18" i="41"/>
  <c r="L21" i="41" s="1"/>
  <c r="E18" i="42"/>
  <c r="U13" i="43"/>
  <c r="U14" i="43" s="1"/>
  <c r="AC17" i="43"/>
  <c r="J18" i="43"/>
  <c r="J21" i="43" s="1"/>
  <c r="R18" i="43"/>
  <c r="R21" i="43" s="1"/>
  <c r="Z18" i="43"/>
  <c r="Z21" i="43" s="1"/>
  <c r="AP18" i="43"/>
  <c r="AP21" i="43" s="1"/>
  <c r="AX18" i="43"/>
  <c r="AX21" i="43" s="1"/>
  <c r="AW17" i="41"/>
  <c r="AM18" i="43"/>
  <c r="AM21" i="43" s="1"/>
  <c r="AU18" i="43"/>
  <c r="AU21" i="43" s="1"/>
  <c r="P17" i="43"/>
  <c r="X17" i="43"/>
  <c r="AF17" i="43"/>
  <c r="AN17" i="43"/>
  <c r="AV17" i="43"/>
  <c r="AV17" i="41"/>
  <c r="AN13" i="41"/>
  <c r="X13" i="41"/>
  <c r="X14" i="41" s="1"/>
  <c r="AT18" i="41"/>
  <c r="AT21" i="41" s="1"/>
  <c r="AL18" i="41"/>
  <c r="AL21" i="41" s="1"/>
  <c r="AD18" i="41"/>
  <c r="AD21" i="41" s="1"/>
  <c r="V18" i="41"/>
  <c r="V21" i="41" s="1"/>
  <c r="N18" i="41"/>
  <c r="N21" i="41" s="1"/>
  <c r="M18" i="43"/>
  <c r="M21" i="43" s="1"/>
  <c r="U18" i="43"/>
  <c r="U21" i="43" s="1"/>
  <c r="AC18" i="43"/>
  <c r="AC21" i="43" s="1"/>
  <c r="AK18" i="43"/>
  <c r="AK21" i="43" s="1"/>
  <c r="AS18" i="43"/>
  <c r="AS21" i="43" s="1"/>
  <c r="P18" i="43"/>
  <c r="P21" i="43" s="1"/>
  <c r="X18" i="43"/>
  <c r="X21" i="43" s="1"/>
  <c r="AF18" i="43"/>
  <c r="AF21" i="43" s="1"/>
  <c r="AN18" i="43"/>
  <c r="AN21" i="43" s="1"/>
  <c r="N18" i="43"/>
  <c r="N21" i="43" s="1"/>
  <c r="V18" i="43"/>
  <c r="V21" i="43" s="1"/>
  <c r="AD18" i="43"/>
  <c r="AD21" i="43" s="1"/>
  <c r="AL18" i="43"/>
  <c r="AL21" i="43" s="1"/>
  <c r="AT18" i="43"/>
  <c r="AT21" i="43" s="1"/>
  <c r="BB17" i="41"/>
  <c r="AT17" i="41"/>
  <c r="AU17" i="41"/>
  <c r="BA17" i="41"/>
  <c r="AS17" i="41"/>
  <c r="AK13" i="41"/>
  <c r="AK14" i="41" s="1"/>
  <c r="AC17" i="41"/>
  <c r="U13" i="41"/>
  <c r="U14" i="41" s="1"/>
  <c r="M17" i="41"/>
  <c r="AQ18" i="41"/>
  <c r="AQ21" i="41" s="1"/>
  <c r="AI18" i="41"/>
  <c r="AI21" i="41" s="1"/>
  <c r="S18" i="41"/>
  <c r="S21" i="41" s="1"/>
  <c r="K18" i="41"/>
  <c r="K21" i="41" s="1"/>
  <c r="AZ17" i="41"/>
  <c r="AR17" i="41"/>
  <c r="AJ17" i="41"/>
  <c r="T17" i="41"/>
  <c r="AX18" i="41"/>
  <c r="AX21" i="41" s="1"/>
  <c r="AP18" i="41"/>
  <c r="AP21" i="41" s="1"/>
  <c r="AH18" i="41"/>
  <c r="AH21" i="41" s="1"/>
  <c r="Z18" i="41"/>
  <c r="Z21" i="41" s="1"/>
  <c r="R18" i="41"/>
  <c r="R21" i="41" s="1"/>
  <c r="J18" i="41"/>
  <c r="J21" i="41" s="1"/>
  <c r="AY17" i="41"/>
  <c r="AO18" i="41"/>
  <c r="AO21" i="41" s="1"/>
  <c r="AG18" i="41"/>
  <c r="AG21" i="41" s="1"/>
  <c r="Y18" i="41"/>
  <c r="Y21" i="41" s="1"/>
  <c r="Q18" i="41"/>
  <c r="Q21" i="41" s="1"/>
  <c r="O17" i="43"/>
  <c r="W17" i="43"/>
  <c r="AE13" i="43"/>
  <c r="AE14" i="43" s="1"/>
  <c r="AM17" i="43"/>
  <c r="AU17" i="43"/>
  <c r="I18" i="43"/>
  <c r="I21" i="43" s="1"/>
  <c r="I17" i="43"/>
  <c r="AU16" i="43"/>
  <c r="AM16" i="43"/>
  <c r="H18" i="43"/>
  <c r="O16" i="43"/>
  <c r="W16" i="43"/>
  <c r="AE16" i="43"/>
  <c r="F10" i="43"/>
  <c r="H16" i="43"/>
  <c r="P16" i="43"/>
  <c r="X16" i="43"/>
  <c r="AF16" i="43"/>
  <c r="F18" i="43"/>
  <c r="E13" i="43"/>
  <c r="I16" i="43"/>
  <c r="Q16" i="43"/>
  <c r="Y16" i="43"/>
  <c r="AG16" i="43"/>
  <c r="E17" i="43"/>
  <c r="G18" i="42"/>
  <c r="E13" i="42"/>
  <c r="E17" i="42"/>
  <c r="G13" i="42"/>
  <c r="AU16" i="41"/>
  <c r="AM16" i="41"/>
  <c r="AE16" i="41"/>
  <c r="O16" i="41"/>
  <c r="F17" i="41"/>
  <c r="AX16" i="41"/>
  <c r="AW16" i="41"/>
  <c r="AP16" i="41"/>
  <c r="AO16" i="41"/>
  <c r="AH16" i="41"/>
  <c r="AG16" i="41"/>
  <c r="Z16" i="41"/>
  <c r="Y16" i="41"/>
  <c r="R16" i="41"/>
  <c r="Q16" i="41"/>
  <c r="J16" i="41"/>
  <c r="I16" i="41"/>
  <c r="C16" i="41"/>
  <c r="C12" i="41"/>
  <c r="BB16" i="41"/>
  <c r="BA16" i="41"/>
  <c r="AZ16" i="41"/>
  <c r="AV16" i="41"/>
  <c r="AT16" i="41"/>
  <c r="AS16" i="41"/>
  <c r="AR16" i="41"/>
  <c r="AQ16" i="41"/>
  <c r="AN16" i="41"/>
  <c r="AL16" i="41"/>
  <c r="AK16" i="41"/>
  <c r="AJ16" i="41"/>
  <c r="AI16" i="41"/>
  <c r="AF16" i="41"/>
  <c r="AD16" i="41"/>
  <c r="AC16" i="41"/>
  <c r="AB16" i="41"/>
  <c r="AA16" i="41"/>
  <c r="X16" i="41"/>
  <c r="W16" i="41"/>
  <c r="V16" i="41"/>
  <c r="U16" i="41"/>
  <c r="T16" i="41"/>
  <c r="S16" i="41"/>
  <c r="P16" i="41"/>
  <c r="N16" i="41"/>
  <c r="M16" i="41"/>
  <c r="L16" i="41"/>
  <c r="K16" i="41"/>
  <c r="H16" i="41"/>
  <c r="F16" i="41"/>
  <c r="E16" i="41"/>
  <c r="E17" i="41"/>
  <c r="F13" i="41"/>
  <c r="E1" i="41"/>
  <c r="F1" i="41" s="1"/>
  <c r="G1" i="41" s="1"/>
  <c r="H1" i="41" s="1"/>
  <c r="I1" i="41" s="1"/>
  <c r="J1" i="41" s="1"/>
  <c r="K1" i="41" s="1"/>
  <c r="L1" i="41" s="1"/>
  <c r="M1" i="41" s="1"/>
  <c r="N1" i="41" s="1"/>
  <c r="O1" i="41" s="1"/>
  <c r="P1" i="41" s="1"/>
  <c r="Q1" i="41" s="1"/>
  <c r="R1" i="41" s="1"/>
  <c r="S1" i="41" s="1"/>
  <c r="T1" i="41" s="1"/>
  <c r="U1" i="41" s="1"/>
  <c r="V1" i="41" s="1"/>
  <c r="W1" i="41" s="1"/>
  <c r="X1" i="41" s="1"/>
  <c r="Y1" i="41" s="1"/>
  <c r="Z1" i="41" s="1"/>
  <c r="AA1" i="41" s="1"/>
  <c r="AB1" i="41" s="1"/>
  <c r="AC1" i="41" s="1"/>
  <c r="AD1" i="41" s="1"/>
  <c r="AE1" i="41" s="1"/>
  <c r="AF1" i="41" s="1"/>
  <c r="AG1" i="41" s="1"/>
  <c r="AH1" i="41" s="1"/>
  <c r="AI1" i="41" s="1"/>
  <c r="AJ1" i="41" s="1"/>
  <c r="AK1" i="41" s="1"/>
  <c r="AL1" i="41" s="1"/>
  <c r="AM1" i="41" s="1"/>
  <c r="AN1" i="41" s="1"/>
  <c r="AO1" i="41" s="1"/>
  <c r="AP1" i="41" s="1"/>
  <c r="AQ1" i="41" s="1"/>
  <c r="AR1" i="41" s="1"/>
  <c r="AS1" i="41" s="1"/>
  <c r="AT1" i="41" s="1"/>
  <c r="AU1" i="41" s="1"/>
  <c r="AV1" i="41" s="1"/>
  <c r="AW1" i="41" s="1"/>
  <c r="AX1" i="41" s="1"/>
  <c r="AY1" i="41" s="1"/>
  <c r="AZ1" i="41" s="1"/>
  <c r="BA1" i="41" s="1"/>
  <c r="BB1" i="41" s="1"/>
  <c r="B21" i="43" l="1"/>
  <c r="A16" i="43"/>
  <c r="A18" i="43"/>
  <c r="AI10" i="41"/>
  <c r="AI24" i="41" s="1"/>
  <c r="AI25" i="41" s="1"/>
  <c r="G16" i="41"/>
  <c r="A16" i="41" s="1"/>
  <c r="G12" i="41"/>
  <c r="AF10" i="41"/>
  <c r="AF24" i="41" s="1"/>
  <c r="AF25" i="41" s="1"/>
  <c r="R17" i="43"/>
  <c r="O28" i="19"/>
  <c r="O28" i="21"/>
  <c r="O28" i="20"/>
  <c r="AH13" i="43"/>
  <c r="AH14" i="43" s="1"/>
  <c r="AG17" i="43"/>
  <c r="K13" i="43"/>
  <c r="K14" i="43" s="1"/>
  <c r="AD17" i="43"/>
  <c r="AQ24" i="41"/>
  <c r="AQ25" i="41" s="1"/>
  <c r="AQ13" i="43"/>
  <c r="P13" i="43"/>
  <c r="P14" i="43" s="1"/>
  <c r="AA17" i="43"/>
  <c r="R10" i="41"/>
  <c r="R24" i="41" s="1"/>
  <c r="R25" i="41" s="1"/>
  <c r="AF13" i="43"/>
  <c r="AF14" i="43" s="1"/>
  <c r="N13" i="43"/>
  <c r="N14" i="43" s="1"/>
  <c r="AC13" i="41"/>
  <c r="AC14" i="41" s="1"/>
  <c r="AB10" i="41"/>
  <c r="AB24" i="41" s="1"/>
  <c r="AB25" i="41" s="1"/>
  <c r="P10" i="41"/>
  <c r="P24" i="41" s="1"/>
  <c r="P25" i="41" s="1"/>
  <c r="V17" i="43"/>
  <c r="L10" i="41"/>
  <c r="L24" i="41" s="1"/>
  <c r="L25" i="41" s="1"/>
  <c r="AK17" i="41"/>
  <c r="AE17" i="43"/>
  <c r="AR24" i="41"/>
  <c r="AR25" i="41" s="1"/>
  <c r="Z13" i="43"/>
  <c r="Z14" i="43" s="1"/>
  <c r="U17" i="43"/>
  <c r="S10" i="41"/>
  <c r="S24" i="41" s="1"/>
  <c r="S25" i="41" s="1"/>
  <c r="AP24" i="41"/>
  <c r="AP25" i="41" s="1"/>
  <c r="AC10" i="41"/>
  <c r="AC24" i="41" s="1"/>
  <c r="AC25" i="41" s="1"/>
  <c r="AP13" i="43"/>
  <c r="AC13" i="43"/>
  <c r="AC14" i="43" s="1"/>
  <c r="Y13" i="43"/>
  <c r="Y14" i="43" s="1"/>
  <c r="AN13" i="43"/>
  <c r="AO17" i="43"/>
  <c r="M13" i="41"/>
  <c r="M14" i="41" s="1"/>
  <c r="S13" i="43"/>
  <c r="S14" i="43" s="1"/>
  <c r="AA10" i="41"/>
  <c r="AA24" i="41" s="1"/>
  <c r="AA25" i="41" s="1"/>
  <c r="J10" i="41"/>
  <c r="J24" i="41" s="1"/>
  <c r="J25" i="41" s="1"/>
  <c r="AL13" i="43"/>
  <c r="AL14" i="43" s="1"/>
  <c r="Z10" i="41"/>
  <c r="Z24" i="41" s="1"/>
  <c r="Z25" i="41" s="1"/>
  <c r="AB17" i="41"/>
  <c r="K10" i="41"/>
  <c r="K24" i="41" s="1"/>
  <c r="K25" i="41" s="1"/>
  <c r="E18" i="41"/>
  <c r="AK13" i="43"/>
  <c r="AK14" i="43" s="1"/>
  <c r="U17" i="41"/>
  <c r="AI17" i="43"/>
  <c r="AJ10" i="41"/>
  <c r="AJ24" i="41" s="1"/>
  <c r="AJ25" i="41" s="1"/>
  <c r="E13" i="41"/>
  <c r="J13" i="43"/>
  <c r="J14" i="43" s="1"/>
  <c r="AM13" i="43"/>
  <c r="AH10" i="41"/>
  <c r="AH24" i="41" s="1"/>
  <c r="AH25" i="41" s="1"/>
  <c r="AS13" i="41"/>
  <c r="AJ18" i="41"/>
  <c r="AJ21" i="41" s="1"/>
  <c r="G13" i="41"/>
  <c r="G14" i="41" s="1"/>
  <c r="X13" i="43"/>
  <c r="X14" i="43" s="1"/>
  <c r="AS13" i="43"/>
  <c r="AS17" i="43"/>
  <c r="AA18" i="41"/>
  <c r="AA21" i="41" s="1"/>
  <c r="O13" i="43"/>
  <c r="O14" i="43" s="1"/>
  <c r="I13" i="43"/>
  <c r="I14" i="43" s="1"/>
  <c r="F18" i="41"/>
  <c r="G18" i="41"/>
  <c r="T10" i="41"/>
  <c r="T24" i="41" s="1"/>
  <c r="T25" i="41" s="1"/>
  <c r="E10" i="41"/>
  <c r="Q13" i="43"/>
  <c r="Q14" i="43" s="1"/>
  <c r="L17" i="41"/>
  <c r="W13" i="43"/>
  <c r="W14" i="43" s="1"/>
  <c r="AW18" i="41"/>
  <c r="AW21" i="41" s="1"/>
  <c r="M17" i="43"/>
  <c r="M13" i="43"/>
  <c r="M14" i="43" s="1"/>
  <c r="L17" i="43"/>
  <c r="L13" i="43"/>
  <c r="L14" i="43" s="1"/>
  <c r="T17" i="43"/>
  <c r="T13" i="43"/>
  <c r="T14" i="43" s="1"/>
  <c r="AZ17" i="43"/>
  <c r="AB17" i="43"/>
  <c r="AB13" i="43"/>
  <c r="AB14" i="43" s="1"/>
  <c r="H17" i="43"/>
  <c r="H13" i="43"/>
  <c r="H10" i="43"/>
  <c r="AR17" i="43"/>
  <c r="AR13" i="43"/>
  <c r="AJ17" i="43"/>
  <c r="AJ13" i="43"/>
  <c r="AJ14" i="43" s="1"/>
  <c r="M18" i="41"/>
  <c r="M21" i="41" s="1"/>
  <c r="AC18" i="41"/>
  <c r="AC21" i="41" s="1"/>
  <c r="AU18" i="41"/>
  <c r="AU21" i="41" s="1"/>
  <c r="AE18" i="41"/>
  <c r="AE21" i="41" s="1"/>
  <c r="W18" i="41"/>
  <c r="W21" i="41" s="1"/>
  <c r="AM18" i="41"/>
  <c r="AM21" i="41" s="1"/>
  <c r="N17" i="41"/>
  <c r="V17" i="41"/>
  <c r="AD17" i="41"/>
  <c r="AL17" i="41"/>
  <c r="M10" i="41"/>
  <c r="M24" i="41" s="1"/>
  <c r="M25" i="41" s="1"/>
  <c r="AS24" i="41"/>
  <c r="AS25" i="41" s="1"/>
  <c r="AD13" i="41"/>
  <c r="AD14" i="41" s="1"/>
  <c r="AM13" i="41"/>
  <c r="V13" i="41"/>
  <c r="V14" i="41" s="1"/>
  <c r="AK24" i="41"/>
  <c r="AK25" i="41" s="1"/>
  <c r="O13" i="41"/>
  <c r="O14" i="41" s="1"/>
  <c r="AE13" i="41"/>
  <c r="AE14" i="41" s="1"/>
  <c r="Q10" i="41"/>
  <c r="Q24" i="41" s="1"/>
  <c r="Q25" i="41" s="1"/>
  <c r="AG10" i="41"/>
  <c r="AG24" i="41" s="1"/>
  <c r="AG25" i="41" s="1"/>
  <c r="U10" i="41"/>
  <c r="U24" i="41" s="1"/>
  <c r="U25" i="41" s="1"/>
  <c r="N13" i="41"/>
  <c r="N14" i="41" s="1"/>
  <c r="AL13" i="41"/>
  <c r="W13" i="41"/>
  <c r="W14" i="41" s="1"/>
  <c r="I10" i="41"/>
  <c r="I24" i="41" s="1"/>
  <c r="I25" i="41" s="1"/>
  <c r="Y10" i="41"/>
  <c r="Y24" i="41" s="1"/>
  <c r="Y25" i="41" s="1"/>
  <c r="AO13" i="41"/>
  <c r="AF13" i="41"/>
  <c r="AF14" i="41" s="1"/>
  <c r="AG13" i="41"/>
  <c r="AG14" i="41" s="1"/>
  <c r="F10" i="41"/>
  <c r="N10" i="41"/>
  <c r="N24" i="41" s="1"/>
  <c r="N25" i="41" s="1"/>
  <c r="V10" i="41"/>
  <c r="V24" i="41" s="1"/>
  <c r="V25" i="41" s="1"/>
  <c r="AD10" i="41"/>
  <c r="AD24" i="41" s="1"/>
  <c r="AD25" i="41" s="1"/>
  <c r="AL24" i="41"/>
  <c r="AL25" i="41" s="1"/>
  <c r="AT24" i="41"/>
  <c r="AT25" i="41" s="1"/>
  <c r="J13" i="41"/>
  <c r="J14" i="41" s="1"/>
  <c r="R13" i="41"/>
  <c r="R14" i="41" s="1"/>
  <c r="Z13" i="41"/>
  <c r="Z14" i="41" s="1"/>
  <c r="AH13" i="41"/>
  <c r="AH14" i="41" s="1"/>
  <c r="AP13" i="41"/>
  <c r="AY16" i="41"/>
  <c r="O17" i="41"/>
  <c r="W17" i="41"/>
  <c r="AE17" i="41"/>
  <c r="AM17" i="41"/>
  <c r="H13" i="41"/>
  <c r="H14" i="41" s="1"/>
  <c r="I18" i="41"/>
  <c r="I21" i="41" s="1"/>
  <c r="Y13" i="41"/>
  <c r="Y14" i="41" s="1"/>
  <c r="K13" i="41"/>
  <c r="K14" i="41" s="1"/>
  <c r="S13" i="41"/>
  <c r="S14" i="41" s="1"/>
  <c r="AA13" i="41"/>
  <c r="AA14" i="41" s="1"/>
  <c r="AI13" i="41"/>
  <c r="AI14" i="41" s="1"/>
  <c r="AQ13" i="41"/>
  <c r="H17" i="41"/>
  <c r="P17" i="41"/>
  <c r="X17" i="41"/>
  <c r="AF17" i="41"/>
  <c r="AN17" i="41"/>
  <c r="P13" i="41"/>
  <c r="P14" i="41" s="1"/>
  <c r="Q13" i="41"/>
  <c r="Q14" i="41" s="1"/>
  <c r="W10" i="41"/>
  <c r="W24" i="41" s="1"/>
  <c r="W25" i="41" s="1"/>
  <c r="H10" i="41"/>
  <c r="H24" i="41" s="1"/>
  <c r="H25" i="41" s="1"/>
  <c r="X10" i="41"/>
  <c r="X24" i="41" s="1"/>
  <c r="X25" i="41" s="1"/>
  <c r="AN24" i="41"/>
  <c r="AN25" i="41" s="1"/>
  <c r="E12" i="41"/>
  <c r="L13" i="41"/>
  <c r="L14" i="41" s="1"/>
  <c r="T13" i="41"/>
  <c r="T14" i="41" s="1"/>
  <c r="AB13" i="41"/>
  <c r="AB14" i="41" s="1"/>
  <c r="AJ13" i="41"/>
  <c r="AJ14" i="41" s="1"/>
  <c r="AR13" i="41"/>
  <c r="I17" i="41"/>
  <c r="Q17" i="41"/>
  <c r="Y17" i="41"/>
  <c r="AG17" i="41"/>
  <c r="AO17" i="41"/>
  <c r="I13" i="41"/>
  <c r="I14" i="41" s="1"/>
  <c r="O10" i="41"/>
  <c r="O24" i="41" s="1"/>
  <c r="O25" i="41" s="1"/>
  <c r="AE10" i="41"/>
  <c r="AE24" i="41" s="1"/>
  <c r="AE25" i="41" s="1"/>
  <c r="AM24" i="41"/>
  <c r="AM25" i="41" s="1"/>
  <c r="AO24" i="41"/>
  <c r="AO25" i="41" s="1"/>
  <c r="F12" i="41"/>
  <c r="J17" i="41"/>
  <c r="R17" i="41"/>
  <c r="Z17" i="41"/>
  <c r="AH17" i="41"/>
  <c r="AP17" i="41"/>
  <c r="D10" i="41"/>
  <c r="K17" i="41"/>
  <c r="S17" i="41"/>
  <c r="AA17" i="41"/>
  <c r="AI17" i="41"/>
  <c r="AQ17" i="41"/>
  <c r="A14" i="41" l="1"/>
  <c r="B16" i="41"/>
  <c r="G21" i="41"/>
  <c r="B14" i="43"/>
  <c r="A14" i="43"/>
  <c r="B14" i="41"/>
  <c r="AA16" i="20"/>
  <c r="AA16" i="21"/>
  <c r="AA16" i="48"/>
  <c r="AA16" i="19"/>
  <c r="F16" i="48"/>
  <c r="F16" i="19"/>
  <c r="F16" i="20"/>
  <c r="F16" i="21"/>
  <c r="Q16" i="19"/>
  <c r="Q16" i="20"/>
  <c r="Q16" i="21"/>
  <c r="Q16" i="48"/>
  <c r="H16" i="19"/>
  <c r="H16" i="20"/>
  <c r="H16" i="21"/>
  <c r="H16" i="48"/>
  <c r="X16" i="19"/>
  <c r="X16" i="20"/>
  <c r="X16" i="48"/>
  <c r="X16" i="21"/>
  <c r="O16" i="48"/>
  <c r="O16" i="19"/>
  <c r="O16" i="20"/>
  <c r="O16" i="21"/>
  <c r="Y16" i="19"/>
  <c r="Y16" i="20"/>
  <c r="Y16" i="21"/>
  <c r="Y16" i="48"/>
  <c r="S16" i="20"/>
  <c r="S16" i="21"/>
  <c r="S16" i="48"/>
  <c r="S16" i="19"/>
  <c r="AH16" i="20"/>
  <c r="AH16" i="19"/>
  <c r="AH16" i="21"/>
  <c r="AH16" i="48"/>
  <c r="AG16" i="19"/>
  <c r="AG16" i="20"/>
  <c r="AG16" i="21"/>
  <c r="AG16" i="48"/>
  <c r="P16" i="48"/>
  <c r="P16" i="19"/>
  <c r="P16" i="20"/>
  <c r="P16" i="21"/>
  <c r="AC16" i="21"/>
  <c r="AC16" i="48"/>
  <c r="AC16" i="19"/>
  <c r="AC16" i="20"/>
  <c r="AI16" i="20"/>
  <c r="AI16" i="21"/>
  <c r="AI16" i="48"/>
  <c r="AI16" i="19"/>
  <c r="Z16" i="20"/>
  <c r="Z16" i="21"/>
  <c r="Z16" i="19"/>
  <c r="Z16" i="48"/>
  <c r="AB16" i="21"/>
  <c r="AB16" i="48"/>
  <c r="AB16" i="19"/>
  <c r="AB16" i="20"/>
  <c r="U16" i="21"/>
  <c r="U16" i="48"/>
  <c r="U16" i="19"/>
  <c r="U16" i="20"/>
  <c r="K16" i="20"/>
  <c r="K16" i="21"/>
  <c r="K16" i="48"/>
  <c r="K16" i="19"/>
  <c r="W16" i="48"/>
  <c r="W16" i="19"/>
  <c r="W16" i="20"/>
  <c r="W16" i="21"/>
  <c r="V16" i="48"/>
  <c r="V16" i="21"/>
  <c r="V16" i="19"/>
  <c r="V16" i="20"/>
  <c r="E16" i="21"/>
  <c r="E16" i="48"/>
  <c r="E16" i="19"/>
  <c r="E16" i="20"/>
  <c r="I16" i="19"/>
  <c r="I16" i="20"/>
  <c r="I16" i="21"/>
  <c r="I16" i="48"/>
  <c r="T16" i="21"/>
  <c r="T16" i="48"/>
  <c r="T16" i="20"/>
  <c r="T16" i="19"/>
  <c r="R16" i="20"/>
  <c r="R16" i="19"/>
  <c r="R16" i="21"/>
  <c r="R16" i="48"/>
  <c r="AE16" i="48"/>
  <c r="AE16" i="19"/>
  <c r="AE16" i="20"/>
  <c r="AE16" i="21"/>
  <c r="AF16" i="19"/>
  <c r="AF16" i="20"/>
  <c r="AF16" i="48"/>
  <c r="AF16" i="21"/>
  <c r="L16" i="21"/>
  <c r="L16" i="48"/>
  <c r="L16" i="19"/>
  <c r="L16" i="20"/>
  <c r="AD16" i="48"/>
  <c r="AD16" i="21"/>
  <c r="AD16" i="19"/>
  <c r="AD16" i="20"/>
  <c r="N16" i="48"/>
  <c r="N16" i="19"/>
  <c r="N16" i="21"/>
  <c r="N16" i="20"/>
  <c r="J16" i="20"/>
  <c r="J16" i="21"/>
  <c r="J16" i="48"/>
  <c r="J16" i="19"/>
  <c r="G16" i="48"/>
  <c r="G16" i="19"/>
  <c r="G16" i="20"/>
  <c r="G16" i="21"/>
  <c r="M16" i="21"/>
  <c r="M16" i="48"/>
  <c r="M16" i="19"/>
  <c r="M16" i="20"/>
  <c r="AE3" i="27" a="1"/>
  <c r="A17" i="43"/>
  <c r="A19" i="43" s="1"/>
  <c r="B84" i="48"/>
  <c r="C84" i="48"/>
  <c r="C16" i="17"/>
  <c r="B16" i="17"/>
  <c r="P28" i="19"/>
  <c r="P28" i="21"/>
  <c r="P28" i="20"/>
  <c r="G17" i="41"/>
  <c r="A17" i="41" s="1"/>
  <c r="G10" i="41"/>
  <c r="G24" i="41" s="1"/>
  <c r="O18" i="41"/>
  <c r="A18" i="41" s="1"/>
  <c r="G25" i="41" l="1"/>
  <c r="B24" i="41"/>
  <c r="O21" i="41"/>
  <c r="B18" i="41"/>
  <c r="B21" i="41"/>
  <c r="A19" i="41"/>
  <c r="B17" i="41"/>
  <c r="D16" i="20"/>
  <c r="D16" i="21"/>
  <c r="D16" i="48"/>
  <c r="D84" i="48" s="1"/>
  <c r="D16" i="19"/>
  <c r="K3" i="27" a="1"/>
  <c r="AE53" i="27"/>
  <c r="AE24" i="27"/>
  <c r="AE10" i="27"/>
  <c r="AE3" i="27"/>
  <c r="AE31" i="27"/>
  <c r="AE6" i="27"/>
  <c r="AE21" i="27"/>
  <c r="AE48" i="27"/>
  <c r="AE18" i="27"/>
  <c r="AE11" i="27"/>
  <c r="AE4" i="27"/>
  <c r="AE22" i="27"/>
  <c r="AE29" i="27"/>
  <c r="AE46" i="27"/>
  <c r="AE9" i="27"/>
  <c r="AE26" i="27"/>
  <c r="AE19" i="27"/>
  <c r="AE12" i="27"/>
  <c r="AE7" i="27"/>
  <c r="AE37" i="27"/>
  <c r="AE14" i="27"/>
  <c r="AE17" i="27"/>
  <c r="AE34" i="27"/>
  <c r="AE27" i="27"/>
  <c r="AE20" i="27"/>
  <c r="AE39" i="27"/>
  <c r="AE45" i="27"/>
  <c r="AE38" i="27"/>
  <c r="AE25" i="27"/>
  <c r="AE42" i="27"/>
  <c r="AE35" i="27"/>
  <c r="AE28" i="27"/>
  <c r="AE16" i="27"/>
  <c r="AE15" i="27"/>
  <c r="AE33" i="27"/>
  <c r="AE50" i="27"/>
  <c r="AE43" i="27"/>
  <c r="AE36" i="27"/>
  <c r="AE40" i="27"/>
  <c r="AE47" i="27"/>
  <c r="AE41" i="27"/>
  <c r="AE23" i="27"/>
  <c r="AE51" i="27"/>
  <c r="AE44" i="27"/>
  <c r="AE5" i="27"/>
  <c r="AE8" i="27"/>
  <c r="AE49" i="27"/>
  <c r="AE32" i="27"/>
  <c r="AE30" i="27"/>
  <c r="AE52" i="27"/>
  <c r="AE13" i="27"/>
  <c r="D16" i="17"/>
  <c r="B84" i="20"/>
  <c r="C84" i="19"/>
  <c r="B84" i="21"/>
  <c r="C84" i="20"/>
  <c r="B84" i="19"/>
  <c r="C84" i="21"/>
  <c r="Q28" i="19"/>
  <c r="Q28" i="21"/>
  <c r="Q28" i="20"/>
  <c r="C25" i="41" l="1"/>
  <c r="C24" i="41"/>
  <c r="AE55" i="27"/>
  <c r="K53" i="27"/>
  <c r="K39" i="27"/>
  <c r="K18" i="27"/>
  <c r="K40" i="27"/>
  <c r="K30" i="27"/>
  <c r="K36" i="27"/>
  <c r="K24" i="27"/>
  <c r="K9" i="27"/>
  <c r="K26" i="27"/>
  <c r="K3" i="27"/>
  <c r="K7" i="27"/>
  <c r="K44" i="27"/>
  <c r="K48" i="27"/>
  <c r="K17" i="27"/>
  <c r="K34" i="27"/>
  <c r="K11" i="27"/>
  <c r="K47" i="27"/>
  <c r="K52" i="27"/>
  <c r="K5" i="27"/>
  <c r="K25" i="27"/>
  <c r="K42" i="27"/>
  <c r="K19" i="27"/>
  <c r="K32" i="27"/>
  <c r="K14" i="27"/>
  <c r="K13" i="27"/>
  <c r="K33" i="27"/>
  <c r="K50" i="27"/>
  <c r="K27" i="27"/>
  <c r="K4" i="27"/>
  <c r="K46" i="27"/>
  <c r="K21" i="27"/>
  <c r="K41" i="27"/>
  <c r="K22" i="27"/>
  <c r="K35" i="27"/>
  <c r="K12" i="27"/>
  <c r="K15" i="27"/>
  <c r="K29" i="27"/>
  <c r="K6" i="27"/>
  <c r="K49" i="27"/>
  <c r="K23" i="27"/>
  <c r="K43" i="27"/>
  <c r="K20" i="27"/>
  <c r="K31" i="27"/>
  <c r="K37" i="27"/>
  <c r="K38" i="27"/>
  <c r="K10" i="27"/>
  <c r="K16" i="27"/>
  <c r="K51" i="27"/>
  <c r="K28" i="27"/>
  <c r="K8" i="27"/>
  <c r="K45" i="27"/>
  <c r="D84" i="20"/>
  <c r="D84" i="21"/>
  <c r="D84" i="19"/>
  <c r="R28" i="19"/>
  <c r="R28" i="21"/>
  <c r="R28" i="20"/>
  <c r="AI85" i="17"/>
  <c r="AH85" i="17"/>
  <c r="B110" i="17"/>
  <c r="B96" i="17"/>
  <c r="B82" i="17"/>
  <c r="B68" i="17"/>
  <c r="B41" i="17"/>
  <c r="B55" i="17"/>
  <c r="B28" i="17"/>
  <c r="B14" i="17"/>
  <c r="K55" i="27" l="1"/>
  <c r="S28" i="19"/>
  <c r="S28" i="21"/>
  <c r="S28" i="20"/>
  <c r="AH86" i="17"/>
  <c r="AI86" i="17"/>
  <c r="AH91" i="17"/>
  <c r="AI90" i="17"/>
  <c r="AH89" i="17"/>
  <c r="AH90" i="17"/>
  <c r="AI92" i="17"/>
  <c r="AH87" i="17"/>
  <c r="AH92" i="17"/>
  <c r="AI89" i="17"/>
  <c r="AI87" i="17"/>
  <c r="AI91" i="17"/>
  <c r="T28" i="19" l="1"/>
  <c r="T28" i="21"/>
  <c r="T28" i="20"/>
  <c r="C1" i="17"/>
  <c r="D1" i="17" s="1"/>
  <c r="E1" i="17" s="1"/>
  <c r="F1" i="17" s="1"/>
  <c r="G1" i="17" s="1"/>
  <c r="H1" i="17" s="1"/>
  <c r="I1" i="17" s="1"/>
  <c r="J1" i="17" s="1"/>
  <c r="K1" i="17" s="1"/>
  <c r="L1" i="17" s="1"/>
  <c r="M1" i="17" s="1"/>
  <c r="N1" i="17" s="1"/>
  <c r="O1" i="17" s="1"/>
  <c r="P1" i="17" s="1"/>
  <c r="Q1" i="17" s="1"/>
  <c r="R1" i="17" s="1"/>
  <c r="S1" i="17" s="1"/>
  <c r="T1" i="17" s="1"/>
  <c r="U1" i="17" s="1"/>
  <c r="V1" i="17" s="1"/>
  <c r="W1" i="17" s="1"/>
  <c r="X1" i="17" s="1"/>
  <c r="Y1" i="17" s="1"/>
  <c r="Z1" i="17" s="1"/>
  <c r="AA1" i="17" s="1"/>
  <c r="AB1" i="17" s="1"/>
  <c r="AC1" i="17" s="1"/>
  <c r="AD1" i="17" s="1"/>
  <c r="AE1" i="17" s="1"/>
  <c r="AF1" i="17" s="1"/>
  <c r="AG1" i="17" s="1"/>
  <c r="AH1" i="17" s="1"/>
  <c r="AI1" i="17" s="1"/>
  <c r="AK120" i="17"/>
  <c r="AK119" i="17"/>
  <c r="AK118" i="17"/>
  <c r="AK117" i="17"/>
  <c r="AK115" i="17"/>
  <c r="AK114" i="17"/>
  <c r="AK113" i="17"/>
  <c r="AK112" i="17"/>
  <c r="AK111" i="17"/>
  <c r="C110" i="17"/>
  <c r="D110" i="17" s="1"/>
  <c r="E110" i="17" s="1"/>
  <c r="F110" i="17" s="1"/>
  <c r="G110" i="17" s="1"/>
  <c r="H110" i="17" s="1"/>
  <c r="I110" i="17" s="1"/>
  <c r="J110" i="17" s="1"/>
  <c r="K110" i="17" s="1"/>
  <c r="L110" i="17" s="1"/>
  <c r="M110" i="17" s="1"/>
  <c r="N110" i="17" s="1"/>
  <c r="O110" i="17" s="1"/>
  <c r="P110" i="17" s="1"/>
  <c r="Q110" i="17" s="1"/>
  <c r="R110" i="17" s="1"/>
  <c r="S110" i="17" s="1"/>
  <c r="T110" i="17" s="1"/>
  <c r="U110" i="17" s="1"/>
  <c r="V110" i="17" s="1"/>
  <c r="W110" i="17" s="1"/>
  <c r="X110" i="17" s="1"/>
  <c r="Y110" i="17" s="1"/>
  <c r="Z110" i="17" s="1"/>
  <c r="AA110" i="17" s="1"/>
  <c r="AB110" i="17" s="1"/>
  <c r="AC110" i="17" s="1"/>
  <c r="AD110" i="17" s="1"/>
  <c r="AE110" i="17" s="1"/>
  <c r="AF110" i="17" s="1"/>
  <c r="AG110" i="17" s="1"/>
  <c r="AH110" i="17" s="1"/>
  <c r="AI110" i="17" s="1"/>
  <c r="C96" i="17"/>
  <c r="D96" i="17" s="1"/>
  <c r="E96" i="17" s="1"/>
  <c r="F96" i="17" s="1"/>
  <c r="G96" i="17" s="1"/>
  <c r="H96" i="17" s="1"/>
  <c r="I96" i="17" s="1"/>
  <c r="J96" i="17" s="1"/>
  <c r="K96" i="17" s="1"/>
  <c r="L96" i="17" s="1"/>
  <c r="M96" i="17" s="1"/>
  <c r="N96" i="17" s="1"/>
  <c r="O96" i="17" s="1"/>
  <c r="P96" i="17" s="1"/>
  <c r="Q96" i="17" s="1"/>
  <c r="R96" i="17" s="1"/>
  <c r="S96" i="17" s="1"/>
  <c r="T96" i="17" s="1"/>
  <c r="U96" i="17" s="1"/>
  <c r="V96" i="17" s="1"/>
  <c r="W96" i="17" s="1"/>
  <c r="X96" i="17" s="1"/>
  <c r="Y96" i="17" s="1"/>
  <c r="Z96" i="17" s="1"/>
  <c r="AA96" i="17" s="1"/>
  <c r="AB96" i="17" s="1"/>
  <c r="AC96" i="17" s="1"/>
  <c r="AD96" i="17" s="1"/>
  <c r="AE96" i="17" s="1"/>
  <c r="AF96" i="17" s="1"/>
  <c r="AG96" i="17" s="1"/>
  <c r="AH96" i="17" s="1"/>
  <c r="AI96" i="17" s="1"/>
  <c r="C82" i="17"/>
  <c r="D82" i="17" s="1"/>
  <c r="E82" i="17" s="1"/>
  <c r="F82" i="17" s="1"/>
  <c r="G82" i="17" s="1"/>
  <c r="H82" i="17" s="1"/>
  <c r="I82" i="17" s="1"/>
  <c r="J82" i="17" s="1"/>
  <c r="K82" i="17" s="1"/>
  <c r="L82" i="17" s="1"/>
  <c r="M82" i="17" s="1"/>
  <c r="N82" i="17" s="1"/>
  <c r="O82" i="17" s="1"/>
  <c r="P82" i="17" s="1"/>
  <c r="Q82" i="17" s="1"/>
  <c r="R82" i="17" s="1"/>
  <c r="S82" i="17" s="1"/>
  <c r="T82" i="17" s="1"/>
  <c r="U82" i="17" s="1"/>
  <c r="V82" i="17" s="1"/>
  <c r="W82" i="17" s="1"/>
  <c r="X82" i="17" s="1"/>
  <c r="Y82" i="17" s="1"/>
  <c r="Z82" i="17" s="1"/>
  <c r="AA82" i="17" s="1"/>
  <c r="AB82" i="17" s="1"/>
  <c r="AC82" i="17" s="1"/>
  <c r="AD82" i="17" s="1"/>
  <c r="AE82" i="17" s="1"/>
  <c r="AF82" i="17" s="1"/>
  <c r="AG82" i="17" s="1"/>
  <c r="AH82" i="17" s="1"/>
  <c r="AI82" i="17" s="1"/>
  <c r="C68" i="17"/>
  <c r="D68" i="17" s="1"/>
  <c r="E68" i="17" s="1"/>
  <c r="F68" i="17" s="1"/>
  <c r="G68" i="17" s="1"/>
  <c r="H68" i="17" s="1"/>
  <c r="I68" i="17" s="1"/>
  <c r="J68" i="17" s="1"/>
  <c r="K68" i="17" s="1"/>
  <c r="L68" i="17" s="1"/>
  <c r="M68" i="17" s="1"/>
  <c r="N68" i="17" s="1"/>
  <c r="O68" i="17" s="1"/>
  <c r="P68" i="17" s="1"/>
  <c r="Q68" i="17" s="1"/>
  <c r="R68" i="17" s="1"/>
  <c r="S68" i="17" s="1"/>
  <c r="T68" i="17" s="1"/>
  <c r="U68" i="17" s="1"/>
  <c r="V68" i="17" s="1"/>
  <c r="W68" i="17" s="1"/>
  <c r="X68" i="17" s="1"/>
  <c r="Y68" i="17" s="1"/>
  <c r="Z68" i="17" s="1"/>
  <c r="AA68" i="17" s="1"/>
  <c r="AB68" i="17" s="1"/>
  <c r="AC68" i="17" s="1"/>
  <c r="AD68" i="17" s="1"/>
  <c r="AE68" i="17" s="1"/>
  <c r="AF68" i="17" s="1"/>
  <c r="AG68" i="17" s="1"/>
  <c r="AH68" i="17" s="1"/>
  <c r="AI68" i="17" s="1"/>
  <c r="C55" i="17"/>
  <c r="D55" i="17" s="1"/>
  <c r="E55" i="17" s="1"/>
  <c r="F55" i="17" s="1"/>
  <c r="G55" i="17" s="1"/>
  <c r="H55" i="17" s="1"/>
  <c r="I55" i="17" s="1"/>
  <c r="J55" i="17" s="1"/>
  <c r="K55" i="17" s="1"/>
  <c r="L55" i="17" s="1"/>
  <c r="M55" i="17" s="1"/>
  <c r="N55" i="17" s="1"/>
  <c r="O55" i="17" s="1"/>
  <c r="P55" i="17" s="1"/>
  <c r="Q55" i="17" s="1"/>
  <c r="R55" i="17" s="1"/>
  <c r="S55" i="17" s="1"/>
  <c r="T55" i="17" s="1"/>
  <c r="U55" i="17" s="1"/>
  <c r="V55" i="17" s="1"/>
  <c r="W55" i="17" s="1"/>
  <c r="X55" i="17" s="1"/>
  <c r="Y55" i="17" s="1"/>
  <c r="Z55" i="17" s="1"/>
  <c r="AA55" i="17" s="1"/>
  <c r="AB55" i="17" s="1"/>
  <c r="AC55" i="17" s="1"/>
  <c r="AD55" i="17" s="1"/>
  <c r="AE55" i="17" s="1"/>
  <c r="AF55" i="17" s="1"/>
  <c r="AG55" i="17" s="1"/>
  <c r="AH55" i="17" s="1"/>
  <c r="AI55" i="17" s="1"/>
  <c r="A55" i="17"/>
  <c r="C41" i="17"/>
  <c r="D41" i="17" s="1"/>
  <c r="E41" i="17" s="1"/>
  <c r="F41" i="17" s="1"/>
  <c r="G41" i="17" s="1"/>
  <c r="H41" i="17" s="1"/>
  <c r="I41" i="17" s="1"/>
  <c r="J41" i="17" s="1"/>
  <c r="K41" i="17" s="1"/>
  <c r="L41" i="17" s="1"/>
  <c r="M41" i="17" s="1"/>
  <c r="N41" i="17" s="1"/>
  <c r="O41" i="17" s="1"/>
  <c r="P41" i="17" s="1"/>
  <c r="Q41" i="17" s="1"/>
  <c r="R41" i="17" s="1"/>
  <c r="S41" i="17" s="1"/>
  <c r="T41" i="17" s="1"/>
  <c r="U41" i="17" s="1"/>
  <c r="V41" i="17" s="1"/>
  <c r="W41" i="17" s="1"/>
  <c r="X41" i="17" s="1"/>
  <c r="Y41" i="17" s="1"/>
  <c r="Z41" i="17" s="1"/>
  <c r="AA41" i="17" s="1"/>
  <c r="AB41" i="17" s="1"/>
  <c r="AC41" i="17" s="1"/>
  <c r="AD41" i="17" s="1"/>
  <c r="AE41" i="17" s="1"/>
  <c r="AF41" i="17" s="1"/>
  <c r="AG41" i="17" s="1"/>
  <c r="AH41" i="17" s="1"/>
  <c r="AI41" i="17" s="1"/>
  <c r="A41" i="17"/>
  <c r="A68" i="17" s="1"/>
  <c r="C28" i="17"/>
  <c r="D28" i="17" s="1"/>
  <c r="A28" i="17"/>
  <c r="C84" i="17"/>
  <c r="C14" i="17"/>
  <c r="D14" i="17" s="1"/>
  <c r="E14" i="17" s="1"/>
  <c r="F14" i="17" s="1"/>
  <c r="G14" i="17" s="1"/>
  <c r="H14" i="17" s="1"/>
  <c r="I14" i="17" s="1"/>
  <c r="J14" i="17" s="1"/>
  <c r="K14" i="17" s="1"/>
  <c r="L14" i="17" s="1"/>
  <c r="M14" i="17" s="1"/>
  <c r="N14" i="17" s="1"/>
  <c r="O14" i="17" s="1"/>
  <c r="P14" i="17" s="1"/>
  <c r="Q14" i="17" s="1"/>
  <c r="R14" i="17" s="1"/>
  <c r="S14" i="17" s="1"/>
  <c r="T14" i="17" s="1"/>
  <c r="U14" i="17" s="1"/>
  <c r="V14" i="17" s="1"/>
  <c r="W14" i="17" s="1"/>
  <c r="X14" i="17" s="1"/>
  <c r="Y14" i="17" s="1"/>
  <c r="Z14" i="17" s="1"/>
  <c r="AA14" i="17" s="1"/>
  <c r="AB14" i="17" s="1"/>
  <c r="AC14" i="17" s="1"/>
  <c r="AD14" i="17" s="1"/>
  <c r="AE14" i="17" s="1"/>
  <c r="AF14" i="17" s="1"/>
  <c r="AG14" i="17" s="1"/>
  <c r="AH14" i="17" s="1"/>
  <c r="AI14" i="17" s="1"/>
  <c r="U28" i="19" l="1"/>
  <c r="U28" i="21"/>
  <c r="U28" i="20"/>
  <c r="D84" i="17"/>
  <c r="A82" i="17"/>
  <c r="A96" i="17" s="1"/>
  <c r="A110" i="17" s="1"/>
  <c r="AD86" i="17"/>
  <c r="F90" i="17"/>
  <c r="N91" i="17"/>
  <c r="F92" i="17"/>
  <c r="E28" i="17"/>
  <c r="F85" i="17"/>
  <c r="F86" i="17"/>
  <c r="V87" i="17"/>
  <c r="N89" i="17"/>
  <c r="AD90" i="17"/>
  <c r="AD91" i="17"/>
  <c r="N86" i="17"/>
  <c r="AD87" i="17"/>
  <c r="N90" i="17"/>
  <c r="V91" i="17"/>
  <c r="V92" i="17"/>
  <c r="F87" i="17"/>
  <c r="F91" i="17"/>
  <c r="AD85" i="17"/>
  <c r="V89" i="17"/>
  <c r="AD92" i="17"/>
  <c r="V85" i="17"/>
  <c r="N87" i="17"/>
  <c r="AD89" i="17"/>
  <c r="N92" i="17"/>
  <c r="N85" i="17"/>
  <c r="V86" i="17"/>
  <c r="F89" i="17"/>
  <c r="V90" i="17"/>
  <c r="G85" i="17"/>
  <c r="O85" i="17"/>
  <c r="W85" i="17"/>
  <c r="AE85" i="17"/>
  <c r="G86" i="17"/>
  <c r="O86" i="17"/>
  <c r="W86" i="17"/>
  <c r="AE86" i="17"/>
  <c r="G87" i="17"/>
  <c r="O87" i="17"/>
  <c r="W87" i="17"/>
  <c r="AE87" i="17"/>
  <c r="G89" i="17"/>
  <c r="O89" i="17"/>
  <c r="W89" i="17"/>
  <c r="AE89" i="17"/>
  <c r="G90" i="17"/>
  <c r="O90" i="17"/>
  <c r="W90" i="17"/>
  <c r="AE90" i="17"/>
  <c r="G91" i="17"/>
  <c r="O91" i="17"/>
  <c r="W91" i="17"/>
  <c r="AE91" i="17"/>
  <c r="G92" i="17"/>
  <c r="O92" i="17"/>
  <c r="W92" i="17"/>
  <c r="AE92" i="17"/>
  <c r="H85" i="17"/>
  <c r="P85" i="17"/>
  <c r="X85" i="17"/>
  <c r="AF85" i="17"/>
  <c r="H86" i="17"/>
  <c r="P86" i="17"/>
  <c r="X86" i="17"/>
  <c r="AF86" i="17"/>
  <c r="H87" i="17"/>
  <c r="P87" i="17"/>
  <c r="X87" i="17"/>
  <c r="AF87" i="17"/>
  <c r="H89" i="17"/>
  <c r="P89" i="17"/>
  <c r="X89" i="17"/>
  <c r="AF89" i="17"/>
  <c r="H90" i="17"/>
  <c r="P90" i="17"/>
  <c r="X90" i="17"/>
  <c r="AF90" i="17"/>
  <c r="H91" i="17"/>
  <c r="P91" i="17"/>
  <c r="X91" i="17"/>
  <c r="AF91" i="17"/>
  <c r="H92" i="17"/>
  <c r="P92" i="17"/>
  <c r="X92" i="17"/>
  <c r="AF92" i="17"/>
  <c r="I85" i="17"/>
  <c r="Q85" i="17"/>
  <c r="Y85" i="17"/>
  <c r="AG85" i="17"/>
  <c r="I86" i="17"/>
  <c r="Q86" i="17"/>
  <c r="Y86" i="17"/>
  <c r="AG86" i="17"/>
  <c r="I87" i="17"/>
  <c r="Q87" i="17"/>
  <c r="Y87" i="17"/>
  <c r="AG87" i="17"/>
  <c r="I89" i="17"/>
  <c r="Q89" i="17"/>
  <c r="Y89" i="17"/>
  <c r="AG89" i="17"/>
  <c r="I90" i="17"/>
  <c r="Q90" i="17"/>
  <c r="Y90" i="17"/>
  <c r="AG90" i="17"/>
  <c r="I91" i="17"/>
  <c r="Q91" i="17"/>
  <c r="Y91" i="17"/>
  <c r="AG91" i="17"/>
  <c r="I92" i="17"/>
  <c r="Q92" i="17"/>
  <c r="Y92" i="17"/>
  <c r="AG92" i="17"/>
  <c r="B84" i="17"/>
  <c r="B85" i="17"/>
  <c r="J85" i="17"/>
  <c r="R85" i="17"/>
  <c r="Z85" i="17"/>
  <c r="B86" i="17"/>
  <c r="J86" i="17"/>
  <c r="R86" i="17"/>
  <c r="Z86" i="17"/>
  <c r="B87" i="17"/>
  <c r="J87" i="17"/>
  <c r="R87" i="17"/>
  <c r="Z87" i="17"/>
  <c r="B89" i="17"/>
  <c r="J89" i="17"/>
  <c r="R89" i="17"/>
  <c r="Z89" i="17"/>
  <c r="B90" i="17"/>
  <c r="J90" i="17"/>
  <c r="R90" i="17"/>
  <c r="Z90" i="17"/>
  <c r="B91" i="17"/>
  <c r="J91" i="17"/>
  <c r="R91" i="17"/>
  <c r="Z91" i="17"/>
  <c r="B92" i="17"/>
  <c r="J92" i="17"/>
  <c r="R92" i="17"/>
  <c r="Z92" i="17"/>
  <c r="C85" i="17"/>
  <c r="K85" i="17"/>
  <c r="S85" i="17"/>
  <c r="AA85" i="17"/>
  <c r="C86" i="17"/>
  <c r="K86" i="17"/>
  <c r="S86" i="17"/>
  <c r="AA86" i="17"/>
  <c r="C87" i="17"/>
  <c r="K87" i="17"/>
  <c r="S87" i="17"/>
  <c r="AA87" i="17"/>
  <c r="C89" i="17"/>
  <c r="K89" i="17"/>
  <c r="S89" i="17"/>
  <c r="AA89" i="17"/>
  <c r="C90" i="17"/>
  <c r="K90" i="17"/>
  <c r="S90" i="17"/>
  <c r="AA90" i="17"/>
  <c r="C91" i="17"/>
  <c r="K91" i="17"/>
  <c r="S91" i="17"/>
  <c r="AA91" i="17"/>
  <c r="C92" i="17"/>
  <c r="K92" i="17"/>
  <c r="S92" i="17"/>
  <c r="AA92" i="17"/>
  <c r="D85" i="17"/>
  <c r="L85" i="17"/>
  <c r="T85" i="17"/>
  <c r="AB85" i="17"/>
  <c r="D86" i="17"/>
  <c r="L86" i="17"/>
  <c r="T86" i="17"/>
  <c r="AB86" i="17"/>
  <c r="D87" i="17"/>
  <c r="L87" i="17"/>
  <c r="T87" i="17"/>
  <c r="AB87" i="17"/>
  <c r="D89" i="17"/>
  <c r="L89" i="17"/>
  <c r="T89" i="17"/>
  <c r="AB89" i="17"/>
  <c r="D90" i="17"/>
  <c r="L90" i="17"/>
  <c r="T90" i="17"/>
  <c r="AB90" i="17"/>
  <c r="D91" i="17"/>
  <c r="L91" i="17"/>
  <c r="T91" i="17"/>
  <c r="AB91" i="17"/>
  <c r="D92" i="17"/>
  <c r="L92" i="17"/>
  <c r="T92" i="17"/>
  <c r="AB92" i="17"/>
  <c r="E85" i="17"/>
  <c r="M85" i="17"/>
  <c r="U85" i="17"/>
  <c r="AC85" i="17"/>
  <c r="E86" i="17"/>
  <c r="M86" i="17"/>
  <c r="U86" i="17"/>
  <c r="AC86" i="17"/>
  <c r="E87" i="17"/>
  <c r="M87" i="17"/>
  <c r="U87" i="17"/>
  <c r="AC87" i="17"/>
  <c r="E89" i="17"/>
  <c r="M89" i="17"/>
  <c r="U89" i="17"/>
  <c r="AC89" i="17"/>
  <c r="E90" i="17"/>
  <c r="M90" i="17"/>
  <c r="U90" i="17"/>
  <c r="AC90" i="17"/>
  <c r="E91" i="17"/>
  <c r="M91" i="17"/>
  <c r="U91" i="17"/>
  <c r="AC91" i="17"/>
  <c r="E92" i="17"/>
  <c r="M92" i="17"/>
  <c r="U92" i="17"/>
  <c r="AC92" i="17"/>
  <c r="V28" i="19" l="1"/>
  <c r="V28" i="21"/>
  <c r="V28" i="20"/>
  <c r="F28" i="17"/>
  <c r="W28" i="19" l="1"/>
  <c r="W28" i="21"/>
  <c r="W28" i="20"/>
  <c r="G28" i="17"/>
  <c r="C16" i="40"/>
  <c r="C12" i="40"/>
  <c r="C16" i="39"/>
  <c r="C12" i="39"/>
  <c r="C16" i="37"/>
  <c r="C12" i="37"/>
  <c r="C16" i="36"/>
  <c r="C12" i="36"/>
  <c r="X28" i="19" l="1"/>
  <c r="X28" i="21"/>
  <c r="X28" i="20"/>
  <c r="H28" i="17"/>
  <c r="Y28" i="19" l="1"/>
  <c r="Y28" i="21"/>
  <c r="Y28" i="20"/>
  <c r="I28" i="17"/>
  <c r="Z28" i="19" l="1"/>
  <c r="Z28" i="21"/>
  <c r="Z28" i="20"/>
  <c r="J28" i="17"/>
  <c r="AA28" i="19" l="1"/>
  <c r="AA28" i="21"/>
  <c r="AA28" i="20"/>
  <c r="K28" i="17"/>
  <c r="C124" i="14" l="1"/>
  <c r="E17" i="15"/>
  <c r="C124" i="12"/>
  <c r="B124" i="13"/>
  <c r="D118" i="12"/>
  <c r="B124" i="14"/>
  <c r="Z31" i="19"/>
  <c r="B30" i="48"/>
  <c r="B57" i="48" s="1"/>
  <c r="B35" i="48"/>
  <c r="B62" i="48" s="1"/>
  <c r="C38" i="48"/>
  <c r="E31" i="48"/>
  <c r="D51" i="48"/>
  <c r="E50" i="48"/>
  <c r="E49" i="48"/>
  <c r="C49" i="48"/>
  <c r="E35" i="48"/>
  <c r="D50" i="48"/>
  <c r="C32" i="48"/>
  <c r="C33" i="48"/>
  <c r="D37" i="48"/>
  <c r="D35" i="48"/>
  <c r="C44" i="48"/>
  <c r="D32" i="48"/>
  <c r="E48" i="48"/>
  <c r="E51" i="48"/>
  <c r="B46" i="48"/>
  <c r="B32" i="48"/>
  <c r="B59" i="48" s="1"/>
  <c r="C30" i="48"/>
  <c r="B37" i="48"/>
  <c r="B64" i="48" s="1"/>
  <c r="B48" i="48"/>
  <c r="E38" i="48"/>
  <c r="D45" i="48"/>
  <c r="C50" i="48"/>
  <c r="E46" i="48"/>
  <c r="C36" i="48"/>
  <c r="D36" i="48"/>
  <c r="B31" i="48"/>
  <c r="B58" i="48" s="1"/>
  <c r="D31" i="48"/>
  <c r="E37" i="48"/>
  <c r="D44" i="48"/>
  <c r="E33" i="48"/>
  <c r="B51" i="48"/>
  <c r="C48" i="48"/>
  <c r="D48" i="48"/>
  <c r="E44" i="48"/>
  <c r="B33" i="48"/>
  <c r="B60" i="48" s="1"/>
  <c r="D33" i="48"/>
  <c r="C35" i="48"/>
  <c r="D49" i="48"/>
  <c r="B45" i="48"/>
  <c r="C51" i="48"/>
  <c r="E32" i="48"/>
  <c r="D30" i="48"/>
  <c r="C46" i="48"/>
  <c r="C45" i="48"/>
  <c r="B36" i="48"/>
  <c r="B63" i="48" s="1"/>
  <c r="C37" i="48"/>
  <c r="B38" i="48"/>
  <c r="B65" i="48" s="1"/>
  <c r="C65" i="48" s="1"/>
  <c r="B44" i="48"/>
  <c r="B49" i="48"/>
  <c r="B50" i="48"/>
  <c r="D46" i="48"/>
  <c r="C31" i="48"/>
  <c r="D38" i="48"/>
  <c r="E45" i="48"/>
  <c r="E36" i="48"/>
  <c r="E30" i="48"/>
  <c r="F44" i="48"/>
  <c r="F48" i="48"/>
  <c r="F49" i="48"/>
  <c r="F32" i="48"/>
  <c r="F38" i="48"/>
  <c r="F30" i="48"/>
  <c r="F35" i="48"/>
  <c r="F45" i="48"/>
  <c r="F36" i="48"/>
  <c r="F37" i="48"/>
  <c r="F46" i="48"/>
  <c r="F31" i="48"/>
  <c r="F51" i="48"/>
  <c r="F33" i="48"/>
  <c r="F50" i="48"/>
  <c r="G33" i="48"/>
  <c r="G44" i="48"/>
  <c r="G38" i="48"/>
  <c r="G51" i="48"/>
  <c r="G30" i="48"/>
  <c r="G36" i="48"/>
  <c r="G32" i="48"/>
  <c r="G45" i="48"/>
  <c r="G50" i="48"/>
  <c r="G49" i="48"/>
  <c r="G31" i="48"/>
  <c r="G48" i="48"/>
  <c r="G37" i="48"/>
  <c r="G46" i="48"/>
  <c r="G35" i="48"/>
  <c r="H36" i="48"/>
  <c r="H51" i="48"/>
  <c r="H32" i="48"/>
  <c r="H50" i="48"/>
  <c r="H37" i="48"/>
  <c r="H31" i="48"/>
  <c r="H33" i="48"/>
  <c r="H45" i="48"/>
  <c r="H35" i="48"/>
  <c r="H48" i="48"/>
  <c r="H46" i="48"/>
  <c r="H30" i="48"/>
  <c r="H49" i="48"/>
  <c r="H44" i="48"/>
  <c r="H38" i="48"/>
  <c r="I32" i="48"/>
  <c r="I38" i="48"/>
  <c r="I36" i="48"/>
  <c r="I51" i="48"/>
  <c r="I31" i="48"/>
  <c r="I45" i="48"/>
  <c r="I44" i="48"/>
  <c r="I30" i="48"/>
  <c r="I46" i="48"/>
  <c r="I49" i="48"/>
  <c r="I50" i="48"/>
  <c r="I33" i="48"/>
  <c r="I35" i="48"/>
  <c r="I48" i="48"/>
  <c r="I37" i="48"/>
  <c r="J46" i="48"/>
  <c r="J35" i="48"/>
  <c r="J48" i="48"/>
  <c r="J32" i="48"/>
  <c r="J36" i="48"/>
  <c r="J44" i="48"/>
  <c r="J31" i="48"/>
  <c r="J45" i="48"/>
  <c r="J30" i="48"/>
  <c r="J50" i="48"/>
  <c r="J49" i="48"/>
  <c r="J51" i="48"/>
  <c r="J33" i="48"/>
  <c r="J38" i="48"/>
  <c r="J37" i="48"/>
  <c r="K36" i="48"/>
  <c r="K44" i="48"/>
  <c r="K46" i="48"/>
  <c r="K37" i="48"/>
  <c r="K49" i="48"/>
  <c r="K38" i="48"/>
  <c r="K32" i="48"/>
  <c r="K35" i="48"/>
  <c r="K30" i="48"/>
  <c r="K50" i="48"/>
  <c r="K31" i="48"/>
  <c r="K48" i="48"/>
  <c r="K33" i="48"/>
  <c r="K45" i="48"/>
  <c r="K51" i="48"/>
  <c r="L38" i="48"/>
  <c r="L35" i="48"/>
  <c r="L49" i="48"/>
  <c r="L30" i="48"/>
  <c r="L48" i="48"/>
  <c r="L32" i="48"/>
  <c r="L50" i="48"/>
  <c r="L46" i="48"/>
  <c r="L45" i="48"/>
  <c r="L31" i="48"/>
  <c r="L37" i="48"/>
  <c r="L51" i="48"/>
  <c r="L44" i="48"/>
  <c r="L33" i="48"/>
  <c r="L36" i="48"/>
  <c r="M33" i="48"/>
  <c r="M38" i="48"/>
  <c r="M30" i="48"/>
  <c r="M48" i="48"/>
  <c r="M32" i="48"/>
  <c r="M49" i="48"/>
  <c r="M37" i="48"/>
  <c r="M46" i="48"/>
  <c r="M36" i="48"/>
  <c r="M45" i="48"/>
  <c r="M51" i="48"/>
  <c r="M35" i="48"/>
  <c r="M44" i="48"/>
  <c r="M50" i="48"/>
  <c r="M31" i="48"/>
  <c r="N51" i="48"/>
  <c r="N48" i="48"/>
  <c r="N44" i="48"/>
  <c r="N49" i="48"/>
  <c r="N45" i="48"/>
  <c r="N33" i="48"/>
  <c r="N50" i="48"/>
  <c r="N46" i="48"/>
  <c r="N30" i="48"/>
  <c r="N35" i="48"/>
  <c r="N38" i="48"/>
  <c r="N37" i="48"/>
  <c r="N31" i="48"/>
  <c r="N36" i="48"/>
  <c r="N32" i="48"/>
  <c r="O37" i="48"/>
  <c r="O32" i="48"/>
  <c r="O36" i="48"/>
  <c r="O46" i="48"/>
  <c r="O45" i="48"/>
  <c r="O35" i="48"/>
  <c r="O33" i="48"/>
  <c r="O50" i="48"/>
  <c r="O38" i="48"/>
  <c r="O48" i="48"/>
  <c r="O30" i="48"/>
  <c r="O49" i="48"/>
  <c r="O31" i="48"/>
  <c r="O44" i="48"/>
  <c r="O51" i="48"/>
  <c r="P37" i="48"/>
  <c r="P49" i="48"/>
  <c r="P50" i="48"/>
  <c r="P32" i="48"/>
  <c r="P51" i="48"/>
  <c r="P30" i="48"/>
  <c r="P38" i="48"/>
  <c r="P33" i="48"/>
  <c r="P35" i="48"/>
  <c r="P31" i="48"/>
  <c r="P46" i="48"/>
  <c r="P48" i="48"/>
  <c r="P45" i="48"/>
  <c r="P44" i="48"/>
  <c r="P36" i="48"/>
  <c r="Q50" i="48"/>
  <c r="Q38" i="48"/>
  <c r="Q48" i="48"/>
  <c r="Q30" i="48"/>
  <c r="Q49" i="48"/>
  <c r="Q33" i="48"/>
  <c r="Q36" i="48"/>
  <c r="Q44" i="48"/>
  <c r="Q35" i="48"/>
  <c r="Q46" i="48"/>
  <c r="Q51" i="48"/>
  <c r="Q45" i="48"/>
  <c r="Q37" i="48"/>
  <c r="Q32" i="48"/>
  <c r="Q31" i="48"/>
  <c r="R48" i="48"/>
  <c r="R32" i="48"/>
  <c r="R44" i="48"/>
  <c r="R50" i="48"/>
  <c r="R49" i="48"/>
  <c r="R33" i="48"/>
  <c r="R38" i="48"/>
  <c r="R45" i="48"/>
  <c r="R35" i="48"/>
  <c r="R51" i="48"/>
  <c r="R36" i="48"/>
  <c r="R30" i="48"/>
  <c r="R46" i="48"/>
  <c r="R31" i="48"/>
  <c r="R37" i="48"/>
  <c r="S44" i="48"/>
  <c r="S48" i="48"/>
  <c r="S49" i="48"/>
  <c r="S38" i="48"/>
  <c r="S45" i="48"/>
  <c r="S33" i="48"/>
  <c r="S32" i="48"/>
  <c r="S36" i="48"/>
  <c r="S35" i="48"/>
  <c r="S37" i="48"/>
  <c r="S46" i="48"/>
  <c r="S31" i="48"/>
  <c r="S51" i="48"/>
  <c r="S50" i="48"/>
  <c r="S30" i="48"/>
  <c r="T46" i="48"/>
  <c r="T35" i="48"/>
  <c r="T36" i="48"/>
  <c r="T48" i="48"/>
  <c r="T31" i="48"/>
  <c r="T50" i="48"/>
  <c r="T33" i="48"/>
  <c r="T37" i="48"/>
  <c r="T30" i="48"/>
  <c r="T32" i="48"/>
  <c r="T44" i="48"/>
  <c r="T38" i="48"/>
  <c r="T49" i="48"/>
  <c r="T45" i="48"/>
  <c r="T51" i="48"/>
  <c r="U38" i="48"/>
  <c r="U51" i="48"/>
  <c r="U44" i="48"/>
  <c r="U48" i="48"/>
  <c r="U31" i="48"/>
  <c r="U33" i="48"/>
  <c r="U30" i="48"/>
  <c r="U46" i="48"/>
  <c r="U32" i="48"/>
  <c r="U45" i="48"/>
  <c r="U49" i="48"/>
  <c r="U35" i="48"/>
  <c r="U37" i="48"/>
  <c r="U50" i="48"/>
  <c r="U36" i="48"/>
  <c r="V51" i="48"/>
  <c r="V49" i="48"/>
  <c r="V31" i="48"/>
  <c r="V44" i="48"/>
  <c r="V37" i="48"/>
  <c r="V32" i="48"/>
  <c r="V50" i="48"/>
  <c r="V45" i="48"/>
  <c r="V35" i="48"/>
  <c r="V48" i="48"/>
  <c r="V30" i="48"/>
  <c r="V36" i="48"/>
  <c r="V46" i="48"/>
  <c r="V33" i="48"/>
  <c r="V38" i="48"/>
  <c r="W45" i="48"/>
  <c r="W36" i="48"/>
  <c r="W51" i="48"/>
  <c r="W44" i="48"/>
  <c r="W38" i="48"/>
  <c r="W48" i="48"/>
  <c r="W50" i="48"/>
  <c r="W46" i="48"/>
  <c r="W35" i="48"/>
  <c r="W37" i="48"/>
  <c r="W33" i="48"/>
  <c r="W32" i="48"/>
  <c r="W31" i="48"/>
  <c r="W30" i="48"/>
  <c r="W49" i="48"/>
  <c r="X31" i="48"/>
  <c r="X50" i="48"/>
  <c r="X37" i="48"/>
  <c r="X35" i="48"/>
  <c r="X44" i="48"/>
  <c r="X51" i="48"/>
  <c r="X33" i="48"/>
  <c r="X36" i="48"/>
  <c r="X38" i="48"/>
  <c r="X30" i="48"/>
  <c r="X48" i="48"/>
  <c r="X46" i="48"/>
  <c r="X49" i="48"/>
  <c r="X32" i="48"/>
  <c r="X45" i="48"/>
  <c r="Y49" i="48"/>
  <c r="Y46" i="48"/>
  <c r="Y48" i="48"/>
  <c r="Y45" i="48"/>
  <c r="Y50" i="48"/>
  <c r="Y51" i="48"/>
  <c r="Y38" i="48"/>
  <c r="Y37" i="48"/>
  <c r="Y35" i="48"/>
  <c r="Y36" i="48"/>
  <c r="Y44" i="48"/>
  <c r="Y30" i="48"/>
  <c r="Y32" i="48"/>
  <c r="Y33" i="48"/>
  <c r="Y31" i="48"/>
  <c r="Z45" i="48"/>
  <c r="Z36" i="48"/>
  <c r="Z51" i="48"/>
  <c r="Z50" i="48"/>
  <c r="Z33" i="48"/>
  <c r="Z38" i="48"/>
  <c r="Z37" i="48"/>
  <c r="Z30" i="48"/>
  <c r="Z35" i="48"/>
  <c r="Z32" i="48"/>
  <c r="Z48" i="48"/>
  <c r="Z46" i="48"/>
  <c r="Z31" i="48"/>
  <c r="Z49" i="48"/>
  <c r="Z44" i="48"/>
  <c r="AA36" i="48"/>
  <c r="AA35" i="48"/>
  <c r="AA44" i="48"/>
  <c r="AA45" i="48"/>
  <c r="AA32" i="48"/>
  <c r="AA37" i="48"/>
  <c r="AA49" i="48"/>
  <c r="AA46" i="48"/>
  <c r="AA48" i="48"/>
  <c r="AA31" i="48"/>
  <c r="AA30" i="48"/>
  <c r="AA33" i="48"/>
  <c r="AA38" i="48"/>
  <c r="AA50" i="48"/>
  <c r="AA105" i="48" s="1"/>
  <c r="AA51" i="48"/>
  <c r="AB32" i="48"/>
  <c r="AB51" i="48"/>
  <c r="AB44" i="48"/>
  <c r="AB37" i="48"/>
  <c r="AB30" i="48"/>
  <c r="AB38" i="48"/>
  <c r="AB50" i="48"/>
  <c r="AB31" i="48"/>
  <c r="AB36" i="48"/>
  <c r="AB49" i="48"/>
  <c r="AB46" i="48"/>
  <c r="AB33" i="48"/>
  <c r="AB35" i="48"/>
  <c r="AB48" i="48"/>
  <c r="AB45" i="48"/>
  <c r="AC49" i="48"/>
  <c r="AC31" i="48"/>
  <c r="AC45" i="48"/>
  <c r="AC37" i="48"/>
  <c r="AC51" i="48"/>
  <c r="AC46" i="48"/>
  <c r="AC38" i="48"/>
  <c r="AC36" i="48"/>
  <c r="AC48" i="48"/>
  <c r="AC30" i="48"/>
  <c r="AC35" i="48"/>
  <c r="AC32" i="48"/>
  <c r="AC50" i="48"/>
  <c r="AC44" i="48"/>
  <c r="AC33" i="48"/>
  <c r="AD36" i="48"/>
  <c r="AD51" i="48"/>
  <c r="AD35" i="48"/>
  <c r="AD50" i="48"/>
  <c r="AD44" i="48"/>
  <c r="AD46" i="48"/>
  <c r="AD32" i="48"/>
  <c r="AD30" i="48"/>
  <c r="AD33" i="48"/>
  <c r="AD38" i="48"/>
  <c r="AD31" i="48"/>
  <c r="AD49" i="48"/>
  <c r="AD48" i="48"/>
  <c r="AD37" i="48"/>
  <c r="AD45" i="48"/>
  <c r="AD100" i="48" s="1"/>
  <c r="AE50" i="48"/>
  <c r="AE45" i="48"/>
  <c r="AE49" i="48"/>
  <c r="AE48" i="48"/>
  <c r="AE31" i="48"/>
  <c r="AE51" i="48"/>
  <c r="AE38" i="48"/>
  <c r="AE30" i="48"/>
  <c r="AE33" i="48"/>
  <c r="AE32" i="48"/>
  <c r="AE35" i="48"/>
  <c r="AE44" i="48"/>
  <c r="AE37" i="48"/>
  <c r="AE36" i="48"/>
  <c r="AE46" i="48"/>
  <c r="AF30" i="48"/>
  <c r="AF37" i="48"/>
  <c r="AF48" i="48"/>
  <c r="AF36" i="48"/>
  <c r="AF45" i="48"/>
  <c r="AF46" i="48"/>
  <c r="AF35" i="48"/>
  <c r="AF32" i="48"/>
  <c r="AF50" i="48"/>
  <c r="AF38" i="48"/>
  <c r="AF49" i="48"/>
  <c r="AF33" i="48"/>
  <c r="AF51" i="48"/>
  <c r="AF44" i="48"/>
  <c r="AF31" i="48"/>
  <c r="AG37" i="48"/>
  <c r="AG38" i="48"/>
  <c r="AG46" i="48"/>
  <c r="AG45" i="48"/>
  <c r="AG36" i="48"/>
  <c r="AG49" i="48"/>
  <c r="AG32" i="48"/>
  <c r="AG50" i="48"/>
  <c r="AG30" i="48"/>
  <c r="AG51" i="48"/>
  <c r="AG106" i="48" s="1"/>
  <c r="AG33" i="48"/>
  <c r="AG35" i="48"/>
  <c r="AG48" i="48"/>
  <c r="AG44" i="48"/>
  <c r="AG31" i="48"/>
  <c r="AH49" i="48"/>
  <c r="AH45" i="48"/>
  <c r="AH44" i="48"/>
  <c r="AH51" i="48"/>
  <c r="AH36" i="48"/>
  <c r="AH33" i="48"/>
  <c r="AH31" i="48"/>
  <c r="AH38" i="48"/>
  <c r="AH32" i="48"/>
  <c r="AH30" i="48"/>
  <c r="AH50" i="48"/>
  <c r="AH46" i="48"/>
  <c r="AH48" i="48"/>
  <c r="AH35" i="48"/>
  <c r="AH37" i="48"/>
  <c r="AI37" i="48"/>
  <c r="AI51" i="48"/>
  <c r="AI50" i="48"/>
  <c r="AI33" i="48"/>
  <c r="AI30" i="48"/>
  <c r="AI31" i="48"/>
  <c r="AI35" i="48"/>
  <c r="AI45" i="48"/>
  <c r="AI48" i="48"/>
  <c r="AI36" i="48"/>
  <c r="AI49" i="48"/>
  <c r="AI38" i="48"/>
  <c r="AI44" i="48"/>
  <c r="AI46" i="48"/>
  <c r="AI32" i="48"/>
  <c r="C43" i="48"/>
  <c r="B43" i="48"/>
  <c r="D43" i="48"/>
  <c r="Z50" i="20"/>
  <c r="Z30" i="21"/>
  <c r="Z30" i="19"/>
  <c r="Z46" i="20"/>
  <c r="Z31" i="20"/>
  <c r="Z30" i="20"/>
  <c r="Z45" i="21"/>
  <c r="Z35" i="19"/>
  <c r="Z46" i="19"/>
  <c r="Z35" i="20"/>
  <c r="Z37" i="19"/>
  <c r="Z51" i="20"/>
  <c r="Z32" i="21"/>
  <c r="Z44" i="21"/>
  <c r="Z38" i="19"/>
  <c r="Z36" i="19"/>
  <c r="Z36" i="21"/>
  <c r="Z50" i="19"/>
  <c r="Z51" i="19"/>
  <c r="Z49" i="20"/>
  <c r="Z38" i="20"/>
  <c r="Z35" i="21"/>
  <c r="Z50" i="21"/>
  <c r="Z33" i="19"/>
  <c r="Z37" i="21"/>
  <c r="Z48" i="19"/>
  <c r="Z44" i="20"/>
  <c r="Z48" i="21"/>
  <c r="Z46" i="21"/>
  <c r="Z45" i="19"/>
  <c r="Z49" i="19"/>
  <c r="Z51" i="21"/>
  <c r="Z48" i="20"/>
  <c r="Z37" i="20"/>
  <c r="Z49" i="21"/>
  <c r="B32" i="21"/>
  <c r="B59" i="21" s="1"/>
  <c r="B31" i="20"/>
  <c r="B58" i="20" s="1"/>
  <c r="B37" i="21"/>
  <c r="B64" i="21" s="1"/>
  <c r="C31" i="21"/>
  <c r="B30" i="19"/>
  <c r="B57" i="19" s="1"/>
  <c r="B31" i="19"/>
  <c r="B58" i="19" s="1"/>
  <c r="B30" i="21"/>
  <c r="B57" i="21" s="1"/>
  <c r="B36" i="21"/>
  <c r="B63" i="21" s="1"/>
  <c r="B38" i="20"/>
  <c r="B65" i="20" s="1"/>
  <c r="C35" i="21"/>
  <c r="B51" i="20"/>
  <c r="C37" i="20"/>
  <c r="B35" i="21"/>
  <c r="B62" i="21" s="1"/>
  <c r="B37" i="20"/>
  <c r="B64" i="20" s="1"/>
  <c r="C33" i="21"/>
  <c r="B36" i="20"/>
  <c r="B63" i="20" s="1"/>
  <c r="B45" i="19"/>
  <c r="C38" i="21"/>
  <c r="B33" i="21"/>
  <c r="B60" i="21" s="1"/>
  <c r="B35" i="20"/>
  <c r="B62" i="20" s="1"/>
  <c r="B32" i="20"/>
  <c r="B59" i="20" s="1"/>
  <c r="B38" i="21"/>
  <c r="B65" i="21" s="1"/>
  <c r="C32" i="21"/>
  <c r="B31" i="21"/>
  <c r="B58" i="21" s="1"/>
  <c r="B37" i="19"/>
  <c r="B64" i="19" s="1"/>
  <c r="C37" i="19"/>
  <c r="C48" i="21"/>
  <c r="B45" i="21"/>
  <c r="B49" i="21"/>
  <c r="D32" i="20"/>
  <c r="C46" i="20"/>
  <c r="B48" i="20"/>
  <c r="C38" i="20"/>
  <c r="B45" i="20"/>
  <c r="C51" i="20"/>
  <c r="C31" i="19"/>
  <c r="B50" i="19"/>
  <c r="B30" i="20"/>
  <c r="B57" i="20" s="1"/>
  <c r="B35" i="19"/>
  <c r="B62" i="19" s="1"/>
  <c r="C30" i="19"/>
  <c r="C36" i="19"/>
  <c r="C49" i="19"/>
  <c r="D49" i="19"/>
  <c r="C46" i="19"/>
  <c r="D37" i="19"/>
  <c r="D46" i="19"/>
  <c r="C44" i="19"/>
  <c r="D50" i="19"/>
  <c r="D48" i="19"/>
  <c r="C45" i="20"/>
  <c r="C30" i="20"/>
  <c r="C33" i="20"/>
  <c r="C31" i="20"/>
  <c r="D46" i="20"/>
  <c r="C50" i="19"/>
  <c r="B33" i="20"/>
  <c r="B60" i="20" s="1"/>
  <c r="C36" i="21"/>
  <c r="D33" i="19"/>
  <c r="B51" i="19"/>
  <c r="D48" i="21"/>
  <c r="C45" i="21"/>
  <c r="C49" i="21"/>
  <c r="D37" i="20"/>
  <c r="C44" i="20"/>
  <c r="D50" i="20"/>
  <c r="D48" i="20"/>
  <c r="C32" i="20"/>
  <c r="B44" i="19"/>
  <c r="B44" i="20"/>
  <c r="D44" i="20"/>
  <c r="B38" i="19"/>
  <c r="B65" i="19" s="1"/>
  <c r="D32" i="19"/>
  <c r="D45" i="19"/>
  <c r="B46" i="21"/>
  <c r="C30" i="21"/>
  <c r="C51" i="21"/>
  <c r="B46" i="20"/>
  <c r="B32" i="19"/>
  <c r="B59" i="19" s="1"/>
  <c r="B49" i="19"/>
  <c r="C48" i="19"/>
  <c r="D38" i="19"/>
  <c r="B50" i="21"/>
  <c r="B51" i="21"/>
  <c r="C49" i="20"/>
  <c r="D49" i="20"/>
  <c r="D31" i="20"/>
  <c r="B36" i="19"/>
  <c r="B63" i="19" s="1"/>
  <c r="C37" i="21"/>
  <c r="C35" i="19"/>
  <c r="D35" i="19"/>
  <c r="C46" i="21"/>
  <c r="C50" i="21"/>
  <c r="B49" i="20"/>
  <c r="D33" i="20"/>
  <c r="C35" i="20"/>
  <c r="C48" i="20"/>
  <c r="D38" i="20"/>
  <c r="B48" i="19"/>
  <c r="C50" i="20"/>
  <c r="D35" i="20"/>
  <c r="B33" i="19"/>
  <c r="B60" i="19" s="1"/>
  <c r="C36" i="20"/>
  <c r="C51" i="19"/>
  <c r="C45" i="19"/>
  <c r="D51" i="19"/>
  <c r="C32" i="19"/>
  <c r="D36" i="19"/>
  <c r="C38" i="19"/>
  <c r="D44" i="19"/>
  <c r="B48" i="21"/>
  <c r="B44" i="21"/>
  <c r="B50" i="20"/>
  <c r="C33" i="19"/>
  <c r="B46" i="19"/>
  <c r="C44" i="21"/>
  <c r="D31" i="19"/>
  <c r="D30" i="19"/>
  <c r="D50" i="21"/>
  <c r="D51" i="20"/>
  <c r="D36" i="20"/>
  <c r="D38" i="21"/>
  <c r="D35" i="21"/>
  <c r="D31" i="21"/>
  <c r="D45" i="21"/>
  <c r="D44" i="21"/>
  <c r="D30" i="20"/>
  <c r="D30" i="21"/>
  <c r="D33" i="21"/>
  <c r="D46" i="21"/>
  <c r="D36" i="21"/>
  <c r="D49" i="21"/>
  <c r="D37" i="21"/>
  <c r="D45" i="20"/>
  <c r="D32" i="21"/>
  <c r="D51" i="21"/>
  <c r="E32" i="19"/>
  <c r="E44" i="19"/>
  <c r="E36" i="21"/>
  <c r="E51" i="21"/>
  <c r="E30" i="20"/>
  <c r="E36" i="20"/>
  <c r="E45" i="20"/>
  <c r="E33" i="20"/>
  <c r="E38" i="20"/>
  <c r="E48" i="19"/>
  <c r="E33" i="19"/>
  <c r="E31" i="21"/>
  <c r="E46" i="21"/>
  <c r="E33" i="21"/>
  <c r="E50" i="20"/>
  <c r="E31" i="20"/>
  <c r="E49" i="20"/>
  <c r="E48" i="20"/>
  <c r="E50" i="19"/>
  <c r="E38" i="19"/>
  <c r="E35" i="21"/>
  <c r="E32" i="20"/>
  <c r="E30" i="21"/>
  <c r="E51" i="20"/>
  <c r="E30" i="19"/>
  <c r="E35" i="19"/>
  <c r="E45" i="21"/>
  <c r="E51" i="19"/>
  <c r="E106" i="19" s="1"/>
  <c r="E37" i="19"/>
  <c r="E37" i="21"/>
  <c r="E50" i="21"/>
  <c r="E46" i="20"/>
  <c r="E101" i="20" s="1"/>
  <c r="E36" i="19"/>
  <c r="E45" i="19"/>
  <c r="E46" i="19"/>
  <c r="E101" i="19" s="1"/>
  <c r="E32" i="21"/>
  <c r="E44" i="21"/>
  <c r="E35" i="20"/>
  <c r="E44" i="20"/>
  <c r="E31" i="19"/>
  <c r="E49" i="19"/>
  <c r="E48" i="21"/>
  <c r="E38" i="21"/>
  <c r="E37" i="20"/>
  <c r="E49" i="21"/>
  <c r="F33" i="19"/>
  <c r="F45" i="19"/>
  <c r="F35" i="20"/>
  <c r="F45" i="20"/>
  <c r="F49" i="20"/>
  <c r="F51" i="21"/>
  <c r="F36" i="20"/>
  <c r="F32" i="20"/>
  <c r="F44" i="19"/>
  <c r="F30" i="21"/>
  <c r="F38" i="21"/>
  <c r="F37" i="20"/>
  <c r="F31" i="20"/>
  <c r="F35" i="19"/>
  <c r="F38" i="19"/>
  <c r="F49" i="21"/>
  <c r="F36" i="21"/>
  <c r="F38" i="20"/>
  <c r="F51" i="19"/>
  <c r="F37" i="21"/>
  <c r="F46" i="21"/>
  <c r="F30" i="19"/>
  <c r="F49" i="19"/>
  <c r="F31" i="19"/>
  <c r="F45" i="21"/>
  <c r="F32" i="21"/>
  <c r="F30" i="20"/>
  <c r="F48" i="20"/>
  <c r="F46" i="20"/>
  <c r="F33" i="20"/>
  <c r="F50" i="19"/>
  <c r="F46" i="19"/>
  <c r="F32" i="19"/>
  <c r="F44" i="21"/>
  <c r="F31" i="21"/>
  <c r="F51" i="20"/>
  <c r="F50" i="20"/>
  <c r="F33" i="21"/>
  <c r="F48" i="19"/>
  <c r="F37" i="19"/>
  <c r="F50" i="21"/>
  <c r="F48" i="21"/>
  <c r="F36" i="19"/>
  <c r="F35" i="21"/>
  <c r="F44" i="20"/>
  <c r="F99" i="20" s="1"/>
  <c r="G32" i="19"/>
  <c r="G51" i="19"/>
  <c r="G33" i="21"/>
  <c r="G44" i="21"/>
  <c r="G49" i="21"/>
  <c r="G30" i="20"/>
  <c r="G32" i="20"/>
  <c r="G46" i="20"/>
  <c r="G35" i="19"/>
  <c r="G32" i="21"/>
  <c r="G45" i="19"/>
  <c r="G51" i="21"/>
  <c r="G44" i="20"/>
  <c r="G37" i="20"/>
  <c r="G37" i="19"/>
  <c r="G38" i="21"/>
  <c r="G31" i="21"/>
  <c r="G33" i="20"/>
  <c r="G45" i="20"/>
  <c r="G48" i="19"/>
  <c r="G30" i="19"/>
  <c r="G50" i="19"/>
  <c r="G49" i="19"/>
  <c r="G50" i="21"/>
  <c r="G35" i="20"/>
  <c r="G38" i="19"/>
  <c r="G31" i="19"/>
  <c r="G44" i="19"/>
  <c r="G36" i="21"/>
  <c r="G36" i="20"/>
  <c r="G51" i="20"/>
  <c r="G46" i="19"/>
  <c r="G37" i="21"/>
  <c r="G48" i="21"/>
  <c r="G49" i="20"/>
  <c r="G48" i="20"/>
  <c r="G33" i="19"/>
  <c r="G36" i="19"/>
  <c r="G30" i="21"/>
  <c r="G35" i="21"/>
  <c r="G45" i="21"/>
  <c r="G50" i="20"/>
  <c r="G31" i="20"/>
  <c r="G46" i="21"/>
  <c r="G38" i="20"/>
  <c r="H35" i="19"/>
  <c r="H45" i="21"/>
  <c r="H51" i="20"/>
  <c r="H37" i="19"/>
  <c r="H44" i="19"/>
  <c r="H51" i="21"/>
  <c r="H45" i="20"/>
  <c r="H32" i="20"/>
  <c r="H33" i="19"/>
  <c r="H46" i="19"/>
  <c r="H48" i="19"/>
  <c r="H36" i="21"/>
  <c r="H31" i="21"/>
  <c r="H33" i="20"/>
  <c r="H38" i="20"/>
  <c r="H32" i="19"/>
  <c r="H30" i="21"/>
  <c r="H35" i="21"/>
  <c r="H50" i="21"/>
  <c r="H50" i="20"/>
  <c r="H49" i="21"/>
  <c r="H51" i="19"/>
  <c r="H38" i="19"/>
  <c r="H37" i="21"/>
  <c r="H33" i="21"/>
  <c r="H38" i="21"/>
  <c r="H35" i="20"/>
  <c r="H36" i="20"/>
  <c r="H44" i="20"/>
  <c r="H49" i="19"/>
  <c r="H31" i="19"/>
  <c r="H46" i="21"/>
  <c r="H44" i="21"/>
  <c r="H30" i="20"/>
  <c r="H48" i="20"/>
  <c r="H46" i="20"/>
  <c r="H36" i="19"/>
  <c r="H50" i="19"/>
  <c r="H45" i="19"/>
  <c r="H48" i="21"/>
  <c r="H31" i="20"/>
  <c r="H37" i="20"/>
  <c r="H49" i="20"/>
  <c r="H30" i="19"/>
  <c r="H32" i="21"/>
  <c r="I48" i="19"/>
  <c r="I38" i="21"/>
  <c r="I31" i="21"/>
  <c r="I36" i="20"/>
  <c r="I48" i="20"/>
  <c r="I49" i="20"/>
  <c r="I35" i="19"/>
  <c r="I45" i="19"/>
  <c r="I49" i="19"/>
  <c r="I49" i="21"/>
  <c r="I48" i="21"/>
  <c r="I46" i="20"/>
  <c r="I30" i="20"/>
  <c r="I50" i="20"/>
  <c r="I30" i="19"/>
  <c r="I33" i="19"/>
  <c r="I46" i="21"/>
  <c r="I44" i="20"/>
  <c r="I32" i="19"/>
  <c r="I46" i="19"/>
  <c r="I32" i="21"/>
  <c r="I33" i="21"/>
  <c r="I38" i="20"/>
  <c r="I50" i="19"/>
  <c r="I51" i="19"/>
  <c r="I30" i="21"/>
  <c r="I37" i="21"/>
  <c r="I51" i="21"/>
  <c r="I37" i="20"/>
  <c r="I35" i="20"/>
  <c r="I45" i="20"/>
  <c r="I32" i="20"/>
  <c r="I38" i="19"/>
  <c r="I31" i="19"/>
  <c r="I44" i="19"/>
  <c r="I36" i="21"/>
  <c r="I35" i="21"/>
  <c r="I50" i="21"/>
  <c r="I33" i="20"/>
  <c r="I31" i="20"/>
  <c r="I51" i="20"/>
  <c r="I37" i="19"/>
  <c r="I36" i="19"/>
  <c r="I44" i="21"/>
  <c r="I45" i="21"/>
  <c r="I100" i="21" s="1"/>
  <c r="J30" i="19"/>
  <c r="J32" i="19"/>
  <c r="J36" i="19"/>
  <c r="J30" i="21"/>
  <c r="J38" i="21"/>
  <c r="J46" i="21"/>
  <c r="J37" i="20"/>
  <c r="J35" i="20"/>
  <c r="J36" i="20"/>
  <c r="J35" i="19"/>
  <c r="J31" i="19"/>
  <c r="J49" i="21"/>
  <c r="J31" i="21"/>
  <c r="J33" i="20"/>
  <c r="J35" i="21"/>
  <c r="J45" i="19"/>
  <c r="J33" i="19"/>
  <c r="J51" i="21"/>
  <c r="J37" i="21"/>
  <c r="J46" i="20"/>
  <c r="J38" i="20"/>
  <c r="J33" i="21"/>
  <c r="J46" i="19"/>
  <c r="J48" i="21"/>
  <c r="J45" i="21"/>
  <c r="J49" i="20"/>
  <c r="J31" i="20"/>
  <c r="J48" i="19"/>
  <c r="J38" i="19"/>
  <c r="J50" i="19"/>
  <c r="J44" i="21"/>
  <c r="J44" i="20"/>
  <c r="J51" i="19"/>
  <c r="J49" i="19"/>
  <c r="J44" i="19"/>
  <c r="J99" i="19" s="1"/>
  <c r="J32" i="21"/>
  <c r="J30" i="20"/>
  <c r="J32" i="20"/>
  <c r="J51" i="20"/>
  <c r="J50" i="20"/>
  <c r="J37" i="19"/>
  <c r="J50" i="21"/>
  <c r="J36" i="21"/>
  <c r="J48" i="20"/>
  <c r="J45" i="20"/>
  <c r="K37" i="19"/>
  <c r="K48" i="19"/>
  <c r="K44" i="19"/>
  <c r="K50" i="21"/>
  <c r="K36" i="21"/>
  <c r="K38" i="20"/>
  <c r="K45" i="20"/>
  <c r="K51" i="19"/>
  <c r="K33" i="21"/>
  <c r="K30" i="20"/>
  <c r="K36" i="20"/>
  <c r="K35" i="19"/>
  <c r="K49" i="19"/>
  <c r="K35" i="21"/>
  <c r="K31" i="20"/>
  <c r="K37" i="20"/>
  <c r="K51" i="20"/>
  <c r="K49" i="20"/>
  <c r="K50" i="19"/>
  <c r="K38" i="19"/>
  <c r="K45" i="21"/>
  <c r="K49" i="21"/>
  <c r="K50" i="20"/>
  <c r="K46" i="20"/>
  <c r="K30" i="19"/>
  <c r="K33" i="20"/>
  <c r="K45" i="19"/>
  <c r="K33" i="19"/>
  <c r="K37" i="21"/>
  <c r="K31" i="21"/>
  <c r="K44" i="20"/>
  <c r="K32" i="20"/>
  <c r="K36" i="19"/>
  <c r="K48" i="21"/>
  <c r="K31" i="19"/>
  <c r="K30" i="21"/>
  <c r="K46" i="21"/>
  <c r="K51" i="21"/>
  <c r="K48" i="20"/>
  <c r="K35" i="20"/>
  <c r="K32" i="19"/>
  <c r="K46" i="19"/>
  <c r="K32" i="21"/>
  <c r="K44" i="21"/>
  <c r="K38" i="21"/>
  <c r="L45" i="19"/>
  <c r="L37" i="19"/>
  <c r="L46" i="21"/>
  <c r="L51" i="20"/>
  <c r="L31" i="19"/>
  <c r="L50" i="19"/>
  <c r="L51" i="21"/>
  <c r="L38" i="21"/>
  <c r="L38" i="20"/>
  <c r="L37" i="20"/>
  <c r="L37" i="21"/>
  <c r="L32" i="19"/>
  <c r="L44" i="21"/>
  <c r="L36" i="21"/>
  <c r="L30" i="20"/>
  <c r="L49" i="20"/>
  <c r="L46" i="20"/>
  <c r="L49" i="19"/>
  <c r="L30" i="21"/>
  <c r="L49" i="21"/>
  <c r="L31" i="20"/>
  <c r="L44" i="20"/>
  <c r="L46" i="19"/>
  <c r="L36" i="19"/>
  <c r="L35" i="21"/>
  <c r="L50" i="21"/>
  <c r="L33" i="21"/>
  <c r="L33" i="20"/>
  <c r="L50" i="20"/>
  <c r="L32" i="20"/>
  <c r="L30" i="19"/>
  <c r="L35" i="20"/>
  <c r="L44" i="19"/>
  <c r="L51" i="19"/>
  <c r="L48" i="21"/>
  <c r="L31" i="21"/>
  <c r="L48" i="20"/>
  <c r="L36" i="20"/>
  <c r="L33" i="19"/>
  <c r="L48" i="19"/>
  <c r="L38" i="19"/>
  <c r="L35" i="19"/>
  <c r="L32" i="21"/>
  <c r="L45" i="21"/>
  <c r="L45" i="20"/>
  <c r="M44" i="19"/>
  <c r="M33" i="19"/>
  <c r="M35" i="21"/>
  <c r="M33" i="21"/>
  <c r="M30" i="20"/>
  <c r="M51" i="20"/>
  <c r="M46" i="21"/>
  <c r="M35" i="20"/>
  <c r="M31" i="19"/>
  <c r="M38" i="19"/>
  <c r="M46" i="19"/>
  <c r="M50" i="20"/>
  <c r="M36" i="19"/>
  <c r="M37" i="21"/>
  <c r="M38" i="21"/>
  <c r="M31" i="20"/>
  <c r="M48" i="20"/>
  <c r="M44" i="20"/>
  <c r="M32" i="19"/>
  <c r="M45" i="19"/>
  <c r="M30" i="21"/>
  <c r="M32" i="21"/>
  <c r="M45" i="21"/>
  <c r="M33" i="20"/>
  <c r="M45" i="20"/>
  <c r="M35" i="19"/>
  <c r="M49" i="19"/>
  <c r="M44" i="21"/>
  <c r="M50" i="21"/>
  <c r="M37" i="20"/>
  <c r="M51" i="19"/>
  <c r="M48" i="19"/>
  <c r="M51" i="21"/>
  <c r="M48" i="21"/>
  <c r="M46" i="20"/>
  <c r="M49" i="20"/>
  <c r="M50" i="19"/>
  <c r="M37" i="19"/>
  <c r="M36" i="21"/>
  <c r="M49" i="21"/>
  <c r="M38" i="20"/>
  <c r="M36" i="20"/>
  <c r="M30" i="19"/>
  <c r="M31" i="21"/>
  <c r="M32" i="20"/>
  <c r="N30" i="19"/>
  <c r="N49" i="19"/>
  <c r="N36" i="19"/>
  <c r="N51" i="21"/>
  <c r="N45" i="20"/>
  <c r="N49" i="20"/>
  <c r="N33" i="19"/>
  <c r="N46" i="19"/>
  <c r="N31" i="19"/>
  <c r="N38" i="21"/>
  <c r="N37" i="21"/>
  <c r="N46" i="20"/>
  <c r="N44" i="20"/>
  <c r="N48" i="19"/>
  <c r="N37" i="19"/>
  <c r="N36" i="21"/>
  <c r="N32" i="21"/>
  <c r="N31" i="20"/>
  <c r="N33" i="20"/>
  <c r="N45" i="21"/>
  <c r="N35" i="19"/>
  <c r="N32" i="19"/>
  <c r="N35" i="21"/>
  <c r="N46" i="21"/>
  <c r="N36" i="20"/>
  <c r="N48" i="20"/>
  <c r="N50" i="19"/>
  <c r="N38" i="19"/>
  <c r="N30" i="21"/>
  <c r="N44" i="21"/>
  <c r="N31" i="21"/>
  <c r="N30" i="20"/>
  <c r="N32" i="20"/>
  <c r="N51" i="20"/>
  <c r="N33" i="21"/>
  <c r="N37" i="20"/>
  <c r="N51" i="19"/>
  <c r="N38" i="20"/>
  <c r="N44" i="19"/>
  <c r="N45" i="19"/>
  <c r="N49" i="21"/>
  <c r="N50" i="21"/>
  <c r="N48" i="21"/>
  <c r="N35" i="20"/>
  <c r="N50" i="20"/>
  <c r="O45" i="19"/>
  <c r="O32" i="19"/>
  <c r="O38" i="21"/>
  <c r="O51" i="21"/>
  <c r="O30" i="20"/>
  <c r="O32" i="20"/>
  <c r="O51" i="20"/>
  <c r="O31" i="21"/>
  <c r="O48" i="20"/>
  <c r="O38" i="20"/>
  <c r="O51" i="19"/>
  <c r="O44" i="21"/>
  <c r="O44" i="19"/>
  <c r="O37" i="19"/>
  <c r="O30" i="21"/>
  <c r="O37" i="21"/>
  <c r="O49" i="21"/>
  <c r="O50" i="20"/>
  <c r="O49" i="20"/>
  <c r="O44" i="20"/>
  <c r="O38" i="19"/>
  <c r="O31" i="19"/>
  <c r="O35" i="21"/>
  <c r="O48" i="21"/>
  <c r="O46" i="20"/>
  <c r="O49" i="19"/>
  <c r="O46" i="19"/>
  <c r="O36" i="21"/>
  <c r="O32" i="21"/>
  <c r="O50" i="21"/>
  <c r="O33" i="20"/>
  <c r="O31" i="20"/>
  <c r="O37" i="20"/>
  <c r="O30" i="19"/>
  <c r="O33" i="19"/>
  <c r="O36" i="19"/>
  <c r="O45" i="21"/>
  <c r="O35" i="20"/>
  <c r="O45" i="20"/>
  <c r="O46" i="21"/>
  <c r="O48" i="19"/>
  <c r="O35" i="19"/>
  <c r="O50" i="19"/>
  <c r="O33" i="21"/>
  <c r="O36" i="20"/>
  <c r="C43" i="21"/>
  <c r="P36" i="19"/>
  <c r="P45" i="19"/>
  <c r="P46" i="21"/>
  <c r="P45" i="21"/>
  <c r="P31" i="20"/>
  <c r="B43" i="20"/>
  <c r="P50" i="19"/>
  <c r="P30" i="21"/>
  <c r="P35" i="21"/>
  <c r="P31" i="21"/>
  <c r="P38" i="20"/>
  <c r="P44" i="20"/>
  <c r="P48" i="20"/>
  <c r="P45" i="20"/>
  <c r="P35" i="19"/>
  <c r="P38" i="19"/>
  <c r="P50" i="21"/>
  <c r="P48" i="21"/>
  <c r="P44" i="21"/>
  <c r="P49" i="20"/>
  <c r="P33" i="20"/>
  <c r="P33" i="19"/>
  <c r="B43" i="21"/>
  <c r="P37" i="19"/>
  <c r="P31" i="19"/>
  <c r="P38" i="21"/>
  <c r="P37" i="20"/>
  <c r="P46" i="19"/>
  <c r="P44" i="19"/>
  <c r="P49" i="21"/>
  <c r="P51" i="21"/>
  <c r="P46" i="20"/>
  <c r="P32" i="20"/>
  <c r="C43" i="19"/>
  <c r="C43" i="20"/>
  <c r="P32" i="19"/>
  <c r="P48" i="19"/>
  <c r="P37" i="21"/>
  <c r="P33" i="21"/>
  <c r="P35" i="20"/>
  <c r="P36" i="20"/>
  <c r="P50" i="20"/>
  <c r="B43" i="19"/>
  <c r="P30" i="19"/>
  <c r="P51" i="19"/>
  <c r="P36" i="21"/>
  <c r="P30" i="20"/>
  <c r="P51" i="20"/>
  <c r="P49" i="19"/>
  <c r="P32" i="21"/>
  <c r="Q36" i="19"/>
  <c r="Q50" i="21"/>
  <c r="Q35" i="21"/>
  <c r="Q45" i="20"/>
  <c r="Q31" i="20"/>
  <c r="Q38" i="20"/>
  <c r="Q31" i="21"/>
  <c r="D43" i="20"/>
  <c r="Q44" i="19"/>
  <c r="Q36" i="21"/>
  <c r="Q32" i="21"/>
  <c r="Q37" i="20"/>
  <c r="Q51" i="20"/>
  <c r="Q46" i="20"/>
  <c r="Q37" i="21"/>
  <c r="Q50" i="19"/>
  <c r="Q38" i="19"/>
  <c r="Q44" i="21"/>
  <c r="Q32" i="20"/>
  <c r="Q50" i="20"/>
  <c r="Q105" i="20" s="1"/>
  <c r="Q30" i="20"/>
  <c r="D43" i="21"/>
  <c r="Q48" i="19"/>
  <c r="Q49" i="19"/>
  <c r="Q38" i="21"/>
  <c r="Q45" i="21"/>
  <c r="Q36" i="20"/>
  <c r="Q46" i="19"/>
  <c r="Q32" i="19"/>
  <c r="Q51" i="19"/>
  <c r="Q33" i="19"/>
  <c r="Q48" i="21"/>
  <c r="Q51" i="21"/>
  <c r="Q106" i="21" s="1"/>
  <c r="Q46" i="21"/>
  <c r="D43" i="19"/>
  <c r="Q45" i="19"/>
  <c r="Q33" i="20"/>
  <c r="Q49" i="20"/>
  <c r="Q44" i="20"/>
  <c r="Q37" i="19"/>
  <c r="Q30" i="19"/>
  <c r="Q35" i="19"/>
  <c r="Q31" i="19"/>
  <c r="Q30" i="21"/>
  <c r="Q49" i="21"/>
  <c r="Q33" i="21"/>
  <c r="Q48" i="20"/>
  <c r="Q35" i="20"/>
  <c r="R32" i="19"/>
  <c r="R45" i="21"/>
  <c r="R37" i="21"/>
  <c r="R36" i="20"/>
  <c r="R35" i="20"/>
  <c r="R48" i="20"/>
  <c r="R49" i="19"/>
  <c r="R38" i="21"/>
  <c r="R36" i="19"/>
  <c r="R51" i="19"/>
  <c r="R50" i="21"/>
  <c r="R105" i="21" s="1"/>
  <c r="R37" i="20"/>
  <c r="R44" i="20"/>
  <c r="R45" i="20"/>
  <c r="R45" i="19"/>
  <c r="R33" i="19"/>
  <c r="R48" i="21"/>
  <c r="R36" i="21"/>
  <c r="R51" i="20"/>
  <c r="R30" i="19"/>
  <c r="R48" i="19"/>
  <c r="R35" i="19"/>
  <c r="R46" i="21"/>
  <c r="R49" i="21"/>
  <c r="R33" i="20"/>
  <c r="R44" i="19"/>
  <c r="R31" i="19"/>
  <c r="R30" i="21"/>
  <c r="R51" i="21"/>
  <c r="R33" i="21"/>
  <c r="R30" i="20"/>
  <c r="R38" i="20"/>
  <c r="R46" i="19"/>
  <c r="R38" i="19"/>
  <c r="R32" i="21"/>
  <c r="R31" i="21"/>
  <c r="R49" i="20"/>
  <c r="R46" i="20"/>
  <c r="R50" i="20"/>
  <c r="R31" i="20"/>
  <c r="R50" i="19"/>
  <c r="R37" i="19"/>
  <c r="R35" i="21"/>
  <c r="R32" i="20"/>
  <c r="R44" i="21"/>
  <c r="S33" i="19"/>
  <c r="S37" i="21"/>
  <c r="S38" i="20"/>
  <c r="S49" i="20"/>
  <c r="S32" i="20"/>
  <c r="S50" i="19"/>
  <c r="S44" i="21"/>
  <c r="S48" i="20"/>
  <c r="S32" i="19"/>
  <c r="S36" i="19"/>
  <c r="S51" i="21"/>
  <c r="S45" i="20"/>
  <c r="S51" i="20"/>
  <c r="S44" i="20"/>
  <c r="S51" i="19"/>
  <c r="S31" i="21"/>
  <c r="S45" i="21"/>
  <c r="S30" i="20"/>
  <c r="S36" i="20"/>
  <c r="S44" i="19"/>
  <c r="S35" i="21"/>
  <c r="S35" i="19"/>
  <c r="S45" i="19"/>
  <c r="S46" i="19"/>
  <c r="S32" i="21"/>
  <c r="S46" i="21"/>
  <c r="S31" i="20"/>
  <c r="S30" i="19"/>
  <c r="S30" i="21"/>
  <c r="S31" i="19"/>
  <c r="S38" i="19"/>
  <c r="S38" i="21"/>
  <c r="S50" i="21"/>
  <c r="S36" i="21"/>
  <c r="S50" i="20"/>
  <c r="S37" i="20"/>
  <c r="S49" i="19"/>
  <c r="S37" i="19"/>
  <c r="S48" i="19"/>
  <c r="S49" i="21"/>
  <c r="S48" i="21"/>
  <c r="S35" i="20"/>
  <c r="S33" i="20"/>
  <c r="S33" i="21"/>
  <c r="S46" i="20"/>
  <c r="T37" i="19"/>
  <c r="T45" i="19"/>
  <c r="T33" i="21"/>
  <c r="T37" i="21"/>
  <c r="T46" i="20"/>
  <c r="T37" i="20"/>
  <c r="T48" i="19"/>
  <c r="T50" i="19"/>
  <c r="T30" i="21"/>
  <c r="T48" i="21"/>
  <c r="T45" i="21"/>
  <c r="T44" i="20"/>
  <c r="T31" i="20"/>
  <c r="T36" i="19"/>
  <c r="T48" i="20"/>
  <c r="T32" i="19"/>
  <c r="T49" i="21"/>
  <c r="T38" i="21"/>
  <c r="T33" i="20"/>
  <c r="T50" i="20"/>
  <c r="T30" i="19"/>
  <c r="T50" i="21"/>
  <c r="T31" i="19"/>
  <c r="T38" i="19"/>
  <c r="T31" i="21"/>
  <c r="T36" i="20"/>
  <c r="T49" i="20"/>
  <c r="T49" i="19"/>
  <c r="T35" i="19"/>
  <c r="T46" i="21"/>
  <c r="T51" i="21"/>
  <c r="T35" i="20"/>
  <c r="T44" i="19"/>
  <c r="T44" i="21"/>
  <c r="T38" i="20"/>
  <c r="T33" i="19"/>
  <c r="T46" i="19"/>
  <c r="T32" i="21"/>
  <c r="T35" i="21"/>
  <c r="T30" i="20"/>
  <c r="T32" i="20"/>
  <c r="T45" i="20"/>
  <c r="T51" i="19"/>
  <c r="T36" i="21"/>
  <c r="T51" i="20"/>
  <c r="U35" i="19"/>
  <c r="U32" i="21"/>
  <c r="U31" i="20"/>
  <c r="U33" i="21"/>
  <c r="U30" i="20"/>
  <c r="U46" i="19"/>
  <c r="U48" i="19"/>
  <c r="U30" i="21"/>
  <c r="U31" i="21"/>
  <c r="U38" i="21"/>
  <c r="U48" i="20"/>
  <c r="U45" i="20"/>
  <c r="U50" i="20"/>
  <c r="U31" i="19"/>
  <c r="U50" i="19"/>
  <c r="U35" i="21"/>
  <c r="U48" i="21"/>
  <c r="U33" i="20"/>
  <c r="U51" i="20"/>
  <c r="U30" i="19"/>
  <c r="U44" i="19"/>
  <c r="U51" i="19"/>
  <c r="U45" i="21"/>
  <c r="U49" i="21"/>
  <c r="U37" i="20"/>
  <c r="U49" i="20"/>
  <c r="U38" i="19"/>
  <c r="U51" i="21"/>
  <c r="U46" i="20"/>
  <c r="U33" i="19"/>
  <c r="U45" i="19"/>
  <c r="U36" i="19"/>
  <c r="U37" i="19"/>
  <c r="U50" i="21"/>
  <c r="U38" i="20"/>
  <c r="U36" i="20"/>
  <c r="U36" i="21"/>
  <c r="U49" i="19"/>
  <c r="U32" i="19"/>
  <c r="U44" i="21"/>
  <c r="U37" i="21"/>
  <c r="U44" i="20"/>
  <c r="U32" i="20"/>
  <c r="U35" i="20"/>
  <c r="U46" i="21"/>
  <c r="V49" i="19"/>
  <c r="V51" i="21"/>
  <c r="V46" i="21"/>
  <c r="V44" i="20"/>
  <c r="V45" i="20"/>
  <c r="V48" i="19"/>
  <c r="V45" i="21"/>
  <c r="V48" i="20"/>
  <c r="V50" i="19"/>
  <c r="V46" i="19"/>
  <c r="V37" i="21"/>
  <c r="V30" i="20"/>
  <c r="V36" i="20"/>
  <c r="V33" i="20"/>
  <c r="V32" i="19"/>
  <c r="V36" i="19"/>
  <c r="V33" i="21"/>
  <c r="V50" i="21"/>
  <c r="V32" i="20"/>
  <c r="V50" i="20"/>
  <c r="V37" i="19"/>
  <c r="V38" i="19"/>
  <c r="V30" i="21"/>
  <c r="V49" i="21"/>
  <c r="V32" i="21"/>
  <c r="V38" i="20"/>
  <c r="V49" i="20"/>
  <c r="V37" i="20"/>
  <c r="V35" i="19"/>
  <c r="V38" i="21"/>
  <c r="V35" i="21"/>
  <c r="V31" i="21"/>
  <c r="V51" i="20"/>
  <c r="V46" i="20"/>
  <c r="V31" i="19"/>
  <c r="V36" i="21"/>
  <c r="V30" i="19"/>
  <c r="V44" i="19"/>
  <c r="V45" i="19"/>
  <c r="V48" i="21"/>
  <c r="V44" i="21"/>
  <c r="V35" i="20"/>
  <c r="V33" i="19"/>
  <c r="V51" i="19"/>
  <c r="V31" i="20"/>
  <c r="W48" i="19"/>
  <c r="W32" i="19"/>
  <c r="W45" i="21"/>
  <c r="W36" i="20"/>
  <c r="W51" i="19"/>
  <c r="W30" i="21"/>
  <c r="W37" i="21"/>
  <c r="W31" i="21"/>
  <c r="W48" i="20"/>
  <c r="W45" i="19"/>
  <c r="W36" i="19"/>
  <c r="W46" i="21"/>
  <c r="W44" i="21"/>
  <c r="W51" i="20"/>
  <c r="W32" i="20"/>
  <c r="W50" i="21"/>
  <c r="W35" i="21"/>
  <c r="W51" i="21"/>
  <c r="W50" i="20"/>
  <c r="W49" i="20"/>
  <c r="W30" i="19"/>
  <c r="W35" i="19"/>
  <c r="W37" i="19"/>
  <c r="W32" i="21"/>
  <c r="W30" i="20"/>
  <c r="W31" i="20"/>
  <c r="W50" i="19"/>
  <c r="W44" i="19"/>
  <c r="W31" i="19"/>
  <c r="W36" i="21"/>
  <c r="W48" i="21"/>
  <c r="W33" i="20"/>
  <c r="W37" i="20"/>
  <c r="W38" i="19"/>
  <c r="W49" i="21"/>
  <c r="W35" i="20"/>
  <c r="W46" i="19"/>
  <c r="W49" i="19"/>
  <c r="W33" i="21"/>
  <c r="W38" i="20"/>
  <c r="W46" i="20"/>
  <c r="W44" i="20"/>
  <c r="W33" i="19"/>
  <c r="W38" i="21"/>
  <c r="W45" i="20"/>
  <c r="X32" i="21"/>
  <c r="X30" i="20"/>
  <c r="X33" i="20"/>
  <c r="X49" i="20"/>
  <c r="X38" i="19"/>
  <c r="X50" i="21"/>
  <c r="X51" i="20"/>
  <c r="X33" i="19"/>
  <c r="X51" i="19"/>
  <c r="X31" i="21"/>
  <c r="X35" i="21"/>
  <c r="X48" i="20"/>
  <c r="X37" i="19"/>
  <c r="X45" i="19"/>
  <c r="X49" i="19"/>
  <c r="X49" i="21"/>
  <c r="X45" i="21"/>
  <c r="X100" i="21" s="1"/>
  <c r="X37" i="20"/>
  <c r="X35" i="20"/>
  <c r="X36" i="20"/>
  <c r="X35" i="19"/>
  <c r="X33" i="21"/>
  <c r="X50" i="19"/>
  <c r="X46" i="21"/>
  <c r="X31" i="20"/>
  <c r="X32" i="20"/>
  <c r="X30" i="19"/>
  <c r="X36" i="19"/>
  <c r="X31" i="19"/>
  <c r="X30" i="21"/>
  <c r="X36" i="21"/>
  <c r="X48" i="21"/>
  <c r="X50" i="20"/>
  <c r="X45" i="20"/>
  <c r="X100" i="20" s="1"/>
  <c r="X48" i="19"/>
  <c r="X44" i="19"/>
  <c r="X46" i="19"/>
  <c r="X44" i="21"/>
  <c r="X37" i="21"/>
  <c r="X51" i="21"/>
  <c r="X46" i="20"/>
  <c r="X44" i="20"/>
  <c r="X32" i="19"/>
  <c r="X38" i="21"/>
  <c r="X38" i="20"/>
  <c r="Y46" i="19"/>
  <c r="Y48" i="21"/>
  <c r="Y46" i="20"/>
  <c r="Y49" i="20"/>
  <c r="Y31" i="19"/>
  <c r="Y30" i="20"/>
  <c r="Y35" i="19"/>
  <c r="Y38" i="19"/>
  <c r="Y31" i="21"/>
  <c r="Y37" i="20"/>
  <c r="Y45" i="20"/>
  <c r="Y38" i="20"/>
  <c r="Y49" i="19"/>
  <c r="Y51" i="21"/>
  <c r="Y37" i="21"/>
  <c r="Y36" i="20"/>
  <c r="Y38" i="21"/>
  <c r="Y50" i="19"/>
  <c r="Y33" i="19"/>
  <c r="Y33" i="21"/>
  <c r="Y35" i="21"/>
  <c r="Y50" i="20"/>
  <c r="Y32" i="20"/>
  <c r="Y37" i="19"/>
  <c r="Y48" i="19"/>
  <c r="Y44" i="19"/>
  <c r="Y36" i="21"/>
  <c r="Y32" i="21"/>
  <c r="Y51" i="20"/>
  <c r="Y44" i="21"/>
  <c r="Y32" i="19"/>
  <c r="Y51" i="19"/>
  <c r="Y106" i="19" s="1"/>
  <c r="Y49" i="21"/>
  <c r="Y33" i="20"/>
  <c r="Y35" i="20"/>
  <c r="Y48" i="20"/>
  <c r="Y46" i="21"/>
  <c r="Y30" i="19"/>
  <c r="Y36" i="19"/>
  <c r="Y30" i="21"/>
  <c r="Y50" i="21"/>
  <c r="Y45" i="21"/>
  <c r="Y31" i="20"/>
  <c r="Y45" i="19"/>
  <c r="Y44" i="20"/>
  <c r="Z32" i="20"/>
  <c r="Z36" i="20"/>
  <c r="Z45" i="20"/>
  <c r="Z33" i="20"/>
  <c r="Z31" i="21"/>
  <c r="Z33" i="21"/>
  <c r="Z38" i="21"/>
  <c r="Z32" i="19"/>
  <c r="Z44" i="19"/>
  <c r="AB28" i="19"/>
  <c r="AA30" i="19"/>
  <c r="AA46" i="19"/>
  <c r="AA44" i="19"/>
  <c r="AA35" i="19"/>
  <c r="AA37" i="19"/>
  <c r="AA32" i="19"/>
  <c r="AA51" i="19"/>
  <c r="AA31" i="19"/>
  <c r="AA33" i="19"/>
  <c r="AA38" i="19"/>
  <c r="AA45" i="19"/>
  <c r="AA50" i="19"/>
  <c r="AA48" i="19"/>
  <c r="AA36" i="19"/>
  <c r="AA49" i="19"/>
  <c r="AB28" i="21"/>
  <c r="AA30" i="21"/>
  <c r="AA31" i="21"/>
  <c r="AA46" i="21"/>
  <c r="AA38" i="21"/>
  <c r="AA48" i="21"/>
  <c r="AA33" i="21"/>
  <c r="AA44" i="21"/>
  <c r="AA32" i="21"/>
  <c r="AA49" i="21"/>
  <c r="AA51" i="21"/>
  <c r="AA36" i="21"/>
  <c r="AA37" i="21"/>
  <c r="AA50" i="21"/>
  <c r="AA45" i="21"/>
  <c r="AA35" i="21"/>
  <c r="AB28" i="20"/>
  <c r="AA30" i="20"/>
  <c r="AA45" i="20"/>
  <c r="AA46" i="20"/>
  <c r="AA49" i="20"/>
  <c r="AA31" i="20"/>
  <c r="AA35" i="20"/>
  <c r="AA50" i="20"/>
  <c r="AA44" i="20"/>
  <c r="AA38" i="20"/>
  <c r="AA36" i="20"/>
  <c r="AA37" i="20"/>
  <c r="AA51" i="20"/>
  <c r="AA32" i="20"/>
  <c r="AA33" i="20"/>
  <c r="AA48" i="20"/>
  <c r="A17" i="37"/>
  <c r="A3" i="37"/>
  <c r="A16" i="37"/>
  <c r="A2" i="37"/>
  <c r="A9" i="37"/>
  <c r="A8" i="37"/>
  <c r="A7" i="37"/>
  <c r="A6" i="37"/>
  <c r="A5" i="37"/>
  <c r="A18" i="37"/>
  <c r="A4" i="37"/>
  <c r="B18" i="43"/>
  <c r="B16" i="43"/>
  <c r="B17" i="43"/>
  <c r="AF51" i="17"/>
  <c r="X51" i="17"/>
  <c r="P51" i="17"/>
  <c r="H51" i="17"/>
  <c r="AI50" i="17"/>
  <c r="AA50" i="17"/>
  <c r="S50" i="17"/>
  <c r="K50" i="17"/>
  <c r="C50" i="17"/>
  <c r="AD49" i="17"/>
  <c r="V49" i="17"/>
  <c r="N49" i="17"/>
  <c r="F49" i="17"/>
  <c r="AG48" i="17"/>
  <c r="Y48" i="17"/>
  <c r="Q48" i="17"/>
  <c r="I48" i="17"/>
  <c r="AB46" i="17"/>
  <c r="T46" i="17"/>
  <c r="L46" i="17"/>
  <c r="D46" i="17"/>
  <c r="AE45" i="17"/>
  <c r="W45" i="17"/>
  <c r="O45" i="17"/>
  <c r="G45" i="17"/>
  <c r="AH44" i="17"/>
  <c r="Z44" i="17"/>
  <c r="R44" i="17"/>
  <c r="J44" i="17"/>
  <c r="B44" i="17"/>
  <c r="AC31" i="17"/>
  <c r="U31" i="17"/>
  <c r="M31" i="17"/>
  <c r="E31" i="17"/>
  <c r="AF30" i="17"/>
  <c r="X30" i="17"/>
  <c r="P30" i="17"/>
  <c r="H30" i="17"/>
  <c r="C43" i="17"/>
  <c r="AE30" i="17"/>
  <c r="G30" i="17"/>
  <c r="X49" i="17"/>
  <c r="N46" i="17"/>
  <c r="I45" i="17"/>
  <c r="Z30" i="17"/>
  <c r="AG51" i="17"/>
  <c r="T50" i="17"/>
  <c r="D50" i="17"/>
  <c r="AH48" i="17"/>
  <c r="U46" i="17"/>
  <c r="P45" i="17"/>
  <c r="K44" i="17"/>
  <c r="F31" i="17"/>
  <c r="AE51" i="17"/>
  <c r="W51" i="17"/>
  <c r="O51" i="17"/>
  <c r="G51" i="17"/>
  <c r="AH50" i="17"/>
  <c r="Z50" i="17"/>
  <c r="R50" i="17"/>
  <c r="J50" i="17"/>
  <c r="B50" i="17"/>
  <c r="AC49" i="17"/>
  <c r="U49" i="17"/>
  <c r="M49" i="17"/>
  <c r="E49" i="17"/>
  <c r="AF48" i="17"/>
  <c r="X48" i="17"/>
  <c r="P48" i="17"/>
  <c r="H48" i="17"/>
  <c r="AI46" i="17"/>
  <c r="AA46" i="17"/>
  <c r="S46" i="17"/>
  <c r="K46" i="17"/>
  <c r="C46" i="17"/>
  <c r="AD45" i="17"/>
  <c r="V45" i="17"/>
  <c r="N45" i="17"/>
  <c r="F45" i="17"/>
  <c r="AG44" i="17"/>
  <c r="Y44" i="17"/>
  <c r="Q44" i="17"/>
  <c r="I44" i="17"/>
  <c r="AB31" i="17"/>
  <c r="T31" i="17"/>
  <c r="L31" i="17"/>
  <c r="D31" i="17"/>
  <c r="W30" i="17"/>
  <c r="O30" i="17"/>
  <c r="P49" i="17"/>
  <c r="R30" i="17"/>
  <c r="Z48" i="17"/>
  <c r="H45" i="17"/>
  <c r="N31" i="17"/>
  <c r="AD51" i="17"/>
  <c r="V51" i="17"/>
  <c r="N51" i="17"/>
  <c r="F51" i="17"/>
  <c r="AG50" i="17"/>
  <c r="Y50" i="17"/>
  <c r="Q50" i="17"/>
  <c r="I50" i="17"/>
  <c r="AB49" i="17"/>
  <c r="T49" i="17"/>
  <c r="L49" i="17"/>
  <c r="D49" i="17"/>
  <c r="AE48" i="17"/>
  <c r="W48" i="17"/>
  <c r="O48" i="17"/>
  <c r="G48" i="17"/>
  <c r="AH46" i="17"/>
  <c r="Z46" i="17"/>
  <c r="R46" i="17"/>
  <c r="J46" i="17"/>
  <c r="B46" i="17"/>
  <c r="AC45" i="17"/>
  <c r="U45" i="17"/>
  <c r="M45" i="17"/>
  <c r="E45" i="17"/>
  <c r="AF44" i="17"/>
  <c r="X44" i="17"/>
  <c r="P44" i="17"/>
  <c r="H44" i="17"/>
  <c r="AI31" i="17"/>
  <c r="AA31" i="17"/>
  <c r="S31" i="17"/>
  <c r="K31" i="17"/>
  <c r="C31" i="17"/>
  <c r="AD30" i="17"/>
  <c r="V30" i="17"/>
  <c r="N30" i="17"/>
  <c r="F30" i="17"/>
  <c r="D30" i="17"/>
  <c r="Z51" i="17"/>
  <c r="AA48" i="17"/>
  <c r="F46" i="17"/>
  <c r="Q45" i="17"/>
  <c r="D44" i="17"/>
  <c r="O31" i="17"/>
  <c r="Y51" i="17"/>
  <c r="L50" i="17"/>
  <c r="AE49" i="17"/>
  <c r="G49" i="17"/>
  <c r="B48" i="17"/>
  <c r="M46" i="17"/>
  <c r="X45" i="17"/>
  <c r="AI44" i="17"/>
  <c r="AG30" i="17"/>
  <c r="Q30" i="17"/>
  <c r="D43" i="17"/>
  <c r="B43" i="17"/>
  <c r="AC51" i="17"/>
  <c r="U51" i="17"/>
  <c r="M51" i="17"/>
  <c r="E51" i="17"/>
  <c r="AF50" i="17"/>
  <c r="X50" i="17"/>
  <c r="P50" i="17"/>
  <c r="H50" i="17"/>
  <c r="AI49" i="17"/>
  <c r="AA49" i="17"/>
  <c r="S49" i="17"/>
  <c r="K49" i="17"/>
  <c r="C49" i="17"/>
  <c r="AD48" i="17"/>
  <c r="V48" i="17"/>
  <c r="N48" i="17"/>
  <c r="F48" i="17"/>
  <c r="AG46" i="17"/>
  <c r="Y46" i="17"/>
  <c r="Q46" i="17"/>
  <c r="I46" i="17"/>
  <c r="AB45" i="17"/>
  <c r="T45" i="17"/>
  <c r="L45" i="17"/>
  <c r="D45" i="17"/>
  <c r="AE44" i="17"/>
  <c r="W44" i="17"/>
  <c r="O44" i="17"/>
  <c r="G44" i="17"/>
  <c r="AH31" i="17"/>
  <c r="Z31" i="17"/>
  <c r="R31" i="17"/>
  <c r="J31" i="17"/>
  <c r="B31" i="17"/>
  <c r="B58" i="17" s="1"/>
  <c r="AC30" i="17"/>
  <c r="U30" i="17"/>
  <c r="M30" i="17"/>
  <c r="E30" i="17"/>
  <c r="L30" i="17"/>
  <c r="R51" i="17"/>
  <c r="E50" i="17"/>
  <c r="H49" i="17"/>
  <c r="S48" i="17"/>
  <c r="C48" i="17"/>
  <c r="AG45" i="17"/>
  <c r="AB44" i="17"/>
  <c r="W31" i="17"/>
  <c r="AH30" i="17"/>
  <c r="Q51" i="17"/>
  <c r="W49" i="17"/>
  <c r="J48" i="17"/>
  <c r="AF45" i="17"/>
  <c r="AA44" i="17"/>
  <c r="V31" i="17"/>
  <c r="I30" i="17"/>
  <c r="AB51" i="17"/>
  <c r="T51" i="17"/>
  <c r="L51" i="17"/>
  <c r="D51" i="17"/>
  <c r="AE50" i="17"/>
  <c r="W50" i="17"/>
  <c r="O50" i="17"/>
  <c r="G50" i="17"/>
  <c r="AH49" i="17"/>
  <c r="Z49" i="17"/>
  <c r="R49" i="17"/>
  <c r="J49" i="17"/>
  <c r="B49" i="17"/>
  <c r="AC48" i="17"/>
  <c r="U48" i="17"/>
  <c r="M48" i="17"/>
  <c r="E48" i="17"/>
  <c r="AF46" i="17"/>
  <c r="X46" i="17"/>
  <c r="P46" i="17"/>
  <c r="H46" i="17"/>
  <c r="AI45" i="17"/>
  <c r="AA45" i="17"/>
  <c r="S45" i="17"/>
  <c r="K45" i="17"/>
  <c r="C45" i="17"/>
  <c r="AD44" i="17"/>
  <c r="V44" i="17"/>
  <c r="N44" i="17"/>
  <c r="F44" i="17"/>
  <c r="AG31" i="17"/>
  <c r="Y31" i="17"/>
  <c r="Q31" i="17"/>
  <c r="I31" i="17"/>
  <c r="AB30" i="17"/>
  <c r="T30" i="17"/>
  <c r="J51" i="17"/>
  <c r="V46" i="17"/>
  <c r="L44" i="17"/>
  <c r="B30" i="17"/>
  <c r="B57" i="17" s="1"/>
  <c r="AB50" i="17"/>
  <c r="AC46" i="17"/>
  <c r="C44" i="17"/>
  <c r="AI51" i="17"/>
  <c r="AA51" i="17"/>
  <c r="S51" i="17"/>
  <c r="K51" i="17"/>
  <c r="C51" i="17"/>
  <c r="AD50" i="17"/>
  <c r="V50" i="17"/>
  <c r="N50" i="17"/>
  <c r="F50" i="17"/>
  <c r="AG49" i="17"/>
  <c r="Y49" i="17"/>
  <c r="Q49" i="17"/>
  <c r="I49" i="17"/>
  <c r="AB48" i="17"/>
  <c r="T48" i="17"/>
  <c r="L48" i="17"/>
  <c r="D48" i="17"/>
  <c r="AE46" i="17"/>
  <c r="W46" i="17"/>
  <c r="O46" i="17"/>
  <c r="G46" i="17"/>
  <c r="AH45" i="17"/>
  <c r="Z45" i="17"/>
  <c r="R45" i="17"/>
  <c r="J45" i="17"/>
  <c r="B45" i="17"/>
  <c r="AC44" i="17"/>
  <c r="U44" i="17"/>
  <c r="M44" i="17"/>
  <c r="E44" i="17"/>
  <c r="AF31" i="17"/>
  <c r="X31" i="17"/>
  <c r="P31" i="17"/>
  <c r="H31" i="17"/>
  <c r="AI30" i="17"/>
  <c r="AA30" i="17"/>
  <c r="S30" i="17"/>
  <c r="K30" i="17"/>
  <c r="C30" i="17"/>
  <c r="AH51" i="17"/>
  <c r="B51" i="17"/>
  <c r="AC50" i="17"/>
  <c r="U50" i="17"/>
  <c r="M50" i="17"/>
  <c r="AF49" i="17"/>
  <c r="AI48" i="17"/>
  <c r="K48" i="17"/>
  <c r="AD46" i="17"/>
  <c r="Y45" i="17"/>
  <c r="T44" i="17"/>
  <c r="AE31" i="17"/>
  <c r="G31" i="17"/>
  <c r="J30" i="17"/>
  <c r="I51" i="17"/>
  <c r="O49" i="17"/>
  <c r="R48" i="17"/>
  <c r="E46" i="17"/>
  <c r="S44" i="17"/>
  <c r="AD31" i="17"/>
  <c r="Y30" i="17"/>
  <c r="C32" i="17"/>
  <c r="Q35" i="17"/>
  <c r="AF38" i="17"/>
  <c r="R35" i="17"/>
  <c r="L37" i="17"/>
  <c r="S32" i="17"/>
  <c r="F36" i="17"/>
  <c r="V32" i="17"/>
  <c r="P36" i="17"/>
  <c r="J38" i="17"/>
  <c r="T32" i="17"/>
  <c r="AI38" i="17"/>
  <c r="R36" i="17"/>
  <c r="L38" i="17"/>
  <c r="AH33" i="17"/>
  <c r="V35" i="17"/>
  <c r="P37" i="17"/>
  <c r="M36" i="17"/>
  <c r="AD37" i="17"/>
  <c r="AH32" i="17"/>
  <c r="AB36" i="17"/>
  <c r="V38" i="17"/>
  <c r="S38" i="17"/>
  <c r="AD38" i="17"/>
  <c r="L35" i="17"/>
  <c r="D32" i="17"/>
  <c r="I37" i="17"/>
  <c r="G32" i="17"/>
  <c r="W35" i="17"/>
  <c r="AE38" i="17"/>
  <c r="F38" i="17"/>
  <c r="AG38" i="17"/>
  <c r="AI33" i="17"/>
  <c r="AI32" i="17"/>
  <c r="AG35" i="17"/>
  <c r="Z35" i="17"/>
  <c r="T37" i="17"/>
  <c r="H35" i="17"/>
  <c r="V36" i="17"/>
  <c r="AD32" i="17"/>
  <c r="X36" i="17"/>
  <c r="R38" i="17"/>
  <c r="O32" i="17"/>
  <c r="H32" i="17"/>
  <c r="Z36" i="17"/>
  <c r="T38" i="17"/>
  <c r="W32" i="17"/>
  <c r="X32" i="17"/>
  <c r="AD35" i="17"/>
  <c r="X37" i="17"/>
  <c r="W38" i="17"/>
  <c r="G35" i="17"/>
  <c r="I32" i="17"/>
  <c r="AF37" i="17"/>
  <c r="O35" i="17"/>
  <c r="E38" i="17"/>
  <c r="Q37" i="17"/>
  <c r="I36" i="17"/>
  <c r="AB32" i="17"/>
  <c r="J36" i="17"/>
  <c r="Z32" i="17"/>
  <c r="X35" i="17"/>
  <c r="N36" i="17"/>
  <c r="E32" i="17"/>
  <c r="AH35" i="17"/>
  <c r="AB37" i="17"/>
  <c r="U36" i="17"/>
  <c r="K37" i="17"/>
  <c r="C35" i="17"/>
  <c r="AF36" i="17"/>
  <c r="Z38" i="17"/>
  <c r="D35" i="17"/>
  <c r="AF32" i="17"/>
  <c r="AH36" i="17"/>
  <c r="AB38" i="17"/>
  <c r="C36" i="17"/>
  <c r="P32" i="17"/>
  <c r="K36" i="17"/>
  <c r="AI36" i="17"/>
  <c r="D37" i="17"/>
  <c r="AH37" i="17"/>
  <c r="AA32" i="17"/>
  <c r="E36" i="17"/>
  <c r="AD36" i="17"/>
  <c r="M32" i="17"/>
  <c r="G36" i="17"/>
  <c r="R37" i="17"/>
  <c r="AA37" i="17"/>
  <c r="K35" i="17"/>
  <c r="E37" i="17"/>
  <c r="AH38" i="17"/>
  <c r="AB35" i="17"/>
  <c r="E35" i="17"/>
  <c r="G37" i="17"/>
  <c r="Q32" i="17"/>
  <c r="M35" i="17"/>
  <c r="R32" i="17"/>
  <c r="Y35" i="17"/>
  <c r="AA38" i="17"/>
  <c r="AC36" i="17"/>
  <c r="C37" i="17"/>
  <c r="U32" i="17"/>
  <c r="O36" i="17"/>
  <c r="I38" i="17"/>
  <c r="O38" i="17"/>
  <c r="H38" i="17"/>
  <c r="S35" i="17"/>
  <c r="M37" i="17"/>
  <c r="K32" i="17"/>
  <c r="Q36" i="17"/>
  <c r="U35" i="17"/>
  <c r="O37" i="17"/>
  <c r="P35" i="17"/>
  <c r="Y36" i="17"/>
  <c r="Y32" i="17"/>
  <c r="S36" i="17"/>
  <c r="M38" i="17"/>
  <c r="AE32" i="17"/>
  <c r="B32" i="17"/>
  <c r="B59" i="17" s="1"/>
  <c r="AE35" i="17"/>
  <c r="Y37" i="17"/>
  <c r="AG37" i="17"/>
  <c r="G38" i="17"/>
  <c r="B35" i="17"/>
  <c r="B62" i="17" s="1"/>
  <c r="Y38" i="17"/>
  <c r="F32" i="17"/>
  <c r="AI35" i="17"/>
  <c r="J37" i="17"/>
  <c r="B36" i="17"/>
  <c r="B63" i="17" s="1"/>
  <c r="AC38" i="17"/>
  <c r="J35" i="17"/>
  <c r="B38" i="17"/>
  <c r="B65" i="17" s="1"/>
  <c r="N35" i="17"/>
  <c r="AG36" i="17"/>
  <c r="Z37" i="17"/>
  <c r="S37" i="17"/>
  <c r="AC32" i="17"/>
  <c r="W36" i="17"/>
  <c r="Q38" i="17"/>
  <c r="L32" i="17"/>
  <c r="X38" i="17"/>
  <c r="AA35" i="17"/>
  <c r="U37" i="17"/>
  <c r="AF35" i="17"/>
  <c r="F37" i="17"/>
  <c r="AC35" i="17"/>
  <c r="W37" i="17"/>
  <c r="B37" i="17"/>
  <c r="B64" i="17" s="1"/>
  <c r="N37" i="17"/>
  <c r="AG32" i="17"/>
  <c r="AA36" i="17"/>
  <c r="U38" i="17"/>
  <c r="T35" i="17"/>
  <c r="J32" i="17"/>
  <c r="D36" i="17"/>
  <c r="AI37" i="17"/>
  <c r="I35" i="17"/>
  <c r="AC37" i="17"/>
  <c r="V37" i="17"/>
  <c r="AE37" i="17"/>
  <c r="F35" i="17"/>
  <c r="L36" i="17"/>
  <c r="P38" i="17"/>
  <c r="H36" i="17"/>
  <c r="D38" i="17"/>
  <c r="T36" i="17"/>
  <c r="AE36" i="17"/>
  <c r="C38" i="17"/>
  <c r="N32" i="17"/>
  <c r="K38" i="17"/>
  <c r="H37" i="17"/>
  <c r="N38" i="17"/>
  <c r="S33" i="17"/>
  <c r="Z33" i="17"/>
  <c r="B33" i="17"/>
  <c r="B60" i="17" s="1"/>
  <c r="AE33" i="17"/>
  <c r="X33" i="17"/>
  <c r="AC33" i="17"/>
  <c r="J33" i="17"/>
  <c r="V33" i="17"/>
  <c r="Q33" i="17"/>
  <c r="G33" i="17"/>
  <c r="U33" i="17"/>
  <c r="R33" i="17"/>
  <c r="D33" i="17"/>
  <c r="C33" i="17"/>
  <c r="H33" i="17"/>
  <c r="M33" i="17"/>
  <c r="N33" i="17"/>
  <c r="Y33" i="17"/>
  <c r="O33" i="17"/>
  <c r="K33" i="17"/>
  <c r="AB33" i="17"/>
  <c r="L33" i="17"/>
  <c r="P33" i="17"/>
  <c r="T33" i="17"/>
  <c r="F33" i="17"/>
  <c r="I33" i="17"/>
  <c r="AG33" i="17"/>
  <c r="E33" i="17"/>
  <c r="W33" i="17"/>
  <c r="AD33" i="17"/>
  <c r="AF33" i="17"/>
  <c r="AA33" i="17"/>
  <c r="L28" i="17"/>
  <c r="B16" i="40"/>
  <c r="B18" i="37"/>
  <c r="B17" i="36"/>
  <c r="B16" i="38"/>
  <c r="B18" i="39"/>
  <c r="B17" i="37"/>
  <c r="B16" i="36"/>
  <c r="B18" i="40"/>
  <c r="B17" i="39"/>
  <c r="B16" i="37"/>
  <c r="B18" i="38"/>
  <c r="B17" i="40"/>
  <c r="B16" i="39"/>
  <c r="B18" i="36"/>
  <c r="B17" i="38"/>
  <c r="C62" i="17" l="1"/>
  <c r="F106" i="48"/>
  <c r="D106" i="19"/>
  <c r="E104" i="19"/>
  <c r="H103" i="20"/>
  <c r="D113" i="47"/>
  <c r="D98" i="48"/>
  <c r="O100" i="21"/>
  <c r="H99" i="48"/>
  <c r="C98" i="48"/>
  <c r="C106" i="21"/>
  <c r="Z106" i="19"/>
  <c r="Z99" i="19"/>
  <c r="Z105" i="19"/>
  <c r="Z106" i="21"/>
  <c r="C65" i="20"/>
  <c r="D65" i="20" s="1"/>
  <c r="E65" i="20" s="1"/>
  <c r="F65" i="20" s="1"/>
  <c r="G65" i="20" s="1"/>
  <c r="H65" i="20" s="1"/>
  <c r="I65" i="20" s="1"/>
  <c r="J65" i="20" s="1"/>
  <c r="K65" i="20" s="1"/>
  <c r="L65" i="20" s="1"/>
  <c r="M65" i="20" s="1"/>
  <c r="N65" i="20" s="1"/>
  <c r="O65" i="20" s="1"/>
  <c r="P65" i="20" s="1"/>
  <c r="Q65" i="20" s="1"/>
  <c r="R65" i="20" s="1"/>
  <c r="S65" i="20" s="1"/>
  <c r="T65" i="20" s="1"/>
  <c r="U65" i="20" s="1"/>
  <c r="V65" i="20" s="1"/>
  <c r="W65" i="20" s="1"/>
  <c r="X65" i="20" s="1"/>
  <c r="Y65" i="20" s="1"/>
  <c r="Z65" i="20" s="1"/>
  <c r="AA65" i="20" s="1"/>
  <c r="C103" i="21"/>
  <c r="AH104" i="48"/>
  <c r="L104" i="48"/>
  <c r="J101" i="48"/>
  <c r="U105" i="48"/>
  <c r="J103" i="48"/>
  <c r="G100" i="48"/>
  <c r="Z103" i="20"/>
  <c r="AG105" i="48"/>
  <c r="AE106" i="48"/>
  <c r="AB101" i="48"/>
  <c r="Z100" i="48"/>
  <c r="V101" i="48"/>
  <c r="AF100" i="48"/>
  <c r="X104" i="48"/>
  <c r="O101" i="48"/>
  <c r="M100" i="48"/>
  <c r="I100" i="48"/>
  <c r="Z104" i="48"/>
  <c r="D111" i="12"/>
  <c r="Y103" i="48"/>
  <c r="V100" i="48"/>
  <c r="N101" i="48"/>
  <c r="C60" i="21"/>
  <c r="D60" i="21" s="1"/>
  <c r="E60" i="21" s="1"/>
  <c r="F60" i="21" s="1"/>
  <c r="G60" i="21" s="1"/>
  <c r="H60" i="21" s="1"/>
  <c r="I60" i="21" s="1"/>
  <c r="J60" i="21" s="1"/>
  <c r="K60" i="21" s="1"/>
  <c r="L60" i="21" s="1"/>
  <c r="M60" i="21" s="1"/>
  <c r="N60" i="21" s="1"/>
  <c r="O60" i="21" s="1"/>
  <c r="P60" i="21" s="1"/>
  <c r="Q60" i="21" s="1"/>
  <c r="R60" i="21" s="1"/>
  <c r="S60" i="21" s="1"/>
  <c r="T60" i="21" s="1"/>
  <c r="U60" i="21" s="1"/>
  <c r="V60" i="21" s="1"/>
  <c r="W60" i="21" s="1"/>
  <c r="X60" i="21" s="1"/>
  <c r="Y60" i="21" s="1"/>
  <c r="Z60" i="21" s="1"/>
  <c r="AA60" i="21" s="1"/>
  <c r="U99" i="48"/>
  <c r="R100" i="48"/>
  <c r="C59" i="20"/>
  <c r="D59" i="20" s="1"/>
  <c r="E59" i="20" s="1"/>
  <c r="F59" i="20" s="1"/>
  <c r="G59" i="20" s="1"/>
  <c r="H59" i="20" s="1"/>
  <c r="I59" i="20" s="1"/>
  <c r="J59" i="20" s="1"/>
  <c r="K59" i="20" s="1"/>
  <c r="L59" i="20" s="1"/>
  <c r="M59" i="20" s="1"/>
  <c r="N59" i="20" s="1"/>
  <c r="O59" i="20" s="1"/>
  <c r="P59" i="20" s="1"/>
  <c r="Q59" i="20" s="1"/>
  <c r="R59" i="20" s="1"/>
  <c r="S59" i="20" s="1"/>
  <c r="T59" i="20" s="1"/>
  <c r="U59" i="20" s="1"/>
  <c r="V59" i="20" s="1"/>
  <c r="W59" i="20" s="1"/>
  <c r="X59" i="20" s="1"/>
  <c r="Y59" i="20" s="1"/>
  <c r="Z59" i="20" s="1"/>
  <c r="AA59" i="20" s="1"/>
  <c r="E104" i="21"/>
  <c r="K99" i="48"/>
  <c r="AD105" i="48"/>
  <c r="U104" i="48"/>
  <c r="P99" i="48"/>
  <c r="J100" i="48"/>
  <c r="D100" i="20"/>
  <c r="AI106" i="48"/>
  <c r="T99" i="48"/>
  <c r="N100" i="48"/>
  <c r="K105" i="48"/>
  <c r="AI103" i="48"/>
  <c r="AD104" i="48"/>
  <c r="AB106" i="48"/>
  <c r="X106" i="48"/>
  <c r="O100" i="48"/>
  <c r="C100" i="48"/>
  <c r="G103" i="48"/>
  <c r="C106" i="48"/>
  <c r="P103" i="48"/>
  <c r="T106" i="20"/>
  <c r="K105" i="19"/>
  <c r="F106" i="20"/>
  <c r="AF101" i="48"/>
  <c r="N104" i="48"/>
  <c r="F101" i="48"/>
  <c r="L99" i="19"/>
  <c r="Z100" i="20"/>
  <c r="X101" i="19"/>
  <c r="T99" i="19"/>
  <c r="P106" i="19"/>
  <c r="N100" i="19"/>
  <c r="N101" i="21"/>
  <c r="L104" i="19"/>
  <c r="H105" i="19"/>
  <c r="G104" i="20"/>
  <c r="C65" i="19"/>
  <c r="D65" i="19" s="1"/>
  <c r="E65" i="19" s="1"/>
  <c r="F65" i="19" s="1"/>
  <c r="G65" i="19" s="1"/>
  <c r="H65" i="19" s="1"/>
  <c r="I65" i="19" s="1"/>
  <c r="J65" i="19" s="1"/>
  <c r="K65" i="19" s="1"/>
  <c r="L65" i="19" s="1"/>
  <c r="M65" i="19" s="1"/>
  <c r="N65" i="19" s="1"/>
  <c r="O65" i="19" s="1"/>
  <c r="P65" i="19" s="1"/>
  <c r="Q65" i="19" s="1"/>
  <c r="R65" i="19" s="1"/>
  <c r="S65" i="19" s="1"/>
  <c r="T65" i="19" s="1"/>
  <c r="U65" i="19" s="1"/>
  <c r="V65" i="19" s="1"/>
  <c r="W65" i="19" s="1"/>
  <c r="X65" i="19" s="1"/>
  <c r="Y65" i="19" s="1"/>
  <c r="Z65" i="19" s="1"/>
  <c r="AA65" i="19" s="1"/>
  <c r="Z105" i="21"/>
  <c r="Z105" i="20"/>
  <c r="AD103" i="48"/>
  <c r="AD99" i="48"/>
  <c r="AB99" i="48"/>
  <c r="W103" i="48"/>
  <c r="G101" i="48"/>
  <c r="C63" i="48"/>
  <c r="D63" i="48" s="1"/>
  <c r="E63" i="48" s="1"/>
  <c r="F63" i="48" s="1"/>
  <c r="G63" i="48" s="1"/>
  <c r="H63" i="48" s="1"/>
  <c r="I63" i="48" s="1"/>
  <c r="J63" i="48" s="1"/>
  <c r="K63" i="48" s="1"/>
  <c r="L63" i="48" s="1"/>
  <c r="M63" i="48" s="1"/>
  <c r="N63" i="48" s="1"/>
  <c r="O63" i="48" s="1"/>
  <c r="P63" i="48" s="1"/>
  <c r="Q63" i="48" s="1"/>
  <c r="R63" i="48" s="1"/>
  <c r="S63" i="48" s="1"/>
  <c r="T63" i="48" s="1"/>
  <c r="U63" i="48" s="1"/>
  <c r="V63" i="48" s="1"/>
  <c r="W63" i="48" s="1"/>
  <c r="X63" i="48" s="1"/>
  <c r="Y63" i="48" s="1"/>
  <c r="Z63" i="48" s="1"/>
  <c r="AA63" i="48" s="1"/>
  <c r="AB63" i="48" s="1"/>
  <c r="AC63" i="48" s="1"/>
  <c r="AD63" i="48" s="1"/>
  <c r="AE63" i="48" s="1"/>
  <c r="AF63" i="48" s="1"/>
  <c r="AG63" i="48" s="1"/>
  <c r="AH63" i="48" s="1"/>
  <c r="AI63" i="48" s="1"/>
  <c r="D99" i="48"/>
  <c r="C57" i="48"/>
  <c r="D57" i="48" s="1"/>
  <c r="E57" i="48" s="1"/>
  <c r="F57" i="48" s="1"/>
  <c r="G57" i="48" s="1"/>
  <c r="H57" i="48" s="1"/>
  <c r="I57" i="48" s="1"/>
  <c r="J57" i="48" s="1"/>
  <c r="K57" i="48" s="1"/>
  <c r="L57" i="48" s="1"/>
  <c r="M57" i="48" s="1"/>
  <c r="N57" i="48" s="1"/>
  <c r="O57" i="48" s="1"/>
  <c r="P57" i="48" s="1"/>
  <c r="Q57" i="48" s="1"/>
  <c r="R57" i="48" s="1"/>
  <c r="S57" i="48" s="1"/>
  <c r="T57" i="48" s="1"/>
  <c r="U57" i="48" s="1"/>
  <c r="V57" i="48" s="1"/>
  <c r="W57" i="48" s="1"/>
  <c r="X57" i="48" s="1"/>
  <c r="Y57" i="48" s="1"/>
  <c r="Z57" i="48" s="1"/>
  <c r="AA57" i="48" s="1"/>
  <c r="AB57" i="48" s="1"/>
  <c r="AC57" i="48" s="1"/>
  <c r="AD57" i="48" s="1"/>
  <c r="AE57" i="48" s="1"/>
  <c r="AF57" i="48" s="1"/>
  <c r="AG57" i="48" s="1"/>
  <c r="AH57" i="48" s="1"/>
  <c r="AI57" i="48" s="1"/>
  <c r="C101" i="48"/>
  <c r="C60" i="48"/>
  <c r="D60" i="48" s="1"/>
  <c r="E60" i="48" s="1"/>
  <c r="F60" i="48" s="1"/>
  <c r="G60" i="48" s="1"/>
  <c r="H60" i="48" s="1"/>
  <c r="I60" i="48" s="1"/>
  <c r="J60" i="48" s="1"/>
  <c r="K60" i="48" s="1"/>
  <c r="L60" i="48" s="1"/>
  <c r="M60" i="48" s="1"/>
  <c r="N60" i="48" s="1"/>
  <c r="O60" i="48" s="1"/>
  <c r="P60" i="48" s="1"/>
  <c r="Q60" i="48" s="1"/>
  <c r="R60" i="48" s="1"/>
  <c r="S60" i="48" s="1"/>
  <c r="T60" i="48" s="1"/>
  <c r="U60" i="48" s="1"/>
  <c r="V60" i="48" s="1"/>
  <c r="W60" i="48" s="1"/>
  <c r="X60" i="48" s="1"/>
  <c r="Y60" i="48" s="1"/>
  <c r="Z60" i="48" s="1"/>
  <c r="AA60" i="48" s="1"/>
  <c r="AB60" i="48" s="1"/>
  <c r="AC60" i="48" s="1"/>
  <c r="AD60" i="48" s="1"/>
  <c r="AE60" i="48" s="1"/>
  <c r="AF60" i="48" s="1"/>
  <c r="AG60" i="48" s="1"/>
  <c r="AH60" i="48" s="1"/>
  <c r="AI60" i="48" s="1"/>
  <c r="E99" i="48"/>
  <c r="Y103" i="20"/>
  <c r="X105" i="20"/>
  <c r="U99" i="21"/>
  <c r="I104" i="48"/>
  <c r="AG103" i="48"/>
  <c r="AC104" i="48"/>
  <c r="V103" i="48"/>
  <c r="K106" i="48"/>
  <c r="F103" i="48"/>
  <c r="S101" i="19"/>
  <c r="E101" i="48"/>
  <c r="C58" i="19"/>
  <c r="D58" i="19" s="1"/>
  <c r="E58" i="19" s="1"/>
  <c r="F58" i="19" s="1"/>
  <c r="G58" i="19" s="1"/>
  <c r="H58" i="19" s="1"/>
  <c r="I58" i="19" s="1"/>
  <c r="J58" i="19" s="1"/>
  <c r="K58" i="19" s="1"/>
  <c r="L58" i="19" s="1"/>
  <c r="M58" i="19" s="1"/>
  <c r="N58" i="19" s="1"/>
  <c r="O58" i="19" s="1"/>
  <c r="P58" i="19" s="1"/>
  <c r="Q58" i="19" s="1"/>
  <c r="R58" i="19" s="1"/>
  <c r="S58" i="19" s="1"/>
  <c r="T58" i="19" s="1"/>
  <c r="U58" i="19" s="1"/>
  <c r="V58" i="19" s="1"/>
  <c r="W58" i="19" s="1"/>
  <c r="X58" i="19" s="1"/>
  <c r="Y58" i="19" s="1"/>
  <c r="Z58" i="19" s="1"/>
  <c r="AA58" i="19" s="1"/>
  <c r="C58" i="20"/>
  <c r="H104" i="21"/>
  <c r="F103" i="19"/>
  <c r="D104" i="21"/>
  <c r="Z104" i="19"/>
  <c r="AF99" i="48"/>
  <c r="AB104" i="48"/>
  <c r="V99" i="48"/>
  <c r="S99" i="48"/>
  <c r="M106" i="48"/>
  <c r="I99" i="48"/>
  <c r="C104" i="48"/>
  <c r="H104" i="20"/>
  <c r="J99" i="48"/>
  <c r="H105" i="48"/>
  <c r="C64" i="48"/>
  <c r="D64" i="48" s="1"/>
  <c r="E64" i="48" s="1"/>
  <c r="F64" i="48" s="1"/>
  <c r="G64" i="48" s="1"/>
  <c r="H64" i="48" s="1"/>
  <c r="I64" i="48" s="1"/>
  <c r="J64" i="48" s="1"/>
  <c r="K64" i="48" s="1"/>
  <c r="L64" i="48" s="1"/>
  <c r="M64" i="48" s="1"/>
  <c r="N64" i="48" s="1"/>
  <c r="O64" i="48" s="1"/>
  <c r="P64" i="48" s="1"/>
  <c r="Q64" i="48" s="1"/>
  <c r="R64" i="48" s="1"/>
  <c r="S64" i="48" s="1"/>
  <c r="T64" i="48" s="1"/>
  <c r="U64" i="48" s="1"/>
  <c r="V64" i="48" s="1"/>
  <c r="W64" i="48" s="1"/>
  <c r="X64" i="48" s="1"/>
  <c r="Y64" i="48" s="1"/>
  <c r="Z64" i="48" s="1"/>
  <c r="AA64" i="48" s="1"/>
  <c r="AB64" i="48" s="1"/>
  <c r="AC64" i="48" s="1"/>
  <c r="AD64" i="48" s="1"/>
  <c r="AE64" i="48" s="1"/>
  <c r="AF64" i="48" s="1"/>
  <c r="AG64" i="48" s="1"/>
  <c r="AH64" i="48" s="1"/>
  <c r="AI64" i="48" s="1"/>
  <c r="K99" i="20"/>
  <c r="C65" i="21"/>
  <c r="D65" i="21" s="1"/>
  <c r="E65" i="21" s="1"/>
  <c r="F65" i="21" s="1"/>
  <c r="G65" i="21" s="1"/>
  <c r="H65" i="21" s="1"/>
  <c r="I65" i="21" s="1"/>
  <c r="J65" i="21" s="1"/>
  <c r="K65" i="21" s="1"/>
  <c r="L65" i="21" s="1"/>
  <c r="M65" i="21" s="1"/>
  <c r="N65" i="21" s="1"/>
  <c r="O65" i="21" s="1"/>
  <c r="P65" i="21" s="1"/>
  <c r="Q65" i="21" s="1"/>
  <c r="R65" i="21" s="1"/>
  <c r="S65" i="21" s="1"/>
  <c r="T65" i="21" s="1"/>
  <c r="U65" i="21" s="1"/>
  <c r="V65" i="21" s="1"/>
  <c r="W65" i="21" s="1"/>
  <c r="X65" i="21" s="1"/>
  <c r="Y65" i="21" s="1"/>
  <c r="Z65" i="21" s="1"/>
  <c r="AA65" i="21" s="1"/>
  <c r="AB105" i="48"/>
  <c r="T106" i="48"/>
  <c r="P101" i="48"/>
  <c r="E103" i="48"/>
  <c r="Z105" i="48"/>
  <c r="W100" i="48"/>
  <c r="Q103" i="48"/>
  <c r="AH105" i="48"/>
  <c r="AH99" i="48"/>
  <c r="AC99" i="48"/>
  <c r="Y101" i="48"/>
  <c r="Q101" i="48"/>
  <c r="G103" i="20"/>
  <c r="C124" i="13"/>
  <c r="D124" i="13" s="1"/>
  <c r="Z103" i="19"/>
  <c r="Y100" i="19"/>
  <c r="S100" i="19"/>
  <c r="G103" i="19"/>
  <c r="G100" i="19"/>
  <c r="AA106" i="48"/>
  <c r="L101" i="48"/>
  <c r="AC100" i="48"/>
  <c r="AI101" i="48"/>
  <c r="AB100" i="48"/>
  <c r="V106" i="48"/>
  <c r="U101" i="48"/>
  <c r="R104" i="48"/>
  <c r="Q100" i="48"/>
  <c r="P105" i="48"/>
  <c r="N106" i="48"/>
  <c r="I106" i="48"/>
  <c r="AA103" i="48"/>
  <c r="AF105" i="48"/>
  <c r="AC101" i="48"/>
  <c r="AA100" i="48"/>
  <c r="O105" i="48"/>
  <c r="M105" i="48"/>
  <c r="K103" i="48"/>
  <c r="C7" i="12"/>
  <c r="D7" i="12" s="1"/>
  <c r="C7" i="47"/>
  <c r="D7" i="47" s="1"/>
  <c r="C28" i="12"/>
  <c r="B28" i="12" s="1"/>
  <c r="D28" i="12" s="1"/>
  <c r="C28" i="47"/>
  <c r="B28" i="47" s="1"/>
  <c r="D28" i="47" s="1"/>
  <c r="C44" i="12"/>
  <c r="B44" i="12" s="1"/>
  <c r="D44" i="12" s="1"/>
  <c r="C44" i="47"/>
  <c r="B44" i="47" s="1"/>
  <c r="D44" i="47" s="1"/>
  <c r="C59" i="47"/>
  <c r="B59" i="47"/>
  <c r="C10" i="12"/>
  <c r="D10" i="12" s="1"/>
  <c r="C10" i="47"/>
  <c r="C32" i="12"/>
  <c r="B32" i="12" s="1"/>
  <c r="D32" i="12" s="1"/>
  <c r="C32" i="47"/>
  <c r="B32" i="47" s="1"/>
  <c r="D32" i="47" s="1"/>
  <c r="C36" i="12"/>
  <c r="B36" i="12" s="1"/>
  <c r="D36" i="12" s="1"/>
  <c r="C36" i="47"/>
  <c r="B36" i="47" s="1"/>
  <c r="D36" i="47" s="1"/>
  <c r="C25" i="12"/>
  <c r="D25" i="12" s="1"/>
  <c r="C25" i="47"/>
  <c r="D25" i="47" s="1"/>
  <c r="C39" i="12"/>
  <c r="B39" i="12" s="1"/>
  <c r="D39" i="12" s="1"/>
  <c r="C39" i="47"/>
  <c r="B39" i="47" s="1"/>
  <c r="D39" i="47" s="1"/>
  <c r="C65" i="47"/>
  <c r="B65" i="47"/>
  <c r="X100" i="48"/>
  <c r="U103" i="48"/>
  <c r="S103" i="48"/>
  <c r="R103" i="48"/>
  <c r="Q99" i="48"/>
  <c r="O99" i="48"/>
  <c r="M103" i="48"/>
  <c r="D100" i="48"/>
  <c r="D111" i="47"/>
  <c r="D18" i="15"/>
  <c r="C19" i="12"/>
  <c r="D19" i="12" s="1"/>
  <c r="C19" i="47"/>
  <c r="D19" i="47" s="1"/>
  <c r="C41" i="12"/>
  <c r="B41" i="12" s="1"/>
  <c r="D41" i="12" s="1"/>
  <c r="C41" i="47"/>
  <c r="B41" i="47" s="1"/>
  <c r="D41" i="47" s="1"/>
  <c r="C56" i="47"/>
  <c r="B56" i="47"/>
  <c r="C60" i="47"/>
  <c r="B60" i="47"/>
  <c r="C11" i="12"/>
  <c r="D11" i="12" s="1"/>
  <c r="C11" i="47"/>
  <c r="D11" i="47" s="1"/>
  <c r="C33" i="12"/>
  <c r="B33" i="12" s="1"/>
  <c r="D33" i="12" s="1"/>
  <c r="C33" i="47"/>
  <c r="B33" i="47" s="1"/>
  <c r="D33" i="47" s="1"/>
  <c r="C37" i="12"/>
  <c r="B37" i="12" s="1"/>
  <c r="D37" i="12" s="1"/>
  <c r="C37" i="47"/>
  <c r="B37" i="47" s="1"/>
  <c r="D37" i="47" s="1"/>
  <c r="C52" i="47"/>
  <c r="B52" i="47"/>
  <c r="C3" i="12"/>
  <c r="D3" i="12" s="1"/>
  <c r="C3" i="47"/>
  <c r="D3" i="47" s="1"/>
  <c r="C43" i="12"/>
  <c r="B43" i="12" s="1"/>
  <c r="D43" i="12" s="1"/>
  <c r="C43" i="47"/>
  <c r="B43" i="47" s="1"/>
  <c r="D43" i="47" s="1"/>
  <c r="C62" i="20"/>
  <c r="D62" i="20" s="1"/>
  <c r="E62" i="20" s="1"/>
  <c r="F62" i="20" s="1"/>
  <c r="G62" i="20" s="1"/>
  <c r="H62" i="20" s="1"/>
  <c r="I62" i="20" s="1"/>
  <c r="J62" i="20" s="1"/>
  <c r="K62" i="20" s="1"/>
  <c r="L62" i="20" s="1"/>
  <c r="M62" i="20" s="1"/>
  <c r="N62" i="20" s="1"/>
  <c r="O62" i="20" s="1"/>
  <c r="P62" i="20" s="1"/>
  <c r="Q62" i="20" s="1"/>
  <c r="R62" i="20" s="1"/>
  <c r="S62" i="20" s="1"/>
  <c r="T62" i="20" s="1"/>
  <c r="U62" i="20" s="1"/>
  <c r="V62" i="20" s="1"/>
  <c r="W62" i="20" s="1"/>
  <c r="X62" i="20" s="1"/>
  <c r="Y62" i="20" s="1"/>
  <c r="Z62" i="20" s="1"/>
  <c r="AA62" i="20" s="1"/>
  <c r="D117" i="12"/>
  <c r="B98" i="48"/>
  <c r="B70" i="48"/>
  <c r="AI100" i="48"/>
  <c r="AG99" i="48"/>
  <c r="AG104" i="48"/>
  <c r="AF106" i="48"/>
  <c r="AE99" i="48"/>
  <c r="AE103" i="48"/>
  <c r="AA101" i="48"/>
  <c r="Z99" i="48"/>
  <c r="Y106" i="48"/>
  <c r="X99" i="48"/>
  <c r="W99" i="48"/>
  <c r="U100" i="48"/>
  <c r="U106" i="48"/>
  <c r="T101" i="48"/>
  <c r="P100" i="48"/>
  <c r="P106" i="48"/>
  <c r="O104" i="48"/>
  <c r="N99" i="48"/>
  <c r="L100" i="48"/>
  <c r="I103" i="48"/>
  <c r="H104" i="48"/>
  <c r="G106" i="48"/>
  <c r="F104" i="48"/>
  <c r="D101" i="48"/>
  <c r="B103" i="48"/>
  <c r="B75" i="48"/>
  <c r="C99" i="48"/>
  <c r="E104" i="48"/>
  <c r="D117" i="47"/>
  <c r="C14" i="12"/>
  <c r="D14" i="12" s="1"/>
  <c r="C14" i="47"/>
  <c r="D14" i="47" s="1"/>
  <c r="C16" i="12"/>
  <c r="D16" i="12" s="1"/>
  <c r="C16" i="47"/>
  <c r="D16" i="47" s="1"/>
  <c r="C30" i="12"/>
  <c r="B30" i="12" s="1"/>
  <c r="D30" i="12" s="1"/>
  <c r="C30" i="47"/>
  <c r="B30" i="47" s="1"/>
  <c r="D30" i="47" s="1"/>
  <c r="C45" i="12"/>
  <c r="B45" i="12" s="1"/>
  <c r="D45" i="12" s="1"/>
  <c r="C45" i="47"/>
  <c r="B45" i="47" s="1"/>
  <c r="D45" i="47" s="1"/>
  <c r="C8" i="12"/>
  <c r="D8" i="12" s="1"/>
  <c r="C8" i="47"/>
  <c r="D8" i="47" s="1"/>
  <c r="C23" i="12"/>
  <c r="D23" i="12" s="1"/>
  <c r="C23" i="47"/>
  <c r="D23" i="47" s="1"/>
  <c r="C26" i="12"/>
  <c r="B26" i="12" s="1"/>
  <c r="C26" i="47"/>
  <c r="C18" i="12"/>
  <c r="D18" i="12" s="1"/>
  <c r="C18" i="47"/>
  <c r="AE104" i="48"/>
  <c r="AD106" i="48"/>
  <c r="AC103" i="48"/>
  <c r="AA104" i="48"/>
  <c r="Y105" i="48"/>
  <c r="X101" i="48"/>
  <c r="W106" i="48"/>
  <c r="V104" i="48"/>
  <c r="Q104" i="48"/>
  <c r="N103" i="48"/>
  <c r="B105" i="48"/>
  <c r="B77" i="48"/>
  <c r="C58" i="48"/>
  <c r="D58" i="48" s="1"/>
  <c r="E58" i="48" s="1"/>
  <c r="F58" i="48" s="1"/>
  <c r="G58" i="48" s="1"/>
  <c r="H58" i="48" s="1"/>
  <c r="I58" i="48" s="1"/>
  <c r="J58" i="48" s="1"/>
  <c r="K58" i="48" s="1"/>
  <c r="L58" i="48" s="1"/>
  <c r="M58" i="48" s="1"/>
  <c r="N58" i="48" s="1"/>
  <c r="O58" i="48" s="1"/>
  <c r="P58" i="48" s="1"/>
  <c r="Q58" i="48" s="1"/>
  <c r="R58" i="48" s="1"/>
  <c r="S58" i="48" s="1"/>
  <c r="T58" i="48" s="1"/>
  <c r="U58" i="48" s="1"/>
  <c r="V58" i="48" s="1"/>
  <c r="W58" i="48" s="1"/>
  <c r="X58" i="48" s="1"/>
  <c r="Y58" i="48" s="1"/>
  <c r="Z58" i="48" s="1"/>
  <c r="AA58" i="48" s="1"/>
  <c r="AB58" i="48" s="1"/>
  <c r="AC58" i="48" s="1"/>
  <c r="AD58" i="48" s="1"/>
  <c r="AE58" i="48" s="1"/>
  <c r="AF58" i="48" s="1"/>
  <c r="AG58" i="48" s="1"/>
  <c r="AH58" i="48" s="1"/>
  <c r="AI58" i="48" s="1"/>
  <c r="E105" i="48"/>
  <c r="D115" i="47"/>
  <c r="D19" i="15"/>
  <c r="E16" i="15"/>
  <c r="C124" i="47"/>
  <c r="C22" i="12"/>
  <c r="D22" i="12" s="1"/>
  <c r="C22" i="47"/>
  <c r="D22" i="47" s="1"/>
  <c r="C54" i="47"/>
  <c r="B54" i="47"/>
  <c r="C5" i="12"/>
  <c r="D5" i="12" s="1"/>
  <c r="C5" i="47"/>
  <c r="D5" i="47" s="1"/>
  <c r="C20" i="12"/>
  <c r="D20" i="12" s="1"/>
  <c r="C20" i="47"/>
  <c r="D20" i="47" s="1"/>
  <c r="C34" i="12"/>
  <c r="B34" i="12" s="1"/>
  <c r="D34" i="12" s="1"/>
  <c r="C34" i="47"/>
  <c r="C57" i="47"/>
  <c r="B57" i="47"/>
  <c r="C61" i="47"/>
  <c r="B61" i="47"/>
  <c r="C12" i="12"/>
  <c r="D12" i="12" s="1"/>
  <c r="C12" i="47"/>
  <c r="D12" i="47" s="1"/>
  <c r="C49" i="12"/>
  <c r="B49" i="12" s="1"/>
  <c r="D49" i="12" s="1"/>
  <c r="C49" i="47"/>
  <c r="B49" i="47" s="1"/>
  <c r="D49" i="47" s="1"/>
  <c r="C64" i="47"/>
  <c r="B64" i="47"/>
  <c r="C40" i="12"/>
  <c r="B40" i="12" s="1"/>
  <c r="D40" i="12" s="1"/>
  <c r="C40" i="47"/>
  <c r="B40" i="47" s="1"/>
  <c r="D40" i="47" s="1"/>
  <c r="AH103" i="48"/>
  <c r="AG100" i="48"/>
  <c r="AF104" i="48"/>
  <c r="AF103" i="48"/>
  <c r="AE100" i="48"/>
  <c r="Y100" i="48"/>
  <c r="X103" i="48"/>
  <c r="S105" i="48"/>
  <c r="R101" i="48"/>
  <c r="O103" i="48"/>
  <c r="M101" i="48"/>
  <c r="L105" i="48"/>
  <c r="K100" i="48"/>
  <c r="H101" i="48"/>
  <c r="G104" i="48"/>
  <c r="G99" i="48"/>
  <c r="F99" i="48"/>
  <c r="B104" i="48"/>
  <c r="B76" i="48"/>
  <c r="D103" i="48"/>
  <c r="D106" i="48"/>
  <c r="D108" i="47"/>
  <c r="E106" i="47" s="1"/>
  <c r="D16" i="15"/>
  <c r="B124" i="47"/>
  <c r="E18" i="15"/>
  <c r="C125" i="47"/>
  <c r="E22" i="15"/>
  <c r="C48" i="12"/>
  <c r="B48" i="12" s="1"/>
  <c r="D48" i="12" s="1"/>
  <c r="C48" i="47"/>
  <c r="B48" i="47" s="1"/>
  <c r="D48" i="47" s="1"/>
  <c r="B58" i="47"/>
  <c r="C58" i="47"/>
  <c r="C46" i="12"/>
  <c r="B46" i="12" s="1"/>
  <c r="D46" i="12" s="1"/>
  <c r="C46" i="47"/>
  <c r="B46" i="47" s="1"/>
  <c r="D46" i="47" s="1"/>
  <c r="C50" i="47"/>
  <c r="B50" i="47"/>
  <c r="C9" i="12"/>
  <c r="D9" i="12" s="1"/>
  <c r="C9" i="47"/>
  <c r="D9" i="47" s="1"/>
  <c r="C24" i="12"/>
  <c r="D24" i="12" s="1"/>
  <c r="C24" i="47"/>
  <c r="D24" i="47" s="1"/>
  <c r="C38" i="12"/>
  <c r="B38" i="12" s="1"/>
  <c r="D38" i="12" s="1"/>
  <c r="C38" i="47"/>
  <c r="B38" i="47" s="1"/>
  <c r="D38" i="47" s="1"/>
  <c r="C53" i="47"/>
  <c r="B53" i="47"/>
  <c r="C15" i="12"/>
  <c r="D15" i="12" s="1"/>
  <c r="C15" i="47"/>
  <c r="D15" i="47" s="1"/>
  <c r="C29" i="12"/>
  <c r="B29" i="12" s="1"/>
  <c r="D29" i="12" s="1"/>
  <c r="C29" i="47"/>
  <c r="B29" i="47" s="1"/>
  <c r="D29" i="47" s="1"/>
  <c r="AI99" i="48"/>
  <c r="AH101" i="48"/>
  <c r="AH106" i="48"/>
  <c r="AG101" i="48"/>
  <c r="AE105" i="48"/>
  <c r="AB103" i="48"/>
  <c r="Z101" i="48"/>
  <c r="Y99" i="48"/>
  <c r="X105" i="48"/>
  <c r="T100" i="48"/>
  <c r="T105" i="48"/>
  <c r="S106" i="48"/>
  <c r="S100" i="48"/>
  <c r="R105" i="48"/>
  <c r="Q106" i="48"/>
  <c r="P104" i="48"/>
  <c r="K104" i="48"/>
  <c r="J106" i="48"/>
  <c r="I105" i="48"/>
  <c r="H103" i="48"/>
  <c r="H106" i="48"/>
  <c r="G105" i="48"/>
  <c r="F100" i="48"/>
  <c r="B71" i="48"/>
  <c r="B99" i="48"/>
  <c r="C103" i="48"/>
  <c r="C59" i="48"/>
  <c r="D59" i="48" s="1"/>
  <c r="E59" i="48" s="1"/>
  <c r="F59" i="48" s="1"/>
  <c r="G59" i="48" s="1"/>
  <c r="H59" i="48" s="1"/>
  <c r="I59" i="48" s="1"/>
  <c r="J59" i="48" s="1"/>
  <c r="K59" i="48" s="1"/>
  <c r="L59" i="48" s="1"/>
  <c r="M59" i="48" s="1"/>
  <c r="N59" i="48" s="1"/>
  <c r="O59" i="48" s="1"/>
  <c r="P59" i="48" s="1"/>
  <c r="Q59" i="48" s="1"/>
  <c r="R59" i="48" s="1"/>
  <c r="S59" i="48" s="1"/>
  <c r="T59" i="48" s="1"/>
  <c r="U59" i="48" s="1"/>
  <c r="V59" i="48" s="1"/>
  <c r="W59" i="48" s="1"/>
  <c r="X59" i="48" s="1"/>
  <c r="Y59" i="48" s="1"/>
  <c r="Z59" i="48" s="1"/>
  <c r="AA59" i="48" s="1"/>
  <c r="AB59" i="48" s="1"/>
  <c r="AC59" i="48" s="1"/>
  <c r="AD59" i="48" s="1"/>
  <c r="AE59" i="48" s="1"/>
  <c r="AF59" i="48" s="1"/>
  <c r="AG59" i="48" s="1"/>
  <c r="AH59" i="48" s="1"/>
  <c r="AI59" i="48" s="1"/>
  <c r="D120" i="47"/>
  <c r="E120" i="47" s="1"/>
  <c r="D22" i="15"/>
  <c r="B125" i="47"/>
  <c r="D110" i="47"/>
  <c r="D17" i="15"/>
  <c r="N17" i="15" s="1"/>
  <c r="C63" i="47"/>
  <c r="B63" i="47"/>
  <c r="C17" i="12"/>
  <c r="D17" i="12" s="1"/>
  <c r="C17" i="47"/>
  <c r="D17" i="47" s="1"/>
  <c r="C31" i="12"/>
  <c r="B31" i="12" s="1"/>
  <c r="D31" i="12" s="1"/>
  <c r="C31" i="47"/>
  <c r="B31" i="47" s="1"/>
  <c r="D31" i="47" s="1"/>
  <c r="C35" i="12"/>
  <c r="B35" i="12" s="1"/>
  <c r="D35" i="12" s="1"/>
  <c r="C35" i="47"/>
  <c r="B35" i="47" s="1"/>
  <c r="D35" i="47" s="1"/>
  <c r="C62" i="47"/>
  <c r="B62" i="47"/>
  <c r="C13" i="12"/>
  <c r="D13" i="12" s="1"/>
  <c r="C13" i="47"/>
  <c r="D13" i="47" s="1"/>
  <c r="C27" i="12"/>
  <c r="B27" i="12" s="1"/>
  <c r="D27" i="12" s="1"/>
  <c r="C27" i="47"/>
  <c r="B27" i="47" s="1"/>
  <c r="D27" i="47" s="1"/>
  <c r="C42" i="12"/>
  <c r="B42" i="12" s="1"/>
  <c r="D42" i="12" s="1"/>
  <c r="C42" i="47"/>
  <c r="C4" i="12"/>
  <c r="D4" i="12" s="1"/>
  <c r="C4" i="47"/>
  <c r="D4" i="47" s="1"/>
  <c r="S101" i="20"/>
  <c r="P101" i="19"/>
  <c r="C101" i="21"/>
  <c r="C106" i="20"/>
  <c r="Z104" i="21"/>
  <c r="Z99" i="20"/>
  <c r="Z103" i="48"/>
  <c r="Z106" i="48"/>
  <c r="W101" i="48"/>
  <c r="V105" i="48"/>
  <c r="T104" i="48"/>
  <c r="R99" i="48"/>
  <c r="N105" i="48"/>
  <c r="M104" i="48"/>
  <c r="L99" i="48"/>
  <c r="L103" i="48"/>
  <c r="J104" i="48"/>
  <c r="F105" i="48"/>
  <c r="D65" i="48"/>
  <c r="E65" i="48" s="1"/>
  <c r="F65" i="48" s="1"/>
  <c r="G65" i="48" s="1"/>
  <c r="H65" i="48" s="1"/>
  <c r="I65" i="48" s="1"/>
  <c r="J65" i="48" s="1"/>
  <c r="K65" i="48" s="1"/>
  <c r="L65" i="48" s="1"/>
  <c r="M65" i="48" s="1"/>
  <c r="N65" i="48" s="1"/>
  <c r="O65" i="48" s="1"/>
  <c r="P65" i="48" s="1"/>
  <c r="Q65" i="48" s="1"/>
  <c r="R65" i="48" s="1"/>
  <c r="S65" i="48" s="1"/>
  <c r="T65" i="48" s="1"/>
  <c r="U65" i="48" s="1"/>
  <c r="V65" i="48" s="1"/>
  <c r="W65" i="48" s="1"/>
  <c r="X65" i="48" s="1"/>
  <c r="Y65" i="48" s="1"/>
  <c r="Z65" i="48" s="1"/>
  <c r="AA65" i="48" s="1"/>
  <c r="AB65" i="48" s="1"/>
  <c r="AC65" i="48" s="1"/>
  <c r="AD65" i="48" s="1"/>
  <c r="AE65" i="48" s="1"/>
  <c r="AF65" i="48" s="1"/>
  <c r="AG65" i="48" s="1"/>
  <c r="AH65" i="48" s="1"/>
  <c r="AI65" i="48" s="1"/>
  <c r="B100" i="48"/>
  <c r="B72" i="48"/>
  <c r="B106" i="48"/>
  <c r="B78" i="48"/>
  <c r="B101" i="48"/>
  <c r="B73" i="48"/>
  <c r="D114" i="47"/>
  <c r="E19" i="15"/>
  <c r="D116" i="47"/>
  <c r="C55" i="47"/>
  <c r="B55" i="47"/>
  <c r="C6" i="12"/>
  <c r="D6" i="12" s="1"/>
  <c r="C6" i="47"/>
  <c r="D6" i="47" s="1"/>
  <c r="C21" i="12"/>
  <c r="D21" i="12" s="1"/>
  <c r="C21" i="47"/>
  <c r="D21" i="47" s="1"/>
  <c r="C47" i="12"/>
  <c r="B47" i="12" s="1"/>
  <c r="D47" i="12" s="1"/>
  <c r="C47" i="47"/>
  <c r="B47" i="47" s="1"/>
  <c r="D47" i="47" s="1"/>
  <c r="B51" i="47"/>
  <c r="C51" i="47"/>
  <c r="C2" i="12"/>
  <c r="D2" i="12" s="1"/>
  <c r="C2" i="47"/>
  <c r="AI104" i="48"/>
  <c r="AI105" i="48"/>
  <c r="AH100" i="48"/>
  <c r="AE101" i="48"/>
  <c r="AD101" i="48"/>
  <c r="AC105" i="48"/>
  <c r="AC106" i="48"/>
  <c r="AA99" i="48"/>
  <c r="Y104" i="48"/>
  <c r="W104" i="48"/>
  <c r="W105" i="48"/>
  <c r="T103" i="48"/>
  <c r="S101" i="48"/>
  <c r="S104" i="48"/>
  <c r="R106" i="48"/>
  <c r="Q105" i="48"/>
  <c r="O106" i="48"/>
  <c r="M99" i="48"/>
  <c r="L106" i="48"/>
  <c r="K101" i="48"/>
  <c r="J105" i="48"/>
  <c r="I101" i="48"/>
  <c r="H100" i="48"/>
  <c r="E100" i="48"/>
  <c r="D104" i="48"/>
  <c r="C105" i="48"/>
  <c r="E106" i="48"/>
  <c r="D105" i="48"/>
  <c r="C62" i="48"/>
  <c r="D62" i="48" s="1"/>
  <c r="E62" i="48" s="1"/>
  <c r="F62" i="48" s="1"/>
  <c r="G62" i="48" s="1"/>
  <c r="H62" i="48" s="1"/>
  <c r="I62" i="48" s="1"/>
  <c r="J62" i="48" s="1"/>
  <c r="K62" i="48" s="1"/>
  <c r="L62" i="48" s="1"/>
  <c r="M62" i="48" s="1"/>
  <c r="N62" i="48" s="1"/>
  <c r="O62" i="48" s="1"/>
  <c r="P62" i="48" s="1"/>
  <c r="Q62" i="48" s="1"/>
  <c r="R62" i="48" s="1"/>
  <c r="S62" i="48" s="1"/>
  <c r="T62" i="48" s="1"/>
  <c r="U62" i="48" s="1"/>
  <c r="V62" i="48" s="1"/>
  <c r="W62" i="48" s="1"/>
  <c r="X62" i="48" s="1"/>
  <c r="Y62" i="48" s="1"/>
  <c r="Z62" i="48" s="1"/>
  <c r="AA62" i="48" s="1"/>
  <c r="AB62" i="48" s="1"/>
  <c r="AC62" i="48" s="1"/>
  <c r="AD62" i="48" s="1"/>
  <c r="AE62" i="48" s="1"/>
  <c r="AF62" i="48" s="1"/>
  <c r="AG62" i="48" s="1"/>
  <c r="AH62" i="48" s="1"/>
  <c r="AI62" i="48" s="1"/>
  <c r="D112" i="47"/>
  <c r="D118" i="47"/>
  <c r="T100" i="21"/>
  <c r="R99" i="21"/>
  <c r="Z106" i="20"/>
  <c r="O104" i="19"/>
  <c r="W100" i="20"/>
  <c r="W101" i="19"/>
  <c r="V101" i="20"/>
  <c r="U103" i="19"/>
  <c r="T104" i="19"/>
  <c r="T105" i="20"/>
  <c r="S103" i="21"/>
  <c r="O105" i="21"/>
  <c r="I99" i="21"/>
  <c r="E106" i="20"/>
  <c r="J99" i="17"/>
  <c r="Y105" i="21"/>
  <c r="Y103" i="19"/>
  <c r="O99" i="21"/>
  <c r="J100" i="20"/>
  <c r="H100" i="19"/>
  <c r="H100" i="20"/>
  <c r="F105" i="21"/>
  <c r="F100" i="21"/>
  <c r="C100" i="21"/>
  <c r="W106" i="21"/>
  <c r="R106" i="20"/>
  <c r="P103" i="19"/>
  <c r="J103" i="20"/>
  <c r="J101" i="20"/>
  <c r="I101" i="21"/>
  <c r="I104" i="19"/>
  <c r="H106" i="21"/>
  <c r="G100" i="20"/>
  <c r="D100" i="21"/>
  <c r="C105" i="21"/>
  <c r="C104" i="20"/>
  <c r="C60" i="20"/>
  <c r="D60" i="20" s="1"/>
  <c r="E60" i="20" s="1"/>
  <c r="F60" i="20" s="1"/>
  <c r="G60" i="20" s="1"/>
  <c r="H60" i="20" s="1"/>
  <c r="I60" i="20" s="1"/>
  <c r="J60" i="20" s="1"/>
  <c r="K60" i="20" s="1"/>
  <c r="L60" i="20" s="1"/>
  <c r="M60" i="20" s="1"/>
  <c r="N60" i="20" s="1"/>
  <c r="O60" i="20" s="1"/>
  <c r="P60" i="20" s="1"/>
  <c r="Q60" i="20" s="1"/>
  <c r="R60" i="20" s="1"/>
  <c r="S60" i="20" s="1"/>
  <c r="T60" i="20" s="1"/>
  <c r="U60" i="20" s="1"/>
  <c r="V60" i="20" s="1"/>
  <c r="W60" i="20" s="1"/>
  <c r="X60" i="20" s="1"/>
  <c r="Y60" i="20" s="1"/>
  <c r="Z60" i="20" s="1"/>
  <c r="AA60" i="20" s="1"/>
  <c r="M104" i="20"/>
  <c r="I100" i="19"/>
  <c r="Y99" i="21"/>
  <c r="S100" i="20"/>
  <c r="R101" i="19"/>
  <c r="P99" i="21"/>
  <c r="O101" i="20"/>
  <c r="O104" i="21"/>
  <c r="K101" i="21"/>
  <c r="C98" i="19"/>
  <c r="I105" i="21"/>
  <c r="F105" i="20"/>
  <c r="E100" i="19"/>
  <c r="D101" i="21"/>
  <c r="D100" i="19"/>
  <c r="Y104" i="20"/>
  <c r="V104" i="20"/>
  <c r="M106" i="21"/>
  <c r="J105" i="20"/>
  <c r="J103" i="21"/>
  <c r="J100" i="19"/>
  <c r="F103" i="20"/>
  <c r="W100" i="19"/>
  <c r="Y100" i="20"/>
  <c r="X106" i="21"/>
  <c r="V101" i="19"/>
  <c r="V106" i="21"/>
  <c r="T99" i="20"/>
  <c r="R101" i="20"/>
  <c r="Q104" i="20"/>
  <c r="Q106" i="19"/>
  <c r="P106" i="20"/>
  <c r="P101" i="20"/>
  <c r="M104" i="21"/>
  <c r="L103" i="20"/>
  <c r="C58" i="17"/>
  <c r="D58" i="17" s="1"/>
  <c r="E58" i="17" s="1"/>
  <c r="F58" i="17" s="1"/>
  <c r="G58" i="17" s="1"/>
  <c r="H58" i="17" s="1"/>
  <c r="I58" i="17" s="1"/>
  <c r="J58" i="17" s="1"/>
  <c r="K58" i="17" s="1"/>
  <c r="L58" i="17" s="1"/>
  <c r="Y100" i="21"/>
  <c r="Y105" i="19"/>
  <c r="X100" i="19"/>
  <c r="W100" i="21"/>
  <c r="V103" i="21"/>
  <c r="U99" i="19"/>
  <c r="T103" i="21"/>
  <c r="Q101" i="19"/>
  <c r="P100" i="20"/>
  <c r="K101" i="20"/>
  <c r="Z101" i="21"/>
  <c r="J103" i="19"/>
  <c r="I106" i="20"/>
  <c r="I103" i="19"/>
  <c r="D103" i="21"/>
  <c r="C101" i="19"/>
  <c r="X104" i="20"/>
  <c r="W101" i="20"/>
  <c r="V99" i="19"/>
  <c r="T105" i="19"/>
  <c r="Q100" i="21"/>
  <c r="P99" i="20"/>
  <c r="M100" i="19"/>
  <c r="L101" i="20"/>
  <c r="L100" i="19"/>
  <c r="K106" i="21"/>
  <c r="K104" i="21"/>
  <c r="G105" i="20"/>
  <c r="G103" i="21"/>
  <c r="Y99" i="20"/>
  <c r="Y101" i="21"/>
  <c r="U103" i="21"/>
  <c r="Q104" i="19"/>
  <c r="M103" i="21"/>
  <c r="L106" i="21"/>
  <c r="C62" i="19"/>
  <c r="D62" i="19" s="1"/>
  <c r="E62" i="19" s="1"/>
  <c r="F62" i="19" s="1"/>
  <c r="G62" i="19" s="1"/>
  <c r="H62" i="19" s="1"/>
  <c r="I62" i="19" s="1"/>
  <c r="J62" i="19" s="1"/>
  <c r="K62" i="19" s="1"/>
  <c r="L62" i="19" s="1"/>
  <c r="M62" i="19" s="1"/>
  <c r="N62" i="19" s="1"/>
  <c r="O62" i="19" s="1"/>
  <c r="P62" i="19" s="1"/>
  <c r="Q62" i="19" s="1"/>
  <c r="R62" i="19" s="1"/>
  <c r="S62" i="19" s="1"/>
  <c r="T62" i="19" s="1"/>
  <c r="U62" i="19" s="1"/>
  <c r="V62" i="19" s="1"/>
  <c r="W62" i="19" s="1"/>
  <c r="X62" i="19" s="1"/>
  <c r="Y62" i="19" s="1"/>
  <c r="Z62" i="19" s="1"/>
  <c r="AA62" i="19" s="1"/>
  <c r="Z103" i="21"/>
  <c r="X101" i="21"/>
  <c r="V104" i="21"/>
  <c r="U104" i="21"/>
  <c r="S104" i="21"/>
  <c r="P105" i="19"/>
  <c r="O103" i="20"/>
  <c r="N99" i="19"/>
  <c r="M105" i="20"/>
  <c r="I105" i="19"/>
  <c r="H99" i="20"/>
  <c r="H99" i="19"/>
  <c r="F104" i="19"/>
  <c r="E106" i="21"/>
  <c r="C105" i="20"/>
  <c r="D116" i="12"/>
  <c r="C64" i="21"/>
  <c r="D64" i="21" s="1"/>
  <c r="E64" i="21" s="1"/>
  <c r="F64" i="21" s="1"/>
  <c r="G64" i="21" s="1"/>
  <c r="H64" i="21" s="1"/>
  <c r="I64" i="21" s="1"/>
  <c r="J64" i="21" s="1"/>
  <c r="K64" i="21" s="1"/>
  <c r="L64" i="21" s="1"/>
  <c r="M64" i="21" s="1"/>
  <c r="N64" i="21" s="1"/>
  <c r="O64" i="21" s="1"/>
  <c r="P64" i="21" s="1"/>
  <c r="Q64" i="21" s="1"/>
  <c r="R64" i="21" s="1"/>
  <c r="S64" i="21" s="1"/>
  <c r="T64" i="21" s="1"/>
  <c r="U64" i="21" s="1"/>
  <c r="V64" i="21" s="1"/>
  <c r="W64" i="21" s="1"/>
  <c r="X64" i="21" s="1"/>
  <c r="Y64" i="21" s="1"/>
  <c r="Z64" i="21" s="1"/>
  <c r="AA64" i="21" s="1"/>
  <c r="Z104" i="20"/>
  <c r="M105" i="19"/>
  <c r="H106" i="19"/>
  <c r="Z100" i="21"/>
  <c r="D98" i="19"/>
  <c r="Q101" i="20"/>
  <c r="L105" i="21"/>
  <c r="K105" i="20"/>
  <c r="F104" i="21"/>
  <c r="O100" i="20"/>
  <c r="N105" i="20"/>
  <c r="N106" i="19"/>
  <c r="H103" i="19"/>
  <c r="D105" i="20"/>
  <c r="K103" i="20"/>
  <c r="U101" i="21"/>
  <c r="Q99" i="21"/>
  <c r="M103" i="20"/>
  <c r="H101" i="19"/>
  <c r="E104" i="20"/>
  <c r="D104" i="20"/>
  <c r="C103" i="20"/>
  <c r="C99" i="20"/>
  <c r="C64" i="20"/>
  <c r="D64" i="20" s="1"/>
  <c r="E64" i="20" s="1"/>
  <c r="F64" i="20" s="1"/>
  <c r="G64" i="20" s="1"/>
  <c r="H64" i="20" s="1"/>
  <c r="I64" i="20" s="1"/>
  <c r="J64" i="20" s="1"/>
  <c r="K64" i="20" s="1"/>
  <c r="L64" i="20" s="1"/>
  <c r="M64" i="20" s="1"/>
  <c r="N64" i="20" s="1"/>
  <c r="O64" i="20" s="1"/>
  <c r="P64" i="20" s="1"/>
  <c r="Q64" i="20" s="1"/>
  <c r="R64" i="20" s="1"/>
  <c r="S64" i="20" s="1"/>
  <c r="T64" i="20" s="1"/>
  <c r="U64" i="20" s="1"/>
  <c r="V64" i="20" s="1"/>
  <c r="W64" i="20" s="1"/>
  <c r="X64" i="20" s="1"/>
  <c r="Y64" i="20" s="1"/>
  <c r="Z64" i="20" s="1"/>
  <c r="AA64" i="20" s="1"/>
  <c r="R105" i="19"/>
  <c r="AA106" i="21"/>
  <c r="P103" i="21"/>
  <c r="J106" i="20"/>
  <c r="J99" i="21"/>
  <c r="I106" i="21"/>
  <c r="D112" i="12"/>
  <c r="M105" i="21"/>
  <c r="K100" i="20"/>
  <c r="F101" i="19"/>
  <c r="E101" i="21"/>
  <c r="AA99" i="20"/>
  <c r="AA100" i="19"/>
  <c r="Q106" i="20"/>
  <c r="X99" i="20"/>
  <c r="W99" i="20"/>
  <c r="W104" i="21"/>
  <c r="W105" i="19"/>
  <c r="W105" i="20"/>
  <c r="W101" i="21"/>
  <c r="Q104" i="21"/>
  <c r="P99" i="19"/>
  <c r="O105" i="19"/>
  <c r="K106" i="19"/>
  <c r="G106" i="21"/>
  <c r="R99" i="19"/>
  <c r="O103" i="19"/>
  <c r="AA105" i="20"/>
  <c r="X105" i="19"/>
  <c r="W105" i="21"/>
  <c r="W103" i="20"/>
  <c r="V100" i="19"/>
  <c r="S103" i="19"/>
  <c r="O103" i="21"/>
  <c r="M101" i="20"/>
  <c r="M101" i="19"/>
  <c r="J104" i="20"/>
  <c r="J106" i="21"/>
  <c r="F106" i="21"/>
  <c r="C104" i="19"/>
  <c r="C64" i="19"/>
  <c r="D64" i="19" s="1"/>
  <c r="E64" i="19" s="1"/>
  <c r="F64" i="19" s="1"/>
  <c r="G64" i="19" s="1"/>
  <c r="H64" i="19" s="1"/>
  <c r="I64" i="19" s="1"/>
  <c r="J64" i="19" s="1"/>
  <c r="K64" i="19" s="1"/>
  <c r="L64" i="19" s="1"/>
  <c r="M64" i="19" s="1"/>
  <c r="N64" i="19" s="1"/>
  <c r="O64" i="19" s="1"/>
  <c r="P64" i="19" s="1"/>
  <c r="Q64" i="19" s="1"/>
  <c r="R64" i="19" s="1"/>
  <c r="S64" i="19" s="1"/>
  <c r="T64" i="19" s="1"/>
  <c r="U64" i="19" s="1"/>
  <c r="V64" i="19" s="1"/>
  <c r="W64" i="19" s="1"/>
  <c r="X64" i="19" s="1"/>
  <c r="Y64" i="19" s="1"/>
  <c r="Z64" i="19" s="1"/>
  <c r="AA64" i="19" s="1"/>
  <c r="V105" i="21"/>
  <c r="Q100" i="19"/>
  <c r="F105" i="19"/>
  <c r="D105" i="19"/>
  <c r="C58" i="21"/>
  <c r="D58" i="21" s="1"/>
  <c r="E58" i="21" s="1"/>
  <c r="F58" i="21" s="1"/>
  <c r="G58" i="21" s="1"/>
  <c r="H58" i="21" s="1"/>
  <c r="I58" i="21" s="1"/>
  <c r="J58" i="21" s="1"/>
  <c r="K58" i="21" s="1"/>
  <c r="L58" i="21" s="1"/>
  <c r="M58" i="21" s="1"/>
  <c r="N58" i="21" s="1"/>
  <c r="O58" i="21" s="1"/>
  <c r="P58" i="21" s="1"/>
  <c r="Q58" i="21" s="1"/>
  <c r="R58" i="21" s="1"/>
  <c r="S58" i="21" s="1"/>
  <c r="T58" i="21" s="1"/>
  <c r="U58" i="21" s="1"/>
  <c r="V58" i="21" s="1"/>
  <c r="W58" i="21" s="1"/>
  <c r="X58" i="21" s="1"/>
  <c r="Y58" i="21" s="1"/>
  <c r="Z58" i="21" s="1"/>
  <c r="AA58" i="21" s="1"/>
  <c r="S100" i="21"/>
  <c r="C99" i="21"/>
  <c r="AA99" i="19"/>
  <c r="V106" i="19"/>
  <c r="R100" i="19"/>
  <c r="R104" i="19"/>
  <c r="Q103" i="20"/>
  <c r="Q103" i="21"/>
  <c r="P106" i="21"/>
  <c r="M103" i="19"/>
  <c r="L100" i="20"/>
  <c r="K101" i="19"/>
  <c r="K104" i="20"/>
  <c r="J101" i="19"/>
  <c r="G105" i="19"/>
  <c r="D106" i="21"/>
  <c r="D106" i="20"/>
  <c r="C63" i="19"/>
  <c r="D63" i="19" s="1"/>
  <c r="E63" i="19" s="1"/>
  <c r="F63" i="19" s="1"/>
  <c r="G63" i="19" s="1"/>
  <c r="H63" i="19" s="1"/>
  <c r="I63" i="19" s="1"/>
  <c r="J63" i="19" s="1"/>
  <c r="K63" i="19" s="1"/>
  <c r="L63" i="19" s="1"/>
  <c r="M63" i="19" s="1"/>
  <c r="N63" i="19" s="1"/>
  <c r="O63" i="19" s="1"/>
  <c r="P63" i="19" s="1"/>
  <c r="Q63" i="19" s="1"/>
  <c r="R63" i="19" s="1"/>
  <c r="S63" i="19" s="1"/>
  <c r="T63" i="19" s="1"/>
  <c r="U63" i="19" s="1"/>
  <c r="V63" i="19" s="1"/>
  <c r="W63" i="19" s="1"/>
  <c r="X63" i="19" s="1"/>
  <c r="Y63" i="19" s="1"/>
  <c r="Z63" i="19" s="1"/>
  <c r="AA63" i="19" s="1"/>
  <c r="T106" i="19"/>
  <c r="S105" i="20"/>
  <c r="R106" i="21"/>
  <c r="R103" i="19"/>
  <c r="R103" i="20"/>
  <c r="N105" i="21"/>
  <c r="N106" i="20"/>
  <c r="M106" i="19"/>
  <c r="L104" i="21"/>
  <c r="H103" i="21"/>
  <c r="H101" i="21"/>
  <c r="F103" i="21"/>
  <c r="F99" i="21"/>
  <c r="E99" i="20"/>
  <c r="C104" i="21"/>
  <c r="C61" i="12"/>
  <c r="B61" i="12"/>
  <c r="Y104" i="21"/>
  <c r="Y99" i="19"/>
  <c r="X101" i="20"/>
  <c r="V99" i="21"/>
  <c r="V106" i="20"/>
  <c r="V101" i="21"/>
  <c r="S105" i="21"/>
  <c r="S106" i="21"/>
  <c r="C58" i="12"/>
  <c r="B58" i="12"/>
  <c r="C55" i="12"/>
  <c r="B55" i="12"/>
  <c r="Y101" i="20"/>
  <c r="X106" i="19"/>
  <c r="B98" i="19"/>
  <c r="B70" i="19"/>
  <c r="M99" i="21"/>
  <c r="G106" i="19"/>
  <c r="B106" i="21"/>
  <c r="B78" i="21"/>
  <c r="B78" i="19"/>
  <c r="B106" i="19"/>
  <c r="D104" i="19"/>
  <c r="B50" i="12"/>
  <c r="C50" i="12"/>
  <c r="C59" i="12"/>
  <c r="B59" i="12"/>
  <c r="C53" i="12"/>
  <c r="B53" i="12"/>
  <c r="Y103" i="21"/>
  <c r="X104" i="21"/>
  <c r="B57" i="12"/>
  <c r="C57" i="12"/>
  <c r="C52" i="12"/>
  <c r="B52" i="12"/>
  <c r="Z99" i="21"/>
  <c r="C62" i="12"/>
  <c r="B62" i="12"/>
  <c r="AA104" i="19"/>
  <c r="Y101" i="19"/>
  <c r="X99" i="21"/>
  <c r="X104" i="19"/>
  <c r="X106" i="20"/>
  <c r="W103" i="21"/>
  <c r="W103" i="19"/>
  <c r="C56" i="12"/>
  <c r="B56" i="12"/>
  <c r="C51" i="12"/>
  <c r="B51" i="12"/>
  <c r="Y105" i="20"/>
  <c r="Y106" i="21"/>
  <c r="X105" i="21"/>
  <c r="W104" i="19"/>
  <c r="B64" i="12"/>
  <c r="C64" i="12"/>
  <c r="X103" i="21"/>
  <c r="C60" i="12"/>
  <c r="B60" i="12"/>
  <c r="C65" i="12"/>
  <c r="B65" i="12"/>
  <c r="AA103" i="19"/>
  <c r="Y106" i="20"/>
  <c r="Y104" i="19"/>
  <c r="X99" i="19"/>
  <c r="W106" i="20"/>
  <c r="C63" i="12"/>
  <c r="B63" i="12"/>
  <c r="C54" i="12"/>
  <c r="B54" i="12"/>
  <c r="Z101" i="20"/>
  <c r="AA105" i="19"/>
  <c r="X103" i="19"/>
  <c r="X103" i="20"/>
  <c r="W99" i="19"/>
  <c r="W104" i="20"/>
  <c r="W99" i="21"/>
  <c r="W106" i="19"/>
  <c r="P104" i="19"/>
  <c r="B98" i="21"/>
  <c r="B70" i="21"/>
  <c r="P100" i="19"/>
  <c r="O105" i="20"/>
  <c r="N101" i="19"/>
  <c r="L106" i="19"/>
  <c r="J104" i="21"/>
  <c r="I106" i="19"/>
  <c r="H104" i="19"/>
  <c r="E99" i="21"/>
  <c r="B71" i="19"/>
  <c r="B99" i="19"/>
  <c r="B72" i="21"/>
  <c r="B100" i="21"/>
  <c r="B125" i="14"/>
  <c r="B106" i="20"/>
  <c r="B78" i="20"/>
  <c r="C125" i="12"/>
  <c r="D124" i="14"/>
  <c r="D115" i="12"/>
  <c r="V105" i="19"/>
  <c r="U100" i="19"/>
  <c r="U100" i="21"/>
  <c r="T106" i="21"/>
  <c r="T104" i="21"/>
  <c r="T100" i="19"/>
  <c r="R105" i="20"/>
  <c r="R103" i="21"/>
  <c r="R106" i="19"/>
  <c r="R100" i="21"/>
  <c r="Q100" i="20"/>
  <c r="C98" i="21"/>
  <c r="O101" i="21"/>
  <c r="O100" i="19"/>
  <c r="N99" i="21"/>
  <c r="N103" i="19"/>
  <c r="N104" i="20"/>
  <c r="M104" i="19"/>
  <c r="L103" i="19"/>
  <c r="L104" i="20"/>
  <c r="K100" i="21"/>
  <c r="K104" i="19"/>
  <c r="J105" i="21"/>
  <c r="J104" i="19"/>
  <c r="I100" i="20"/>
  <c r="H101" i="20"/>
  <c r="H105" i="20"/>
  <c r="G100" i="21"/>
  <c r="E100" i="21"/>
  <c r="E105" i="19"/>
  <c r="B101" i="19"/>
  <c r="B73" i="19"/>
  <c r="B103" i="19"/>
  <c r="B75" i="19"/>
  <c r="B77" i="21"/>
  <c r="B105" i="21"/>
  <c r="B73" i="21"/>
  <c r="B101" i="21"/>
  <c r="D103" i="20"/>
  <c r="C100" i="20"/>
  <c r="B72" i="20"/>
  <c r="B100" i="20"/>
  <c r="C63" i="20"/>
  <c r="D63" i="20" s="1"/>
  <c r="E63" i="20" s="1"/>
  <c r="F63" i="20" s="1"/>
  <c r="G63" i="20" s="1"/>
  <c r="H63" i="20" s="1"/>
  <c r="I63" i="20" s="1"/>
  <c r="J63" i="20" s="1"/>
  <c r="K63" i="20" s="1"/>
  <c r="L63" i="20" s="1"/>
  <c r="M63" i="20" s="1"/>
  <c r="N63" i="20" s="1"/>
  <c r="O63" i="20" s="1"/>
  <c r="P63" i="20" s="1"/>
  <c r="Q63" i="20" s="1"/>
  <c r="R63" i="20" s="1"/>
  <c r="S63" i="20" s="1"/>
  <c r="T63" i="20" s="1"/>
  <c r="U63" i="20" s="1"/>
  <c r="V63" i="20" s="1"/>
  <c r="W63" i="20" s="1"/>
  <c r="X63" i="20" s="1"/>
  <c r="Y63" i="20" s="1"/>
  <c r="Z63" i="20" s="1"/>
  <c r="AA63" i="20" s="1"/>
  <c r="C125" i="14"/>
  <c r="V103" i="20"/>
  <c r="V104" i="19"/>
  <c r="U104" i="19"/>
  <c r="U106" i="19"/>
  <c r="U105" i="19"/>
  <c r="T101" i="21"/>
  <c r="S103" i="20"/>
  <c r="R104" i="21"/>
  <c r="Q101" i="21"/>
  <c r="P105" i="20"/>
  <c r="C98" i="20"/>
  <c r="P104" i="20"/>
  <c r="P103" i="20"/>
  <c r="N99" i="20"/>
  <c r="N100" i="20"/>
  <c r="M99" i="20"/>
  <c r="L101" i="19"/>
  <c r="K99" i="21"/>
  <c r="K105" i="21"/>
  <c r="J106" i="19"/>
  <c r="J100" i="21"/>
  <c r="I105" i="20"/>
  <c r="I104" i="20"/>
  <c r="H105" i="21"/>
  <c r="H106" i="20"/>
  <c r="G101" i="19"/>
  <c r="G105" i="21"/>
  <c r="G101" i="20"/>
  <c r="F101" i="20"/>
  <c r="F101" i="21"/>
  <c r="F104" i="20"/>
  <c r="E103" i="21"/>
  <c r="E103" i="20"/>
  <c r="E103" i="19"/>
  <c r="E99" i="19"/>
  <c r="D103" i="19"/>
  <c r="B125" i="12"/>
  <c r="D108" i="12"/>
  <c r="E106" i="12" s="1"/>
  <c r="B124" i="12"/>
  <c r="D124" i="12" s="1"/>
  <c r="C59" i="21"/>
  <c r="D59" i="21" s="1"/>
  <c r="E59" i="21" s="1"/>
  <c r="F59" i="21" s="1"/>
  <c r="G59" i="21" s="1"/>
  <c r="H59" i="21" s="1"/>
  <c r="I59" i="21" s="1"/>
  <c r="J59" i="21" s="1"/>
  <c r="K59" i="21" s="1"/>
  <c r="L59" i="21" s="1"/>
  <c r="M59" i="21" s="1"/>
  <c r="N59" i="21" s="1"/>
  <c r="O59" i="21" s="1"/>
  <c r="P59" i="21" s="1"/>
  <c r="Q59" i="21" s="1"/>
  <c r="R59" i="21" s="1"/>
  <c r="S59" i="21" s="1"/>
  <c r="T59" i="21" s="1"/>
  <c r="U59" i="21" s="1"/>
  <c r="V59" i="21" s="1"/>
  <c r="W59" i="21" s="1"/>
  <c r="X59" i="21" s="1"/>
  <c r="Y59" i="21" s="1"/>
  <c r="Z59" i="21" s="1"/>
  <c r="AA59" i="21" s="1"/>
  <c r="V100" i="21"/>
  <c r="U101" i="20"/>
  <c r="U101" i="19"/>
  <c r="T101" i="19"/>
  <c r="T103" i="20"/>
  <c r="T103" i="19"/>
  <c r="S104" i="19"/>
  <c r="S106" i="19"/>
  <c r="S99" i="21"/>
  <c r="R104" i="20"/>
  <c r="R101" i="21"/>
  <c r="Q105" i="21"/>
  <c r="O106" i="20"/>
  <c r="N100" i="21"/>
  <c r="N101" i="20"/>
  <c r="N106" i="21"/>
  <c r="M100" i="20"/>
  <c r="M99" i="19"/>
  <c r="L99" i="20"/>
  <c r="L105" i="19"/>
  <c r="K100" i="19"/>
  <c r="K99" i="19"/>
  <c r="J99" i="20"/>
  <c r="I103" i="20"/>
  <c r="H100" i="21"/>
  <c r="G106" i="20"/>
  <c r="G104" i="19"/>
  <c r="F100" i="20"/>
  <c r="B105" i="20"/>
  <c r="B77" i="20"/>
  <c r="C100" i="19"/>
  <c r="C103" i="19"/>
  <c r="B103" i="20"/>
  <c r="B75" i="20"/>
  <c r="B125" i="13"/>
  <c r="C63" i="21"/>
  <c r="D63" i="21" s="1"/>
  <c r="E63" i="21" s="1"/>
  <c r="F63" i="21" s="1"/>
  <c r="G63" i="21" s="1"/>
  <c r="H63" i="21" s="1"/>
  <c r="I63" i="21" s="1"/>
  <c r="J63" i="21" s="1"/>
  <c r="K63" i="21" s="1"/>
  <c r="L63" i="21" s="1"/>
  <c r="M63" i="21" s="1"/>
  <c r="N63" i="21" s="1"/>
  <c r="O63" i="21" s="1"/>
  <c r="P63" i="21" s="1"/>
  <c r="Q63" i="21" s="1"/>
  <c r="R63" i="21" s="1"/>
  <c r="S63" i="21" s="1"/>
  <c r="T63" i="21" s="1"/>
  <c r="U63" i="21" s="1"/>
  <c r="V63" i="21" s="1"/>
  <c r="W63" i="21" s="1"/>
  <c r="X63" i="21" s="1"/>
  <c r="Y63" i="21" s="1"/>
  <c r="Z63" i="21" s="1"/>
  <c r="AA63" i="21" s="1"/>
  <c r="V103" i="19"/>
  <c r="U106" i="21"/>
  <c r="U105" i="20"/>
  <c r="T105" i="21"/>
  <c r="S99" i="19"/>
  <c r="S99" i="20"/>
  <c r="S105" i="19"/>
  <c r="Q99" i="20"/>
  <c r="Q99" i="19"/>
  <c r="B98" i="20"/>
  <c r="B70" i="20"/>
  <c r="O99" i="19"/>
  <c r="N103" i="21"/>
  <c r="N105" i="19"/>
  <c r="L105" i="20"/>
  <c r="L99" i="21"/>
  <c r="K103" i="21"/>
  <c r="K103" i="19"/>
  <c r="I101" i="19"/>
  <c r="I101" i="20"/>
  <c r="H99" i="21"/>
  <c r="F106" i="19"/>
  <c r="D98" i="21"/>
  <c r="B99" i="21"/>
  <c r="B71" i="21"/>
  <c r="C106" i="19"/>
  <c r="B104" i="19"/>
  <c r="B76" i="19"/>
  <c r="C105" i="19"/>
  <c r="C99" i="19"/>
  <c r="C101" i="20"/>
  <c r="D110" i="12"/>
  <c r="C62" i="21"/>
  <c r="D62" i="21" s="1"/>
  <c r="E62" i="21" s="1"/>
  <c r="F62" i="21" s="1"/>
  <c r="G62" i="21" s="1"/>
  <c r="H62" i="21" s="1"/>
  <c r="I62" i="21" s="1"/>
  <c r="J62" i="21" s="1"/>
  <c r="K62" i="21" s="1"/>
  <c r="L62" i="21" s="1"/>
  <c r="M62" i="21" s="1"/>
  <c r="N62" i="21" s="1"/>
  <c r="O62" i="21" s="1"/>
  <c r="P62" i="21" s="1"/>
  <c r="Q62" i="21" s="1"/>
  <c r="R62" i="21" s="1"/>
  <c r="S62" i="21" s="1"/>
  <c r="T62" i="21" s="1"/>
  <c r="U62" i="21" s="1"/>
  <c r="V62" i="21" s="1"/>
  <c r="W62" i="21" s="1"/>
  <c r="X62" i="21" s="1"/>
  <c r="Y62" i="21" s="1"/>
  <c r="Z62" i="21" s="1"/>
  <c r="AA62" i="21" s="1"/>
  <c r="C57" i="21"/>
  <c r="D57" i="21" s="1"/>
  <c r="E57" i="21" s="1"/>
  <c r="F57" i="21" s="1"/>
  <c r="G57" i="21" s="1"/>
  <c r="H57" i="21" s="1"/>
  <c r="I57" i="21" s="1"/>
  <c r="J57" i="21" s="1"/>
  <c r="K57" i="21" s="1"/>
  <c r="L57" i="21" s="1"/>
  <c r="M57" i="21" s="1"/>
  <c r="N57" i="21" s="1"/>
  <c r="O57" i="21" s="1"/>
  <c r="P57" i="21" s="1"/>
  <c r="Q57" i="21" s="1"/>
  <c r="R57" i="21" s="1"/>
  <c r="S57" i="21" s="1"/>
  <c r="T57" i="21" s="1"/>
  <c r="U57" i="21" s="1"/>
  <c r="V57" i="21" s="1"/>
  <c r="W57" i="21" s="1"/>
  <c r="X57" i="21" s="1"/>
  <c r="Y57" i="21" s="1"/>
  <c r="Z57" i="21" s="1"/>
  <c r="AA57" i="21" s="1"/>
  <c r="Z101" i="19"/>
  <c r="V105" i="20"/>
  <c r="V100" i="20"/>
  <c r="U106" i="20"/>
  <c r="U100" i="20"/>
  <c r="T104" i="20"/>
  <c r="S106" i="20"/>
  <c r="R100" i="20"/>
  <c r="Q103" i="19"/>
  <c r="Q105" i="19"/>
  <c r="P104" i="21"/>
  <c r="P105" i="21"/>
  <c r="P100" i="21"/>
  <c r="O99" i="20"/>
  <c r="N103" i="20"/>
  <c r="N104" i="19"/>
  <c r="M100" i="21"/>
  <c r="M101" i="21"/>
  <c r="L100" i="21"/>
  <c r="L106" i="20"/>
  <c r="K106" i="20"/>
  <c r="J105" i="19"/>
  <c r="J101" i="21"/>
  <c r="I99" i="19"/>
  <c r="I103" i="21"/>
  <c r="G99" i="20"/>
  <c r="G104" i="21"/>
  <c r="F100" i="19"/>
  <c r="E105" i="21"/>
  <c r="E105" i="20"/>
  <c r="E100" i="20"/>
  <c r="D98" i="20"/>
  <c r="D105" i="21"/>
  <c r="B103" i="21"/>
  <c r="B75" i="21"/>
  <c r="C59" i="19"/>
  <c r="D59" i="19" s="1"/>
  <c r="E59" i="19" s="1"/>
  <c r="F59" i="19" s="1"/>
  <c r="G59" i="19" s="1"/>
  <c r="H59" i="19" s="1"/>
  <c r="I59" i="19" s="1"/>
  <c r="J59" i="19" s="1"/>
  <c r="K59" i="19" s="1"/>
  <c r="L59" i="19" s="1"/>
  <c r="M59" i="19" s="1"/>
  <c r="N59" i="19" s="1"/>
  <c r="O59" i="19" s="1"/>
  <c r="P59" i="19" s="1"/>
  <c r="Q59" i="19" s="1"/>
  <c r="R59" i="19" s="1"/>
  <c r="S59" i="19" s="1"/>
  <c r="T59" i="19" s="1"/>
  <c r="U59" i="19" s="1"/>
  <c r="V59" i="19" s="1"/>
  <c r="W59" i="19" s="1"/>
  <c r="X59" i="19" s="1"/>
  <c r="Y59" i="19" s="1"/>
  <c r="Z59" i="19" s="1"/>
  <c r="AA59" i="19" s="1"/>
  <c r="D99" i="20"/>
  <c r="D101" i="20"/>
  <c r="D101" i="19"/>
  <c r="C57" i="20"/>
  <c r="D57" i="20" s="1"/>
  <c r="E57" i="20" s="1"/>
  <c r="F57" i="20" s="1"/>
  <c r="G57" i="20" s="1"/>
  <c r="H57" i="20" s="1"/>
  <c r="I57" i="20" s="1"/>
  <c r="J57" i="20" s="1"/>
  <c r="K57" i="20" s="1"/>
  <c r="L57" i="20" s="1"/>
  <c r="M57" i="20" s="1"/>
  <c r="N57" i="20" s="1"/>
  <c r="O57" i="20" s="1"/>
  <c r="P57" i="20" s="1"/>
  <c r="Q57" i="20" s="1"/>
  <c r="R57" i="20" s="1"/>
  <c r="S57" i="20" s="1"/>
  <c r="T57" i="20" s="1"/>
  <c r="U57" i="20" s="1"/>
  <c r="V57" i="20" s="1"/>
  <c r="W57" i="20" s="1"/>
  <c r="X57" i="20" s="1"/>
  <c r="Y57" i="20" s="1"/>
  <c r="Z57" i="20" s="1"/>
  <c r="AA57" i="20" s="1"/>
  <c r="B100" i="19"/>
  <c r="B72" i="19"/>
  <c r="D113" i="12"/>
  <c r="D120" i="12"/>
  <c r="E120" i="12" s="1"/>
  <c r="Z100" i="19"/>
  <c r="V99" i="20"/>
  <c r="U99" i="20"/>
  <c r="U105" i="21"/>
  <c r="U104" i="20"/>
  <c r="U103" i="20"/>
  <c r="T100" i="20"/>
  <c r="T99" i="21"/>
  <c r="T101" i="20"/>
  <c r="S101" i="21"/>
  <c r="S104" i="20"/>
  <c r="R99" i="20"/>
  <c r="P101" i="21"/>
  <c r="O101" i="19"/>
  <c r="O104" i="20"/>
  <c r="O106" i="19"/>
  <c r="O106" i="21"/>
  <c r="N104" i="21"/>
  <c r="M106" i="20"/>
  <c r="L103" i="21"/>
  <c r="L101" i="21"/>
  <c r="I99" i="20"/>
  <c r="I104" i="21"/>
  <c r="G101" i="21"/>
  <c r="G99" i="19"/>
  <c r="G99" i="21"/>
  <c r="F99" i="19"/>
  <c r="D99" i="21"/>
  <c r="D99" i="19"/>
  <c r="C60" i="19"/>
  <c r="D60" i="19" s="1"/>
  <c r="E60" i="19" s="1"/>
  <c r="F60" i="19" s="1"/>
  <c r="G60" i="19" s="1"/>
  <c r="H60" i="19" s="1"/>
  <c r="I60" i="19" s="1"/>
  <c r="J60" i="19" s="1"/>
  <c r="K60" i="19" s="1"/>
  <c r="L60" i="19" s="1"/>
  <c r="M60" i="19" s="1"/>
  <c r="N60" i="19" s="1"/>
  <c r="O60" i="19" s="1"/>
  <c r="P60" i="19" s="1"/>
  <c r="Q60" i="19" s="1"/>
  <c r="R60" i="19" s="1"/>
  <c r="S60" i="19" s="1"/>
  <c r="T60" i="19" s="1"/>
  <c r="U60" i="19" s="1"/>
  <c r="V60" i="19" s="1"/>
  <c r="W60" i="19" s="1"/>
  <c r="X60" i="19" s="1"/>
  <c r="Y60" i="19" s="1"/>
  <c r="Z60" i="19" s="1"/>
  <c r="AA60" i="19" s="1"/>
  <c r="B104" i="20"/>
  <c r="B76" i="20"/>
  <c r="B73" i="20"/>
  <c r="B101" i="20"/>
  <c r="B99" i="20"/>
  <c r="B71" i="20"/>
  <c r="D58" i="20"/>
  <c r="E58" i="20" s="1"/>
  <c r="F58" i="20" s="1"/>
  <c r="G58" i="20" s="1"/>
  <c r="H58" i="20" s="1"/>
  <c r="I58" i="20" s="1"/>
  <c r="J58" i="20" s="1"/>
  <c r="K58" i="20" s="1"/>
  <c r="L58" i="20" s="1"/>
  <c r="M58" i="20" s="1"/>
  <c r="N58" i="20" s="1"/>
  <c r="O58" i="20" s="1"/>
  <c r="P58" i="20" s="1"/>
  <c r="Q58" i="20" s="1"/>
  <c r="R58" i="20" s="1"/>
  <c r="S58" i="20" s="1"/>
  <c r="T58" i="20" s="1"/>
  <c r="U58" i="20" s="1"/>
  <c r="V58" i="20" s="1"/>
  <c r="W58" i="20" s="1"/>
  <c r="X58" i="20" s="1"/>
  <c r="Y58" i="20" s="1"/>
  <c r="Z58" i="20" s="1"/>
  <c r="AA58" i="20" s="1"/>
  <c r="B105" i="19"/>
  <c r="B77" i="19"/>
  <c r="B104" i="21"/>
  <c r="B76" i="21"/>
  <c r="C125" i="13"/>
  <c r="D114" i="12"/>
  <c r="C57" i="19"/>
  <c r="D57" i="19" s="1"/>
  <c r="E57" i="19" s="1"/>
  <c r="F57" i="19" s="1"/>
  <c r="G57" i="19" s="1"/>
  <c r="H57" i="19" s="1"/>
  <c r="I57" i="19" s="1"/>
  <c r="J57" i="19" s="1"/>
  <c r="K57" i="19" s="1"/>
  <c r="L57" i="19" s="1"/>
  <c r="M57" i="19" s="1"/>
  <c r="N57" i="19" s="1"/>
  <c r="O57" i="19" s="1"/>
  <c r="P57" i="19" s="1"/>
  <c r="Q57" i="19" s="1"/>
  <c r="R57" i="19" s="1"/>
  <c r="S57" i="19" s="1"/>
  <c r="T57" i="19" s="1"/>
  <c r="U57" i="19" s="1"/>
  <c r="V57" i="19" s="1"/>
  <c r="W57" i="19" s="1"/>
  <c r="X57" i="19" s="1"/>
  <c r="Y57" i="19" s="1"/>
  <c r="Z57" i="19" s="1"/>
  <c r="AA57" i="19" s="1"/>
  <c r="AB30" i="19"/>
  <c r="AB36" i="19"/>
  <c r="AB31" i="19"/>
  <c r="AC28" i="19"/>
  <c r="AB35" i="19"/>
  <c r="AB33" i="19"/>
  <c r="AB37" i="19"/>
  <c r="AB48" i="19"/>
  <c r="AB51" i="19"/>
  <c r="AB32" i="19"/>
  <c r="AB38" i="19"/>
  <c r="AB49" i="19"/>
  <c r="AB46" i="19"/>
  <c r="AB44" i="19"/>
  <c r="AB45" i="19"/>
  <c r="AB50" i="19"/>
  <c r="AA101" i="19"/>
  <c r="AA106" i="19"/>
  <c r="AA106" i="20"/>
  <c r="AA104" i="20"/>
  <c r="AA105" i="21"/>
  <c r="AA100" i="21"/>
  <c r="AA99" i="21"/>
  <c r="AC28" i="21"/>
  <c r="AB30" i="21"/>
  <c r="AB36" i="21"/>
  <c r="AB45" i="21"/>
  <c r="AB33" i="21"/>
  <c r="AB44" i="21"/>
  <c r="AB49" i="21"/>
  <c r="AB32" i="21"/>
  <c r="AB46" i="21"/>
  <c r="AB31" i="21"/>
  <c r="AB50" i="21"/>
  <c r="AB38" i="21"/>
  <c r="AB48" i="21"/>
  <c r="AB35" i="21"/>
  <c r="AB37" i="21"/>
  <c r="AB51" i="21"/>
  <c r="AA103" i="21"/>
  <c r="AA101" i="21"/>
  <c r="AA104" i="21"/>
  <c r="AB30" i="20"/>
  <c r="AB36" i="20"/>
  <c r="AC28" i="20"/>
  <c r="AB49" i="20"/>
  <c r="AB37" i="20"/>
  <c r="AB50" i="20"/>
  <c r="AB32" i="20"/>
  <c r="AB45" i="20"/>
  <c r="AB33" i="20"/>
  <c r="AB46" i="20"/>
  <c r="AB44" i="20"/>
  <c r="AB51" i="20"/>
  <c r="AB38" i="20"/>
  <c r="AB31" i="20"/>
  <c r="AB35" i="20"/>
  <c r="AB48" i="20"/>
  <c r="AA101" i="20"/>
  <c r="AA103" i="20"/>
  <c r="AA100" i="20"/>
  <c r="D99" i="17"/>
  <c r="J104" i="17"/>
  <c r="J101" i="17"/>
  <c r="J100" i="17"/>
  <c r="J105" i="17"/>
  <c r="C64" i="17"/>
  <c r="D64" i="17" s="1"/>
  <c r="E64" i="17" s="1"/>
  <c r="F64" i="17" s="1"/>
  <c r="G64" i="17" s="1"/>
  <c r="H64" i="17" s="1"/>
  <c r="I64" i="17" s="1"/>
  <c r="J64" i="17" s="1"/>
  <c r="K64" i="17" s="1"/>
  <c r="L64" i="17" s="1"/>
  <c r="B19" i="43"/>
  <c r="B19" i="41"/>
  <c r="D62" i="17"/>
  <c r="E62" i="17" s="1"/>
  <c r="F62" i="17" s="1"/>
  <c r="G62" i="17" s="1"/>
  <c r="H62" i="17" s="1"/>
  <c r="I62" i="17" s="1"/>
  <c r="J62" i="17" s="1"/>
  <c r="K62" i="17" s="1"/>
  <c r="L62" i="17" s="1"/>
  <c r="E99" i="17"/>
  <c r="F99" i="17"/>
  <c r="J106" i="17"/>
  <c r="B10" i="42"/>
  <c r="B10" i="43"/>
  <c r="B10" i="41"/>
  <c r="C20" i="14"/>
  <c r="D20" i="14" s="1"/>
  <c r="C20" i="13"/>
  <c r="D20" i="13" s="1"/>
  <c r="C20" i="11"/>
  <c r="D20" i="11" s="1"/>
  <c r="C15" i="11"/>
  <c r="D15" i="11" s="1"/>
  <c r="C15" i="13"/>
  <c r="D15" i="13" s="1"/>
  <c r="C15" i="14"/>
  <c r="D15" i="14" s="1"/>
  <c r="C16" i="13"/>
  <c r="D16" i="13" s="1"/>
  <c r="C16" i="11"/>
  <c r="D16" i="11" s="1"/>
  <c r="C16" i="14"/>
  <c r="D16" i="14" s="1"/>
  <c r="C21" i="13"/>
  <c r="D21" i="13" s="1"/>
  <c r="C21" i="11"/>
  <c r="D21" i="11" s="1"/>
  <c r="C21" i="14"/>
  <c r="D21" i="14" s="1"/>
  <c r="C4" i="11"/>
  <c r="D4" i="11" s="1"/>
  <c r="C4" i="13"/>
  <c r="D4" i="13" s="1"/>
  <c r="C4" i="14"/>
  <c r="D4" i="14" s="1"/>
  <c r="C5" i="11"/>
  <c r="D5" i="11" s="1"/>
  <c r="C5" i="13"/>
  <c r="D5" i="13" s="1"/>
  <c r="C5" i="14"/>
  <c r="D5" i="14" s="1"/>
  <c r="C17" i="13"/>
  <c r="D17" i="13" s="1"/>
  <c r="C17" i="14"/>
  <c r="D17" i="14" s="1"/>
  <c r="C17" i="11"/>
  <c r="D17" i="11" s="1"/>
  <c r="C10" i="14"/>
  <c r="D10" i="14" s="1"/>
  <c r="C10" i="13"/>
  <c r="D10" i="13" s="1"/>
  <c r="C10" i="11"/>
  <c r="D10" i="11" s="1"/>
  <c r="C22" i="14"/>
  <c r="D22" i="14" s="1"/>
  <c r="C22" i="11"/>
  <c r="D22" i="11" s="1"/>
  <c r="C22" i="13"/>
  <c r="D22" i="13" s="1"/>
  <c r="C6" i="13"/>
  <c r="D6" i="13" s="1"/>
  <c r="C6" i="14"/>
  <c r="D6" i="14" s="1"/>
  <c r="C6" i="11"/>
  <c r="D6" i="11" s="1"/>
  <c r="C11" i="11"/>
  <c r="D11" i="11" s="1"/>
  <c r="C11" i="14"/>
  <c r="D11" i="14" s="1"/>
  <c r="C11" i="13"/>
  <c r="D11" i="13" s="1"/>
  <c r="C23" i="14"/>
  <c r="D23" i="14" s="1"/>
  <c r="C23" i="11"/>
  <c r="D23" i="11" s="1"/>
  <c r="C23" i="13"/>
  <c r="D23" i="13" s="1"/>
  <c r="A10" i="37"/>
  <c r="C7" i="13"/>
  <c r="D7" i="13" s="1"/>
  <c r="C7" i="14"/>
  <c r="D7" i="14" s="1"/>
  <c r="C7" i="11"/>
  <c r="D7" i="11" s="1"/>
  <c r="C12" i="14"/>
  <c r="D12" i="14" s="1"/>
  <c r="C12" i="11"/>
  <c r="D12" i="11" s="1"/>
  <c r="C12" i="13"/>
  <c r="D12" i="13" s="1"/>
  <c r="C24" i="13"/>
  <c r="D24" i="13" s="1"/>
  <c r="C24" i="14"/>
  <c r="D24" i="14" s="1"/>
  <c r="C24" i="11"/>
  <c r="D24" i="11" s="1"/>
  <c r="A19" i="37"/>
  <c r="C8" i="14"/>
  <c r="D8" i="14" s="1"/>
  <c r="C8" i="13"/>
  <c r="D8" i="13" s="1"/>
  <c r="C8" i="11"/>
  <c r="D8" i="11" s="1"/>
  <c r="C13" i="14"/>
  <c r="D13" i="14" s="1"/>
  <c r="C13" i="11"/>
  <c r="D13" i="11" s="1"/>
  <c r="C13" i="13"/>
  <c r="D13" i="13" s="1"/>
  <c r="C25" i="13"/>
  <c r="D25" i="13" s="1"/>
  <c r="C25" i="11"/>
  <c r="D25" i="11" s="1"/>
  <c r="C25" i="14"/>
  <c r="D25" i="14" s="1"/>
  <c r="C65" i="17"/>
  <c r="D65" i="17" s="1"/>
  <c r="E65" i="17" s="1"/>
  <c r="F65" i="17" s="1"/>
  <c r="G65" i="17" s="1"/>
  <c r="H65" i="17" s="1"/>
  <c r="I65" i="17" s="1"/>
  <c r="J65" i="17" s="1"/>
  <c r="K65" i="17" s="1"/>
  <c r="L65" i="17" s="1"/>
  <c r="C9" i="13"/>
  <c r="D9" i="13" s="1"/>
  <c r="C9" i="11"/>
  <c r="D9" i="11" s="1"/>
  <c r="C9" i="14"/>
  <c r="D9" i="14" s="1"/>
  <c r="C2" i="13"/>
  <c r="C2" i="11"/>
  <c r="C2" i="14"/>
  <c r="C14" i="13"/>
  <c r="D14" i="13" s="1"/>
  <c r="C14" i="11"/>
  <c r="D14" i="11" s="1"/>
  <c r="C14" i="14"/>
  <c r="D14" i="14" s="1"/>
  <c r="C18" i="14"/>
  <c r="D18" i="14" s="1"/>
  <c r="C18" i="11"/>
  <c r="D18" i="11" s="1"/>
  <c r="C18" i="13"/>
  <c r="D18" i="13" s="1"/>
  <c r="C19" i="13"/>
  <c r="D19" i="13" s="1"/>
  <c r="C19" i="14"/>
  <c r="D19" i="14" s="1"/>
  <c r="C19" i="11"/>
  <c r="D19" i="11" s="1"/>
  <c r="C3" i="11"/>
  <c r="D3" i="11" s="1"/>
  <c r="C3" i="13"/>
  <c r="D3" i="13" s="1"/>
  <c r="C3" i="14"/>
  <c r="D3" i="14" s="1"/>
  <c r="I104" i="17"/>
  <c r="C106" i="17"/>
  <c r="D106" i="17"/>
  <c r="E106" i="17"/>
  <c r="F106" i="17"/>
  <c r="F100" i="17"/>
  <c r="D105" i="17"/>
  <c r="I106" i="17"/>
  <c r="C57" i="17"/>
  <c r="D57" i="17" s="1"/>
  <c r="E57" i="17" s="1"/>
  <c r="F57" i="17" s="1"/>
  <c r="G57" i="17" s="1"/>
  <c r="H57" i="17" s="1"/>
  <c r="I57" i="17" s="1"/>
  <c r="J57" i="17" s="1"/>
  <c r="K57" i="17" s="1"/>
  <c r="L57" i="17" s="1"/>
  <c r="J103" i="17"/>
  <c r="C60" i="17"/>
  <c r="D60" i="17" s="1"/>
  <c r="E60" i="17" s="1"/>
  <c r="F60" i="17" s="1"/>
  <c r="G60" i="17" s="1"/>
  <c r="H60" i="17" s="1"/>
  <c r="I60" i="17" s="1"/>
  <c r="J60" i="17" s="1"/>
  <c r="K60" i="17" s="1"/>
  <c r="L60" i="17" s="1"/>
  <c r="B100" i="17"/>
  <c r="B72" i="17"/>
  <c r="C100" i="17"/>
  <c r="D100" i="17"/>
  <c r="E100" i="17"/>
  <c r="D101" i="17"/>
  <c r="C103" i="17"/>
  <c r="H103" i="17"/>
  <c r="B71" i="17"/>
  <c r="B99" i="17"/>
  <c r="C63" i="17"/>
  <c r="D63" i="17" s="1"/>
  <c r="E63" i="17" s="1"/>
  <c r="F63" i="17" s="1"/>
  <c r="G63" i="17" s="1"/>
  <c r="H63" i="17" s="1"/>
  <c r="I63" i="17" s="1"/>
  <c r="J63" i="17" s="1"/>
  <c r="K63" i="17" s="1"/>
  <c r="L63" i="17" s="1"/>
  <c r="D103" i="17"/>
  <c r="E103" i="17"/>
  <c r="H104" i="17"/>
  <c r="F103" i="17"/>
  <c r="G103" i="17"/>
  <c r="F104" i="17"/>
  <c r="B105" i="17"/>
  <c r="B77" i="17"/>
  <c r="F105" i="17"/>
  <c r="G105" i="17"/>
  <c r="E105" i="17"/>
  <c r="H105" i="17"/>
  <c r="B98" i="17"/>
  <c r="B70" i="17"/>
  <c r="B103" i="17"/>
  <c r="B75" i="17"/>
  <c r="I105" i="17"/>
  <c r="I99" i="17"/>
  <c r="C101" i="17"/>
  <c r="C98" i="17"/>
  <c r="H106" i="17"/>
  <c r="C59" i="17"/>
  <c r="D59" i="17" s="1"/>
  <c r="E59" i="17" s="1"/>
  <c r="F59" i="17" s="1"/>
  <c r="G59" i="17" s="1"/>
  <c r="H59" i="17" s="1"/>
  <c r="I59" i="17" s="1"/>
  <c r="J59" i="17" s="1"/>
  <c r="K59" i="17" s="1"/>
  <c r="L59" i="17" s="1"/>
  <c r="D98" i="17"/>
  <c r="G104" i="17"/>
  <c r="F101" i="17"/>
  <c r="H100" i="17"/>
  <c r="E104" i="17"/>
  <c r="I100" i="17"/>
  <c r="E101" i="17"/>
  <c r="C99" i="17"/>
  <c r="G99" i="17"/>
  <c r="H99" i="17"/>
  <c r="B101" i="17"/>
  <c r="B73" i="17"/>
  <c r="G106" i="17"/>
  <c r="G100" i="17"/>
  <c r="B106" i="17"/>
  <c r="B78" i="17"/>
  <c r="G101" i="17"/>
  <c r="H101" i="17"/>
  <c r="B76" i="17"/>
  <c r="B104" i="17"/>
  <c r="I101" i="17"/>
  <c r="C104" i="17"/>
  <c r="D104" i="17"/>
  <c r="I103" i="17"/>
  <c r="C105" i="17"/>
  <c r="K104" i="17"/>
  <c r="K99" i="17"/>
  <c r="B59" i="13"/>
  <c r="B59" i="14"/>
  <c r="B59" i="11"/>
  <c r="C59" i="11"/>
  <c r="C59" i="13"/>
  <c r="C59" i="14"/>
  <c r="B58" i="11"/>
  <c r="C58" i="14"/>
  <c r="C58" i="11"/>
  <c r="B58" i="13"/>
  <c r="B58" i="14"/>
  <c r="C58" i="13"/>
  <c r="B51" i="13"/>
  <c r="B51" i="14"/>
  <c r="B51" i="11"/>
  <c r="C51" i="11"/>
  <c r="C51" i="13"/>
  <c r="C51" i="14"/>
  <c r="B56" i="13"/>
  <c r="B56" i="14"/>
  <c r="B56" i="11"/>
  <c r="C56" i="11"/>
  <c r="C56" i="13"/>
  <c r="C56" i="14"/>
  <c r="B57" i="13"/>
  <c r="B57" i="14"/>
  <c r="B57" i="11"/>
  <c r="C57" i="11"/>
  <c r="C57" i="13"/>
  <c r="C57" i="14"/>
  <c r="B50" i="11"/>
  <c r="C50" i="11"/>
  <c r="B50" i="14"/>
  <c r="B50" i="13"/>
  <c r="C50" i="13"/>
  <c r="C50" i="14"/>
  <c r="B52" i="14"/>
  <c r="C52" i="14"/>
  <c r="B52" i="13"/>
  <c r="B52" i="11"/>
  <c r="C52" i="11"/>
  <c r="C52" i="13"/>
  <c r="B55" i="13"/>
  <c r="B55" i="14"/>
  <c r="B55" i="11"/>
  <c r="C55" i="11"/>
  <c r="C55" i="13"/>
  <c r="C55" i="14"/>
  <c r="B61" i="13"/>
  <c r="B61" i="14"/>
  <c r="B61" i="11"/>
  <c r="C61" i="11"/>
  <c r="C61" i="13"/>
  <c r="C61" i="14"/>
  <c r="B63" i="13"/>
  <c r="B63" i="14"/>
  <c r="B63" i="11"/>
  <c r="C63" i="11"/>
  <c r="C63" i="13"/>
  <c r="C63" i="14"/>
  <c r="B60" i="13"/>
  <c r="B60" i="11"/>
  <c r="C60" i="13"/>
  <c r="B60" i="14"/>
  <c r="C60" i="14"/>
  <c r="C60" i="11"/>
  <c r="B65" i="13"/>
  <c r="B65" i="14"/>
  <c r="B65" i="11"/>
  <c r="C65" i="11"/>
  <c r="C65" i="13"/>
  <c r="C65" i="14"/>
  <c r="B62" i="13"/>
  <c r="B62" i="14"/>
  <c r="B62" i="11"/>
  <c r="C62" i="11"/>
  <c r="C62" i="13"/>
  <c r="C62" i="14"/>
  <c r="B64" i="13"/>
  <c r="B64" i="14"/>
  <c r="B64" i="11"/>
  <c r="C64" i="11"/>
  <c r="C64" i="13"/>
  <c r="C64" i="14"/>
  <c r="B54" i="13"/>
  <c r="B54" i="14"/>
  <c r="B54" i="11"/>
  <c r="C54" i="11"/>
  <c r="C54" i="13"/>
  <c r="C54" i="14"/>
  <c r="B53" i="13"/>
  <c r="B53" i="14"/>
  <c r="B53" i="11"/>
  <c r="C53" i="11"/>
  <c r="C53" i="13"/>
  <c r="C53" i="14"/>
  <c r="K105" i="17"/>
  <c r="B10" i="39"/>
  <c r="K103" i="17"/>
  <c r="K101" i="17"/>
  <c r="K100" i="17"/>
  <c r="K106" i="17"/>
  <c r="M28" i="17"/>
  <c r="C38" i="13"/>
  <c r="B38" i="13" s="1"/>
  <c r="C38" i="14"/>
  <c r="B38" i="14" s="1"/>
  <c r="C38" i="11"/>
  <c r="C37" i="11"/>
  <c r="C37" i="13"/>
  <c r="B37" i="13" s="1"/>
  <c r="C37" i="14"/>
  <c r="B37" i="14" s="1"/>
  <c r="C41" i="13"/>
  <c r="B41" i="13" s="1"/>
  <c r="C41" i="11"/>
  <c r="C41" i="14"/>
  <c r="B41" i="14" s="1"/>
  <c r="C36" i="13"/>
  <c r="B36" i="13" s="1"/>
  <c r="C36" i="14"/>
  <c r="B36" i="14" s="1"/>
  <c r="C36" i="11"/>
  <c r="C34" i="11"/>
  <c r="C34" i="14"/>
  <c r="B34" i="14" s="1"/>
  <c r="C34" i="13"/>
  <c r="B34" i="13" s="1"/>
  <c r="C40" i="14"/>
  <c r="B40" i="14" s="1"/>
  <c r="C40" i="13"/>
  <c r="B40" i="13" s="1"/>
  <c r="C40" i="11"/>
  <c r="C35" i="13"/>
  <c r="B35" i="13" s="1"/>
  <c r="C35" i="14"/>
  <c r="B35" i="14" s="1"/>
  <c r="C35" i="11"/>
  <c r="C39" i="14"/>
  <c r="B39" i="14" s="1"/>
  <c r="C39" i="13"/>
  <c r="B39" i="13" s="1"/>
  <c r="C39" i="11"/>
  <c r="B19" i="36"/>
  <c r="B19" i="39"/>
  <c r="B19" i="37"/>
  <c r="B10" i="38"/>
  <c r="B19" i="38"/>
  <c r="B10" i="37"/>
  <c r="B10" i="40"/>
  <c r="B10" i="36"/>
  <c r="B19" i="40"/>
  <c r="D1" i="11"/>
  <c r="N19" i="15" l="1"/>
  <c r="D64" i="47"/>
  <c r="D57" i="47"/>
  <c r="D54" i="47"/>
  <c r="E34" i="12"/>
  <c r="D60" i="47"/>
  <c r="E42" i="12"/>
  <c r="D125" i="47"/>
  <c r="D52" i="12"/>
  <c r="D56" i="47"/>
  <c r="D62" i="47"/>
  <c r="D63" i="47"/>
  <c r="D59" i="47"/>
  <c r="N22" i="15"/>
  <c r="N18" i="15"/>
  <c r="D51" i="47"/>
  <c r="D55" i="47"/>
  <c r="D53" i="47"/>
  <c r="D11" i="15"/>
  <c r="N16" i="15"/>
  <c r="C77" i="48"/>
  <c r="B119" i="48"/>
  <c r="E8" i="15"/>
  <c r="B26" i="47"/>
  <c r="B120" i="48"/>
  <c r="C78" i="48"/>
  <c r="B42" i="47"/>
  <c r="E10" i="15"/>
  <c r="D50" i="47"/>
  <c r="E11" i="15"/>
  <c r="B34" i="47"/>
  <c r="E9" i="15"/>
  <c r="B114" i="48"/>
  <c r="C72" i="48"/>
  <c r="D65" i="47"/>
  <c r="B115" i="48"/>
  <c r="C73" i="48"/>
  <c r="E110" i="47"/>
  <c r="C71" i="48"/>
  <c r="B113" i="48"/>
  <c r="E12" i="15"/>
  <c r="C76" i="48"/>
  <c r="B118" i="48"/>
  <c r="E13" i="15"/>
  <c r="N13" i="15" s="1"/>
  <c r="D2" i="47"/>
  <c r="D58" i="47"/>
  <c r="D12" i="15"/>
  <c r="B117" i="48"/>
  <c r="C75" i="48"/>
  <c r="D10" i="47"/>
  <c r="E14" i="15"/>
  <c r="N14" i="15" s="1"/>
  <c r="D124" i="47"/>
  <c r="D61" i="47"/>
  <c r="D18" i="47"/>
  <c r="E15" i="15"/>
  <c r="N15" i="15" s="1"/>
  <c r="C70" i="48"/>
  <c r="B112" i="48"/>
  <c r="D52" i="47"/>
  <c r="D50" i="12"/>
  <c r="D65" i="12"/>
  <c r="AB104" i="21"/>
  <c r="D125" i="12"/>
  <c r="D57" i="12"/>
  <c r="AB57" i="21"/>
  <c r="AB62" i="21"/>
  <c r="AB60" i="21"/>
  <c r="AB64" i="21"/>
  <c r="D53" i="12"/>
  <c r="AB63" i="20"/>
  <c r="AB59" i="21"/>
  <c r="D62" i="12"/>
  <c r="AB103" i="21"/>
  <c r="AB57" i="19"/>
  <c r="AB100" i="21"/>
  <c r="AB59" i="19"/>
  <c r="D54" i="12"/>
  <c r="D59" i="12"/>
  <c r="AB62" i="19"/>
  <c r="AB62" i="20"/>
  <c r="C71" i="20"/>
  <c r="B113" i="20"/>
  <c r="D2" i="13"/>
  <c r="E2" i="13" s="1"/>
  <c r="C72" i="21"/>
  <c r="B114" i="21"/>
  <c r="AB60" i="20"/>
  <c r="AB57" i="20"/>
  <c r="B117" i="21"/>
  <c r="C75" i="21"/>
  <c r="E110" i="12"/>
  <c r="C72" i="20"/>
  <c r="B114" i="20"/>
  <c r="D60" i="12"/>
  <c r="D26" i="12"/>
  <c r="E26" i="12" s="1"/>
  <c r="AB58" i="20"/>
  <c r="AB100" i="20"/>
  <c r="AB65" i="19"/>
  <c r="AB58" i="19"/>
  <c r="B114" i="19"/>
  <c r="C72" i="19"/>
  <c r="B113" i="21"/>
  <c r="C71" i="21"/>
  <c r="B112" i="20"/>
  <c r="C70" i="20"/>
  <c r="B115" i="19"/>
  <c r="C73" i="19"/>
  <c r="B113" i="19"/>
  <c r="C71" i="19"/>
  <c r="D51" i="12"/>
  <c r="C70" i="19"/>
  <c r="B112" i="19"/>
  <c r="AB59" i="20"/>
  <c r="AB63" i="19"/>
  <c r="B118" i="21"/>
  <c r="C76" i="21"/>
  <c r="C73" i="20"/>
  <c r="B115" i="20"/>
  <c r="B119" i="20"/>
  <c r="C77" i="20"/>
  <c r="B112" i="21"/>
  <c r="C70" i="21"/>
  <c r="B120" i="19"/>
  <c r="C78" i="19"/>
  <c r="D55" i="12"/>
  <c r="B117" i="19"/>
  <c r="C75" i="19"/>
  <c r="AB65" i="20"/>
  <c r="AB105" i="19"/>
  <c r="B118" i="20"/>
  <c r="C76" i="20"/>
  <c r="C78" i="20"/>
  <c r="B120" i="20"/>
  <c r="D64" i="12"/>
  <c r="D61" i="12"/>
  <c r="AB64" i="20"/>
  <c r="AB65" i="21"/>
  <c r="AB103" i="19"/>
  <c r="B119" i="19"/>
  <c r="C77" i="19"/>
  <c r="B118" i="19"/>
  <c r="C76" i="19"/>
  <c r="B115" i="21"/>
  <c r="C73" i="21"/>
  <c r="D56" i="12"/>
  <c r="C78" i="21"/>
  <c r="B120" i="21"/>
  <c r="D2" i="14"/>
  <c r="E2" i="14" s="1"/>
  <c r="AB105" i="21"/>
  <c r="AB64" i="19"/>
  <c r="D125" i="13"/>
  <c r="D125" i="14"/>
  <c r="E2" i="12"/>
  <c r="D2" i="11"/>
  <c r="E2" i="11" s="1"/>
  <c r="AB58" i="21"/>
  <c r="AB63" i="21"/>
  <c r="AB60" i="19"/>
  <c r="C75" i="20"/>
  <c r="B117" i="20"/>
  <c r="B119" i="21"/>
  <c r="C77" i="21"/>
  <c r="D63" i="12"/>
  <c r="D58" i="12"/>
  <c r="AB99" i="21"/>
  <c r="AB106" i="19"/>
  <c r="AB100" i="19"/>
  <c r="AB99" i="19"/>
  <c r="AB101" i="19"/>
  <c r="AB104" i="19"/>
  <c r="AC30" i="19"/>
  <c r="AC57" i="19" s="1"/>
  <c r="AD28" i="19"/>
  <c r="AC44" i="19"/>
  <c r="AC48" i="19"/>
  <c r="AC38" i="19"/>
  <c r="AC37" i="19"/>
  <c r="AC50" i="19"/>
  <c r="AC36" i="19"/>
  <c r="AC51" i="19"/>
  <c r="AC45" i="19"/>
  <c r="AC49" i="19"/>
  <c r="AC31" i="19"/>
  <c r="AC46" i="19"/>
  <c r="AC32" i="19"/>
  <c r="AC35" i="19"/>
  <c r="AC33" i="19"/>
  <c r="AB104" i="20"/>
  <c r="AB103" i="20"/>
  <c r="AB105" i="20"/>
  <c r="AB106" i="21"/>
  <c r="AB101" i="21"/>
  <c r="AC30" i="21"/>
  <c r="AD28" i="21"/>
  <c r="AC46" i="21"/>
  <c r="AC38" i="21"/>
  <c r="AC48" i="21"/>
  <c r="AC49" i="21"/>
  <c r="AC45" i="21"/>
  <c r="AC33" i="21"/>
  <c r="AC36" i="21"/>
  <c r="AC31" i="21"/>
  <c r="AC35" i="21"/>
  <c r="AC62" i="21" s="1"/>
  <c r="AC44" i="21"/>
  <c r="AC32" i="21"/>
  <c r="AC51" i="21"/>
  <c r="AC37" i="21"/>
  <c r="AC50" i="21"/>
  <c r="AB106" i="20"/>
  <c r="AB99" i="20"/>
  <c r="AC30" i="20"/>
  <c r="AD28" i="20"/>
  <c r="AC36" i="20"/>
  <c r="AC45" i="20"/>
  <c r="AC49" i="20"/>
  <c r="AC31" i="20"/>
  <c r="AC50" i="20"/>
  <c r="AC44" i="20"/>
  <c r="AC51" i="20"/>
  <c r="AC33" i="20"/>
  <c r="AC37" i="20"/>
  <c r="AC38" i="20"/>
  <c r="AC32" i="20"/>
  <c r="AC48" i="20"/>
  <c r="AC46" i="20"/>
  <c r="AC35" i="20"/>
  <c r="AB101" i="20"/>
  <c r="G15" i="15"/>
  <c r="O15" i="15" s="1"/>
  <c r="K15" i="15"/>
  <c r="Q15" i="15" s="1"/>
  <c r="C15" i="15"/>
  <c r="M15" i="15" s="1"/>
  <c r="I15" i="15"/>
  <c r="C13" i="15"/>
  <c r="M13" i="15" s="1"/>
  <c r="K13" i="15"/>
  <c r="Q13" i="15" s="1"/>
  <c r="I13" i="15"/>
  <c r="G13" i="15"/>
  <c r="O13" i="15" s="1"/>
  <c r="K14" i="15"/>
  <c r="Q14" i="15" s="1"/>
  <c r="C14" i="15"/>
  <c r="M14" i="15" s="1"/>
  <c r="G14" i="15"/>
  <c r="O14" i="15" s="1"/>
  <c r="I14" i="15"/>
  <c r="C76" i="17"/>
  <c r="B118" i="17"/>
  <c r="B112" i="17"/>
  <c r="C70" i="17"/>
  <c r="B114" i="17"/>
  <c r="C72" i="17"/>
  <c r="B120" i="17"/>
  <c r="C78" i="17"/>
  <c r="B113" i="17"/>
  <c r="C71" i="17"/>
  <c r="B115" i="17"/>
  <c r="C73" i="17"/>
  <c r="B119" i="17"/>
  <c r="C77" i="17"/>
  <c r="B117" i="17"/>
  <c r="C75" i="17"/>
  <c r="F12" i="15"/>
  <c r="L106" i="17"/>
  <c r="J12" i="15"/>
  <c r="F11" i="15"/>
  <c r="B11" i="15"/>
  <c r="B12" i="15"/>
  <c r="J11" i="15"/>
  <c r="H11" i="15"/>
  <c r="H12" i="15"/>
  <c r="L100" i="17"/>
  <c r="L105" i="17"/>
  <c r="L99" i="17"/>
  <c r="L103" i="17"/>
  <c r="L101" i="17"/>
  <c r="L104" i="17"/>
  <c r="M57" i="17"/>
  <c r="N28" i="17"/>
  <c r="M65" i="17"/>
  <c r="M63" i="17"/>
  <c r="M60" i="17"/>
  <c r="M58" i="17"/>
  <c r="M64" i="17"/>
  <c r="M62" i="17"/>
  <c r="M59" i="17"/>
  <c r="C27" i="11"/>
  <c r="B27" i="11" s="1"/>
  <c r="D27" i="11" s="1"/>
  <c r="P13" i="15" l="1"/>
  <c r="P14" i="15"/>
  <c r="P15" i="15"/>
  <c r="AC57" i="21"/>
  <c r="AC63" i="20"/>
  <c r="AC60" i="20"/>
  <c r="AC62" i="20"/>
  <c r="AC65" i="21"/>
  <c r="E50" i="47"/>
  <c r="AC58" i="20"/>
  <c r="AC105" i="21"/>
  <c r="AC59" i="20"/>
  <c r="AC64" i="20"/>
  <c r="N11" i="15"/>
  <c r="E2" i="47"/>
  <c r="C119" i="48"/>
  <c r="D77" i="48"/>
  <c r="D42" i="47"/>
  <c r="E42" i="47" s="1"/>
  <c r="D10" i="15"/>
  <c r="N10" i="15" s="1"/>
  <c r="C117" i="48"/>
  <c r="D75" i="48"/>
  <c r="D76" i="48"/>
  <c r="C118" i="48"/>
  <c r="C114" i="48"/>
  <c r="D72" i="48"/>
  <c r="C120" i="48"/>
  <c r="D78" i="48"/>
  <c r="D70" i="48"/>
  <c r="C112" i="48"/>
  <c r="N12" i="15"/>
  <c r="AC101" i="21"/>
  <c r="D8" i="15"/>
  <c r="N8" i="15" s="1"/>
  <c r="D26" i="47"/>
  <c r="E26" i="47" s="1"/>
  <c r="C115" i="48"/>
  <c r="D73" i="48"/>
  <c r="E58" i="47"/>
  <c r="C113" i="48"/>
  <c r="D71" i="48"/>
  <c r="D9" i="15"/>
  <c r="N9" i="15" s="1"/>
  <c r="D34" i="47"/>
  <c r="E34" i="47" s="1"/>
  <c r="AC60" i="21"/>
  <c r="AC60" i="19"/>
  <c r="E58" i="12"/>
  <c r="AC64" i="21"/>
  <c r="AC101" i="19"/>
  <c r="AC63" i="21"/>
  <c r="AC62" i="19"/>
  <c r="AC63" i="19"/>
  <c r="AC59" i="19"/>
  <c r="AC105" i="19"/>
  <c r="AC58" i="19"/>
  <c r="AC65" i="19"/>
  <c r="E50" i="12"/>
  <c r="AC59" i="21"/>
  <c r="AC57" i="20"/>
  <c r="AC103" i="19"/>
  <c r="C119" i="20"/>
  <c r="D77" i="20"/>
  <c r="D70" i="20"/>
  <c r="C112" i="20"/>
  <c r="C114" i="21"/>
  <c r="D72" i="21"/>
  <c r="AC99" i="20"/>
  <c r="AC64" i="19"/>
  <c r="C118" i="19"/>
  <c r="D76" i="19"/>
  <c r="C117" i="19"/>
  <c r="D75" i="19"/>
  <c r="D72" i="20"/>
  <c r="C114" i="20"/>
  <c r="AC99" i="21"/>
  <c r="C119" i="21"/>
  <c r="D77" i="21"/>
  <c r="C112" i="19"/>
  <c r="D70" i="19"/>
  <c r="D71" i="21"/>
  <c r="C113" i="21"/>
  <c r="D75" i="21"/>
  <c r="C117" i="21"/>
  <c r="C119" i="19"/>
  <c r="D77" i="19"/>
  <c r="C115" i="20"/>
  <c r="D73" i="20"/>
  <c r="AC58" i="21"/>
  <c r="C120" i="20"/>
  <c r="D78" i="20"/>
  <c r="C120" i="19"/>
  <c r="D78" i="19"/>
  <c r="D76" i="21"/>
  <c r="C118" i="21"/>
  <c r="C113" i="19"/>
  <c r="D71" i="19"/>
  <c r="C114" i="19"/>
  <c r="D72" i="19"/>
  <c r="AC65" i="20"/>
  <c r="D75" i="20"/>
  <c r="C117" i="20"/>
  <c r="C120" i="21"/>
  <c r="D78" i="21"/>
  <c r="D76" i="20"/>
  <c r="C118" i="20"/>
  <c r="C113" i="20"/>
  <c r="D71" i="20"/>
  <c r="AC106" i="19"/>
  <c r="C112" i="21"/>
  <c r="D70" i="21"/>
  <c r="D73" i="19"/>
  <c r="C115" i="19"/>
  <c r="C115" i="21"/>
  <c r="D73" i="21"/>
  <c r="AC104" i="19"/>
  <c r="AC99" i="19"/>
  <c r="AC100" i="19"/>
  <c r="AD30" i="19"/>
  <c r="AD57" i="19" s="1"/>
  <c r="AE28" i="19"/>
  <c r="AD36" i="19"/>
  <c r="AD31" i="19"/>
  <c r="AD45" i="19"/>
  <c r="AD50" i="19"/>
  <c r="AD32" i="19"/>
  <c r="AD37" i="19"/>
  <c r="AD35" i="19"/>
  <c r="AD44" i="19"/>
  <c r="AD38" i="19"/>
  <c r="AD51" i="19"/>
  <c r="AD49" i="19"/>
  <c r="AD46" i="19"/>
  <c r="AD48" i="19"/>
  <c r="AD33" i="19"/>
  <c r="AC101" i="20"/>
  <c r="AC105" i="20"/>
  <c r="AC103" i="20"/>
  <c r="AC104" i="20"/>
  <c r="AC104" i="21"/>
  <c r="AC103" i="21"/>
  <c r="AD30" i="21"/>
  <c r="AE28" i="21"/>
  <c r="AD46" i="21"/>
  <c r="AD38" i="21"/>
  <c r="AD36" i="21"/>
  <c r="AD51" i="21"/>
  <c r="AD31" i="21"/>
  <c r="AD48" i="21"/>
  <c r="AD50" i="21"/>
  <c r="AD45" i="21"/>
  <c r="AD35" i="21"/>
  <c r="AD62" i="21" s="1"/>
  <c r="AD49" i="21"/>
  <c r="AD33" i="21"/>
  <c r="AD37" i="21"/>
  <c r="AD44" i="21"/>
  <c r="AD32" i="21"/>
  <c r="AC100" i="21"/>
  <c r="AC106" i="21"/>
  <c r="AC100" i="20"/>
  <c r="AC106" i="20"/>
  <c r="AD30" i="20"/>
  <c r="AE28" i="20"/>
  <c r="AD45" i="20"/>
  <c r="AD37" i="20"/>
  <c r="AD51" i="20"/>
  <c r="AD31" i="20"/>
  <c r="AD36" i="20"/>
  <c r="AD32" i="20"/>
  <c r="AD44" i="20"/>
  <c r="AD35" i="20"/>
  <c r="AD49" i="20"/>
  <c r="AD46" i="20"/>
  <c r="AD38" i="20"/>
  <c r="AD48" i="20"/>
  <c r="AD50" i="20"/>
  <c r="AD33" i="20"/>
  <c r="D73" i="17"/>
  <c r="C115" i="17"/>
  <c r="C112" i="17"/>
  <c r="D70" i="17"/>
  <c r="C117" i="17"/>
  <c r="D75" i="17"/>
  <c r="D77" i="17"/>
  <c r="C119" i="17"/>
  <c r="C113" i="17"/>
  <c r="D71" i="17"/>
  <c r="D78" i="17"/>
  <c r="C120" i="17"/>
  <c r="C114" i="17"/>
  <c r="D72" i="17"/>
  <c r="C118" i="17"/>
  <c r="D76" i="17"/>
  <c r="M104" i="17"/>
  <c r="M100" i="17"/>
  <c r="M99" i="17"/>
  <c r="M106" i="17"/>
  <c r="M105" i="17"/>
  <c r="M103" i="17"/>
  <c r="O28" i="17"/>
  <c r="N57" i="17"/>
  <c r="N65" i="17"/>
  <c r="N59" i="17"/>
  <c r="N60" i="17"/>
  <c r="N58" i="17"/>
  <c r="N62" i="17"/>
  <c r="N63" i="17"/>
  <c r="N64" i="17"/>
  <c r="M101" i="17"/>
  <c r="D64" i="13"/>
  <c r="D64" i="14"/>
  <c r="D65" i="11"/>
  <c r="D65" i="14"/>
  <c r="D65" i="13"/>
  <c r="D52" i="11"/>
  <c r="D52" i="14"/>
  <c r="D52" i="13"/>
  <c r="D61" i="11"/>
  <c r="D61" i="13"/>
  <c r="D61" i="14"/>
  <c r="C30" i="11"/>
  <c r="B30" i="11" s="1"/>
  <c r="D30" i="11" s="1"/>
  <c r="C30" i="13"/>
  <c r="B30" i="13" s="1"/>
  <c r="D30" i="13" s="1"/>
  <c r="C30" i="14"/>
  <c r="B30" i="14" s="1"/>
  <c r="D30" i="14" s="1"/>
  <c r="C26" i="11"/>
  <c r="C26" i="13"/>
  <c r="C26" i="14"/>
  <c r="D56" i="13"/>
  <c r="D56" i="14"/>
  <c r="D54" i="11"/>
  <c r="D54" i="13"/>
  <c r="D54" i="14"/>
  <c r="D51" i="13"/>
  <c r="D51" i="14"/>
  <c r="D53" i="11"/>
  <c r="D53" i="14"/>
  <c r="D53" i="13"/>
  <c r="D62" i="11"/>
  <c r="D62" i="14"/>
  <c r="D62" i="13"/>
  <c r="D59" i="13"/>
  <c r="D59" i="14"/>
  <c r="C32" i="13"/>
  <c r="B32" i="13" s="1"/>
  <c r="D32" i="13" s="1"/>
  <c r="C32" i="14"/>
  <c r="B32" i="14" s="1"/>
  <c r="D32" i="14" s="1"/>
  <c r="D60" i="11"/>
  <c r="D60" i="13"/>
  <c r="D60" i="14"/>
  <c r="C29" i="11"/>
  <c r="B29" i="11" s="1"/>
  <c r="D29" i="11" s="1"/>
  <c r="C29" i="13"/>
  <c r="B29" i="13" s="1"/>
  <c r="D29" i="13" s="1"/>
  <c r="C29" i="14"/>
  <c r="B29" i="14" s="1"/>
  <c r="D29" i="14" s="1"/>
  <c r="C28" i="11"/>
  <c r="B28" i="11" s="1"/>
  <c r="D28" i="11" s="1"/>
  <c r="C28" i="13"/>
  <c r="B28" i="13" s="1"/>
  <c r="D28" i="13" s="1"/>
  <c r="C28" i="14"/>
  <c r="B28" i="14" s="1"/>
  <c r="D28" i="14" s="1"/>
  <c r="C33" i="11"/>
  <c r="B33" i="11" s="1"/>
  <c r="D33" i="11" s="1"/>
  <c r="C33" i="13"/>
  <c r="B33" i="13" s="1"/>
  <c r="D33" i="13" s="1"/>
  <c r="C33" i="14"/>
  <c r="B33" i="14" s="1"/>
  <c r="D33" i="14" s="1"/>
  <c r="D57" i="11"/>
  <c r="D57" i="14"/>
  <c r="D57" i="13"/>
  <c r="C27" i="14"/>
  <c r="B27" i="14" s="1"/>
  <c r="D27" i="14" s="1"/>
  <c r="C27" i="13"/>
  <c r="B27" i="13" s="1"/>
  <c r="D27" i="13" s="1"/>
  <c r="D59" i="11"/>
  <c r="D51" i="11"/>
  <c r="C32" i="11"/>
  <c r="B32" i="11" s="1"/>
  <c r="D32" i="11" s="1"/>
  <c r="D56" i="11"/>
  <c r="D64" i="11"/>
  <c r="AD65" i="21" l="1"/>
  <c r="AD65" i="20"/>
  <c r="AD59" i="20"/>
  <c r="AD58" i="20"/>
  <c r="AD57" i="20"/>
  <c r="AD57" i="21"/>
  <c r="AD60" i="19"/>
  <c r="AD60" i="20"/>
  <c r="AD63" i="20"/>
  <c r="AD62" i="20"/>
  <c r="AD60" i="21"/>
  <c r="AD64" i="21"/>
  <c r="E121" i="12"/>
  <c r="AD64" i="20"/>
  <c r="D112" i="48"/>
  <c r="E71" i="48"/>
  <c r="D113" i="48"/>
  <c r="D114" i="48"/>
  <c r="E72" i="48"/>
  <c r="D119" i="48"/>
  <c r="E77" i="48"/>
  <c r="AD104" i="21"/>
  <c r="D120" i="48"/>
  <c r="E78" i="48"/>
  <c r="E73" i="48"/>
  <c r="D115" i="48"/>
  <c r="D118" i="48"/>
  <c r="E76" i="48"/>
  <c r="E75" i="48"/>
  <c r="D117" i="48"/>
  <c r="E121" i="47"/>
  <c r="AD62" i="19"/>
  <c r="AD63" i="21"/>
  <c r="AD104" i="20"/>
  <c r="AD59" i="21"/>
  <c r="AD59" i="19"/>
  <c r="AD58" i="21"/>
  <c r="AD106" i="21"/>
  <c r="AD65" i="19"/>
  <c r="AD58" i="19"/>
  <c r="AD63" i="19"/>
  <c r="AD100" i="20"/>
  <c r="AD99" i="21"/>
  <c r="D114" i="19"/>
  <c r="E72" i="19"/>
  <c r="D120" i="20"/>
  <c r="E78" i="20"/>
  <c r="AD99" i="20"/>
  <c r="AD106" i="19"/>
  <c r="D118" i="20"/>
  <c r="E76" i="20"/>
  <c r="D117" i="21"/>
  <c r="E75" i="21"/>
  <c r="D114" i="21"/>
  <c r="E72" i="21"/>
  <c r="E73" i="19"/>
  <c r="D115" i="19"/>
  <c r="E78" i="21"/>
  <c r="D120" i="21"/>
  <c r="D113" i="19"/>
  <c r="E71" i="19"/>
  <c r="D114" i="20"/>
  <c r="E72" i="20"/>
  <c r="D115" i="21"/>
  <c r="E73" i="21"/>
  <c r="AD99" i="19"/>
  <c r="D112" i="21"/>
  <c r="E71" i="21"/>
  <c r="D113" i="21"/>
  <c r="D117" i="19"/>
  <c r="E75" i="19"/>
  <c r="D115" i="20"/>
  <c r="E73" i="20"/>
  <c r="D112" i="19"/>
  <c r="D112" i="20"/>
  <c r="B26" i="11"/>
  <c r="D26" i="11" s="1"/>
  <c r="AD64" i="19"/>
  <c r="D117" i="20"/>
  <c r="E75" i="20"/>
  <c r="E76" i="21"/>
  <c r="D118" i="21"/>
  <c r="D118" i="19"/>
  <c r="E76" i="19"/>
  <c r="E77" i="20"/>
  <c r="D119" i="20"/>
  <c r="AD103" i="19"/>
  <c r="D113" i="20"/>
  <c r="E71" i="20"/>
  <c r="E78" i="19"/>
  <c r="D120" i="19"/>
  <c r="E77" i="19"/>
  <c r="D119" i="19"/>
  <c r="D119" i="21"/>
  <c r="E77" i="21"/>
  <c r="AE35" i="19"/>
  <c r="AF28" i="19"/>
  <c r="AE30" i="19"/>
  <c r="AE57" i="19" s="1"/>
  <c r="AE46" i="19"/>
  <c r="AE36" i="19"/>
  <c r="AE50" i="19"/>
  <c r="AE38" i="19"/>
  <c r="AE48" i="19"/>
  <c r="AE51" i="19"/>
  <c r="AE45" i="19"/>
  <c r="AE33" i="19"/>
  <c r="AE32" i="19"/>
  <c r="AE44" i="19"/>
  <c r="AE49" i="19"/>
  <c r="AE37" i="19"/>
  <c r="AE31" i="19"/>
  <c r="AD101" i="19"/>
  <c r="AD104" i="19"/>
  <c r="AD105" i="19"/>
  <c r="AD100" i="19"/>
  <c r="AD101" i="20"/>
  <c r="AD106" i="20"/>
  <c r="AD101" i="21"/>
  <c r="AD100" i="21"/>
  <c r="AE30" i="21"/>
  <c r="AF28" i="21"/>
  <c r="AE51" i="21"/>
  <c r="AE44" i="21"/>
  <c r="AE49" i="21"/>
  <c r="AE48" i="21"/>
  <c r="AE36" i="21"/>
  <c r="AE33" i="21"/>
  <c r="AE38" i="21"/>
  <c r="AE65" i="21" s="1"/>
  <c r="AE37" i="21"/>
  <c r="AE35" i="21"/>
  <c r="AE62" i="21" s="1"/>
  <c r="AE32" i="21"/>
  <c r="AE45" i="21"/>
  <c r="AE46" i="21"/>
  <c r="AE31" i="21"/>
  <c r="AE58" i="21" s="1"/>
  <c r="AE50" i="21"/>
  <c r="AD105" i="21"/>
  <c r="AD103" i="21"/>
  <c r="AE30" i="20"/>
  <c r="AF28" i="20"/>
  <c r="AE35" i="20"/>
  <c r="AE31" i="20"/>
  <c r="AE58" i="20" s="1"/>
  <c r="AE48" i="20"/>
  <c r="AE49" i="20"/>
  <c r="AE37" i="20"/>
  <c r="AE44" i="20"/>
  <c r="AE38" i="20"/>
  <c r="AE65" i="20" s="1"/>
  <c r="AE45" i="20"/>
  <c r="AE51" i="20"/>
  <c r="AE33" i="20"/>
  <c r="AE50" i="20"/>
  <c r="AE36" i="20"/>
  <c r="AE32" i="20"/>
  <c r="AE46" i="20"/>
  <c r="AD105" i="20"/>
  <c r="AD103" i="20"/>
  <c r="D119" i="17"/>
  <c r="E77" i="17"/>
  <c r="E76" i="17"/>
  <c r="D118" i="17"/>
  <c r="D120" i="17"/>
  <c r="E78" i="17"/>
  <c r="D117" i="17"/>
  <c r="E75" i="17"/>
  <c r="D112" i="17"/>
  <c r="D113" i="17"/>
  <c r="E71" i="17"/>
  <c r="D114" i="17"/>
  <c r="E72" i="17"/>
  <c r="D115" i="17"/>
  <c r="E73" i="17"/>
  <c r="N101" i="17"/>
  <c r="P28" i="17"/>
  <c r="O57" i="17"/>
  <c r="O63" i="17"/>
  <c r="O65" i="17"/>
  <c r="O60" i="17"/>
  <c r="O58" i="17"/>
  <c r="O62" i="17"/>
  <c r="O64" i="17"/>
  <c r="O100" i="17"/>
  <c r="O59" i="17"/>
  <c r="N99" i="17"/>
  <c r="N104" i="17"/>
  <c r="N100" i="17"/>
  <c r="N105" i="17"/>
  <c r="N103" i="17"/>
  <c r="N106" i="17"/>
  <c r="C42" i="11"/>
  <c r="C42" i="14"/>
  <c r="C42" i="13"/>
  <c r="C31" i="11"/>
  <c r="B31" i="11" s="1"/>
  <c r="D31" i="11" s="1"/>
  <c r="C31" i="14"/>
  <c r="B31" i="14" s="1"/>
  <c r="D31" i="14" s="1"/>
  <c r="C31" i="13"/>
  <c r="B31" i="13" s="1"/>
  <c r="D31" i="13" s="1"/>
  <c r="D55" i="11"/>
  <c r="D55" i="13"/>
  <c r="D55" i="14"/>
  <c r="B26" i="14"/>
  <c r="D50" i="13"/>
  <c r="D58" i="14"/>
  <c r="B26" i="13"/>
  <c r="D58" i="13"/>
  <c r="C45" i="11"/>
  <c r="B45" i="11" s="1"/>
  <c r="D45" i="11" s="1"/>
  <c r="C45" i="13"/>
  <c r="B45" i="13" s="1"/>
  <c r="D45" i="13" s="1"/>
  <c r="C45" i="14"/>
  <c r="B45" i="14" s="1"/>
  <c r="D45" i="14" s="1"/>
  <c r="D63" i="11"/>
  <c r="D63" i="14"/>
  <c r="D63" i="13"/>
  <c r="D50" i="14"/>
  <c r="D50" i="11"/>
  <c r="D58" i="11"/>
  <c r="AE60" i="19" l="1"/>
  <c r="AE57" i="20"/>
  <c r="AE59" i="20"/>
  <c r="AE57" i="21"/>
  <c r="AE62" i="20"/>
  <c r="AE60" i="20"/>
  <c r="AE63" i="20"/>
  <c r="AE60" i="21"/>
  <c r="AE59" i="21"/>
  <c r="AE64" i="20"/>
  <c r="AE64" i="21"/>
  <c r="AE62" i="19"/>
  <c r="AE63" i="19"/>
  <c r="AE63" i="21"/>
  <c r="AE104" i="19"/>
  <c r="F76" i="48"/>
  <c r="E118" i="48"/>
  <c r="AE59" i="19"/>
  <c r="E114" i="48"/>
  <c r="F72" i="48"/>
  <c r="F77" i="48"/>
  <c r="E119" i="48"/>
  <c r="F73" i="48"/>
  <c r="E115" i="48"/>
  <c r="E120" i="48"/>
  <c r="F78" i="48"/>
  <c r="F71" i="48"/>
  <c r="E113" i="48"/>
  <c r="E50" i="13"/>
  <c r="E117" i="48"/>
  <c r="F75" i="48"/>
  <c r="AE101" i="19"/>
  <c r="AE58" i="19"/>
  <c r="AE64" i="19"/>
  <c r="AE65" i="19"/>
  <c r="AE100" i="21"/>
  <c r="E58" i="13"/>
  <c r="AE103" i="21"/>
  <c r="E119" i="21"/>
  <c r="F77" i="21"/>
  <c r="E118" i="21"/>
  <c r="F76" i="21"/>
  <c r="E115" i="19"/>
  <c r="F73" i="19"/>
  <c r="E115" i="21"/>
  <c r="F73" i="21"/>
  <c r="E117" i="20"/>
  <c r="F75" i="20"/>
  <c r="F71" i="21"/>
  <c r="E113" i="21"/>
  <c r="F72" i="20"/>
  <c r="E114" i="20"/>
  <c r="E114" i="21"/>
  <c r="F72" i="21"/>
  <c r="E120" i="20"/>
  <c r="F78" i="20"/>
  <c r="AE101" i="20"/>
  <c r="AE100" i="20"/>
  <c r="AE99" i="21"/>
  <c r="AE103" i="19"/>
  <c r="E119" i="19"/>
  <c r="F77" i="19"/>
  <c r="E113" i="19"/>
  <c r="F71" i="19"/>
  <c r="E117" i="21"/>
  <c r="F75" i="21"/>
  <c r="E114" i="19"/>
  <c r="F72" i="19"/>
  <c r="E115" i="20"/>
  <c r="F73" i="20"/>
  <c r="E119" i="20"/>
  <c r="F77" i="20"/>
  <c r="E50" i="14"/>
  <c r="AE105" i="19"/>
  <c r="E120" i="19"/>
  <c r="F78" i="19"/>
  <c r="E118" i="19"/>
  <c r="F76" i="19"/>
  <c r="E118" i="20"/>
  <c r="F76" i="20"/>
  <c r="E58" i="14"/>
  <c r="E113" i="20"/>
  <c r="F71" i="20"/>
  <c r="F75" i="19"/>
  <c r="E117" i="19"/>
  <c r="E120" i="21"/>
  <c r="F78" i="21"/>
  <c r="AE99" i="19"/>
  <c r="AE100" i="19"/>
  <c r="AF38" i="19"/>
  <c r="AG28" i="19"/>
  <c r="AF30" i="19"/>
  <c r="AF57" i="19" s="1"/>
  <c r="AF46" i="19"/>
  <c r="AF31" i="19"/>
  <c r="AF51" i="19"/>
  <c r="AF49" i="19"/>
  <c r="AF50" i="19"/>
  <c r="AF33" i="19"/>
  <c r="AF60" i="19" s="1"/>
  <c r="AF44" i="19"/>
  <c r="AF48" i="19"/>
  <c r="AF32" i="19"/>
  <c r="AF45" i="19"/>
  <c r="AF37" i="19"/>
  <c r="AF36" i="19"/>
  <c r="AF35" i="19"/>
  <c r="AE106" i="19"/>
  <c r="AE105" i="20"/>
  <c r="AE106" i="20"/>
  <c r="AE103" i="20"/>
  <c r="AE106" i="21"/>
  <c r="AE104" i="21"/>
  <c r="AE105" i="21"/>
  <c r="AG28" i="21"/>
  <c r="AF30" i="21"/>
  <c r="AF46" i="21"/>
  <c r="AF31" i="21"/>
  <c r="AF58" i="21" s="1"/>
  <c r="AF48" i="21"/>
  <c r="AF51" i="21"/>
  <c r="AF38" i="21"/>
  <c r="AF65" i="21" s="1"/>
  <c r="AF44" i="21"/>
  <c r="AF33" i="21"/>
  <c r="AF49" i="21"/>
  <c r="AF37" i="21"/>
  <c r="AF64" i="21" s="1"/>
  <c r="AF50" i="21"/>
  <c r="AF36" i="21"/>
  <c r="AF45" i="21"/>
  <c r="AF32" i="21"/>
  <c r="AF35" i="21"/>
  <c r="AF62" i="21" s="1"/>
  <c r="AE101" i="21"/>
  <c r="AF30" i="20"/>
  <c r="AF57" i="20" s="1"/>
  <c r="AG28" i="20"/>
  <c r="AF46" i="20"/>
  <c r="AF44" i="20"/>
  <c r="AF36" i="20"/>
  <c r="AF37" i="20"/>
  <c r="AF48" i="20"/>
  <c r="AF31" i="20"/>
  <c r="AF58" i="20" s="1"/>
  <c r="AF38" i="20"/>
  <c r="AF65" i="20" s="1"/>
  <c r="AF50" i="20"/>
  <c r="AF35" i="20"/>
  <c r="AF49" i="20"/>
  <c r="AF51" i="20"/>
  <c r="AF45" i="20"/>
  <c r="AF33" i="20"/>
  <c r="AF32" i="20"/>
  <c r="AF59" i="20" s="1"/>
  <c r="AE99" i="20"/>
  <c r="AE104" i="20"/>
  <c r="E115" i="17"/>
  <c r="F73" i="17"/>
  <c r="E120" i="17"/>
  <c r="F78" i="17"/>
  <c r="E117" i="17"/>
  <c r="F75" i="17"/>
  <c r="F76" i="17"/>
  <c r="E118" i="17"/>
  <c r="E113" i="17"/>
  <c r="F71" i="17"/>
  <c r="E119" i="17"/>
  <c r="F77" i="17"/>
  <c r="F72" i="17"/>
  <c r="E114" i="17"/>
  <c r="G11" i="15"/>
  <c r="O11" i="15" s="1"/>
  <c r="O105" i="17"/>
  <c r="O99" i="17"/>
  <c r="O103" i="17"/>
  <c r="O106" i="17"/>
  <c r="Q28" i="17"/>
  <c r="P57" i="17"/>
  <c r="P65" i="17"/>
  <c r="P63" i="17"/>
  <c r="P60" i="17"/>
  <c r="P58" i="17"/>
  <c r="P64" i="17"/>
  <c r="P62" i="17"/>
  <c r="P59" i="17"/>
  <c r="O104" i="17"/>
  <c r="O101" i="17"/>
  <c r="E58" i="11"/>
  <c r="C11" i="15"/>
  <c r="M11" i="15" s="1"/>
  <c r="I8" i="15"/>
  <c r="G8" i="15"/>
  <c r="I12" i="15"/>
  <c r="P12" i="15" s="1"/>
  <c r="E50" i="11"/>
  <c r="I11" i="15"/>
  <c r="P11" i="15" s="1"/>
  <c r="G12" i="15"/>
  <c r="O12" i="15" s="1"/>
  <c r="K11" i="15"/>
  <c r="Q11" i="15" s="1"/>
  <c r="H8" i="15"/>
  <c r="C48" i="14"/>
  <c r="B48" i="14" s="1"/>
  <c r="D48" i="14" s="1"/>
  <c r="C48" i="13"/>
  <c r="B48" i="13" s="1"/>
  <c r="D48" i="13" s="1"/>
  <c r="D26" i="13"/>
  <c r="E26" i="13" s="1"/>
  <c r="F8" i="15"/>
  <c r="B8" i="15"/>
  <c r="C12" i="15"/>
  <c r="M12" i="15" s="1"/>
  <c r="D26" i="14"/>
  <c r="E26" i="14" s="1"/>
  <c r="J8" i="15"/>
  <c r="K12" i="15"/>
  <c r="Q12" i="15" s="1"/>
  <c r="K8" i="15"/>
  <c r="C46" i="11"/>
  <c r="B46" i="11" s="1"/>
  <c r="D46" i="11" s="1"/>
  <c r="C46" i="13"/>
  <c r="B46" i="13" s="1"/>
  <c r="D46" i="13" s="1"/>
  <c r="C46" i="14"/>
  <c r="B46" i="14" s="1"/>
  <c r="D46" i="14" s="1"/>
  <c r="B42" i="13"/>
  <c r="C43" i="14"/>
  <c r="B43" i="14" s="1"/>
  <c r="D43" i="14" s="1"/>
  <c r="C43" i="13"/>
  <c r="B43" i="13" s="1"/>
  <c r="D43" i="13" s="1"/>
  <c r="B42" i="14"/>
  <c r="C44" i="11"/>
  <c r="B44" i="11" s="1"/>
  <c r="D44" i="11" s="1"/>
  <c r="C44" i="13"/>
  <c r="B44" i="13" s="1"/>
  <c r="D44" i="13" s="1"/>
  <c r="C44" i="14"/>
  <c r="B44" i="14" s="1"/>
  <c r="D44" i="14" s="1"/>
  <c r="C49" i="11"/>
  <c r="B49" i="11" s="1"/>
  <c r="D49" i="11" s="1"/>
  <c r="C49" i="14"/>
  <c r="B49" i="14" s="1"/>
  <c r="D49" i="14" s="1"/>
  <c r="C49" i="13"/>
  <c r="B49" i="13" s="1"/>
  <c r="D49" i="13" s="1"/>
  <c r="C8" i="15"/>
  <c r="B42" i="11"/>
  <c r="C43" i="11"/>
  <c r="B43" i="11" s="1"/>
  <c r="D43" i="11" s="1"/>
  <c r="E26" i="11"/>
  <c r="C48" i="11"/>
  <c r="B48" i="11" s="1"/>
  <c r="D48" i="11" s="1"/>
  <c r="AF57" i="21" l="1"/>
  <c r="AF60" i="20"/>
  <c r="AF62" i="20"/>
  <c r="AF60" i="21"/>
  <c r="AF63" i="20"/>
  <c r="AF62" i="19"/>
  <c r="AF59" i="21"/>
  <c r="AF64" i="20"/>
  <c r="AF63" i="21"/>
  <c r="AF63" i="19"/>
  <c r="AF58" i="19"/>
  <c r="AF65" i="19"/>
  <c r="AF64" i="19"/>
  <c r="AF59" i="19"/>
  <c r="G75" i="48"/>
  <c r="F117" i="48"/>
  <c r="F115" i="48"/>
  <c r="G73" i="48"/>
  <c r="AF104" i="20"/>
  <c r="G77" i="48"/>
  <c r="F119" i="48"/>
  <c r="F114" i="48"/>
  <c r="G72" i="48"/>
  <c r="F113" i="48"/>
  <c r="G71" i="48"/>
  <c r="F120" i="48"/>
  <c r="G78" i="48"/>
  <c r="G76" i="48"/>
  <c r="F118" i="48"/>
  <c r="AF105" i="21"/>
  <c r="AF106" i="19"/>
  <c r="F113" i="21"/>
  <c r="G71" i="21"/>
  <c r="AF101" i="21"/>
  <c r="F120" i="19"/>
  <c r="G78" i="19"/>
  <c r="G71" i="19"/>
  <c r="F113" i="19"/>
  <c r="F120" i="20"/>
  <c r="G78" i="20"/>
  <c r="F117" i="20"/>
  <c r="G75" i="20"/>
  <c r="G76" i="21"/>
  <c r="F118" i="21"/>
  <c r="AF100" i="19"/>
  <c r="AF104" i="19"/>
  <c r="F117" i="19"/>
  <c r="G75" i="19"/>
  <c r="G76" i="20"/>
  <c r="F118" i="20"/>
  <c r="F115" i="20"/>
  <c r="G73" i="20"/>
  <c r="F119" i="19"/>
  <c r="G77" i="19"/>
  <c r="F114" i="21"/>
  <c r="G72" i="21"/>
  <c r="F115" i="21"/>
  <c r="G73" i="21"/>
  <c r="F119" i="21"/>
  <c r="G77" i="21"/>
  <c r="F114" i="19"/>
  <c r="G72" i="19"/>
  <c r="F115" i="19"/>
  <c r="G73" i="19"/>
  <c r="F113" i="20"/>
  <c r="G71" i="20"/>
  <c r="AF103" i="20"/>
  <c r="F120" i="21"/>
  <c r="G78" i="21"/>
  <c r="F114" i="20"/>
  <c r="G72" i="20"/>
  <c r="AF101" i="19"/>
  <c r="F118" i="19"/>
  <c r="G76" i="19"/>
  <c r="F119" i="20"/>
  <c r="G77" i="20"/>
  <c r="F117" i="21"/>
  <c r="G75" i="21"/>
  <c r="AF99" i="21"/>
  <c r="AF105" i="19"/>
  <c r="AF103" i="19"/>
  <c r="AF99" i="19"/>
  <c r="AG32" i="19"/>
  <c r="AH28" i="19"/>
  <c r="AG30" i="19"/>
  <c r="AG57" i="19" s="1"/>
  <c r="AG44" i="19"/>
  <c r="AG37" i="19"/>
  <c r="AG49" i="19"/>
  <c r="AG35" i="19"/>
  <c r="AG31" i="19"/>
  <c r="AG36" i="19"/>
  <c r="AG50" i="19"/>
  <c r="AG38" i="19"/>
  <c r="AG48" i="19"/>
  <c r="AG51" i="19"/>
  <c r="AG45" i="19"/>
  <c r="AG46" i="19"/>
  <c r="AG33" i="19"/>
  <c r="AG60" i="19" s="1"/>
  <c r="AF101" i="20"/>
  <c r="AF100" i="21"/>
  <c r="AF103" i="21"/>
  <c r="AF106" i="21"/>
  <c r="AH28" i="21"/>
  <c r="AG30" i="21"/>
  <c r="AG57" i="21" s="1"/>
  <c r="AG33" i="21"/>
  <c r="AG44" i="21"/>
  <c r="AG45" i="21"/>
  <c r="AG49" i="21"/>
  <c r="AG46" i="21"/>
  <c r="AG31" i="21"/>
  <c r="AG58" i="21" s="1"/>
  <c r="AG36" i="21"/>
  <c r="AG38" i="21"/>
  <c r="AG65" i="21" s="1"/>
  <c r="AG51" i="21"/>
  <c r="AG50" i="21"/>
  <c r="AG32" i="21"/>
  <c r="AG37" i="21"/>
  <c r="AG64" i="21" s="1"/>
  <c r="AG35" i="21"/>
  <c r="AG62" i="21" s="1"/>
  <c r="AG48" i="21"/>
  <c r="AF104" i="21"/>
  <c r="AG30" i="20"/>
  <c r="AG57" i="20" s="1"/>
  <c r="AH28" i="20"/>
  <c r="AG44" i="20"/>
  <c r="AG33" i="20"/>
  <c r="AG60" i="20" s="1"/>
  <c r="AG51" i="20"/>
  <c r="AG37" i="20"/>
  <c r="AG46" i="20"/>
  <c r="AG50" i="20"/>
  <c r="AG32" i="20"/>
  <c r="AG59" i="20" s="1"/>
  <c r="AG48" i="20"/>
  <c r="AG36" i="20"/>
  <c r="AG45" i="20"/>
  <c r="AG38" i="20"/>
  <c r="AG65" i="20" s="1"/>
  <c r="AG31" i="20"/>
  <c r="AG58" i="20" s="1"/>
  <c r="AG35" i="20"/>
  <c r="AG62" i="20" s="1"/>
  <c r="AG49" i="20"/>
  <c r="AF106" i="20"/>
  <c r="AF100" i="20"/>
  <c r="AF105" i="20"/>
  <c r="AF99" i="20"/>
  <c r="G75" i="17"/>
  <c r="F117" i="17"/>
  <c r="F113" i="17"/>
  <c r="G71" i="17"/>
  <c r="F120" i="17"/>
  <c r="G78" i="17"/>
  <c r="F114" i="17"/>
  <c r="G72" i="17"/>
  <c r="G73" i="17"/>
  <c r="F115" i="17"/>
  <c r="G77" i="17"/>
  <c r="F119" i="17"/>
  <c r="G76" i="17"/>
  <c r="F118" i="17"/>
  <c r="P101" i="17"/>
  <c r="P100" i="17"/>
  <c r="P99" i="17"/>
  <c r="P104" i="17"/>
  <c r="P106" i="17"/>
  <c r="R28" i="17"/>
  <c r="Q57" i="17"/>
  <c r="Q59" i="17"/>
  <c r="Q58" i="17"/>
  <c r="Q60" i="17"/>
  <c r="Q63" i="17"/>
  <c r="Q65" i="17"/>
  <c r="Q64" i="17"/>
  <c r="Q62" i="17"/>
  <c r="P105" i="17"/>
  <c r="P103" i="17"/>
  <c r="O8" i="15"/>
  <c r="P8" i="15"/>
  <c r="Q8" i="15"/>
  <c r="M8" i="15"/>
  <c r="C47" i="11"/>
  <c r="B47" i="11" s="1"/>
  <c r="D47" i="11" s="1"/>
  <c r="C47" i="14"/>
  <c r="C47" i="13"/>
  <c r="D42" i="13"/>
  <c r="D42" i="14"/>
  <c r="D42" i="11"/>
  <c r="AG62" i="19" l="1"/>
  <c r="AG63" i="20"/>
  <c r="AG60" i="21"/>
  <c r="AG59" i="21"/>
  <c r="AG64" i="20"/>
  <c r="AG63" i="19"/>
  <c r="AG64" i="19"/>
  <c r="AG63" i="21"/>
  <c r="AG65" i="19"/>
  <c r="AG58" i="19"/>
  <c r="AG59" i="19"/>
  <c r="H76" i="48"/>
  <c r="G118" i="48"/>
  <c r="H77" i="48"/>
  <c r="G119" i="48"/>
  <c r="H78" i="48"/>
  <c r="G120" i="48"/>
  <c r="G115" i="48"/>
  <c r="H73" i="48"/>
  <c r="H71" i="48"/>
  <c r="G113" i="48"/>
  <c r="G114" i="48"/>
  <c r="H72" i="48"/>
  <c r="H75" i="48"/>
  <c r="G117" i="48"/>
  <c r="AG104" i="20"/>
  <c r="AG105" i="20"/>
  <c r="AG106" i="21"/>
  <c r="AG100" i="19"/>
  <c r="G120" i="19"/>
  <c r="H78" i="19"/>
  <c r="H71" i="20"/>
  <c r="G113" i="20"/>
  <c r="G119" i="21"/>
  <c r="H77" i="21"/>
  <c r="H73" i="20"/>
  <c r="G115" i="20"/>
  <c r="G117" i="20"/>
  <c r="H75" i="20"/>
  <c r="G120" i="20"/>
  <c r="H78" i="20"/>
  <c r="G117" i="21"/>
  <c r="H75" i="21"/>
  <c r="H73" i="21"/>
  <c r="G115" i="21"/>
  <c r="AG101" i="20"/>
  <c r="G113" i="21"/>
  <c r="H71" i="21"/>
  <c r="G119" i="20"/>
  <c r="H77" i="20"/>
  <c r="G114" i="19"/>
  <c r="H72" i="19"/>
  <c r="G114" i="21"/>
  <c r="H72" i="21"/>
  <c r="G113" i="19"/>
  <c r="H71" i="19"/>
  <c r="G114" i="20"/>
  <c r="H72" i="20"/>
  <c r="G120" i="21"/>
  <c r="H78" i="21"/>
  <c r="H76" i="20"/>
  <c r="G118" i="20"/>
  <c r="G115" i="19"/>
  <c r="H73" i="19"/>
  <c r="AG99" i="21"/>
  <c r="H76" i="19"/>
  <c r="G118" i="19"/>
  <c r="H77" i="19"/>
  <c r="G119" i="19"/>
  <c r="G117" i="19"/>
  <c r="H75" i="19"/>
  <c r="G118" i="21"/>
  <c r="H76" i="21"/>
  <c r="AG99" i="20"/>
  <c r="AG99" i="19"/>
  <c r="AG105" i="19"/>
  <c r="AI28" i="19"/>
  <c r="AH30" i="19"/>
  <c r="AH57" i="19" s="1"/>
  <c r="AH33" i="19"/>
  <c r="AH60" i="19" s="1"/>
  <c r="AH32" i="19"/>
  <c r="AH31" i="19"/>
  <c r="AH49" i="19"/>
  <c r="AH51" i="19"/>
  <c r="AH36" i="19"/>
  <c r="AH45" i="19"/>
  <c r="AH35" i="19"/>
  <c r="AH62" i="19" s="1"/>
  <c r="AH46" i="19"/>
  <c r="AH50" i="19"/>
  <c r="AH44" i="19"/>
  <c r="AH38" i="19"/>
  <c r="AH48" i="19"/>
  <c r="AH37" i="19"/>
  <c r="AG106" i="19"/>
  <c r="AG101" i="19"/>
  <c r="AG103" i="19"/>
  <c r="AG104" i="19"/>
  <c r="AG105" i="21"/>
  <c r="AG104" i="21"/>
  <c r="AG100" i="21"/>
  <c r="AG103" i="21"/>
  <c r="AI28" i="21"/>
  <c r="AH30" i="21"/>
  <c r="AH57" i="21" s="1"/>
  <c r="AH36" i="21"/>
  <c r="AH33" i="21"/>
  <c r="AH60" i="21" s="1"/>
  <c r="AH31" i="21"/>
  <c r="AH58" i="21" s="1"/>
  <c r="AH50" i="21"/>
  <c r="AH37" i="21"/>
  <c r="AH64" i="21" s="1"/>
  <c r="AH49" i="21"/>
  <c r="AH48" i="21"/>
  <c r="AH46" i="21"/>
  <c r="AH44" i="21"/>
  <c r="AH45" i="21"/>
  <c r="AH38" i="21"/>
  <c r="AH65" i="21" s="1"/>
  <c r="AH32" i="21"/>
  <c r="AH35" i="21"/>
  <c r="AH62" i="21" s="1"/>
  <c r="AH51" i="21"/>
  <c r="AG101" i="21"/>
  <c r="AH30" i="20"/>
  <c r="AH57" i="20" s="1"/>
  <c r="AI28" i="20"/>
  <c r="AH33" i="20"/>
  <c r="AH60" i="20" s="1"/>
  <c r="AH46" i="20"/>
  <c r="AH49" i="20"/>
  <c r="AH35" i="20"/>
  <c r="AH62" i="20" s="1"/>
  <c r="AH48" i="20"/>
  <c r="AH38" i="20"/>
  <c r="AH65" i="20" s="1"/>
  <c r="AH31" i="20"/>
  <c r="AH58" i="20" s="1"/>
  <c r="AH44" i="20"/>
  <c r="AH50" i="20"/>
  <c r="AH36" i="20"/>
  <c r="AH63" i="20" s="1"/>
  <c r="AH51" i="20"/>
  <c r="AH37" i="20"/>
  <c r="AH32" i="20"/>
  <c r="AH59" i="20" s="1"/>
  <c r="AH45" i="20"/>
  <c r="AG100" i="20"/>
  <c r="AG106" i="20"/>
  <c r="AG103" i="20"/>
  <c r="H77" i="17"/>
  <c r="G119" i="17"/>
  <c r="G114" i="17"/>
  <c r="H72" i="17"/>
  <c r="G118" i="17"/>
  <c r="H76" i="17"/>
  <c r="G113" i="17"/>
  <c r="H71" i="17"/>
  <c r="G115" i="17"/>
  <c r="H73" i="17"/>
  <c r="H78" i="17"/>
  <c r="G120" i="17"/>
  <c r="H75" i="17"/>
  <c r="G117" i="17"/>
  <c r="Q100" i="17"/>
  <c r="Q104" i="17"/>
  <c r="Q105" i="17"/>
  <c r="Q106" i="17"/>
  <c r="S28" i="17"/>
  <c r="R57" i="17"/>
  <c r="R64" i="17"/>
  <c r="R60" i="17"/>
  <c r="R58" i="17"/>
  <c r="R62" i="17"/>
  <c r="R59" i="17"/>
  <c r="R65" i="17"/>
  <c r="R63" i="17"/>
  <c r="Q103" i="17"/>
  <c r="Q101" i="17"/>
  <c r="Q99" i="17"/>
  <c r="I10" i="15"/>
  <c r="H10" i="15"/>
  <c r="E42" i="11"/>
  <c r="C10" i="15"/>
  <c r="B47" i="13"/>
  <c r="G10" i="15"/>
  <c r="B47" i="14"/>
  <c r="K10" i="15"/>
  <c r="AH59" i="21" l="1"/>
  <c r="AH64" i="19"/>
  <c r="AH63" i="19"/>
  <c r="AH64" i="20"/>
  <c r="AH65" i="19"/>
  <c r="AH63" i="21"/>
  <c r="AH58" i="19"/>
  <c r="AH105" i="19"/>
  <c r="AH59" i="19"/>
  <c r="AH99" i="19"/>
  <c r="AH101" i="19"/>
  <c r="H115" i="48"/>
  <c r="I73" i="48"/>
  <c r="H117" i="48"/>
  <c r="I75" i="48"/>
  <c r="H120" i="48"/>
  <c r="I78" i="48"/>
  <c r="I72" i="48"/>
  <c r="H114" i="48"/>
  <c r="I77" i="48"/>
  <c r="H119" i="48"/>
  <c r="I71" i="48"/>
  <c r="H113" i="48"/>
  <c r="H118" i="48"/>
  <c r="I76" i="48"/>
  <c r="AH99" i="21"/>
  <c r="AH103" i="20"/>
  <c r="AH99" i="20"/>
  <c r="H114" i="19"/>
  <c r="I72" i="19"/>
  <c r="H119" i="21"/>
  <c r="I77" i="21"/>
  <c r="AH106" i="19"/>
  <c r="H115" i="19"/>
  <c r="I73" i="19"/>
  <c r="H114" i="20"/>
  <c r="I72" i="20"/>
  <c r="H118" i="21"/>
  <c r="I76" i="21"/>
  <c r="H120" i="20"/>
  <c r="I78" i="20"/>
  <c r="AH104" i="19"/>
  <c r="H117" i="19"/>
  <c r="I75" i="19"/>
  <c r="H113" i="19"/>
  <c r="I71" i="19"/>
  <c r="H119" i="20"/>
  <c r="I77" i="20"/>
  <c r="H117" i="20"/>
  <c r="I75" i="20"/>
  <c r="H113" i="20"/>
  <c r="I71" i="20"/>
  <c r="I77" i="19"/>
  <c r="H119" i="19"/>
  <c r="H115" i="21"/>
  <c r="I73" i="21"/>
  <c r="I78" i="19"/>
  <c r="H120" i="19"/>
  <c r="I76" i="20"/>
  <c r="H118" i="20"/>
  <c r="H114" i="21"/>
  <c r="I72" i="21"/>
  <c r="I75" i="21"/>
  <c r="H117" i="21"/>
  <c r="AH101" i="21"/>
  <c r="H118" i="19"/>
  <c r="I76" i="19"/>
  <c r="H120" i="21"/>
  <c r="I78" i="21"/>
  <c r="H113" i="21"/>
  <c r="I71" i="21"/>
  <c r="H115" i="20"/>
  <c r="I73" i="20"/>
  <c r="AH103" i="19"/>
  <c r="AH100" i="19"/>
  <c r="AI51" i="19"/>
  <c r="AI30" i="19"/>
  <c r="AI57" i="19" s="1"/>
  <c r="AI45" i="19"/>
  <c r="AI36" i="19"/>
  <c r="AI63" i="19" s="1"/>
  <c r="AI50" i="19"/>
  <c r="AI48" i="19"/>
  <c r="AI49" i="19"/>
  <c r="AI46" i="19"/>
  <c r="AI31" i="19"/>
  <c r="AI35" i="19"/>
  <c r="AI62" i="19" s="1"/>
  <c r="AI44" i="19"/>
  <c r="AI37" i="19"/>
  <c r="AI64" i="19" s="1"/>
  <c r="AI32" i="19"/>
  <c r="AI38" i="19"/>
  <c r="AI33" i="19"/>
  <c r="AI60" i="19" s="1"/>
  <c r="AH106" i="20"/>
  <c r="AH101" i="20"/>
  <c r="AH100" i="20"/>
  <c r="AH100" i="21"/>
  <c r="AH106" i="21"/>
  <c r="AH105" i="21"/>
  <c r="AH103" i="21"/>
  <c r="AH104" i="21"/>
  <c r="AI30" i="21"/>
  <c r="AI57" i="21" s="1"/>
  <c r="AI36" i="21"/>
  <c r="AI45" i="21"/>
  <c r="AI50" i="21"/>
  <c r="AI31" i="21"/>
  <c r="AI58" i="21" s="1"/>
  <c r="AI46" i="21"/>
  <c r="AI38" i="21"/>
  <c r="AI65" i="21" s="1"/>
  <c r="AI33" i="21"/>
  <c r="AI60" i="21" s="1"/>
  <c r="AI48" i="21"/>
  <c r="AI32" i="21"/>
  <c r="AI59" i="21" s="1"/>
  <c r="AI44" i="21"/>
  <c r="AI49" i="21"/>
  <c r="AI51" i="21"/>
  <c r="AI37" i="21"/>
  <c r="AI64" i="21" s="1"/>
  <c r="AI35" i="21"/>
  <c r="AI62" i="21" s="1"/>
  <c r="AH105" i="20"/>
  <c r="AH104" i="20"/>
  <c r="AI30" i="20"/>
  <c r="AI57" i="20" s="1"/>
  <c r="AI45" i="20"/>
  <c r="AI33" i="20"/>
  <c r="AI60" i="20" s="1"/>
  <c r="AI46" i="20"/>
  <c r="AI49" i="20"/>
  <c r="AI31" i="20"/>
  <c r="AI58" i="20" s="1"/>
  <c r="AI35" i="20"/>
  <c r="AI62" i="20" s="1"/>
  <c r="AI38" i="20"/>
  <c r="AI65" i="20" s="1"/>
  <c r="AI48" i="20"/>
  <c r="AI50" i="20"/>
  <c r="AI44" i="20"/>
  <c r="AI32" i="20"/>
  <c r="AI59" i="20" s="1"/>
  <c r="AI37" i="20"/>
  <c r="AI64" i="20" s="1"/>
  <c r="AI36" i="20"/>
  <c r="AI63" i="20" s="1"/>
  <c r="AI51" i="20"/>
  <c r="H117" i="17"/>
  <c r="I75" i="17"/>
  <c r="H113" i="17"/>
  <c r="I71" i="17"/>
  <c r="I78" i="17"/>
  <c r="H120" i="17"/>
  <c r="H118" i="17"/>
  <c r="I76" i="17"/>
  <c r="H115" i="17"/>
  <c r="I73" i="17"/>
  <c r="H114" i="17"/>
  <c r="I72" i="17"/>
  <c r="H119" i="17"/>
  <c r="I77" i="17"/>
  <c r="P10" i="15"/>
  <c r="R101" i="17"/>
  <c r="R99" i="17"/>
  <c r="R106" i="17"/>
  <c r="R105" i="17"/>
  <c r="R100" i="17"/>
  <c r="T28" i="17"/>
  <c r="S57" i="17"/>
  <c r="S58" i="17"/>
  <c r="S62" i="17"/>
  <c r="S59" i="17"/>
  <c r="S63" i="17"/>
  <c r="S103" i="17"/>
  <c r="S60" i="17"/>
  <c r="S64" i="17"/>
  <c r="S65" i="17"/>
  <c r="R104" i="17"/>
  <c r="R103" i="17"/>
  <c r="D47" i="13"/>
  <c r="E42" i="13" s="1"/>
  <c r="F10" i="15"/>
  <c r="O10" i="15" s="1"/>
  <c r="B10" i="15"/>
  <c r="M10" i="15" s="1"/>
  <c r="D47" i="14"/>
  <c r="E42" i="14" s="1"/>
  <c r="J10" i="15"/>
  <c r="Q10" i="15" s="1"/>
  <c r="AI12" i="30"/>
  <c r="AH12" i="30"/>
  <c r="AG12" i="30"/>
  <c r="AF12" i="30"/>
  <c r="AE12" i="30"/>
  <c r="AD12" i="30"/>
  <c r="AC12" i="30"/>
  <c r="AB12" i="30"/>
  <c r="AA12" i="30"/>
  <c r="Z12" i="30"/>
  <c r="Y12" i="30"/>
  <c r="X12" i="30"/>
  <c r="W12" i="30"/>
  <c r="V12" i="30"/>
  <c r="U12" i="30"/>
  <c r="T12" i="30"/>
  <c r="S12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AI65" i="19" l="1"/>
  <c r="B5" i="30"/>
  <c r="B4" i="30"/>
  <c r="B2" i="30"/>
  <c r="AI63" i="21"/>
  <c r="AI59" i="19"/>
  <c r="AI58" i="19"/>
  <c r="A2" i="30"/>
  <c r="A5" i="30"/>
  <c r="A4" i="30"/>
  <c r="J72" i="48"/>
  <c r="I114" i="48"/>
  <c r="I118" i="48"/>
  <c r="J76" i="48"/>
  <c r="I120" i="48"/>
  <c r="J78" i="48"/>
  <c r="J75" i="48"/>
  <c r="I117" i="48"/>
  <c r="J71" i="48"/>
  <c r="I113" i="48"/>
  <c r="I115" i="48"/>
  <c r="J73" i="48"/>
  <c r="J77" i="48"/>
  <c r="I119" i="48"/>
  <c r="AI106" i="20"/>
  <c r="AI100" i="20"/>
  <c r="AI99" i="21"/>
  <c r="AI105" i="19"/>
  <c r="AI100" i="19"/>
  <c r="J73" i="21"/>
  <c r="I115" i="21"/>
  <c r="AI99" i="19"/>
  <c r="I115" i="19"/>
  <c r="J73" i="19"/>
  <c r="I115" i="20"/>
  <c r="J73" i="20"/>
  <c r="I114" i="21"/>
  <c r="J72" i="21"/>
  <c r="I113" i="20"/>
  <c r="J71" i="20"/>
  <c r="I117" i="19"/>
  <c r="J75" i="19"/>
  <c r="I113" i="21"/>
  <c r="J71" i="21"/>
  <c r="I117" i="20"/>
  <c r="J75" i="20"/>
  <c r="I120" i="21"/>
  <c r="J78" i="21"/>
  <c r="I119" i="20"/>
  <c r="J77" i="20"/>
  <c r="I119" i="21"/>
  <c r="J77" i="21"/>
  <c r="J77" i="19"/>
  <c r="I119" i="19"/>
  <c r="I118" i="21"/>
  <c r="J76" i="21"/>
  <c r="J76" i="19"/>
  <c r="I118" i="19"/>
  <c r="I113" i="19"/>
  <c r="J71" i="19"/>
  <c r="J72" i="19"/>
  <c r="I114" i="19"/>
  <c r="J76" i="20"/>
  <c r="I118" i="20"/>
  <c r="I120" i="20"/>
  <c r="J78" i="20"/>
  <c r="AI101" i="21"/>
  <c r="I117" i="21"/>
  <c r="J75" i="21"/>
  <c r="I120" i="19"/>
  <c r="J78" i="19"/>
  <c r="I114" i="20"/>
  <c r="J72" i="20"/>
  <c r="AI101" i="19"/>
  <c r="AI106" i="19"/>
  <c r="AI104" i="19"/>
  <c r="AI103" i="19"/>
  <c r="AI101" i="20"/>
  <c r="AI104" i="21"/>
  <c r="AI106" i="21"/>
  <c r="AI103" i="21"/>
  <c r="AI105" i="21"/>
  <c r="AI100" i="21"/>
  <c r="AI104" i="20"/>
  <c r="AI99" i="20"/>
  <c r="AI105" i="20"/>
  <c r="AI103" i="20"/>
  <c r="E12" i="30"/>
  <c r="J75" i="17"/>
  <c r="I117" i="17"/>
  <c r="J78" i="17"/>
  <c r="I120" i="17"/>
  <c r="J76" i="17"/>
  <c r="I118" i="17"/>
  <c r="I114" i="17"/>
  <c r="J72" i="17"/>
  <c r="I113" i="17"/>
  <c r="J71" i="17"/>
  <c r="J77" i="17"/>
  <c r="I119" i="17"/>
  <c r="J73" i="17"/>
  <c r="I115" i="17"/>
  <c r="S100" i="17"/>
  <c r="S106" i="17"/>
  <c r="S105" i="17"/>
  <c r="S99" i="17"/>
  <c r="U28" i="17"/>
  <c r="T57" i="17"/>
  <c r="T63" i="17"/>
  <c r="T59" i="17"/>
  <c r="T60" i="17"/>
  <c r="T64" i="17"/>
  <c r="T58" i="17"/>
  <c r="T62" i="17"/>
  <c r="T65" i="17"/>
  <c r="S104" i="17"/>
  <c r="S101" i="17"/>
  <c r="J120" i="48" l="1"/>
  <c r="K78" i="48"/>
  <c r="J117" i="48"/>
  <c r="K75" i="48"/>
  <c r="K77" i="48"/>
  <c r="J119" i="48"/>
  <c r="C85" i="47"/>
  <c r="B85" i="47"/>
  <c r="J115" i="48"/>
  <c r="K73" i="48"/>
  <c r="K76" i="48"/>
  <c r="J118" i="48"/>
  <c r="C82" i="47"/>
  <c r="B82" i="47"/>
  <c r="C84" i="47"/>
  <c r="B84" i="47"/>
  <c r="K71" i="48"/>
  <c r="J113" i="48"/>
  <c r="J114" i="48"/>
  <c r="K72" i="48"/>
  <c r="J120" i="21"/>
  <c r="K78" i="21"/>
  <c r="J117" i="19"/>
  <c r="K75" i="19"/>
  <c r="J115" i="19"/>
  <c r="K73" i="19"/>
  <c r="J117" i="21"/>
  <c r="K75" i="21"/>
  <c r="J114" i="19"/>
  <c r="K72" i="19"/>
  <c r="J119" i="19"/>
  <c r="K77" i="19"/>
  <c r="J113" i="19"/>
  <c r="K71" i="19"/>
  <c r="J119" i="21"/>
  <c r="K77" i="21"/>
  <c r="K75" i="20"/>
  <c r="J117" i="20"/>
  <c r="K71" i="20"/>
  <c r="J113" i="20"/>
  <c r="J118" i="20"/>
  <c r="K76" i="20"/>
  <c r="C84" i="12"/>
  <c r="B84" i="12"/>
  <c r="J120" i="20"/>
  <c r="K78" i="20"/>
  <c r="J119" i="20"/>
  <c r="K77" i="20"/>
  <c r="J114" i="21"/>
  <c r="K72" i="21"/>
  <c r="K73" i="21"/>
  <c r="J115" i="21"/>
  <c r="B85" i="12"/>
  <c r="C85" i="12"/>
  <c r="C82" i="12"/>
  <c r="B82" i="12"/>
  <c r="K72" i="20"/>
  <c r="J114" i="20"/>
  <c r="J118" i="19"/>
  <c r="K76" i="19"/>
  <c r="J120" i="19"/>
  <c r="K78" i="19"/>
  <c r="J118" i="21"/>
  <c r="K76" i="21"/>
  <c r="J113" i="21"/>
  <c r="K71" i="21"/>
  <c r="J115" i="20"/>
  <c r="K73" i="20"/>
  <c r="K76" i="17"/>
  <c r="J118" i="17"/>
  <c r="J114" i="17"/>
  <c r="K72" i="17"/>
  <c r="J113" i="17"/>
  <c r="K71" i="17"/>
  <c r="J115" i="17"/>
  <c r="K73" i="17"/>
  <c r="J119" i="17"/>
  <c r="K77" i="17"/>
  <c r="J120" i="17"/>
  <c r="K78" i="17"/>
  <c r="K75" i="17"/>
  <c r="J117" i="17"/>
  <c r="T104" i="17"/>
  <c r="T106" i="17"/>
  <c r="T100" i="17"/>
  <c r="T105" i="17"/>
  <c r="U57" i="17"/>
  <c r="T103" i="17"/>
  <c r="V28" i="17"/>
  <c r="U59" i="17"/>
  <c r="U65" i="17"/>
  <c r="U63" i="17"/>
  <c r="U60" i="17"/>
  <c r="U58" i="17"/>
  <c r="U64" i="17"/>
  <c r="U62" i="17"/>
  <c r="T99" i="17"/>
  <c r="T101" i="17"/>
  <c r="AI3" i="30"/>
  <c r="AH13" i="30"/>
  <c r="AF13" i="30"/>
  <c r="AA13" i="30"/>
  <c r="Z13" i="30"/>
  <c r="X13" i="30"/>
  <c r="S13" i="30"/>
  <c r="R13" i="30"/>
  <c r="P13" i="30"/>
  <c r="K13" i="30"/>
  <c r="J13" i="30"/>
  <c r="H13" i="30"/>
  <c r="A3" i="30" l="1"/>
  <c r="B3" i="30"/>
  <c r="D85" i="12"/>
  <c r="D84" i="47"/>
  <c r="D85" i="47"/>
  <c r="D82" i="47"/>
  <c r="K119" i="48"/>
  <c r="L77" i="48"/>
  <c r="K114" i="48"/>
  <c r="L72" i="48"/>
  <c r="L75" i="48"/>
  <c r="K117" i="48"/>
  <c r="K118" i="48"/>
  <c r="L76" i="48"/>
  <c r="K115" i="48"/>
  <c r="L73" i="48"/>
  <c r="K120" i="48"/>
  <c r="L78" i="48"/>
  <c r="L71" i="48"/>
  <c r="K113" i="48"/>
  <c r="K120" i="19"/>
  <c r="L78" i="19"/>
  <c r="L72" i="21"/>
  <c r="K114" i="21"/>
  <c r="K118" i="20"/>
  <c r="L76" i="20"/>
  <c r="K113" i="19"/>
  <c r="L71" i="19"/>
  <c r="K114" i="20"/>
  <c r="L72" i="20"/>
  <c r="K115" i="19"/>
  <c r="L73" i="19"/>
  <c r="K115" i="20"/>
  <c r="L73" i="20"/>
  <c r="D82" i="12"/>
  <c r="K119" i="20"/>
  <c r="L77" i="20"/>
  <c r="K119" i="19"/>
  <c r="L77" i="19"/>
  <c r="K117" i="19"/>
  <c r="L75" i="19"/>
  <c r="K113" i="21"/>
  <c r="L71" i="21"/>
  <c r="K120" i="20"/>
  <c r="L78" i="20"/>
  <c r="L72" i="19"/>
  <c r="K114" i="19"/>
  <c r="K120" i="21"/>
  <c r="L78" i="21"/>
  <c r="L75" i="20"/>
  <c r="K117" i="20"/>
  <c r="K118" i="21"/>
  <c r="L76" i="21"/>
  <c r="K118" i="19"/>
  <c r="L76" i="19"/>
  <c r="K119" i="21"/>
  <c r="L77" i="21"/>
  <c r="K117" i="21"/>
  <c r="L75" i="21"/>
  <c r="K113" i="20"/>
  <c r="L71" i="20"/>
  <c r="K115" i="21"/>
  <c r="L73" i="21"/>
  <c r="D84" i="12"/>
  <c r="AI13" i="30"/>
  <c r="K119" i="17"/>
  <c r="L77" i="17"/>
  <c r="L72" i="17"/>
  <c r="K114" i="17"/>
  <c r="L78" i="17"/>
  <c r="K120" i="17"/>
  <c r="L75" i="17"/>
  <c r="K117" i="17"/>
  <c r="K115" i="17"/>
  <c r="L73" i="17"/>
  <c r="L71" i="17"/>
  <c r="K113" i="17"/>
  <c r="K118" i="17"/>
  <c r="L76" i="17"/>
  <c r="U104" i="17"/>
  <c r="U99" i="17"/>
  <c r="U100" i="17"/>
  <c r="U106" i="17"/>
  <c r="U105" i="17"/>
  <c r="W28" i="17"/>
  <c r="V57" i="17"/>
  <c r="V65" i="17"/>
  <c r="V58" i="17"/>
  <c r="V60" i="17"/>
  <c r="V63" i="17"/>
  <c r="V59" i="17"/>
  <c r="V62" i="17"/>
  <c r="V64" i="17"/>
  <c r="U103" i="17"/>
  <c r="U101" i="17"/>
  <c r="L13" i="30"/>
  <c r="T13" i="30"/>
  <c r="AB13" i="30"/>
  <c r="E13" i="30"/>
  <c r="U13" i="30"/>
  <c r="AC13" i="30"/>
  <c r="M13" i="30"/>
  <c r="F13" i="30"/>
  <c r="N13" i="30"/>
  <c r="V13" i="30"/>
  <c r="AD13" i="30"/>
  <c r="G13" i="30"/>
  <c r="O13" i="30"/>
  <c r="W13" i="30"/>
  <c r="AE13" i="30"/>
  <c r="I13" i="30"/>
  <c r="Q13" i="30"/>
  <c r="Y13" i="30"/>
  <c r="AG13" i="30"/>
  <c r="L118" i="48" l="1"/>
  <c r="M76" i="48"/>
  <c r="M77" i="48"/>
  <c r="L119" i="48"/>
  <c r="M73" i="48"/>
  <c r="L115" i="48"/>
  <c r="L113" i="48"/>
  <c r="M71" i="48"/>
  <c r="M75" i="48"/>
  <c r="L117" i="48"/>
  <c r="C83" i="47"/>
  <c r="B83" i="47"/>
  <c r="M78" i="48"/>
  <c r="L120" i="48"/>
  <c r="M72" i="48"/>
  <c r="L114" i="48"/>
  <c r="L113" i="19"/>
  <c r="M71" i="19"/>
  <c r="L113" i="20"/>
  <c r="M71" i="20"/>
  <c r="L118" i="19"/>
  <c r="M76" i="19"/>
  <c r="L117" i="19"/>
  <c r="M75" i="19"/>
  <c r="L114" i="19"/>
  <c r="M72" i="19"/>
  <c r="L115" i="20"/>
  <c r="M73" i="20"/>
  <c r="L118" i="20"/>
  <c r="M76" i="20"/>
  <c r="M76" i="21"/>
  <c r="L118" i="21"/>
  <c r="L120" i="20"/>
  <c r="M78" i="20"/>
  <c r="L119" i="19"/>
  <c r="M77" i="19"/>
  <c r="L115" i="19"/>
  <c r="M73" i="19"/>
  <c r="C83" i="12"/>
  <c r="B83" i="12"/>
  <c r="L117" i="21"/>
  <c r="M75" i="21"/>
  <c r="M77" i="20"/>
  <c r="L119" i="20"/>
  <c r="L114" i="21"/>
  <c r="M72" i="21"/>
  <c r="L117" i="20"/>
  <c r="M75" i="20"/>
  <c r="L114" i="20"/>
  <c r="M72" i="20"/>
  <c r="L120" i="19"/>
  <c r="M78" i="19"/>
  <c r="L115" i="21"/>
  <c r="M73" i="21"/>
  <c r="L119" i="21"/>
  <c r="M77" i="21"/>
  <c r="L120" i="21"/>
  <c r="M78" i="21"/>
  <c r="M71" i="21"/>
  <c r="L113" i="21"/>
  <c r="L117" i="17"/>
  <c r="M75" i="17"/>
  <c r="M77" i="17"/>
  <c r="L119" i="17"/>
  <c r="L118" i="17"/>
  <c r="M76" i="17"/>
  <c r="L113" i="17"/>
  <c r="M71" i="17"/>
  <c r="L120" i="17"/>
  <c r="M78" i="17"/>
  <c r="L115" i="17"/>
  <c r="M73" i="17"/>
  <c r="L114" i="17"/>
  <c r="M72" i="17"/>
  <c r="V106" i="17"/>
  <c r="V101" i="17"/>
  <c r="V99" i="17"/>
  <c r="V104" i="17"/>
  <c r="V103" i="17"/>
  <c r="V105" i="17"/>
  <c r="X28" i="17"/>
  <c r="W57" i="17"/>
  <c r="W60" i="17"/>
  <c r="W58" i="17"/>
  <c r="W63" i="17"/>
  <c r="W65" i="17"/>
  <c r="W62" i="17"/>
  <c r="W64" i="17"/>
  <c r="W59" i="17"/>
  <c r="V100" i="17"/>
  <c r="D83" i="12" l="1"/>
  <c r="N71" i="48"/>
  <c r="M113" i="48"/>
  <c r="M114" i="48"/>
  <c r="N72" i="48"/>
  <c r="N78" i="48"/>
  <c r="M120" i="48"/>
  <c r="N73" i="48"/>
  <c r="M115" i="48"/>
  <c r="D83" i="47"/>
  <c r="M119" i="48"/>
  <c r="N77" i="48"/>
  <c r="M118" i="48"/>
  <c r="N76" i="48"/>
  <c r="M117" i="48"/>
  <c r="N75" i="48"/>
  <c r="M119" i="19"/>
  <c r="N77" i="19"/>
  <c r="N76" i="20"/>
  <c r="M118" i="20"/>
  <c r="M118" i="19"/>
  <c r="N76" i="19"/>
  <c r="M117" i="20"/>
  <c r="N75" i="20"/>
  <c r="M115" i="20"/>
  <c r="N73" i="20"/>
  <c r="M113" i="20"/>
  <c r="N71" i="20"/>
  <c r="N78" i="21"/>
  <c r="M120" i="21"/>
  <c r="M120" i="20"/>
  <c r="N78" i="20"/>
  <c r="M115" i="21"/>
  <c r="N73" i="21"/>
  <c r="N72" i="21"/>
  <c r="M114" i="21"/>
  <c r="N72" i="19"/>
  <c r="M114" i="19"/>
  <c r="M113" i="19"/>
  <c r="N71" i="19"/>
  <c r="N72" i="20"/>
  <c r="M114" i="20"/>
  <c r="N77" i="21"/>
  <c r="M119" i="21"/>
  <c r="M118" i="21"/>
  <c r="N76" i="21"/>
  <c r="M117" i="21"/>
  <c r="N75" i="21"/>
  <c r="N78" i="19"/>
  <c r="M120" i="19"/>
  <c r="M117" i="19"/>
  <c r="N75" i="19"/>
  <c r="M115" i="19"/>
  <c r="N73" i="19"/>
  <c r="M113" i="21"/>
  <c r="N71" i="21"/>
  <c r="M119" i="20"/>
  <c r="N77" i="20"/>
  <c r="M117" i="17"/>
  <c r="N75" i="17"/>
  <c r="M119" i="17"/>
  <c r="N77" i="17"/>
  <c r="N76" i="17"/>
  <c r="M118" i="17"/>
  <c r="M113" i="17"/>
  <c r="N71" i="17"/>
  <c r="N72" i="17"/>
  <c r="M114" i="17"/>
  <c r="M120" i="17"/>
  <c r="N78" i="17"/>
  <c r="M115" i="17"/>
  <c r="N73" i="17"/>
  <c r="W105" i="17"/>
  <c r="W101" i="17"/>
  <c r="W99" i="17"/>
  <c r="W104" i="17"/>
  <c r="W103" i="17"/>
  <c r="X60" i="17"/>
  <c r="Y28" i="17"/>
  <c r="X57" i="17"/>
  <c r="X63" i="17"/>
  <c r="X65" i="17"/>
  <c r="X58" i="17"/>
  <c r="X99" i="17"/>
  <c r="X64" i="17"/>
  <c r="X62" i="17"/>
  <c r="X59" i="17"/>
  <c r="W100" i="17"/>
  <c r="W106" i="17"/>
  <c r="O76" i="48" l="1"/>
  <c r="N118" i="48"/>
  <c r="O73" i="48"/>
  <c r="N115" i="48"/>
  <c r="O77" i="48"/>
  <c r="N119" i="48"/>
  <c r="O78" i="48"/>
  <c r="N120" i="48"/>
  <c r="O72" i="48"/>
  <c r="N114" i="48"/>
  <c r="N117" i="48"/>
  <c r="O75" i="48"/>
  <c r="N113" i="48"/>
  <c r="O71" i="48"/>
  <c r="O77" i="20"/>
  <c r="N119" i="20"/>
  <c r="N118" i="19"/>
  <c r="O76" i="19"/>
  <c r="N119" i="21"/>
  <c r="O77" i="21"/>
  <c r="N114" i="21"/>
  <c r="O72" i="21"/>
  <c r="N118" i="20"/>
  <c r="O76" i="20"/>
  <c r="N117" i="19"/>
  <c r="O75" i="19"/>
  <c r="O72" i="19"/>
  <c r="N114" i="19"/>
  <c r="N115" i="19"/>
  <c r="O73" i="19"/>
  <c r="N115" i="21"/>
  <c r="O73" i="21"/>
  <c r="N115" i="20"/>
  <c r="O73" i="20"/>
  <c r="N119" i="19"/>
  <c r="O77" i="19"/>
  <c r="O71" i="21"/>
  <c r="N113" i="21"/>
  <c r="N113" i="20"/>
  <c r="O71" i="20"/>
  <c r="N114" i="20"/>
  <c r="O72" i="20"/>
  <c r="N117" i="21"/>
  <c r="O75" i="21"/>
  <c r="N113" i="19"/>
  <c r="O71" i="19"/>
  <c r="N120" i="20"/>
  <c r="O78" i="20"/>
  <c r="O75" i="20"/>
  <c r="N117" i="20"/>
  <c r="O76" i="21"/>
  <c r="N118" i="21"/>
  <c r="N120" i="21"/>
  <c r="O78" i="21"/>
  <c r="O78" i="19"/>
  <c r="N120" i="19"/>
  <c r="O72" i="17"/>
  <c r="N114" i="17"/>
  <c r="N119" i="17"/>
  <c r="O77" i="17"/>
  <c r="N118" i="17"/>
  <c r="O76" i="17"/>
  <c r="N117" i="17"/>
  <c r="O75" i="17"/>
  <c r="O78" i="17"/>
  <c r="N120" i="17"/>
  <c r="N115" i="17"/>
  <c r="O73" i="17"/>
  <c r="N113" i="17"/>
  <c r="O71" i="17"/>
  <c r="X106" i="17"/>
  <c r="X104" i="17"/>
  <c r="X105" i="17"/>
  <c r="X103" i="17"/>
  <c r="Z28" i="17"/>
  <c r="Y57" i="17"/>
  <c r="Y59" i="17"/>
  <c r="Y62" i="17"/>
  <c r="Y64" i="17"/>
  <c r="Y58" i="17"/>
  <c r="Y60" i="17"/>
  <c r="Y63" i="17"/>
  <c r="Y65" i="17"/>
  <c r="X101" i="17"/>
  <c r="X100" i="17"/>
  <c r="O113" i="48" l="1"/>
  <c r="P71" i="48"/>
  <c r="O120" i="48"/>
  <c r="P78" i="48"/>
  <c r="O117" i="48"/>
  <c r="P75" i="48"/>
  <c r="P73" i="48"/>
  <c r="O115" i="48"/>
  <c r="O119" i="48"/>
  <c r="P77" i="48"/>
  <c r="O114" i="48"/>
  <c r="P72" i="48"/>
  <c r="O118" i="48"/>
  <c r="P76" i="48"/>
  <c r="O113" i="21"/>
  <c r="P71" i="21"/>
  <c r="P72" i="21"/>
  <c r="O114" i="21"/>
  <c r="O120" i="19"/>
  <c r="P78" i="19"/>
  <c r="O119" i="19"/>
  <c r="P77" i="19"/>
  <c r="O119" i="21"/>
  <c r="P77" i="21"/>
  <c r="O117" i="20"/>
  <c r="P75" i="20"/>
  <c r="O114" i="19"/>
  <c r="P72" i="19"/>
  <c r="P75" i="21"/>
  <c r="O117" i="21"/>
  <c r="O120" i="21"/>
  <c r="P78" i="21"/>
  <c r="O115" i="20"/>
  <c r="P73" i="20"/>
  <c r="O117" i="19"/>
  <c r="P75" i="19"/>
  <c r="O118" i="19"/>
  <c r="P76" i="19"/>
  <c r="P78" i="20"/>
  <c r="O120" i="20"/>
  <c r="P71" i="19"/>
  <c r="O113" i="19"/>
  <c r="O113" i="20"/>
  <c r="P71" i="20"/>
  <c r="P73" i="21"/>
  <c r="O115" i="21"/>
  <c r="O118" i="20"/>
  <c r="P76" i="20"/>
  <c r="P73" i="19"/>
  <c r="O115" i="19"/>
  <c r="O114" i="20"/>
  <c r="P72" i="20"/>
  <c r="O118" i="21"/>
  <c r="P76" i="21"/>
  <c r="O119" i="20"/>
  <c r="P77" i="20"/>
  <c r="O118" i="17"/>
  <c r="P76" i="17"/>
  <c r="P71" i="17"/>
  <c r="O113" i="17"/>
  <c r="P73" i="17"/>
  <c r="O115" i="17"/>
  <c r="O119" i="17"/>
  <c r="P77" i="17"/>
  <c r="P72" i="17"/>
  <c r="O114" i="17"/>
  <c r="O117" i="17"/>
  <c r="P75" i="17"/>
  <c r="O120" i="17"/>
  <c r="P78" i="17"/>
  <c r="Y99" i="17"/>
  <c r="Y103" i="17"/>
  <c r="Y100" i="17"/>
  <c r="Y106" i="17"/>
  <c r="Y105" i="17"/>
  <c r="AA28" i="17"/>
  <c r="Z57" i="17"/>
  <c r="Z63" i="17"/>
  <c r="Z60" i="17"/>
  <c r="Z58" i="17"/>
  <c r="Z104" i="17"/>
  <c r="Z64" i="17"/>
  <c r="Z62" i="17"/>
  <c r="Z59" i="17"/>
  <c r="Z65" i="17"/>
  <c r="Y104" i="17"/>
  <c r="Y101" i="17"/>
  <c r="P118" i="48" l="1"/>
  <c r="Q76" i="48"/>
  <c r="Q75" i="48"/>
  <c r="P117" i="48"/>
  <c r="Q73" i="48"/>
  <c r="P115" i="48"/>
  <c r="P114" i="48"/>
  <c r="Q72" i="48"/>
  <c r="P120" i="48"/>
  <c r="Q78" i="48"/>
  <c r="Q77" i="48"/>
  <c r="P119" i="48"/>
  <c r="Q71" i="48"/>
  <c r="P113" i="48"/>
  <c r="P120" i="21"/>
  <c r="Q78" i="21"/>
  <c r="P120" i="20"/>
  <c r="Q78" i="20"/>
  <c r="P118" i="21"/>
  <c r="Q76" i="21"/>
  <c r="Q76" i="19"/>
  <c r="P118" i="19"/>
  <c r="P119" i="21"/>
  <c r="Q77" i="21"/>
  <c r="P120" i="19"/>
  <c r="Q78" i="19"/>
  <c r="P118" i="20"/>
  <c r="Q76" i="20"/>
  <c r="P115" i="21"/>
  <c r="Q73" i="21"/>
  <c r="P117" i="21"/>
  <c r="Q75" i="21"/>
  <c r="P119" i="20"/>
  <c r="Q77" i="20"/>
  <c r="Q72" i="20"/>
  <c r="P114" i="20"/>
  <c r="P114" i="19"/>
  <c r="Q72" i="19"/>
  <c r="P113" i="20"/>
  <c r="Q71" i="20"/>
  <c r="Q75" i="19"/>
  <c r="P117" i="19"/>
  <c r="P119" i="19"/>
  <c r="Q77" i="19"/>
  <c r="P114" i="21"/>
  <c r="Q72" i="21"/>
  <c r="P115" i="20"/>
  <c r="Q73" i="20"/>
  <c r="P117" i="20"/>
  <c r="Q75" i="20"/>
  <c r="P113" i="21"/>
  <c r="Q71" i="21"/>
  <c r="P115" i="19"/>
  <c r="Q73" i="19"/>
  <c r="Q71" i="19"/>
  <c r="P113" i="19"/>
  <c r="P115" i="17"/>
  <c r="Q73" i="17"/>
  <c r="Q78" i="17"/>
  <c r="P120" i="17"/>
  <c r="Q71" i="17"/>
  <c r="P113" i="17"/>
  <c r="P119" i="17"/>
  <c r="Q77" i="17"/>
  <c r="P118" i="17"/>
  <c r="Q76" i="17"/>
  <c r="P114" i="17"/>
  <c r="Q72" i="17"/>
  <c r="Q75" i="17"/>
  <c r="P117" i="17"/>
  <c r="Z103" i="17"/>
  <c r="Z99" i="17"/>
  <c r="Z100" i="17"/>
  <c r="AB28" i="17"/>
  <c r="AA57" i="17"/>
  <c r="AA62" i="17"/>
  <c r="AA65" i="17"/>
  <c r="AA58" i="17"/>
  <c r="AA59" i="17"/>
  <c r="AA63" i="17"/>
  <c r="AA60" i="17"/>
  <c r="AA64" i="17"/>
  <c r="AA105" i="17"/>
  <c r="Z101" i="17"/>
  <c r="Z106" i="17"/>
  <c r="Z105" i="17"/>
  <c r="Q114" i="48" l="1"/>
  <c r="R72" i="48"/>
  <c r="Q113" i="48"/>
  <c r="R71" i="48"/>
  <c r="Q115" i="48"/>
  <c r="R73" i="48"/>
  <c r="R77" i="48"/>
  <c r="Q119" i="48"/>
  <c r="Q117" i="48"/>
  <c r="R75" i="48"/>
  <c r="Q120" i="48"/>
  <c r="R78" i="48"/>
  <c r="Q118" i="48"/>
  <c r="R76" i="48"/>
  <c r="Q117" i="19"/>
  <c r="R75" i="19"/>
  <c r="Q117" i="21"/>
  <c r="R75" i="21"/>
  <c r="Q119" i="21"/>
  <c r="R77" i="21"/>
  <c r="Q117" i="20"/>
  <c r="R75" i="20"/>
  <c r="Q113" i="19"/>
  <c r="R71" i="19"/>
  <c r="Q115" i="19"/>
  <c r="R73" i="19"/>
  <c r="Q114" i="21"/>
  <c r="R72" i="21"/>
  <c r="R72" i="19"/>
  <c r="Q114" i="19"/>
  <c r="Q115" i="21"/>
  <c r="R73" i="21"/>
  <c r="Q120" i="20"/>
  <c r="R78" i="20"/>
  <c r="Q115" i="20"/>
  <c r="R73" i="20"/>
  <c r="Q118" i="19"/>
  <c r="R76" i="19"/>
  <c r="R77" i="20"/>
  <c r="Q119" i="20"/>
  <c r="Q113" i="20"/>
  <c r="R71" i="20"/>
  <c r="R71" i="21"/>
  <c r="Q113" i="21"/>
  <c r="Q119" i="19"/>
  <c r="R77" i="19"/>
  <c r="Q118" i="20"/>
  <c r="R76" i="20"/>
  <c r="Q118" i="21"/>
  <c r="R76" i="21"/>
  <c r="R78" i="21"/>
  <c r="Q120" i="21"/>
  <c r="R78" i="19"/>
  <c r="Q120" i="19"/>
  <c r="Q114" i="20"/>
  <c r="R72" i="20"/>
  <c r="Q113" i="17"/>
  <c r="R71" i="17"/>
  <c r="R77" i="17"/>
  <c r="Q119" i="17"/>
  <c r="R78" i="17"/>
  <c r="Q120" i="17"/>
  <c r="R72" i="17"/>
  <c r="Q114" i="17"/>
  <c r="Q118" i="17"/>
  <c r="R76" i="17"/>
  <c r="R73" i="17"/>
  <c r="Q115" i="17"/>
  <c r="Q117" i="17"/>
  <c r="R75" i="17"/>
  <c r="AA103" i="17"/>
  <c r="AA100" i="17"/>
  <c r="AA99" i="17"/>
  <c r="AA106" i="17"/>
  <c r="AC28" i="17"/>
  <c r="AB57" i="17"/>
  <c r="AB65" i="17"/>
  <c r="AB63" i="17"/>
  <c r="AB59" i="17"/>
  <c r="AB62" i="17"/>
  <c r="AB60" i="17"/>
  <c r="AB64" i="17"/>
  <c r="AB58" i="17"/>
  <c r="AA101" i="17"/>
  <c r="AA104" i="17"/>
  <c r="R118" i="48" l="1"/>
  <c r="S76" i="48"/>
  <c r="R115" i="48"/>
  <c r="S73" i="48"/>
  <c r="R119" i="48"/>
  <c r="S77" i="48"/>
  <c r="R120" i="48"/>
  <c r="S78" i="48"/>
  <c r="S71" i="48"/>
  <c r="R113" i="48"/>
  <c r="R117" i="48"/>
  <c r="S75" i="48"/>
  <c r="R114" i="48"/>
  <c r="S72" i="48"/>
  <c r="R119" i="19"/>
  <c r="S77" i="19"/>
  <c r="R119" i="21"/>
  <c r="S77" i="21"/>
  <c r="S77" i="20"/>
  <c r="R119" i="20"/>
  <c r="R118" i="20"/>
  <c r="S76" i="20"/>
  <c r="S73" i="21"/>
  <c r="R115" i="21"/>
  <c r="R114" i="19"/>
  <c r="S72" i="19"/>
  <c r="S73" i="20"/>
  <c r="R115" i="20"/>
  <c r="S72" i="21"/>
  <c r="R114" i="21"/>
  <c r="S75" i="20"/>
  <c r="R117" i="20"/>
  <c r="R117" i="21"/>
  <c r="S75" i="21"/>
  <c r="S78" i="21"/>
  <c r="R120" i="21"/>
  <c r="S71" i="21"/>
  <c r="R113" i="21"/>
  <c r="R118" i="21"/>
  <c r="S76" i="21"/>
  <c r="R113" i="20"/>
  <c r="S71" i="20"/>
  <c r="R120" i="20"/>
  <c r="S78" i="20"/>
  <c r="S73" i="19"/>
  <c r="R115" i="19"/>
  <c r="S75" i="19"/>
  <c r="R117" i="19"/>
  <c r="R114" i="20"/>
  <c r="S72" i="20"/>
  <c r="S71" i="19"/>
  <c r="R113" i="19"/>
  <c r="S76" i="19"/>
  <c r="R118" i="19"/>
  <c r="R120" i="19"/>
  <c r="S78" i="19"/>
  <c r="R117" i="17"/>
  <c r="S75" i="17"/>
  <c r="R115" i="17"/>
  <c r="S73" i="17"/>
  <c r="R119" i="17"/>
  <c r="S77" i="17"/>
  <c r="S76" i="17"/>
  <c r="R118" i="17"/>
  <c r="R113" i="17"/>
  <c r="S71" i="17"/>
  <c r="S78" i="17"/>
  <c r="R120" i="17"/>
  <c r="R114" i="17"/>
  <c r="S72" i="17"/>
  <c r="AB104" i="17"/>
  <c r="AB100" i="17"/>
  <c r="AB99" i="17"/>
  <c r="AB106" i="17"/>
  <c r="AC57" i="17"/>
  <c r="AD28" i="17"/>
  <c r="AC62" i="17"/>
  <c r="AC59" i="17"/>
  <c r="AC65" i="17"/>
  <c r="AC63" i="17"/>
  <c r="AC60" i="17"/>
  <c r="AC64" i="17"/>
  <c r="AC58" i="17"/>
  <c r="AB103" i="17"/>
  <c r="AB105" i="17"/>
  <c r="AB101" i="17"/>
  <c r="T78" i="48" l="1"/>
  <c r="S120" i="48"/>
  <c r="T72" i="48"/>
  <c r="S114" i="48"/>
  <c r="T75" i="48"/>
  <c r="S117" i="48"/>
  <c r="S115" i="48"/>
  <c r="T73" i="48"/>
  <c r="T77" i="48"/>
  <c r="S119" i="48"/>
  <c r="T76" i="48"/>
  <c r="S118" i="48"/>
  <c r="S113" i="48"/>
  <c r="T71" i="48"/>
  <c r="T71" i="20"/>
  <c r="S113" i="20"/>
  <c r="S119" i="20"/>
  <c r="T77" i="20"/>
  <c r="S115" i="20"/>
  <c r="T73" i="20"/>
  <c r="S118" i="21"/>
  <c r="T76" i="21"/>
  <c r="S117" i="21"/>
  <c r="T75" i="21"/>
  <c r="S114" i="19"/>
  <c r="T72" i="19"/>
  <c r="T77" i="21"/>
  <c r="S119" i="21"/>
  <c r="S120" i="19"/>
  <c r="T78" i="19"/>
  <c r="S118" i="19"/>
  <c r="T76" i="19"/>
  <c r="S117" i="19"/>
  <c r="T75" i="19"/>
  <c r="S113" i="19"/>
  <c r="T71" i="19"/>
  <c r="S115" i="19"/>
  <c r="T73" i="19"/>
  <c r="S113" i="21"/>
  <c r="T71" i="21"/>
  <c r="S117" i="20"/>
  <c r="T75" i="20"/>
  <c r="S115" i="21"/>
  <c r="T73" i="21"/>
  <c r="T72" i="20"/>
  <c r="S114" i="20"/>
  <c r="S120" i="20"/>
  <c r="T78" i="20"/>
  <c r="S118" i="20"/>
  <c r="T76" i="20"/>
  <c r="S119" i="19"/>
  <c r="T77" i="19"/>
  <c r="T78" i="21"/>
  <c r="S120" i="21"/>
  <c r="S114" i="21"/>
  <c r="T72" i="21"/>
  <c r="T71" i="17"/>
  <c r="S113" i="17"/>
  <c r="S114" i="17"/>
  <c r="T72" i="17"/>
  <c r="T78" i="17"/>
  <c r="S120" i="17"/>
  <c r="T75" i="17"/>
  <c r="S117" i="17"/>
  <c r="S119" i="17"/>
  <c r="T77" i="17"/>
  <c r="S115" i="17"/>
  <c r="T73" i="17"/>
  <c r="T76" i="17"/>
  <c r="S118" i="17"/>
  <c r="AC99" i="17"/>
  <c r="AC105" i="17"/>
  <c r="AC106" i="17"/>
  <c r="AC104" i="17"/>
  <c r="AE28" i="17"/>
  <c r="AD57" i="17"/>
  <c r="AD60" i="17"/>
  <c r="AD63" i="17"/>
  <c r="AD65" i="17"/>
  <c r="AD64" i="17"/>
  <c r="AD58" i="17"/>
  <c r="AD59" i="17"/>
  <c r="AD62" i="17"/>
  <c r="AC103" i="17"/>
  <c r="AC101" i="17"/>
  <c r="AC100" i="17"/>
  <c r="T115" i="48" l="1"/>
  <c r="U73" i="48"/>
  <c r="U71" i="48"/>
  <c r="T113" i="48"/>
  <c r="U75" i="48"/>
  <c r="T117" i="48"/>
  <c r="U76" i="48"/>
  <c r="T118" i="48"/>
  <c r="U72" i="48"/>
  <c r="T114" i="48"/>
  <c r="T119" i="48"/>
  <c r="U77" i="48"/>
  <c r="T120" i="48"/>
  <c r="U78" i="48"/>
  <c r="U72" i="21"/>
  <c r="T114" i="21"/>
  <c r="T120" i="20"/>
  <c r="U78" i="20"/>
  <c r="U71" i="21"/>
  <c r="T113" i="21"/>
  <c r="T114" i="19"/>
  <c r="U72" i="19"/>
  <c r="U73" i="20"/>
  <c r="T115" i="20"/>
  <c r="T119" i="20"/>
  <c r="U77" i="20"/>
  <c r="U78" i="21"/>
  <c r="T120" i="21"/>
  <c r="U72" i="20"/>
  <c r="T114" i="20"/>
  <c r="T119" i="19"/>
  <c r="U77" i="19"/>
  <c r="T115" i="21"/>
  <c r="U73" i="21"/>
  <c r="U71" i="19"/>
  <c r="T113" i="19"/>
  <c r="T120" i="19"/>
  <c r="U78" i="19"/>
  <c r="U76" i="21"/>
  <c r="T118" i="21"/>
  <c r="T115" i="19"/>
  <c r="U73" i="19"/>
  <c r="T117" i="21"/>
  <c r="U75" i="21"/>
  <c r="T118" i="20"/>
  <c r="U76" i="20"/>
  <c r="T117" i="20"/>
  <c r="U75" i="20"/>
  <c r="T117" i="19"/>
  <c r="U75" i="19"/>
  <c r="T118" i="19"/>
  <c r="U76" i="19"/>
  <c r="T119" i="21"/>
  <c r="U77" i="21"/>
  <c r="T113" i="20"/>
  <c r="U71" i="20"/>
  <c r="U76" i="17"/>
  <c r="T118" i="17"/>
  <c r="T120" i="17"/>
  <c r="U78" i="17"/>
  <c r="U73" i="17"/>
  <c r="T115" i="17"/>
  <c r="T117" i="17"/>
  <c r="U75" i="17"/>
  <c r="T114" i="17"/>
  <c r="U72" i="17"/>
  <c r="T119" i="17"/>
  <c r="U77" i="17"/>
  <c r="T113" i="17"/>
  <c r="U71" i="17"/>
  <c r="AD105" i="17"/>
  <c r="AD101" i="17"/>
  <c r="AD99" i="17"/>
  <c r="AD103" i="17"/>
  <c r="AF28" i="17"/>
  <c r="AE57" i="17"/>
  <c r="AE59" i="17"/>
  <c r="AE60" i="17"/>
  <c r="AE63" i="17"/>
  <c r="AE65" i="17"/>
  <c r="AE58" i="17"/>
  <c r="AE62" i="17"/>
  <c r="AE64" i="17"/>
  <c r="AD100" i="17"/>
  <c r="AD104" i="17"/>
  <c r="AD106" i="17"/>
  <c r="U120" i="48" l="1"/>
  <c r="V78" i="48"/>
  <c r="U117" i="48"/>
  <c r="V75" i="48"/>
  <c r="V77" i="48"/>
  <c r="U119" i="48"/>
  <c r="V76" i="48"/>
  <c r="U118" i="48"/>
  <c r="U113" i="48"/>
  <c r="V71" i="48"/>
  <c r="U115" i="48"/>
  <c r="V73" i="48"/>
  <c r="V72" i="48"/>
  <c r="U114" i="48"/>
  <c r="V71" i="20"/>
  <c r="U113" i="20"/>
  <c r="U117" i="19"/>
  <c r="V75" i="19"/>
  <c r="U115" i="19"/>
  <c r="V73" i="19"/>
  <c r="V77" i="21"/>
  <c r="U119" i="21"/>
  <c r="U117" i="20"/>
  <c r="V75" i="20"/>
  <c r="V73" i="21"/>
  <c r="U115" i="21"/>
  <c r="U119" i="20"/>
  <c r="V77" i="20"/>
  <c r="U113" i="21"/>
  <c r="V71" i="21"/>
  <c r="U118" i="20"/>
  <c r="V76" i="20"/>
  <c r="U119" i="19"/>
  <c r="V77" i="19"/>
  <c r="U120" i="20"/>
  <c r="V78" i="20"/>
  <c r="V71" i="19"/>
  <c r="U113" i="19"/>
  <c r="U118" i="21"/>
  <c r="V76" i="21"/>
  <c r="U115" i="20"/>
  <c r="V73" i="20"/>
  <c r="V75" i="21"/>
  <c r="U117" i="21"/>
  <c r="V78" i="19"/>
  <c r="U120" i="19"/>
  <c r="U114" i="19"/>
  <c r="V72" i="19"/>
  <c r="V78" i="21"/>
  <c r="U120" i="21"/>
  <c r="U118" i="19"/>
  <c r="V76" i="19"/>
  <c r="V72" i="20"/>
  <c r="U114" i="20"/>
  <c r="U114" i="21"/>
  <c r="V72" i="21"/>
  <c r="U113" i="17"/>
  <c r="V71" i="17"/>
  <c r="U115" i="17"/>
  <c r="V73" i="17"/>
  <c r="V76" i="17"/>
  <c r="U118" i="17"/>
  <c r="V75" i="17"/>
  <c r="U117" i="17"/>
  <c r="V78" i="17"/>
  <c r="U120" i="17"/>
  <c r="U119" i="17"/>
  <c r="V77" i="17"/>
  <c r="U114" i="17"/>
  <c r="V72" i="17"/>
  <c r="AE101" i="17"/>
  <c r="AE100" i="17"/>
  <c r="AE106" i="17"/>
  <c r="AE105" i="17"/>
  <c r="AE104" i="17"/>
  <c r="AE103" i="17"/>
  <c r="AG28" i="17"/>
  <c r="AH28" i="17" s="1"/>
  <c r="AF57" i="17"/>
  <c r="AF59" i="17"/>
  <c r="AF65" i="17"/>
  <c r="AF60" i="17"/>
  <c r="AF63" i="17"/>
  <c r="AF58" i="17"/>
  <c r="AF64" i="17"/>
  <c r="AF100" i="17"/>
  <c r="AF62" i="17"/>
  <c r="AE99" i="17"/>
  <c r="W76" i="48" l="1"/>
  <c r="V118" i="48"/>
  <c r="W72" i="48"/>
  <c r="V114" i="48"/>
  <c r="W77" i="48"/>
  <c r="V119" i="48"/>
  <c r="V115" i="48"/>
  <c r="W73" i="48"/>
  <c r="W75" i="48"/>
  <c r="V117" i="48"/>
  <c r="V113" i="48"/>
  <c r="W71" i="48"/>
  <c r="W78" i="48"/>
  <c r="V120" i="48"/>
  <c r="V114" i="19"/>
  <c r="W72" i="19"/>
  <c r="V115" i="20"/>
  <c r="W73" i="20"/>
  <c r="V119" i="19"/>
  <c r="W77" i="19"/>
  <c r="V114" i="21"/>
  <c r="W72" i="21"/>
  <c r="V118" i="21"/>
  <c r="W76" i="21"/>
  <c r="W76" i="20"/>
  <c r="V118" i="20"/>
  <c r="V115" i="19"/>
  <c r="W73" i="19"/>
  <c r="V113" i="21"/>
  <c r="W71" i="21"/>
  <c r="V117" i="20"/>
  <c r="W75" i="20"/>
  <c r="V117" i="19"/>
  <c r="W75" i="19"/>
  <c r="V117" i="21"/>
  <c r="W75" i="21"/>
  <c r="W71" i="19"/>
  <c r="V113" i="19"/>
  <c r="W72" i="20"/>
  <c r="V114" i="20"/>
  <c r="W78" i="20"/>
  <c r="V120" i="20"/>
  <c r="V119" i="20"/>
  <c r="W77" i="20"/>
  <c r="V115" i="21"/>
  <c r="W73" i="21"/>
  <c r="W78" i="19"/>
  <c r="V120" i="19"/>
  <c r="V118" i="19"/>
  <c r="W76" i="19"/>
  <c r="V120" i="21"/>
  <c r="W78" i="21"/>
  <c r="W77" i="21"/>
  <c r="V119" i="21"/>
  <c r="V113" i="20"/>
  <c r="W71" i="20"/>
  <c r="W72" i="17"/>
  <c r="V114" i="17"/>
  <c r="V117" i="17"/>
  <c r="W75" i="17"/>
  <c r="W76" i="17"/>
  <c r="V118" i="17"/>
  <c r="W77" i="17"/>
  <c r="V119" i="17"/>
  <c r="V115" i="17"/>
  <c r="W73" i="17"/>
  <c r="W78" i="17"/>
  <c r="V120" i="17"/>
  <c r="W71" i="17"/>
  <c r="V113" i="17"/>
  <c r="AI28" i="17"/>
  <c r="AH105" i="17"/>
  <c r="AH103" i="17"/>
  <c r="AH100" i="17"/>
  <c r="AF105" i="17"/>
  <c r="AF99" i="17"/>
  <c r="AF101" i="17"/>
  <c r="AF104" i="17"/>
  <c r="AG57" i="17"/>
  <c r="AG59" i="17"/>
  <c r="AG62" i="17"/>
  <c r="AG64" i="17"/>
  <c r="AG58" i="17"/>
  <c r="AG60" i="17"/>
  <c r="AG63" i="17"/>
  <c r="AH63" i="17" s="1"/>
  <c r="AG65" i="17"/>
  <c r="AF106" i="17"/>
  <c r="AF103" i="17"/>
  <c r="W115" i="48" l="1"/>
  <c r="X73" i="48"/>
  <c r="X78" i="48"/>
  <c r="W120" i="48"/>
  <c r="W119" i="48"/>
  <c r="X77" i="48"/>
  <c r="W113" i="48"/>
  <c r="X71" i="48"/>
  <c r="W114" i="48"/>
  <c r="X72" i="48"/>
  <c r="X75" i="48"/>
  <c r="W117" i="48"/>
  <c r="W118" i="48"/>
  <c r="X76" i="48"/>
  <c r="W117" i="19"/>
  <c r="X75" i="19"/>
  <c r="W115" i="21"/>
  <c r="X73" i="21"/>
  <c r="W117" i="20"/>
  <c r="X75" i="20"/>
  <c r="W119" i="19"/>
  <c r="X77" i="19"/>
  <c r="W113" i="20"/>
  <c r="X71" i="20"/>
  <c r="X76" i="20"/>
  <c r="W118" i="20"/>
  <c r="W120" i="21"/>
  <c r="X78" i="21"/>
  <c r="W119" i="20"/>
  <c r="X77" i="20"/>
  <c r="W113" i="21"/>
  <c r="X71" i="21"/>
  <c r="W118" i="21"/>
  <c r="X76" i="21"/>
  <c r="W115" i="20"/>
  <c r="X73" i="20"/>
  <c r="W120" i="19"/>
  <c r="X78" i="19"/>
  <c r="W113" i="19"/>
  <c r="X71" i="19"/>
  <c r="X72" i="20"/>
  <c r="W114" i="20"/>
  <c r="W118" i="19"/>
  <c r="X76" i="19"/>
  <c r="W117" i="21"/>
  <c r="X75" i="21"/>
  <c r="W115" i="19"/>
  <c r="X73" i="19"/>
  <c r="X72" i="21"/>
  <c r="W114" i="21"/>
  <c r="X72" i="19"/>
  <c r="W114" i="19"/>
  <c r="W119" i="21"/>
  <c r="X77" i="21"/>
  <c r="W120" i="20"/>
  <c r="X78" i="20"/>
  <c r="W119" i="17"/>
  <c r="X77" i="17"/>
  <c r="W118" i="17"/>
  <c r="X76" i="17"/>
  <c r="X71" i="17"/>
  <c r="W113" i="17"/>
  <c r="X73" i="17"/>
  <c r="W115" i="17"/>
  <c r="W117" i="17"/>
  <c r="X75" i="17"/>
  <c r="W120" i="17"/>
  <c r="X78" i="17"/>
  <c r="W114" i="17"/>
  <c r="X72" i="17"/>
  <c r="AH59" i="17"/>
  <c r="AH65" i="17"/>
  <c r="AI65" i="17" s="1"/>
  <c r="AH99" i="17"/>
  <c r="AH58" i="17"/>
  <c r="AH60" i="17"/>
  <c r="AH106" i="17"/>
  <c r="AH64" i="17"/>
  <c r="AI64" i="17" s="1"/>
  <c r="AH104" i="17"/>
  <c r="AH62" i="17"/>
  <c r="AI62" i="17" s="1"/>
  <c r="AH101" i="17"/>
  <c r="AH57" i="17"/>
  <c r="AI63" i="17"/>
  <c r="AI100" i="17"/>
  <c r="AI105" i="17"/>
  <c r="AI101" i="17"/>
  <c r="AG99" i="17"/>
  <c r="AG101" i="17"/>
  <c r="AG105" i="17"/>
  <c r="AG104" i="17"/>
  <c r="AG100" i="17"/>
  <c r="AG103" i="17"/>
  <c r="AG106" i="17"/>
  <c r="X118" i="48" l="1"/>
  <c r="Y76" i="48"/>
  <c r="X119" i="48"/>
  <c r="Y77" i="48"/>
  <c r="X117" i="48"/>
  <c r="Y75" i="48"/>
  <c r="X120" i="48"/>
  <c r="Y78" i="48"/>
  <c r="Y71" i="48"/>
  <c r="X113" i="48"/>
  <c r="X114" i="48"/>
  <c r="Y72" i="48"/>
  <c r="Y73" i="48"/>
  <c r="X115" i="48"/>
  <c r="X118" i="21"/>
  <c r="Y76" i="21"/>
  <c r="X115" i="21"/>
  <c r="Y73" i="21"/>
  <c r="X120" i="20"/>
  <c r="Y78" i="20"/>
  <c r="X114" i="21"/>
  <c r="Y72" i="21"/>
  <c r="X114" i="20"/>
  <c r="Y72" i="20"/>
  <c r="X118" i="20"/>
  <c r="Y76" i="20"/>
  <c r="X119" i="21"/>
  <c r="Y77" i="21"/>
  <c r="Y73" i="19"/>
  <c r="X115" i="19"/>
  <c r="X113" i="19"/>
  <c r="Y71" i="19"/>
  <c r="Y71" i="21"/>
  <c r="X113" i="21"/>
  <c r="X113" i="20"/>
  <c r="Y71" i="20"/>
  <c r="Y75" i="21"/>
  <c r="X117" i="21"/>
  <c r="X120" i="19"/>
  <c r="Y78" i="19"/>
  <c r="X119" i="20"/>
  <c r="Y77" i="20"/>
  <c r="X119" i="19"/>
  <c r="Y77" i="19"/>
  <c r="X118" i="19"/>
  <c r="Y76" i="19"/>
  <c r="X115" i="20"/>
  <c r="Y73" i="20"/>
  <c r="X120" i="21"/>
  <c r="Y78" i="21"/>
  <c r="Y75" i="20"/>
  <c r="X117" i="20"/>
  <c r="X117" i="19"/>
  <c r="Y75" i="19"/>
  <c r="X114" i="19"/>
  <c r="Y72" i="19"/>
  <c r="X113" i="17"/>
  <c r="Y71" i="17"/>
  <c r="X114" i="17"/>
  <c r="Y72" i="17"/>
  <c r="Y76" i="17"/>
  <c r="X118" i="17"/>
  <c r="Y75" i="17"/>
  <c r="X117" i="17"/>
  <c r="X120" i="17"/>
  <c r="Y78" i="17"/>
  <c r="Y73" i="17"/>
  <c r="X115" i="17"/>
  <c r="X119" i="17"/>
  <c r="Y77" i="17"/>
  <c r="AI99" i="17"/>
  <c r="AI59" i="17"/>
  <c r="AI103" i="17"/>
  <c r="AI60" i="17"/>
  <c r="AI106" i="17"/>
  <c r="AI57" i="17"/>
  <c r="AI104" i="17"/>
  <c r="AI58" i="17"/>
  <c r="Y120" i="48" l="1"/>
  <c r="Z78" i="48"/>
  <c r="Y117" i="48"/>
  <c r="Z75" i="48"/>
  <c r="Y115" i="48"/>
  <c r="Z73" i="48"/>
  <c r="Y114" i="48"/>
  <c r="Z72" i="48"/>
  <c r="Y119" i="48"/>
  <c r="Z77" i="48"/>
  <c r="Y118" i="48"/>
  <c r="Z76" i="48"/>
  <c r="Y113" i="48"/>
  <c r="Z71" i="48"/>
  <c r="Y114" i="19"/>
  <c r="Z72" i="19"/>
  <c r="Z73" i="19"/>
  <c r="Y115" i="19"/>
  <c r="Y120" i="19"/>
  <c r="Z78" i="19"/>
  <c r="Y113" i="20"/>
  <c r="Z71" i="20"/>
  <c r="Y119" i="21"/>
  <c r="Z77" i="21"/>
  <c r="Y120" i="20"/>
  <c r="Z78" i="20"/>
  <c r="Y118" i="20"/>
  <c r="Z76" i="20"/>
  <c r="Y115" i="21"/>
  <c r="Z73" i="21"/>
  <c r="Y115" i="20"/>
  <c r="Z73" i="20"/>
  <c r="Y117" i="20"/>
  <c r="Z75" i="20"/>
  <c r="Y117" i="21"/>
  <c r="Z75" i="21"/>
  <c r="Y113" i="21"/>
  <c r="Z71" i="21"/>
  <c r="Y119" i="20"/>
  <c r="Z77" i="20"/>
  <c r="Y118" i="19"/>
  <c r="Z76" i="19"/>
  <c r="Y120" i="21"/>
  <c r="Z78" i="21"/>
  <c r="Z77" i="19"/>
  <c r="Y119" i="19"/>
  <c r="Y113" i="19"/>
  <c r="Z71" i="19"/>
  <c r="Y114" i="20"/>
  <c r="Z72" i="20"/>
  <c r="Y118" i="21"/>
  <c r="Z76" i="21"/>
  <c r="Y114" i="21"/>
  <c r="Z72" i="21"/>
  <c r="Y117" i="19"/>
  <c r="Z75" i="19"/>
  <c r="Y117" i="17"/>
  <c r="Z75" i="17"/>
  <c r="Y118" i="17"/>
  <c r="Z76" i="17"/>
  <c r="Y120" i="17"/>
  <c r="Z78" i="17"/>
  <c r="Y114" i="17"/>
  <c r="Z72" i="17"/>
  <c r="Y113" i="17"/>
  <c r="Z71" i="17"/>
  <c r="Y115" i="17"/>
  <c r="Z73" i="17"/>
  <c r="Y119" i="17"/>
  <c r="Z77" i="17"/>
  <c r="AS13" i="30"/>
  <c r="AR13" i="30"/>
  <c r="AQ13" i="30"/>
  <c r="AP13" i="30"/>
  <c r="AO13" i="30"/>
  <c r="AN13" i="30"/>
  <c r="AM13" i="30"/>
  <c r="AL13" i="30"/>
  <c r="AK13" i="30"/>
  <c r="A6" i="30" l="1"/>
  <c r="B6" i="30"/>
  <c r="AA72" i="48"/>
  <c r="Z114" i="48"/>
  <c r="Z113" i="48"/>
  <c r="AA71" i="48"/>
  <c r="AA73" i="48"/>
  <c r="Z115" i="48"/>
  <c r="Z118" i="48"/>
  <c r="AA76" i="48"/>
  <c r="Z117" i="48"/>
  <c r="AA75" i="48"/>
  <c r="Z119" i="48"/>
  <c r="AA77" i="48"/>
  <c r="Z120" i="48"/>
  <c r="AA78" i="48"/>
  <c r="AA75" i="19"/>
  <c r="Z117" i="19"/>
  <c r="AA71" i="19"/>
  <c r="Z113" i="19"/>
  <c r="Z118" i="19"/>
  <c r="AA76" i="19"/>
  <c r="Z117" i="20"/>
  <c r="AA75" i="20"/>
  <c r="AA71" i="20"/>
  <c r="Z113" i="20"/>
  <c r="Z114" i="21"/>
  <c r="AA72" i="21"/>
  <c r="Z119" i="20"/>
  <c r="AA77" i="20"/>
  <c r="Z115" i="20"/>
  <c r="AA73" i="20"/>
  <c r="Z120" i="19"/>
  <c r="AA78" i="19"/>
  <c r="Z118" i="21"/>
  <c r="AA76" i="21"/>
  <c r="Z113" i="21"/>
  <c r="AA71" i="21"/>
  <c r="Z115" i="21"/>
  <c r="AA73" i="21"/>
  <c r="Z120" i="20"/>
  <c r="AA78" i="20"/>
  <c r="Z119" i="19"/>
  <c r="AA77" i="19"/>
  <c r="AA73" i="19"/>
  <c r="Z115" i="19"/>
  <c r="Z114" i="20"/>
  <c r="AA72" i="20"/>
  <c r="Z120" i="21"/>
  <c r="AA78" i="21"/>
  <c r="AA75" i="21"/>
  <c r="Z117" i="21"/>
  <c r="Z118" i="20"/>
  <c r="AA76" i="20"/>
  <c r="Z119" i="21"/>
  <c r="AA77" i="21"/>
  <c r="Z114" i="19"/>
  <c r="AA72" i="19"/>
  <c r="AJ13" i="30"/>
  <c r="Z118" i="17"/>
  <c r="AA76" i="17"/>
  <c r="Z113" i="17"/>
  <c r="AA71" i="17"/>
  <c r="Z119" i="17"/>
  <c r="AA77" i="17"/>
  <c r="Z114" i="17"/>
  <c r="AA72" i="17"/>
  <c r="Z115" i="17"/>
  <c r="AA73" i="17"/>
  <c r="AA75" i="17"/>
  <c r="Z117" i="17"/>
  <c r="AA78" i="17"/>
  <c r="Z120" i="17"/>
  <c r="AI12" i="31"/>
  <c r="AH12" i="31"/>
  <c r="AG12" i="31"/>
  <c r="AF12" i="31"/>
  <c r="AE12" i="31"/>
  <c r="AD12" i="31"/>
  <c r="AC12" i="31"/>
  <c r="AB12" i="31"/>
  <c r="AA12" i="31"/>
  <c r="Z12" i="31"/>
  <c r="Y12" i="31"/>
  <c r="X12" i="31"/>
  <c r="W12" i="31"/>
  <c r="V12" i="31"/>
  <c r="U12" i="31"/>
  <c r="T12" i="31"/>
  <c r="S12" i="31"/>
  <c r="R12" i="31"/>
  <c r="Q12" i="31"/>
  <c r="P12" i="31"/>
  <c r="O12" i="31"/>
  <c r="N12" i="31"/>
  <c r="M12" i="31"/>
  <c r="L12" i="31"/>
  <c r="K12" i="31"/>
  <c r="J12" i="31"/>
  <c r="I12" i="31"/>
  <c r="H12" i="31"/>
  <c r="G12" i="31"/>
  <c r="F12" i="31"/>
  <c r="B3" i="31" l="1"/>
  <c r="B2" i="28"/>
  <c r="B8" i="30"/>
  <c r="B4" i="31"/>
  <c r="B8" i="31"/>
  <c r="B3" i="28"/>
  <c r="B4" i="28"/>
  <c r="B8" i="28"/>
  <c r="B5" i="31"/>
  <c r="B9" i="31"/>
  <c r="B5" i="28"/>
  <c r="B9" i="28"/>
  <c r="B2" i="31"/>
  <c r="B6" i="31"/>
  <c r="B6" i="28"/>
  <c r="A6" i="28"/>
  <c r="A3" i="31"/>
  <c r="A2" i="28"/>
  <c r="A8" i="30"/>
  <c r="A4" i="31"/>
  <c r="A8" i="31"/>
  <c r="A4" i="28"/>
  <c r="A8" i="28"/>
  <c r="A5" i="31"/>
  <c r="A9" i="31"/>
  <c r="A5" i="28"/>
  <c r="A9" i="28"/>
  <c r="A9" i="30"/>
  <c r="A2" i="31"/>
  <c r="A6" i="31"/>
  <c r="C86" i="47"/>
  <c r="B86" i="47"/>
  <c r="AA118" i="48"/>
  <c r="AB76" i="48"/>
  <c r="AA120" i="48"/>
  <c r="AB78" i="48"/>
  <c r="AA115" i="48"/>
  <c r="AB73" i="48"/>
  <c r="AA119" i="48"/>
  <c r="AB77" i="48"/>
  <c r="AA113" i="48"/>
  <c r="AB71" i="48"/>
  <c r="AB75" i="48"/>
  <c r="AA117" i="48"/>
  <c r="AB72" i="48"/>
  <c r="AA114" i="48"/>
  <c r="C86" i="12"/>
  <c r="B86" i="12"/>
  <c r="AA114" i="19"/>
  <c r="AB72" i="19"/>
  <c r="AB78" i="21"/>
  <c r="AA120" i="21"/>
  <c r="AB78" i="20"/>
  <c r="AA120" i="20"/>
  <c r="AA120" i="19"/>
  <c r="AB78" i="19"/>
  <c r="AA117" i="20"/>
  <c r="AB75" i="20"/>
  <c r="AA119" i="21"/>
  <c r="AB77" i="21"/>
  <c r="AB72" i="20"/>
  <c r="AA114" i="20"/>
  <c r="AB73" i="21"/>
  <c r="AA115" i="21"/>
  <c r="AA114" i="21"/>
  <c r="AB72" i="21"/>
  <c r="AA118" i="19"/>
  <c r="AB76" i="19"/>
  <c r="AA118" i="20"/>
  <c r="AB76" i="20"/>
  <c r="AA113" i="21"/>
  <c r="AB71" i="21"/>
  <c r="AA115" i="20"/>
  <c r="AB73" i="20"/>
  <c r="AA115" i="19"/>
  <c r="AB73" i="19"/>
  <c r="AA113" i="20"/>
  <c r="AB71" i="20"/>
  <c r="AB71" i="19"/>
  <c r="AA113" i="19"/>
  <c r="AB77" i="19"/>
  <c r="AA119" i="19"/>
  <c r="AA118" i="21"/>
  <c r="AB76" i="21"/>
  <c r="AA119" i="20"/>
  <c r="AB77" i="20"/>
  <c r="AA117" i="21"/>
  <c r="AB75" i="21"/>
  <c r="AA117" i="19"/>
  <c r="AB75" i="19"/>
  <c r="E12" i="31"/>
  <c r="AB78" i="17"/>
  <c r="AA120" i="17"/>
  <c r="AB77" i="17"/>
  <c r="AA119" i="17"/>
  <c r="AA115" i="17"/>
  <c r="AB73" i="17"/>
  <c r="AB71" i="17"/>
  <c r="AA113" i="17"/>
  <c r="AA114" i="17"/>
  <c r="AB72" i="17"/>
  <c r="AA118" i="17"/>
  <c r="AB76" i="17"/>
  <c r="AA117" i="17"/>
  <c r="AB75" i="17"/>
  <c r="B7" i="28" l="1"/>
  <c r="B7" i="31"/>
  <c r="B7" i="30"/>
  <c r="A7" i="31"/>
  <c r="A10" i="31" s="1"/>
  <c r="A7" i="30"/>
  <c r="A10" i="30" s="1"/>
  <c r="A7" i="28"/>
  <c r="C78" i="47"/>
  <c r="B78" i="47"/>
  <c r="C80" i="47"/>
  <c r="B80" i="47"/>
  <c r="C70" i="47"/>
  <c r="B70" i="47"/>
  <c r="AB115" i="48"/>
  <c r="AC73" i="48"/>
  <c r="B76" i="47"/>
  <c r="C76" i="47"/>
  <c r="C88" i="47"/>
  <c r="B88" i="47"/>
  <c r="AB120" i="48"/>
  <c r="AC78" i="48"/>
  <c r="AC72" i="48"/>
  <c r="AB114" i="48"/>
  <c r="C77" i="47"/>
  <c r="B77" i="47"/>
  <c r="C74" i="47"/>
  <c r="B74" i="47"/>
  <c r="AB117" i="48"/>
  <c r="AC75" i="48"/>
  <c r="C81" i="47"/>
  <c r="B81" i="47"/>
  <c r="C73" i="47"/>
  <c r="B73" i="47"/>
  <c r="AB113" i="48"/>
  <c r="AC71" i="48"/>
  <c r="AC76" i="48"/>
  <c r="AB118" i="48"/>
  <c r="C68" i="47"/>
  <c r="B68" i="47"/>
  <c r="B69" i="47"/>
  <c r="C69" i="47"/>
  <c r="B66" i="47"/>
  <c r="C66" i="47"/>
  <c r="C72" i="47"/>
  <c r="B72" i="47"/>
  <c r="D86" i="12"/>
  <c r="AB119" i="48"/>
  <c r="AC77" i="48"/>
  <c r="D86" i="47"/>
  <c r="C75" i="47"/>
  <c r="B75" i="47"/>
  <c r="C89" i="47"/>
  <c r="B89" i="47"/>
  <c r="C66" i="12"/>
  <c r="B66" i="12"/>
  <c r="C72" i="12"/>
  <c r="B72" i="12"/>
  <c r="AB115" i="20"/>
  <c r="AC73" i="20"/>
  <c r="AB118" i="19"/>
  <c r="AC76" i="19"/>
  <c r="AB119" i="21"/>
  <c r="AC77" i="21"/>
  <c r="C75" i="12"/>
  <c r="B75" i="12"/>
  <c r="B89" i="12"/>
  <c r="C89" i="12"/>
  <c r="AB119" i="19"/>
  <c r="AC77" i="19"/>
  <c r="AB120" i="20"/>
  <c r="AC78" i="20"/>
  <c r="C80" i="12"/>
  <c r="B80" i="12"/>
  <c r="C70" i="12"/>
  <c r="B70" i="12"/>
  <c r="AC75" i="21"/>
  <c r="AB117" i="21"/>
  <c r="AB113" i="21"/>
  <c r="AC71" i="21"/>
  <c r="AB114" i="21"/>
  <c r="AC72" i="21"/>
  <c r="AC75" i="20"/>
  <c r="AB117" i="20"/>
  <c r="C76" i="12"/>
  <c r="B76" i="12"/>
  <c r="B78" i="12"/>
  <c r="C78" i="12"/>
  <c r="AC71" i="19"/>
  <c r="AB113" i="19"/>
  <c r="AC78" i="21"/>
  <c r="AB120" i="21"/>
  <c r="C88" i="12"/>
  <c r="B88" i="12"/>
  <c r="AC77" i="20"/>
  <c r="AB119" i="20"/>
  <c r="AB113" i="20"/>
  <c r="AC71" i="20"/>
  <c r="AB118" i="20"/>
  <c r="AC76" i="20"/>
  <c r="AB114" i="19"/>
  <c r="AC72" i="19"/>
  <c r="C77" i="12"/>
  <c r="B77" i="12"/>
  <c r="C74" i="12"/>
  <c r="B74" i="12"/>
  <c r="AB115" i="21"/>
  <c r="AC73" i="21"/>
  <c r="C81" i="12"/>
  <c r="B81" i="12"/>
  <c r="C73" i="12"/>
  <c r="B73" i="12"/>
  <c r="AC75" i="19"/>
  <c r="AB117" i="19"/>
  <c r="AB118" i="21"/>
  <c r="AC76" i="21"/>
  <c r="AB115" i="19"/>
  <c r="AC73" i="19"/>
  <c r="AB120" i="19"/>
  <c r="AC78" i="19"/>
  <c r="C68" i="12"/>
  <c r="B68" i="12"/>
  <c r="C69" i="12"/>
  <c r="B69" i="12"/>
  <c r="AB114" i="20"/>
  <c r="AC72" i="20"/>
  <c r="AB119" i="17"/>
  <c r="AC77" i="17"/>
  <c r="AB117" i="17"/>
  <c r="AC75" i="17"/>
  <c r="AB115" i="17"/>
  <c r="AC73" i="17"/>
  <c r="AB113" i="17"/>
  <c r="AC71" i="17"/>
  <c r="AB118" i="17"/>
  <c r="AC76" i="17"/>
  <c r="AB114" i="17"/>
  <c r="AC72" i="17"/>
  <c r="AC78" i="17"/>
  <c r="AB120" i="17"/>
  <c r="D69" i="47" l="1"/>
  <c r="D78" i="47"/>
  <c r="D88" i="47"/>
  <c r="D80" i="47"/>
  <c r="D72" i="12"/>
  <c r="D74" i="12"/>
  <c r="D70" i="47"/>
  <c r="D76" i="47"/>
  <c r="D73" i="47"/>
  <c r="D80" i="12"/>
  <c r="D75" i="12"/>
  <c r="D72" i="47"/>
  <c r="D81" i="47"/>
  <c r="D75" i="47"/>
  <c r="D68" i="47"/>
  <c r="AC114" i="48"/>
  <c r="AD72" i="48"/>
  <c r="C79" i="47"/>
  <c r="E6" i="15" s="1"/>
  <c r="B79" i="47"/>
  <c r="AC117" i="48"/>
  <c r="AD75" i="48"/>
  <c r="AD78" i="48"/>
  <c r="AC120" i="48"/>
  <c r="AC118" i="48"/>
  <c r="AD76" i="48"/>
  <c r="AC113" i="48"/>
  <c r="AD71" i="48"/>
  <c r="D74" i="47"/>
  <c r="B87" i="47"/>
  <c r="C87" i="47"/>
  <c r="E7" i="15" s="1"/>
  <c r="AD73" i="48"/>
  <c r="AC115" i="48"/>
  <c r="D66" i="47"/>
  <c r="C71" i="47"/>
  <c r="B71" i="47"/>
  <c r="D89" i="47"/>
  <c r="AD77" i="48"/>
  <c r="AC119" i="48"/>
  <c r="D77" i="47"/>
  <c r="D88" i="12"/>
  <c r="D78" i="12"/>
  <c r="D69" i="12"/>
  <c r="D77" i="12"/>
  <c r="D89" i="12"/>
  <c r="AC113" i="20"/>
  <c r="AD71" i="20"/>
  <c r="AC114" i="21"/>
  <c r="AD72" i="21"/>
  <c r="AC115" i="20"/>
  <c r="AD73" i="20"/>
  <c r="AC115" i="19"/>
  <c r="AD73" i="19"/>
  <c r="D81" i="12"/>
  <c r="AD71" i="19"/>
  <c r="AC113" i="19"/>
  <c r="AC113" i="21"/>
  <c r="AD71" i="21"/>
  <c r="AC120" i="20"/>
  <c r="AD78" i="20"/>
  <c r="AC118" i="21"/>
  <c r="AD76" i="21"/>
  <c r="AC119" i="20"/>
  <c r="AD77" i="20"/>
  <c r="C87" i="12"/>
  <c r="B87" i="12"/>
  <c r="AD72" i="19"/>
  <c r="AC114" i="19"/>
  <c r="AC119" i="19"/>
  <c r="AD77" i="19"/>
  <c r="AC119" i="21"/>
  <c r="AD77" i="21"/>
  <c r="D68" i="12"/>
  <c r="AC120" i="19"/>
  <c r="AD78" i="19"/>
  <c r="AC115" i="21"/>
  <c r="AD73" i="21"/>
  <c r="D76" i="12"/>
  <c r="AD75" i="21"/>
  <c r="AC117" i="21"/>
  <c r="B71" i="12"/>
  <c r="C71" i="12"/>
  <c r="AC117" i="19"/>
  <c r="AD75" i="19"/>
  <c r="AC118" i="20"/>
  <c r="AD76" i="20"/>
  <c r="D70" i="12"/>
  <c r="AC118" i="19"/>
  <c r="AD76" i="19"/>
  <c r="D66" i="12"/>
  <c r="C79" i="12"/>
  <c r="B79" i="12"/>
  <c r="AC114" i="20"/>
  <c r="AD72" i="20"/>
  <c r="D73" i="12"/>
  <c r="AD78" i="21"/>
  <c r="AC120" i="21"/>
  <c r="AC117" i="20"/>
  <c r="AD75" i="20"/>
  <c r="AC113" i="17"/>
  <c r="AD71" i="17"/>
  <c r="AC120" i="17"/>
  <c r="AD78" i="17"/>
  <c r="AC119" i="17"/>
  <c r="AD77" i="17"/>
  <c r="AC118" i="17"/>
  <c r="AD76" i="17"/>
  <c r="AD73" i="17"/>
  <c r="AC115" i="17"/>
  <c r="AC114" i="17"/>
  <c r="AD72" i="17"/>
  <c r="AD75" i="17"/>
  <c r="AC117" i="17"/>
  <c r="D79" i="47" l="1"/>
  <c r="D71" i="47"/>
  <c r="AE73" i="48"/>
  <c r="AD115" i="48"/>
  <c r="AD118" i="48"/>
  <c r="AE76" i="48"/>
  <c r="D6" i="15"/>
  <c r="N6" i="15" s="1"/>
  <c r="AD114" i="48"/>
  <c r="AE72" i="48"/>
  <c r="AD117" i="48"/>
  <c r="AE75" i="48"/>
  <c r="D87" i="47"/>
  <c r="D7" i="15"/>
  <c r="N7" i="15" s="1"/>
  <c r="AD113" i="48"/>
  <c r="AE71" i="48"/>
  <c r="AD119" i="48"/>
  <c r="AE77" i="48"/>
  <c r="AE78" i="48"/>
  <c r="AD120" i="48"/>
  <c r="D71" i="12"/>
  <c r="D79" i="12"/>
  <c r="AE72" i="20"/>
  <c r="AD114" i="20"/>
  <c r="AE72" i="19"/>
  <c r="AD114" i="19"/>
  <c r="AD115" i="19"/>
  <c r="AE73" i="19"/>
  <c r="AD117" i="20"/>
  <c r="AE75" i="20"/>
  <c r="D87" i="12"/>
  <c r="AE78" i="20"/>
  <c r="AD120" i="20"/>
  <c r="AE76" i="20"/>
  <c r="AD118" i="20"/>
  <c r="AD117" i="21"/>
  <c r="AE75" i="21"/>
  <c r="AD115" i="20"/>
  <c r="AE73" i="20"/>
  <c r="AD119" i="21"/>
  <c r="AE77" i="21"/>
  <c r="AE71" i="21"/>
  <c r="AD113" i="21"/>
  <c r="AE78" i="21"/>
  <c r="AD120" i="21"/>
  <c r="AD117" i="19"/>
  <c r="AE75" i="19"/>
  <c r="AD115" i="21"/>
  <c r="AE73" i="21"/>
  <c r="AD114" i="21"/>
  <c r="AE72" i="21"/>
  <c r="AD119" i="19"/>
  <c r="AE77" i="19"/>
  <c r="AD119" i="20"/>
  <c r="AE77" i="20"/>
  <c r="AE78" i="19"/>
  <c r="AD120" i="19"/>
  <c r="AD113" i="19"/>
  <c r="AE71" i="19"/>
  <c r="AD113" i="20"/>
  <c r="AE71" i="20"/>
  <c r="AD118" i="19"/>
  <c r="AE76" i="19"/>
  <c r="AE76" i="21"/>
  <c r="AD118" i="21"/>
  <c r="AE78" i="17"/>
  <c r="AD120" i="17"/>
  <c r="AE76" i="17"/>
  <c r="AD118" i="17"/>
  <c r="AD119" i="17"/>
  <c r="AE77" i="17"/>
  <c r="AD117" i="17"/>
  <c r="AE75" i="17"/>
  <c r="AD114" i="17"/>
  <c r="AE72" i="17"/>
  <c r="AD113" i="17"/>
  <c r="AE71" i="17"/>
  <c r="AD115" i="17"/>
  <c r="AE73" i="17"/>
  <c r="AL3" i="28"/>
  <c r="A3" i="28" s="1"/>
  <c r="A10" i="28" l="1"/>
  <c r="C67" i="47"/>
  <c r="E5" i="15" s="1"/>
  <c r="B67" i="12"/>
  <c r="B67" i="47"/>
  <c r="C67" i="12"/>
  <c r="AF77" i="48"/>
  <c r="AE119" i="48"/>
  <c r="AE117" i="48"/>
  <c r="AF75" i="48"/>
  <c r="AF78" i="48"/>
  <c r="AE120" i="48"/>
  <c r="AE114" i="48"/>
  <c r="AF72" i="48"/>
  <c r="AE115" i="48"/>
  <c r="AF73" i="48"/>
  <c r="AE118" i="48"/>
  <c r="AF76" i="48"/>
  <c r="AE113" i="48"/>
  <c r="AF71" i="48"/>
  <c r="AE117" i="20"/>
  <c r="AF75" i="20"/>
  <c r="AE120" i="21"/>
  <c r="AF78" i="21"/>
  <c r="AF76" i="19"/>
  <c r="AE118" i="19"/>
  <c r="AE117" i="21"/>
  <c r="AF75" i="21"/>
  <c r="AE115" i="21"/>
  <c r="AF73" i="21"/>
  <c r="AE113" i="19"/>
  <c r="AF71" i="19"/>
  <c r="AE118" i="20"/>
  <c r="AF76" i="20"/>
  <c r="AF71" i="21"/>
  <c r="AE113" i="21"/>
  <c r="AF77" i="20"/>
  <c r="AE119" i="20"/>
  <c r="AE119" i="19"/>
  <c r="AF77" i="19"/>
  <c r="AE117" i="19"/>
  <c r="AF75" i="19"/>
  <c r="AE115" i="20"/>
  <c r="AF73" i="20"/>
  <c r="AF72" i="19"/>
  <c r="AE114" i="19"/>
  <c r="AE120" i="20"/>
  <c r="AF78" i="20"/>
  <c r="AE113" i="20"/>
  <c r="AF71" i="20"/>
  <c r="AE115" i="19"/>
  <c r="AF73" i="19"/>
  <c r="AE119" i="21"/>
  <c r="AF77" i="21"/>
  <c r="AE118" i="21"/>
  <c r="AF76" i="21"/>
  <c r="AE120" i="19"/>
  <c r="AF78" i="19"/>
  <c r="AE114" i="21"/>
  <c r="AF72" i="21"/>
  <c r="AE114" i="20"/>
  <c r="AF72" i="20"/>
  <c r="AE119" i="17"/>
  <c r="AF77" i="17"/>
  <c r="AF73" i="17"/>
  <c r="AE115" i="17"/>
  <c r="AF71" i="17"/>
  <c r="AE113" i="17"/>
  <c r="AE114" i="17"/>
  <c r="AF72" i="17"/>
  <c r="AF76" i="17"/>
  <c r="AE118" i="17"/>
  <c r="AE117" i="17"/>
  <c r="AF75" i="17"/>
  <c r="AF78" i="17"/>
  <c r="AE120" i="17"/>
  <c r="D67" i="12" l="1"/>
  <c r="D67" i="47"/>
  <c r="D5" i="15"/>
  <c r="N5" i="15" s="1"/>
  <c r="AF120" i="48"/>
  <c r="AG78" i="48"/>
  <c r="AF113" i="48"/>
  <c r="AG71" i="48"/>
  <c r="AF118" i="48"/>
  <c r="AG76" i="48"/>
  <c r="AF117" i="48"/>
  <c r="AG75" i="48"/>
  <c r="AF115" i="48"/>
  <c r="AG73" i="48"/>
  <c r="AG72" i="48"/>
  <c r="AF114" i="48"/>
  <c r="AG77" i="48"/>
  <c r="AF119" i="48"/>
  <c r="AF118" i="20"/>
  <c r="AG76" i="20"/>
  <c r="AF117" i="21"/>
  <c r="AG75" i="21"/>
  <c r="AF114" i="21"/>
  <c r="AG72" i="21"/>
  <c r="AF119" i="19"/>
  <c r="AG77" i="19"/>
  <c r="AF115" i="20"/>
  <c r="AG73" i="20"/>
  <c r="AF120" i="20"/>
  <c r="AG78" i="20"/>
  <c r="AF119" i="20"/>
  <c r="AG77" i="20"/>
  <c r="AF120" i="19"/>
  <c r="AG78" i="19"/>
  <c r="AG73" i="21"/>
  <c r="AF115" i="21"/>
  <c r="AG71" i="21"/>
  <c r="AF113" i="21"/>
  <c r="AF119" i="21"/>
  <c r="AG77" i="21"/>
  <c r="AF118" i="21"/>
  <c r="AG76" i="21"/>
  <c r="AG75" i="19"/>
  <c r="AF117" i="19"/>
  <c r="AG75" i="20"/>
  <c r="AF117" i="20"/>
  <c r="AG72" i="20"/>
  <c r="AF114" i="20"/>
  <c r="AG73" i="19"/>
  <c r="AF115" i="19"/>
  <c r="AF113" i="19"/>
  <c r="AG71" i="19"/>
  <c r="AF114" i="19"/>
  <c r="AG72" i="19"/>
  <c r="AF118" i="19"/>
  <c r="AG76" i="19"/>
  <c r="AG71" i="20"/>
  <c r="AF113" i="20"/>
  <c r="AF120" i="21"/>
  <c r="AG78" i="21"/>
  <c r="AF114" i="17"/>
  <c r="AG72" i="17"/>
  <c r="AF118" i="17"/>
  <c r="AG76" i="17"/>
  <c r="AF117" i="17"/>
  <c r="AG75" i="17"/>
  <c r="AF115" i="17"/>
  <c r="AG73" i="17"/>
  <c r="AF120" i="17"/>
  <c r="AG78" i="17"/>
  <c r="AF119" i="17"/>
  <c r="AG77" i="17"/>
  <c r="AF113" i="17"/>
  <c r="AG71" i="17"/>
  <c r="AG117" i="48" l="1"/>
  <c r="AH75" i="48"/>
  <c r="AG118" i="48"/>
  <c r="AH76" i="48"/>
  <c r="AG119" i="48"/>
  <c r="AH77" i="48"/>
  <c r="AG113" i="48"/>
  <c r="AH71" i="48"/>
  <c r="AG114" i="48"/>
  <c r="AH72" i="48"/>
  <c r="AH73" i="48"/>
  <c r="AG115" i="48"/>
  <c r="AG120" i="48"/>
  <c r="AH78" i="48"/>
  <c r="AG114" i="19"/>
  <c r="AH72" i="19"/>
  <c r="AH76" i="21"/>
  <c r="AG118" i="21"/>
  <c r="AG120" i="19"/>
  <c r="AH78" i="19"/>
  <c r="AH77" i="19"/>
  <c r="AG119" i="19"/>
  <c r="AG117" i="20"/>
  <c r="AH75" i="20"/>
  <c r="AG120" i="21"/>
  <c r="AH78" i="21"/>
  <c r="AG113" i="19"/>
  <c r="AH71" i="19"/>
  <c r="AH77" i="21"/>
  <c r="AG119" i="21"/>
  <c r="AG119" i="20"/>
  <c r="AH77" i="20"/>
  <c r="AG114" i="21"/>
  <c r="AH72" i="21"/>
  <c r="AG120" i="20"/>
  <c r="AH78" i="20"/>
  <c r="AG117" i="21"/>
  <c r="AH75" i="21"/>
  <c r="AG113" i="20"/>
  <c r="AH71" i="20"/>
  <c r="AG115" i="19"/>
  <c r="AH73" i="19"/>
  <c r="AH75" i="19"/>
  <c r="AG117" i="19"/>
  <c r="AG113" i="21"/>
  <c r="AH71" i="21"/>
  <c r="AH76" i="19"/>
  <c r="AG118" i="19"/>
  <c r="AG115" i="20"/>
  <c r="AH73" i="20"/>
  <c r="AH76" i="20"/>
  <c r="AG118" i="20"/>
  <c r="AG114" i="20"/>
  <c r="AH72" i="20"/>
  <c r="AG115" i="21"/>
  <c r="AH73" i="21"/>
  <c r="AH71" i="17"/>
  <c r="AG113" i="17"/>
  <c r="AG120" i="17"/>
  <c r="AH78" i="17"/>
  <c r="AG114" i="17"/>
  <c r="AH72" i="17"/>
  <c r="AG118" i="17"/>
  <c r="AH76" i="17"/>
  <c r="AG115" i="17"/>
  <c r="AH73" i="17"/>
  <c r="AH77" i="17"/>
  <c r="AG119" i="17"/>
  <c r="AG117" i="17"/>
  <c r="AH75" i="17"/>
  <c r="B125" i="11"/>
  <c r="AH113" i="48" l="1"/>
  <c r="AI71" i="48"/>
  <c r="AH118" i="48"/>
  <c r="AI76" i="48"/>
  <c r="AH115" i="48"/>
  <c r="AI73" i="48"/>
  <c r="AH119" i="48"/>
  <c r="AI77" i="48"/>
  <c r="AH114" i="48"/>
  <c r="AI72" i="48"/>
  <c r="AH117" i="48"/>
  <c r="AI75" i="48"/>
  <c r="AH120" i="48"/>
  <c r="AI78" i="48"/>
  <c r="AH115" i="21"/>
  <c r="AI73" i="21"/>
  <c r="AH119" i="19"/>
  <c r="AI77" i="19"/>
  <c r="AH114" i="20"/>
  <c r="AI72" i="20"/>
  <c r="AH113" i="20"/>
  <c r="AI71" i="20"/>
  <c r="AI71" i="21"/>
  <c r="AH113" i="21"/>
  <c r="AH117" i="21"/>
  <c r="AI75" i="21"/>
  <c r="AI75" i="20"/>
  <c r="AH117" i="20"/>
  <c r="AH113" i="19"/>
  <c r="AI71" i="19"/>
  <c r="AI78" i="21"/>
  <c r="AH120" i="21"/>
  <c r="AH118" i="20"/>
  <c r="AI76" i="20"/>
  <c r="AH119" i="21"/>
  <c r="AI77" i="21"/>
  <c r="AH118" i="21"/>
  <c r="AI76" i="21"/>
  <c r="AI73" i="19"/>
  <c r="AH115" i="19"/>
  <c r="AI77" i="20"/>
  <c r="AH119" i="20"/>
  <c r="AH118" i="19"/>
  <c r="AI76" i="19"/>
  <c r="AH115" i="20"/>
  <c r="AI73" i="20"/>
  <c r="AH120" i="20"/>
  <c r="AI78" i="20"/>
  <c r="AH114" i="19"/>
  <c r="AI72" i="19"/>
  <c r="AH114" i="21"/>
  <c r="AI72" i="21"/>
  <c r="AH120" i="19"/>
  <c r="AI78" i="19"/>
  <c r="AH117" i="19"/>
  <c r="AI75" i="19"/>
  <c r="AI75" i="17"/>
  <c r="AH117" i="17"/>
  <c r="AH114" i="17"/>
  <c r="AI72" i="17"/>
  <c r="AH120" i="17"/>
  <c r="AI78" i="17"/>
  <c r="AH119" i="17"/>
  <c r="AI77" i="17"/>
  <c r="AH118" i="17"/>
  <c r="AI76" i="17"/>
  <c r="AI73" i="17"/>
  <c r="AH115" i="17"/>
  <c r="AI71" i="17"/>
  <c r="AH113" i="17"/>
  <c r="B5" i="1" l="1"/>
  <c r="B3" i="1"/>
  <c r="B6" i="2"/>
  <c r="B6" i="1"/>
  <c r="B8" i="1"/>
  <c r="B8" i="2"/>
  <c r="B4" i="2"/>
  <c r="B4" i="1"/>
  <c r="B5" i="2"/>
  <c r="B9" i="1"/>
  <c r="B9" i="2"/>
  <c r="A4" i="1"/>
  <c r="A3" i="1"/>
  <c r="A5" i="1"/>
  <c r="A6" i="2"/>
  <c r="A8" i="1"/>
  <c r="A6" i="1"/>
  <c r="A8" i="2"/>
  <c r="A4" i="2"/>
  <c r="A9" i="1"/>
  <c r="A5" i="2"/>
  <c r="A9" i="2"/>
  <c r="AI119" i="48"/>
  <c r="AI120" i="48"/>
  <c r="AI115" i="48"/>
  <c r="AI117" i="48"/>
  <c r="AI118" i="48"/>
  <c r="AI114" i="48"/>
  <c r="AI113" i="48"/>
  <c r="AI114" i="19"/>
  <c r="AI118" i="19"/>
  <c r="AI119" i="21"/>
  <c r="AI114" i="20"/>
  <c r="AI117" i="19"/>
  <c r="AI118" i="20"/>
  <c r="AI117" i="21"/>
  <c r="AI119" i="20"/>
  <c r="AI120" i="19"/>
  <c r="AI120" i="20"/>
  <c r="AI119" i="19"/>
  <c r="AI115" i="19"/>
  <c r="AI120" i="21"/>
  <c r="AI113" i="21"/>
  <c r="AI117" i="20"/>
  <c r="AI114" i="21"/>
  <c r="AI115" i="20"/>
  <c r="AI118" i="21"/>
  <c r="AI113" i="19"/>
  <c r="AI113" i="20"/>
  <c r="AI115" i="21"/>
  <c r="AI115" i="17"/>
  <c r="AI113" i="17"/>
  <c r="AI120" i="17"/>
  <c r="AI118" i="17"/>
  <c r="AI114" i="17"/>
  <c r="AI119" i="17"/>
  <c r="AI117" i="17"/>
  <c r="B7" i="1" l="1"/>
  <c r="B2" i="1"/>
  <c r="B7" i="2"/>
  <c r="A7" i="2"/>
  <c r="A7" i="1"/>
  <c r="A2" i="1"/>
  <c r="C92" i="47"/>
  <c r="B92" i="47"/>
  <c r="C100" i="47"/>
  <c r="B100" i="47"/>
  <c r="C104" i="47"/>
  <c r="B104" i="47"/>
  <c r="B105" i="47"/>
  <c r="C105" i="47"/>
  <c r="C94" i="47"/>
  <c r="B94" i="47"/>
  <c r="C96" i="47"/>
  <c r="B96" i="47"/>
  <c r="B101" i="47"/>
  <c r="C101" i="47"/>
  <c r="C102" i="47"/>
  <c r="B102" i="47"/>
  <c r="C93" i="47"/>
  <c r="B93" i="47"/>
  <c r="C97" i="47"/>
  <c r="B97" i="47"/>
  <c r="C91" i="47"/>
  <c r="B91" i="47"/>
  <c r="B92" i="12"/>
  <c r="C92" i="12"/>
  <c r="C104" i="12"/>
  <c r="B104" i="12"/>
  <c r="C105" i="12"/>
  <c r="B105" i="12"/>
  <c r="C94" i="12"/>
  <c r="B94" i="12"/>
  <c r="B96" i="12"/>
  <c r="C96" i="12"/>
  <c r="C100" i="12"/>
  <c r="B100" i="12"/>
  <c r="C101" i="12"/>
  <c r="B101" i="12"/>
  <c r="C102" i="12"/>
  <c r="B102" i="12"/>
  <c r="C93" i="12"/>
  <c r="B93" i="12"/>
  <c r="C97" i="12"/>
  <c r="B97" i="12"/>
  <c r="C91" i="12"/>
  <c r="B91" i="12"/>
  <c r="A10" i="1" l="1"/>
  <c r="D91" i="12"/>
  <c r="D105" i="12"/>
  <c r="D97" i="47"/>
  <c r="D96" i="47"/>
  <c r="D91" i="47"/>
  <c r="D101" i="47"/>
  <c r="D104" i="47"/>
  <c r="D92" i="12"/>
  <c r="D102" i="47"/>
  <c r="D97" i="12"/>
  <c r="D104" i="12"/>
  <c r="D94" i="47"/>
  <c r="C103" i="47"/>
  <c r="B103" i="47"/>
  <c r="D105" i="47"/>
  <c r="B90" i="47"/>
  <c r="C90" i="47"/>
  <c r="C95" i="47"/>
  <c r="B95" i="47"/>
  <c r="D100" i="47"/>
  <c r="D93" i="47"/>
  <c r="D92" i="47"/>
  <c r="D102" i="12"/>
  <c r="D94" i="12"/>
  <c r="D93" i="12"/>
  <c r="C90" i="12"/>
  <c r="B90" i="12"/>
  <c r="C95" i="12"/>
  <c r="B95" i="12"/>
  <c r="D101" i="12"/>
  <c r="D100" i="12"/>
  <c r="B103" i="12"/>
  <c r="C103" i="12"/>
  <c r="D96" i="12"/>
  <c r="C125" i="11"/>
  <c r="C16" i="31"/>
  <c r="C16" i="28"/>
  <c r="C16" i="30"/>
  <c r="D103" i="47" l="1"/>
  <c r="D95" i="47"/>
  <c r="D90" i="47"/>
  <c r="D3" i="15"/>
  <c r="E3" i="15"/>
  <c r="D95" i="12"/>
  <c r="D103" i="12"/>
  <c r="D90" i="12"/>
  <c r="D125" i="11"/>
  <c r="N3" i="15" l="1"/>
  <c r="AC2" i="27" l="1"/>
  <c r="AB2" i="27"/>
  <c r="AA2" i="27"/>
  <c r="Z2" i="27"/>
  <c r="Y2" i="27"/>
  <c r="X2" i="27"/>
  <c r="W2" i="27"/>
  <c r="V2" i="27"/>
  <c r="AS9" i="30" l="1"/>
  <c r="B9" i="30" s="1"/>
  <c r="AQ18" i="30" l="1"/>
  <c r="AS18" i="30"/>
  <c r="AP18" i="30"/>
  <c r="AO18" i="30"/>
  <c r="AN18" i="30"/>
  <c r="AM18" i="30"/>
  <c r="AL18" i="30"/>
  <c r="AK18" i="30"/>
  <c r="AJ18" i="30"/>
  <c r="AI18" i="30"/>
  <c r="AH18" i="30"/>
  <c r="AG18" i="30"/>
  <c r="AF18" i="30"/>
  <c r="AE18" i="30"/>
  <c r="AD18" i="30"/>
  <c r="AC18" i="30"/>
  <c r="AB18" i="30"/>
  <c r="AA18" i="30"/>
  <c r="Z18" i="30"/>
  <c r="Y18" i="30"/>
  <c r="X18" i="30"/>
  <c r="W18" i="30"/>
  <c r="V18" i="30"/>
  <c r="U18" i="30"/>
  <c r="T18" i="30"/>
  <c r="S18" i="30"/>
  <c r="R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A18" i="30" s="1"/>
  <c r="AS18" i="31"/>
  <c r="AR18" i="30" l="1"/>
  <c r="AI18" i="31"/>
  <c r="AJ18" i="31"/>
  <c r="G18" i="31"/>
  <c r="T18" i="31"/>
  <c r="AE18" i="31"/>
  <c r="AC18" i="31"/>
  <c r="AD18" i="31"/>
  <c r="M18" i="31"/>
  <c r="Y18" i="31"/>
  <c r="S18" i="31"/>
  <c r="AG18" i="31"/>
  <c r="X18" i="31"/>
  <c r="L18" i="31"/>
  <c r="O18" i="31"/>
  <c r="I18" i="31"/>
  <c r="Z18" i="31"/>
  <c r="R18" i="31"/>
  <c r="N18" i="31"/>
  <c r="Q18" i="31"/>
  <c r="AH18" i="31"/>
  <c r="J18" i="31"/>
  <c r="AF18" i="31"/>
  <c r="P18" i="31"/>
  <c r="H18" i="31"/>
  <c r="AB18" i="31"/>
  <c r="W18" i="31"/>
  <c r="U18" i="31"/>
  <c r="V18" i="31"/>
  <c r="AA18" i="31"/>
  <c r="F18" i="31"/>
  <c r="K18" i="31"/>
  <c r="E18" i="31" l="1"/>
  <c r="AK18" i="31"/>
  <c r="AL18" i="31" l="1"/>
  <c r="A18" i="31" s="1"/>
  <c r="AM18" i="31" l="1"/>
  <c r="AN18" i="31" l="1"/>
  <c r="AO18" i="31"/>
  <c r="AP18" i="31" l="1"/>
  <c r="AQ18" i="31"/>
  <c r="AR18" i="31"/>
  <c r="AS18" i="28" l="1"/>
  <c r="AI18" i="28"/>
  <c r="AJ18" i="28"/>
  <c r="G18" i="28"/>
  <c r="T18" i="28"/>
  <c r="AE18" i="28"/>
  <c r="AC18" i="28"/>
  <c r="AD18" i="28"/>
  <c r="M18" i="28"/>
  <c r="Y18" i="28"/>
  <c r="S18" i="28"/>
  <c r="AG18" i="28"/>
  <c r="X18" i="28"/>
  <c r="L18" i="28"/>
  <c r="O18" i="28"/>
  <c r="I18" i="28"/>
  <c r="Z18" i="28"/>
  <c r="R18" i="28"/>
  <c r="N18" i="28"/>
  <c r="Q18" i="28"/>
  <c r="AH18" i="28"/>
  <c r="J18" i="28"/>
  <c r="AF18" i="28"/>
  <c r="P18" i="28"/>
  <c r="H18" i="28"/>
  <c r="AB18" i="28"/>
  <c r="W18" i="28"/>
  <c r="U18" i="28"/>
  <c r="V18" i="28"/>
  <c r="AA18" i="28"/>
  <c r="F18" i="28"/>
  <c r="K18" i="28"/>
  <c r="E18" i="28" l="1"/>
  <c r="AK18" i="28"/>
  <c r="AL18" i="28" l="1"/>
  <c r="A18" i="28" s="1"/>
  <c r="AM18" i="28" l="1"/>
  <c r="AN18" i="28"/>
  <c r="AO18" i="28" l="1"/>
  <c r="AP18" i="28" l="1"/>
  <c r="AQ18" i="28" l="1"/>
  <c r="J53" i="27" l="1"/>
  <c r="AR18" i="28"/>
  <c r="J15" i="27" l="1"/>
  <c r="J13" i="27"/>
  <c r="J20" i="27"/>
  <c r="J9" i="27"/>
  <c r="J19" i="27"/>
  <c r="J11" i="27"/>
  <c r="J26" i="27"/>
  <c r="J21" i="27"/>
  <c r="J3" i="27"/>
  <c r="J32" i="27"/>
  <c r="J45" i="27"/>
  <c r="J50" i="27"/>
  <c r="J41" i="27"/>
  <c r="J37" i="27"/>
  <c r="J28" i="27"/>
  <c r="J43" i="27"/>
  <c r="J47" i="27"/>
  <c r="J22" i="27"/>
  <c r="J49" i="27"/>
  <c r="J29" i="27"/>
  <c r="J25" i="27"/>
  <c r="J34" i="27"/>
  <c r="J46" i="27"/>
  <c r="J35" i="27"/>
  <c r="J6" i="27"/>
  <c r="J51" i="27"/>
  <c r="J4" i="27"/>
  <c r="J14" i="27"/>
  <c r="J38" i="27"/>
  <c r="J42" i="27"/>
  <c r="J24" i="27"/>
  <c r="J44" i="27"/>
  <c r="J33" i="27"/>
  <c r="J52" i="27"/>
  <c r="J5" i="27"/>
  <c r="J12" i="27"/>
  <c r="J40" i="27"/>
  <c r="J10" i="27"/>
  <c r="J16" i="27"/>
  <c r="J27" i="27"/>
  <c r="J39" i="27"/>
  <c r="J17" i="27"/>
  <c r="J7" i="27"/>
  <c r="J8" i="27"/>
  <c r="J31" i="27"/>
  <c r="J36" i="27"/>
  <c r="J30" i="27"/>
  <c r="J23" i="27"/>
  <c r="J48" i="27"/>
  <c r="J18" i="27"/>
  <c r="BB16" i="31"/>
  <c r="BA16" i="31"/>
  <c r="AZ16" i="31"/>
  <c r="AY16" i="31"/>
  <c r="AX16" i="31"/>
  <c r="AW16" i="31"/>
  <c r="AV16" i="31"/>
  <c r="AU16" i="31"/>
  <c r="AT16" i="31"/>
  <c r="AS16" i="31"/>
  <c r="AR16" i="31"/>
  <c r="AQ16" i="31"/>
  <c r="AP16" i="31"/>
  <c r="AO16" i="31"/>
  <c r="AN16" i="31"/>
  <c r="AM16" i="31"/>
  <c r="AL16" i="31"/>
  <c r="AK16" i="31"/>
  <c r="AJ16" i="31"/>
  <c r="AG16" i="31"/>
  <c r="AB16" i="31"/>
  <c r="Y16" i="31"/>
  <c r="V16" i="31"/>
  <c r="U16" i="31"/>
  <c r="Q16" i="31"/>
  <c r="N16" i="31"/>
  <c r="M16" i="31"/>
  <c r="I16" i="31"/>
  <c r="G16" i="31"/>
  <c r="BB17" i="31"/>
  <c r="AT17" i="31"/>
  <c r="AL17" i="31"/>
  <c r="C12" i="31"/>
  <c r="D10" i="31"/>
  <c r="E1" i="31"/>
  <c r="F1" i="31" s="1"/>
  <c r="G1" i="31" s="1"/>
  <c r="H1" i="31" s="1"/>
  <c r="I1" i="31" s="1"/>
  <c r="J1" i="31" s="1"/>
  <c r="K1" i="31" s="1"/>
  <c r="L1" i="31" s="1"/>
  <c r="M1" i="31" s="1"/>
  <c r="N1" i="31" s="1"/>
  <c r="O1" i="31" s="1"/>
  <c r="P1" i="31" s="1"/>
  <c r="Q1" i="31" s="1"/>
  <c r="R1" i="31" s="1"/>
  <c r="S1" i="31" s="1"/>
  <c r="T1" i="31" s="1"/>
  <c r="U1" i="31" s="1"/>
  <c r="V1" i="31" s="1"/>
  <c r="W1" i="31" s="1"/>
  <c r="X1" i="31" s="1"/>
  <c r="Y1" i="31" s="1"/>
  <c r="Z1" i="31" s="1"/>
  <c r="AA1" i="31" s="1"/>
  <c r="AB1" i="31" s="1"/>
  <c r="AC1" i="31" s="1"/>
  <c r="AD1" i="31" s="1"/>
  <c r="AE1" i="31" s="1"/>
  <c r="AF1" i="31" s="1"/>
  <c r="AG1" i="31" s="1"/>
  <c r="AH1" i="31" s="1"/>
  <c r="AI1" i="31" s="1"/>
  <c r="AJ1" i="31" s="1"/>
  <c r="AK1" i="31" s="1"/>
  <c r="AL1" i="31" s="1"/>
  <c r="AM1" i="31" s="1"/>
  <c r="AN1" i="31" s="1"/>
  <c r="AO1" i="31" s="1"/>
  <c r="AP1" i="31" s="1"/>
  <c r="AQ1" i="31" s="1"/>
  <c r="AR1" i="31" s="1"/>
  <c r="AS1" i="31" s="1"/>
  <c r="AT1" i="31" s="1"/>
  <c r="AU1" i="31" s="1"/>
  <c r="AV1" i="31" s="1"/>
  <c r="AW1" i="31" s="1"/>
  <c r="AX1" i="31" s="1"/>
  <c r="AY1" i="31" s="1"/>
  <c r="AZ1" i="31" s="1"/>
  <c r="BA1" i="31" s="1"/>
  <c r="BB1" i="31" s="1"/>
  <c r="J55" i="27" l="1"/>
  <c r="AU17" i="31"/>
  <c r="AM17" i="31"/>
  <c r="E16" i="31"/>
  <c r="AV17" i="31"/>
  <c r="AN17" i="31"/>
  <c r="AW17" i="31"/>
  <c r="AO17" i="31"/>
  <c r="AP17" i="31"/>
  <c r="AX17" i="31"/>
  <c r="AI17" i="31"/>
  <c r="AQ17" i="31"/>
  <c r="AY17" i="31"/>
  <c r="AJ17" i="31"/>
  <c r="AR17" i="31"/>
  <c r="AZ17" i="31"/>
  <c r="AK17" i="31"/>
  <c r="AS17" i="31"/>
  <c r="BA17" i="31"/>
  <c r="O16" i="31"/>
  <c r="W16" i="31"/>
  <c r="AE16" i="31"/>
  <c r="H16" i="31"/>
  <c r="P16" i="31"/>
  <c r="X16" i="31"/>
  <c r="AF16" i="31"/>
  <c r="J16" i="31"/>
  <c r="R16" i="31"/>
  <c r="Z16" i="31"/>
  <c r="AH16" i="31"/>
  <c r="K16" i="31"/>
  <c r="S16" i="31"/>
  <c r="AA16" i="31"/>
  <c r="AI16" i="31"/>
  <c r="L16" i="31"/>
  <c r="T16" i="31"/>
  <c r="AC16" i="31"/>
  <c r="F16" i="31"/>
  <c r="AD16" i="31"/>
  <c r="AZ10" i="31"/>
  <c r="AK10" i="31"/>
  <c r="AS10" i="31"/>
  <c r="BA10" i="31"/>
  <c r="AJ10" i="31"/>
  <c r="AR10" i="31"/>
  <c r="AL10" i="31"/>
  <c r="AT10" i="31"/>
  <c r="BB10" i="31"/>
  <c r="E14" i="31"/>
  <c r="AI10" i="31"/>
  <c r="AQ10" i="31"/>
  <c r="AY10" i="31"/>
  <c r="AP10" i="31"/>
  <c r="AX10" i="31"/>
  <c r="AM10" i="31"/>
  <c r="AU10" i="31"/>
  <c r="AN10" i="31"/>
  <c r="AV10" i="31"/>
  <c r="AO10" i="31"/>
  <c r="AW10" i="31"/>
  <c r="A16" i="31" l="1"/>
  <c r="BB16" i="28" l="1"/>
  <c r="BA16" i="28"/>
  <c r="AZ16" i="28"/>
  <c r="AY16" i="28"/>
  <c r="AX16" i="28"/>
  <c r="AW16" i="28"/>
  <c r="AV16" i="28"/>
  <c r="AU16" i="28"/>
  <c r="AT16" i="28"/>
  <c r="AS16" i="28"/>
  <c r="AR16" i="28"/>
  <c r="AQ16" i="28"/>
  <c r="AP16" i="28"/>
  <c r="AO16" i="28"/>
  <c r="AN16" i="28"/>
  <c r="AM16" i="28"/>
  <c r="AL16" i="28"/>
  <c r="AK16" i="28"/>
  <c r="AJ16" i="28"/>
  <c r="AH16" i="28"/>
  <c r="AG16" i="28"/>
  <c r="AF16" i="28"/>
  <c r="AE16" i="28"/>
  <c r="AD16" i="28"/>
  <c r="AC16" i="28"/>
  <c r="Z16" i="28"/>
  <c r="Y16" i="28"/>
  <c r="W16" i="28"/>
  <c r="V16" i="28"/>
  <c r="R16" i="28"/>
  <c r="Q16" i="28"/>
  <c r="O16" i="28"/>
  <c r="N16" i="28"/>
  <c r="J16" i="28"/>
  <c r="I16" i="28"/>
  <c r="G16" i="28"/>
  <c r="F16" i="28"/>
  <c r="E16" i="28"/>
  <c r="AY17" i="28"/>
  <c r="AQ17" i="28"/>
  <c r="AI17" i="28"/>
  <c r="AA17" i="28"/>
  <c r="S17" i="28"/>
  <c r="K17" i="28"/>
  <c r="AC12" i="28"/>
  <c r="N12" i="28"/>
  <c r="C12" i="28"/>
  <c r="D10" i="28"/>
  <c r="AH12" i="28"/>
  <c r="AG12" i="28"/>
  <c r="AF12" i="28"/>
  <c r="AE12" i="28"/>
  <c r="Z12" i="28"/>
  <c r="Y12" i="28"/>
  <c r="W12" i="28"/>
  <c r="R12" i="28"/>
  <c r="Q12" i="28"/>
  <c r="O12" i="28"/>
  <c r="J12" i="28"/>
  <c r="I12" i="28"/>
  <c r="E1" i="28"/>
  <c r="F1" i="28" s="1"/>
  <c r="G1" i="28" s="1"/>
  <c r="H1" i="28" s="1"/>
  <c r="I1" i="28" s="1"/>
  <c r="J1" i="28" s="1"/>
  <c r="K1" i="28" s="1"/>
  <c r="L1" i="28" s="1"/>
  <c r="M1" i="28" s="1"/>
  <c r="N1" i="28" s="1"/>
  <c r="O1" i="28" s="1"/>
  <c r="P1" i="28" s="1"/>
  <c r="Q1" i="28" s="1"/>
  <c r="R1" i="28" s="1"/>
  <c r="S1" i="28" s="1"/>
  <c r="T1" i="28" s="1"/>
  <c r="U1" i="28" s="1"/>
  <c r="V1" i="28" s="1"/>
  <c r="W1" i="28" s="1"/>
  <c r="X1" i="28" s="1"/>
  <c r="Y1" i="28" s="1"/>
  <c r="Z1" i="28" s="1"/>
  <c r="AA1" i="28" s="1"/>
  <c r="AB1" i="28" s="1"/>
  <c r="AC1" i="28" s="1"/>
  <c r="AD1" i="28" s="1"/>
  <c r="AE1" i="28" s="1"/>
  <c r="AF1" i="28" s="1"/>
  <c r="AG1" i="28" s="1"/>
  <c r="AH1" i="28" s="1"/>
  <c r="AI1" i="28" s="1"/>
  <c r="AJ1" i="28" s="1"/>
  <c r="AK1" i="28" s="1"/>
  <c r="AL1" i="28" s="1"/>
  <c r="AM1" i="28" s="1"/>
  <c r="AN1" i="28" s="1"/>
  <c r="AO1" i="28" s="1"/>
  <c r="AP1" i="28" s="1"/>
  <c r="AQ1" i="28" s="1"/>
  <c r="AR1" i="28" s="1"/>
  <c r="AS1" i="28" s="1"/>
  <c r="AT1" i="28" s="1"/>
  <c r="AU1" i="28" s="1"/>
  <c r="AV1" i="28" s="1"/>
  <c r="AW1" i="28" s="1"/>
  <c r="AX1" i="28" s="1"/>
  <c r="AY1" i="28" s="1"/>
  <c r="AZ1" i="28" s="1"/>
  <c r="BA1" i="28" s="1"/>
  <c r="BB1" i="28" s="1"/>
  <c r="D10" i="30"/>
  <c r="L17" i="28" l="1"/>
  <c r="T17" i="28"/>
  <c r="AJ17" i="28"/>
  <c r="AR17" i="28"/>
  <c r="AZ17" i="28"/>
  <c r="AB17" i="28"/>
  <c r="F12" i="28"/>
  <c r="V12" i="28"/>
  <c r="AD12" i="28"/>
  <c r="AD17" i="28"/>
  <c r="AT17" i="28"/>
  <c r="BB17" i="28"/>
  <c r="N17" i="28"/>
  <c r="V17" i="28"/>
  <c r="H17" i="28"/>
  <c r="AL17" i="28"/>
  <c r="F17" i="28"/>
  <c r="J17" i="28"/>
  <c r="AI12" i="28"/>
  <c r="AI16" i="28"/>
  <c r="L12" i="28"/>
  <c r="L16" i="28"/>
  <c r="T12" i="28"/>
  <c r="T16" i="28"/>
  <c r="AB12" i="28"/>
  <c r="AB16" i="28"/>
  <c r="AA12" i="28"/>
  <c r="AA16" i="28"/>
  <c r="U17" i="28"/>
  <c r="AC17" i="28"/>
  <c r="AK17" i="28"/>
  <c r="AS17" i="28"/>
  <c r="BA17" i="28"/>
  <c r="M12" i="28"/>
  <c r="M16" i="28"/>
  <c r="U12" i="28"/>
  <c r="U16" i="28"/>
  <c r="K12" i="28"/>
  <c r="K16" i="28"/>
  <c r="S12" i="28"/>
  <c r="S16" i="28"/>
  <c r="E17" i="28"/>
  <c r="G17" i="28"/>
  <c r="O17" i="28"/>
  <c r="W17" i="28"/>
  <c r="AE17" i="28"/>
  <c r="AM17" i="28"/>
  <c r="AU17" i="28"/>
  <c r="P17" i="28"/>
  <c r="X17" i="28"/>
  <c r="AF17" i="28"/>
  <c r="AN17" i="28"/>
  <c r="AV17" i="28"/>
  <c r="H12" i="28"/>
  <c r="H16" i="28"/>
  <c r="P12" i="28"/>
  <c r="P16" i="28"/>
  <c r="X12" i="28"/>
  <c r="X16" i="28"/>
  <c r="M17" i="28"/>
  <c r="I17" i="28"/>
  <c r="Q17" i="28"/>
  <c r="Y17" i="28"/>
  <c r="AG17" i="28"/>
  <c r="AO17" i="28"/>
  <c r="AW17" i="28"/>
  <c r="R17" i="28"/>
  <c r="Z17" i="28"/>
  <c r="AH17" i="28"/>
  <c r="AP17" i="28"/>
  <c r="AX17" i="28"/>
  <c r="E15" i="28"/>
  <c r="E12" i="28"/>
  <c r="E14" i="28"/>
  <c r="F10" i="28"/>
  <c r="N10" i="28"/>
  <c r="V10" i="28"/>
  <c r="AD10" i="28"/>
  <c r="AL10" i="28"/>
  <c r="AT10" i="28"/>
  <c r="BB10" i="28"/>
  <c r="K10" i="28"/>
  <c r="S10" i="28"/>
  <c r="AA10" i="28"/>
  <c r="AQ10" i="28"/>
  <c r="AY10" i="28"/>
  <c r="AI10" i="28"/>
  <c r="H10" i="28"/>
  <c r="P10" i="28"/>
  <c r="X10" i="28"/>
  <c r="AF10" i="28"/>
  <c r="AN10" i="28"/>
  <c r="AV10" i="28"/>
  <c r="O10" i="28"/>
  <c r="AM10" i="28"/>
  <c r="I10" i="28"/>
  <c r="Q10" i="28"/>
  <c r="Y10" i="28"/>
  <c r="AG10" i="28"/>
  <c r="AO10" i="28"/>
  <c r="AW10" i="28"/>
  <c r="G10" i="28"/>
  <c r="AU10" i="28"/>
  <c r="J10" i="28"/>
  <c r="R10" i="28"/>
  <c r="Z10" i="28"/>
  <c r="AH10" i="28"/>
  <c r="AP10" i="28"/>
  <c r="AX10" i="28"/>
  <c r="W10" i="28"/>
  <c r="L10" i="28"/>
  <c r="T10" i="28"/>
  <c r="AB10" i="28"/>
  <c r="AJ10" i="28"/>
  <c r="AR10" i="28"/>
  <c r="AZ10" i="28"/>
  <c r="AE10" i="28"/>
  <c r="E10" i="28"/>
  <c r="M10" i="28"/>
  <c r="U10" i="28"/>
  <c r="AC10" i="28"/>
  <c r="AK10" i="28"/>
  <c r="AS10" i="28"/>
  <c r="BA10" i="28"/>
  <c r="G12" i="28"/>
  <c r="A16" i="28" l="1"/>
  <c r="A17" i="28"/>
  <c r="BB16" i="30"/>
  <c r="BA16" i="30"/>
  <c r="AZ16" i="30"/>
  <c r="AY16" i="30"/>
  <c r="AX16" i="30"/>
  <c r="AW16" i="30"/>
  <c r="AV16" i="30"/>
  <c r="AU16" i="30"/>
  <c r="AT16" i="30"/>
  <c r="AS16" i="30"/>
  <c r="AR16" i="30"/>
  <c r="AQ16" i="30"/>
  <c r="AP16" i="30"/>
  <c r="AO16" i="30"/>
  <c r="AN16" i="30"/>
  <c r="AM16" i="30"/>
  <c r="AL16" i="30"/>
  <c r="AK16" i="30"/>
  <c r="AJ16" i="30"/>
  <c r="AI16" i="30"/>
  <c r="AH16" i="30"/>
  <c r="AG16" i="30"/>
  <c r="AF16" i="30"/>
  <c r="AE16" i="30"/>
  <c r="AD16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AN17" i="30"/>
  <c r="A19" i="28" l="1"/>
  <c r="A16" i="30"/>
  <c r="AK17" i="30"/>
  <c r="AS17" i="30"/>
  <c r="BA17" i="30"/>
  <c r="AV17" i="30"/>
  <c r="AO17" i="30"/>
  <c r="AW17" i="30"/>
  <c r="AP17" i="30"/>
  <c r="AX17" i="30"/>
  <c r="AQ17" i="30"/>
  <c r="AY17" i="30"/>
  <c r="AJ17" i="30"/>
  <c r="AR17" i="30"/>
  <c r="AZ17" i="30"/>
  <c r="AL17" i="30"/>
  <c r="AT17" i="30"/>
  <c r="BB17" i="30"/>
  <c r="AM17" i="30"/>
  <c r="AU17" i="30"/>
  <c r="AN10" i="30"/>
  <c r="AV10" i="30"/>
  <c r="AO10" i="30"/>
  <c r="AW10" i="30"/>
  <c r="AP10" i="30"/>
  <c r="AX10" i="30"/>
  <c r="AQ10" i="30"/>
  <c r="AY10" i="30"/>
  <c r="AJ10" i="30"/>
  <c r="AR10" i="30"/>
  <c r="AZ10" i="30"/>
  <c r="AK10" i="30"/>
  <c r="AS10" i="30"/>
  <c r="BA10" i="30"/>
  <c r="AL10" i="30"/>
  <c r="AT10" i="30"/>
  <c r="BB10" i="30"/>
  <c r="AM10" i="30"/>
  <c r="AU10" i="30"/>
  <c r="C12" i="30"/>
  <c r="E1" i="30"/>
  <c r="F1" i="30" s="1"/>
  <c r="G1" i="30" s="1"/>
  <c r="H1" i="30" s="1"/>
  <c r="I1" i="30" s="1"/>
  <c r="J1" i="30" s="1"/>
  <c r="K1" i="30" s="1"/>
  <c r="L1" i="30" s="1"/>
  <c r="M1" i="30" s="1"/>
  <c r="N1" i="30" s="1"/>
  <c r="O1" i="30" s="1"/>
  <c r="P1" i="30" s="1"/>
  <c r="Q1" i="30" s="1"/>
  <c r="R1" i="30" s="1"/>
  <c r="S1" i="30" s="1"/>
  <c r="T1" i="30" s="1"/>
  <c r="U1" i="30" s="1"/>
  <c r="V1" i="30" s="1"/>
  <c r="W1" i="30" s="1"/>
  <c r="X1" i="30" s="1"/>
  <c r="Y1" i="30" s="1"/>
  <c r="Z1" i="30" s="1"/>
  <c r="AA1" i="30" s="1"/>
  <c r="AB1" i="30" s="1"/>
  <c r="AC1" i="30" s="1"/>
  <c r="AD1" i="30" s="1"/>
  <c r="AE1" i="30" s="1"/>
  <c r="AF1" i="30" s="1"/>
  <c r="AG1" i="30" s="1"/>
  <c r="AH1" i="30" s="1"/>
  <c r="AI1" i="30" s="1"/>
  <c r="AJ1" i="30" s="1"/>
  <c r="AK1" i="30" s="1"/>
  <c r="AL1" i="30" s="1"/>
  <c r="AM1" i="30" s="1"/>
  <c r="AN1" i="30" s="1"/>
  <c r="AO1" i="30" s="1"/>
  <c r="AP1" i="30" s="1"/>
  <c r="AQ1" i="30" s="1"/>
  <c r="AR1" i="30" s="1"/>
  <c r="AS1" i="30" s="1"/>
  <c r="AT1" i="30" s="1"/>
  <c r="AU1" i="30" s="1"/>
  <c r="AV1" i="30" s="1"/>
  <c r="AW1" i="30" s="1"/>
  <c r="AX1" i="30" s="1"/>
  <c r="AY1" i="30" s="1"/>
  <c r="AZ1" i="30" s="1"/>
  <c r="BA1" i="30" s="1"/>
  <c r="BB1" i="30" s="1"/>
  <c r="AG15" i="21" l="1"/>
  <c r="AG15" i="20"/>
  <c r="AG15" i="17"/>
  <c r="AG2" i="19"/>
  <c r="AG2" i="21"/>
  <c r="AG15" i="48"/>
  <c r="AG2" i="20"/>
  <c r="AG15" i="19"/>
  <c r="AG2" i="48"/>
  <c r="AG2" i="17"/>
  <c r="AH2" i="48"/>
  <c r="AH15" i="21"/>
  <c r="AH2" i="21"/>
  <c r="AH15" i="17"/>
  <c r="AH2" i="20"/>
  <c r="AH2" i="19"/>
  <c r="AH15" i="48"/>
  <c r="AH2" i="17"/>
  <c r="AH15" i="20"/>
  <c r="AH15" i="19"/>
  <c r="AI2" i="21"/>
  <c r="AI15" i="19"/>
  <c r="AI2" i="48"/>
  <c r="AI15" i="20"/>
  <c r="AI15" i="21"/>
  <c r="AI2" i="17"/>
  <c r="AI2" i="19"/>
  <c r="AI15" i="48"/>
  <c r="AI2" i="20"/>
  <c r="AI15" i="17"/>
  <c r="AI40" i="27"/>
  <c r="AI38" i="27"/>
  <c r="AI5" i="27"/>
  <c r="AI28" i="27"/>
  <c r="AI21" i="27"/>
  <c r="AI29" i="27"/>
  <c r="AI24" i="27"/>
  <c r="AI31" i="27"/>
  <c r="AI30" i="27"/>
  <c r="AI32" i="27"/>
  <c r="AI20" i="27"/>
  <c r="AI51" i="27"/>
  <c r="AI50" i="27"/>
  <c r="AI44" i="27"/>
  <c r="AI17" i="27"/>
  <c r="AI23" i="27"/>
  <c r="AI22" i="27"/>
  <c r="AI39" i="27"/>
  <c r="AI12" i="27"/>
  <c r="AI43" i="27"/>
  <c r="AI42" i="27"/>
  <c r="AI8" i="27"/>
  <c r="AI25" i="27"/>
  <c r="AI15" i="27"/>
  <c r="AI14" i="27"/>
  <c r="AI45" i="27"/>
  <c r="AI4" i="27"/>
  <c r="AI35" i="27"/>
  <c r="AI34" i="27"/>
  <c r="AI48" i="27"/>
  <c r="AI10" i="27"/>
  <c r="AI7" i="27"/>
  <c r="AI6" i="27"/>
  <c r="AI13" i="27"/>
  <c r="AI33" i="27"/>
  <c r="AI27" i="27"/>
  <c r="AI26" i="27"/>
  <c r="AI11" i="27"/>
  <c r="AI9" i="27"/>
  <c r="AI41" i="27"/>
  <c r="AI49" i="27"/>
  <c r="AI52" i="27"/>
  <c r="AI16" i="27"/>
  <c r="AI19" i="27"/>
  <c r="AI18" i="27"/>
  <c r="AI47" i="27"/>
  <c r="AI53" i="27"/>
  <c r="AI37" i="27"/>
  <c r="AI46" i="27"/>
  <c r="AI36" i="27"/>
  <c r="AI3" i="27"/>
  <c r="AH26" i="27"/>
  <c r="AI83" i="48" l="1"/>
  <c r="AI42" i="48"/>
  <c r="AI12" i="48"/>
  <c r="AI29" i="48"/>
  <c r="AI39" i="48" s="1"/>
  <c r="AH12" i="48"/>
  <c r="AH29" i="48"/>
  <c r="AH39" i="48" s="1"/>
  <c r="AH83" i="48"/>
  <c r="AH42" i="48"/>
  <c r="AI12" i="20"/>
  <c r="AI29" i="20"/>
  <c r="AI39" i="20" s="1"/>
  <c r="AH83" i="19"/>
  <c r="AH42" i="19"/>
  <c r="AH12" i="21"/>
  <c r="AH29" i="21"/>
  <c r="AH39" i="21" s="1"/>
  <c r="AI12" i="19"/>
  <c r="AI29" i="19"/>
  <c r="AI39" i="19" s="1"/>
  <c r="AH12" i="19"/>
  <c r="AH29" i="19"/>
  <c r="AH39" i="19" s="1"/>
  <c r="AI83" i="20"/>
  <c r="AI42" i="20"/>
  <c r="AH83" i="21"/>
  <c r="AH42" i="21"/>
  <c r="AI12" i="21"/>
  <c r="AI29" i="21"/>
  <c r="AI39" i="21" s="1"/>
  <c r="AH12" i="20"/>
  <c r="AH29" i="20"/>
  <c r="AH39" i="20" s="1"/>
  <c r="AI83" i="19"/>
  <c r="AI42" i="19"/>
  <c r="AH83" i="20"/>
  <c r="AH42" i="20"/>
  <c r="AI83" i="21"/>
  <c r="AI42" i="21"/>
  <c r="AI83" i="17"/>
  <c r="AI42" i="17"/>
  <c r="AI12" i="17"/>
  <c r="AI29" i="17"/>
  <c r="AI39" i="17" s="1"/>
  <c r="AH83" i="17"/>
  <c r="AH42" i="17"/>
  <c r="AH12" i="17"/>
  <c r="AH29" i="17"/>
  <c r="AH39" i="17" s="1"/>
  <c r="AH39" i="27"/>
  <c r="AH10" i="27"/>
  <c r="AH15" i="27"/>
  <c r="AH16" i="27"/>
  <c r="AH24" i="27"/>
  <c r="AH42" i="27"/>
  <c r="AH33" i="27"/>
  <c r="AH5" i="27"/>
  <c r="AH35" i="27"/>
  <c r="AH43" i="27"/>
  <c r="AH30" i="27"/>
  <c r="AH14" i="27"/>
  <c r="AH20" i="27"/>
  <c r="AH18" i="27"/>
  <c r="AH41" i="27"/>
  <c r="AH17" i="27"/>
  <c r="AH32" i="27"/>
  <c r="AH36" i="27"/>
  <c r="AH31" i="27"/>
  <c r="AH40" i="27"/>
  <c r="AH27" i="27"/>
  <c r="AH4" i="27"/>
  <c r="AH38" i="27"/>
  <c r="AH12" i="27"/>
  <c r="AH22" i="27"/>
  <c r="AH19" i="27"/>
  <c r="AH7" i="27"/>
  <c r="AH28" i="27"/>
  <c r="AH6" i="27"/>
  <c r="AH13" i="27"/>
  <c r="AH46" i="27"/>
  <c r="AH53" i="27"/>
  <c r="AH45" i="27"/>
  <c r="AH49" i="27"/>
  <c r="AH29" i="27"/>
  <c r="AH8" i="27"/>
  <c r="AH51" i="27"/>
  <c r="AH52" i="27"/>
  <c r="AH3" i="27"/>
  <c r="AH50" i="27"/>
  <c r="AH11" i="27"/>
  <c r="AH21" i="27"/>
  <c r="AH47" i="27"/>
  <c r="AH44" i="27"/>
  <c r="AH48" i="27"/>
  <c r="AH9" i="27"/>
  <c r="AH34" i="27"/>
  <c r="AH23" i="27"/>
  <c r="AH37" i="27"/>
  <c r="AH25" i="27"/>
  <c r="AI97" i="48" l="1"/>
  <c r="AH97" i="48"/>
  <c r="AH97" i="20"/>
  <c r="AH97" i="21"/>
  <c r="AH97" i="19"/>
  <c r="AI97" i="21"/>
  <c r="AI97" i="20"/>
  <c r="AI97" i="19"/>
  <c r="AI97" i="17"/>
  <c r="AH97" i="17"/>
  <c r="L2" i="27"/>
  <c r="E15" i="1" l="1"/>
  <c r="C12" i="1" l="1"/>
  <c r="C12" i="2"/>
  <c r="AI12" i="2" l="1"/>
  <c r="AH12" i="2"/>
  <c r="AG12" i="2"/>
  <c r="AF12" i="2"/>
  <c r="AC12" i="2"/>
  <c r="AB12" i="2"/>
  <c r="AA12" i="2"/>
  <c r="Z12" i="2"/>
  <c r="Y12" i="2"/>
  <c r="X12" i="2"/>
  <c r="U12" i="2"/>
  <c r="T12" i="2"/>
  <c r="S12" i="2"/>
  <c r="R12" i="2"/>
  <c r="Q12" i="2"/>
  <c r="P12" i="2"/>
  <c r="M12" i="2"/>
  <c r="L12" i="2"/>
  <c r="K12" i="2"/>
  <c r="J12" i="2"/>
  <c r="I12" i="2"/>
  <c r="H12" i="2"/>
  <c r="E12" i="2"/>
  <c r="G12" i="2" l="1"/>
  <c r="O12" i="2"/>
  <c r="W12" i="2"/>
  <c r="AE12" i="2"/>
  <c r="F12" i="2"/>
  <c r="N12" i="2"/>
  <c r="V12" i="2"/>
  <c r="AD12" i="2"/>
  <c r="AL4" i="27" l="1"/>
  <c r="AM4" i="27" s="1"/>
  <c r="AK6" i="27"/>
  <c r="AK17" i="27" s="1"/>
  <c r="AK7" i="27"/>
  <c r="AK18" i="27" s="1"/>
  <c r="AK8" i="27"/>
  <c r="AK19" i="27" s="1"/>
  <c r="AK9" i="27"/>
  <c r="AK20" i="27" s="1"/>
  <c r="AK10" i="27"/>
  <c r="AK21" i="27" s="1"/>
  <c r="AK11" i="27"/>
  <c r="AK22" i="27" s="1"/>
  <c r="AK12" i="27"/>
  <c r="AK23" i="27" s="1"/>
  <c r="AK5" i="27"/>
  <c r="AK16" i="27" s="1"/>
  <c r="S2" i="27" l="1"/>
  <c r="R2" i="27"/>
  <c r="Q2" i="27"/>
  <c r="P2" i="27"/>
  <c r="O2" i="27"/>
  <c r="N2" i="27"/>
  <c r="M2" i="27"/>
  <c r="I2" i="27"/>
  <c r="H2" i="27"/>
  <c r="G2" i="27"/>
  <c r="F2" i="27"/>
  <c r="E2" i="27"/>
  <c r="D2" i="27"/>
  <c r="C2" i="27"/>
  <c r="B2" i="27"/>
  <c r="AF3" i="27"/>
  <c r="A4" i="27" l="1"/>
  <c r="A5" i="27" l="1"/>
  <c r="AF4" i="27"/>
  <c r="A6" i="27" l="1"/>
  <c r="AF5" i="27"/>
  <c r="A7" i="27" l="1"/>
  <c r="AF6" i="27"/>
  <c r="A8" i="27" l="1"/>
  <c r="AF7" i="27"/>
  <c r="A9" i="27" l="1"/>
  <c r="AF8" i="27"/>
  <c r="A10" i="27" l="1"/>
  <c r="AF9" i="27"/>
  <c r="A11" i="27" l="1"/>
  <c r="AF10" i="27"/>
  <c r="A12" i="27" l="1"/>
  <c r="AF11" i="27"/>
  <c r="A13" i="27" l="1"/>
  <c r="AF12" i="27"/>
  <c r="A14" i="27" l="1"/>
  <c r="AF13" i="27"/>
  <c r="A15" i="27" l="1"/>
  <c r="AF14" i="27"/>
  <c r="A16" i="27" l="1"/>
  <c r="AF15" i="27"/>
  <c r="A17" i="27" l="1"/>
  <c r="AF16" i="27"/>
  <c r="A18" i="27" l="1"/>
  <c r="AF17" i="27"/>
  <c r="A19" i="27" l="1"/>
  <c r="AF18" i="27"/>
  <c r="A20" i="27" l="1"/>
  <c r="AF19" i="27"/>
  <c r="A21" i="27" l="1"/>
  <c r="AF20" i="27"/>
  <c r="A22" i="27" l="1"/>
  <c r="AF21" i="27"/>
  <c r="A23" i="27" l="1"/>
  <c r="AF22" i="27"/>
  <c r="A24" i="27" l="1"/>
  <c r="AF23" i="27"/>
  <c r="A25" i="27" l="1"/>
  <c r="AF24" i="27"/>
  <c r="A26" i="27" l="1"/>
  <c r="AF25" i="27"/>
  <c r="A27" i="27" l="1"/>
  <c r="AF26" i="27"/>
  <c r="A28" i="27" l="1"/>
  <c r="AF27" i="27"/>
  <c r="D116" i="11"/>
  <c r="D116" i="14"/>
  <c r="D116" i="13"/>
  <c r="A29" i="27" l="1"/>
  <c r="AF28" i="27"/>
  <c r="A30" i="27" l="1"/>
  <c r="AF29" i="27"/>
  <c r="A31" i="27" l="1"/>
  <c r="AF30" i="27"/>
  <c r="A32" i="27" l="1"/>
  <c r="AF31" i="27"/>
  <c r="A33" i="27" l="1"/>
  <c r="AF32" i="27"/>
  <c r="A34" i="27" l="1"/>
  <c r="AF33" i="27"/>
  <c r="A35" i="27" l="1"/>
  <c r="AF34" i="27"/>
  <c r="A36" i="27" l="1"/>
  <c r="AF35" i="27"/>
  <c r="A37" i="27" l="1"/>
  <c r="AF36" i="27"/>
  <c r="A38" i="27" l="1"/>
  <c r="AF37" i="27"/>
  <c r="A39" i="27" l="1"/>
  <c r="AF38" i="27"/>
  <c r="A40" i="27" l="1"/>
  <c r="AF39" i="27"/>
  <c r="A41" i="27" l="1"/>
  <c r="AF40" i="27"/>
  <c r="A42" i="27" l="1"/>
  <c r="AF41" i="27"/>
  <c r="A43" i="27" l="1"/>
  <c r="AF42" i="27"/>
  <c r="A44" i="27" l="1"/>
  <c r="AF43" i="27"/>
  <c r="A45" i="27" l="1"/>
  <c r="AF44" i="27"/>
  <c r="A46" i="27" l="1"/>
  <c r="AF45" i="27"/>
  <c r="A47" i="27" l="1"/>
  <c r="AF46" i="27"/>
  <c r="A48" i="27" l="1"/>
  <c r="AF47" i="27"/>
  <c r="A49" i="27" l="1"/>
  <c r="AF48" i="27"/>
  <c r="A50" i="27" l="1"/>
  <c r="AF49" i="27"/>
  <c r="A51" i="27" l="1"/>
  <c r="AF50" i="27"/>
  <c r="A52" i="27" l="1"/>
  <c r="AF51" i="27"/>
  <c r="A53" i="27" l="1"/>
  <c r="AF53" i="27" s="1"/>
  <c r="AF52" i="27"/>
  <c r="K22" i="15" l="1"/>
  <c r="K17" i="15"/>
  <c r="G22" i="15"/>
  <c r="F22" i="15"/>
  <c r="D111" i="13"/>
  <c r="G17" i="15"/>
  <c r="F17" i="15"/>
  <c r="C22" i="15"/>
  <c r="B22" i="15"/>
  <c r="C18" i="15"/>
  <c r="C17" i="15"/>
  <c r="B17" i="15"/>
  <c r="I22" i="15"/>
  <c r="I17" i="15"/>
  <c r="H22" i="15"/>
  <c r="H17" i="15"/>
  <c r="M22" i="15" l="1"/>
  <c r="O17" i="15"/>
  <c r="O22" i="15"/>
  <c r="P17" i="15"/>
  <c r="M17" i="15"/>
  <c r="P22" i="15"/>
  <c r="K18" i="15"/>
  <c r="B18" i="15"/>
  <c r="M18" i="15" s="1"/>
  <c r="D112" i="14"/>
  <c r="D111" i="14"/>
  <c r="D108" i="14"/>
  <c r="G18" i="15"/>
  <c r="I18" i="15"/>
  <c r="D114" i="13"/>
  <c r="F18" i="15"/>
  <c r="H18" i="15"/>
  <c r="D114" i="14"/>
  <c r="J18" i="15"/>
  <c r="D120" i="14"/>
  <c r="E120" i="14" s="1"/>
  <c r="B19" i="15"/>
  <c r="D112" i="13"/>
  <c r="D117" i="13"/>
  <c r="K19" i="15"/>
  <c r="D108" i="13"/>
  <c r="J22" i="15"/>
  <c r="Q22" i="15" s="1"/>
  <c r="G19" i="15"/>
  <c r="D118" i="13"/>
  <c r="D113" i="14"/>
  <c r="D117" i="14"/>
  <c r="C19" i="15"/>
  <c r="F19" i="15"/>
  <c r="D110" i="14"/>
  <c r="D115" i="14"/>
  <c r="D118" i="14"/>
  <c r="J19" i="15"/>
  <c r="D120" i="13"/>
  <c r="E120" i="13" s="1"/>
  <c r="D109" i="13"/>
  <c r="D113" i="13"/>
  <c r="J17" i="15"/>
  <c r="Q17" i="15" s="1"/>
  <c r="H19" i="15"/>
  <c r="D110" i="13"/>
  <c r="D115" i="13"/>
  <c r="I19" i="15"/>
  <c r="D109" i="14"/>
  <c r="E110" i="14" l="1"/>
  <c r="E110" i="13"/>
  <c r="O18" i="15"/>
  <c r="P19" i="15"/>
  <c r="O19" i="15"/>
  <c r="P18" i="15"/>
  <c r="M19" i="15"/>
  <c r="Q19" i="15"/>
  <c r="Q18" i="15"/>
  <c r="D108" i="11"/>
  <c r="D114" i="11" l="1"/>
  <c r="D120" i="11"/>
  <c r="D117" i="11"/>
  <c r="D110" i="11"/>
  <c r="E120" i="11" l="1"/>
  <c r="D112" i="11"/>
  <c r="D111" i="11"/>
  <c r="D113" i="11"/>
  <c r="D115" i="11" l="1"/>
  <c r="D118" i="11" l="1"/>
  <c r="E110" i="11" l="1"/>
  <c r="D10" i="2"/>
  <c r="B14" i="1" l="1"/>
  <c r="B18" i="30" l="1"/>
  <c r="B18" i="31"/>
  <c r="B18" i="28"/>
  <c r="B16" i="31"/>
  <c r="B16" i="28"/>
  <c r="B17" i="28"/>
  <c r="B16" i="30"/>
  <c r="C104" i="14"/>
  <c r="C96" i="14"/>
  <c r="C95" i="13"/>
  <c r="C97" i="14"/>
  <c r="C104" i="11" l="1"/>
  <c r="C95" i="14"/>
  <c r="C96" i="13"/>
  <c r="C66" i="14"/>
  <c r="B66" i="14"/>
  <c r="C66" i="13"/>
  <c r="B66" i="13"/>
  <c r="B70" i="11"/>
  <c r="C70" i="14"/>
  <c r="B70" i="14"/>
  <c r="C70" i="13"/>
  <c r="B70" i="13"/>
  <c r="B84" i="13"/>
  <c r="C84" i="14"/>
  <c r="B84" i="14"/>
  <c r="C84" i="13"/>
  <c r="B80" i="13"/>
  <c r="D40" i="13"/>
  <c r="C80" i="14"/>
  <c r="B80" i="14"/>
  <c r="C80" i="13"/>
  <c r="D40" i="14"/>
  <c r="C104" i="13"/>
  <c r="C89" i="14"/>
  <c r="B89" i="14"/>
  <c r="C89" i="13"/>
  <c r="B89" i="13"/>
  <c r="B72" i="11"/>
  <c r="C72" i="13"/>
  <c r="B72" i="13"/>
  <c r="C72" i="14"/>
  <c r="B72" i="14"/>
  <c r="C87" i="13"/>
  <c r="B87" i="13"/>
  <c r="C87" i="14"/>
  <c r="B87" i="14"/>
  <c r="B86" i="14"/>
  <c r="C86" i="13"/>
  <c r="B86" i="13"/>
  <c r="C86" i="14"/>
  <c r="B68" i="11"/>
  <c r="C68" i="13"/>
  <c r="B68" i="13"/>
  <c r="C68" i="14"/>
  <c r="B68" i="14"/>
  <c r="B69" i="11"/>
  <c r="C69" i="14"/>
  <c r="B69" i="14"/>
  <c r="B69" i="13"/>
  <c r="C69" i="13"/>
  <c r="C79" i="13"/>
  <c r="B79" i="13"/>
  <c r="D39" i="13"/>
  <c r="C79" i="14"/>
  <c r="D39" i="14"/>
  <c r="B79" i="14"/>
  <c r="C88" i="14"/>
  <c r="B88" i="14"/>
  <c r="C88" i="13"/>
  <c r="B88" i="13"/>
  <c r="B73" i="11"/>
  <c r="C73" i="14"/>
  <c r="B73" i="14"/>
  <c r="C73" i="13"/>
  <c r="B73" i="13"/>
  <c r="C77" i="14"/>
  <c r="B77" i="14"/>
  <c r="D37" i="14"/>
  <c r="C77" i="13"/>
  <c r="B77" i="13"/>
  <c r="D37" i="13"/>
  <c r="D41" i="13"/>
  <c r="C81" i="14"/>
  <c r="B81" i="14"/>
  <c r="D41" i="14"/>
  <c r="C81" i="13"/>
  <c r="B81" i="13"/>
  <c r="C105" i="14"/>
  <c r="C97" i="13"/>
  <c r="B67" i="11"/>
  <c r="C67" i="14"/>
  <c r="B67" i="14"/>
  <c r="C67" i="13"/>
  <c r="B67" i="13"/>
  <c r="C85" i="14"/>
  <c r="B85" i="14"/>
  <c r="C85" i="13"/>
  <c r="B85" i="13"/>
  <c r="B71" i="11"/>
  <c r="B71" i="14"/>
  <c r="C71" i="13"/>
  <c r="B71" i="13"/>
  <c r="C71" i="14"/>
  <c r="B78" i="14"/>
  <c r="D38" i="14"/>
  <c r="C78" i="13"/>
  <c r="B78" i="13"/>
  <c r="D38" i="13"/>
  <c r="C78" i="14"/>
  <c r="C84" i="11"/>
  <c r="B84" i="11"/>
  <c r="B40" i="11"/>
  <c r="D40" i="11" s="1"/>
  <c r="B80" i="11"/>
  <c r="C80" i="11"/>
  <c r="B89" i="11"/>
  <c r="C89" i="11"/>
  <c r="B87" i="11"/>
  <c r="C87" i="11"/>
  <c r="B86" i="11"/>
  <c r="C86" i="11"/>
  <c r="B39" i="11"/>
  <c r="D39" i="11" s="1"/>
  <c r="B79" i="11"/>
  <c r="C79" i="11"/>
  <c r="B88" i="11"/>
  <c r="C88" i="11"/>
  <c r="B37" i="11"/>
  <c r="D37" i="11" s="1"/>
  <c r="B77" i="11"/>
  <c r="C77" i="11"/>
  <c r="B41" i="11"/>
  <c r="D41" i="11" s="1"/>
  <c r="B81" i="11"/>
  <c r="C81" i="11"/>
  <c r="B85" i="11"/>
  <c r="C85" i="11"/>
  <c r="B38" i="11"/>
  <c r="D38" i="11" s="1"/>
  <c r="B78" i="11"/>
  <c r="C78" i="11"/>
  <c r="B66" i="11"/>
  <c r="C66" i="11"/>
  <c r="C105" i="13"/>
  <c r="C105" i="11"/>
  <c r="B101" i="11"/>
  <c r="B101" i="14"/>
  <c r="B101" i="13"/>
  <c r="B94" i="13"/>
  <c r="C94" i="11"/>
  <c r="B94" i="14"/>
  <c r="B94" i="11"/>
  <c r="C68" i="11"/>
  <c r="B92" i="14"/>
  <c r="B92" i="13"/>
  <c r="C92" i="11"/>
  <c r="B92" i="11"/>
  <c r="C69" i="11"/>
  <c r="B10" i="28"/>
  <c r="B10" i="1"/>
  <c r="B102" i="11"/>
  <c r="B102" i="13"/>
  <c r="B102" i="14"/>
  <c r="B93" i="14"/>
  <c r="B93" i="13"/>
  <c r="C93" i="11"/>
  <c r="B93" i="11"/>
  <c r="C73" i="11"/>
  <c r="B103" i="11"/>
  <c r="B103" i="13"/>
  <c r="B103" i="14"/>
  <c r="B105" i="14"/>
  <c r="B105" i="13"/>
  <c r="B105" i="11"/>
  <c r="B97" i="13"/>
  <c r="B97" i="11"/>
  <c r="C97" i="11"/>
  <c r="B97" i="14"/>
  <c r="D97" i="14" s="1"/>
  <c r="C67" i="11"/>
  <c r="C90" i="11"/>
  <c r="B90" i="11"/>
  <c r="B90" i="14"/>
  <c r="B90" i="13"/>
  <c r="B100" i="13"/>
  <c r="B100" i="11"/>
  <c r="B100" i="14"/>
  <c r="C71" i="11"/>
  <c r="B95" i="11"/>
  <c r="B95" i="13"/>
  <c r="D95" i="13" s="1"/>
  <c r="C95" i="11"/>
  <c r="B95" i="14"/>
  <c r="B96" i="11"/>
  <c r="C96" i="11"/>
  <c r="B96" i="13"/>
  <c r="B96" i="14"/>
  <c r="D96" i="14" s="1"/>
  <c r="C70" i="11"/>
  <c r="C91" i="11"/>
  <c r="B91" i="11"/>
  <c r="B91" i="14"/>
  <c r="B91" i="13"/>
  <c r="B19" i="28"/>
  <c r="B104" i="13"/>
  <c r="B104" i="11"/>
  <c r="D104" i="11" s="1"/>
  <c r="B104" i="14"/>
  <c r="D104" i="14" s="1"/>
  <c r="C72" i="11"/>
  <c r="C103" i="14"/>
  <c r="C103" i="13"/>
  <c r="C103" i="11"/>
  <c r="D97" i="13" l="1"/>
  <c r="D73" i="11"/>
  <c r="D96" i="13"/>
  <c r="D86" i="11"/>
  <c r="D67" i="14"/>
  <c r="D89" i="13"/>
  <c r="D68" i="11"/>
  <c r="D72" i="11"/>
  <c r="D69" i="11"/>
  <c r="D80" i="13"/>
  <c r="D66" i="13"/>
  <c r="D85" i="13"/>
  <c r="D77" i="14"/>
  <c r="D69" i="14"/>
  <c r="D89" i="14"/>
  <c r="D79" i="11"/>
  <c r="D80" i="11"/>
  <c r="D81" i="14"/>
  <c r="D73" i="14"/>
  <c r="D68" i="14"/>
  <c r="D86" i="14"/>
  <c r="D72" i="14"/>
  <c r="D84" i="13"/>
  <c r="D105" i="11"/>
  <c r="D84" i="11"/>
  <c r="D70" i="11"/>
  <c r="D88" i="11"/>
  <c r="D85" i="11"/>
  <c r="D87" i="11"/>
  <c r="D104" i="13"/>
  <c r="D95" i="14"/>
  <c r="D78" i="11"/>
  <c r="D77" i="11"/>
  <c r="D89" i="11"/>
  <c r="D71" i="13"/>
  <c r="D86" i="13"/>
  <c r="D85" i="14"/>
  <c r="D88" i="13"/>
  <c r="D80" i="14"/>
  <c r="D84" i="14"/>
  <c r="D66" i="14"/>
  <c r="D105" i="14"/>
  <c r="D81" i="11"/>
  <c r="D87" i="13"/>
  <c r="H5" i="15"/>
  <c r="D71" i="11"/>
  <c r="D78" i="13"/>
  <c r="D77" i="13"/>
  <c r="D88" i="14"/>
  <c r="D79" i="13"/>
  <c r="D67" i="13"/>
  <c r="D73" i="13"/>
  <c r="D87" i="14"/>
  <c r="J5" i="15"/>
  <c r="F5" i="15"/>
  <c r="B5" i="15"/>
  <c r="D69" i="13"/>
  <c r="D70" i="14"/>
  <c r="D79" i="14"/>
  <c r="D78" i="14"/>
  <c r="D71" i="14"/>
  <c r="D81" i="13"/>
  <c r="D68" i="13"/>
  <c r="D72" i="13"/>
  <c r="D70" i="13"/>
  <c r="D103" i="14"/>
  <c r="D67" i="11"/>
  <c r="D105" i="13"/>
  <c r="D96" i="11"/>
  <c r="D103" i="11"/>
  <c r="B3" i="15"/>
  <c r="D103" i="13"/>
  <c r="D97" i="11"/>
  <c r="F3" i="15"/>
  <c r="I5" i="15"/>
  <c r="D66" i="11"/>
  <c r="D95" i="11"/>
  <c r="G5" i="15"/>
  <c r="K5" i="15"/>
  <c r="C5" i="15"/>
  <c r="J3" i="15"/>
  <c r="H3" i="15"/>
  <c r="AI3" i="2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E16" i="1" s="1"/>
  <c r="A16" i="1" s="1"/>
  <c r="A19" i="1" s="1"/>
  <c r="E1" i="1"/>
  <c r="F1" i="1" s="1"/>
  <c r="G1" i="1" s="1"/>
  <c r="H1" i="1" s="1"/>
  <c r="I1" i="1" s="1"/>
  <c r="J1" i="1" s="1"/>
  <c r="K1" i="1" s="1"/>
  <c r="L1" i="1" s="1"/>
  <c r="M1" i="1" s="1"/>
  <c r="N1" i="1" s="1"/>
  <c r="O1" i="1" s="1"/>
  <c r="P1" i="1" s="1"/>
  <c r="Q1" i="1" s="1"/>
  <c r="R1" i="1" s="1"/>
  <c r="S1" i="1" s="1"/>
  <c r="T1" i="1" s="1"/>
  <c r="U1" i="1" s="1"/>
  <c r="V1" i="1" s="1"/>
  <c r="W1" i="1" s="1"/>
  <c r="X1" i="1" s="1"/>
  <c r="Y1" i="1" s="1"/>
  <c r="Z1" i="1" s="1"/>
  <c r="AA1" i="1" s="1"/>
  <c r="AB1" i="1" s="1"/>
  <c r="AC1" i="1" s="1"/>
  <c r="AD1" i="1" s="1"/>
  <c r="AE1" i="1" s="1"/>
  <c r="AF1" i="1" s="1"/>
  <c r="AG1" i="1" s="1"/>
  <c r="AH1" i="1" s="1"/>
  <c r="AI1" i="1" s="1"/>
  <c r="AJ1" i="1" s="1"/>
  <c r="AK1" i="1" s="1"/>
  <c r="AL1" i="1" s="1"/>
  <c r="AM1" i="1" s="1"/>
  <c r="AN1" i="1" s="1"/>
  <c r="AO1" i="1" s="1"/>
  <c r="AP1" i="1" s="1"/>
  <c r="AQ1" i="1" s="1"/>
  <c r="AR1" i="1" s="1"/>
  <c r="AS1" i="1" s="1"/>
  <c r="AT1" i="1" s="1"/>
  <c r="AU1" i="1" s="1"/>
  <c r="AV1" i="1" s="1"/>
  <c r="AW1" i="1" s="1"/>
  <c r="AX1" i="1" s="1"/>
  <c r="AY1" i="1" s="1"/>
  <c r="AZ1" i="1" s="1"/>
  <c r="BA1" i="1" s="1"/>
  <c r="BB1" i="1" s="1"/>
  <c r="E1" i="2"/>
  <c r="F1" i="2" s="1"/>
  <c r="G1" i="2" s="1"/>
  <c r="H1" i="2" s="1"/>
  <c r="I1" i="2" s="1"/>
  <c r="J1" i="2" s="1"/>
  <c r="K1" i="2" s="1"/>
  <c r="L1" i="2" s="1"/>
  <c r="M1" i="2" s="1"/>
  <c r="N1" i="2" s="1"/>
  <c r="O1" i="2" s="1"/>
  <c r="P1" i="2" s="1"/>
  <c r="Q1" i="2" s="1"/>
  <c r="R1" i="2" s="1"/>
  <c r="S1" i="2" s="1"/>
  <c r="T1" i="2" s="1"/>
  <c r="U1" i="2" s="1"/>
  <c r="V1" i="2" s="1"/>
  <c r="W1" i="2" s="1"/>
  <c r="X1" i="2" s="1"/>
  <c r="Y1" i="2" s="1"/>
  <c r="Z1" i="2" s="1"/>
  <c r="AA1" i="2" s="1"/>
  <c r="AB1" i="2" s="1"/>
  <c r="AC1" i="2" s="1"/>
  <c r="AD1" i="2" s="1"/>
  <c r="AE1" i="2" s="1"/>
  <c r="AF1" i="2" s="1"/>
  <c r="AG1" i="2" s="1"/>
  <c r="AH1" i="2" s="1"/>
  <c r="AI1" i="2" s="1"/>
  <c r="AJ1" i="2" s="1"/>
  <c r="AK1" i="2" s="1"/>
  <c r="AL1" i="2" s="1"/>
  <c r="AM1" i="2" s="1"/>
  <c r="AN1" i="2" s="1"/>
  <c r="AO1" i="2" s="1"/>
  <c r="AP1" i="2" s="1"/>
  <c r="AQ1" i="2" s="1"/>
  <c r="AR1" i="2" s="1"/>
  <c r="AS1" i="2" s="1"/>
  <c r="AT1" i="2" s="1"/>
  <c r="AU1" i="2" s="1"/>
  <c r="AV1" i="2" s="1"/>
  <c r="AW1" i="2" s="1"/>
  <c r="AX1" i="2" s="1"/>
  <c r="AY1" i="2" s="1"/>
  <c r="AZ1" i="2" s="1"/>
  <c r="BA1" i="2" s="1"/>
  <c r="BB1" i="2" s="1"/>
  <c r="A3" i="2" l="1"/>
  <c r="B3" i="2"/>
  <c r="M5" i="15"/>
  <c r="O5" i="15"/>
  <c r="Q5" i="15"/>
  <c r="P5" i="15"/>
  <c r="O10" i="1"/>
  <c r="M10" i="2"/>
  <c r="M10" i="1"/>
  <c r="U10" i="1"/>
  <c r="AC10" i="1"/>
  <c r="W10" i="1"/>
  <c r="AE10" i="1"/>
  <c r="H10" i="1"/>
  <c r="P10" i="1"/>
  <c r="X10" i="1"/>
  <c r="AF10" i="1"/>
  <c r="I10" i="1"/>
  <c r="Y10" i="1"/>
  <c r="J10" i="1"/>
  <c r="N10" i="1"/>
  <c r="V10" i="1"/>
  <c r="AD10" i="1"/>
  <c r="Q10" i="1"/>
  <c r="AG10" i="1"/>
  <c r="R10" i="1"/>
  <c r="Z10" i="1"/>
  <c r="AH10" i="1"/>
  <c r="K10" i="1"/>
  <c r="S10" i="1"/>
  <c r="AA10" i="1"/>
  <c r="AI10" i="1"/>
  <c r="L10" i="1"/>
  <c r="T10" i="1"/>
  <c r="AB10" i="1"/>
  <c r="E10" i="1"/>
  <c r="F10" i="1"/>
  <c r="G10" i="1"/>
  <c r="AH10" i="2"/>
  <c r="AC10" i="2"/>
  <c r="L10" i="2"/>
  <c r="T10" i="2"/>
  <c r="AB10" i="2"/>
  <c r="K10" i="2"/>
  <c r="S10" i="2"/>
  <c r="AA10" i="2"/>
  <c r="AI10" i="2"/>
  <c r="J10" i="2"/>
  <c r="R10" i="2"/>
  <c r="Z10" i="2"/>
  <c r="I10" i="2"/>
  <c r="Q10" i="2"/>
  <c r="Y10" i="2"/>
  <c r="AG10" i="2"/>
  <c r="U10" i="2"/>
  <c r="H10" i="2"/>
  <c r="P10" i="2"/>
  <c r="X10" i="2"/>
  <c r="AF10" i="2"/>
  <c r="G10" i="2"/>
  <c r="O10" i="2"/>
  <c r="W10" i="2"/>
  <c r="AE10" i="2"/>
  <c r="F10" i="2"/>
  <c r="N10" i="2"/>
  <c r="V10" i="2"/>
  <c r="AD10" i="2"/>
  <c r="A2" i="2" l="1"/>
  <c r="A10" i="2" s="1"/>
  <c r="B2" i="2"/>
  <c r="B10" i="2" s="1"/>
  <c r="C99" i="47"/>
  <c r="B99" i="47"/>
  <c r="B99" i="12"/>
  <c r="C99" i="12"/>
  <c r="B99" i="14"/>
  <c r="B99" i="13"/>
  <c r="B99" i="11"/>
  <c r="D10" i="1"/>
  <c r="E10" i="2"/>
  <c r="C100" i="14"/>
  <c r="D100" i="14" s="1"/>
  <c r="C100" i="13"/>
  <c r="D100" i="13" s="1"/>
  <c r="C94" i="14"/>
  <c r="C94" i="13"/>
  <c r="C93" i="14"/>
  <c r="D93" i="14" s="1"/>
  <c r="C93" i="13"/>
  <c r="D93" i="13" s="1"/>
  <c r="C99" i="14"/>
  <c r="C99" i="13"/>
  <c r="C92" i="14"/>
  <c r="D92" i="14" s="1"/>
  <c r="C92" i="13"/>
  <c r="D92" i="13" s="1"/>
  <c r="C91" i="14"/>
  <c r="D91" i="14" s="1"/>
  <c r="C91" i="13"/>
  <c r="D91" i="13" s="1"/>
  <c r="C102" i="13"/>
  <c r="C102" i="14"/>
  <c r="C101" i="14"/>
  <c r="D101" i="14" s="1"/>
  <c r="C101" i="13"/>
  <c r="D101" i="13" s="1"/>
  <c r="C101" i="11"/>
  <c r="D101" i="11" s="1"/>
  <c r="C102" i="11"/>
  <c r="D92" i="11"/>
  <c r="C100" i="11"/>
  <c r="D100" i="11" s="1"/>
  <c r="D91" i="11"/>
  <c r="D93" i="11"/>
  <c r="C99" i="11"/>
  <c r="C98" i="12" l="1"/>
  <c r="C98" i="47"/>
  <c r="C119" i="47" s="1"/>
  <c r="C121" i="47" s="1"/>
  <c r="B98" i="47"/>
  <c r="D98" i="47" s="1"/>
  <c r="B98" i="12"/>
  <c r="D98" i="12" s="1"/>
  <c r="D99" i="47"/>
  <c r="C123" i="47"/>
  <c r="C126" i="47" s="1"/>
  <c r="D4" i="15"/>
  <c r="B119" i="47"/>
  <c r="B121" i="47" s="1"/>
  <c r="D99" i="12"/>
  <c r="D102" i="13"/>
  <c r="C123" i="12"/>
  <c r="C126" i="12" s="1"/>
  <c r="C119" i="12"/>
  <c r="C121" i="12" s="1"/>
  <c r="D102" i="14"/>
  <c r="D94" i="13"/>
  <c r="D94" i="14"/>
  <c r="D99" i="11"/>
  <c r="D102" i="11"/>
  <c r="D99" i="13"/>
  <c r="D99" i="14"/>
  <c r="B98" i="14"/>
  <c r="B98" i="13"/>
  <c r="B98" i="11"/>
  <c r="D94" i="11"/>
  <c r="C90" i="14"/>
  <c r="C90" i="13"/>
  <c r="C98" i="14"/>
  <c r="C98" i="13"/>
  <c r="C98" i="11"/>
  <c r="B119" i="12" l="1"/>
  <c r="B121" i="12" s="1"/>
  <c r="B123" i="12"/>
  <c r="D123" i="12" s="1"/>
  <c r="D126" i="12" s="1"/>
  <c r="D21" i="15"/>
  <c r="D23" i="15" s="1"/>
  <c r="D119" i="47"/>
  <c r="D121" i="47" s="1"/>
  <c r="B123" i="47"/>
  <c r="B126" i="47" s="1"/>
  <c r="E4" i="15"/>
  <c r="E21" i="15" s="1"/>
  <c r="D119" i="12"/>
  <c r="D121" i="12" s="1"/>
  <c r="H4" i="15"/>
  <c r="F4" i="15"/>
  <c r="J4" i="15"/>
  <c r="B4" i="15"/>
  <c r="I3" i="15"/>
  <c r="D98" i="14"/>
  <c r="K4" i="15"/>
  <c r="D90" i="13"/>
  <c r="G3" i="15"/>
  <c r="C3" i="15"/>
  <c r="D90" i="14"/>
  <c r="K3" i="15"/>
  <c r="D98" i="11"/>
  <c r="I4" i="15"/>
  <c r="C4" i="15"/>
  <c r="D98" i="13"/>
  <c r="G4" i="15"/>
  <c r="D90" i="11"/>
  <c r="D123" i="47" l="1"/>
  <c r="D126" i="47" s="1"/>
  <c r="B126" i="12"/>
  <c r="P3" i="15"/>
  <c r="Q3" i="15"/>
  <c r="M3" i="15"/>
  <c r="O3" i="15"/>
  <c r="N4" i="15"/>
  <c r="E23" i="15"/>
  <c r="N21" i="15"/>
  <c r="AI124" i="48" s="1"/>
  <c r="P4" i="15"/>
  <c r="O4" i="15"/>
  <c r="Q4" i="15"/>
  <c r="M4" i="15"/>
  <c r="N23" i="15" l="1"/>
  <c r="AI123" i="48" s="1"/>
  <c r="C76" i="13" l="1"/>
  <c r="B76" i="13"/>
  <c r="D36" i="13"/>
  <c r="C76" i="14"/>
  <c r="B76" i="14"/>
  <c r="D36" i="14"/>
  <c r="B36" i="11"/>
  <c r="D36" i="11" s="1"/>
  <c r="B76" i="11"/>
  <c r="C76" i="11"/>
  <c r="E17" i="31"/>
  <c r="E10" i="31"/>
  <c r="D76" i="14" l="1"/>
  <c r="D76" i="13"/>
  <c r="D76" i="11"/>
  <c r="I17" i="31"/>
  <c r="O17" i="31"/>
  <c r="R17" i="31"/>
  <c r="AA17" i="31"/>
  <c r="Z17" i="31"/>
  <c r="S17" i="31"/>
  <c r="L17" i="31"/>
  <c r="X17" i="31"/>
  <c r="AD17" i="31"/>
  <c r="AF17" i="31"/>
  <c r="Q17" i="31"/>
  <c r="M17" i="31"/>
  <c r="Y17" i="31"/>
  <c r="U17" i="31"/>
  <c r="AC17" i="31"/>
  <c r="AH17" i="31"/>
  <c r="F17" i="31"/>
  <c r="AE17" i="31"/>
  <c r="P17" i="31"/>
  <c r="T17" i="31"/>
  <c r="K17" i="31"/>
  <c r="V17" i="31"/>
  <c r="W17" i="31"/>
  <c r="AG17" i="31"/>
  <c r="J17" i="31"/>
  <c r="AB17" i="31"/>
  <c r="H17" i="31"/>
  <c r="G17" i="31"/>
  <c r="N17" i="31"/>
  <c r="J10" i="31"/>
  <c r="K10" i="31"/>
  <c r="V10" i="31"/>
  <c r="M10" i="31"/>
  <c r="Y10" i="31"/>
  <c r="AF10" i="31"/>
  <c r="Q10" i="31"/>
  <c r="U10" i="31"/>
  <c r="AH10" i="31"/>
  <c r="AC10" i="31"/>
  <c r="L10" i="31"/>
  <c r="W10" i="31"/>
  <c r="R10" i="31"/>
  <c r="S10" i="31"/>
  <c r="AA10" i="31"/>
  <c r="AG10" i="31"/>
  <c r="AD10" i="31"/>
  <c r="X10" i="31"/>
  <c r="P10" i="31"/>
  <c r="H10" i="31"/>
  <c r="AB10" i="31"/>
  <c r="N10" i="31"/>
  <c r="G10" i="31"/>
  <c r="T10" i="31"/>
  <c r="O10" i="31"/>
  <c r="I10" i="31"/>
  <c r="Z10" i="31"/>
  <c r="F10" i="31"/>
  <c r="AE10" i="31"/>
  <c r="A17" i="31" l="1"/>
  <c r="A19" i="31" s="1"/>
  <c r="C74" i="14"/>
  <c r="B74" i="14"/>
  <c r="C74" i="13"/>
  <c r="B74" i="13"/>
  <c r="D35" i="13"/>
  <c r="C75" i="13"/>
  <c r="B75" i="13"/>
  <c r="C75" i="14"/>
  <c r="B75" i="14"/>
  <c r="D35" i="14"/>
  <c r="B74" i="11"/>
  <c r="C74" i="11"/>
  <c r="B35" i="11"/>
  <c r="D35" i="11" s="1"/>
  <c r="B75" i="11"/>
  <c r="C75" i="11"/>
  <c r="T3" i="27"/>
  <c r="T50" i="27"/>
  <c r="B17" i="31"/>
  <c r="B19" i="31" s="1"/>
  <c r="B10" i="31"/>
  <c r="D74" i="13" l="1"/>
  <c r="D74" i="14"/>
  <c r="D75" i="11"/>
  <c r="T43" i="27"/>
  <c r="T11" i="27"/>
  <c r="T16" i="27"/>
  <c r="T30" i="27"/>
  <c r="T35" i="27"/>
  <c r="C9" i="15"/>
  <c r="G9" i="15"/>
  <c r="D75" i="13"/>
  <c r="K9" i="15"/>
  <c r="I9" i="15"/>
  <c r="J6" i="15"/>
  <c r="F6" i="15"/>
  <c r="B6" i="15"/>
  <c r="D75" i="14"/>
  <c r="T44" i="27"/>
  <c r="T42" i="27"/>
  <c r="T15" i="27"/>
  <c r="T22" i="27"/>
  <c r="H6" i="15"/>
  <c r="T46" i="27"/>
  <c r="B34" i="11"/>
  <c r="T52" i="27"/>
  <c r="T9" i="27"/>
  <c r="T28" i="27"/>
  <c r="T8" i="27"/>
  <c r="T40" i="27"/>
  <c r="T13" i="27"/>
  <c r="T34" i="27"/>
  <c r="T48" i="27"/>
  <c r="T4" i="27"/>
  <c r="T31" i="27"/>
  <c r="T6" i="27"/>
  <c r="T19" i="27"/>
  <c r="T36" i="27"/>
  <c r="T10" i="27"/>
  <c r="T45" i="27"/>
  <c r="T29" i="27"/>
  <c r="T49" i="27"/>
  <c r="T47" i="27"/>
  <c r="T39" i="27"/>
  <c r="T24" i="27"/>
  <c r="T17" i="27"/>
  <c r="T20" i="27"/>
  <c r="T7" i="27"/>
  <c r="T37" i="27"/>
  <c r="T33" i="27"/>
  <c r="T53" i="27"/>
  <c r="T27" i="27"/>
  <c r="T5" i="27"/>
  <c r="T23" i="27"/>
  <c r="T51" i="27"/>
  <c r="T18" i="27"/>
  <c r="T21" i="27"/>
  <c r="T32" i="27"/>
  <c r="T14" i="27"/>
  <c r="T41" i="27"/>
  <c r="T25" i="27"/>
  <c r="T26" i="27"/>
  <c r="T12" i="27"/>
  <c r="T38" i="27"/>
  <c r="K6" i="15"/>
  <c r="G6" i="15"/>
  <c r="C6" i="15"/>
  <c r="I6" i="15"/>
  <c r="D74" i="11"/>
  <c r="T55" i="27" l="1"/>
  <c r="H9" i="15"/>
  <c r="P9" i="15" s="1"/>
  <c r="D34" i="13"/>
  <c r="E34" i="13" s="1"/>
  <c r="F9" i="15"/>
  <c r="O9" i="15" s="1"/>
  <c r="D34" i="14"/>
  <c r="E34" i="14" s="1"/>
  <c r="J9" i="15"/>
  <c r="Q9" i="15" s="1"/>
  <c r="B9" i="15"/>
  <c r="M9" i="15" s="1"/>
  <c r="D34" i="11"/>
  <c r="P6" i="15"/>
  <c r="M6" i="15"/>
  <c r="O6" i="15"/>
  <c r="Q6" i="15"/>
  <c r="E34" i="11" l="1"/>
  <c r="AI17" i="30" l="1"/>
  <c r="AI10" i="30"/>
  <c r="AF15" i="19" l="1"/>
  <c r="AF2" i="19"/>
  <c r="AF2" i="21"/>
  <c r="AF15" i="20"/>
  <c r="AF15" i="48"/>
  <c r="AF2" i="20"/>
  <c r="AF15" i="21"/>
  <c r="AF2" i="48"/>
  <c r="AF15" i="17"/>
  <c r="AF2" i="17"/>
  <c r="C83" i="13"/>
  <c r="B83" i="13"/>
  <c r="C83" i="14"/>
  <c r="B83" i="14"/>
  <c r="B83" i="11"/>
  <c r="C83" i="11"/>
  <c r="AG12" i="48" l="1"/>
  <c r="AG29" i="48"/>
  <c r="AG39" i="48" s="1"/>
  <c r="AG83" i="48"/>
  <c r="AG42" i="48"/>
  <c r="AG12" i="21"/>
  <c r="AG29" i="21"/>
  <c r="AG39" i="21" s="1"/>
  <c r="AG12" i="19"/>
  <c r="AG29" i="19"/>
  <c r="AG39" i="19" s="1"/>
  <c r="AG83" i="21"/>
  <c r="AG42" i="21"/>
  <c r="AG83" i="19"/>
  <c r="AG42" i="19"/>
  <c r="AG12" i="20"/>
  <c r="AG29" i="20"/>
  <c r="AG39" i="20" s="1"/>
  <c r="AG83" i="20"/>
  <c r="AG42" i="20"/>
  <c r="AG12" i="17"/>
  <c r="AG29" i="17"/>
  <c r="AG39" i="17" s="1"/>
  <c r="AG83" i="17"/>
  <c r="AG42" i="17"/>
  <c r="D83" i="14"/>
  <c r="D83" i="11"/>
  <c r="D83" i="13"/>
  <c r="AG97" i="48" l="1"/>
  <c r="AG97" i="21"/>
  <c r="AG97" i="20"/>
  <c r="AG97" i="19"/>
  <c r="AG97" i="17"/>
  <c r="E17" i="30" l="1"/>
  <c r="E10" i="30"/>
  <c r="B15" i="20" l="1"/>
  <c r="B15" i="48"/>
  <c r="B15" i="21"/>
  <c r="B2" i="21"/>
  <c r="B2" i="48"/>
  <c r="B2" i="20"/>
  <c r="B2" i="19"/>
  <c r="B15" i="19"/>
  <c r="B2" i="17"/>
  <c r="B15" i="17"/>
  <c r="F17" i="30"/>
  <c r="F10" i="30"/>
  <c r="C15" i="48" l="1"/>
  <c r="C15" i="19"/>
  <c r="C2" i="17"/>
  <c r="C2" i="19"/>
  <c r="C83" i="19" s="1"/>
  <c r="C93" i="19" s="1"/>
  <c r="C15" i="17"/>
  <c r="C42" i="17" s="1"/>
  <c r="C2" i="21"/>
  <c r="C12" i="21" s="1"/>
  <c r="C2" i="20"/>
  <c r="C83" i="20" s="1"/>
  <c r="C93" i="20" s="1"/>
  <c r="C2" i="48"/>
  <c r="C83" i="48" s="1"/>
  <c r="C93" i="48" s="1"/>
  <c r="C15" i="20"/>
  <c r="C15" i="21"/>
  <c r="B12" i="48"/>
  <c r="B29" i="48"/>
  <c r="B25" i="48"/>
  <c r="B42" i="48"/>
  <c r="B83" i="48"/>
  <c r="B93" i="48" s="1"/>
  <c r="C42" i="48"/>
  <c r="C25" i="48"/>
  <c r="B12" i="19"/>
  <c r="B29" i="19"/>
  <c r="B29" i="20"/>
  <c r="B12" i="20"/>
  <c r="C25" i="19"/>
  <c r="C42" i="19"/>
  <c r="C12" i="19"/>
  <c r="B25" i="19"/>
  <c r="B83" i="19"/>
  <c r="B93" i="19" s="1"/>
  <c r="B42" i="19"/>
  <c r="C42" i="20"/>
  <c r="C25" i="20"/>
  <c r="B25" i="20"/>
  <c r="B83" i="20"/>
  <c r="B93" i="20" s="1"/>
  <c r="B42" i="20"/>
  <c r="B83" i="21"/>
  <c r="B93" i="21" s="1"/>
  <c r="B42" i="21"/>
  <c r="B25" i="21"/>
  <c r="C42" i="21"/>
  <c r="C25" i="21"/>
  <c r="B29" i="21"/>
  <c r="B12" i="21"/>
  <c r="B25" i="17"/>
  <c r="B83" i="17"/>
  <c r="B93" i="17" s="1"/>
  <c r="B42" i="17"/>
  <c r="B12" i="17"/>
  <c r="B29" i="17"/>
  <c r="C83" i="17"/>
  <c r="C93" i="17" s="1"/>
  <c r="C25" i="17"/>
  <c r="C12" i="17"/>
  <c r="C29" i="17"/>
  <c r="G17" i="30"/>
  <c r="G10" i="30"/>
  <c r="C83" i="21" l="1"/>
  <c r="C93" i="21" s="1"/>
  <c r="C29" i="19"/>
  <c r="C39" i="19" s="1"/>
  <c r="C29" i="21"/>
  <c r="C39" i="21" s="1"/>
  <c r="C12" i="20"/>
  <c r="C29" i="20"/>
  <c r="C39" i="20" s="1"/>
  <c r="D2" i="19"/>
  <c r="D12" i="19" s="1"/>
  <c r="D15" i="17"/>
  <c r="D25" i="17" s="1"/>
  <c r="D2" i="48"/>
  <c r="D29" i="48" s="1"/>
  <c r="D39" i="48" s="1"/>
  <c r="D15" i="48"/>
  <c r="D42" i="48" s="1"/>
  <c r="D15" i="21"/>
  <c r="D25" i="21" s="1"/>
  <c r="D15" i="19"/>
  <c r="D42" i="19" s="1"/>
  <c r="D2" i="21"/>
  <c r="D12" i="21" s="1"/>
  <c r="D2" i="20"/>
  <c r="D2" i="17"/>
  <c r="D12" i="17" s="1"/>
  <c r="D15" i="20"/>
  <c r="D42" i="20" s="1"/>
  <c r="C12" i="48"/>
  <c r="C29" i="48"/>
  <c r="C39" i="48" s="1"/>
  <c r="B52" i="48"/>
  <c r="B97" i="48"/>
  <c r="B107" i="48" s="1"/>
  <c r="B69" i="48"/>
  <c r="C52" i="48"/>
  <c r="B56" i="48"/>
  <c r="B39" i="48"/>
  <c r="C52" i="21"/>
  <c r="C52" i="20"/>
  <c r="B97" i="21"/>
  <c r="B107" i="21" s="1"/>
  <c r="B69" i="21"/>
  <c r="B52" i="21"/>
  <c r="B56" i="21"/>
  <c r="B39" i="21"/>
  <c r="B97" i="19"/>
  <c r="B107" i="19" s="1"/>
  <c r="B69" i="19"/>
  <c r="B52" i="19"/>
  <c r="B56" i="20"/>
  <c r="B39" i="20"/>
  <c r="B97" i="20"/>
  <c r="B107" i="20" s="1"/>
  <c r="B69" i="20"/>
  <c r="B52" i="20"/>
  <c r="B56" i="19"/>
  <c r="B39" i="19"/>
  <c r="C97" i="19"/>
  <c r="C107" i="19" s="1"/>
  <c r="C52" i="19"/>
  <c r="B97" i="17"/>
  <c r="B107" i="17" s="1"/>
  <c r="B52" i="17"/>
  <c r="B69" i="17"/>
  <c r="C69" i="17" s="1"/>
  <c r="B56" i="17"/>
  <c r="B66" i="17" s="1"/>
  <c r="B39" i="17"/>
  <c r="C39" i="17"/>
  <c r="C52" i="17"/>
  <c r="C97" i="17"/>
  <c r="C107" i="17" s="1"/>
  <c r="H17" i="30"/>
  <c r="H10" i="30"/>
  <c r="D25" i="19" l="1"/>
  <c r="D83" i="19"/>
  <c r="D93" i="19" s="1"/>
  <c r="C97" i="21"/>
  <c r="C107" i="21" s="1"/>
  <c r="C97" i="20"/>
  <c r="C107" i="20" s="1"/>
  <c r="D25" i="20"/>
  <c r="D29" i="17"/>
  <c r="D39" i="17" s="1"/>
  <c r="D29" i="19"/>
  <c r="D39" i="19" s="1"/>
  <c r="D42" i="17"/>
  <c r="D69" i="17" s="1"/>
  <c r="D12" i="48"/>
  <c r="D83" i="17"/>
  <c r="D93" i="17" s="1"/>
  <c r="D94" i="17" s="1"/>
  <c r="D83" i="48"/>
  <c r="D93" i="48" s="1"/>
  <c r="D83" i="20"/>
  <c r="D93" i="20" s="1"/>
  <c r="D12" i="20"/>
  <c r="D29" i="20"/>
  <c r="D39" i="20" s="1"/>
  <c r="D29" i="21"/>
  <c r="D39" i="21" s="1"/>
  <c r="D42" i="21"/>
  <c r="D52" i="21" s="1"/>
  <c r="E15" i="20"/>
  <c r="E15" i="19"/>
  <c r="E15" i="17"/>
  <c r="E15" i="48"/>
  <c r="E42" i="48" s="1"/>
  <c r="E2" i="21"/>
  <c r="E12" i="21" s="1"/>
  <c r="E2" i="48"/>
  <c r="E29" i="48" s="1"/>
  <c r="E39" i="48" s="1"/>
  <c r="E2" i="19"/>
  <c r="E12" i="19" s="1"/>
  <c r="E2" i="20"/>
  <c r="E12" i="20" s="1"/>
  <c r="E15" i="21"/>
  <c r="E2" i="17"/>
  <c r="E12" i="17" s="1"/>
  <c r="D83" i="21"/>
  <c r="D93" i="21" s="1"/>
  <c r="C97" i="48"/>
  <c r="C107" i="48" s="1"/>
  <c r="D25" i="48"/>
  <c r="D97" i="48"/>
  <c r="D107" i="48" s="1"/>
  <c r="D52" i="48"/>
  <c r="B66" i="48"/>
  <c r="C56" i="48"/>
  <c r="B111" i="48"/>
  <c r="B121" i="48" s="1"/>
  <c r="B122" i="48" s="1"/>
  <c r="B79" i="48"/>
  <c r="C69" i="48"/>
  <c r="D97" i="20"/>
  <c r="D107" i="20" s="1"/>
  <c r="D52" i="20"/>
  <c r="C56" i="19"/>
  <c r="B66" i="19"/>
  <c r="B111" i="19"/>
  <c r="B121" i="19" s="1"/>
  <c r="B122" i="19" s="1"/>
  <c r="B79" i="19"/>
  <c r="C69" i="19"/>
  <c r="B111" i="20"/>
  <c r="B121" i="20" s="1"/>
  <c r="B122" i="20" s="1"/>
  <c r="B79" i="20"/>
  <c r="C69" i="20"/>
  <c r="B66" i="21"/>
  <c r="C56" i="21"/>
  <c r="B111" i="21"/>
  <c r="B121" i="21" s="1"/>
  <c r="B122" i="21" s="1"/>
  <c r="B79" i="21"/>
  <c r="C69" i="21"/>
  <c r="B66" i="20"/>
  <c r="C56" i="20"/>
  <c r="D52" i="19"/>
  <c r="D97" i="19"/>
  <c r="D107" i="19" s="1"/>
  <c r="C56" i="17"/>
  <c r="C66" i="17" s="1"/>
  <c r="B111" i="17"/>
  <c r="B121" i="17" s="1"/>
  <c r="B122" i="17" s="1"/>
  <c r="B79" i="17"/>
  <c r="C79" i="17"/>
  <c r="I17" i="30"/>
  <c r="I10" i="30"/>
  <c r="E12" i="48" l="1"/>
  <c r="D97" i="17"/>
  <c r="D107" i="17" s="1"/>
  <c r="D52" i="17"/>
  <c r="E29" i="21"/>
  <c r="E39" i="21" s="1"/>
  <c r="E83" i="19"/>
  <c r="E83" i="21"/>
  <c r="E83" i="20"/>
  <c r="E29" i="17"/>
  <c r="E39" i="17" s="1"/>
  <c r="D97" i="21"/>
  <c r="D107" i="21" s="1"/>
  <c r="E42" i="19"/>
  <c r="E29" i="20"/>
  <c r="E39" i="20" s="1"/>
  <c r="E29" i="19"/>
  <c r="E39" i="19" s="1"/>
  <c r="E83" i="17"/>
  <c r="E42" i="17"/>
  <c r="E42" i="21"/>
  <c r="E83" i="48"/>
  <c r="E42" i="20"/>
  <c r="F15" i="48"/>
  <c r="F15" i="17"/>
  <c r="F2" i="17"/>
  <c r="F12" i="17" s="1"/>
  <c r="F2" i="21"/>
  <c r="F12" i="21" s="1"/>
  <c r="F2" i="48"/>
  <c r="F12" i="48" s="1"/>
  <c r="F2" i="19"/>
  <c r="F12" i="19" s="1"/>
  <c r="F2" i="20"/>
  <c r="F12" i="20" s="1"/>
  <c r="F15" i="20"/>
  <c r="F42" i="20" s="1"/>
  <c r="F15" i="21"/>
  <c r="F42" i="21" s="1"/>
  <c r="F15" i="19"/>
  <c r="E97" i="48"/>
  <c r="D69" i="48"/>
  <c r="C111" i="48"/>
  <c r="C121" i="48" s="1"/>
  <c r="C122" i="48" s="1"/>
  <c r="C79" i="48"/>
  <c r="D56" i="48"/>
  <c r="C66" i="48"/>
  <c r="C111" i="17"/>
  <c r="C121" i="17" s="1"/>
  <c r="C122" i="17" s="1"/>
  <c r="D56" i="21"/>
  <c r="C66" i="21"/>
  <c r="D56" i="20"/>
  <c r="C66" i="20"/>
  <c r="D56" i="19"/>
  <c r="C66" i="19"/>
  <c r="D69" i="20"/>
  <c r="C111" i="20"/>
  <c r="C121" i="20" s="1"/>
  <c r="C122" i="20" s="1"/>
  <c r="C79" i="20"/>
  <c r="D56" i="17"/>
  <c r="D111" i="17" s="1"/>
  <c r="D121" i="17" s="1"/>
  <c r="D122" i="17" s="1"/>
  <c r="D69" i="21"/>
  <c r="C79" i="21"/>
  <c r="C111" i="21"/>
  <c r="C121" i="21" s="1"/>
  <c r="C122" i="21" s="1"/>
  <c r="E97" i="21"/>
  <c r="C111" i="19"/>
  <c r="C121" i="19" s="1"/>
  <c r="C122" i="19" s="1"/>
  <c r="C79" i="19"/>
  <c r="D69" i="19"/>
  <c r="D79" i="17"/>
  <c r="J17" i="30"/>
  <c r="J10" i="30"/>
  <c r="F29" i="20" l="1"/>
  <c r="F39" i="20" s="1"/>
  <c r="F83" i="19"/>
  <c r="E97" i="20"/>
  <c r="F29" i="19"/>
  <c r="F39" i="19" s="1"/>
  <c r="E97" i="17"/>
  <c r="F83" i="17"/>
  <c r="F83" i="48"/>
  <c r="E69" i="17"/>
  <c r="E97" i="19"/>
  <c r="F83" i="20"/>
  <c r="F42" i="19"/>
  <c r="F42" i="17"/>
  <c r="F29" i="48"/>
  <c r="F39" i="48" s="1"/>
  <c r="F83" i="21"/>
  <c r="F29" i="17"/>
  <c r="F39" i="17" s="1"/>
  <c r="F29" i="21"/>
  <c r="F39" i="21" s="1"/>
  <c r="F42" i="48"/>
  <c r="G15" i="21"/>
  <c r="G2" i="17"/>
  <c r="G12" i="17" s="1"/>
  <c r="G2" i="21"/>
  <c r="G12" i="21" s="1"/>
  <c r="G15" i="19"/>
  <c r="G2" i="19"/>
  <c r="G29" i="19" s="1"/>
  <c r="G39" i="19" s="1"/>
  <c r="G15" i="48"/>
  <c r="G2" i="48"/>
  <c r="G12" i="48" s="1"/>
  <c r="G15" i="17"/>
  <c r="G2" i="20"/>
  <c r="G12" i="20" s="1"/>
  <c r="G15" i="20"/>
  <c r="G42" i="20" s="1"/>
  <c r="D66" i="48"/>
  <c r="E56" i="48"/>
  <c r="E56" i="17"/>
  <c r="E66" i="17" s="1"/>
  <c r="D66" i="17"/>
  <c r="D111" i="48"/>
  <c r="D121" i="48" s="1"/>
  <c r="D122" i="48" s="1"/>
  <c r="D79" i="48"/>
  <c r="E69" i="48"/>
  <c r="E56" i="20"/>
  <c r="D66" i="20"/>
  <c r="D66" i="19"/>
  <c r="E56" i="19"/>
  <c r="D79" i="21"/>
  <c r="D111" i="21"/>
  <c r="D121" i="21" s="1"/>
  <c r="D122" i="21" s="1"/>
  <c r="E69" i="21"/>
  <c r="D111" i="19"/>
  <c r="D121" i="19" s="1"/>
  <c r="D122" i="19" s="1"/>
  <c r="D79" i="19"/>
  <c r="E69" i="19"/>
  <c r="F97" i="20"/>
  <c r="D111" i="20"/>
  <c r="D121" i="20" s="1"/>
  <c r="D122" i="20" s="1"/>
  <c r="D79" i="20"/>
  <c r="E69" i="20"/>
  <c r="D66" i="21"/>
  <c r="E56" i="21"/>
  <c r="K17" i="30"/>
  <c r="K10" i="30"/>
  <c r="G12" i="19" l="1"/>
  <c r="F97" i="21"/>
  <c r="F97" i="19"/>
  <c r="G83" i="19"/>
  <c r="F97" i="17"/>
  <c r="G83" i="17"/>
  <c r="F69" i="17"/>
  <c r="F97" i="48"/>
  <c r="G83" i="48"/>
  <c r="G42" i="48"/>
  <c r="G83" i="21"/>
  <c r="G83" i="20"/>
  <c r="G42" i="17"/>
  <c r="G42" i="21"/>
  <c r="G29" i="48"/>
  <c r="G39" i="48" s="1"/>
  <c r="H15" i="48"/>
  <c r="H2" i="17"/>
  <c r="H12" i="17" s="1"/>
  <c r="H2" i="48"/>
  <c r="H12" i="48" s="1"/>
  <c r="H2" i="20"/>
  <c r="H29" i="20" s="1"/>
  <c r="H39" i="20" s="1"/>
  <c r="H15" i="17"/>
  <c r="H42" i="17" s="1"/>
  <c r="H2" i="21"/>
  <c r="H29" i="21" s="1"/>
  <c r="H39" i="21" s="1"/>
  <c r="H15" i="19"/>
  <c r="H2" i="19"/>
  <c r="H12" i="19" s="1"/>
  <c r="H15" i="21"/>
  <c r="H42" i="21" s="1"/>
  <c r="H15" i="20"/>
  <c r="H42" i="20" s="1"/>
  <c r="G42" i="19"/>
  <c r="G97" i="19" s="1"/>
  <c r="G29" i="20"/>
  <c r="G39" i="20" s="1"/>
  <c r="G29" i="17"/>
  <c r="G39" i="17" s="1"/>
  <c r="G29" i="21"/>
  <c r="G39" i="21" s="1"/>
  <c r="E111" i="17"/>
  <c r="F56" i="17"/>
  <c r="F69" i="48"/>
  <c r="E111" i="48"/>
  <c r="E66" i="48"/>
  <c r="F56" i="48"/>
  <c r="E66" i="19"/>
  <c r="F56" i="19"/>
  <c r="F56" i="20"/>
  <c r="E66" i="20"/>
  <c r="E111" i="19"/>
  <c r="F69" i="19"/>
  <c r="E111" i="20"/>
  <c r="F69" i="20"/>
  <c r="F56" i="21"/>
  <c r="E66" i="21"/>
  <c r="F69" i="21"/>
  <c r="E111" i="21"/>
  <c r="L10" i="30"/>
  <c r="L17" i="30"/>
  <c r="G97" i="48" l="1"/>
  <c r="H29" i="17"/>
  <c r="H39" i="17" s="1"/>
  <c r="G69" i="17"/>
  <c r="H83" i="20"/>
  <c r="H12" i="20"/>
  <c r="H12" i="21"/>
  <c r="G56" i="17"/>
  <c r="G66" i="17" s="1"/>
  <c r="G97" i="17"/>
  <c r="G97" i="21"/>
  <c r="H83" i="48"/>
  <c r="H42" i="48"/>
  <c r="H83" i="17"/>
  <c r="H83" i="19"/>
  <c r="H29" i="48"/>
  <c r="H39" i="48" s="1"/>
  <c r="H83" i="21"/>
  <c r="I15" i="21"/>
  <c r="I2" i="17"/>
  <c r="I29" i="17" s="1"/>
  <c r="I39" i="17" s="1"/>
  <c r="I2" i="20"/>
  <c r="I12" i="20" s="1"/>
  <c r="I2" i="19"/>
  <c r="I15" i="17"/>
  <c r="I15" i="20"/>
  <c r="I15" i="19"/>
  <c r="I42" i="19" s="1"/>
  <c r="I15" i="48"/>
  <c r="I2" i="21"/>
  <c r="I29" i="21" s="1"/>
  <c r="I39" i="21" s="1"/>
  <c r="I2" i="48"/>
  <c r="I12" i="48" s="1"/>
  <c r="H42" i="19"/>
  <c r="H29" i="19"/>
  <c r="H39" i="19" s="1"/>
  <c r="F66" i="17"/>
  <c r="F111" i="17"/>
  <c r="G97" i="20"/>
  <c r="G56" i="48"/>
  <c r="F66" i="48"/>
  <c r="F111" i="48"/>
  <c r="G69" i="48"/>
  <c r="G56" i="21"/>
  <c r="F66" i="21"/>
  <c r="G56" i="20"/>
  <c r="F66" i="20"/>
  <c r="F111" i="20"/>
  <c r="G69" i="20"/>
  <c r="G56" i="19"/>
  <c r="F66" i="19"/>
  <c r="H97" i="21"/>
  <c r="F111" i="19"/>
  <c r="G69" i="19"/>
  <c r="H97" i="20"/>
  <c r="F111" i="21"/>
  <c r="G69" i="21"/>
  <c r="H69" i="17"/>
  <c r="H97" i="17"/>
  <c r="M17" i="30"/>
  <c r="M10" i="30"/>
  <c r="H56" i="17" l="1"/>
  <c r="G111" i="17"/>
  <c r="H97" i="48"/>
  <c r="I83" i="21"/>
  <c r="I42" i="21"/>
  <c r="I97" i="21" s="1"/>
  <c r="I29" i="48"/>
  <c r="I39" i="48" s="1"/>
  <c r="I83" i="17"/>
  <c r="I12" i="17"/>
  <c r="I12" i="21"/>
  <c r="I83" i="19"/>
  <c r="I42" i="17"/>
  <c r="I69" i="17" s="1"/>
  <c r="I29" i="20"/>
  <c r="I39" i="20" s="1"/>
  <c r="I12" i="19"/>
  <c r="I83" i="48"/>
  <c r="H97" i="19"/>
  <c r="I29" i="19"/>
  <c r="I39" i="19" s="1"/>
  <c r="I83" i="20"/>
  <c r="J15" i="17"/>
  <c r="J42" i="17" s="1"/>
  <c r="J2" i="19"/>
  <c r="J12" i="19" s="1"/>
  <c r="J15" i="19"/>
  <c r="J2" i="21"/>
  <c r="J29" i="21" s="1"/>
  <c r="J39" i="21" s="1"/>
  <c r="J2" i="20"/>
  <c r="J29" i="20" s="1"/>
  <c r="J39" i="20" s="1"/>
  <c r="J2" i="48"/>
  <c r="J12" i="48" s="1"/>
  <c r="J15" i="20"/>
  <c r="J15" i="48"/>
  <c r="J15" i="21"/>
  <c r="J42" i="21" s="1"/>
  <c r="J2" i="17"/>
  <c r="I42" i="20"/>
  <c r="I42" i="48"/>
  <c r="G111" i="48"/>
  <c r="H69" i="48"/>
  <c r="G66" i="48"/>
  <c r="H56" i="48"/>
  <c r="G66" i="19"/>
  <c r="H56" i="19"/>
  <c r="G66" i="20"/>
  <c r="H56" i="20"/>
  <c r="G66" i="21"/>
  <c r="H56" i="21"/>
  <c r="G111" i="19"/>
  <c r="H69" i="19"/>
  <c r="H69" i="21"/>
  <c r="G111" i="21"/>
  <c r="G111" i="20"/>
  <c r="H69" i="20"/>
  <c r="H111" i="17"/>
  <c r="H66" i="17"/>
  <c r="I56" i="17"/>
  <c r="N10" i="30"/>
  <c r="N17" i="30"/>
  <c r="J83" i="48" l="1"/>
  <c r="J83" i="20"/>
  <c r="I97" i="48"/>
  <c r="J12" i="20"/>
  <c r="I97" i="19"/>
  <c r="J83" i="17"/>
  <c r="J12" i="17"/>
  <c r="I97" i="17"/>
  <c r="J29" i="17"/>
  <c r="J39" i="17" s="1"/>
  <c r="J83" i="19"/>
  <c r="I97" i="20"/>
  <c r="J42" i="19"/>
  <c r="J12" i="21"/>
  <c r="J29" i="19"/>
  <c r="J39" i="19" s="1"/>
  <c r="J29" i="48"/>
  <c r="J39" i="48" s="1"/>
  <c r="J83" i="21"/>
  <c r="J42" i="20"/>
  <c r="J97" i="20" s="1"/>
  <c r="J42" i="48"/>
  <c r="K15" i="19"/>
  <c r="K42" i="19" s="1"/>
  <c r="K15" i="48"/>
  <c r="K42" i="48" s="1"/>
  <c r="K2" i="21"/>
  <c r="K12" i="21" s="1"/>
  <c r="K15" i="20"/>
  <c r="K42" i="20" s="1"/>
  <c r="K2" i="48"/>
  <c r="K29" i="48" s="1"/>
  <c r="K39" i="48" s="1"/>
  <c r="K2" i="19"/>
  <c r="K12" i="19" s="1"/>
  <c r="K15" i="21"/>
  <c r="K42" i="21" s="1"/>
  <c r="K2" i="20"/>
  <c r="K15" i="17"/>
  <c r="K2" i="17"/>
  <c r="K12" i="17" s="1"/>
  <c r="I69" i="48"/>
  <c r="H111" i="48"/>
  <c r="I56" i="48"/>
  <c r="H66" i="48"/>
  <c r="I56" i="21"/>
  <c r="H66" i="21"/>
  <c r="H66" i="19"/>
  <c r="I56" i="19"/>
  <c r="H111" i="19"/>
  <c r="I69" i="19"/>
  <c r="J97" i="21"/>
  <c r="H66" i="20"/>
  <c r="I56" i="20"/>
  <c r="I69" i="20"/>
  <c r="H111" i="20"/>
  <c r="I69" i="21"/>
  <c r="H111" i="21"/>
  <c r="I66" i="17"/>
  <c r="I111" i="17"/>
  <c r="J69" i="17"/>
  <c r="O10" i="30"/>
  <c r="O17" i="30"/>
  <c r="J97" i="17" l="1"/>
  <c r="J97" i="48"/>
  <c r="J56" i="17"/>
  <c r="K83" i="20"/>
  <c r="J97" i="19"/>
  <c r="K83" i="17"/>
  <c r="K29" i="20"/>
  <c r="K39" i="20" s="1"/>
  <c r="K12" i="20"/>
  <c r="K42" i="17"/>
  <c r="K29" i="21"/>
  <c r="K39" i="21" s="1"/>
  <c r="K83" i="21"/>
  <c r="K83" i="48"/>
  <c r="K12" i="48"/>
  <c r="K83" i="19"/>
  <c r="K29" i="17"/>
  <c r="K39" i="17" s="1"/>
  <c r="K29" i="19"/>
  <c r="K39" i="19" s="1"/>
  <c r="L15" i="21"/>
  <c r="L2" i="48"/>
  <c r="L15" i="20"/>
  <c r="L2" i="20"/>
  <c r="L12" i="20" s="1"/>
  <c r="L15" i="48"/>
  <c r="L42" i="48" s="1"/>
  <c r="L15" i="17"/>
  <c r="L42" i="17" s="1"/>
  <c r="L2" i="21"/>
  <c r="L12" i="21" s="1"/>
  <c r="L2" i="17"/>
  <c r="L12" i="17" s="1"/>
  <c r="L2" i="19"/>
  <c r="L29" i="19" s="1"/>
  <c r="L39" i="19" s="1"/>
  <c r="L15" i="19"/>
  <c r="L42" i="19" s="1"/>
  <c r="J56" i="48"/>
  <c r="I66" i="48"/>
  <c r="K97" i="48"/>
  <c r="J69" i="48"/>
  <c r="I111" i="48"/>
  <c r="I111" i="21"/>
  <c r="J69" i="21"/>
  <c r="I66" i="19"/>
  <c r="J56" i="19"/>
  <c r="J69" i="20"/>
  <c r="I111" i="20"/>
  <c r="I111" i="19"/>
  <c r="J69" i="19"/>
  <c r="J56" i="21"/>
  <c r="I66" i="21"/>
  <c r="I66" i="20"/>
  <c r="J56" i="20"/>
  <c r="J66" i="17"/>
  <c r="J111" i="17"/>
  <c r="P17" i="30"/>
  <c r="P10" i="30"/>
  <c r="L83" i="21" l="1"/>
  <c r="K97" i="17"/>
  <c r="K97" i="20"/>
  <c r="K56" i="17"/>
  <c r="K66" i="17" s="1"/>
  <c r="K69" i="17"/>
  <c r="K97" i="21"/>
  <c r="L42" i="21"/>
  <c r="L29" i="20"/>
  <c r="L39" i="20" s="1"/>
  <c r="L83" i="48"/>
  <c r="L83" i="20"/>
  <c r="L42" i="20"/>
  <c r="M2" i="48"/>
  <c r="M12" i="48" s="1"/>
  <c r="M2" i="21"/>
  <c r="M12" i="21" s="1"/>
  <c r="M2" i="17"/>
  <c r="M12" i="17" s="1"/>
  <c r="M15" i="21"/>
  <c r="M42" i="21" s="1"/>
  <c r="M15" i="48"/>
  <c r="M42" i="48" s="1"/>
  <c r="M15" i="19"/>
  <c r="M42" i="19" s="1"/>
  <c r="M2" i="19"/>
  <c r="M12" i="19" s="1"/>
  <c r="M2" i="20"/>
  <c r="M12" i="20" s="1"/>
  <c r="M15" i="17"/>
  <c r="M42" i="17" s="1"/>
  <c r="M15" i="20"/>
  <c r="L29" i="48"/>
  <c r="L39" i="48" s="1"/>
  <c r="L83" i="17"/>
  <c r="L83" i="19"/>
  <c r="L12" i="19"/>
  <c r="L12" i="48"/>
  <c r="K97" i="19"/>
  <c r="L29" i="21"/>
  <c r="L39" i="21" s="1"/>
  <c r="L29" i="17"/>
  <c r="L39" i="17" s="1"/>
  <c r="J111" i="48"/>
  <c r="K69" i="48"/>
  <c r="J66" i="48"/>
  <c r="K56" i="48"/>
  <c r="K56" i="21"/>
  <c r="J66" i="21"/>
  <c r="K69" i="19"/>
  <c r="J111" i="19"/>
  <c r="J66" i="19"/>
  <c r="K56" i="19"/>
  <c r="K69" i="20"/>
  <c r="J111" i="20"/>
  <c r="K69" i="21"/>
  <c r="J111" i="21"/>
  <c r="L97" i="19"/>
  <c r="J66" i="20"/>
  <c r="K56" i="20"/>
  <c r="K111" i="17"/>
  <c r="L69" i="17"/>
  <c r="Q10" i="30"/>
  <c r="Q17" i="30"/>
  <c r="L97" i="20" l="1"/>
  <c r="M29" i="17"/>
  <c r="M39" i="17" s="1"/>
  <c r="M83" i="20"/>
  <c r="M29" i="20"/>
  <c r="M39" i="20" s="1"/>
  <c r="M29" i="48"/>
  <c r="M39" i="48" s="1"/>
  <c r="M83" i="17"/>
  <c r="M83" i="21"/>
  <c r="L97" i="48"/>
  <c r="L97" i="17"/>
  <c r="M42" i="20"/>
  <c r="L56" i="17"/>
  <c r="L111" i="17" s="1"/>
  <c r="L97" i="21"/>
  <c r="M29" i="21"/>
  <c r="M39" i="21" s="1"/>
  <c r="M83" i="48"/>
  <c r="M83" i="19"/>
  <c r="M29" i="19"/>
  <c r="M39" i="19" s="1"/>
  <c r="N15" i="48"/>
  <c r="N42" i="48" s="1"/>
  <c r="N2" i="17"/>
  <c r="N12" i="17" s="1"/>
  <c r="N2" i="19"/>
  <c r="N12" i="19" s="1"/>
  <c r="N2" i="21"/>
  <c r="N12" i="21" s="1"/>
  <c r="N15" i="17"/>
  <c r="N42" i="17" s="1"/>
  <c r="N2" i="48"/>
  <c r="N29" i="48" s="1"/>
  <c r="N39" i="48" s="1"/>
  <c r="N15" i="21"/>
  <c r="N83" i="21" s="1"/>
  <c r="N2" i="20"/>
  <c r="N12" i="20" s="1"/>
  <c r="N15" i="20"/>
  <c r="N42" i="20" s="1"/>
  <c r="N15" i="19"/>
  <c r="N42" i="19" s="1"/>
  <c r="K66" i="48"/>
  <c r="L56" i="48"/>
  <c r="K111" i="48"/>
  <c r="L69" i="48"/>
  <c r="K111" i="19"/>
  <c r="L69" i="19"/>
  <c r="K111" i="20"/>
  <c r="L69" i="20"/>
  <c r="L56" i="19"/>
  <c r="K66" i="19"/>
  <c r="K66" i="21"/>
  <c r="L56" i="21"/>
  <c r="K111" i="21"/>
  <c r="L69" i="21"/>
  <c r="L56" i="20"/>
  <c r="K66" i="20"/>
  <c r="M69" i="17"/>
  <c r="M97" i="17"/>
  <c r="R17" i="30"/>
  <c r="R10" i="30"/>
  <c r="M97" i="21" l="1"/>
  <c r="M97" i="20"/>
  <c r="M97" i="48"/>
  <c r="M56" i="17"/>
  <c r="M111" i="17" s="1"/>
  <c r="N83" i="19"/>
  <c r="L66" i="17"/>
  <c r="N29" i="17"/>
  <c r="N39" i="17" s="1"/>
  <c r="N83" i="17"/>
  <c r="M97" i="19"/>
  <c r="N42" i="21"/>
  <c r="N29" i="20"/>
  <c r="N39" i="20" s="1"/>
  <c r="N83" i="20"/>
  <c r="O2" i="20"/>
  <c r="O29" i="20" s="1"/>
  <c r="O39" i="20" s="1"/>
  <c r="O15" i="20"/>
  <c r="O83" i="20" s="1"/>
  <c r="O2" i="21"/>
  <c r="O12" i="21" s="1"/>
  <c r="O15" i="17"/>
  <c r="O42" i="17" s="1"/>
  <c r="O2" i="48"/>
  <c r="O2" i="17"/>
  <c r="O29" i="17" s="1"/>
  <c r="O39" i="17" s="1"/>
  <c r="O15" i="21"/>
  <c r="O2" i="19"/>
  <c r="O12" i="19" s="1"/>
  <c r="O15" i="48"/>
  <c r="O42" i="48" s="1"/>
  <c r="O15" i="19"/>
  <c r="O42" i="19" s="1"/>
  <c r="N29" i="21"/>
  <c r="N39" i="21" s="1"/>
  <c r="N29" i="19"/>
  <c r="N39" i="19" s="1"/>
  <c r="N12" i="48"/>
  <c r="N83" i="48"/>
  <c r="N97" i="48"/>
  <c r="M69" i="48"/>
  <c r="L111" i="48"/>
  <c r="M56" i="48"/>
  <c r="L66" i="48"/>
  <c r="L111" i="20"/>
  <c r="M69" i="20"/>
  <c r="L66" i="19"/>
  <c r="M56" i="19"/>
  <c r="L66" i="21"/>
  <c r="M56" i="21"/>
  <c r="L66" i="20"/>
  <c r="M56" i="20"/>
  <c r="L111" i="21"/>
  <c r="M69" i="21"/>
  <c r="L111" i="19"/>
  <c r="M69" i="19"/>
  <c r="N69" i="17"/>
  <c r="M66" i="17"/>
  <c r="S17" i="30"/>
  <c r="S10" i="30"/>
  <c r="O83" i="48" l="1"/>
  <c r="O42" i="20"/>
  <c r="N56" i="17"/>
  <c r="O12" i="20"/>
  <c r="N97" i="20"/>
  <c r="N97" i="17"/>
  <c r="O12" i="17"/>
  <c r="N97" i="21"/>
  <c r="N97" i="19"/>
  <c r="O29" i="21"/>
  <c r="O39" i="21" s="1"/>
  <c r="O12" i="48"/>
  <c r="O83" i="21"/>
  <c r="O29" i="48"/>
  <c r="O39" i="48" s="1"/>
  <c r="O83" i="19"/>
  <c r="O42" i="21"/>
  <c r="O83" i="17"/>
  <c r="P2" i="21"/>
  <c r="P29" i="21" s="1"/>
  <c r="P39" i="21" s="1"/>
  <c r="P15" i="21"/>
  <c r="P15" i="19"/>
  <c r="P2" i="19"/>
  <c r="P29" i="19" s="1"/>
  <c r="P39" i="19" s="1"/>
  <c r="P2" i="48"/>
  <c r="P29" i="48" s="1"/>
  <c r="P39" i="48" s="1"/>
  <c r="P2" i="20"/>
  <c r="P12" i="20" s="1"/>
  <c r="P15" i="17"/>
  <c r="P42" i="17" s="1"/>
  <c r="P15" i="20"/>
  <c r="P42" i="20" s="1"/>
  <c r="P2" i="17"/>
  <c r="P12" i="17" s="1"/>
  <c r="P15" i="48"/>
  <c r="P42" i="48" s="1"/>
  <c r="O29" i="19"/>
  <c r="O39" i="19" s="1"/>
  <c r="M66" i="48"/>
  <c r="N56" i="48"/>
  <c r="N69" i="48"/>
  <c r="M111" i="48"/>
  <c r="N56" i="20"/>
  <c r="M66" i="20"/>
  <c r="M111" i="20"/>
  <c r="N69" i="20"/>
  <c r="N56" i="21"/>
  <c r="M66" i="21"/>
  <c r="M66" i="19"/>
  <c r="N56" i="19"/>
  <c r="M111" i="21"/>
  <c r="N69" i="21"/>
  <c r="O97" i="20"/>
  <c r="M111" i="19"/>
  <c r="N69" i="19"/>
  <c r="O56" i="17"/>
  <c r="N66" i="17"/>
  <c r="O97" i="17"/>
  <c r="N111" i="17"/>
  <c r="O69" i="17"/>
  <c r="T17" i="30"/>
  <c r="T10" i="30"/>
  <c r="P12" i="21" l="1"/>
  <c r="P83" i="21"/>
  <c r="O97" i="21"/>
  <c r="P42" i="21"/>
  <c r="O97" i="48"/>
  <c r="P12" i="19"/>
  <c r="O97" i="19"/>
  <c r="P83" i="20"/>
  <c r="P29" i="20"/>
  <c r="P39" i="20" s="1"/>
  <c r="P83" i="19"/>
  <c r="P83" i="48"/>
  <c r="P12" i="48"/>
  <c r="Q2" i="48"/>
  <c r="Q12" i="48" s="1"/>
  <c r="Q2" i="17"/>
  <c r="Q29" i="17" s="1"/>
  <c r="Q39" i="17" s="1"/>
  <c r="Q15" i="21"/>
  <c r="Q42" i="21" s="1"/>
  <c r="Q15" i="17"/>
  <c r="Q42" i="17" s="1"/>
  <c r="Q2" i="20"/>
  <c r="Q2" i="19"/>
  <c r="Q12" i="19" s="1"/>
  <c r="Q15" i="20"/>
  <c r="Q42" i="20" s="1"/>
  <c r="Q15" i="19"/>
  <c r="Q42" i="19" s="1"/>
  <c r="Q15" i="48"/>
  <c r="Q2" i="21"/>
  <c r="Q29" i="21" s="1"/>
  <c r="Q39" i="21" s="1"/>
  <c r="P29" i="17"/>
  <c r="P39" i="17" s="1"/>
  <c r="P83" i="17"/>
  <c r="P42" i="19"/>
  <c r="P97" i="19" s="1"/>
  <c r="N111" i="48"/>
  <c r="O69" i="48"/>
  <c r="P97" i="48"/>
  <c r="N66" i="48"/>
  <c r="O56" i="48"/>
  <c r="P97" i="21"/>
  <c r="O56" i="19"/>
  <c r="N66" i="19"/>
  <c r="N111" i="20"/>
  <c r="O69" i="20"/>
  <c r="O56" i="20"/>
  <c r="N66" i="20"/>
  <c r="N111" i="19"/>
  <c r="O69" i="19"/>
  <c r="N111" i="21"/>
  <c r="O69" i="21"/>
  <c r="O56" i="21"/>
  <c r="N66" i="21"/>
  <c r="O66" i="17"/>
  <c r="P69" i="17"/>
  <c r="O111" i="17"/>
  <c r="U10" i="30"/>
  <c r="U17" i="30"/>
  <c r="Q83" i="48" l="1"/>
  <c r="Q29" i="48"/>
  <c r="Q39" i="48" s="1"/>
  <c r="P97" i="20"/>
  <c r="Q83" i="21"/>
  <c r="Q12" i="21"/>
  <c r="Q42" i="48"/>
  <c r="Q83" i="17"/>
  <c r="Q12" i="17"/>
  <c r="Q83" i="20"/>
  <c r="Q83" i="19"/>
  <c r="Q29" i="20"/>
  <c r="Q39" i="20" s="1"/>
  <c r="R15" i="48"/>
  <c r="R42" i="48" s="1"/>
  <c r="R2" i="20"/>
  <c r="R29" i="20" s="1"/>
  <c r="R39" i="20" s="1"/>
  <c r="R2" i="21"/>
  <c r="R29" i="21" s="1"/>
  <c r="R39" i="21" s="1"/>
  <c r="R2" i="48"/>
  <c r="R29" i="48" s="1"/>
  <c r="R39" i="48" s="1"/>
  <c r="R15" i="21"/>
  <c r="R42" i="21" s="1"/>
  <c r="R2" i="17"/>
  <c r="R15" i="19"/>
  <c r="R42" i="19" s="1"/>
  <c r="R15" i="17"/>
  <c r="R42" i="17" s="1"/>
  <c r="R15" i="20"/>
  <c r="R42" i="20" s="1"/>
  <c r="R2" i="19"/>
  <c r="R12" i="19" s="1"/>
  <c r="Q12" i="20"/>
  <c r="P97" i="17"/>
  <c r="Q29" i="19"/>
  <c r="Q39" i="19" s="1"/>
  <c r="P56" i="17"/>
  <c r="P66" i="17" s="1"/>
  <c r="P69" i="48"/>
  <c r="O111" i="48"/>
  <c r="P56" i="48"/>
  <c r="O66" i="48"/>
  <c r="P69" i="20"/>
  <c r="O111" i="20"/>
  <c r="R12" i="20"/>
  <c r="Q97" i="21"/>
  <c r="O66" i="19"/>
  <c r="P56" i="19"/>
  <c r="O66" i="21"/>
  <c r="P56" i="21"/>
  <c r="O111" i="19"/>
  <c r="P69" i="19"/>
  <c r="O111" i="21"/>
  <c r="P69" i="21"/>
  <c r="O66" i="20"/>
  <c r="P56" i="20"/>
  <c r="Q69" i="17"/>
  <c r="Q97" i="17"/>
  <c r="V10" i="30"/>
  <c r="V17" i="30"/>
  <c r="Q97" i="48" l="1"/>
  <c r="R12" i="48"/>
  <c r="Q97" i="20"/>
  <c r="R83" i="20"/>
  <c r="R83" i="17"/>
  <c r="Q97" i="19"/>
  <c r="P111" i="17"/>
  <c r="R83" i="21"/>
  <c r="Q56" i="17"/>
  <c r="Q111" i="17" s="1"/>
  <c r="S15" i="17"/>
  <c r="S42" i="17" s="1"/>
  <c r="S15" i="19"/>
  <c r="S42" i="19" s="1"/>
  <c r="S2" i="17"/>
  <c r="S12" i="17" s="1"/>
  <c r="S2" i="19"/>
  <c r="S12" i="19" s="1"/>
  <c r="S2" i="21"/>
  <c r="S2" i="20"/>
  <c r="S12" i="20" s="1"/>
  <c r="S15" i="48"/>
  <c r="S42" i="48" s="1"/>
  <c r="S15" i="20"/>
  <c r="S42" i="20" s="1"/>
  <c r="S2" i="48"/>
  <c r="S29" i="48" s="1"/>
  <c r="S39" i="48" s="1"/>
  <c r="S15" i="21"/>
  <c r="S42" i="21" s="1"/>
  <c r="R29" i="17"/>
  <c r="R39" i="17" s="1"/>
  <c r="R12" i="21"/>
  <c r="R12" i="17"/>
  <c r="R29" i="19"/>
  <c r="R39" i="19" s="1"/>
  <c r="R83" i="19"/>
  <c r="R83" i="48"/>
  <c r="Q56" i="48"/>
  <c r="P66" i="48"/>
  <c r="P111" i="48"/>
  <c r="Q69" i="48"/>
  <c r="R97" i="48"/>
  <c r="Q56" i="19"/>
  <c r="P66" i="19"/>
  <c r="P111" i="19"/>
  <c r="Q69" i="19"/>
  <c r="Q69" i="20"/>
  <c r="P111" i="20"/>
  <c r="P111" i="21"/>
  <c r="Q69" i="21"/>
  <c r="P66" i="20"/>
  <c r="Q56" i="20"/>
  <c r="R97" i="21"/>
  <c r="R97" i="20"/>
  <c r="Q56" i="21"/>
  <c r="P66" i="21"/>
  <c r="R69" i="17"/>
  <c r="W17" i="30"/>
  <c r="W10" i="30"/>
  <c r="Q66" i="17" l="1"/>
  <c r="S83" i="20"/>
  <c r="S29" i="20"/>
  <c r="S39" i="20" s="1"/>
  <c r="R97" i="19"/>
  <c r="S12" i="48"/>
  <c r="S29" i="17"/>
  <c r="S39" i="17" s="1"/>
  <c r="R56" i="17"/>
  <c r="R111" i="17" s="1"/>
  <c r="S83" i="17"/>
  <c r="R97" i="17"/>
  <c r="S83" i="48"/>
  <c r="S83" i="21"/>
  <c r="S29" i="21"/>
  <c r="S39" i="21" s="1"/>
  <c r="S12" i="21"/>
  <c r="S83" i="19"/>
  <c r="T15" i="20"/>
  <c r="T42" i="20" s="1"/>
  <c r="T2" i="20"/>
  <c r="T12" i="20" s="1"/>
  <c r="T15" i="48"/>
  <c r="T42" i="48" s="1"/>
  <c r="T15" i="17"/>
  <c r="T2" i="21"/>
  <c r="T2" i="48"/>
  <c r="T12" i="48" s="1"/>
  <c r="T15" i="21"/>
  <c r="T42" i="21" s="1"/>
  <c r="T2" i="19"/>
  <c r="T12" i="19" s="1"/>
  <c r="T15" i="19"/>
  <c r="T2" i="17"/>
  <c r="T12" i="17" s="1"/>
  <c r="S29" i="19"/>
  <c r="S39" i="19" s="1"/>
  <c r="R69" i="48"/>
  <c r="Q111" i="48"/>
  <c r="Q66" i="48"/>
  <c r="R56" i="48"/>
  <c r="S97" i="48"/>
  <c r="R69" i="21"/>
  <c r="Q111" i="21"/>
  <c r="R56" i="19"/>
  <c r="Q66" i="19"/>
  <c r="Q111" i="20"/>
  <c r="R69" i="20"/>
  <c r="S97" i="20"/>
  <c r="Q66" i="21"/>
  <c r="R56" i="21"/>
  <c r="R56" i="20"/>
  <c r="Q66" i="20"/>
  <c r="Q111" i="19"/>
  <c r="R69" i="19"/>
  <c r="S69" i="17"/>
  <c r="X17" i="30"/>
  <c r="X10" i="30"/>
  <c r="T83" i="19" l="1"/>
  <c r="S97" i="17"/>
  <c r="S56" i="17"/>
  <c r="S97" i="21"/>
  <c r="T29" i="19"/>
  <c r="T39" i="19" s="1"/>
  <c r="R66" i="17"/>
  <c r="T83" i="20"/>
  <c r="T29" i="20"/>
  <c r="T39" i="20" s="1"/>
  <c r="T83" i="17"/>
  <c r="T42" i="19"/>
  <c r="T83" i="21"/>
  <c r="T83" i="48"/>
  <c r="S97" i="19"/>
  <c r="T29" i="48"/>
  <c r="T39" i="48" s="1"/>
  <c r="T42" i="17"/>
  <c r="T69" i="17" s="1"/>
  <c r="U15" i="19"/>
  <c r="U42" i="19" s="1"/>
  <c r="U2" i="21"/>
  <c r="U29" i="21" s="1"/>
  <c r="U39" i="21" s="1"/>
  <c r="U15" i="21"/>
  <c r="U2" i="48"/>
  <c r="U12" i="48" s="1"/>
  <c r="U15" i="17"/>
  <c r="U2" i="19"/>
  <c r="U12" i="19" s="1"/>
  <c r="U2" i="20"/>
  <c r="U2" i="17"/>
  <c r="U12" i="17" s="1"/>
  <c r="U15" i="48"/>
  <c r="U15" i="20"/>
  <c r="U42" i="20" s="1"/>
  <c r="T29" i="17"/>
  <c r="T39" i="17" s="1"/>
  <c r="T29" i="21"/>
  <c r="T39" i="21" s="1"/>
  <c r="T12" i="21"/>
  <c r="S56" i="48"/>
  <c r="R66" i="48"/>
  <c r="R111" i="48"/>
  <c r="S69" i="48"/>
  <c r="S56" i="21"/>
  <c r="R66" i="21"/>
  <c r="R111" i="19"/>
  <c r="S69" i="19"/>
  <c r="S56" i="19"/>
  <c r="R66" i="19"/>
  <c r="R66" i="20"/>
  <c r="S56" i="20"/>
  <c r="R111" i="20"/>
  <c r="S69" i="20"/>
  <c r="R111" i="21"/>
  <c r="S69" i="21"/>
  <c r="S111" i="17"/>
  <c r="S66" i="17"/>
  <c r="Y17" i="30"/>
  <c r="Y10" i="30"/>
  <c r="T97" i="48" l="1"/>
  <c r="T97" i="20"/>
  <c r="T97" i="19"/>
  <c r="T56" i="17"/>
  <c r="U83" i="48"/>
  <c r="T97" i="21"/>
  <c r="U29" i="48"/>
  <c r="U39" i="48" s="1"/>
  <c r="U83" i="19"/>
  <c r="U83" i="21"/>
  <c r="U42" i="21"/>
  <c r="U97" i="21" s="1"/>
  <c r="U42" i="48"/>
  <c r="U83" i="20"/>
  <c r="U29" i="17"/>
  <c r="U39" i="17" s="1"/>
  <c r="U12" i="21"/>
  <c r="U83" i="17"/>
  <c r="T97" i="17"/>
  <c r="U29" i="20"/>
  <c r="U39" i="20" s="1"/>
  <c r="U12" i="20"/>
  <c r="V2" i="48"/>
  <c r="V29" i="48" s="1"/>
  <c r="V39" i="48" s="1"/>
  <c r="V15" i="21"/>
  <c r="V15" i="48"/>
  <c r="V42" i="48" s="1"/>
  <c r="V15" i="19"/>
  <c r="V15" i="17"/>
  <c r="V42" i="17" s="1"/>
  <c r="V2" i="17"/>
  <c r="V12" i="17" s="1"/>
  <c r="V2" i="20"/>
  <c r="V29" i="20" s="1"/>
  <c r="V39" i="20" s="1"/>
  <c r="V2" i="19"/>
  <c r="V29" i="19" s="1"/>
  <c r="V39" i="19" s="1"/>
  <c r="V2" i="21"/>
  <c r="V29" i="21" s="1"/>
  <c r="V39" i="21" s="1"/>
  <c r="V15" i="20"/>
  <c r="U29" i="19"/>
  <c r="U39" i="19" s="1"/>
  <c r="U42" i="17"/>
  <c r="U69" i="17" s="1"/>
  <c r="T56" i="48"/>
  <c r="S66" i="48"/>
  <c r="S111" i="48"/>
  <c r="T69" i="48"/>
  <c r="S111" i="19"/>
  <c r="T69" i="19"/>
  <c r="S66" i="20"/>
  <c r="T56" i="20"/>
  <c r="T56" i="21"/>
  <c r="S66" i="21"/>
  <c r="T69" i="21"/>
  <c r="S111" i="21"/>
  <c r="T69" i="20"/>
  <c r="S111" i="20"/>
  <c r="S66" i="19"/>
  <c r="T56" i="19"/>
  <c r="T66" i="17"/>
  <c r="T111" i="17"/>
  <c r="Z10" i="30"/>
  <c r="Z17" i="30"/>
  <c r="U97" i="48" l="1"/>
  <c r="V83" i="20"/>
  <c r="V83" i="21"/>
  <c r="V12" i="48"/>
  <c r="V83" i="19"/>
  <c r="V12" i="19"/>
  <c r="V83" i="48"/>
  <c r="V42" i="21"/>
  <c r="V97" i="21" s="1"/>
  <c r="U56" i="17"/>
  <c r="U111" i="17" s="1"/>
  <c r="V12" i="21"/>
  <c r="V12" i="20"/>
  <c r="V42" i="20"/>
  <c r="V97" i="20" s="1"/>
  <c r="U97" i="20"/>
  <c r="U97" i="17"/>
  <c r="W15" i="21"/>
  <c r="W42" i="21" s="1"/>
  <c r="W2" i="17"/>
  <c r="W29" i="17" s="1"/>
  <c r="W39" i="17" s="1"/>
  <c r="W15" i="19"/>
  <c r="W42" i="19" s="1"/>
  <c r="W2" i="21"/>
  <c r="W29" i="21" s="1"/>
  <c r="W39" i="21" s="1"/>
  <c r="W2" i="19"/>
  <c r="W12" i="19" s="1"/>
  <c r="W2" i="48"/>
  <c r="W29" i="48" s="1"/>
  <c r="W39" i="48" s="1"/>
  <c r="W2" i="20"/>
  <c r="W12" i="20" s="1"/>
  <c r="W15" i="48"/>
  <c r="W42" i="48" s="1"/>
  <c r="W15" i="20"/>
  <c r="W42" i="20" s="1"/>
  <c r="W15" i="17"/>
  <c r="V29" i="17"/>
  <c r="V39" i="17" s="1"/>
  <c r="U97" i="19"/>
  <c r="V83" i="17"/>
  <c r="V42" i="19"/>
  <c r="V97" i="19" s="1"/>
  <c r="T111" i="48"/>
  <c r="U69" i="48"/>
  <c r="U56" i="48"/>
  <c r="T66" i="48"/>
  <c r="V97" i="48"/>
  <c r="U56" i="19"/>
  <c r="T66" i="19"/>
  <c r="T66" i="21"/>
  <c r="U56" i="21"/>
  <c r="T66" i="20"/>
  <c r="U56" i="20"/>
  <c r="T111" i="20"/>
  <c r="U69" i="20"/>
  <c r="T111" i="19"/>
  <c r="U69" i="19"/>
  <c r="U69" i="21"/>
  <c r="T111" i="21"/>
  <c r="V69" i="17"/>
  <c r="U66" i="17"/>
  <c r="AA10" i="30"/>
  <c r="AA17" i="30"/>
  <c r="AB20" i="30"/>
  <c r="W83" i="17" l="1"/>
  <c r="W12" i="17"/>
  <c r="W12" i="48"/>
  <c r="W83" i="19"/>
  <c r="V56" i="17"/>
  <c r="W56" i="17" s="1"/>
  <c r="W42" i="17"/>
  <c r="W69" i="17" s="1"/>
  <c r="W83" i="48"/>
  <c r="W83" i="20"/>
  <c r="W29" i="19"/>
  <c r="W39" i="19" s="1"/>
  <c r="X2" i="19"/>
  <c r="X12" i="19" s="1"/>
  <c r="X15" i="20"/>
  <c r="X42" i="20" s="1"/>
  <c r="X15" i="19"/>
  <c r="X2" i="48"/>
  <c r="X12" i="48" s="1"/>
  <c r="X2" i="20"/>
  <c r="X15" i="17"/>
  <c r="X42" i="17" s="1"/>
  <c r="X2" i="21"/>
  <c r="X29" i="21" s="1"/>
  <c r="X39" i="21" s="1"/>
  <c r="X15" i="48"/>
  <c r="X2" i="17"/>
  <c r="X12" i="17" s="1"/>
  <c r="X15" i="21"/>
  <c r="W12" i="21"/>
  <c r="W83" i="21"/>
  <c r="V97" i="17"/>
  <c r="W29" i="20"/>
  <c r="W39" i="20" s="1"/>
  <c r="W97" i="48"/>
  <c r="U66" i="48"/>
  <c r="V56" i="48"/>
  <c r="U111" i="48"/>
  <c r="V69" i="48"/>
  <c r="U111" i="19"/>
  <c r="V69" i="19"/>
  <c r="W97" i="21"/>
  <c r="U66" i="20"/>
  <c r="V56" i="20"/>
  <c r="V69" i="21"/>
  <c r="U111" i="21"/>
  <c r="V56" i="21"/>
  <c r="U66" i="21"/>
  <c r="U111" i="20"/>
  <c r="V69" i="20"/>
  <c r="V56" i="19"/>
  <c r="U66" i="19"/>
  <c r="AB10" i="30"/>
  <c r="AB17" i="30"/>
  <c r="AC20" i="30"/>
  <c r="V111" i="17" l="1"/>
  <c r="V66" i="17"/>
  <c r="W97" i="17"/>
  <c r="X12" i="21"/>
  <c r="W97" i="19"/>
  <c r="X83" i="21"/>
  <c r="X29" i="19"/>
  <c r="X39" i="19" s="1"/>
  <c r="X83" i="17"/>
  <c r="X29" i="17"/>
  <c r="X39" i="17" s="1"/>
  <c r="X83" i="19"/>
  <c r="X83" i="48"/>
  <c r="X42" i="21"/>
  <c r="X97" i="21" s="1"/>
  <c r="X29" i="48"/>
  <c r="X39" i="48" s="1"/>
  <c r="W97" i="20"/>
  <c r="X83" i="20"/>
  <c r="Y2" i="48"/>
  <c r="Y12" i="48" s="1"/>
  <c r="Y2" i="17"/>
  <c r="Y12" i="17" s="1"/>
  <c r="Y2" i="21"/>
  <c r="Y29" i="21" s="1"/>
  <c r="Y39" i="21" s="1"/>
  <c r="Y15" i="21"/>
  <c r="Y15" i="17"/>
  <c r="Y42" i="17" s="1"/>
  <c r="Y15" i="19"/>
  <c r="Y2" i="19"/>
  <c r="Y12" i="19" s="1"/>
  <c r="Y15" i="20"/>
  <c r="Y42" i="20" s="1"/>
  <c r="Y15" i="48"/>
  <c r="Y2" i="20"/>
  <c r="Y12" i="20" s="1"/>
  <c r="X29" i="20"/>
  <c r="X39" i="20" s="1"/>
  <c r="X12" i="20"/>
  <c r="X42" i="19"/>
  <c r="X42" i="48"/>
  <c r="V66" i="48"/>
  <c r="W56" i="48"/>
  <c r="W69" i="48"/>
  <c r="V111" i="48"/>
  <c r="W56" i="21"/>
  <c r="V66" i="21"/>
  <c r="V66" i="20"/>
  <c r="W56" i="20"/>
  <c r="V66" i="19"/>
  <c r="W56" i="19"/>
  <c r="V111" i="21"/>
  <c r="W69" i="21"/>
  <c r="W69" i="20"/>
  <c r="V111" i="20"/>
  <c r="V111" i="19"/>
  <c r="W69" i="19"/>
  <c r="X69" i="17"/>
  <c r="W111" i="17"/>
  <c r="W66" i="17"/>
  <c r="X56" i="17"/>
  <c r="X97" i="17"/>
  <c r="AC17" i="30"/>
  <c r="AC10" i="30"/>
  <c r="AD20" i="30"/>
  <c r="Y83" i="48" l="1"/>
  <c r="X97" i="19"/>
  <c r="Y83" i="21"/>
  <c r="Y12" i="21"/>
  <c r="X97" i="20"/>
  <c r="Y83" i="19"/>
  <c r="Y42" i="19"/>
  <c r="X97" i="48"/>
  <c r="Y42" i="21"/>
  <c r="Y97" i="21" s="1"/>
  <c r="Y42" i="48"/>
  <c r="Y29" i="48"/>
  <c r="Y39" i="48" s="1"/>
  <c r="Y29" i="20"/>
  <c r="Y39" i="20" s="1"/>
  <c r="Y29" i="17"/>
  <c r="Y39" i="17" s="1"/>
  <c r="Y83" i="17"/>
  <c r="Y83" i="20"/>
  <c r="Y29" i="19"/>
  <c r="Y39" i="19" s="1"/>
  <c r="Z2" i="48"/>
  <c r="Z12" i="48" s="1"/>
  <c r="Z2" i="20"/>
  <c r="Z12" i="20" s="1"/>
  <c r="Z15" i="21"/>
  <c r="Z42" i="21" s="1"/>
  <c r="Z15" i="20"/>
  <c r="Z2" i="17"/>
  <c r="Z12" i="17" s="1"/>
  <c r="Z15" i="48"/>
  <c r="Z2" i="19"/>
  <c r="Z29" i="19" s="1"/>
  <c r="Z39" i="19" s="1"/>
  <c r="Z15" i="19"/>
  <c r="Z15" i="17"/>
  <c r="Z42" i="17" s="1"/>
  <c r="Z2" i="21"/>
  <c r="Z12" i="21" s="1"/>
  <c r="X69" i="48"/>
  <c r="W111" i="48"/>
  <c r="X56" i="48"/>
  <c r="W66" i="48"/>
  <c r="Y97" i="20"/>
  <c r="X56" i="21"/>
  <c r="W66" i="21"/>
  <c r="W111" i="19"/>
  <c r="X69" i="19"/>
  <c r="W66" i="19"/>
  <c r="X56" i="19"/>
  <c r="X69" i="20"/>
  <c r="W111" i="20"/>
  <c r="W111" i="21"/>
  <c r="X69" i="21"/>
  <c r="W66" i="20"/>
  <c r="X56" i="20"/>
  <c r="Y69" i="17"/>
  <c r="X111" i="17"/>
  <c r="Y56" i="17"/>
  <c r="X66" i="17"/>
  <c r="AD10" i="30"/>
  <c r="AD17" i="30"/>
  <c r="AE20" i="30"/>
  <c r="Z83" i="19" l="1"/>
  <c r="Y97" i="48"/>
  <c r="Y97" i="19"/>
  <c r="Z12" i="19"/>
  <c r="Z29" i="17"/>
  <c r="Z39" i="17" s="1"/>
  <c r="Y97" i="17"/>
  <c r="Z42" i="19"/>
  <c r="Z97" i="19" s="1"/>
  <c r="Z29" i="48"/>
  <c r="Z39" i="48" s="1"/>
  <c r="Z83" i="48"/>
  <c r="Z29" i="21"/>
  <c r="Z39" i="21" s="1"/>
  <c r="Z83" i="21"/>
  <c r="Z83" i="17"/>
  <c r="Z29" i="20"/>
  <c r="Z39" i="20" s="1"/>
  <c r="Z83" i="20"/>
  <c r="Z42" i="48"/>
  <c r="Z42" i="20"/>
  <c r="AA15" i="17"/>
  <c r="AA42" i="17" s="1"/>
  <c r="AA15" i="19"/>
  <c r="AA42" i="19" s="1"/>
  <c r="AA2" i="17"/>
  <c r="AA12" i="17" s="1"/>
  <c r="AA2" i="19"/>
  <c r="AA12" i="19" s="1"/>
  <c r="AA2" i="20"/>
  <c r="AA29" i="20" s="1"/>
  <c r="AA39" i="20" s="1"/>
  <c r="AA15" i="20"/>
  <c r="AA2" i="21"/>
  <c r="AA12" i="21" s="1"/>
  <c r="AA15" i="21"/>
  <c r="AA15" i="48"/>
  <c r="AA42" i="48" s="1"/>
  <c r="AA2" i="48"/>
  <c r="AA12" i="48" s="1"/>
  <c r="Y56" i="48"/>
  <c r="X66" i="48"/>
  <c r="X111" i="48"/>
  <c r="Y69" i="48"/>
  <c r="X66" i="21"/>
  <c r="Y56" i="21"/>
  <c r="X66" i="20"/>
  <c r="Y56" i="20"/>
  <c r="Y69" i="20"/>
  <c r="X111" i="20"/>
  <c r="Y56" i="19"/>
  <c r="X66" i="19"/>
  <c r="X111" i="21"/>
  <c r="Y69" i="21"/>
  <c r="X111" i="19"/>
  <c r="Y69" i="19"/>
  <c r="Y111" i="17"/>
  <c r="Z69" i="17"/>
  <c r="Z97" i="17"/>
  <c r="AA29" i="17"/>
  <c r="AA39" i="17" s="1"/>
  <c r="Y66" i="17"/>
  <c r="Z56" i="17"/>
  <c r="AE10" i="30"/>
  <c r="AE17" i="30"/>
  <c r="AF20" i="30"/>
  <c r="AA83" i="21" l="1"/>
  <c r="Z97" i="48"/>
  <c r="Z97" i="21"/>
  <c r="AA29" i="21"/>
  <c r="AA39" i="21" s="1"/>
  <c r="AA42" i="21"/>
  <c r="AA83" i="17"/>
  <c r="AA83" i="19"/>
  <c r="AA83" i="20"/>
  <c r="AA12" i="20"/>
  <c r="AA83" i="48"/>
  <c r="Z97" i="20"/>
  <c r="AA29" i="48"/>
  <c r="AA39" i="48" s="1"/>
  <c r="AA42" i="20"/>
  <c r="AA29" i="19"/>
  <c r="AA39" i="19" s="1"/>
  <c r="AB2" i="21"/>
  <c r="AB29" i="21" s="1"/>
  <c r="AB39" i="21" s="1"/>
  <c r="AB15" i="48"/>
  <c r="AB42" i="48" s="1"/>
  <c r="AB2" i="19"/>
  <c r="AB12" i="19" s="1"/>
  <c r="AB2" i="20"/>
  <c r="AB15" i="21"/>
  <c r="AB2" i="17"/>
  <c r="AB29" i="17" s="1"/>
  <c r="AB39" i="17" s="1"/>
  <c r="AB2" i="48"/>
  <c r="AB29" i="48" s="1"/>
  <c r="AB39" i="48" s="1"/>
  <c r="AB15" i="19"/>
  <c r="AB42" i="19" s="1"/>
  <c r="AB15" i="17"/>
  <c r="AB42" i="17" s="1"/>
  <c r="AB15" i="20"/>
  <c r="AB42" i="20" s="1"/>
  <c r="Y111" i="48"/>
  <c r="Z69" i="48"/>
  <c r="Z56" i="48"/>
  <c r="Y66" i="48"/>
  <c r="Y66" i="21"/>
  <c r="Z56" i="21"/>
  <c r="Y66" i="19"/>
  <c r="Z56" i="19"/>
  <c r="AA97" i="20"/>
  <c r="Y111" i="21"/>
  <c r="Z69" i="21"/>
  <c r="Y111" i="20"/>
  <c r="Z69" i="20"/>
  <c r="Y66" i="20"/>
  <c r="Z56" i="20"/>
  <c r="Z69" i="19"/>
  <c r="Y111" i="19"/>
  <c r="Z111" i="17"/>
  <c r="AA69" i="17"/>
  <c r="AA97" i="17"/>
  <c r="AA56" i="17"/>
  <c r="Z66" i="17"/>
  <c r="AF17" i="30"/>
  <c r="AF10" i="30"/>
  <c r="AG20" i="30"/>
  <c r="AA97" i="21" l="1"/>
  <c r="AA97" i="19"/>
  <c r="AA97" i="48"/>
  <c r="AB29" i="19"/>
  <c r="AB39" i="19" s="1"/>
  <c r="AB12" i="21"/>
  <c r="AB83" i="48"/>
  <c r="AB12" i="48"/>
  <c r="AB83" i="21"/>
  <c r="AB83" i="20"/>
  <c r="AB83" i="19"/>
  <c r="AB12" i="17"/>
  <c r="AB83" i="17"/>
  <c r="AB42" i="21"/>
  <c r="AB97" i="21" s="1"/>
  <c r="AC2" i="20"/>
  <c r="AC29" i="20" s="1"/>
  <c r="AC39" i="20" s="1"/>
  <c r="AC15" i="21"/>
  <c r="AC15" i="17"/>
  <c r="AC15" i="19"/>
  <c r="AC15" i="20"/>
  <c r="AC2" i="17"/>
  <c r="AC12" i="17" s="1"/>
  <c r="AC15" i="48"/>
  <c r="AC42" i="48" s="1"/>
  <c r="AC2" i="19"/>
  <c r="AC12" i="19" s="1"/>
  <c r="AC2" i="48"/>
  <c r="AC2" i="21"/>
  <c r="AC12" i="21" s="1"/>
  <c r="AB29" i="20"/>
  <c r="AB39" i="20" s="1"/>
  <c r="AB12" i="20"/>
  <c r="AB97" i="48"/>
  <c r="Z111" i="48"/>
  <c r="AA69" i="48"/>
  <c r="AA56" i="48"/>
  <c r="Z66" i="48"/>
  <c r="Z111" i="21"/>
  <c r="AA69" i="21"/>
  <c r="AA56" i="20"/>
  <c r="Z66" i="20"/>
  <c r="AA69" i="20"/>
  <c r="Z111" i="20"/>
  <c r="Z66" i="19"/>
  <c r="AA56" i="19"/>
  <c r="Z66" i="21"/>
  <c r="AA56" i="21"/>
  <c r="AA69" i="19"/>
  <c r="Z111" i="19"/>
  <c r="AA66" i="17"/>
  <c r="AB56" i="17"/>
  <c r="AA111" i="17"/>
  <c r="AB69" i="17"/>
  <c r="AB97" i="17"/>
  <c r="AH20" i="30"/>
  <c r="AG17" i="30"/>
  <c r="AG10" i="30"/>
  <c r="AB97" i="19" l="1"/>
  <c r="AC83" i="48"/>
  <c r="AC29" i="19"/>
  <c r="AC39" i="19" s="1"/>
  <c r="AC83" i="20"/>
  <c r="AC12" i="20"/>
  <c r="AC29" i="48"/>
  <c r="AC39" i="48" s="1"/>
  <c r="AC83" i="19"/>
  <c r="AC29" i="17"/>
  <c r="AC39" i="17" s="1"/>
  <c r="AC12" i="48"/>
  <c r="AC83" i="17"/>
  <c r="AC83" i="21"/>
  <c r="AC42" i="21"/>
  <c r="AD2" i="21"/>
  <c r="AD12" i="21" s="1"/>
  <c r="AD2" i="48"/>
  <c r="AD12" i="48" s="1"/>
  <c r="AD15" i="21"/>
  <c r="AD15" i="19"/>
  <c r="AD42" i="19" s="1"/>
  <c r="AD15" i="20"/>
  <c r="AD42" i="20" s="1"/>
  <c r="AD2" i="19"/>
  <c r="AD2" i="17"/>
  <c r="AD12" i="17" s="1"/>
  <c r="AD2" i="20"/>
  <c r="AD12" i="20" s="1"/>
  <c r="AD15" i="48"/>
  <c r="AD15" i="17"/>
  <c r="AD42" i="17" s="1"/>
  <c r="AC42" i="20"/>
  <c r="AC97" i="20" s="1"/>
  <c r="AC42" i="17"/>
  <c r="AC69" i="17" s="1"/>
  <c r="AC42" i="19"/>
  <c r="AC29" i="21"/>
  <c r="AC39" i="21" s="1"/>
  <c r="AB97" i="20"/>
  <c r="AA66" i="48"/>
  <c r="AB56" i="48"/>
  <c r="AA111" i="48"/>
  <c r="AB69" i="48"/>
  <c r="AB56" i="19"/>
  <c r="AA66" i="19"/>
  <c r="AA111" i="19"/>
  <c r="AB69" i="19"/>
  <c r="AB56" i="21"/>
  <c r="AA66" i="21"/>
  <c r="AA111" i="21"/>
  <c r="AB69" i="21"/>
  <c r="AA111" i="20"/>
  <c r="AB69" i="20"/>
  <c r="AA66" i="20"/>
  <c r="AB56" i="20"/>
  <c r="AB111" i="17"/>
  <c r="AB66" i="17"/>
  <c r="AH17" i="30"/>
  <c r="A17" i="30" s="1"/>
  <c r="A19" i="30" s="1"/>
  <c r="AH10" i="30"/>
  <c r="B10" i="30"/>
  <c r="AD83" i="21" l="1"/>
  <c r="AC97" i="48"/>
  <c r="AC97" i="19"/>
  <c r="AD83" i="48"/>
  <c r="AD42" i="48"/>
  <c r="AD29" i="21"/>
  <c r="AD39" i="21" s="1"/>
  <c r="AC56" i="17"/>
  <c r="AC66" i="17" s="1"/>
  <c r="AD42" i="21"/>
  <c r="AD29" i="48"/>
  <c r="AD39" i="48" s="1"/>
  <c r="AD83" i="19"/>
  <c r="AD29" i="19"/>
  <c r="AD39" i="19" s="1"/>
  <c r="AD12" i="19"/>
  <c r="AC97" i="17"/>
  <c r="AD83" i="20"/>
  <c r="AE2" i="20"/>
  <c r="AE29" i="20" s="1"/>
  <c r="AE39" i="20" s="1"/>
  <c r="AE15" i="20"/>
  <c r="AE42" i="20" s="1"/>
  <c r="AE15" i="21"/>
  <c r="AE2" i="17"/>
  <c r="AE12" i="17" s="1"/>
  <c r="AE2" i="21"/>
  <c r="AE12" i="21" s="1"/>
  <c r="AE15" i="17"/>
  <c r="AE2" i="48"/>
  <c r="AE12" i="48" s="1"/>
  <c r="AE15" i="48"/>
  <c r="AE42" i="48" s="1"/>
  <c r="AE15" i="19"/>
  <c r="AE2" i="19"/>
  <c r="AE12" i="19" s="1"/>
  <c r="AC97" i="21"/>
  <c r="AD83" i="17"/>
  <c r="AD29" i="20"/>
  <c r="AD39" i="20" s="1"/>
  <c r="AD29" i="17"/>
  <c r="AD39" i="17" s="1"/>
  <c r="AC69" i="48"/>
  <c r="AB111" i="48"/>
  <c r="AC56" i="48"/>
  <c r="AB66" i="48"/>
  <c r="AB66" i="21"/>
  <c r="AC56" i="21"/>
  <c r="AC69" i="19"/>
  <c r="AB111" i="19"/>
  <c r="AB66" i="19"/>
  <c r="AC56" i="19"/>
  <c r="AC56" i="20"/>
  <c r="AB66" i="20"/>
  <c r="AC69" i="20"/>
  <c r="AB111" i="20"/>
  <c r="AB111" i="21"/>
  <c r="AC69" i="21"/>
  <c r="AD69" i="17"/>
  <c r="B82" i="14"/>
  <c r="C82" i="13"/>
  <c r="B82" i="13"/>
  <c r="C82" i="14"/>
  <c r="B82" i="11"/>
  <c r="B123" i="11" s="1"/>
  <c r="C82" i="11"/>
  <c r="B17" i="30"/>
  <c r="B19" i="30" s="1"/>
  <c r="AL13" i="27"/>
  <c r="AM13" i="27" s="1"/>
  <c r="AE12" i="20" l="1"/>
  <c r="AD97" i="21"/>
  <c r="AC111" i="17"/>
  <c r="AE29" i="21"/>
  <c r="AE39" i="21" s="1"/>
  <c r="AE29" i="17"/>
  <c r="AE39" i="17" s="1"/>
  <c r="AD97" i="48"/>
  <c r="AE83" i="17"/>
  <c r="AD56" i="17"/>
  <c r="AD111" i="17" s="1"/>
  <c r="AE42" i="17"/>
  <c r="AE69" i="17" s="1"/>
  <c r="AD97" i="19"/>
  <c r="AE83" i="19"/>
  <c r="AE42" i="19"/>
  <c r="AE83" i="21"/>
  <c r="AE42" i="21"/>
  <c r="AE97" i="21" s="1"/>
  <c r="AE83" i="20"/>
  <c r="AE83" i="48"/>
  <c r="AD97" i="20"/>
  <c r="AE29" i="48"/>
  <c r="AE39" i="48" s="1"/>
  <c r="AD97" i="17"/>
  <c r="AE29" i="19"/>
  <c r="AE39" i="19" s="1"/>
  <c r="C123" i="11"/>
  <c r="D123" i="11" s="1"/>
  <c r="C119" i="11"/>
  <c r="C121" i="11" s="1"/>
  <c r="AF12" i="48"/>
  <c r="AF29" i="48"/>
  <c r="AF39" i="48" s="1"/>
  <c r="AD56" i="48"/>
  <c r="AC66" i="48"/>
  <c r="AD69" i="48"/>
  <c r="AC111" i="48"/>
  <c r="AF83" i="48"/>
  <c r="AF42" i="48"/>
  <c r="AE97" i="20"/>
  <c r="AF12" i="21"/>
  <c r="AF29" i="21"/>
  <c r="AF39" i="21" s="1"/>
  <c r="AF83" i="21"/>
  <c r="AF42" i="21"/>
  <c r="AF83" i="20"/>
  <c r="AF42" i="20"/>
  <c r="AC111" i="19"/>
  <c r="AD69" i="19"/>
  <c r="AF83" i="19"/>
  <c r="AF42" i="19"/>
  <c r="C123" i="14"/>
  <c r="C126" i="14" s="1"/>
  <c r="C119" i="14"/>
  <c r="C121" i="14" s="1"/>
  <c r="B123" i="13"/>
  <c r="B119" i="13"/>
  <c r="B121" i="13" s="1"/>
  <c r="AC111" i="21"/>
  <c r="AD69" i="21"/>
  <c r="AC111" i="20"/>
  <c r="AD69" i="20"/>
  <c r="AF12" i="20"/>
  <c r="AF29" i="20"/>
  <c r="AF39" i="20" s="1"/>
  <c r="AC66" i="20"/>
  <c r="AD56" i="20"/>
  <c r="AD56" i="19"/>
  <c r="AC66" i="19"/>
  <c r="C123" i="13"/>
  <c r="C126" i="13" s="1"/>
  <c r="C119" i="13"/>
  <c r="B119" i="14"/>
  <c r="B121" i="14" s="1"/>
  <c r="B123" i="14"/>
  <c r="AF12" i="19"/>
  <c r="AF29" i="19"/>
  <c r="AF39" i="19" s="1"/>
  <c r="AC66" i="21"/>
  <c r="AD56" i="21"/>
  <c r="AF12" i="17"/>
  <c r="AF29" i="17"/>
  <c r="AF39" i="17" s="1"/>
  <c r="AF83" i="17"/>
  <c r="AF42" i="17"/>
  <c r="D82" i="13"/>
  <c r="F7" i="15"/>
  <c r="J7" i="15"/>
  <c r="B7" i="15"/>
  <c r="D82" i="14"/>
  <c r="H7" i="15"/>
  <c r="AD8" i="27"/>
  <c r="AG8" i="27"/>
  <c r="AD48" i="27"/>
  <c r="AG48" i="27"/>
  <c r="AD26" i="27"/>
  <c r="AG26" i="27"/>
  <c r="AD24" i="27"/>
  <c r="AG24" i="27"/>
  <c r="AD37" i="27"/>
  <c r="AG37" i="27"/>
  <c r="AD17" i="27"/>
  <c r="AG17" i="27"/>
  <c r="AD38" i="27"/>
  <c r="AG38" i="27"/>
  <c r="AD50" i="27"/>
  <c r="AG50" i="27"/>
  <c r="AD20" i="27"/>
  <c r="AG20" i="27"/>
  <c r="AD51" i="27"/>
  <c r="AG51" i="27"/>
  <c r="AD33" i="27"/>
  <c r="AG33" i="27"/>
  <c r="AD49" i="27"/>
  <c r="AG49" i="27"/>
  <c r="AD14" i="27"/>
  <c r="AG14" i="27"/>
  <c r="AD42" i="27"/>
  <c r="AG42" i="27"/>
  <c r="AD16" i="27"/>
  <c r="AG16" i="27"/>
  <c r="AD27" i="27"/>
  <c r="AG27" i="27"/>
  <c r="AD11" i="27"/>
  <c r="AG11" i="27"/>
  <c r="AD39" i="27"/>
  <c r="AG39" i="27"/>
  <c r="AD46" i="27"/>
  <c r="AG46" i="27"/>
  <c r="AD12" i="27"/>
  <c r="AG12" i="27"/>
  <c r="AD52" i="27"/>
  <c r="AG52" i="27"/>
  <c r="AD30" i="27"/>
  <c r="AG30" i="27"/>
  <c r="AD23" i="27"/>
  <c r="AG23" i="27"/>
  <c r="G7" i="15"/>
  <c r="K7" i="15"/>
  <c r="C7" i="15"/>
  <c r="AD53" i="27"/>
  <c r="AG53" i="27"/>
  <c r="AD10" i="27"/>
  <c r="AG10" i="27"/>
  <c r="AD28" i="27"/>
  <c r="AG28" i="27"/>
  <c r="AD44" i="27"/>
  <c r="AG44" i="27"/>
  <c r="AD6" i="27"/>
  <c r="AG6" i="27"/>
  <c r="AD7" i="27"/>
  <c r="AG7" i="27"/>
  <c r="AD29" i="27"/>
  <c r="AG29" i="27"/>
  <c r="AD18" i="27"/>
  <c r="AG18" i="27"/>
  <c r="AD15" i="27"/>
  <c r="AG15" i="27"/>
  <c r="AD13" i="27"/>
  <c r="AG13" i="27"/>
  <c r="AD22" i="27"/>
  <c r="AG22" i="27"/>
  <c r="AD4" i="27"/>
  <c r="AG4" i="27"/>
  <c r="AD19" i="27"/>
  <c r="AG19" i="27"/>
  <c r="AD25" i="27"/>
  <c r="AG25" i="27"/>
  <c r="D82" i="11"/>
  <c r="I7" i="15"/>
  <c r="AD35" i="27"/>
  <c r="AG35" i="27"/>
  <c r="AD36" i="27"/>
  <c r="AG36" i="27"/>
  <c r="AD3" i="27"/>
  <c r="AG3" i="27"/>
  <c r="AD32" i="27"/>
  <c r="AG32" i="27"/>
  <c r="AD9" i="27"/>
  <c r="AG9" i="27"/>
  <c r="AD31" i="27"/>
  <c r="AG31" i="27"/>
  <c r="AD43" i="27"/>
  <c r="AG43" i="27"/>
  <c r="AD47" i="27"/>
  <c r="AG47" i="27"/>
  <c r="AD34" i="27"/>
  <c r="AG34" i="27"/>
  <c r="AD45" i="27"/>
  <c r="AG45" i="27"/>
  <c r="AD41" i="27"/>
  <c r="AG41" i="27"/>
  <c r="AD40" i="27"/>
  <c r="AG40" i="27"/>
  <c r="AD21" i="27"/>
  <c r="AG21" i="27"/>
  <c r="AD5" i="27"/>
  <c r="AG5" i="27"/>
  <c r="AE97" i="17" l="1"/>
  <c r="AD66" i="17"/>
  <c r="AE56" i="17"/>
  <c r="AF56" i="17" s="1"/>
  <c r="AE97" i="48"/>
  <c r="AE97" i="19"/>
  <c r="AD55" i="27"/>
  <c r="C121" i="13"/>
  <c r="AD111" i="48"/>
  <c r="AE69" i="48"/>
  <c r="AF97" i="48"/>
  <c r="AE56" i="48"/>
  <c r="AD66" i="48"/>
  <c r="D123" i="14"/>
  <c r="D126" i="14" s="1"/>
  <c r="B126" i="14"/>
  <c r="AF97" i="19"/>
  <c r="D123" i="13"/>
  <c r="D126" i="13" s="1"/>
  <c r="B126" i="13"/>
  <c r="AF97" i="21"/>
  <c r="AD111" i="20"/>
  <c r="AE69" i="20"/>
  <c r="AD66" i="21"/>
  <c r="AE56" i="21"/>
  <c r="AE69" i="19"/>
  <c r="AD111" i="19"/>
  <c r="AD66" i="19"/>
  <c r="AE56" i="19"/>
  <c r="AD111" i="21"/>
  <c r="AE69" i="21"/>
  <c r="AD66" i="20"/>
  <c r="AE56" i="20"/>
  <c r="AF97" i="20"/>
  <c r="AE66" i="17"/>
  <c r="AF97" i="17"/>
  <c r="AF69" i="17"/>
  <c r="Q7" i="15"/>
  <c r="O7" i="15"/>
  <c r="P7" i="15"/>
  <c r="M7" i="15"/>
  <c r="AE111" i="17" l="1"/>
  <c r="AF69" i="48"/>
  <c r="AE111" i="48"/>
  <c r="AF56" i="48"/>
  <c r="AE66" i="48"/>
  <c r="AE66" i="21"/>
  <c r="AF56" i="21"/>
  <c r="AE111" i="20"/>
  <c r="AF69" i="20"/>
  <c r="AF56" i="20"/>
  <c r="AE66" i="20"/>
  <c r="AE111" i="19"/>
  <c r="AF69" i="19"/>
  <c r="AE66" i="19"/>
  <c r="AF56" i="19"/>
  <c r="AF69" i="21"/>
  <c r="AE111" i="21"/>
  <c r="AF111" i="17"/>
  <c r="AG69" i="17"/>
  <c r="AF66" i="17"/>
  <c r="AG56" i="17"/>
  <c r="AG69" i="48" l="1"/>
  <c r="AF111" i="48"/>
  <c r="AG56" i="48"/>
  <c r="AF66" i="48"/>
  <c r="AF111" i="20"/>
  <c r="AG69" i="20"/>
  <c r="AF111" i="21"/>
  <c r="AG69" i="21"/>
  <c r="AG56" i="19"/>
  <c r="AF66" i="19"/>
  <c r="AF111" i="19"/>
  <c r="AG69" i="19"/>
  <c r="AF66" i="21"/>
  <c r="AG56" i="21"/>
  <c r="AF66" i="20"/>
  <c r="AG56" i="20"/>
  <c r="AH69" i="17"/>
  <c r="AG111" i="17"/>
  <c r="AH56" i="17"/>
  <c r="AG66" i="17"/>
  <c r="AG66" i="48" l="1"/>
  <c r="AH56" i="48"/>
  <c r="AG111" i="48"/>
  <c r="AH69" i="48"/>
  <c r="AH56" i="20"/>
  <c r="AG66" i="20"/>
  <c r="AH56" i="21"/>
  <c r="AG66" i="21"/>
  <c r="AH69" i="19"/>
  <c r="AG111" i="19"/>
  <c r="AH69" i="20"/>
  <c r="AG111" i="20"/>
  <c r="AG66" i="19"/>
  <c r="AH56" i="19"/>
  <c r="AH69" i="21"/>
  <c r="AG111" i="21"/>
  <c r="AI56" i="17"/>
  <c r="AH66" i="17"/>
  <c r="AI69" i="17"/>
  <c r="AH111" i="17"/>
  <c r="AI69" i="48" l="1"/>
  <c r="AH111" i="48"/>
  <c r="AI56" i="48"/>
  <c r="AH66" i="48"/>
  <c r="AH111" i="20"/>
  <c r="AI69" i="20"/>
  <c r="AH111" i="19"/>
  <c r="AI69" i="19"/>
  <c r="AH66" i="21"/>
  <c r="AI56" i="21"/>
  <c r="AI69" i="21"/>
  <c r="AH111" i="21"/>
  <c r="AH66" i="19"/>
  <c r="AI56" i="19"/>
  <c r="AI56" i="20"/>
  <c r="AH66" i="20"/>
  <c r="AI111" i="17"/>
  <c r="AI66" i="17"/>
  <c r="AI66" i="48" l="1"/>
  <c r="AI111" i="48"/>
  <c r="AI111" i="19"/>
  <c r="AI66" i="19"/>
  <c r="AI111" i="20"/>
  <c r="AI66" i="21"/>
  <c r="AI66" i="20"/>
  <c r="AI111" i="21"/>
  <c r="D107" i="14" l="1"/>
  <c r="D107" i="13" l="1"/>
  <c r="J16" i="15" l="1"/>
  <c r="J21" i="15" s="1"/>
  <c r="F16" i="15"/>
  <c r="F21" i="15" s="1"/>
  <c r="B16" i="15"/>
  <c r="B21" i="15" s="1"/>
  <c r="D106" i="14" l="1"/>
  <c r="C16" i="15"/>
  <c r="G16" i="15"/>
  <c r="G21" i="15" s="1"/>
  <c r="D106" i="13"/>
  <c r="K16" i="15"/>
  <c r="K21" i="15" l="1"/>
  <c r="K23" i="15" s="1"/>
  <c r="C21" i="15"/>
  <c r="M21" i="15" s="1"/>
  <c r="AI124" i="19" s="1"/>
  <c r="D119" i="13"/>
  <c r="D121" i="13" s="1"/>
  <c r="E106" i="13"/>
  <c r="E121" i="13" s="1"/>
  <c r="E106" i="14"/>
  <c r="E121" i="14" s="1"/>
  <c r="D119" i="14"/>
  <c r="D121" i="14" s="1"/>
  <c r="G23" i="15"/>
  <c r="O16" i="15"/>
  <c r="M16" i="15"/>
  <c r="Q16" i="15"/>
  <c r="F23" i="15"/>
  <c r="J23" i="15"/>
  <c r="Q21" i="15"/>
  <c r="AI124" i="20" s="1"/>
  <c r="B23" i="15"/>
  <c r="C23" i="15" l="1"/>
  <c r="M23" i="15" s="1"/>
  <c r="AI123" i="19" s="1"/>
  <c r="Q23" i="15"/>
  <c r="AI123" i="20" s="1"/>
  <c r="O21" i="15"/>
  <c r="O23" i="15"/>
  <c r="D107" i="11"/>
  <c r="AI123" i="21" l="1"/>
  <c r="AI124" i="21"/>
  <c r="C124" i="11"/>
  <c r="C126" i="11" s="1"/>
  <c r="I16" i="15"/>
  <c r="B119" i="11"/>
  <c r="B121" i="11" s="1"/>
  <c r="B124" i="11"/>
  <c r="H16" i="15"/>
  <c r="D106" i="11"/>
  <c r="H21" i="15" l="1"/>
  <c r="I21" i="15"/>
  <c r="H23" i="15"/>
  <c r="D119" i="11"/>
  <c r="D121" i="11" s="1"/>
  <c r="E106" i="11"/>
  <c r="E121" i="11" s="1"/>
  <c r="B126" i="11"/>
  <c r="D124" i="11"/>
  <c r="D126" i="11" s="1"/>
  <c r="P16" i="15"/>
  <c r="I23" i="15" l="1"/>
  <c r="P21" i="15"/>
  <c r="AG18" i="42"/>
  <c r="AG21" i="42" s="1"/>
  <c r="AF13" i="42"/>
  <c r="AF14" i="42" s="1"/>
  <c r="AF17" i="42"/>
  <c r="AX17" i="42"/>
  <c r="AF18" i="42"/>
  <c r="AF21" i="42" s="1"/>
  <c r="AM17" i="42"/>
  <c r="AM13" i="42"/>
  <c r="W18" i="42"/>
  <c r="W21" i="42" s="1"/>
  <c r="BB17" i="42"/>
  <c r="V17" i="42"/>
  <c r="V13" i="42"/>
  <c r="V14" i="42" s="1"/>
  <c r="AU18" i="42"/>
  <c r="AU21" i="42" s="1"/>
  <c r="V18" i="42"/>
  <c r="V21" i="42" s="1"/>
  <c r="BA17" i="42"/>
  <c r="U13" i="42"/>
  <c r="U14" i="42" s="1"/>
  <c r="U17" i="42"/>
  <c r="AC18" i="42"/>
  <c r="AC21" i="42" s="1"/>
  <c r="M18" i="42"/>
  <c r="M21" i="42" s="1"/>
  <c r="AZ17" i="42"/>
  <c r="T17" i="42"/>
  <c r="T13" i="42"/>
  <c r="T14" i="42" s="1"/>
  <c r="AE18" i="42"/>
  <c r="AE21" i="42" s="1"/>
  <c r="AQ18" i="42"/>
  <c r="AQ21" i="42" s="1"/>
  <c r="K18" i="42"/>
  <c r="K21" i="42" s="1"/>
  <c r="J18" i="42"/>
  <c r="J21" i="42" s="1"/>
  <c r="AG17" i="42"/>
  <c r="AG13" i="42"/>
  <c r="AG14" i="42" s="1"/>
  <c r="AH16" i="42"/>
  <c r="AS17" i="42"/>
  <c r="AS13" i="42"/>
  <c r="N16" i="42"/>
  <c r="AZ16" i="42"/>
  <c r="M16" i="42"/>
  <c r="AE16" i="42"/>
  <c r="P16" i="42"/>
  <c r="T16" i="42"/>
  <c r="AB16" i="42"/>
  <c r="AT16" i="42"/>
  <c r="J16" i="42"/>
  <c r="Y18" i="42"/>
  <c r="Y21" i="42" s="1"/>
  <c r="X17" i="42"/>
  <c r="X13" i="42"/>
  <c r="X14" i="42" s="1"/>
  <c r="AI13" i="42"/>
  <c r="AI14" i="42" s="1"/>
  <c r="AI17" i="42"/>
  <c r="X18" i="42"/>
  <c r="X21" i="42" s="1"/>
  <c r="AO18" i="42"/>
  <c r="AO21" i="42" s="1"/>
  <c r="Z13" i="42"/>
  <c r="Z14" i="42" s="1"/>
  <c r="Z17" i="42"/>
  <c r="O18" i="42"/>
  <c r="O21" i="42" s="1"/>
  <c r="AT18" i="42"/>
  <c r="AT21" i="42" s="1"/>
  <c r="AR17" i="42"/>
  <c r="AR13" i="42"/>
  <c r="AP17" i="42"/>
  <c r="AP13" i="42"/>
  <c r="AX18" i="42"/>
  <c r="AX21" i="42" s="1"/>
  <c r="AH18" i="42"/>
  <c r="AH21" i="42" s="1"/>
  <c r="AY16" i="42"/>
  <c r="Z16" i="42"/>
  <c r="AI16" i="42"/>
  <c r="I16" i="42"/>
  <c r="AN16" i="42"/>
  <c r="X16" i="42"/>
  <c r="U16" i="42"/>
  <c r="K16" i="42"/>
  <c r="AK16" i="42"/>
  <c r="Y16" i="42"/>
  <c r="Q18" i="42"/>
  <c r="Q21" i="42" s="1"/>
  <c r="AV17" i="42"/>
  <c r="AR18" i="42"/>
  <c r="AR21" i="42" s="1"/>
  <c r="AH13" i="42"/>
  <c r="AH14" i="42" s="1"/>
  <c r="AH17" i="42"/>
  <c r="P18" i="42"/>
  <c r="P21" i="42" s="1"/>
  <c r="AE17" i="42"/>
  <c r="AE13" i="42"/>
  <c r="AE14" i="42" s="1"/>
  <c r="AT17" i="42"/>
  <c r="N13" i="42"/>
  <c r="N14" i="42" s="1"/>
  <c r="N17" i="42"/>
  <c r="AL18" i="42"/>
  <c r="AL21" i="42" s="1"/>
  <c r="M17" i="42"/>
  <c r="M13" i="42"/>
  <c r="M14" i="42" s="1"/>
  <c r="AQ17" i="42"/>
  <c r="AQ13" i="42"/>
  <c r="AS18" i="42"/>
  <c r="AS21" i="42" s="1"/>
  <c r="AN18" i="42"/>
  <c r="AN21" i="42" s="1"/>
  <c r="L13" i="42"/>
  <c r="L14" i="42" s="1"/>
  <c r="L17" i="42"/>
  <c r="AA13" i="42"/>
  <c r="AA14" i="42" s="1"/>
  <c r="AA17" i="42"/>
  <c r="Z18" i="42"/>
  <c r="Z21" i="42" s="1"/>
  <c r="Y17" i="42"/>
  <c r="Y13" i="42"/>
  <c r="Y14" i="42" s="1"/>
  <c r="AY17" i="42"/>
  <c r="O16" i="42"/>
  <c r="AG16" i="42"/>
  <c r="BA16" i="42"/>
  <c r="AF16" i="42"/>
  <c r="AJ16" i="42"/>
  <c r="L16" i="42"/>
  <c r="AU17" i="42"/>
  <c r="AL16" i="42"/>
  <c r="BB16" i="42"/>
  <c r="AC16" i="42"/>
  <c r="H16" i="42"/>
  <c r="I18" i="42"/>
  <c r="I21" i="42" s="1"/>
  <c r="P17" i="42"/>
  <c r="P13" i="42"/>
  <c r="P14" i="42" s="1"/>
  <c r="K13" i="42"/>
  <c r="K14" i="42" s="1"/>
  <c r="K17" i="42"/>
  <c r="H18" i="42"/>
  <c r="S18" i="42"/>
  <c r="S21" i="42" s="1"/>
  <c r="AB18" i="42"/>
  <c r="AB21" i="42" s="1"/>
  <c r="N18" i="42"/>
  <c r="N21" i="42" s="1"/>
  <c r="U18" i="42"/>
  <c r="U21" i="42" s="1"/>
  <c r="AA18" i="42"/>
  <c r="AA21" i="42" s="1"/>
  <c r="AW17" i="42"/>
  <c r="W16" i="42"/>
  <c r="AW16" i="42"/>
  <c r="V16" i="42"/>
  <c r="Q16" i="42"/>
  <c r="AV16" i="42"/>
  <c r="R16" i="42"/>
  <c r="AD16" i="42"/>
  <c r="AO17" i="42"/>
  <c r="AO13" i="42"/>
  <c r="S16" i="42"/>
  <c r="AA16" i="42"/>
  <c r="AN17" i="42"/>
  <c r="AN13" i="42"/>
  <c r="R13" i="42"/>
  <c r="R14" i="42" s="1"/>
  <c r="R17" i="42"/>
  <c r="AV18" i="42"/>
  <c r="AV21" i="42" s="1"/>
  <c r="W17" i="42"/>
  <c r="W13" i="42"/>
  <c r="W14" i="42" s="1"/>
  <c r="AM18" i="42"/>
  <c r="AM21" i="42" s="1"/>
  <c r="AL17" i="42"/>
  <c r="AL13" i="42"/>
  <c r="AK17" i="42"/>
  <c r="AK13" i="42"/>
  <c r="AK14" i="42" s="1"/>
  <c r="AJ18" i="42"/>
  <c r="AJ21" i="42" s="1"/>
  <c r="AJ17" i="42"/>
  <c r="AJ13" i="42"/>
  <c r="AJ14" i="42" s="1"/>
  <c r="T18" i="42"/>
  <c r="T21" i="42" s="1"/>
  <c r="S17" i="42"/>
  <c r="S13" i="42"/>
  <c r="S14" i="42" s="1"/>
  <c r="J17" i="42"/>
  <c r="J13" i="42"/>
  <c r="J14" i="42" s="1"/>
  <c r="AP18" i="42"/>
  <c r="AP21" i="42" s="1"/>
  <c r="Q13" i="42"/>
  <c r="Q14" i="42" s="1"/>
  <c r="Q17" i="42"/>
  <c r="AS16" i="42"/>
  <c r="AI18" i="42"/>
  <c r="AI21" i="42" s="1"/>
  <c r="O13" i="42"/>
  <c r="O14" i="42" s="1"/>
  <c r="O17" i="42"/>
  <c r="AW18" i="42"/>
  <c r="AW21" i="42" s="1"/>
  <c r="AB13" i="42"/>
  <c r="AB14" i="42" s="1"/>
  <c r="AB17" i="42"/>
  <c r="R18" i="42"/>
  <c r="R21" i="42" s="1"/>
  <c r="I13" i="42"/>
  <c r="I14" i="42" s="1"/>
  <c r="I17" i="42"/>
  <c r="H13" i="42"/>
  <c r="H14" i="42" s="1"/>
  <c r="H17" i="42"/>
  <c r="AR16" i="42"/>
  <c r="AU16" i="42"/>
  <c r="AX16" i="42"/>
  <c r="AD13" i="42"/>
  <c r="AD14" i="42" s="1"/>
  <c r="AD17" i="42"/>
  <c r="AD18" i="42"/>
  <c r="AD21" i="42" s="1"/>
  <c r="AP16" i="42"/>
  <c r="AO16" i="42"/>
  <c r="L18" i="42"/>
  <c r="L21" i="42" s="1"/>
  <c r="AK18" i="42"/>
  <c r="AK21" i="42" s="1"/>
  <c r="AQ16" i="42"/>
  <c r="AM16" i="42"/>
  <c r="AC13" i="42"/>
  <c r="AC14" i="42" s="1"/>
  <c r="AC17" i="42"/>
  <c r="A17" i="42" l="1"/>
  <c r="A16" i="42"/>
  <c r="A14" i="42"/>
  <c r="H21" i="42"/>
  <c r="A18" i="42"/>
  <c r="B21" i="42"/>
  <c r="B14" i="42"/>
  <c r="P23" i="15"/>
  <c r="AI123" i="17" s="1"/>
  <c r="AI124" i="17"/>
  <c r="H43" i="21"/>
  <c r="H52" i="21" s="1"/>
  <c r="E25" i="20"/>
  <c r="AE16" i="17"/>
  <c r="AE25" i="17" s="1"/>
  <c r="AH25" i="20"/>
  <c r="R84" i="48"/>
  <c r="R93" i="48" s="1"/>
  <c r="R43" i="48"/>
  <c r="R25" i="48"/>
  <c r="S84" i="48"/>
  <c r="S93" i="48" s="1"/>
  <c r="S43" i="48"/>
  <c r="S25" i="48"/>
  <c r="X25" i="19"/>
  <c r="K16" i="17"/>
  <c r="K43" i="17" s="1"/>
  <c r="AG43" i="19"/>
  <c r="AD43" i="19"/>
  <c r="AB25" i="21"/>
  <c r="L43" i="19"/>
  <c r="P25" i="20"/>
  <c r="Z43" i="19"/>
  <c r="F43" i="21"/>
  <c r="F52" i="21" s="1"/>
  <c r="J43" i="20"/>
  <c r="I25" i="20"/>
  <c r="Y25" i="20"/>
  <c r="W25" i="21"/>
  <c r="AI84" i="20"/>
  <c r="AI93" i="20" s="1"/>
  <c r="G43" i="21"/>
  <c r="AF84" i="48"/>
  <c r="AF93" i="48" s="1"/>
  <c r="AF43" i="48"/>
  <c r="AF25" i="48"/>
  <c r="V25" i="20"/>
  <c r="AA25" i="20"/>
  <c r="AC25" i="21"/>
  <c r="T84" i="48"/>
  <c r="T93" i="48" s="1"/>
  <c r="T43" i="48"/>
  <c r="T25" i="48"/>
  <c r="M84" i="48"/>
  <c r="M93" i="48" s="1"/>
  <c r="M43" i="48"/>
  <c r="M25" i="48"/>
  <c r="N84" i="48"/>
  <c r="N93" i="48" s="1"/>
  <c r="N43" i="48"/>
  <c r="N25" i="48"/>
  <c r="Q84" i="20"/>
  <c r="Q93" i="20" s="1"/>
  <c r="U25" i="19"/>
  <c r="O25" i="19"/>
  <c r="I43" i="21"/>
  <c r="I52" i="21" s="1"/>
  <c r="AD43" i="21"/>
  <c r="AD52" i="21" s="1"/>
  <c r="AC25" i="19"/>
  <c r="Z16" i="17"/>
  <c r="Z43" i="17" s="1"/>
  <c r="Z52" i="17" s="1"/>
  <c r="U16" i="17"/>
  <c r="U43" i="17" s="1"/>
  <c r="U52" i="17" s="1"/>
  <c r="J43" i="21"/>
  <c r="Y25" i="19"/>
  <c r="O43" i="21"/>
  <c r="G43" i="19"/>
  <c r="G98" i="19" s="1"/>
  <c r="G107" i="19" s="1"/>
  <c r="X16" i="17"/>
  <c r="X25" i="17" s="1"/>
  <c r="Q16" i="17"/>
  <c r="Q25" i="17" s="1"/>
  <c r="AA84" i="19"/>
  <c r="AA93" i="19" s="1"/>
  <c r="Z84" i="21"/>
  <c r="Z93" i="21" s="1"/>
  <c r="I16" i="17"/>
  <c r="I43" i="17" s="1"/>
  <c r="V16" i="17"/>
  <c r="V43" i="17" s="1"/>
  <c r="V52" i="17" s="1"/>
  <c r="AB43" i="19"/>
  <c r="AB43" i="20"/>
  <c r="V43" i="19"/>
  <c r="W43" i="20"/>
  <c r="W52" i="20" s="1"/>
  <c r="U43" i="21"/>
  <c r="AC25" i="20"/>
  <c r="E16" i="17"/>
  <c r="E84" i="17" s="1"/>
  <c r="E93" i="17" s="1"/>
  <c r="E94" i="17" s="1"/>
  <c r="AF16" i="17"/>
  <c r="S16" i="17"/>
  <c r="M16" i="17"/>
  <c r="W84" i="21"/>
  <c r="W93" i="21" s="1"/>
  <c r="T16" i="17"/>
  <c r="L16" i="17"/>
  <c r="F16" i="17"/>
  <c r="AD16" i="17"/>
  <c r="N16" i="17"/>
  <c r="Y16" i="17"/>
  <c r="AH16" i="17"/>
  <c r="AB16" i="17"/>
  <c r="AA16" i="17"/>
  <c r="AI16" i="17"/>
  <c r="R16" i="17"/>
  <c r="AC43" i="21"/>
  <c r="W16" i="17"/>
  <c r="H16" i="17"/>
  <c r="AG16" i="17"/>
  <c r="G16" i="17"/>
  <c r="AC16" i="17"/>
  <c r="O16" i="17"/>
  <c r="J16" i="17"/>
  <c r="P16" i="17"/>
  <c r="B16" i="42"/>
  <c r="B17" i="42"/>
  <c r="B18" i="42"/>
  <c r="A19" i="42" l="1"/>
  <c r="O84" i="19"/>
  <c r="O93" i="19" s="1"/>
  <c r="AD25" i="19"/>
  <c r="V43" i="20"/>
  <c r="V52" i="20" s="1"/>
  <c r="AC84" i="21"/>
  <c r="AC93" i="21" s="1"/>
  <c r="V25" i="17"/>
  <c r="V84" i="20"/>
  <c r="V93" i="20" s="1"/>
  <c r="K25" i="17"/>
  <c r="J84" i="20"/>
  <c r="J93" i="20" s="1"/>
  <c r="L84" i="19"/>
  <c r="L93" i="19" s="1"/>
  <c r="J25" i="20"/>
  <c r="L25" i="19"/>
  <c r="H98" i="21"/>
  <c r="H107" i="21" s="1"/>
  <c r="AC84" i="19"/>
  <c r="AC93" i="19" s="1"/>
  <c r="W43" i="21"/>
  <c r="W52" i="21" s="1"/>
  <c r="H84" i="21"/>
  <c r="H93" i="21" s="1"/>
  <c r="K84" i="17"/>
  <c r="K93" i="17" s="1"/>
  <c r="H25" i="21"/>
  <c r="P43" i="20"/>
  <c r="P52" i="20" s="1"/>
  <c r="I43" i="20"/>
  <c r="I52" i="20" s="1"/>
  <c r="J84" i="21"/>
  <c r="J93" i="21" s="1"/>
  <c r="I84" i="17"/>
  <c r="I93" i="17" s="1"/>
  <c r="U84" i="19"/>
  <c r="U93" i="19" s="1"/>
  <c r="I84" i="20"/>
  <c r="I93" i="20" s="1"/>
  <c r="AI25" i="20"/>
  <c r="P84" i="20"/>
  <c r="P93" i="20" s="1"/>
  <c r="AG84" i="19"/>
  <c r="AG93" i="19" s="1"/>
  <c r="U43" i="19"/>
  <c r="U52" i="19" s="1"/>
  <c r="U98" i="17"/>
  <c r="U107" i="17" s="1"/>
  <c r="AG25" i="19"/>
  <c r="E43" i="20"/>
  <c r="E52" i="20" s="1"/>
  <c r="AC84" i="20"/>
  <c r="AC93" i="20" s="1"/>
  <c r="E84" i="20"/>
  <c r="E93" i="20" s="1"/>
  <c r="AC43" i="20"/>
  <c r="AC52" i="20" s="1"/>
  <c r="U84" i="17"/>
  <c r="U93" i="17" s="1"/>
  <c r="AI43" i="20"/>
  <c r="AI52" i="20" s="1"/>
  <c r="U25" i="17"/>
  <c r="J25" i="21"/>
  <c r="AA84" i="20"/>
  <c r="AA93" i="20" s="1"/>
  <c r="AA43" i="20"/>
  <c r="AA98" i="20" s="1"/>
  <c r="AA107" i="20" s="1"/>
  <c r="I25" i="17"/>
  <c r="Z43" i="21"/>
  <c r="Z52" i="21" s="1"/>
  <c r="Z25" i="21"/>
  <c r="V84" i="17"/>
  <c r="V93" i="17" s="1"/>
  <c r="Z25" i="19"/>
  <c r="AD84" i="19"/>
  <c r="AD93" i="19" s="1"/>
  <c r="Q43" i="20"/>
  <c r="Q52" i="20" s="1"/>
  <c r="AC43" i="19"/>
  <c r="AC98" i="19" s="1"/>
  <c r="AC107" i="19" s="1"/>
  <c r="Q25" i="20"/>
  <c r="G84" i="21"/>
  <c r="G93" i="21" s="1"/>
  <c r="AE43" i="17"/>
  <c r="AE52" i="17" s="1"/>
  <c r="G25" i="21"/>
  <c r="Z84" i="19"/>
  <c r="Z93" i="19" s="1"/>
  <c r="Z84" i="17"/>
  <c r="Z93" i="17" s="1"/>
  <c r="Z98" i="17"/>
  <c r="Z107" i="17" s="1"/>
  <c r="X84" i="19"/>
  <c r="X93" i="19" s="1"/>
  <c r="AE84" i="17"/>
  <c r="AE93" i="17" s="1"/>
  <c r="O43" i="19"/>
  <c r="O52" i="19" s="1"/>
  <c r="Z25" i="17"/>
  <c r="Y43" i="19"/>
  <c r="Y52" i="19" s="1"/>
  <c r="Y84" i="19"/>
  <c r="Y93" i="19" s="1"/>
  <c r="X43" i="19"/>
  <c r="X98" i="19" s="1"/>
  <c r="X107" i="19" s="1"/>
  <c r="I84" i="21"/>
  <c r="I93" i="21" s="1"/>
  <c r="AB43" i="21"/>
  <c r="AB52" i="21" s="1"/>
  <c r="I25" i="21"/>
  <c r="AB84" i="21"/>
  <c r="AB93" i="21" s="1"/>
  <c r="I98" i="21"/>
  <c r="I107" i="21" s="1"/>
  <c r="Y84" i="20"/>
  <c r="Y93" i="20" s="1"/>
  <c r="F98" i="21"/>
  <c r="F107" i="21" s="1"/>
  <c r="Y43" i="20"/>
  <c r="Y52" i="20" s="1"/>
  <c r="G52" i="19"/>
  <c r="AH84" i="20"/>
  <c r="AH93" i="20" s="1"/>
  <c r="F84" i="21"/>
  <c r="F93" i="21" s="1"/>
  <c r="AH43" i="20"/>
  <c r="AH52" i="20" s="1"/>
  <c r="F25" i="21"/>
  <c r="AD84" i="21"/>
  <c r="AD93" i="21" s="1"/>
  <c r="F84" i="48"/>
  <c r="F93" i="48" s="1"/>
  <c r="F43" i="48"/>
  <c r="F25" i="48"/>
  <c r="AD25" i="21"/>
  <c r="N98" i="48"/>
  <c r="N107" i="48" s="1"/>
  <c r="N52" i="48"/>
  <c r="AC84" i="48"/>
  <c r="AC93" i="48" s="1"/>
  <c r="AC43" i="48"/>
  <c r="AC25" i="48"/>
  <c r="AF98" i="48"/>
  <c r="AF107" i="48" s="1"/>
  <c r="AF52" i="48"/>
  <c r="O84" i="48"/>
  <c r="O93" i="48" s="1"/>
  <c r="O43" i="48"/>
  <c r="O25" i="48"/>
  <c r="G84" i="48"/>
  <c r="G93" i="48" s="1"/>
  <c r="G43" i="48"/>
  <c r="G25" i="48"/>
  <c r="Z84" i="48"/>
  <c r="Z93" i="48" s="1"/>
  <c r="Z43" i="48"/>
  <c r="Z25" i="48"/>
  <c r="AD84" i="48"/>
  <c r="AD93" i="48" s="1"/>
  <c r="AD43" i="48"/>
  <c r="AD25" i="48"/>
  <c r="AE84" i="48"/>
  <c r="AE93" i="48" s="1"/>
  <c r="AE43" i="48"/>
  <c r="AE25" i="48"/>
  <c r="X84" i="48"/>
  <c r="X93" i="48" s="1"/>
  <c r="X43" i="48"/>
  <c r="X25" i="48"/>
  <c r="AA84" i="48"/>
  <c r="AA93" i="48" s="1"/>
  <c r="AA43" i="48"/>
  <c r="AA25" i="48"/>
  <c r="S98" i="48"/>
  <c r="S107" i="48" s="1"/>
  <c r="S52" i="48"/>
  <c r="AH84" i="48"/>
  <c r="AH93" i="48" s="1"/>
  <c r="AH43" i="48"/>
  <c r="AH25" i="48"/>
  <c r="AD98" i="21"/>
  <c r="AD107" i="21" s="1"/>
  <c r="U84" i="48"/>
  <c r="U93" i="48" s="1"/>
  <c r="U43" i="48"/>
  <c r="U25" i="48"/>
  <c r="M98" i="48"/>
  <c r="M107" i="48" s="1"/>
  <c r="M52" i="48"/>
  <c r="AI84" i="48"/>
  <c r="AI93" i="48" s="1"/>
  <c r="AI43" i="48"/>
  <c r="AI25" i="48"/>
  <c r="I84" i="48"/>
  <c r="I93" i="48" s="1"/>
  <c r="I43" i="48"/>
  <c r="I25" i="48"/>
  <c r="P84" i="48"/>
  <c r="P93" i="48" s="1"/>
  <c r="P43" i="48"/>
  <c r="P25" i="48"/>
  <c r="AG84" i="48"/>
  <c r="AG93" i="48" s="1"/>
  <c r="AG43" i="48"/>
  <c r="AG25" i="48"/>
  <c r="E84" i="48"/>
  <c r="E93" i="48" s="1"/>
  <c r="E43" i="48"/>
  <c r="E25" i="48"/>
  <c r="AB84" i="48"/>
  <c r="AB93" i="48" s="1"/>
  <c r="AB43" i="48"/>
  <c r="AB25" i="48"/>
  <c r="V84" i="48"/>
  <c r="V93" i="48" s="1"/>
  <c r="V43" i="48"/>
  <c r="V25" i="48"/>
  <c r="Q84" i="48"/>
  <c r="Q93" i="48" s="1"/>
  <c r="Q43" i="48"/>
  <c r="Q25" i="48"/>
  <c r="W84" i="48"/>
  <c r="W93" i="48" s="1"/>
  <c r="W43" i="48"/>
  <c r="W25" i="48"/>
  <c r="J84" i="48"/>
  <c r="J93" i="48" s="1"/>
  <c r="J43" i="48"/>
  <c r="J25" i="48"/>
  <c r="L84" i="48"/>
  <c r="L93" i="48" s="1"/>
  <c r="L43" i="48"/>
  <c r="L25" i="48"/>
  <c r="K84" i="48"/>
  <c r="K93" i="48" s="1"/>
  <c r="K43" i="48"/>
  <c r="K25" i="48"/>
  <c r="R98" i="48"/>
  <c r="R107" i="48" s="1"/>
  <c r="R52" i="48"/>
  <c r="H84" i="48"/>
  <c r="H93" i="48" s="1"/>
  <c r="H43" i="48"/>
  <c r="H25" i="48"/>
  <c r="Y84" i="48"/>
  <c r="Y93" i="48" s="1"/>
  <c r="Y43" i="48"/>
  <c r="Y25" i="48"/>
  <c r="T98" i="48"/>
  <c r="T107" i="48" s="1"/>
  <c r="T52" i="48"/>
  <c r="AB84" i="19"/>
  <c r="AB93" i="19" s="1"/>
  <c r="AB25" i="19"/>
  <c r="O84" i="21"/>
  <c r="O93" i="21" s="1"/>
  <c r="O25" i="21"/>
  <c r="X84" i="17"/>
  <c r="X93" i="17" s="1"/>
  <c r="X43" i="17"/>
  <c r="X98" i="17" s="1"/>
  <c r="X107" i="17" s="1"/>
  <c r="G25" i="19"/>
  <c r="G84" i="19"/>
  <c r="G93" i="19" s="1"/>
  <c r="AA43" i="19"/>
  <c r="AA52" i="19" s="1"/>
  <c r="AA25" i="19"/>
  <c r="Q43" i="17"/>
  <c r="Q52" i="17" s="1"/>
  <c r="W84" i="20"/>
  <c r="W93" i="20" s="1"/>
  <c r="Q84" i="17"/>
  <c r="Q93" i="17" s="1"/>
  <c r="W25" i="20"/>
  <c r="W98" i="20"/>
  <c r="W107" i="20" s="1"/>
  <c r="AB25" i="20"/>
  <c r="AB84" i="20"/>
  <c r="AB93" i="20" s="1"/>
  <c r="V25" i="19"/>
  <c r="V84" i="19"/>
  <c r="V93" i="19" s="1"/>
  <c r="E43" i="17"/>
  <c r="E52" i="17" s="1"/>
  <c r="E25" i="17"/>
  <c r="V98" i="17"/>
  <c r="V107" i="17" s="1"/>
  <c r="U25" i="21"/>
  <c r="U84" i="21"/>
  <c r="U93" i="21" s="1"/>
  <c r="B19" i="42"/>
  <c r="U25" i="20"/>
  <c r="U84" i="20"/>
  <c r="U93" i="20" s="1"/>
  <c r="U43" i="20"/>
  <c r="G25" i="17"/>
  <c r="G43" i="17"/>
  <c r="G84" i="17"/>
  <c r="G93" i="17" s="1"/>
  <c r="AB52" i="20"/>
  <c r="AB98" i="20"/>
  <c r="AB107" i="20" s="1"/>
  <c r="K43" i="20"/>
  <c r="K25" i="20"/>
  <c r="K84" i="20"/>
  <c r="K93" i="20" s="1"/>
  <c r="R25" i="17"/>
  <c r="R43" i="17"/>
  <c r="R84" i="17"/>
  <c r="R93" i="17" s="1"/>
  <c r="AH25" i="17"/>
  <c r="AH43" i="17"/>
  <c r="AH84" i="17"/>
  <c r="AH93" i="17" s="1"/>
  <c r="N84" i="19"/>
  <c r="N93" i="19" s="1"/>
  <c r="N43" i="19"/>
  <c r="N25" i="19"/>
  <c r="Z52" i="19"/>
  <c r="Z98" i="19"/>
  <c r="Z107" i="19" s="1"/>
  <c r="S25" i="21"/>
  <c r="S84" i="21"/>
  <c r="S93" i="21" s="1"/>
  <c r="S43" i="21"/>
  <c r="AF25" i="17"/>
  <c r="AF43" i="17"/>
  <c r="AF84" i="17"/>
  <c r="AF93" i="17" s="1"/>
  <c r="S25" i="20"/>
  <c r="S84" i="20"/>
  <c r="S93" i="20" s="1"/>
  <c r="S43" i="20"/>
  <c r="P25" i="21"/>
  <c r="P84" i="21"/>
  <c r="P93" i="21" s="1"/>
  <c r="P43" i="21"/>
  <c r="AG25" i="21"/>
  <c r="AG43" i="21"/>
  <c r="AG84" i="21"/>
  <c r="AG93" i="21" s="1"/>
  <c r="I52" i="17"/>
  <c r="I98" i="17"/>
  <c r="I107" i="17" s="1"/>
  <c r="R84" i="21"/>
  <c r="R93" i="21" s="1"/>
  <c r="R43" i="21"/>
  <c r="R25" i="21"/>
  <c r="X25" i="21"/>
  <c r="X43" i="21"/>
  <c r="X84" i="21"/>
  <c r="X93" i="21" s="1"/>
  <c r="AH25" i="21"/>
  <c r="AH43" i="21"/>
  <c r="AH84" i="21"/>
  <c r="AH93" i="21" s="1"/>
  <c r="AD25" i="17"/>
  <c r="AD84" i="17"/>
  <c r="AD93" i="17" s="1"/>
  <c r="AD43" i="17"/>
  <c r="G52" i="21"/>
  <c r="G98" i="21"/>
  <c r="G107" i="21" s="1"/>
  <c r="E84" i="21"/>
  <c r="E93" i="21" s="1"/>
  <c r="E25" i="21"/>
  <c r="E43" i="21"/>
  <c r="T25" i="21"/>
  <c r="T84" i="21"/>
  <c r="T93" i="21" s="1"/>
  <c r="T43" i="21"/>
  <c r="S43" i="17"/>
  <c r="S84" i="17"/>
  <c r="S93" i="17" s="1"/>
  <c r="S25" i="17"/>
  <c r="AF84" i="19"/>
  <c r="AF93" i="19" s="1"/>
  <c r="AF25" i="19"/>
  <c r="AF43" i="19"/>
  <c r="J25" i="19"/>
  <c r="J43" i="19"/>
  <c r="J84" i="19"/>
  <c r="J93" i="19" s="1"/>
  <c r="H25" i="19"/>
  <c r="H84" i="19"/>
  <c r="H93" i="19" s="1"/>
  <c r="H43" i="19"/>
  <c r="X25" i="20"/>
  <c r="X84" i="20"/>
  <c r="X93" i="20" s="1"/>
  <c r="X43" i="20"/>
  <c r="K25" i="19"/>
  <c r="K43" i="19"/>
  <c r="K84" i="19"/>
  <c r="K93" i="19" s="1"/>
  <c r="AB25" i="17"/>
  <c r="AB43" i="17"/>
  <c r="AB84" i="17"/>
  <c r="AB93" i="17" s="1"/>
  <c r="O98" i="21"/>
  <c r="O107" i="21" s="1"/>
  <c r="O52" i="21"/>
  <c r="Y25" i="17"/>
  <c r="Y43" i="17"/>
  <c r="Y84" i="17"/>
  <c r="Y93" i="17" s="1"/>
  <c r="V84" i="21"/>
  <c r="V93" i="21" s="1"/>
  <c r="V25" i="21"/>
  <c r="V43" i="21"/>
  <c r="L43" i="21"/>
  <c r="L84" i="21"/>
  <c r="L93" i="21" s="1"/>
  <c r="L25" i="21"/>
  <c r="T25" i="17"/>
  <c r="T43" i="17"/>
  <c r="T84" i="17"/>
  <c r="T93" i="17" s="1"/>
  <c r="S25" i="19"/>
  <c r="S43" i="19"/>
  <c r="S84" i="19"/>
  <c r="S93" i="19" s="1"/>
  <c r="AF25" i="20"/>
  <c r="AF43" i="20"/>
  <c r="AF84" i="20"/>
  <c r="AF93" i="20" s="1"/>
  <c r="AD25" i="20"/>
  <c r="AD84" i="20"/>
  <c r="AD93" i="20" s="1"/>
  <c r="AD43" i="20"/>
  <c r="H25" i="17"/>
  <c r="H43" i="17"/>
  <c r="H84" i="17"/>
  <c r="H93" i="17" s="1"/>
  <c r="L25" i="20"/>
  <c r="L84" i="20"/>
  <c r="L93" i="20" s="1"/>
  <c r="L43" i="20"/>
  <c r="Z25" i="20"/>
  <c r="Z84" i="20"/>
  <c r="Z93" i="20" s="1"/>
  <c r="Z43" i="20"/>
  <c r="K25" i="21"/>
  <c r="K84" i="21"/>
  <c r="K93" i="21" s="1"/>
  <c r="K43" i="21"/>
  <c r="Y25" i="21"/>
  <c r="Y43" i="21"/>
  <c r="Y84" i="21"/>
  <c r="Y93" i="21" s="1"/>
  <c r="U52" i="21"/>
  <c r="U98" i="21"/>
  <c r="U107" i="21" s="1"/>
  <c r="L25" i="17"/>
  <c r="L43" i="17"/>
  <c r="L84" i="17"/>
  <c r="L93" i="17" s="1"/>
  <c r="T25" i="19"/>
  <c r="T84" i="19"/>
  <c r="T93" i="19" s="1"/>
  <c r="T43" i="19"/>
  <c r="L52" i="19"/>
  <c r="L98" i="19"/>
  <c r="L107" i="19" s="1"/>
  <c r="M25" i="20"/>
  <c r="M84" i="20"/>
  <c r="M93" i="20" s="1"/>
  <c r="M43" i="20"/>
  <c r="AB52" i="19"/>
  <c r="AB98" i="19"/>
  <c r="AB107" i="19" s="1"/>
  <c r="AF25" i="21"/>
  <c r="AF84" i="21"/>
  <c r="AF93" i="21" s="1"/>
  <c r="AF43" i="21"/>
  <c r="O25" i="20"/>
  <c r="O43" i="20"/>
  <c r="O84" i="20"/>
  <c r="O93" i="20" s="1"/>
  <c r="N43" i="20"/>
  <c r="N25" i="20"/>
  <c r="N84" i="20"/>
  <c r="N93" i="20" s="1"/>
  <c r="AG52" i="19"/>
  <c r="AG98" i="19"/>
  <c r="AG107" i="19" s="1"/>
  <c r="J25" i="17"/>
  <c r="J43" i="17"/>
  <c r="J84" i="17"/>
  <c r="J93" i="17" s="1"/>
  <c r="I43" i="19"/>
  <c r="I25" i="19"/>
  <c r="I84" i="19"/>
  <c r="I93" i="19" s="1"/>
  <c r="AG84" i="20"/>
  <c r="AG93" i="20" s="1"/>
  <c r="AG25" i="20"/>
  <c r="AG43" i="20"/>
  <c r="H25" i="20"/>
  <c r="H84" i="20"/>
  <c r="H93" i="20" s="1"/>
  <c r="H43" i="20"/>
  <c r="AI43" i="19"/>
  <c r="AI25" i="19"/>
  <c r="AI84" i="19"/>
  <c r="AI93" i="19" s="1"/>
  <c r="AA25" i="17"/>
  <c r="AA84" i="17"/>
  <c r="AA93" i="17" s="1"/>
  <c r="AA43" i="17"/>
  <c r="E25" i="19"/>
  <c r="E43" i="19"/>
  <c r="E84" i="19"/>
  <c r="E93" i="19" s="1"/>
  <c r="F43" i="20"/>
  <c r="F84" i="20"/>
  <c r="F93" i="20" s="1"/>
  <c r="F25" i="20"/>
  <c r="J98" i="20"/>
  <c r="J107" i="20" s="1"/>
  <c r="J52" i="20"/>
  <c r="V52" i="19"/>
  <c r="V98" i="19"/>
  <c r="V107" i="19" s="1"/>
  <c r="T25" i="20"/>
  <c r="T43" i="20"/>
  <c r="T84" i="20"/>
  <c r="T93" i="20" s="1"/>
  <c r="M43" i="19"/>
  <c r="M25" i="19"/>
  <c r="M84" i="19"/>
  <c r="M93" i="19" s="1"/>
  <c r="R25" i="20"/>
  <c r="R43" i="20"/>
  <c r="R84" i="20"/>
  <c r="R93" i="20" s="1"/>
  <c r="AH43" i="19"/>
  <c r="AH84" i="19"/>
  <c r="AH93" i="19" s="1"/>
  <c r="AH25" i="19"/>
  <c r="AE25" i="21"/>
  <c r="AE43" i="21"/>
  <c r="AE84" i="21"/>
  <c r="AE93" i="21" s="1"/>
  <c r="O25" i="17"/>
  <c r="O84" i="17"/>
  <c r="O93" i="17" s="1"/>
  <c r="O43" i="17"/>
  <c r="AG25" i="17"/>
  <c r="AG43" i="17"/>
  <c r="AG84" i="17"/>
  <c r="AG93" i="17" s="1"/>
  <c r="W84" i="17"/>
  <c r="W93" i="17" s="1"/>
  <c r="W25" i="17"/>
  <c r="W43" i="17"/>
  <c r="AC52" i="21"/>
  <c r="AC98" i="21"/>
  <c r="AC107" i="21" s="1"/>
  <c r="AI25" i="17"/>
  <c r="AI84" i="17"/>
  <c r="AI93" i="17" s="1"/>
  <c r="AI43" i="17"/>
  <c r="AE25" i="20"/>
  <c r="AE84" i="20"/>
  <c r="AE93" i="20" s="1"/>
  <c r="AE43" i="20"/>
  <c r="K52" i="17"/>
  <c r="K98" i="17"/>
  <c r="K107" i="17" s="1"/>
  <c r="N25" i="17"/>
  <c r="N43" i="17"/>
  <c r="N84" i="17"/>
  <c r="N93" i="17" s="1"/>
  <c r="F43" i="19"/>
  <c r="F25" i="19"/>
  <c r="F84" i="19"/>
  <c r="F93" i="19" s="1"/>
  <c r="Q25" i="19"/>
  <c r="Q84" i="19"/>
  <c r="Q93" i="19" s="1"/>
  <c r="Q43" i="19"/>
  <c r="AD52" i="19"/>
  <c r="AD98" i="19"/>
  <c r="AD107" i="19" s="1"/>
  <c r="M43" i="21"/>
  <c r="M25" i="21"/>
  <c r="M84" i="21"/>
  <c r="M93" i="21" s="1"/>
  <c r="G84" i="20"/>
  <c r="G93" i="20" s="1"/>
  <c r="G25" i="20"/>
  <c r="G43" i="20"/>
  <c r="P84" i="17"/>
  <c r="P93" i="17" s="1"/>
  <c r="P43" i="17"/>
  <c r="P25" i="17"/>
  <c r="AC25" i="17"/>
  <c r="AC43" i="17"/>
  <c r="AC84" i="17"/>
  <c r="AC93" i="17" s="1"/>
  <c r="P84" i="19"/>
  <c r="P93" i="19" s="1"/>
  <c r="P25" i="19"/>
  <c r="P43" i="19"/>
  <c r="W25" i="19"/>
  <c r="W84" i="19"/>
  <c r="W93" i="19" s="1"/>
  <c r="W43" i="19"/>
  <c r="R43" i="19"/>
  <c r="R25" i="19"/>
  <c r="R84" i="19"/>
  <c r="R93" i="19" s="1"/>
  <c r="AI25" i="21"/>
  <c r="AI84" i="21"/>
  <c r="AI93" i="21" s="1"/>
  <c r="AI43" i="21"/>
  <c r="AA25" i="21"/>
  <c r="AA43" i="21"/>
  <c r="AA84" i="21"/>
  <c r="AA93" i="21" s="1"/>
  <c r="AE25" i="19"/>
  <c r="AE84" i="19"/>
  <c r="AE93" i="19" s="1"/>
  <c r="AE43" i="19"/>
  <c r="N43" i="21"/>
  <c r="N25" i="21"/>
  <c r="N84" i="21"/>
  <c r="N93" i="21" s="1"/>
  <c r="F25" i="17"/>
  <c r="F43" i="17"/>
  <c r="F84" i="17"/>
  <c r="F93" i="17" s="1"/>
  <c r="F94" i="17" s="1"/>
  <c r="J98" i="21"/>
  <c r="J107" i="21" s="1"/>
  <c r="J52" i="21"/>
  <c r="Q43" i="21"/>
  <c r="Q25" i="21"/>
  <c r="Q84" i="21"/>
  <c r="Q93" i="21" s="1"/>
  <c r="M25" i="17"/>
  <c r="M84" i="17"/>
  <c r="M93" i="17" s="1"/>
  <c r="M43" i="17"/>
  <c r="V98" i="20" l="1"/>
  <c r="V107" i="20" s="1"/>
  <c r="X52" i="19"/>
  <c r="G94" i="17"/>
  <c r="H94" i="17" s="1"/>
  <c r="I94" i="17" s="1"/>
  <c r="J94" i="17" s="1"/>
  <c r="K94" i="17" s="1"/>
  <c r="L94" i="17" s="1"/>
  <c r="M94" i="17" s="1"/>
  <c r="N94" i="17" s="1"/>
  <c r="O94" i="17" s="1"/>
  <c r="P94" i="17" s="1"/>
  <c r="Q94" i="17" s="1"/>
  <c r="R94" i="17" s="1"/>
  <c r="S94" i="17" s="1"/>
  <c r="T94" i="17" s="1"/>
  <c r="U94" i="17" s="1"/>
  <c r="V94" i="17" s="1"/>
  <c r="W94" i="17" s="1"/>
  <c r="X94" i="17" s="1"/>
  <c r="Y94" i="17" s="1"/>
  <c r="Z94" i="17" s="1"/>
  <c r="AA94" i="17" s="1"/>
  <c r="AB94" i="17" s="1"/>
  <c r="AC94" i="17" s="1"/>
  <c r="AD94" i="17" s="1"/>
  <c r="AE94" i="17" s="1"/>
  <c r="AF94" i="17" s="1"/>
  <c r="AG94" i="17" s="1"/>
  <c r="AH94" i="17" s="1"/>
  <c r="AI94" i="17" s="1"/>
  <c r="P98" i="20"/>
  <c r="P107" i="20" s="1"/>
  <c r="Y98" i="19"/>
  <c r="Y107" i="19" s="1"/>
  <c r="E98" i="20"/>
  <c r="E107" i="20" s="1"/>
  <c r="I98" i="20"/>
  <c r="I107" i="20" s="1"/>
  <c r="E70" i="20"/>
  <c r="E79" i="20" s="1"/>
  <c r="W98" i="21"/>
  <c r="W107" i="21" s="1"/>
  <c r="Q98" i="20"/>
  <c r="Q107" i="20" s="1"/>
  <c r="AB98" i="21"/>
  <c r="AB107" i="21" s="1"/>
  <c r="Z98" i="21"/>
  <c r="Z107" i="21" s="1"/>
  <c r="AC98" i="20"/>
  <c r="AC107" i="20" s="1"/>
  <c r="AA52" i="20"/>
  <c r="X52" i="17"/>
  <c r="Y98" i="20"/>
  <c r="Y107" i="20" s="1"/>
  <c r="AC52" i="19"/>
  <c r="U98" i="19"/>
  <c r="U107" i="19" s="1"/>
  <c r="AI98" i="20"/>
  <c r="AI107" i="20" s="1"/>
  <c r="AE98" i="17"/>
  <c r="AE107" i="17" s="1"/>
  <c r="O98" i="19"/>
  <c r="O107" i="19" s="1"/>
  <c r="AA98" i="19"/>
  <c r="AA107" i="19" s="1"/>
  <c r="AH98" i="20"/>
  <c r="AH107" i="20" s="1"/>
  <c r="AH98" i="48"/>
  <c r="AH107" i="48" s="1"/>
  <c r="AH52" i="48"/>
  <c r="W98" i="48"/>
  <c r="W107" i="48" s="1"/>
  <c r="W52" i="48"/>
  <c r="AI98" i="48"/>
  <c r="AI107" i="48" s="1"/>
  <c r="AI52" i="48"/>
  <c r="G98" i="48"/>
  <c r="G107" i="48" s="1"/>
  <c r="G52" i="48"/>
  <c r="AC98" i="48"/>
  <c r="AC107" i="48" s="1"/>
  <c r="AC52" i="48"/>
  <c r="H98" i="48"/>
  <c r="H107" i="48" s="1"/>
  <c r="H52" i="48"/>
  <c r="L98" i="48"/>
  <c r="L107" i="48" s="1"/>
  <c r="L52" i="48"/>
  <c r="P98" i="48"/>
  <c r="P107" i="48" s="1"/>
  <c r="P52" i="48"/>
  <c r="Z98" i="48"/>
  <c r="Z107" i="48" s="1"/>
  <c r="Z52" i="48"/>
  <c r="Q98" i="48"/>
  <c r="Q107" i="48" s="1"/>
  <c r="Q52" i="48"/>
  <c r="O98" i="48"/>
  <c r="O107" i="48" s="1"/>
  <c r="O52" i="48"/>
  <c r="X98" i="48"/>
  <c r="X107" i="48" s="1"/>
  <c r="X52" i="48"/>
  <c r="E98" i="48"/>
  <c r="E107" i="48" s="1"/>
  <c r="E70" i="48"/>
  <c r="E52" i="48"/>
  <c r="AE98" i="48"/>
  <c r="AE107" i="48" s="1"/>
  <c r="AE52" i="48"/>
  <c r="J98" i="48"/>
  <c r="J107" i="48" s="1"/>
  <c r="J52" i="48"/>
  <c r="I98" i="48"/>
  <c r="I107" i="48" s="1"/>
  <c r="I52" i="48"/>
  <c r="U98" i="48"/>
  <c r="U107" i="48" s="1"/>
  <c r="U52" i="48"/>
  <c r="AB98" i="48"/>
  <c r="AB107" i="48" s="1"/>
  <c r="AB52" i="48"/>
  <c r="V98" i="48"/>
  <c r="V107" i="48" s="1"/>
  <c r="V52" i="48"/>
  <c r="AA98" i="48"/>
  <c r="AA107" i="48" s="1"/>
  <c r="AA52" i="48"/>
  <c r="F98" i="48"/>
  <c r="F107" i="48" s="1"/>
  <c r="F52" i="48"/>
  <c r="Y98" i="48"/>
  <c r="Y107" i="48" s="1"/>
  <c r="Y52" i="48"/>
  <c r="K98" i="48"/>
  <c r="K107" i="48" s="1"/>
  <c r="K52" i="48"/>
  <c r="AG98" i="48"/>
  <c r="AG107" i="48" s="1"/>
  <c r="AG52" i="48"/>
  <c r="AD98" i="48"/>
  <c r="AD107" i="48" s="1"/>
  <c r="AD52" i="48"/>
  <c r="Q98" i="17"/>
  <c r="Q107" i="17" s="1"/>
  <c r="E70" i="17"/>
  <c r="F70" i="17" s="1"/>
  <c r="E98" i="17"/>
  <c r="E107" i="17" s="1"/>
  <c r="O52" i="20"/>
  <c r="O98" i="20"/>
  <c r="O107" i="20" s="1"/>
  <c r="AF52" i="20"/>
  <c r="AF98" i="20"/>
  <c r="AF107" i="20" s="1"/>
  <c r="AI52" i="21"/>
  <c r="AI98" i="21"/>
  <c r="AI107" i="21" s="1"/>
  <c r="F52" i="19"/>
  <c r="F98" i="19"/>
  <c r="F107" i="19" s="1"/>
  <c r="AE52" i="21"/>
  <c r="AE98" i="21"/>
  <c r="AE107" i="21" s="1"/>
  <c r="E52" i="19"/>
  <c r="E98" i="19"/>
  <c r="E107" i="19" s="1"/>
  <c r="E70" i="19"/>
  <c r="Y52" i="21"/>
  <c r="Y98" i="21"/>
  <c r="Y107" i="21" s="1"/>
  <c r="V98" i="21"/>
  <c r="V107" i="21" s="1"/>
  <c r="V52" i="21"/>
  <c r="AG52" i="21"/>
  <c r="AG98" i="21"/>
  <c r="AG107" i="21" s="1"/>
  <c r="N52" i="19"/>
  <c r="N98" i="19"/>
  <c r="N107" i="19" s="1"/>
  <c r="R52" i="17"/>
  <c r="R98" i="17"/>
  <c r="R107" i="17" s="1"/>
  <c r="G98" i="17"/>
  <c r="G107" i="17" s="1"/>
  <c r="G52" i="17"/>
  <c r="J52" i="17"/>
  <c r="J98" i="17"/>
  <c r="J107" i="17" s="1"/>
  <c r="P52" i="19"/>
  <c r="P98" i="19"/>
  <c r="P107" i="19" s="1"/>
  <c r="P52" i="17"/>
  <c r="P98" i="17"/>
  <c r="P107" i="17" s="1"/>
  <c r="AI52" i="17"/>
  <c r="AI98" i="17"/>
  <c r="AI107" i="17" s="1"/>
  <c r="AF52" i="21"/>
  <c r="AF98" i="21"/>
  <c r="AF107" i="21" s="1"/>
  <c r="L98" i="17"/>
  <c r="L107" i="17" s="1"/>
  <c r="L52" i="17"/>
  <c r="T52" i="17"/>
  <c r="T98" i="17"/>
  <c r="T107" i="17" s="1"/>
  <c r="AB98" i="17"/>
  <c r="AB107" i="17" s="1"/>
  <c r="AB52" i="17"/>
  <c r="R52" i="21"/>
  <c r="R98" i="21"/>
  <c r="R107" i="21" s="1"/>
  <c r="AF52" i="17"/>
  <c r="AF98" i="17"/>
  <c r="AF107" i="17" s="1"/>
  <c r="Q52" i="21"/>
  <c r="Q98" i="21"/>
  <c r="Q107" i="21" s="1"/>
  <c r="AI52" i="19"/>
  <c r="AI98" i="19"/>
  <c r="AI107" i="19" s="1"/>
  <c r="Z52" i="20"/>
  <c r="Z98" i="20"/>
  <c r="Z107" i="20" s="1"/>
  <c r="AE98" i="19"/>
  <c r="AE107" i="19" s="1"/>
  <c r="AE52" i="19"/>
  <c r="N98" i="17"/>
  <c r="N107" i="17" s="1"/>
  <c r="N52" i="17"/>
  <c r="AG52" i="17"/>
  <c r="AG98" i="17"/>
  <c r="AG107" i="17" s="1"/>
  <c r="M52" i="19"/>
  <c r="M98" i="19"/>
  <c r="M107" i="19" s="1"/>
  <c r="AA52" i="17"/>
  <c r="AA98" i="17"/>
  <c r="AA107" i="17" s="1"/>
  <c r="H52" i="20"/>
  <c r="H98" i="20"/>
  <c r="H107" i="20" s="1"/>
  <c r="L52" i="20"/>
  <c r="L98" i="20"/>
  <c r="L107" i="20" s="1"/>
  <c r="S52" i="19"/>
  <c r="S98" i="19"/>
  <c r="S107" i="19" s="1"/>
  <c r="E52" i="21"/>
  <c r="E98" i="21"/>
  <c r="E107" i="21" s="1"/>
  <c r="E70" i="21"/>
  <c r="P52" i="21"/>
  <c r="P98" i="21"/>
  <c r="P107" i="21" s="1"/>
  <c r="N52" i="21"/>
  <c r="N98" i="21"/>
  <c r="N107" i="21" s="1"/>
  <c r="Q52" i="19"/>
  <c r="Q98" i="19"/>
  <c r="Q107" i="19" s="1"/>
  <c r="AD52" i="20"/>
  <c r="AD98" i="20"/>
  <c r="AD107" i="20" s="1"/>
  <c r="S52" i="17"/>
  <c r="S98" i="17"/>
  <c r="S107" i="17" s="1"/>
  <c r="AH52" i="21"/>
  <c r="AH98" i="21"/>
  <c r="AH107" i="21" s="1"/>
  <c r="S52" i="21"/>
  <c r="S98" i="21"/>
  <c r="S107" i="21" s="1"/>
  <c r="AH98" i="17"/>
  <c r="AH107" i="17" s="1"/>
  <c r="AH52" i="17"/>
  <c r="AD52" i="17"/>
  <c r="AD98" i="17"/>
  <c r="AD107" i="17" s="1"/>
  <c r="M98" i="21"/>
  <c r="M107" i="21" s="1"/>
  <c r="M52" i="21"/>
  <c r="O52" i="17"/>
  <c r="O98" i="17"/>
  <c r="O107" i="17" s="1"/>
  <c r="AH98" i="19"/>
  <c r="AH107" i="19" s="1"/>
  <c r="AH52" i="19"/>
  <c r="K52" i="21"/>
  <c r="K98" i="21"/>
  <c r="K107" i="21" s="1"/>
  <c r="Y52" i="17"/>
  <c r="Y98" i="17"/>
  <c r="Y107" i="17" s="1"/>
  <c r="K52" i="19"/>
  <c r="K98" i="19"/>
  <c r="K107" i="19" s="1"/>
  <c r="J52" i="19"/>
  <c r="J98" i="19"/>
  <c r="J107" i="19" s="1"/>
  <c r="K98" i="20"/>
  <c r="K107" i="20" s="1"/>
  <c r="K52" i="20"/>
  <c r="U52" i="20"/>
  <c r="U98" i="20"/>
  <c r="U107" i="20" s="1"/>
  <c r="T52" i="21"/>
  <c r="T98" i="21"/>
  <c r="T107" i="21" s="1"/>
  <c r="F52" i="17"/>
  <c r="F98" i="17"/>
  <c r="F107" i="17" s="1"/>
  <c r="AC52" i="17"/>
  <c r="AC98" i="17"/>
  <c r="AC107" i="17" s="1"/>
  <c r="AG98" i="20"/>
  <c r="AG107" i="20" s="1"/>
  <c r="AG52" i="20"/>
  <c r="I98" i="19"/>
  <c r="I107" i="19" s="1"/>
  <c r="I52" i="19"/>
  <c r="N52" i="20"/>
  <c r="N98" i="20"/>
  <c r="N107" i="20" s="1"/>
  <c r="T98" i="19"/>
  <c r="T107" i="19" s="1"/>
  <c r="T52" i="19"/>
  <c r="L98" i="21"/>
  <c r="L107" i="21" s="1"/>
  <c r="L52" i="21"/>
  <c r="H98" i="19"/>
  <c r="H107" i="19" s="1"/>
  <c r="H52" i="19"/>
  <c r="S52" i="20"/>
  <c r="S98" i="20"/>
  <c r="S107" i="20" s="1"/>
  <c r="R98" i="19"/>
  <c r="R107" i="19" s="1"/>
  <c r="R52" i="19"/>
  <c r="G52" i="20"/>
  <c r="G98" i="20"/>
  <c r="G107" i="20" s="1"/>
  <c r="M52" i="17"/>
  <c r="M98" i="17"/>
  <c r="M107" i="17" s="1"/>
  <c r="AA52" i="21"/>
  <c r="AA98" i="21"/>
  <c r="AA107" i="21" s="1"/>
  <c r="W52" i="19"/>
  <c r="W98" i="19"/>
  <c r="W107" i="19" s="1"/>
  <c r="AE52" i="20"/>
  <c r="AE98" i="20"/>
  <c r="AE107" i="20" s="1"/>
  <c r="W52" i="17"/>
  <c r="W98" i="17"/>
  <c r="W107" i="17" s="1"/>
  <c r="R52" i="20"/>
  <c r="R98" i="20"/>
  <c r="R107" i="20" s="1"/>
  <c r="T52" i="20"/>
  <c r="T98" i="20"/>
  <c r="T107" i="20" s="1"/>
  <c r="F52" i="20"/>
  <c r="F98" i="20"/>
  <c r="F107" i="20" s="1"/>
  <c r="M52" i="20"/>
  <c r="M98" i="20"/>
  <c r="M107" i="20" s="1"/>
  <c r="H52" i="17"/>
  <c r="H98" i="17"/>
  <c r="H107" i="17" s="1"/>
  <c r="X52" i="20"/>
  <c r="X98" i="20"/>
  <c r="X107" i="20" s="1"/>
  <c r="AF52" i="19"/>
  <c r="AF98" i="19"/>
  <c r="AF107" i="19" s="1"/>
  <c r="X52" i="21"/>
  <c r="X98" i="21"/>
  <c r="X107" i="21" s="1"/>
  <c r="E112" i="17" l="1"/>
  <c r="E121" i="17" s="1"/>
  <c r="E122" i="17" s="1"/>
  <c r="E112" i="20"/>
  <c r="E121" i="20" s="1"/>
  <c r="E122" i="20" s="1"/>
  <c r="F70" i="20"/>
  <c r="G70" i="20" s="1"/>
  <c r="E79" i="17"/>
  <c r="E112" i="48"/>
  <c r="E121" i="48" s="1"/>
  <c r="E122" i="48" s="1"/>
  <c r="F70" i="48"/>
  <c r="E79" i="48"/>
  <c r="F79" i="20"/>
  <c r="E79" i="19"/>
  <c r="E112" i="19"/>
  <c r="E121" i="19" s="1"/>
  <c r="E122" i="19" s="1"/>
  <c r="F70" i="19"/>
  <c r="E112" i="21"/>
  <c r="E121" i="21" s="1"/>
  <c r="E122" i="21" s="1"/>
  <c r="E79" i="21"/>
  <c r="F70" i="21"/>
  <c r="F79" i="17"/>
  <c r="F112" i="17"/>
  <c r="F121" i="17" s="1"/>
  <c r="F122" i="17" s="1"/>
  <c r="G70" i="17"/>
  <c r="F112" i="20" l="1"/>
  <c r="F121" i="20" s="1"/>
  <c r="F122" i="20" s="1"/>
  <c r="F112" i="48"/>
  <c r="F121" i="48" s="1"/>
  <c r="F122" i="48" s="1"/>
  <c r="G70" i="48"/>
  <c r="F79" i="48"/>
  <c r="G79" i="17"/>
  <c r="G112" i="17"/>
  <c r="G121" i="17" s="1"/>
  <c r="G122" i="17" s="1"/>
  <c r="H70" i="17"/>
  <c r="F79" i="19"/>
  <c r="G70" i="19"/>
  <c r="F112" i="19"/>
  <c r="F121" i="19" s="1"/>
  <c r="F122" i="19" s="1"/>
  <c r="G79" i="20"/>
  <c r="G112" i="20"/>
  <c r="G121" i="20" s="1"/>
  <c r="G122" i="20" s="1"/>
  <c r="H70" i="20"/>
  <c r="F79" i="21"/>
  <c r="F112" i="21"/>
  <c r="F121" i="21" s="1"/>
  <c r="F122" i="21" s="1"/>
  <c r="G70" i="21"/>
  <c r="G112" i="48" l="1"/>
  <c r="G121" i="48" s="1"/>
  <c r="G122" i="48" s="1"/>
  <c r="H70" i="48"/>
  <c r="G79" i="48"/>
  <c r="G79" i="21"/>
  <c r="G112" i="21"/>
  <c r="G121" i="21" s="1"/>
  <c r="G122" i="21" s="1"/>
  <c r="H70" i="21"/>
  <c r="G79" i="19"/>
  <c r="G112" i="19"/>
  <c r="G121" i="19" s="1"/>
  <c r="G122" i="19" s="1"/>
  <c r="H70" i="19"/>
  <c r="H112" i="17"/>
  <c r="H121" i="17" s="1"/>
  <c r="H122" i="17" s="1"/>
  <c r="H79" i="17"/>
  <c r="I70" i="17"/>
  <c r="H79" i="20"/>
  <c r="H112" i="20"/>
  <c r="H121" i="20" s="1"/>
  <c r="H122" i="20" s="1"/>
  <c r="I70" i="20"/>
  <c r="H112" i="48" l="1"/>
  <c r="H121" i="48" s="1"/>
  <c r="H122" i="48" s="1"/>
  <c r="I70" i="48"/>
  <c r="H79" i="48"/>
  <c r="H79" i="19"/>
  <c r="I70" i="19"/>
  <c r="H112" i="19"/>
  <c r="H121" i="19" s="1"/>
  <c r="H122" i="19" s="1"/>
  <c r="H79" i="21"/>
  <c r="H112" i="21"/>
  <c r="H121" i="21" s="1"/>
  <c r="H122" i="21" s="1"/>
  <c r="I70" i="21"/>
  <c r="I79" i="20"/>
  <c r="I112" i="20"/>
  <c r="I121" i="20" s="1"/>
  <c r="I122" i="20" s="1"/>
  <c r="J70" i="20"/>
  <c r="I112" i="17"/>
  <c r="I121" i="17" s="1"/>
  <c r="I122" i="17" s="1"/>
  <c r="I79" i="17"/>
  <c r="J70" i="17"/>
  <c r="I112" i="48" l="1"/>
  <c r="I121" i="48" s="1"/>
  <c r="I122" i="48" s="1"/>
  <c r="J70" i="48"/>
  <c r="I79" i="48"/>
  <c r="J79" i="17"/>
  <c r="J112" i="17"/>
  <c r="J121" i="17" s="1"/>
  <c r="J122" i="17" s="1"/>
  <c r="K70" i="17"/>
  <c r="I79" i="19"/>
  <c r="I112" i="19"/>
  <c r="I121" i="19" s="1"/>
  <c r="I122" i="19" s="1"/>
  <c r="J70" i="19"/>
  <c r="I79" i="21"/>
  <c r="I112" i="21"/>
  <c r="I121" i="21" s="1"/>
  <c r="I122" i="21" s="1"/>
  <c r="J70" i="21"/>
  <c r="J79" i="20"/>
  <c r="J112" i="20"/>
  <c r="J121" i="20" s="1"/>
  <c r="J122" i="20" s="1"/>
  <c r="K70" i="20"/>
  <c r="J112" i="48" l="1"/>
  <c r="J121" i="48" s="1"/>
  <c r="J122" i="48" s="1"/>
  <c r="K70" i="48"/>
  <c r="J79" i="48"/>
  <c r="K79" i="20"/>
  <c r="L70" i="20"/>
  <c r="K112" i="20"/>
  <c r="K121" i="20" s="1"/>
  <c r="K122" i="20" s="1"/>
  <c r="J112" i="19"/>
  <c r="J121" i="19" s="1"/>
  <c r="J122" i="19" s="1"/>
  <c r="J79" i="19"/>
  <c r="K70" i="19"/>
  <c r="K112" i="17"/>
  <c r="K121" i="17" s="1"/>
  <c r="K122" i="17" s="1"/>
  <c r="K79" i="17"/>
  <c r="L70" i="17"/>
  <c r="J79" i="21"/>
  <c r="J112" i="21"/>
  <c r="J121" i="21" s="1"/>
  <c r="J122" i="21" s="1"/>
  <c r="K70" i="21"/>
  <c r="K112" i="48" l="1"/>
  <c r="K121" i="48" s="1"/>
  <c r="K122" i="48" s="1"/>
  <c r="L70" i="48"/>
  <c r="K79" i="48"/>
  <c r="K112" i="21"/>
  <c r="K121" i="21" s="1"/>
  <c r="K122" i="21" s="1"/>
  <c r="K79" i="21"/>
  <c r="L70" i="21"/>
  <c r="K79" i="19"/>
  <c r="K112" i="19"/>
  <c r="K121" i="19" s="1"/>
  <c r="K122" i="19" s="1"/>
  <c r="L70" i="19"/>
  <c r="L112" i="20"/>
  <c r="L121" i="20" s="1"/>
  <c r="L122" i="20" s="1"/>
  <c r="L79" i="20"/>
  <c r="M70" i="20"/>
  <c r="L79" i="17"/>
  <c r="L112" i="17"/>
  <c r="L121" i="17" s="1"/>
  <c r="L122" i="17" s="1"/>
  <c r="M70" i="17"/>
  <c r="L112" i="48" l="1"/>
  <c r="L121" i="48" s="1"/>
  <c r="L122" i="48" s="1"/>
  <c r="M70" i="48"/>
  <c r="L79" i="48"/>
  <c r="M79" i="17"/>
  <c r="M112" i="17"/>
  <c r="M121" i="17" s="1"/>
  <c r="M122" i="17" s="1"/>
  <c r="N70" i="17"/>
  <c r="L79" i="19"/>
  <c r="L112" i="19"/>
  <c r="L121" i="19" s="1"/>
  <c r="L122" i="19" s="1"/>
  <c r="M70" i="19"/>
  <c r="L79" i="21"/>
  <c r="L112" i="21"/>
  <c r="L121" i="21" s="1"/>
  <c r="L122" i="21" s="1"/>
  <c r="M70" i="21"/>
  <c r="M79" i="20"/>
  <c r="N70" i="20"/>
  <c r="M112" i="20"/>
  <c r="M121" i="20" s="1"/>
  <c r="M122" i="20" s="1"/>
  <c r="M112" i="48" l="1"/>
  <c r="M121" i="48" s="1"/>
  <c r="M122" i="48" s="1"/>
  <c r="N70" i="48"/>
  <c r="M79" i="48"/>
  <c r="M79" i="19"/>
  <c r="M112" i="19"/>
  <c r="M121" i="19" s="1"/>
  <c r="M122" i="19" s="1"/>
  <c r="N70" i="19"/>
  <c r="N79" i="20"/>
  <c r="N112" i="20"/>
  <c r="N121" i="20" s="1"/>
  <c r="N122" i="20" s="1"/>
  <c r="O70" i="20"/>
  <c r="N79" i="17"/>
  <c r="N112" i="17"/>
  <c r="N121" i="17" s="1"/>
  <c r="N122" i="17" s="1"/>
  <c r="O70" i="17"/>
  <c r="M79" i="21"/>
  <c r="M112" i="21"/>
  <c r="M121" i="21" s="1"/>
  <c r="M122" i="21" s="1"/>
  <c r="N70" i="21"/>
  <c r="N112" i="48" l="1"/>
  <c r="N121" i="48" s="1"/>
  <c r="N122" i="48" s="1"/>
  <c r="O70" i="48"/>
  <c r="N79" i="48"/>
  <c r="N79" i="19"/>
  <c r="N112" i="19"/>
  <c r="N121" i="19" s="1"/>
  <c r="N122" i="19" s="1"/>
  <c r="O70" i="19"/>
  <c r="O79" i="20"/>
  <c r="P70" i="20"/>
  <c r="O112" i="20"/>
  <c r="O121" i="20" s="1"/>
  <c r="O122" i="20" s="1"/>
  <c r="N79" i="21"/>
  <c r="N112" i="21"/>
  <c r="N121" i="21" s="1"/>
  <c r="N122" i="21" s="1"/>
  <c r="O70" i="21"/>
  <c r="O79" i="17"/>
  <c r="O112" i="17"/>
  <c r="O121" i="17" s="1"/>
  <c r="O122" i="17" s="1"/>
  <c r="P70" i="17"/>
  <c r="O112" i="48" l="1"/>
  <c r="O121" i="48" s="1"/>
  <c r="O122" i="48" s="1"/>
  <c r="P70" i="48"/>
  <c r="O79" i="48"/>
  <c r="O79" i="19"/>
  <c r="O112" i="19"/>
  <c r="O121" i="19" s="1"/>
  <c r="O122" i="19" s="1"/>
  <c r="P70" i="19"/>
  <c r="P79" i="17"/>
  <c r="P112" i="17"/>
  <c r="P121" i="17" s="1"/>
  <c r="P122" i="17" s="1"/>
  <c r="Q70" i="17"/>
  <c r="P79" i="20"/>
  <c r="P112" i="20"/>
  <c r="P121" i="20" s="1"/>
  <c r="P122" i="20" s="1"/>
  <c r="Q70" i="20"/>
  <c r="O79" i="21"/>
  <c r="O112" i="21"/>
  <c r="O121" i="21" s="1"/>
  <c r="O122" i="21" s="1"/>
  <c r="P70" i="21"/>
  <c r="P112" i="48" l="1"/>
  <c r="P121" i="48" s="1"/>
  <c r="P122" i="48" s="1"/>
  <c r="Q70" i="48"/>
  <c r="P79" i="48"/>
  <c r="Q79" i="17"/>
  <c r="Q112" i="17"/>
  <c r="Q121" i="17" s="1"/>
  <c r="Q122" i="17" s="1"/>
  <c r="R70" i="17"/>
  <c r="P79" i="21"/>
  <c r="P112" i="21"/>
  <c r="P121" i="21" s="1"/>
  <c r="P122" i="21" s="1"/>
  <c r="Q70" i="21"/>
  <c r="P79" i="19"/>
  <c r="P112" i="19"/>
  <c r="P121" i="19" s="1"/>
  <c r="P122" i="19" s="1"/>
  <c r="Q70" i="19"/>
  <c r="Q79" i="20"/>
  <c r="Q112" i="20"/>
  <c r="Q121" i="20" s="1"/>
  <c r="Q122" i="20" s="1"/>
  <c r="R70" i="20"/>
  <c r="R70" i="48" l="1"/>
  <c r="Q112" i="48"/>
  <c r="Q121" i="48" s="1"/>
  <c r="Q122" i="48" s="1"/>
  <c r="Q79" i="48"/>
  <c r="Q79" i="21"/>
  <c r="R70" i="21"/>
  <c r="Q112" i="21"/>
  <c r="Q121" i="21" s="1"/>
  <c r="Q122" i="21" s="1"/>
  <c r="R112" i="20"/>
  <c r="R121" i="20" s="1"/>
  <c r="R122" i="20" s="1"/>
  <c r="R79" i="20"/>
  <c r="S70" i="20"/>
  <c r="R79" i="17"/>
  <c r="R112" i="17"/>
  <c r="R121" i="17" s="1"/>
  <c r="R122" i="17" s="1"/>
  <c r="S70" i="17"/>
  <c r="Q79" i="19"/>
  <c r="R70" i="19"/>
  <c r="Q112" i="19"/>
  <c r="Q121" i="19" s="1"/>
  <c r="Q122" i="19" s="1"/>
  <c r="R112" i="48" l="1"/>
  <c r="R121" i="48" s="1"/>
  <c r="R122" i="48" s="1"/>
  <c r="S70" i="48"/>
  <c r="R79" i="48"/>
  <c r="S79" i="20"/>
  <c r="S112" i="20"/>
  <c r="S121" i="20" s="1"/>
  <c r="S122" i="20" s="1"/>
  <c r="T70" i="20"/>
  <c r="R112" i="19"/>
  <c r="R121" i="19" s="1"/>
  <c r="R122" i="19" s="1"/>
  <c r="R79" i="19"/>
  <c r="S70" i="19"/>
  <c r="R79" i="21"/>
  <c r="S70" i="21"/>
  <c r="R112" i="21"/>
  <c r="R121" i="21" s="1"/>
  <c r="R122" i="21" s="1"/>
  <c r="S79" i="17"/>
  <c r="S112" i="17"/>
  <c r="S121" i="17" s="1"/>
  <c r="S122" i="17" s="1"/>
  <c r="T70" i="17"/>
  <c r="T70" i="48" l="1"/>
  <c r="S112" i="48"/>
  <c r="S121" i="48" s="1"/>
  <c r="S122" i="48" s="1"/>
  <c r="S79" i="48"/>
  <c r="T79" i="17"/>
  <c r="T112" i="17"/>
  <c r="T121" i="17" s="1"/>
  <c r="T122" i="17" s="1"/>
  <c r="U70" i="17"/>
  <c r="T79" i="20"/>
  <c r="U70" i="20"/>
  <c r="T112" i="20"/>
  <c r="T121" i="20" s="1"/>
  <c r="T122" i="20" s="1"/>
  <c r="S79" i="21"/>
  <c r="S112" i="21"/>
  <c r="S121" i="21" s="1"/>
  <c r="S122" i="21" s="1"/>
  <c r="T70" i="21"/>
  <c r="S79" i="19"/>
  <c r="S112" i="19"/>
  <c r="S121" i="19" s="1"/>
  <c r="S122" i="19" s="1"/>
  <c r="T70" i="19"/>
  <c r="T112" i="48" l="1"/>
  <c r="T121" i="48" s="1"/>
  <c r="T122" i="48" s="1"/>
  <c r="U70" i="48"/>
  <c r="T79" i="48"/>
  <c r="U79" i="20"/>
  <c r="U112" i="20"/>
  <c r="U121" i="20" s="1"/>
  <c r="U122" i="20" s="1"/>
  <c r="V70" i="20"/>
  <c r="U112" i="17"/>
  <c r="U121" i="17" s="1"/>
  <c r="U122" i="17" s="1"/>
  <c r="U79" i="17"/>
  <c r="V70" i="17"/>
  <c r="T79" i="19"/>
  <c r="T112" i="19"/>
  <c r="T121" i="19" s="1"/>
  <c r="T122" i="19" s="1"/>
  <c r="U70" i="19"/>
  <c r="T79" i="21"/>
  <c r="T112" i="21"/>
  <c r="T121" i="21" s="1"/>
  <c r="T122" i="21" s="1"/>
  <c r="U70" i="21"/>
  <c r="U112" i="48" l="1"/>
  <c r="U121" i="48" s="1"/>
  <c r="U122" i="48" s="1"/>
  <c r="V70" i="48"/>
  <c r="U79" i="48"/>
  <c r="V79" i="17"/>
  <c r="V112" i="17"/>
  <c r="V121" i="17" s="1"/>
  <c r="V122" i="17" s="1"/>
  <c r="W70" i="17"/>
  <c r="V79" i="20"/>
  <c r="V112" i="20"/>
  <c r="V121" i="20" s="1"/>
  <c r="V122" i="20" s="1"/>
  <c r="W70" i="20"/>
  <c r="U79" i="21"/>
  <c r="U112" i="21"/>
  <c r="U121" i="21" s="1"/>
  <c r="U122" i="21" s="1"/>
  <c r="V70" i="21"/>
  <c r="U79" i="19"/>
  <c r="U112" i="19"/>
  <c r="U121" i="19" s="1"/>
  <c r="U122" i="19" s="1"/>
  <c r="V70" i="19"/>
  <c r="V112" i="48" l="1"/>
  <c r="V121" i="48" s="1"/>
  <c r="V122" i="48" s="1"/>
  <c r="W70" i="48"/>
  <c r="V79" i="48"/>
  <c r="V79" i="19"/>
  <c r="V112" i="19"/>
  <c r="V121" i="19" s="1"/>
  <c r="V122" i="19" s="1"/>
  <c r="W70" i="19"/>
  <c r="W79" i="20"/>
  <c r="X70" i="20"/>
  <c r="W112" i="20"/>
  <c r="W121" i="20" s="1"/>
  <c r="W122" i="20" s="1"/>
  <c r="W79" i="17"/>
  <c r="W112" i="17"/>
  <c r="W121" i="17" s="1"/>
  <c r="W122" i="17" s="1"/>
  <c r="X70" i="17"/>
  <c r="V79" i="21"/>
  <c r="V112" i="21"/>
  <c r="V121" i="21" s="1"/>
  <c r="V122" i="21" s="1"/>
  <c r="W70" i="21"/>
  <c r="X70" i="48" l="1"/>
  <c r="W112" i="48"/>
  <c r="W121" i="48" s="1"/>
  <c r="W122" i="48" s="1"/>
  <c r="W79" i="48"/>
  <c r="W112" i="21"/>
  <c r="W121" i="21" s="1"/>
  <c r="W122" i="21" s="1"/>
  <c r="W79" i="21"/>
  <c r="X70" i="21"/>
  <c r="X79" i="20"/>
  <c r="X112" i="20"/>
  <c r="X121" i="20" s="1"/>
  <c r="X122" i="20" s="1"/>
  <c r="Y70" i="20"/>
  <c r="X70" i="19"/>
  <c r="W112" i="19"/>
  <c r="W121" i="19" s="1"/>
  <c r="W122" i="19" s="1"/>
  <c r="W79" i="19"/>
  <c r="X79" i="17"/>
  <c r="X112" i="17"/>
  <c r="X121" i="17" s="1"/>
  <c r="X122" i="17" s="1"/>
  <c r="Y70" i="17"/>
  <c r="X112" i="48" l="1"/>
  <c r="X121" i="48" s="1"/>
  <c r="X122" i="48" s="1"/>
  <c r="Y70" i="48"/>
  <c r="X79" i="48"/>
  <c r="X79" i="19"/>
  <c r="Y70" i="19"/>
  <c r="X112" i="19"/>
  <c r="X121" i="19" s="1"/>
  <c r="X122" i="19" s="1"/>
  <c r="Y79" i="17"/>
  <c r="Z70" i="17"/>
  <c r="Y112" i="17"/>
  <c r="Y121" i="17" s="1"/>
  <c r="Y122" i="17" s="1"/>
  <c r="Y112" i="20"/>
  <c r="Y121" i="20" s="1"/>
  <c r="Y122" i="20" s="1"/>
  <c r="Y79" i="20"/>
  <c r="Z70" i="20"/>
  <c r="X79" i="21"/>
  <c r="X112" i="21"/>
  <c r="X121" i="21" s="1"/>
  <c r="X122" i="21" s="1"/>
  <c r="Y70" i="21"/>
  <c r="Y112" i="48" l="1"/>
  <c r="Y121" i="48" s="1"/>
  <c r="Y122" i="48" s="1"/>
  <c r="Z70" i="48"/>
  <c r="Y79" i="48"/>
  <c r="Z112" i="17"/>
  <c r="Z121" i="17" s="1"/>
  <c r="Z122" i="17" s="1"/>
  <c r="Z79" i="17"/>
  <c r="AA70" i="17"/>
  <c r="Y79" i="21"/>
  <c r="Y112" i="21"/>
  <c r="Y121" i="21" s="1"/>
  <c r="Y122" i="21" s="1"/>
  <c r="Z70" i="21"/>
  <c r="Y79" i="19"/>
  <c r="Z70" i="19"/>
  <c r="Y112" i="19"/>
  <c r="Y121" i="19" s="1"/>
  <c r="Y122" i="19" s="1"/>
  <c r="Z112" i="20"/>
  <c r="Z121" i="20" s="1"/>
  <c r="Z122" i="20" s="1"/>
  <c r="Z79" i="20"/>
  <c r="AA70" i="20"/>
  <c r="Z112" i="48" l="1"/>
  <c r="Z121" i="48" s="1"/>
  <c r="Z122" i="48" s="1"/>
  <c r="AA70" i="48"/>
  <c r="Z79" i="48"/>
  <c r="Z79" i="19"/>
  <c r="Z112" i="19"/>
  <c r="Z121" i="19" s="1"/>
  <c r="Z122" i="19" s="1"/>
  <c r="AA70" i="19"/>
  <c r="Z112" i="21"/>
  <c r="Z121" i="21" s="1"/>
  <c r="Z122" i="21" s="1"/>
  <c r="Z79" i="21"/>
  <c r="AA70" i="21"/>
  <c r="AA79" i="20"/>
  <c r="AB70" i="20"/>
  <c r="AA112" i="20"/>
  <c r="AA121" i="20" s="1"/>
  <c r="AA122" i="20" s="1"/>
  <c r="AA79" i="17"/>
  <c r="AB70" i="17"/>
  <c r="AA112" i="17"/>
  <c r="AA121" i="17" s="1"/>
  <c r="AA122" i="17" s="1"/>
  <c r="AB70" i="48" l="1"/>
  <c r="AA112" i="48"/>
  <c r="AA121" i="48" s="1"/>
  <c r="AA122" i="48" s="1"/>
  <c r="AA79" i="48"/>
  <c r="AB79" i="20"/>
  <c r="AC70" i="20"/>
  <c r="AB112" i="20"/>
  <c r="AB121" i="20" s="1"/>
  <c r="AB122" i="20" s="1"/>
  <c r="AA79" i="19"/>
  <c r="AA112" i="19"/>
  <c r="AA121" i="19" s="1"/>
  <c r="AA122" i="19" s="1"/>
  <c r="AB70" i="19"/>
  <c r="AB79" i="17"/>
  <c r="AC70" i="17"/>
  <c r="AB112" i="17"/>
  <c r="AB121" i="17" s="1"/>
  <c r="AB122" i="17" s="1"/>
  <c r="AA79" i="21"/>
  <c r="AA112" i="21"/>
  <c r="AA121" i="21" s="1"/>
  <c r="AA122" i="21" s="1"/>
  <c r="AB70" i="21"/>
  <c r="AC70" i="48" l="1"/>
  <c r="AB112" i="48"/>
  <c r="AB121" i="48" s="1"/>
  <c r="AB122" i="48" s="1"/>
  <c r="AB79" i="48"/>
  <c r="AC79" i="17"/>
  <c r="AD70" i="17"/>
  <c r="AC112" i="17"/>
  <c r="AC121" i="17" s="1"/>
  <c r="AC122" i="17" s="1"/>
  <c r="AB79" i="21"/>
  <c r="AC70" i="21"/>
  <c r="AB112" i="21"/>
  <c r="AB121" i="21" s="1"/>
  <c r="AB122" i="21" s="1"/>
  <c r="AC79" i="20"/>
  <c r="AD70" i="20"/>
  <c r="AC112" i="20"/>
  <c r="AC121" i="20" s="1"/>
  <c r="AC122" i="20" s="1"/>
  <c r="AB79" i="19"/>
  <c r="AC70" i="19"/>
  <c r="AB112" i="19"/>
  <c r="AB121" i="19" s="1"/>
  <c r="AB122" i="19" s="1"/>
  <c r="AC112" i="48" l="1"/>
  <c r="AC121" i="48" s="1"/>
  <c r="AC122" i="48" s="1"/>
  <c r="AD70" i="48"/>
  <c r="AC79" i="48"/>
  <c r="AC79" i="19"/>
  <c r="AD70" i="19"/>
  <c r="AC112" i="19"/>
  <c r="AC121" i="19" s="1"/>
  <c r="AC122" i="19" s="1"/>
  <c r="AD79" i="17"/>
  <c r="AD112" i="17"/>
  <c r="AD121" i="17" s="1"/>
  <c r="AD122" i="17" s="1"/>
  <c r="AE70" i="17"/>
  <c r="AD79" i="20"/>
  <c r="AD112" i="20"/>
  <c r="AD121" i="20" s="1"/>
  <c r="AD122" i="20" s="1"/>
  <c r="AE70" i="20"/>
  <c r="AC79" i="21"/>
  <c r="AC112" i="21"/>
  <c r="AC121" i="21" s="1"/>
  <c r="AC122" i="21" s="1"/>
  <c r="AD70" i="21"/>
  <c r="AD112" i="48" l="1"/>
  <c r="AD121" i="48" s="1"/>
  <c r="AD122" i="48" s="1"/>
  <c r="AE70" i="48"/>
  <c r="AD79" i="48"/>
  <c r="AD79" i="21"/>
  <c r="AD112" i="21"/>
  <c r="AD121" i="21" s="1"/>
  <c r="AD122" i="21" s="1"/>
  <c r="AE70" i="21"/>
  <c r="AD79" i="19"/>
  <c r="AD112" i="19"/>
  <c r="AD121" i="19" s="1"/>
  <c r="AD122" i="19" s="1"/>
  <c r="AE70" i="19"/>
  <c r="AE79" i="17"/>
  <c r="AE112" i="17"/>
  <c r="AE121" i="17" s="1"/>
  <c r="AE122" i="17" s="1"/>
  <c r="AF70" i="17"/>
  <c r="AE79" i="20"/>
  <c r="AE112" i="20"/>
  <c r="AE121" i="20" s="1"/>
  <c r="AE122" i="20" s="1"/>
  <c r="AF70" i="20"/>
  <c r="AE112" i="48" l="1"/>
  <c r="AE121" i="48" s="1"/>
  <c r="AE122" i="48" s="1"/>
  <c r="AF70" i="48"/>
  <c r="AE79" i="48"/>
  <c r="AG70" i="20"/>
  <c r="AF79" i="20"/>
  <c r="AF112" i="20"/>
  <c r="AF121" i="20" s="1"/>
  <c r="AF122" i="20" s="1"/>
  <c r="AE79" i="19"/>
  <c r="AE112" i="19"/>
  <c r="AE121" i="19" s="1"/>
  <c r="AE122" i="19" s="1"/>
  <c r="AF70" i="19"/>
  <c r="AE79" i="21"/>
  <c r="AE112" i="21"/>
  <c r="AE121" i="21" s="1"/>
  <c r="AE122" i="21" s="1"/>
  <c r="AF70" i="21"/>
  <c r="AF79" i="17"/>
  <c r="AF112" i="17"/>
  <c r="AF121" i="17" s="1"/>
  <c r="AF122" i="17" s="1"/>
  <c r="AG70" i="17"/>
  <c r="AF112" i="48" l="1"/>
  <c r="AF121" i="48" s="1"/>
  <c r="AF122" i="48" s="1"/>
  <c r="AG70" i="48"/>
  <c r="AF79" i="48"/>
  <c r="AF79" i="19"/>
  <c r="AG70" i="19"/>
  <c r="AF112" i="19"/>
  <c r="AF121" i="19" s="1"/>
  <c r="AF122" i="19" s="1"/>
  <c r="AG79" i="17"/>
  <c r="AH70" i="17"/>
  <c r="AG112" i="17"/>
  <c r="AG121" i="17" s="1"/>
  <c r="AG122" i="17" s="1"/>
  <c r="AF79" i="21"/>
  <c r="AF112" i="21"/>
  <c r="AF121" i="21" s="1"/>
  <c r="AF122" i="21" s="1"/>
  <c r="AG70" i="21"/>
  <c r="AG79" i="20"/>
  <c r="AH70" i="20"/>
  <c r="AG112" i="20"/>
  <c r="AG121" i="20" s="1"/>
  <c r="AG122" i="20" s="1"/>
  <c r="AG112" i="48" l="1"/>
  <c r="AG121" i="48" s="1"/>
  <c r="AG122" i="48" s="1"/>
  <c r="AH70" i="48"/>
  <c r="AG79" i="48"/>
  <c r="AH79" i="17"/>
  <c r="AH112" i="17"/>
  <c r="AH121" i="17" s="1"/>
  <c r="AH122" i="17" s="1"/>
  <c r="AI70" i="17"/>
  <c r="AH79" i="20"/>
  <c r="AH112" i="20"/>
  <c r="AH121" i="20" s="1"/>
  <c r="AH122" i="20" s="1"/>
  <c r="AI70" i="20"/>
  <c r="AG79" i="19"/>
  <c r="AG112" i="19"/>
  <c r="AG121" i="19" s="1"/>
  <c r="AG122" i="19" s="1"/>
  <c r="AH70" i="19"/>
  <c r="AG79" i="21"/>
  <c r="AH70" i="21"/>
  <c r="AG112" i="21"/>
  <c r="AG121" i="21" s="1"/>
  <c r="AG122" i="21" s="1"/>
  <c r="AH112" i="48" l="1"/>
  <c r="AH121" i="48" s="1"/>
  <c r="AH122" i="48" s="1"/>
  <c r="AI70" i="48"/>
  <c r="AH79" i="48"/>
  <c r="AI79" i="20"/>
  <c r="AI112" i="20"/>
  <c r="AI121" i="20" s="1"/>
  <c r="AI122" i="20" s="1"/>
  <c r="AH79" i="21"/>
  <c r="AH112" i="21"/>
  <c r="AH121" i="21" s="1"/>
  <c r="AH122" i="21" s="1"/>
  <c r="AI70" i="21"/>
  <c r="AI79" i="17"/>
  <c r="AI112" i="17"/>
  <c r="AI121" i="17" s="1"/>
  <c r="AI122" i="17" s="1"/>
  <c r="AH79" i="19"/>
  <c r="AH112" i="19"/>
  <c r="AH121" i="19" s="1"/>
  <c r="AH122" i="19" s="1"/>
  <c r="AI70" i="19"/>
  <c r="AI112" i="48" l="1"/>
  <c r="AI121" i="48" s="1"/>
  <c r="AI122" i="48" s="1"/>
  <c r="AI79" i="48"/>
  <c r="AI79" i="21"/>
  <c r="AI112" i="21"/>
  <c r="AI121" i="21" s="1"/>
  <c r="AI122" i="21" s="1"/>
  <c r="AI79" i="19"/>
  <c r="AI112" i="19"/>
  <c r="AI121" i="19" s="1"/>
  <c r="AI122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tc={F8EDC4A5-4469-4BAA-9FE3-EF1344DC258B}</author>
    <author>tc={ED9EF941-1566-409B-8CA6-031FA95C5983}</author>
  </authors>
  <commentList>
    <comment ref="B14" authorId="0" shapeId="0" xr:uid="{F8EDC4A5-4469-4BAA-9FE3-EF1344DC258B}">
      <text>
        <t>[Threaded comment]
Your version of Excel allows you to read this threaded comment; however, any edits to it will get removed if the file is opened in a newer version of Excel. Learn more: https://go.microsoft.com/fwlink/?linkid=870924
Comment:
    To check that we match Todd's values</t>
      </text>
    </comment>
    <comment ref="B21" authorId="1" shapeId="0" xr:uid="{ED9EF941-1566-409B-8CA6-031FA95C5983}">
      <text>
        <t>[Threaded comment]
Your version of Excel allows you to read this threaded comment; however, any edits to it will get removed if the file is opened in a newer version of Excel. Learn more: https://go.microsoft.com/fwlink/?linkid=870924
Comment:
    To check that we match Todd's values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tc={85470613-96F2-4B4D-B12B-FD38AEDCE5A4}</author>
    <author>tc={67A3A517-D1EE-443D-86BC-BB2D36049642}</author>
  </authors>
  <commentList>
    <comment ref="B14" authorId="0" shapeId="0" xr:uid="{85470613-96F2-4B4D-B12B-FD38AEDCE5A4}">
      <text>
        <t>[Threaded comment]
Your version of Excel allows you to read this threaded comment; however, any edits to it will get removed if the file is opened in a newer version of Excel. Learn more: https://go.microsoft.com/fwlink/?linkid=870924
Comment:
    To check that we match Todd's values</t>
      </text>
    </comment>
    <comment ref="B21" authorId="1" shapeId="0" xr:uid="{67A3A517-D1EE-443D-86BC-BB2D36049642}">
      <text>
        <t>[Threaded comment]
Your version of Excel allows you to read this threaded comment; however, any edits to it will get removed if the file is opened in a newer version of Excel. Learn more: https://go.microsoft.com/fwlink/?linkid=870924
Comment:
    To check that we match Todd's values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tc={17F23996-BB58-4BE2-832C-C7CA50B666C8}</author>
    <author>tc={8FBA105B-27A6-40F7-9503-D9B53457FD53}</author>
  </authors>
  <commentList>
    <comment ref="B14" authorId="0" shapeId="0" xr:uid="{17F23996-BB58-4BE2-832C-C7CA50B666C8}">
      <text>
        <t>[Threaded comment]
Your version of Excel allows you to read this threaded comment; however, any edits to it will get removed if the file is opened in a newer version of Excel. Learn more: https://go.microsoft.com/fwlink/?linkid=870924
Comment:
    To check that we match Todd's values</t>
      </text>
    </comment>
    <comment ref="B21" authorId="1" shapeId="0" xr:uid="{8FBA105B-27A6-40F7-9503-D9B53457FD53}">
      <text>
        <t>[Threaded comment]
Your version of Excel allows you to read this threaded comment; however, any edits to it will get removed if the file is opened in a newer version of Excel. Learn more: https://go.microsoft.com/fwlink/?linkid=870924
Comment:
    To check that we match Todd's values</t>
      </text>
    </comment>
  </commentList>
</comments>
</file>

<file path=xl/sharedStrings.xml><?xml version="1.0" encoding="utf-8"?>
<sst xmlns="http://schemas.openxmlformats.org/spreadsheetml/2006/main" count="1814" uniqueCount="384">
  <si>
    <t>Capital RR</t>
  </si>
  <si>
    <t>Property Taxes</t>
  </si>
  <si>
    <t>Insurance</t>
  </si>
  <si>
    <t>Capital Lease</t>
  </si>
  <si>
    <t>O&amp;M</t>
  </si>
  <si>
    <t>CPVRR Life</t>
  </si>
  <si>
    <t>Cost</t>
  </si>
  <si>
    <t>Ratio</t>
  </si>
  <si>
    <t>Debt</t>
  </si>
  <si>
    <t>Equity</t>
  </si>
  <si>
    <t>Composite Tax Rate</t>
  </si>
  <si>
    <t>Discount Rate</t>
  </si>
  <si>
    <t>Insurance Rate</t>
  </si>
  <si>
    <t>Property Tax Rate</t>
  </si>
  <si>
    <t>AFUDC Rate</t>
  </si>
  <si>
    <t>AFUDC Debt (After Tax)</t>
  </si>
  <si>
    <t>Capitalized Interest Rate</t>
  </si>
  <si>
    <t>Construction Escalation Rate</t>
  </si>
  <si>
    <t>Weighted Average Cost of Capital</t>
  </si>
  <si>
    <t>Nuclear Insurance Rate</t>
  </si>
  <si>
    <t>Real  Discount Rate</t>
  </si>
  <si>
    <t>Inflation Rate</t>
  </si>
  <si>
    <t>Base Year</t>
  </si>
  <si>
    <t>State Tax Rate</t>
  </si>
  <si>
    <t>Federal Tax Rate</t>
  </si>
  <si>
    <t>Year</t>
  </si>
  <si>
    <t>Hamilton - Generation Capital</t>
  </si>
  <si>
    <t>Hamilton - Generation Lease</t>
  </si>
  <si>
    <t>Hamilton - Generation Property Taxes</t>
  </si>
  <si>
    <t>Hamilton - Generation Insurance</t>
  </si>
  <si>
    <t>Columbia - Generation Capital</t>
  </si>
  <si>
    <t>Columbia - Generation Lease</t>
  </si>
  <si>
    <t>Columbia - Generation Property Taxes</t>
  </si>
  <si>
    <t>Columbia - Generation Insurance</t>
  </si>
  <si>
    <t>Conventional Generation - Transmission Capital</t>
  </si>
  <si>
    <t>Conventional Generation - Generation Capital</t>
  </si>
  <si>
    <t>Columbia - Generation O&amp;M</t>
  </si>
  <si>
    <t>Hamilton - Generation O&amp;M</t>
  </si>
  <si>
    <t>Transm Cap RR</t>
  </si>
  <si>
    <t>Transm Prop Tx</t>
  </si>
  <si>
    <t>Transm Prop Ins</t>
  </si>
  <si>
    <t>Hamilton - Transmission Capital</t>
  </si>
  <si>
    <t>Hamilton - Transmission Property Taxes</t>
  </si>
  <si>
    <t>Hamilton - Transmission Insurance</t>
  </si>
  <si>
    <t>Columbia - Transmission Capital</t>
  </si>
  <si>
    <t>Columbia - Transmission Property Taxes</t>
  </si>
  <si>
    <t>Columbia - Transmission Insurance</t>
  </si>
  <si>
    <t>Conventional Generation - Gas Reservation Charges</t>
  </si>
  <si>
    <t>Conventional Generation - FOM</t>
  </si>
  <si>
    <t>Total Solar Savings before CO2 Costs</t>
  </si>
  <si>
    <t>Fuel Cost</t>
  </si>
  <si>
    <t>CO2 Cost</t>
  </si>
  <si>
    <t>Variable Costs</t>
  </si>
  <si>
    <t>Environmental Costs without Carbon</t>
  </si>
  <si>
    <t>Hamilton</t>
  </si>
  <si>
    <t xml:space="preserve">Columbia </t>
  </si>
  <si>
    <t>With Carbon Costs_High Fuel</t>
  </si>
  <si>
    <t>With Carbon Costs_Low Fuel</t>
  </si>
  <si>
    <t>With Carbon Costs_Mid Fuel</t>
  </si>
  <si>
    <t>No Carbon Costs_Mid Fuel</t>
  </si>
  <si>
    <t>Conv Gen Capital</t>
  </si>
  <si>
    <t>Total Costs</t>
  </si>
  <si>
    <t>PV</t>
  </si>
  <si>
    <t>CPVRR</t>
  </si>
  <si>
    <t>Delta CPVRR</t>
  </si>
  <si>
    <t>Fuel Costs</t>
  </si>
  <si>
    <t>Environmental Costs</t>
  </si>
  <si>
    <t>Gas Reservation Costs</t>
  </si>
  <si>
    <t>Fixed Costs</t>
  </si>
  <si>
    <t>CO2 Costs</t>
  </si>
  <si>
    <t>Delta Nominal</t>
  </si>
  <si>
    <t>Delta PV</t>
  </si>
  <si>
    <t>CPVRR With CO2 Costs</t>
  </si>
  <si>
    <t>CPVRR Without CO2 Costs</t>
  </si>
  <si>
    <t>Solar Generation Capital</t>
  </si>
  <si>
    <t>Solar Transmission Capital</t>
  </si>
  <si>
    <t>Solar FOM</t>
  </si>
  <si>
    <t>CPVRR Life $K</t>
  </si>
  <si>
    <t>March in-service with a start of cost recovery 4/1/2020</t>
  </si>
  <si>
    <t>Total RR</t>
  </si>
  <si>
    <t>Lake Placid</t>
  </si>
  <si>
    <t>Trenton</t>
  </si>
  <si>
    <t>Debary</t>
  </si>
  <si>
    <t>Trenton - Generation Capital</t>
  </si>
  <si>
    <t>Trenton - Generation Property Taxes</t>
  </si>
  <si>
    <t>Trenton - Generation Insurance</t>
  </si>
  <si>
    <t>Trenton - Generation Lease</t>
  </si>
  <si>
    <t>Trenton - Generation O&amp;M</t>
  </si>
  <si>
    <t>Trenton - Transmission Capital</t>
  </si>
  <si>
    <t>Trenton - Transmission Property Taxes</t>
  </si>
  <si>
    <t>Trenton - Transmission Insurance</t>
  </si>
  <si>
    <t>Lake Placid - Generation Capital</t>
  </si>
  <si>
    <t>Lake Placid - Generation Property Taxes</t>
  </si>
  <si>
    <t>Lake Placid - Generation Insurance</t>
  </si>
  <si>
    <t>Lake Placid - Generation Lease</t>
  </si>
  <si>
    <t>Lake Placid - Generation O&amp;M</t>
  </si>
  <si>
    <t>Lake Placid - Transmission Capital</t>
  </si>
  <si>
    <t>Lake Placid - Transmission Property Taxes</t>
  </si>
  <si>
    <t>Lake Placid - Transmission Insurance</t>
  </si>
  <si>
    <t>Debary - Generation Capital</t>
  </si>
  <si>
    <t>Debary - Generation Property Taxes</t>
  </si>
  <si>
    <t>Debary - Generation Insurance</t>
  </si>
  <si>
    <t>Debary - Generation Lease</t>
  </si>
  <si>
    <t>Debary - Generation O&amp;M</t>
  </si>
  <si>
    <t>Debary - Transmission Capital</t>
  </si>
  <si>
    <t>Debary - Transmission Property Taxes</t>
  </si>
  <si>
    <t>Debary - Transmission Insurance</t>
  </si>
  <si>
    <t>Network Upgrades</t>
  </si>
  <si>
    <t>Generation Capital</t>
  </si>
  <si>
    <t>MW</t>
  </si>
  <si>
    <t>Month</t>
  </si>
  <si>
    <t xml:space="preserve">Total </t>
  </si>
  <si>
    <t>$/KW</t>
  </si>
  <si>
    <t>Variable Production Costs including CO2</t>
  </si>
  <si>
    <t>Santa_Fe - Generation Capital</t>
  </si>
  <si>
    <t>Santa_Fe - Generation Property Taxes</t>
  </si>
  <si>
    <t>Santa_Fe - Generation Insurance</t>
  </si>
  <si>
    <t>Santa_Fe - Generation Lease</t>
  </si>
  <si>
    <t>Santa_Fe - Generation O&amp;M</t>
  </si>
  <si>
    <t>Santa_Fe - Transmission Capital</t>
  </si>
  <si>
    <t>Santa_Fe - Transmission Property Taxes</t>
  </si>
  <si>
    <t>Santa_Fe - Transmission Insurance</t>
  </si>
  <si>
    <t>Twin_Rivers - Generation Capital</t>
  </si>
  <si>
    <t>Twin_Rivers - Generation Property Taxes</t>
  </si>
  <si>
    <t>Twin_Rivers - Generation Insurance</t>
  </si>
  <si>
    <t>Twin_Rivers - Generation Lease</t>
  </si>
  <si>
    <t>Twin_Rivers - Generation O&amp;M</t>
  </si>
  <si>
    <t>Twin_Rivers - Transmission Capital</t>
  </si>
  <si>
    <t>Twin_Rivers - Transmission Property Taxes</t>
  </si>
  <si>
    <t>Twin_Rivers - Transmission Insurance</t>
  </si>
  <si>
    <t>Insurance Escalation Rate</t>
  </si>
  <si>
    <t>Santa Fe</t>
  </si>
  <si>
    <t>Twin Rivers</t>
  </si>
  <si>
    <t>Negative means the additional solar units provide savings</t>
  </si>
  <si>
    <t>Existing Solar</t>
  </si>
  <si>
    <t>New Solar</t>
  </si>
  <si>
    <t>2022 Solar Together - Generation Capital</t>
  </si>
  <si>
    <t>2022 Solar Together - Generation Property Taxes</t>
  </si>
  <si>
    <t>2022 Solar Together - Generation Insurance</t>
  </si>
  <si>
    <t>2022 Solar Together - Generation Lease</t>
  </si>
  <si>
    <t>2022 Solar Together - Generation O&amp;M</t>
  </si>
  <si>
    <t>2022 Solar Together - Transmission Capital</t>
  </si>
  <si>
    <t>2022 Solar Together - Transmission Property Taxes</t>
  </si>
  <si>
    <t>2022 Solar Together - Transmission Insurance</t>
  </si>
  <si>
    <t>2023 Solar Together - Generation Capital</t>
  </si>
  <si>
    <t>2023 Solar Together - Generation Property Taxes</t>
  </si>
  <si>
    <t>2023 Solar Together - Generation Insurance</t>
  </si>
  <si>
    <t>2023 Solar Together - Generation Lease</t>
  </si>
  <si>
    <t>2023 Solar Together - Generation O&amp;M</t>
  </si>
  <si>
    <t>2023 Solar Together - Transmission Capital</t>
  </si>
  <si>
    <t>2023 Solar Together - Transmission Property Taxes</t>
  </si>
  <si>
    <t>2023 Solar Together - Transmission Insurance</t>
  </si>
  <si>
    <t>2024 Solar Together - Generation Capital</t>
  </si>
  <si>
    <t>2024 Solar Together - Generation Property Taxes</t>
  </si>
  <si>
    <t>2024 Solar Together - Generation Insurance</t>
  </si>
  <si>
    <t>2024 Solar Together - Generation Lease</t>
  </si>
  <si>
    <t>2024 Solar Together - Generation O&amp;M</t>
  </si>
  <si>
    <t>2024 Solar Together - Transmission Capital</t>
  </si>
  <si>
    <t>2024 Solar Together - Transmission Property Taxes</t>
  </si>
  <si>
    <t>2024 Solar Together - Transmission Insurance</t>
  </si>
  <si>
    <t>SoBra 700MWs</t>
  </si>
  <si>
    <t>SoBra700</t>
  </si>
  <si>
    <t>CPVRR 2054</t>
  </si>
  <si>
    <t>Conventional Generation (Capital / FOM / Gas Reserv.)</t>
  </si>
  <si>
    <t>Unit</t>
  </si>
  <si>
    <t>Capacity</t>
  </si>
  <si>
    <t>Total Capital</t>
  </si>
  <si>
    <t>CT</t>
  </si>
  <si>
    <t>CC</t>
  </si>
  <si>
    <t>Total</t>
  </si>
  <si>
    <t>New CT</t>
  </si>
  <si>
    <t>New CT Ave</t>
  </si>
  <si>
    <t>CRN</t>
  </si>
  <si>
    <t xml:space="preserve">New 2x1 CC J </t>
  </si>
  <si>
    <t xml:space="preserve">New 2x1 CC J Duct </t>
  </si>
  <si>
    <t>Anclote</t>
  </si>
  <si>
    <t>New 2x1 CC J</t>
  </si>
  <si>
    <t>New 2x1 CC J Duct</t>
  </si>
  <si>
    <t>Conventional Generation Fixed Costs</t>
  </si>
  <si>
    <t>New Solar Fixed Costs</t>
  </si>
  <si>
    <t>Low Carbon Costs_Mid Fuel</t>
  </si>
  <si>
    <t>VOM Cost</t>
  </si>
  <si>
    <t>Emerg Energy</t>
  </si>
  <si>
    <t>Energy Rev</t>
  </si>
  <si>
    <t>Start Cost</t>
  </si>
  <si>
    <t>Lime Cost</t>
  </si>
  <si>
    <t>Reagent Cost</t>
  </si>
  <si>
    <t>NOX Cost</t>
  </si>
  <si>
    <t>SO2 Cost</t>
  </si>
  <si>
    <t>CPVRR Through Year 2054</t>
  </si>
  <si>
    <t>Financial Assumptions FL_3_24_2020 12_11 PM</t>
  </si>
  <si>
    <t>Santa Fe - land owned</t>
  </si>
  <si>
    <t>Twin Rivers - Capital Lease</t>
  </si>
  <si>
    <t>Duette - land owned</t>
  </si>
  <si>
    <t>Charlie Creek - Capital Lease</t>
  </si>
  <si>
    <t>Archer - land owned</t>
  </si>
  <si>
    <t>Duette</t>
  </si>
  <si>
    <t>Charlie Creek</t>
  </si>
  <si>
    <t>2022 Clean Energy Connection</t>
  </si>
  <si>
    <t>2023 Clean Energy Connection</t>
  </si>
  <si>
    <t>2024 Clean Energy Connection</t>
  </si>
  <si>
    <t>Clean Energy Connection</t>
  </si>
  <si>
    <t>Clean Energy Connection 750 MWs</t>
  </si>
  <si>
    <t>Clean Energy Connection 750MWs</t>
  </si>
  <si>
    <t>Clean Energy Connection 750MWs - SoBra 700MWs</t>
  </si>
  <si>
    <t>Archer - Generation Capital</t>
  </si>
  <si>
    <t>Archer - Generation Property Taxes</t>
  </si>
  <si>
    <t>Archer - Generation Insurance</t>
  </si>
  <si>
    <t>Archer - Generation Lease</t>
  </si>
  <si>
    <t>Archer - Generation O&amp;M</t>
  </si>
  <si>
    <t>Archer - Transmission Capital</t>
  </si>
  <si>
    <t>Archer - Transmission Property Taxes</t>
  </si>
  <si>
    <t>Archer - Transmission Insurance</t>
  </si>
  <si>
    <t>Duette - Generation Capital</t>
  </si>
  <si>
    <t>Duette - Generation Property Taxes</t>
  </si>
  <si>
    <t>Duette - Generation Insurance</t>
  </si>
  <si>
    <t>Duette - Generation Lease</t>
  </si>
  <si>
    <t>Duette - Generation O&amp;M</t>
  </si>
  <si>
    <t>Duette - Transmission Capital</t>
  </si>
  <si>
    <t>Duette - Transmission Property Taxes</t>
  </si>
  <si>
    <t>Duette - Transmission Insurance</t>
  </si>
  <si>
    <t>Charlie Creek - Generation Capital</t>
  </si>
  <si>
    <t>Charlie Creek - Generation Property Taxes</t>
  </si>
  <si>
    <t>Charlie Creek - Generation Insurance</t>
  </si>
  <si>
    <t>Charlie Creek - Generation Lease</t>
  </si>
  <si>
    <t>Charlie Creek - Generation O&amp;M</t>
  </si>
  <si>
    <t>Charlie Creek - Transmission Capital</t>
  </si>
  <si>
    <t>Charlie Creek - Transmission Property Taxes</t>
  </si>
  <si>
    <t>Charlie Creek - Transmission Insurance</t>
  </si>
  <si>
    <t xml:space="preserve">Archer </t>
  </si>
  <si>
    <t>CPVRR 2053</t>
  </si>
  <si>
    <t>CPVRR Through Year 2053 $M 2020$</t>
  </si>
  <si>
    <t>January</t>
  </si>
  <si>
    <t>2023 CEC Units</t>
  </si>
  <si>
    <t>2024 CEC Units</t>
  </si>
  <si>
    <t>2022 CEC Units</t>
  </si>
  <si>
    <t>$k</t>
  </si>
  <si>
    <t>$M</t>
  </si>
  <si>
    <t>2022 CEC</t>
  </si>
  <si>
    <t>2023 CEC</t>
  </si>
  <si>
    <t>2024 CEC</t>
  </si>
  <si>
    <t>CPVRR Through Year 2053 2020$M - Resource Plan through 2046 and extension through 2053 $M</t>
  </si>
  <si>
    <t>CPVRR Through Year 2053 2020 $M</t>
  </si>
  <si>
    <t>Clean Energy Connection Program Admin Summary</t>
  </si>
  <si>
    <t># of Accounts Table</t>
  </si>
  <si>
    <t>IT</t>
  </si>
  <si>
    <t>SMB Accounts</t>
  </si>
  <si>
    <t>Prog. Size</t>
  </si>
  <si>
    <t>SMB</t>
  </si>
  <si>
    <t>RES</t>
  </si>
  <si>
    <t>LMI</t>
  </si>
  <si>
    <t>Labor</t>
  </si>
  <si>
    <t>RES Accounts</t>
  </si>
  <si>
    <t>2022 New Sites</t>
  </si>
  <si>
    <t>Marketing</t>
  </si>
  <si>
    <t>LMI Accounts</t>
  </si>
  <si>
    <t>2023 New Sites</t>
  </si>
  <si>
    <t xml:space="preserve"> RECs</t>
  </si>
  <si>
    <t>Avg MWh/MW</t>
  </si>
  <si>
    <t>Program Size:</t>
  </si>
  <si>
    <t>Program Assumptions</t>
  </si>
  <si>
    <t xml:space="preserve">1 MW = </t>
  </si>
  <si>
    <t>kW</t>
  </si>
  <si>
    <t>1 block =</t>
  </si>
  <si>
    <t xml:space="preserve">Avg RES/SMB  </t>
  </si>
  <si>
    <t>KW</t>
  </si>
  <si>
    <t>Avg LMI</t>
  </si>
  <si>
    <t>Yr 0</t>
  </si>
  <si>
    <t>Yr 1</t>
  </si>
  <si>
    <t>Yr 2</t>
  </si>
  <si>
    <t>Yr 3</t>
  </si>
  <si>
    <t>Yr 4</t>
  </si>
  <si>
    <t>Yr 5</t>
  </si>
  <si>
    <t>Yr 6</t>
  </si>
  <si>
    <t>Yr 7</t>
  </si>
  <si>
    <t>Yr 8</t>
  </si>
  <si>
    <t>Yr 9</t>
  </si>
  <si>
    <t>Yr 10</t>
  </si>
  <si>
    <t>Yr 11</t>
  </si>
  <si>
    <t>Yr 12</t>
  </si>
  <si>
    <t>Yr 13</t>
  </si>
  <si>
    <t>Yr 14</t>
  </si>
  <si>
    <t>Yr 15</t>
  </si>
  <si>
    <t>Yr 16</t>
  </si>
  <si>
    <t>Yr 17</t>
  </si>
  <si>
    <t>Yr 18</t>
  </si>
  <si>
    <t>Yr 19</t>
  </si>
  <si>
    <t>Yr 20</t>
  </si>
  <si>
    <t>Yr 21</t>
  </si>
  <si>
    <t>Yr 22</t>
  </si>
  <si>
    <t>Yr 23</t>
  </si>
  <si>
    <t>Yr 24</t>
  </si>
  <si>
    <t>Yr 25</t>
  </si>
  <si>
    <t>Yr 26</t>
  </si>
  <si>
    <t>Yr 27</t>
  </si>
  <si>
    <t>Yr 28</t>
  </si>
  <si>
    <t>Yr 29</t>
  </si>
  <si>
    <t>Yr 30</t>
  </si>
  <si>
    <t>Yr 31</t>
  </si>
  <si>
    <t>Yr 32</t>
  </si>
  <si>
    <t>Yr 33</t>
  </si>
  <si>
    <t>RES/SMB</t>
  </si>
  <si>
    <t>New Subscribers</t>
  </si>
  <si>
    <t>Attrition</t>
  </si>
  <si>
    <t>Net Participation</t>
  </si>
  <si>
    <t>Average Participation</t>
  </si>
  <si>
    <t>Combined</t>
  </si>
  <si>
    <t>Net Cumulative Participation</t>
  </si>
  <si>
    <t>Customer Connect</t>
  </si>
  <si>
    <t>Software</t>
  </si>
  <si>
    <t>Labor Assumptions</t>
  </si>
  <si>
    <t>Labor Costs</t>
  </si>
  <si>
    <t>Program Manager</t>
  </si>
  <si>
    <t>Program Specialist</t>
  </si>
  <si>
    <t>Corp Com &amp; Marketing</t>
  </si>
  <si>
    <t>Business Analyst</t>
  </si>
  <si>
    <t>Annual Labor Cost</t>
  </si>
  <si>
    <t>$/Piece</t>
  </si>
  <si>
    <t>$/Design</t>
  </si>
  <si>
    <t>Integration</t>
  </si>
  <si>
    <t>SSO</t>
  </si>
  <si>
    <t>LMI Mailers</t>
  </si>
  <si>
    <t>Emails</t>
  </si>
  <si>
    <t>Website</t>
  </si>
  <si>
    <t>Video</t>
  </si>
  <si>
    <t>Mobile App</t>
  </si>
  <si>
    <t>Bill Inserts</t>
  </si>
  <si>
    <t>e-Newsletter</t>
  </si>
  <si>
    <t>LMI In App Advertising</t>
  </si>
  <si>
    <t>/ 3 months</t>
  </si>
  <si>
    <t>Social Media</t>
  </si>
  <si>
    <t>/ month</t>
  </si>
  <si>
    <t>Printed Collateral</t>
  </si>
  <si>
    <t>Marketing Costs</t>
  </si>
  <si>
    <t>Digital Ads/ Social</t>
  </si>
  <si>
    <t>LMI Events</t>
  </si>
  <si>
    <t>Marketing Cost/ New Customer</t>
  </si>
  <si>
    <t>RECs</t>
  </si>
  <si>
    <t>Program MW</t>
  </si>
  <si>
    <t>MWh Generation</t>
  </si>
  <si>
    <t>NAR Fee</t>
  </si>
  <si>
    <t>Total Admin Expense (incl. RECs)</t>
  </si>
  <si>
    <t>Adm. Costs</t>
  </si>
  <si>
    <t>COD Month</t>
  </si>
  <si>
    <t># of Accounts Table Multipliers</t>
  </si>
  <si>
    <t>COD Table (Multipliers)</t>
  </si>
  <si>
    <t>2022 MW</t>
  </si>
  <si>
    <t>Mutiplier</t>
  </si>
  <si>
    <t>2023 MW</t>
  </si>
  <si>
    <t>2024 MW</t>
  </si>
  <si>
    <t>2024 New Sites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</si>
  <si>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</si>
  <si>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</si>
  <si>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</si>
  <si>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</si>
  <si>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</si>
  <si>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</si>
  <si>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</si>
  <si>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</si>
  <si>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</si>
  <si>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</si>
  <si>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</si>
  <si>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Inputs</t>
  </si>
  <si>
    <t>(000s)</t>
  </si>
  <si>
    <t>Investment (000s)</t>
  </si>
  <si>
    <t>Tax Depreciation</t>
  </si>
  <si>
    <t>Pre-Tax WACC</t>
  </si>
  <si>
    <t>Book Depreciation</t>
  </si>
  <si>
    <t>Tax - Book</t>
  </si>
  <si>
    <t>MACRS - 5 Year</t>
  </si>
  <si>
    <t>Cumulative Tax-Book</t>
  </si>
  <si>
    <t>ADIT</t>
  </si>
  <si>
    <t>Gross Plant</t>
  </si>
  <si>
    <t>Acc Depreciation</t>
  </si>
  <si>
    <t>Net Plant (Rate Base)</t>
  </si>
  <si>
    <t>Rate Base</t>
  </si>
  <si>
    <t>Return on Rate Base</t>
  </si>
  <si>
    <t>Revenue Requirement</t>
  </si>
  <si>
    <t>Admin Costs - Revenue Requirements</t>
  </si>
  <si>
    <t>Capital Portion</t>
  </si>
  <si>
    <t>Expense Portion (other items from Admin Cost)</t>
  </si>
  <si>
    <t>CPVRR 2051</t>
  </si>
  <si>
    <t>CPVRR 2052</t>
  </si>
  <si>
    <t>Admin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</si>
</sst>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%"/>
    <numFmt numFmtId="166" formatCode="0.0000%"/>
    <numFmt numFmtId="167" formatCode="0.0%"/>
    <numFmt numFmtId="168" formatCode="0.00000%"/>
    <numFmt numFmtId="169" formatCode="0.0"/>
    <numFmt numFmtId="170" formatCode="#,##0.0_);[Red]\(#,##0.0\)"/>
    <numFmt numFmtId="171" formatCode="&quot;$&quot;#,##0\ ;\(&quot;$&quot;#,##0\)"/>
    <numFmt numFmtId="172" formatCode="m/d"/>
    <numFmt numFmtId="173" formatCode="m/d/yy\ h:mm"/>
    <numFmt numFmtId="174" formatCode="_([$€-2]* #,##0.00_);_([$€-2]* \(#,##0.00\);_([$€-2]* &quot;-&quot;??_)"/>
    <numFmt numFmtId="175" formatCode="#,##0."/>
    <numFmt numFmtId="176" formatCode="0.000000%"/>
    <numFmt numFmtId="177" formatCode="#,##0;\(#,##0\)"/>
    <numFmt numFmtId="178" formatCode="mmm\ dd\,\ yyyy"/>
    <numFmt numFmtId="179" formatCode="mmm\-yyyy"/>
    <numFmt numFmtId="180" formatCode="yyyy"/>
    <numFmt numFmtId="181" formatCode="#,##0.0_);\-#,##0.0_);\-_)"/>
    <numFmt numFmtId="182" formatCode="&quot;$&quot;#,##0"/>
    <numFmt numFmtId="183" formatCode="_(* #,##0.0_);_(* \(#,##0.0\);_(* &quot;-&quot;??_);_(@_)"/>
    <numFmt numFmtId="184" formatCode="_(&quot;$&quot;* #,##0_);_(&quot;$&quot;* \(#,##0\);_(&quot;$&quot;* &quot;-&quot;??_);_(@_)"/>
    <numFmt numFmtId="185" formatCode="_(* #,##0.0000_);_(* \(#,##0.0000\);_(* &quot;-&quot;??_);_(@_)"/>
    <numFmt numFmtId="186" formatCode="&quot;$&quot;#,##0.00"/>
    <numFmt numFmtId="187" formatCode="0.000"/>
    <numFmt numFmtId="188" formatCode="0.0000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2"/>
      <name val="Helv"/>
    </font>
    <font>
      <b/>
      <i/>
      <sz val="10"/>
      <name val="Helv"/>
    </font>
    <font>
      <sz val="11"/>
      <color indexed="8"/>
      <name val="Calibri"/>
      <family val="2"/>
    </font>
    <font>
      <b/>
      <sz val="8"/>
      <name val="Helv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Courier"/>
      <family val="3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sz val="10"/>
      <color indexed="54"/>
      <name val="Verdana"/>
      <family val="2"/>
    </font>
    <font>
      <sz val="10"/>
      <name val="Arial "/>
    </font>
    <font>
      <b/>
      <sz val="10.8"/>
      <color indexed="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color indexed="24"/>
      <name val="Arial"/>
      <family val="2"/>
    </font>
    <font>
      <sz val="10"/>
      <name val="MS Sans Serif"/>
      <family val="2"/>
    </font>
    <font>
      <sz val="12"/>
      <name val="swiss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2"/>
      <color indexed="12"/>
      <name val="SWISS"/>
      <family val="2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0"/>
      <color indexed="24"/>
      <name val="Arial"/>
      <family val="2"/>
    </font>
    <font>
      <b/>
      <u/>
      <sz val="10"/>
      <color indexed="24"/>
      <name val="Arial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b/>
      <i/>
      <sz val="12"/>
      <color indexed="57"/>
      <name val="SWISS"/>
    </font>
    <font>
      <sz val="12"/>
      <color indexed="32"/>
      <name val="SWISS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12"/>
      <color indexed="8"/>
      <name val="Arial"/>
      <family val="2"/>
    </font>
    <font>
      <sz val="9"/>
      <color indexed="0"/>
      <name val="Arial"/>
      <family val="2"/>
    </font>
    <font>
      <b/>
      <sz val="11"/>
      <color indexed="63"/>
      <name val="Calibri"/>
      <family val="2"/>
    </font>
    <font>
      <b/>
      <sz val="12"/>
      <color indexed="38"/>
      <name val="SWISS"/>
    </font>
    <font>
      <i/>
      <sz val="12"/>
      <name val="Helv"/>
    </font>
    <font>
      <b/>
      <sz val="10"/>
      <name val="Arial"/>
      <family val="2"/>
    </font>
    <font>
      <b/>
      <sz val="9"/>
      <color indexed="28"/>
      <name val="Arial"/>
      <family val="2"/>
    </font>
    <font>
      <b/>
      <sz val="18"/>
      <color indexed="56"/>
      <name val="Cambria"/>
      <family val="2"/>
    </font>
    <font>
      <b/>
      <i/>
      <sz val="12"/>
      <color indexed="50"/>
      <name val="SWISS"/>
      <family val="2"/>
    </font>
    <font>
      <sz val="11"/>
      <color indexed="10"/>
      <name val="Calibri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u/>
      <sz val="10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indexed="14"/>
        <bgColor indexed="14"/>
      </patternFill>
    </fill>
    <fill>
      <patternFill patternType="solid">
        <fgColor indexed="10"/>
        <bgColor indexed="10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33"/>
        <bgColor indexed="64"/>
      </patternFill>
    </fill>
    <fill>
      <patternFill patternType="solid">
        <fgColor indexed="15"/>
        <bgColor indexed="1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8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471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 applyNumberFormat="0"/>
    <xf numFmtId="0" fontId="4" fillId="0" borderId="0"/>
    <xf numFmtId="0" fontId="4" fillId="0" borderId="0"/>
    <xf numFmtId="0" fontId="4" fillId="0" borderId="0" applyNumberFormat="0"/>
    <xf numFmtId="0" fontId="4" fillId="0" borderId="0" applyNumberFormat="0"/>
    <xf numFmtId="0" fontId="6" fillId="0" borderId="0">
      <alignment horizontal="center"/>
    </xf>
    <xf numFmtId="0" fontId="7" fillId="0" borderId="0">
      <alignment horizont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" fillId="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" fillId="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1" fillId="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1" fillId="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1" fillId="11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1" fillId="13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21" borderId="0" applyNumberFormat="0" applyBorder="0" applyAlignment="0" applyProtection="0"/>
    <xf numFmtId="39" fontId="9" fillId="0" borderId="0">
      <alignment horizontal="center"/>
    </xf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1" fillId="4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1" fillId="6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1" fillId="8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1" fillId="10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1" fillId="1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" fillId="14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40" fontId="11" fillId="34" borderId="0" applyNumberFormat="0" applyProtection="0"/>
    <xf numFmtId="40" fontId="11" fillId="34" borderId="0" applyNumberForma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3" fillId="35" borderId="2" applyNumberFormat="0" applyAlignment="0" applyProtection="0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5" fillId="36" borderId="4" applyNumberFormat="0" applyAlignment="0" applyProtection="0"/>
    <xf numFmtId="0" fontId="15" fillId="36" borderId="4" applyNumberFormat="0" applyAlignment="0" applyProtection="0"/>
    <xf numFmtId="0" fontId="15" fillId="36" borderId="4" applyNumberFormat="0" applyAlignment="0" applyProtection="0"/>
    <xf numFmtId="0" fontId="15" fillId="36" borderId="4" applyNumberFormat="0" applyAlignment="0" applyProtection="0"/>
    <xf numFmtId="0" fontId="15" fillId="36" borderId="4" applyNumberFormat="0" applyAlignment="0" applyProtection="0"/>
    <xf numFmtId="0" fontId="15" fillId="36" borderId="4" applyNumberFormat="0" applyAlignment="0" applyProtection="0"/>
    <xf numFmtId="0" fontId="15" fillId="36" borderId="4" applyNumberFormat="0" applyAlignment="0" applyProtection="0"/>
    <xf numFmtId="0" fontId="15" fillId="36" borderId="4" applyNumberFormat="0" applyAlignment="0" applyProtection="0"/>
    <xf numFmtId="0" fontId="15" fillId="36" borderId="4" applyNumberFormat="0" applyAlignment="0" applyProtection="0"/>
    <xf numFmtId="0" fontId="15" fillId="36" borderId="4" applyNumberFormat="0" applyAlignment="0" applyProtection="0"/>
    <xf numFmtId="169" fontId="16" fillId="37" borderId="5">
      <alignment horizontal="right" vertical="center"/>
    </xf>
    <xf numFmtId="169" fontId="16" fillId="37" borderId="5">
      <alignment horizontal="right" vertical="center"/>
    </xf>
    <xf numFmtId="0" fontId="16" fillId="38" borderId="5">
      <alignment horizontal="center" vertical="center"/>
    </xf>
    <xf numFmtId="0" fontId="16" fillId="38" borderId="5">
      <alignment horizontal="center" vertical="center"/>
    </xf>
    <xf numFmtId="169" fontId="16" fillId="37" borderId="5">
      <alignment horizontal="right" vertical="center"/>
    </xf>
    <xf numFmtId="169" fontId="16" fillId="37" borderId="5">
      <alignment horizontal="right" vertical="center"/>
    </xf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4" fillId="37" borderId="0"/>
    <xf numFmtId="0" fontId="17" fillId="37" borderId="5">
      <alignment horizontal="left" vertical="center"/>
    </xf>
    <xf numFmtId="0" fontId="17" fillId="37" borderId="5">
      <alignment horizontal="left" vertical="center"/>
    </xf>
    <xf numFmtId="0" fontId="16" fillId="39" borderId="5">
      <alignment horizontal="left" vertical="center"/>
    </xf>
    <xf numFmtId="0" fontId="16" fillId="39" borderId="5">
      <alignment horizontal="left" vertical="center"/>
    </xf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>
      <alignment horizontal="left" vertical="center"/>
    </xf>
    <xf numFmtId="43" fontId="19" fillId="0" borderId="0">
      <alignment horizontal="left" vertical="center"/>
    </xf>
    <xf numFmtId="43" fontId="19" fillId="0" borderId="0">
      <alignment horizontal="left" vertical="center"/>
    </xf>
    <xf numFmtId="43" fontId="19" fillId="0" borderId="0">
      <alignment horizontal="left" vertical="center"/>
    </xf>
    <xf numFmtId="43" fontId="19" fillId="0" borderId="0">
      <alignment horizontal="left" vertical="center"/>
    </xf>
    <xf numFmtId="43" fontId="19" fillId="0" borderId="0">
      <alignment horizontal="left" vertical="center"/>
    </xf>
    <xf numFmtId="43" fontId="19" fillId="0" borderId="0">
      <alignment horizontal="left" vertical="center"/>
    </xf>
    <xf numFmtId="43" fontId="19" fillId="0" borderId="0">
      <alignment horizontal="left" vertical="center"/>
    </xf>
    <xf numFmtId="43" fontId="19" fillId="0" borderId="0">
      <alignment horizontal="left" vertical="center"/>
    </xf>
    <xf numFmtId="43" fontId="19" fillId="0" borderId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>
      <alignment horizontal="left"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>
      <alignment horizontal="left" vertical="center"/>
    </xf>
    <xf numFmtId="43" fontId="19" fillId="0" borderId="0">
      <alignment horizontal="left" vertical="center"/>
    </xf>
    <xf numFmtId="43" fontId="19" fillId="0" borderId="0">
      <alignment horizontal="left" vertical="center"/>
    </xf>
    <xf numFmtId="43" fontId="19" fillId="0" borderId="0">
      <alignment horizontal="left" vertical="center"/>
    </xf>
    <xf numFmtId="43" fontId="19" fillId="0" borderId="0">
      <alignment horizontal="left"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6" fontId="2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22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3" fontId="4" fillId="0" borderId="0" applyFont="0" applyFill="0" applyBorder="0" applyAlignment="0" applyProtection="0">
      <alignment wrapText="1"/>
    </xf>
    <xf numFmtId="174" fontId="2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5" fontId="26" fillId="0" borderId="0">
      <protection locked="0"/>
    </xf>
    <xf numFmtId="175" fontId="26" fillId="0" borderId="0">
      <protection locked="0"/>
    </xf>
    <xf numFmtId="175" fontId="26" fillId="0" borderId="0">
      <protection locked="0"/>
    </xf>
    <xf numFmtId="175" fontId="26" fillId="0" borderId="0">
      <protection locked="0"/>
    </xf>
    <xf numFmtId="175" fontId="26" fillId="0" borderId="0">
      <protection locked="0"/>
    </xf>
    <xf numFmtId="175" fontId="26" fillId="0" borderId="0">
      <protection locked="0"/>
    </xf>
    <xf numFmtId="175" fontId="26" fillId="0" borderId="0">
      <protection locked="0"/>
    </xf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22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7" fillId="40" borderId="3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38" fontId="11" fillId="38" borderId="0" applyNumberFormat="0" applyBorder="0" applyAlignment="0" applyProtection="0"/>
    <xf numFmtId="38" fontId="11" fillId="38" borderId="0" applyNumberFormat="0" applyBorder="0" applyAlignment="0" applyProtection="0"/>
    <xf numFmtId="0" fontId="29" fillId="0" borderId="6" applyNumberFormat="0" applyAlignment="0" applyProtection="0">
      <alignment horizontal="left" vertical="center"/>
    </xf>
    <xf numFmtId="0" fontId="29" fillId="0" borderId="7">
      <alignment horizontal="left" vertical="center"/>
    </xf>
    <xf numFmtId="0" fontId="30" fillId="0" borderId="0" applyNumberFormat="0" applyFont="0" applyFill="0" applyAlignment="0" applyProtection="0"/>
    <xf numFmtId="0" fontId="30" fillId="0" borderId="0" applyNumberFormat="0" applyFont="0" applyFill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ont="0" applyFill="0" applyAlignment="0" applyProtection="0"/>
    <xf numFmtId="0" fontId="30" fillId="0" borderId="0" applyNumberFormat="0" applyFont="0" applyFill="0" applyAlignment="0" applyProtection="0"/>
    <xf numFmtId="0" fontId="30" fillId="0" borderId="0" applyNumberFormat="0" applyFont="0" applyFill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ont="0" applyFill="0" applyAlignment="0" applyProtection="0"/>
    <xf numFmtId="0" fontId="30" fillId="0" borderId="0" applyNumberFormat="0" applyFont="0" applyFill="0" applyAlignment="0" applyProtection="0"/>
    <xf numFmtId="0" fontId="30" fillId="0" borderId="0" applyNumberFormat="0" applyFont="0" applyFill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ont="0" applyFill="0" applyAlignment="0" applyProtection="0"/>
    <xf numFmtId="0" fontId="30" fillId="0" borderId="0" applyNumberFormat="0" applyFont="0" applyFill="0" applyAlignment="0" applyProtection="0"/>
    <xf numFmtId="0" fontId="30" fillId="0" borderId="0" applyNumberFormat="0" applyFont="0" applyFill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ont="0" applyFill="0" applyAlignment="0" applyProtection="0"/>
    <xf numFmtId="0" fontId="30" fillId="0" borderId="0" applyNumberFormat="0" applyFont="0" applyFill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ont="0" applyFill="0" applyAlignment="0" applyProtection="0"/>
    <xf numFmtId="0" fontId="30" fillId="0" borderId="0" applyNumberFormat="0" applyFon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ont="0" applyFill="0" applyAlignment="0" applyProtection="0"/>
    <xf numFmtId="0" fontId="29" fillId="0" borderId="0" applyNumberFormat="0" applyFont="0" applyFill="0" applyAlignment="0" applyProtection="0"/>
    <xf numFmtId="0" fontId="32" fillId="0" borderId="0" applyNumberFormat="0" applyFill="0" applyBorder="0" applyAlignment="0" applyProtection="0"/>
    <xf numFmtId="0" fontId="29" fillId="0" borderId="0" applyNumberFormat="0" applyFon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4" fillId="41" borderId="9"/>
    <xf numFmtId="0" fontId="14" fillId="41" borderId="9"/>
    <xf numFmtId="0" fontId="14" fillId="41" borderId="9"/>
    <xf numFmtId="0" fontId="14" fillId="41" borderId="9"/>
    <xf numFmtId="0" fontId="14" fillId="41" borderId="9"/>
    <xf numFmtId="0" fontId="14" fillId="41" borderId="9"/>
    <xf numFmtId="0" fontId="14" fillId="41" borderId="9"/>
    <xf numFmtId="0" fontId="14" fillId="41" borderId="9"/>
    <xf numFmtId="0" fontId="14" fillId="41" borderId="9"/>
    <xf numFmtId="0" fontId="14" fillId="42" borderId="3"/>
    <xf numFmtId="0" fontId="14" fillId="42" borderId="3"/>
    <xf numFmtId="0" fontId="14" fillId="42" borderId="3"/>
    <xf numFmtId="0" fontId="14" fillId="42" borderId="3"/>
    <xf numFmtId="0" fontId="14" fillId="42" borderId="3"/>
    <xf numFmtId="0" fontId="14" fillId="42" borderId="3"/>
    <xf numFmtId="0" fontId="14" fillId="42" borderId="3"/>
    <xf numFmtId="0" fontId="14" fillId="42" borderId="3"/>
    <xf numFmtId="0" fontId="14" fillId="42" borderId="3"/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14" fillId="40" borderId="3"/>
    <xf numFmtId="0" fontId="14" fillId="40" borderId="3"/>
    <xf numFmtId="0" fontId="14" fillId="40" borderId="3"/>
    <xf numFmtId="0" fontId="14" fillId="40" borderId="3"/>
    <xf numFmtId="0" fontId="14" fillId="40" borderId="3"/>
    <xf numFmtId="0" fontId="14" fillId="40" borderId="3"/>
    <xf numFmtId="0" fontId="14" fillId="40" borderId="3"/>
    <xf numFmtId="0" fontId="14" fillId="40" borderId="3"/>
    <xf numFmtId="0" fontId="14" fillId="40" borderId="3"/>
    <xf numFmtId="3" fontId="36" fillId="0" borderId="0" applyNumberFormat="0" applyFill="0" applyBorder="0" applyAlignment="0" applyProtection="0"/>
    <xf numFmtId="10" fontId="11" fillId="39" borderId="10" applyNumberFormat="0" applyBorder="0" applyAlignment="0" applyProtection="0"/>
    <xf numFmtId="10" fontId="11" fillId="39" borderId="10" applyNumberFormat="0" applyBorder="0" applyAlignment="0" applyProtection="0"/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0" fontId="38" fillId="21" borderId="2" applyNumberFormat="0" applyAlignment="0" applyProtection="0"/>
    <xf numFmtId="0" fontId="38" fillId="21" borderId="2" applyNumberFormat="0" applyAlignment="0" applyProtection="0"/>
    <xf numFmtId="0" fontId="38" fillId="21" borderId="2" applyNumberFormat="0" applyAlignment="0" applyProtection="0"/>
    <xf numFmtId="0" fontId="38" fillId="21" borderId="2" applyNumberFormat="0" applyAlignment="0" applyProtection="0"/>
    <xf numFmtId="0" fontId="38" fillId="21" borderId="2" applyNumberFormat="0" applyAlignment="0" applyProtection="0"/>
    <xf numFmtId="0" fontId="38" fillId="21" borderId="2" applyNumberFormat="0" applyAlignment="0" applyProtection="0"/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0" fontId="38" fillId="21" borderId="2" applyNumberFormat="0" applyAlignment="0" applyProtection="0"/>
    <xf numFmtId="0" fontId="38" fillId="21" borderId="2" applyNumberFormat="0" applyAlignment="0" applyProtection="0"/>
    <xf numFmtId="0" fontId="38" fillId="21" borderId="2" applyNumberFormat="0" applyAlignment="0" applyProtection="0"/>
    <xf numFmtId="0" fontId="38" fillId="21" borderId="2" applyNumberFormat="0" applyAlignment="0" applyProtection="0"/>
    <xf numFmtId="0" fontId="38" fillId="21" borderId="2" applyNumberFormat="0" applyAlignment="0" applyProtection="0"/>
    <xf numFmtId="0" fontId="38" fillId="21" borderId="2" applyNumberFormat="0" applyAlignment="0" applyProtection="0"/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37" fontId="37" fillId="0" borderId="11" applyNumberFormat="0" applyAlignment="0">
      <protection locked="0"/>
    </xf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37" fontId="41" fillId="0" borderId="0"/>
    <xf numFmtId="176" fontId="4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43" fillId="0" borderId="0">
      <alignment horizontal="left"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>
      <alignment horizontal="left" vertical="center"/>
    </xf>
    <xf numFmtId="0" fontId="43" fillId="0" borderId="0">
      <alignment horizontal="left" vertical="center"/>
    </xf>
    <xf numFmtId="0" fontId="43" fillId="0" borderId="0">
      <alignment horizontal="left" vertical="center"/>
    </xf>
    <xf numFmtId="0" fontId="43" fillId="0" borderId="0">
      <alignment horizontal="left" vertical="center"/>
    </xf>
    <xf numFmtId="0" fontId="4" fillId="44" borderId="13" applyNumberFormat="0" applyFont="0" applyAlignment="0" applyProtection="0"/>
    <xf numFmtId="0" fontId="4" fillId="44" borderId="13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8" fillId="44" borderId="13" applyNumberFormat="0" applyFont="0" applyAlignment="0" applyProtection="0"/>
    <xf numFmtId="0" fontId="8" fillId="44" borderId="13" applyNumberFormat="0" applyFont="0" applyAlignment="0" applyProtection="0"/>
    <xf numFmtId="0" fontId="8" fillId="44" borderId="13" applyNumberFormat="0" applyFont="0" applyAlignment="0" applyProtection="0"/>
    <xf numFmtId="0" fontId="8" fillId="44" borderId="13" applyNumberFormat="0" applyFont="0" applyAlignment="0" applyProtection="0"/>
    <xf numFmtId="0" fontId="8" fillId="44" borderId="13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8" fillId="44" borderId="13" applyNumberFormat="0" applyFont="0" applyAlignment="0" applyProtection="0"/>
    <xf numFmtId="0" fontId="8" fillId="44" borderId="13" applyNumberFormat="0" applyFont="0" applyAlignment="0" applyProtection="0"/>
    <xf numFmtId="0" fontId="8" fillId="44" borderId="13" applyNumberFormat="0" applyFont="0" applyAlignment="0" applyProtection="0"/>
    <xf numFmtId="0" fontId="8" fillId="44" borderId="13" applyNumberFormat="0" applyFont="0" applyAlignment="0" applyProtection="0"/>
    <xf numFmtId="0" fontId="8" fillId="44" borderId="13" applyNumberFormat="0" applyFont="0" applyAlignment="0" applyProtection="0"/>
    <xf numFmtId="0" fontId="8" fillId="44" borderId="13" applyNumberFormat="0" applyFont="0" applyAlignment="0" applyProtection="0"/>
    <xf numFmtId="0" fontId="8" fillId="44" borderId="13" applyNumberFormat="0" applyFont="0" applyAlignment="0" applyProtection="0"/>
    <xf numFmtId="0" fontId="8" fillId="44" borderId="13" applyNumberFormat="0" applyFont="0" applyAlignment="0" applyProtection="0"/>
    <xf numFmtId="0" fontId="8" fillId="44" borderId="13" applyNumberFormat="0" applyFont="0" applyAlignment="0" applyProtection="0"/>
    <xf numFmtId="0" fontId="4" fillId="44" borderId="13" applyNumberFormat="0" applyFont="0" applyAlignment="0" applyProtection="0"/>
    <xf numFmtId="0" fontId="4" fillId="44" borderId="13" applyNumberFormat="0" applyFont="0" applyAlignment="0" applyProtection="0"/>
    <xf numFmtId="0" fontId="4" fillId="44" borderId="13" applyNumberFormat="0" applyFont="0" applyAlignment="0" applyProtection="0"/>
    <xf numFmtId="0" fontId="4" fillId="44" borderId="13" applyNumberFormat="0" applyFont="0" applyAlignment="0" applyProtection="0"/>
    <xf numFmtId="0" fontId="4" fillId="44" borderId="13" applyNumberFormat="0" applyFont="0" applyAlignment="0" applyProtection="0"/>
    <xf numFmtId="0" fontId="4" fillId="44" borderId="13" applyNumberFormat="0" applyFont="0" applyAlignment="0" applyProtection="0"/>
    <xf numFmtId="0" fontId="4" fillId="44" borderId="13" applyNumberFormat="0" applyFon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0" fontId="44" fillId="35" borderId="14" applyNumberFormat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3" fontId="45" fillId="0" borderId="0" applyNumberFormat="0" applyFill="0" applyBorder="0" applyAlignment="0"/>
    <xf numFmtId="177" fontId="46" fillId="0" borderId="0" applyProtection="0">
      <alignment horizontal="center"/>
    </xf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5" applyNumberFormat="0" applyProtection="0">
      <alignment horizontal="center"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7" fillId="45" borderId="16" applyNumberFormat="0" applyAlignment="0" applyProtection="0">
      <alignment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6" borderId="0" applyNumberFormat="0" applyBorder="0">
      <alignment horizontal="center"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17" applyNumberFormat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47" borderId="0" applyNumberFormat="0" applyBorder="0">
      <alignment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8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79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180" fontId="4" fillId="0" borderId="0" applyFill="0" applyBorder="0" applyAlignment="0" applyProtection="0">
      <alignment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 applyProtection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0" fontId="4" fillId="0" borderId="0" applyNumberFormat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17" fontId="4" fillId="0" borderId="0" applyFill="0" applyBorder="0">
      <alignment horizontal="right"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8" fontId="4" fillId="0" borderId="0" applyFill="0" applyBorder="0" applyAlignment="0" applyProtection="0">
      <alignment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29" fillId="0" borderId="0" applyNumberFormat="0" applyFill="0" applyBorder="0">
      <alignment horizontal="left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0" fontId="47" fillId="0" borderId="0" applyNumberFormat="0" applyFill="0" applyBorder="0">
      <alignment horizontal="center" wrapText="1"/>
    </xf>
    <xf numFmtId="181" fontId="48" fillId="48" borderId="18" applyBorder="0">
      <alignment horizontal="right" vertical="top" wrapText="1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22" fillId="0" borderId="20" applyNumberFormat="0" applyFont="0" applyFill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22" fillId="0" borderId="20" applyNumberFormat="0" applyFont="0" applyFill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22" fillId="0" borderId="20" applyNumberFormat="0" applyFont="0" applyFill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22" fillId="0" borderId="20" applyNumberFormat="0" applyFont="0" applyFill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22" fillId="0" borderId="20" applyNumberFormat="0" applyFont="0" applyFill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22" fillId="0" borderId="20" applyNumberFormat="0" applyFont="0" applyFill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22" fillId="0" borderId="20" applyNumberFormat="0" applyFont="0" applyFill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4" fillId="0" borderId="19" applyNumberFormat="0" applyFont="0" applyBorder="0" applyAlignment="0" applyProtection="0"/>
    <xf numFmtId="0" fontId="50" fillId="0" borderId="21"/>
    <xf numFmtId="0" fontId="14" fillId="49" borderId="3"/>
    <xf numFmtId="0" fontId="14" fillId="49" borderId="3"/>
    <xf numFmtId="0" fontId="14" fillId="49" borderId="3"/>
    <xf numFmtId="0" fontId="14" fillId="49" borderId="3"/>
    <xf numFmtId="0" fontId="14" fillId="49" borderId="3"/>
    <xf numFmtId="0" fontId="14" fillId="49" borderId="3"/>
    <xf numFmtId="0" fontId="14" fillId="49" borderId="3"/>
    <xf numFmtId="0" fontId="14" fillId="49" borderId="3"/>
    <xf numFmtId="0" fontId="14" fillId="49" borderId="3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" fillId="0" borderId="0" applyNumberFormat="0" applyFont="0" applyFill="0" applyBorder="0" applyProtection="0">
      <alignment horizontal="right" wrapText="1"/>
    </xf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33">
    <xf numFmtId="0" fontId="0" fillId="0" borderId="0" xfId="0"/>
    <xf numFmtId="0" fontId="0" fillId="15" borderId="0" xfId="0" applyFill="1"/>
    <xf numFmtId="8" fontId="0" fillId="0" borderId="0" xfId="0" applyNumberFormat="1"/>
    <xf numFmtId="0" fontId="0" fillId="0" borderId="0" xfId="0" applyBorder="1"/>
    <xf numFmtId="164" fontId="0" fillId="0" borderId="0" xfId="1" applyNumberFormat="1" applyFont="1" applyBorder="1"/>
    <xf numFmtId="164" fontId="0" fillId="0" borderId="28" xfId="1" applyNumberFormat="1" applyFont="1" applyBorder="1"/>
    <xf numFmtId="0" fontId="0" fillId="0" borderId="0" xfId="0" applyFill="1"/>
    <xf numFmtId="0" fontId="0" fillId="0" borderId="37" xfId="0" applyBorder="1"/>
    <xf numFmtId="0" fontId="0" fillId="0" borderId="39" xfId="0" applyBorder="1"/>
    <xf numFmtId="0" fontId="0" fillId="0" borderId="33" xfId="0" applyFill="1" applyBorder="1"/>
    <xf numFmtId="0" fontId="0" fillId="0" borderId="34" xfId="0" applyBorder="1"/>
    <xf numFmtId="0" fontId="0" fillId="0" borderId="42" xfId="0" applyBorder="1"/>
    <xf numFmtId="0" fontId="0" fillId="0" borderId="32" xfId="0" applyFill="1" applyBorder="1"/>
    <xf numFmtId="8" fontId="0" fillId="15" borderId="0" xfId="0" applyNumberFormat="1" applyFill="1"/>
    <xf numFmtId="164" fontId="0" fillId="0" borderId="5" xfId="0" applyNumberFormat="1" applyBorder="1"/>
    <xf numFmtId="164" fontId="0" fillId="0" borderId="0" xfId="1" applyNumberFormat="1" applyFont="1" applyFill="1"/>
    <xf numFmtId="164" fontId="0" fillId="0" borderId="0" xfId="0" applyNumberFormat="1" applyFill="1"/>
    <xf numFmtId="164" fontId="0" fillId="15" borderId="0" xfId="1" applyNumberFormat="1" applyFont="1" applyFill="1"/>
    <xf numFmtId="43" fontId="0" fillId="15" borderId="0" xfId="1" applyFont="1" applyFill="1"/>
    <xf numFmtId="164" fontId="0" fillId="0" borderId="27" xfId="1" applyNumberFormat="1" applyFont="1" applyBorder="1"/>
    <xf numFmtId="0" fontId="56" fillId="0" borderId="22" xfId="0" applyFont="1" applyBorder="1" applyAlignment="1">
      <alignment horizontal="center" vertical="center"/>
    </xf>
    <xf numFmtId="0" fontId="56" fillId="0" borderId="6" xfId="0" applyFont="1" applyBorder="1" applyAlignment="1">
      <alignment horizontal="center" vertical="center"/>
    </xf>
    <xf numFmtId="0" fontId="56" fillId="0" borderId="23" xfId="0" applyFont="1" applyBorder="1" applyAlignment="1">
      <alignment horizontal="center" vertical="center"/>
    </xf>
    <xf numFmtId="43" fontId="0" fillId="0" borderId="0" xfId="0" applyNumberFormat="1" applyFill="1"/>
    <xf numFmtId="8" fontId="0" fillId="0" borderId="0" xfId="0" applyNumberFormat="1" applyFill="1"/>
    <xf numFmtId="43" fontId="0" fillId="0" borderId="0" xfId="1" applyFont="1" applyFill="1"/>
    <xf numFmtId="0" fontId="56" fillId="0" borderId="54" xfId="0" applyFont="1" applyBorder="1" applyAlignment="1">
      <alignment horizontal="center" vertical="center"/>
    </xf>
    <xf numFmtId="164" fontId="0" fillId="0" borderId="53" xfId="1" applyNumberFormat="1" applyFont="1" applyBorder="1"/>
    <xf numFmtId="164" fontId="0" fillId="0" borderId="26" xfId="1" applyNumberFormat="1" applyFont="1" applyBorder="1"/>
    <xf numFmtId="164" fontId="0" fillId="0" borderId="24" xfId="1" applyNumberFormat="1" applyFont="1" applyBorder="1"/>
    <xf numFmtId="164" fontId="0" fillId="0" borderId="25" xfId="1" applyNumberFormat="1" applyFont="1" applyBorder="1"/>
    <xf numFmtId="0" fontId="52" fillId="0" borderId="55" xfId="0" applyFont="1" applyBorder="1"/>
    <xf numFmtId="169" fontId="0" fillId="0" borderId="0" xfId="0" applyNumberFormat="1" applyFill="1"/>
    <xf numFmtId="0" fontId="0" fillId="0" borderId="0" xfId="0" applyFill="1" applyAlignment="1">
      <alignment horizontal="center"/>
    </xf>
    <xf numFmtId="43" fontId="0" fillId="0" borderId="0" xfId="1" applyFont="1" applyFill="1" applyAlignment="1">
      <alignment horizontal="center"/>
    </xf>
    <xf numFmtId="164" fontId="0" fillId="0" borderId="33" xfId="1" applyNumberFormat="1" applyFont="1" applyFill="1" applyBorder="1"/>
    <xf numFmtId="0" fontId="0" fillId="0" borderId="0" xfId="0" applyFill="1" applyBorder="1"/>
    <xf numFmtId="9" fontId="0" fillId="0" borderId="0" xfId="0" applyNumberFormat="1" applyFill="1"/>
    <xf numFmtId="8" fontId="0" fillId="0" borderId="0" xfId="0" applyNumberFormat="1" applyFill="1" applyBorder="1"/>
    <xf numFmtId="0" fontId="0" fillId="0" borderId="50" xfId="0" applyFill="1" applyBorder="1"/>
    <xf numFmtId="0" fontId="0" fillId="0" borderId="27" xfId="0" applyBorder="1"/>
    <xf numFmtId="164" fontId="0" fillId="0" borderId="26" xfId="1" applyNumberFormat="1" applyFont="1" applyFill="1" applyBorder="1"/>
    <xf numFmtId="0" fontId="0" fillId="0" borderId="22" xfId="0" applyFill="1" applyBorder="1"/>
    <xf numFmtId="164" fontId="0" fillId="0" borderId="23" xfId="1" applyNumberFormat="1" applyFont="1" applyFill="1" applyBorder="1"/>
    <xf numFmtId="0" fontId="0" fillId="0" borderId="29" xfId="0" applyFill="1" applyBorder="1"/>
    <xf numFmtId="0" fontId="0" fillId="0" borderId="51" xfId="0" applyFill="1" applyBorder="1"/>
    <xf numFmtId="164" fontId="0" fillId="0" borderId="31" xfId="1" applyNumberFormat="1" applyFont="1" applyFill="1" applyBorder="1"/>
    <xf numFmtId="0" fontId="0" fillId="0" borderId="27" xfId="0" applyFill="1" applyBorder="1"/>
    <xf numFmtId="0" fontId="0" fillId="0" borderId="53" xfId="0" applyFill="1" applyBorder="1"/>
    <xf numFmtId="164" fontId="0" fillId="0" borderId="28" xfId="1" applyNumberFormat="1" applyFont="1" applyFill="1" applyBorder="1"/>
    <xf numFmtId="0" fontId="0" fillId="0" borderId="54" xfId="0" applyFill="1" applyBorder="1"/>
    <xf numFmtId="0" fontId="0" fillId="0" borderId="27" xfId="0" applyFill="1" applyBorder="1" applyAlignment="1">
      <alignment vertical="center"/>
    </xf>
    <xf numFmtId="164" fontId="0" fillId="0" borderId="0" xfId="1" applyNumberFormat="1" applyFont="1" applyFill="1" applyBorder="1"/>
    <xf numFmtId="43" fontId="0" fillId="0" borderId="27" xfId="1" applyFont="1" applyFill="1" applyBorder="1"/>
    <xf numFmtId="164" fontId="0" fillId="0" borderId="28" xfId="0" applyNumberFormat="1" applyFill="1" applyBorder="1"/>
    <xf numFmtId="0" fontId="60" fillId="0" borderId="54" xfId="0" applyFont="1" applyFill="1" applyBorder="1" applyAlignment="1">
      <alignment vertical="center"/>
    </xf>
    <xf numFmtId="1" fontId="60" fillId="0" borderId="54" xfId="0" applyNumberFormat="1" applyFont="1" applyFill="1" applyBorder="1" applyAlignment="1">
      <alignment horizontal="right" vertical="center"/>
    </xf>
    <xf numFmtId="43" fontId="60" fillId="0" borderId="22" xfId="1" applyFont="1" applyFill="1" applyBorder="1" applyAlignment="1">
      <alignment horizontal="right" vertical="center"/>
    </xf>
    <xf numFmtId="164" fontId="0" fillId="0" borderId="23" xfId="0" applyNumberFormat="1" applyFill="1" applyBorder="1"/>
    <xf numFmtId="0" fontId="0" fillId="0" borderId="29" xfId="0" applyFill="1" applyBorder="1" applyAlignment="1">
      <alignment vertical="center"/>
    </xf>
    <xf numFmtId="0" fontId="60" fillId="0" borderId="51" xfId="0" applyFont="1" applyFill="1" applyBorder="1" applyAlignment="1">
      <alignment vertical="center"/>
    </xf>
    <xf numFmtId="1" fontId="60" fillId="0" borderId="22" xfId="0" applyNumberFormat="1" applyFont="1" applyFill="1" applyBorder="1" applyAlignment="1">
      <alignment horizontal="right" vertical="center"/>
    </xf>
    <xf numFmtId="164" fontId="0" fillId="0" borderId="42" xfId="1" applyNumberFormat="1" applyFont="1" applyFill="1" applyBorder="1"/>
    <xf numFmtId="164" fontId="0" fillId="0" borderId="43" xfId="1" applyNumberFormat="1" applyFont="1" applyFill="1" applyBorder="1"/>
    <xf numFmtId="164" fontId="0" fillId="0" borderId="37" xfId="1" applyNumberFormat="1" applyFont="1" applyFill="1" applyBorder="1"/>
    <xf numFmtId="164" fontId="0" fillId="0" borderId="38" xfId="1" applyNumberFormat="1" applyFont="1" applyFill="1" applyBorder="1"/>
    <xf numFmtId="0" fontId="0" fillId="0" borderId="28" xfId="0" applyBorder="1"/>
    <xf numFmtId="6" fontId="0" fillId="0" borderId="35" xfId="0" applyNumberFormat="1" applyBorder="1"/>
    <xf numFmtId="6" fontId="0" fillId="0" borderId="36" xfId="0" applyNumberFormat="1" applyBorder="1"/>
    <xf numFmtId="6" fontId="0" fillId="0" borderId="10" xfId="0" applyNumberFormat="1" applyBorder="1"/>
    <xf numFmtId="6" fontId="0" fillId="0" borderId="38" xfId="0" applyNumberFormat="1" applyBorder="1"/>
    <xf numFmtId="6" fontId="0" fillId="0" borderId="40" xfId="0" applyNumberFormat="1" applyBorder="1"/>
    <xf numFmtId="6" fontId="0" fillId="0" borderId="41" xfId="0" applyNumberFormat="1" applyBorder="1"/>
    <xf numFmtId="6" fontId="0" fillId="0" borderId="33" xfId="0" applyNumberFormat="1" applyBorder="1"/>
    <xf numFmtId="0" fontId="53" fillId="50" borderId="10" xfId="0" applyFont="1" applyFill="1" applyBorder="1" applyAlignment="1">
      <alignment horizontal="center" vertical="center"/>
    </xf>
    <xf numFmtId="0" fontId="0" fillId="51" borderId="0" xfId="0" applyFill="1"/>
    <xf numFmtId="164" fontId="0" fillId="51" borderId="27" xfId="1" applyNumberFormat="1" applyFont="1" applyFill="1" applyBorder="1"/>
    <xf numFmtId="164" fontId="0" fillId="51" borderId="0" xfId="1" applyNumberFormat="1" applyFont="1" applyFill="1" applyBorder="1"/>
    <xf numFmtId="164" fontId="0" fillId="51" borderId="28" xfId="1" applyNumberFormat="1" applyFont="1" applyFill="1" applyBorder="1"/>
    <xf numFmtId="164" fontId="0" fillId="51" borderId="53" xfId="1" applyNumberFormat="1" applyFont="1" applyFill="1" applyBorder="1"/>
    <xf numFmtId="164" fontId="0" fillId="51" borderId="29" xfId="1" applyNumberFormat="1" applyFont="1" applyFill="1" applyBorder="1"/>
    <xf numFmtId="164" fontId="0" fillId="51" borderId="30" xfId="1" applyNumberFormat="1" applyFont="1" applyFill="1" applyBorder="1"/>
    <xf numFmtId="164" fontId="0" fillId="51" borderId="31" xfId="1" applyNumberFormat="1" applyFont="1" applyFill="1" applyBorder="1"/>
    <xf numFmtId="164" fontId="0" fillId="51" borderId="51" xfId="1" applyNumberFormat="1" applyFont="1" applyFill="1" applyBorder="1"/>
    <xf numFmtId="164" fontId="0" fillId="0" borderId="27" xfId="1" applyNumberFormat="1" applyFont="1" applyFill="1" applyBorder="1"/>
    <xf numFmtId="164" fontId="0" fillId="0" borderId="53" xfId="1" applyNumberFormat="1" applyFont="1" applyFill="1" applyBorder="1"/>
    <xf numFmtId="0" fontId="52" fillId="0" borderId="55" xfId="0" applyFont="1" applyFill="1" applyBorder="1"/>
    <xf numFmtId="164" fontId="0" fillId="0" borderId="5" xfId="0" applyNumberFormat="1" applyFill="1" applyBorder="1"/>
    <xf numFmtId="0" fontId="52" fillId="51" borderId="55" xfId="0" applyFont="1" applyFill="1" applyBorder="1"/>
    <xf numFmtId="164" fontId="0" fillId="51" borderId="5" xfId="0" applyNumberFormat="1" applyFill="1" applyBorder="1"/>
    <xf numFmtId="0" fontId="61" fillId="0" borderId="5" xfId="0" applyFont="1" applyBorder="1" applyAlignment="1">
      <alignment horizontal="center" vertical="center" wrapText="1"/>
    </xf>
    <xf numFmtId="0" fontId="53" fillId="50" borderId="22" xfId="0" applyFont="1" applyFill="1" applyBorder="1"/>
    <xf numFmtId="6" fontId="53" fillId="50" borderId="45" xfId="0" applyNumberFormat="1" applyFont="1" applyFill="1" applyBorder="1"/>
    <xf numFmtId="6" fontId="0" fillId="0" borderId="70" xfId="0" applyNumberFormat="1" applyBorder="1"/>
    <xf numFmtId="0" fontId="53" fillId="50" borderId="34" xfId="0" applyFont="1" applyFill="1" applyBorder="1" applyAlignment="1">
      <alignment vertical="center"/>
    </xf>
    <xf numFmtId="0" fontId="53" fillId="50" borderId="35" xfId="0" applyFont="1" applyFill="1" applyBorder="1" applyAlignment="1">
      <alignment horizontal="center" vertical="center"/>
    </xf>
    <xf numFmtId="0" fontId="53" fillId="50" borderId="36" xfId="0" applyFont="1" applyFill="1" applyBorder="1" applyAlignment="1">
      <alignment horizontal="center" vertical="center"/>
    </xf>
    <xf numFmtId="0" fontId="53" fillId="50" borderId="37" xfId="0" applyFont="1" applyFill="1" applyBorder="1" applyAlignment="1">
      <alignment vertical="center"/>
    </xf>
    <xf numFmtId="0" fontId="53" fillId="50" borderId="38" xfId="0" applyFont="1" applyFill="1" applyBorder="1" applyAlignment="1">
      <alignment horizontal="center" vertical="center"/>
    </xf>
    <xf numFmtId="6" fontId="0" fillId="50" borderId="38" xfId="0" applyNumberFormat="1" applyFill="1" applyBorder="1"/>
    <xf numFmtId="0" fontId="0" fillId="0" borderId="71" xfId="0" applyBorder="1"/>
    <xf numFmtId="6" fontId="0" fillId="50" borderId="72" xfId="0" applyNumberFormat="1" applyFill="1" applyBorder="1"/>
    <xf numFmtId="0" fontId="53" fillId="50" borderId="39" xfId="0" applyFont="1" applyFill="1" applyBorder="1"/>
    <xf numFmtId="6" fontId="53" fillId="50" borderId="40" xfId="0" applyNumberFormat="1" applyFont="1" applyFill="1" applyBorder="1"/>
    <xf numFmtId="6" fontId="53" fillId="50" borderId="41" xfId="0" applyNumberFormat="1" applyFont="1" applyFill="1" applyBorder="1"/>
    <xf numFmtId="6" fontId="0" fillId="50" borderId="43" xfId="0" applyNumberFormat="1" applyFill="1" applyBorder="1"/>
    <xf numFmtId="0" fontId="53" fillId="50" borderId="44" xfId="0" applyFont="1" applyFill="1" applyBorder="1" applyAlignment="1">
      <alignment vertical="center"/>
    </xf>
    <xf numFmtId="0" fontId="53" fillId="50" borderId="69" xfId="0" applyFont="1" applyFill="1" applyBorder="1" applyAlignment="1">
      <alignment horizontal="center" vertical="center"/>
    </xf>
    <xf numFmtId="0" fontId="53" fillId="50" borderId="45" xfId="0" applyFont="1" applyFill="1" applyBorder="1" applyAlignment="1">
      <alignment horizontal="center" vertical="center"/>
    </xf>
    <xf numFmtId="9" fontId="0" fillId="0" borderId="10" xfId="2" applyFont="1" applyBorder="1"/>
    <xf numFmtId="9" fontId="0" fillId="0" borderId="35" xfId="2" applyFont="1" applyBorder="1"/>
    <xf numFmtId="9" fontId="0" fillId="0" borderId="36" xfId="2" applyFont="1" applyBorder="1"/>
    <xf numFmtId="9" fontId="0" fillId="0" borderId="38" xfId="2" applyFont="1" applyBorder="1"/>
    <xf numFmtId="164" fontId="0" fillId="0" borderId="76" xfId="0" applyNumberFormat="1" applyFill="1" applyBorder="1"/>
    <xf numFmtId="164" fontId="0" fillId="0" borderId="77" xfId="0" applyNumberFormat="1" applyFill="1" applyBorder="1"/>
    <xf numFmtId="164" fontId="0" fillId="0" borderId="78" xfId="0" applyNumberFormat="1" applyFill="1" applyBorder="1"/>
    <xf numFmtId="164" fontId="0" fillId="0" borderId="52" xfId="0" applyNumberFormat="1" applyFill="1" applyBorder="1"/>
    <xf numFmtId="164" fontId="0" fillId="0" borderId="73" xfId="0" applyNumberFormat="1" applyFill="1" applyBorder="1"/>
    <xf numFmtId="164" fontId="0" fillId="0" borderId="74" xfId="0" applyNumberFormat="1" applyFill="1" applyBorder="1"/>
    <xf numFmtId="164" fontId="0" fillId="0" borderId="0" xfId="0" applyNumberFormat="1" applyFill="1" applyBorder="1"/>
    <xf numFmtId="0" fontId="1" fillId="0" borderId="0" xfId="54710" applyFont="1" applyFill="1" applyBorder="1" applyAlignment="1">
      <alignment horizontal="center"/>
    </xf>
    <xf numFmtId="0" fontId="3" fillId="0" borderId="0" xfId="54710" applyFont="1" applyFill="1" applyBorder="1" applyAlignment="1">
      <alignment horizontal="center"/>
    </xf>
    <xf numFmtId="0" fontId="1" fillId="0" borderId="0" xfId="54710" applyFont="1" applyFill="1" applyBorder="1"/>
    <xf numFmtId="0" fontId="1" fillId="0" borderId="0" xfId="54710" applyFont="1" applyFill="1" applyBorder="1" applyAlignment="1">
      <alignment horizontal="left" vertical="center" wrapText="1"/>
    </xf>
    <xf numFmtId="44" fontId="1" fillId="0" borderId="0" xfId="54710" applyNumberFormat="1" applyFont="1" applyFill="1" applyBorder="1"/>
    <xf numFmtId="0" fontId="1" fillId="0" borderId="10" xfId="54710" applyFont="1" applyFill="1" applyBorder="1" applyAlignment="1">
      <alignment horizontal="center"/>
    </xf>
    <xf numFmtId="0" fontId="2" fillId="0" borderId="10" xfId="54710" applyFont="1" applyFill="1" applyBorder="1" applyAlignment="1">
      <alignment horizontal="center"/>
    </xf>
    <xf numFmtId="0" fontId="1" fillId="0" borderId="0" xfId="54710" applyFont="1" applyFill="1" applyBorder="1" applyAlignment="1">
      <alignment wrapText="1"/>
    </xf>
    <xf numFmtId="184" fontId="53" fillId="0" borderId="0" xfId="54710" applyNumberFormat="1" applyFont="1" applyFill="1" applyBorder="1"/>
    <xf numFmtId="3" fontId="1" fillId="0" borderId="10" xfId="54710" applyNumberFormat="1" applyFont="1" applyFill="1" applyBorder="1" applyAlignment="1">
      <alignment horizontal="center"/>
    </xf>
    <xf numFmtId="0" fontId="1" fillId="0" borderId="0" xfId="54710" applyFont="1" applyFill="1" applyBorder="1" applyAlignment="1">
      <alignment vertical="center" wrapText="1"/>
    </xf>
    <xf numFmtId="0" fontId="1" fillId="0" borderId="0" xfId="54710" applyFont="1" applyFill="1" applyBorder="1" applyAlignment="1">
      <alignment horizontal="left" wrapText="1"/>
    </xf>
    <xf numFmtId="44" fontId="63" fillId="0" borderId="0" xfId="54710" applyNumberFormat="1" applyFont="1" applyFill="1" applyBorder="1"/>
    <xf numFmtId="44" fontId="1" fillId="0" borderId="0" xfId="54710" applyNumberFormat="1" applyFont="1" applyFill="1" applyBorder="1" applyAlignment="1">
      <alignment horizontal="center"/>
    </xf>
    <xf numFmtId="44" fontId="53" fillId="0" borderId="30" xfId="54710" applyNumberFormat="1" applyFont="1" applyFill="1" applyBorder="1"/>
    <xf numFmtId="0" fontId="62" fillId="0" borderId="0" xfId="54710" applyFont="1" applyFill="1" applyBorder="1"/>
    <xf numFmtId="0" fontId="1" fillId="0" borderId="10" xfId="54710" applyFont="1" applyFill="1" applyBorder="1"/>
    <xf numFmtId="9" fontId="54" fillId="0" borderId="27" xfId="54710" applyNumberFormat="1" applyFont="1" applyFill="1" applyBorder="1"/>
    <xf numFmtId="0" fontId="1" fillId="0" borderId="80" xfId="54710" applyFont="1" applyFill="1" applyBorder="1"/>
    <xf numFmtId="164" fontId="54" fillId="0" borderId="80" xfId="54711" applyNumberFormat="1" applyFont="1" applyFill="1" applyBorder="1"/>
    <xf numFmtId="164" fontId="54" fillId="0" borderId="0" xfId="54711" applyNumberFormat="1" applyFont="1" applyFill="1" applyBorder="1"/>
    <xf numFmtId="0" fontId="53" fillId="0" borderId="0" xfId="54710" applyFont="1" applyFill="1" applyBorder="1"/>
    <xf numFmtId="0" fontId="1" fillId="0" borderId="0" xfId="54710" applyFont="1" applyFill="1"/>
    <xf numFmtId="0" fontId="1" fillId="0" borderId="62" xfId="54710" applyFont="1" applyFill="1" applyBorder="1" applyAlignment="1">
      <alignment horizontal="right"/>
    </xf>
    <xf numFmtId="0" fontId="54" fillId="0" borderId="0" xfId="54710" applyFont="1" applyFill="1" applyAlignment="1">
      <alignment horizontal="right"/>
    </xf>
    <xf numFmtId="0" fontId="1" fillId="0" borderId="0" xfId="54710" applyFont="1" applyFill="1" applyBorder="1" applyAlignment="1">
      <alignment horizontal="right"/>
    </xf>
    <xf numFmtId="184" fontId="1" fillId="0" borderId="0" xfId="54710" applyNumberFormat="1" applyFont="1" applyFill="1"/>
    <xf numFmtId="0" fontId="69" fillId="0" borderId="0" xfId="16693" applyFont="1" applyFill="1"/>
    <xf numFmtId="5" fontId="69" fillId="0" borderId="0" xfId="16693" applyNumberFormat="1" applyFont="1" applyFill="1" applyAlignment="1">
      <alignment horizontal="center"/>
    </xf>
    <xf numFmtId="164" fontId="0" fillId="0" borderId="51" xfId="1" applyNumberFormat="1" applyFont="1" applyFill="1" applyBorder="1"/>
    <xf numFmtId="164" fontId="0" fillId="0" borderId="30" xfId="1" applyNumberFormat="1" applyFont="1" applyFill="1" applyBorder="1"/>
    <xf numFmtId="0" fontId="2" fillId="0" borderId="0" xfId="0" applyFont="1" applyFill="1" applyAlignment="1">
      <alignment horizontal="center"/>
    </xf>
    <xf numFmtId="0" fontId="3" fillId="0" borderId="0" xfId="0" applyFont="1" applyFill="1"/>
    <xf numFmtId="10" fontId="0" fillId="0" borderId="0" xfId="2" applyNumberFormat="1" applyFont="1" applyFill="1"/>
    <xf numFmtId="165" fontId="0" fillId="0" borderId="0" xfId="2" applyNumberFormat="1" applyFont="1" applyFill="1"/>
    <xf numFmtId="166" fontId="0" fillId="0" borderId="0" xfId="2" applyNumberFormat="1" applyFont="1" applyFill="1"/>
    <xf numFmtId="166" fontId="0" fillId="0" borderId="0" xfId="0" applyNumberFormat="1" applyFill="1"/>
    <xf numFmtId="167" fontId="0" fillId="0" borderId="0" xfId="2" applyNumberFormat="1" applyFont="1" applyFill="1"/>
    <xf numFmtId="168" fontId="0" fillId="0" borderId="0" xfId="0" applyNumberFormat="1" applyFill="1"/>
    <xf numFmtId="166" fontId="0" fillId="0" borderId="0" xfId="2" applyNumberFormat="1" applyFont="1" applyFill="1" applyBorder="1"/>
    <xf numFmtId="10" fontId="0" fillId="0" borderId="0" xfId="0" applyNumberFormat="1" applyFill="1"/>
    <xf numFmtId="167" fontId="0" fillId="0" borderId="0" xfId="0" applyNumberFormat="1" applyFill="1"/>
    <xf numFmtId="0" fontId="3" fillId="0" borderId="22" xfId="0" applyFont="1" applyFill="1" applyBorder="1" applyAlignment="1">
      <alignment horizontal="center"/>
    </xf>
    <xf numFmtId="0" fontId="3" fillId="0" borderId="54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/>
    </xf>
    <xf numFmtId="0" fontId="0" fillId="0" borderId="24" xfId="0" applyFill="1" applyBorder="1"/>
    <xf numFmtId="164" fontId="0" fillId="0" borderId="50" xfId="1" applyNumberFormat="1" applyFont="1" applyFill="1" applyBorder="1"/>
    <xf numFmtId="164" fontId="0" fillId="0" borderId="24" xfId="1" applyNumberFormat="1" applyFont="1" applyFill="1" applyBorder="1"/>
    <xf numFmtId="164" fontId="0" fillId="0" borderId="26" xfId="0" applyNumberFormat="1" applyFill="1" applyBorder="1"/>
    <xf numFmtId="0" fontId="0" fillId="0" borderId="25" xfId="0" applyFill="1" applyBorder="1"/>
    <xf numFmtId="0" fontId="0" fillId="0" borderId="10" xfId="0" applyFill="1" applyBorder="1"/>
    <xf numFmtId="164" fontId="0" fillId="0" borderId="10" xfId="1" applyNumberFormat="1" applyFont="1" applyFill="1" applyBorder="1"/>
    <xf numFmtId="164" fontId="0" fillId="0" borderId="54" xfId="1" applyNumberFormat="1" applyFont="1" applyFill="1" applyBorder="1"/>
    <xf numFmtId="164" fontId="0" fillId="0" borderId="22" xfId="1" applyNumberFormat="1" applyFont="1" applyFill="1" applyBorder="1"/>
    <xf numFmtId="0" fontId="0" fillId="0" borderId="30" xfId="0" applyFill="1" applyBorder="1"/>
    <xf numFmtId="1" fontId="0" fillId="0" borderId="50" xfId="0" applyNumberFormat="1" applyFill="1" applyBorder="1"/>
    <xf numFmtId="43" fontId="0" fillId="0" borderId="24" xfId="1" applyFont="1" applyFill="1" applyBorder="1"/>
    <xf numFmtId="43" fontId="0" fillId="0" borderId="25" xfId="1" applyFont="1" applyFill="1" applyBorder="1"/>
    <xf numFmtId="1" fontId="0" fillId="0" borderId="54" xfId="0" applyNumberFormat="1" applyFill="1" applyBorder="1"/>
    <xf numFmtId="43" fontId="0" fillId="0" borderId="6" xfId="1" applyFont="1" applyFill="1" applyBorder="1"/>
    <xf numFmtId="43" fontId="0" fillId="0" borderId="29" xfId="1" applyFont="1" applyFill="1" applyBorder="1"/>
    <xf numFmtId="185" fontId="59" fillId="0" borderId="0" xfId="1" applyNumberFormat="1" applyFont="1" applyFill="1"/>
    <xf numFmtId="43" fontId="0" fillId="0" borderId="22" xfId="1" applyFont="1" applyFill="1" applyBorder="1"/>
    <xf numFmtId="164" fontId="0" fillId="0" borderId="54" xfId="0" applyNumberFormat="1" applyFill="1" applyBorder="1"/>
    <xf numFmtId="1" fontId="60" fillId="0" borderId="27" xfId="0" applyNumberFormat="1" applyFont="1" applyFill="1" applyBorder="1" applyAlignment="1">
      <alignment horizontal="right" vertical="center"/>
    </xf>
    <xf numFmtId="43" fontId="60" fillId="0" borderId="27" xfId="1" applyFont="1" applyFill="1" applyBorder="1" applyAlignment="1">
      <alignment horizontal="right" vertical="center"/>
    </xf>
    <xf numFmtId="0" fontId="60" fillId="0" borderId="27" xfId="0" applyFont="1" applyFill="1" applyBorder="1" applyAlignment="1">
      <alignment horizontal="right" vertical="center"/>
    </xf>
    <xf numFmtId="1" fontId="0" fillId="0" borderId="27" xfId="0" applyNumberFormat="1" applyFill="1" applyBorder="1"/>
    <xf numFmtId="1" fontId="0" fillId="0" borderId="29" xfId="0" applyNumberFormat="1" applyFill="1" applyBorder="1"/>
    <xf numFmtId="164" fontId="0" fillId="0" borderId="31" xfId="0" applyNumberFormat="1" applyFill="1" applyBorder="1"/>
    <xf numFmtId="1" fontId="0" fillId="0" borderId="51" xfId="0" applyNumberFormat="1" applyFill="1" applyBorder="1"/>
    <xf numFmtId="0" fontId="60" fillId="0" borderId="53" xfId="0" applyFont="1" applyFill="1" applyBorder="1" applyAlignment="1">
      <alignment vertical="center"/>
    </xf>
    <xf numFmtId="1" fontId="60" fillId="0" borderId="53" xfId="0" applyNumberFormat="1" applyFont="1" applyFill="1" applyBorder="1" applyAlignment="1">
      <alignment horizontal="right" vertical="center"/>
    </xf>
    <xf numFmtId="43" fontId="60" fillId="0" borderId="0" xfId="1" applyFont="1" applyFill="1" applyBorder="1" applyAlignment="1">
      <alignment horizontal="right" vertical="center"/>
    </xf>
    <xf numFmtId="1" fontId="60" fillId="0" borderId="51" xfId="0" applyNumberFormat="1" applyFont="1" applyFill="1" applyBorder="1" applyAlignment="1">
      <alignment horizontal="right" vertical="center"/>
    </xf>
    <xf numFmtId="43" fontId="60" fillId="0" borderId="6" xfId="1" applyFont="1" applyFill="1" applyBorder="1" applyAlignment="1">
      <alignment horizontal="right" vertical="center"/>
    </xf>
    <xf numFmtId="0" fontId="0" fillId="0" borderId="24" xfId="0" applyFill="1" applyBorder="1" applyAlignment="1">
      <alignment vertical="center"/>
    </xf>
    <xf numFmtId="164" fontId="0" fillId="0" borderId="53" xfId="0" applyNumberFormat="1" applyFill="1" applyBorder="1"/>
    <xf numFmtId="1" fontId="60" fillId="0" borderId="0" xfId="0" applyNumberFormat="1" applyFont="1" applyFill="1" applyAlignment="1">
      <alignment horizontal="right" vertical="center"/>
    </xf>
    <xf numFmtId="0" fontId="0" fillId="0" borderId="23" xfId="0" applyFill="1" applyBorder="1"/>
    <xf numFmtId="1" fontId="0" fillId="0" borderId="0" xfId="0" applyNumberFormat="1" applyFill="1"/>
    <xf numFmtId="0" fontId="0" fillId="0" borderId="48" xfId="0" applyFill="1" applyBorder="1"/>
    <xf numFmtId="164" fontId="58" fillId="0" borderId="0" xfId="2" applyNumberFormat="1" applyFont="1" applyFill="1"/>
    <xf numFmtId="0" fontId="58" fillId="0" borderId="0" xfId="0" applyFont="1" applyFill="1"/>
    <xf numFmtId="164" fontId="58" fillId="0" borderId="0" xfId="0" applyNumberFormat="1" applyFont="1" applyFill="1"/>
    <xf numFmtId="9" fontId="58" fillId="0" borderId="0" xfId="2" applyFont="1" applyFill="1"/>
    <xf numFmtId="164" fontId="0" fillId="0" borderId="77" xfId="1" applyNumberFormat="1" applyFont="1" applyFill="1" applyBorder="1"/>
    <xf numFmtId="0" fontId="0" fillId="0" borderId="49" xfId="0" applyFill="1" applyBorder="1"/>
    <xf numFmtId="0" fontId="3" fillId="0" borderId="0" xfId="0" applyFont="1" applyFill="1" applyBorder="1"/>
    <xf numFmtId="0" fontId="3" fillId="0" borderId="62" xfId="0" applyFont="1" applyFill="1" applyBorder="1"/>
    <xf numFmtId="164" fontId="0" fillId="0" borderId="62" xfId="0" applyNumberFormat="1" applyFill="1" applyBorder="1"/>
    <xf numFmtId="164" fontId="0" fillId="0" borderId="32" xfId="0" applyNumberFormat="1" applyFill="1" applyBorder="1"/>
    <xf numFmtId="164" fontId="0" fillId="0" borderId="64" xfId="0" applyNumberFormat="1" applyFill="1" applyBorder="1"/>
    <xf numFmtId="164" fontId="0" fillId="0" borderId="62" xfId="1" applyNumberFormat="1" applyFont="1" applyFill="1" applyBorder="1"/>
    <xf numFmtId="0" fontId="0" fillId="0" borderId="62" xfId="0" applyFill="1" applyBorder="1"/>
    <xf numFmtId="183" fontId="0" fillId="0" borderId="0" xfId="0" applyNumberFormat="1" applyFill="1"/>
    <xf numFmtId="0" fontId="53" fillId="0" borderId="52" xfId="54710" applyFont="1" applyFill="1" applyBorder="1" applyAlignment="1">
      <alignment horizontal="center"/>
    </xf>
    <xf numFmtId="0" fontId="53" fillId="0" borderId="27" xfId="54710" applyFont="1" applyFill="1" applyBorder="1"/>
    <xf numFmtId="0" fontId="1" fillId="0" borderId="79" xfId="54710" applyFont="1" applyFill="1" applyBorder="1"/>
    <xf numFmtId="0" fontId="1" fillId="0" borderId="81" xfId="54710" applyFont="1" applyFill="1" applyBorder="1"/>
    <xf numFmtId="0" fontId="2" fillId="0" borderId="0" xfId="54710" applyFont="1" applyFill="1" applyBorder="1" applyAlignment="1">
      <alignment horizontal="center" vertical="center"/>
    </xf>
    <xf numFmtId="0" fontId="1" fillId="0" borderId="0" xfId="54710" applyFont="1" applyFill="1" applyBorder="1" applyAlignment="1">
      <alignment horizontal="center" vertical="center"/>
    </xf>
    <xf numFmtId="184" fontId="1" fillId="0" borderId="27" xfId="54710" applyNumberFormat="1" applyFont="1" applyFill="1" applyBorder="1"/>
    <xf numFmtId="3" fontId="1" fillId="0" borderId="0" xfId="54710" applyNumberFormat="1" applyFont="1" applyFill="1" applyBorder="1"/>
    <xf numFmtId="0" fontId="1" fillId="0" borderId="0" xfId="54710" applyFont="1" applyFill="1" applyBorder="1" applyAlignment="1">
      <alignment horizontal="left" vertical="center"/>
    </xf>
    <xf numFmtId="187" fontId="1" fillId="0" borderId="0" xfId="54710" applyNumberFormat="1" applyFont="1" applyFill="1" applyBorder="1"/>
    <xf numFmtId="0" fontId="2" fillId="0" borderId="10" xfId="54710" applyFont="1" applyFill="1" applyBorder="1"/>
    <xf numFmtId="2" fontId="1" fillId="0" borderId="10" xfId="54710" applyNumberFormat="1" applyFont="1" applyFill="1" applyBorder="1" applyAlignment="1">
      <alignment horizontal="center"/>
    </xf>
    <xf numFmtId="187" fontId="1" fillId="0" borderId="10" xfId="54710" applyNumberFormat="1" applyFont="1" applyFill="1" applyBorder="1" applyAlignment="1">
      <alignment horizontal="center"/>
    </xf>
    <xf numFmtId="0" fontId="1" fillId="0" borderId="0" xfId="54710" applyFont="1" applyFill="1" applyBorder="1" applyAlignment="1"/>
    <xf numFmtId="188" fontId="1" fillId="0" borderId="0" xfId="54710" applyNumberFormat="1" applyFont="1" applyFill="1"/>
    <xf numFmtId="184" fontId="63" fillId="0" borderId="27" xfId="54710" applyNumberFormat="1" applyFont="1" applyFill="1" applyBorder="1"/>
    <xf numFmtId="3" fontId="1" fillId="0" borderId="0" xfId="54710" applyNumberFormat="1" applyFont="1" applyFill="1" applyBorder="1" applyAlignment="1">
      <alignment horizontal="left" vertical="center"/>
    </xf>
    <xf numFmtId="184" fontId="53" fillId="0" borderId="27" xfId="54710" applyNumberFormat="1" applyFont="1" applyFill="1" applyBorder="1"/>
    <xf numFmtId="2" fontId="1" fillId="0" borderId="0" xfId="54710" applyNumberFormat="1" applyFont="1" applyFill="1" applyBorder="1" applyAlignment="1">
      <alignment horizontal="center"/>
    </xf>
    <xf numFmtId="184" fontId="53" fillId="0" borderId="29" xfId="54710" applyNumberFormat="1" applyFont="1" applyFill="1" applyBorder="1"/>
    <xf numFmtId="0" fontId="1" fillId="0" borderId="30" xfId="54710" applyFont="1" applyFill="1" applyBorder="1"/>
    <xf numFmtId="164" fontId="64" fillId="0" borderId="30" xfId="54711" applyNumberFormat="1" applyFont="1" applyFill="1" applyBorder="1"/>
    <xf numFmtId="0" fontId="53" fillId="0" borderId="32" xfId="54710" applyFont="1" applyFill="1" applyBorder="1" applyAlignment="1">
      <alignment horizontal="center"/>
    </xf>
    <xf numFmtId="0" fontId="1" fillId="0" borderId="48" xfId="54710" applyFont="1" applyFill="1" applyBorder="1"/>
    <xf numFmtId="0" fontId="64" fillId="0" borderId="0" xfId="54710" applyFont="1" applyFill="1" applyBorder="1"/>
    <xf numFmtId="0" fontId="65" fillId="0" borderId="0" xfId="54710" applyFont="1" applyFill="1" applyBorder="1"/>
    <xf numFmtId="0" fontId="1" fillId="0" borderId="27" xfId="54710" applyFont="1" applyFill="1" applyBorder="1"/>
    <xf numFmtId="0" fontId="1" fillId="0" borderId="49" xfId="54710" applyFont="1" applyFill="1" applyBorder="1"/>
    <xf numFmtId="0" fontId="1" fillId="0" borderId="82" xfId="54710" applyFont="1" applyFill="1" applyBorder="1"/>
    <xf numFmtId="0" fontId="53" fillId="0" borderId="80" xfId="54710" applyFont="1" applyFill="1" applyBorder="1"/>
    <xf numFmtId="0" fontId="53" fillId="0" borderId="83" xfId="54710" applyFont="1" applyFill="1" applyBorder="1"/>
    <xf numFmtId="0" fontId="53" fillId="0" borderId="84" xfId="54710" applyFont="1" applyFill="1" applyBorder="1"/>
    <xf numFmtId="0" fontId="1" fillId="0" borderId="82" xfId="54710" applyFont="1" applyFill="1" applyBorder="1" applyAlignment="1">
      <alignment horizontal="right"/>
    </xf>
    <xf numFmtId="0" fontId="64" fillId="0" borderId="82" xfId="54710" applyFont="1" applyFill="1" applyBorder="1"/>
    <xf numFmtId="0" fontId="1" fillId="0" borderId="32" xfId="54710" applyFont="1" applyFill="1" applyBorder="1" applyAlignment="1">
      <alignment horizontal="right"/>
    </xf>
    <xf numFmtId="0" fontId="1" fillId="0" borderId="32" xfId="54710" applyFont="1" applyFill="1" applyBorder="1"/>
    <xf numFmtId="164" fontId="64" fillId="0" borderId="32" xfId="54711" applyNumberFormat="1" applyFont="1" applyFill="1" applyBorder="1"/>
    <xf numFmtId="9" fontId="1" fillId="0" borderId="27" xfId="54710" applyNumberFormat="1" applyFont="1" applyFill="1" applyBorder="1"/>
    <xf numFmtId="164" fontId="1" fillId="0" borderId="0" xfId="54710" applyNumberFormat="1" applyFont="1" applyFill="1" applyBorder="1"/>
    <xf numFmtId="164" fontId="1" fillId="0" borderId="28" xfId="54710" applyNumberFormat="1" applyFont="1" applyFill="1" applyBorder="1"/>
    <xf numFmtId="9" fontId="1" fillId="0" borderId="49" xfId="54710" applyNumberFormat="1" applyFont="1" applyFill="1" applyBorder="1"/>
    <xf numFmtId="164" fontId="54" fillId="0" borderId="32" xfId="54711" applyNumberFormat="1" applyFont="1" applyFill="1" applyBorder="1"/>
    <xf numFmtId="164" fontId="54" fillId="0" borderId="75" xfId="54711" applyNumberFormat="1" applyFont="1" applyFill="1" applyBorder="1"/>
    <xf numFmtId="164" fontId="54" fillId="0" borderId="82" xfId="54711" applyNumberFormat="1" applyFont="1" applyFill="1" applyBorder="1"/>
    <xf numFmtId="9" fontId="53" fillId="0" borderId="27" xfId="54710" applyNumberFormat="1" applyFont="1" applyFill="1" applyBorder="1"/>
    <xf numFmtId="0" fontId="53" fillId="0" borderId="62" xfId="54710" applyFont="1" applyFill="1" applyBorder="1" applyAlignment="1">
      <alignment horizontal="right"/>
    </xf>
    <xf numFmtId="164" fontId="53" fillId="0" borderId="0" xfId="54711" applyNumberFormat="1" applyFont="1" applyFill="1" applyBorder="1"/>
    <xf numFmtId="9" fontId="1" fillId="0" borderId="29" xfId="54710" applyNumberFormat="1" applyFont="1" applyFill="1" applyBorder="1"/>
    <xf numFmtId="0" fontId="1" fillId="0" borderId="30" xfId="54710" applyFont="1" applyFill="1" applyBorder="1" applyAlignment="1">
      <alignment horizontal="right"/>
    </xf>
    <xf numFmtId="167" fontId="54" fillId="0" borderId="30" xfId="54712" applyNumberFormat="1" applyFont="1" applyFill="1" applyBorder="1"/>
    <xf numFmtId="0" fontId="53" fillId="0" borderId="64" xfId="54710" applyFont="1" applyFill="1" applyBorder="1" applyAlignment="1">
      <alignment horizontal="center"/>
    </xf>
    <xf numFmtId="0" fontId="53" fillId="0" borderId="32" xfId="54710" applyFont="1" applyFill="1" applyBorder="1"/>
    <xf numFmtId="184" fontId="54" fillId="0" borderId="0" xfId="54713" applyNumberFormat="1" applyFont="1" applyFill="1" applyBorder="1"/>
    <xf numFmtId="0" fontId="53" fillId="0" borderId="49" xfId="54710" applyFont="1" applyFill="1" applyBorder="1"/>
    <xf numFmtId="184" fontId="1" fillId="0" borderId="32" xfId="54710" applyNumberFormat="1" applyFont="1" applyFill="1" applyBorder="1"/>
    <xf numFmtId="184" fontId="54" fillId="0" borderId="32" xfId="54713" applyNumberFormat="1" applyFont="1" applyFill="1" applyBorder="1"/>
    <xf numFmtId="186" fontId="1" fillId="0" borderId="0" xfId="54710" applyNumberFormat="1" applyFont="1" applyFill="1" applyBorder="1"/>
    <xf numFmtId="0" fontId="64" fillId="0" borderId="27" xfId="54710" applyFont="1" applyFill="1" applyBorder="1"/>
    <xf numFmtId="184" fontId="64" fillId="0" borderId="0" xfId="54713" applyNumberFormat="1" applyFont="1" applyFill="1" applyBorder="1"/>
    <xf numFmtId="184" fontId="64" fillId="0" borderId="32" xfId="54713" applyNumberFormat="1" applyFont="1" applyFill="1" applyBorder="1"/>
    <xf numFmtId="184" fontId="53" fillId="0" borderId="82" xfId="54710" applyNumberFormat="1" applyFont="1" applyFill="1" applyBorder="1"/>
    <xf numFmtId="184" fontId="53" fillId="0" borderId="32" xfId="54710" applyNumberFormat="1" applyFont="1" applyFill="1" applyBorder="1"/>
    <xf numFmtId="44" fontId="53" fillId="0" borderId="32" xfId="54710" applyNumberFormat="1" applyFont="1" applyFill="1" applyBorder="1"/>
    <xf numFmtId="0" fontId="53" fillId="0" borderId="0" xfId="54710" applyFont="1" applyFill="1" applyBorder="1" applyAlignment="1">
      <alignment horizontal="center"/>
    </xf>
    <xf numFmtId="44" fontId="64" fillId="0" borderId="0" xfId="54713" applyFont="1" applyFill="1" applyBorder="1"/>
    <xf numFmtId="44" fontId="54" fillId="0" borderId="0" xfId="54713" applyFont="1" applyFill="1"/>
    <xf numFmtId="0" fontId="1" fillId="0" borderId="64" xfId="54710" applyFont="1" applyFill="1" applyBorder="1" applyAlignment="1">
      <alignment horizontal="right"/>
    </xf>
    <xf numFmtId="44" fontId="64" fillId="0" borderId="32" xfId="54713" applyFont="1" applyFill="1" applyBorder="1"/>
    <xf numFmtId="186" fontId="1" fillId="0" borderId="32" xfId="54710" applyNumberFormat="1" applyFont="1" applyFill="1" applyBorder="1"/>
    <xf numFmtId="9" fontId="66" fillId="0" borderId="27" xfId="54710" applyNumberFormat="1" applyFont="1" applyFill="1" applyBorder="1"/>
    <xf numFmtId="184" fontId="64" fillId="0" borderId="0" xfId="54710" applyNumberFormat="1" applyFont="1" applyFill="1" applyBorder="1"/>
    <xf numFmtId="164" fontId="1" fillId="0" borderId="0" xfId="54710" applyNumberFormat="1" applyFont="1" applyFill="1"/>
    <xf numFmtId="6" fontId="1" fillId="0" borderId="0" xfId="54710" applyNumberFormat="1" applyFont="1" applyFill="1"/>
    <xf numFmtId="0" fontId="66" fillId="0" borderId="27" xfId="54710" applyFont="1" applyFill="1" applyBorder="1"/>
    <xf numFmtId="184" fontId="1" fillId="0" borderId="0" xfId="54710" applyNumberFormat="1" applyFont="1" applyFill="1" applyBorder="1"/>
    <xf numFmtId="9" fontId="66" fillId="0" borderId="27" xfId="54712" applyFont="1" applyFill="1" applyBorder="1"/>
    <xf numFmtId="0" fontId="53" fillId="0" borderId="0" xfId="54710" applyFont="1" applyFill="1" applyBorder="1" applyAlignment="1">
      <alignment horizontal="right"/>
    </xf>
    <xf numFmtId="0" fontId="53" fillId="0" borderId="32" xfId="54710" applyFont="1" applyFill="1" applyBorder="1" applyAlignment="1">
      <alignment horizontal="right"/>
    </xf>
    <xf numFmtId="44" fontId="67" fillId="0" borderId="32" xfId="54713" applyNumberFormat="1" applyFont="1" applyFill="1" applyBorder="1"/>
    <xf numFmtId="44" fontId="67" fillId="0" borderId="32" xfId="54713" applyFont="1" applyFill="1" applyBorder="1"/>
    <xf numFmtId="184" fontId="53" fillId="0" borderId="32" xfId="54713" applyNumberFormat="1" applyFont="1" applyFill="1" applyBorder="1"/>
    <xf numFmtId="44" fontId="53" fillId="0" borderId="32" xfId="54713" applyFont="1" applyFill="1" applyBorder="1"/>
    <xf numFmtId="44" fontId="53" fillId="0" borderId="27" xfId="54713" applyFont="1" applyFill="1" applyBorder="1"/>
    <xf numFmtId="0" fontId="53" fillId="0" borderId="0" xfId="54710" applyFont="1" applyFill="1"/>
    <xf numFmtId="0" fontId="1" fillId="0" borderId="0" xfId="54710" applyFont="1" applyFill="1" applyAlignment="1">
      <alignment horizontal="right"/>
    </xf>
    <xf numFmtId="37" fontId="54" fillId="0" borderId="0" xfId="54711" applyNumberFormat="1" applyFont="1" applyFill="1" applyBorder="1" applyAlignment="1">
      <alignment horizontal="right"/>
    </xf>
    <xf numFmtId="184" fontId="54" fillId="0" borderId="0" xfId="54713" applyNumberFormat="1" applyFont="1" applyFill="1" applyBorder="1" applyAlignment="1">
      <alignment horizontal="center"/>
    </xf>
    <xf numFmtId="0" fontId="1" fillId="0" borderId="29" xfId="54710" applyFont="1" applyFill="1" applyBorder="1"/>
    <xf numFmtId="0" fontId="68" fillId="0" borderId="0" xfId="16693" applyFont="1" applyFill="1"/>
    <xf numFmtId="0" fontId="68" fillId="0" borderId="0" xfId="16693" applyFont="1" applyFill="1" applyAlignment="1">
      <alignment horizontal="center"/>
    </xf>
    <xf numFmtId="182" fontId="69" fillId="0" borderId="10" xfId="16693" applyNumberFormat="1" applyFont="1" applyFill="1" applyBorder="1" applyAlignment="1">
      <alignment horizontal="left"/>
    </xf>
    <xf numFmtId="10" fontId="69" fillId="0" borderId="10" xfId="27647" applyNumberFormat="1" applyFont="1" applyFill="1" applyBorder="1" applyAlignment="1">
      <alignment horizontal="left"/>
    </xf>
    <xf numFmtId="10" fontId="69" fillId="0" borderId="0" xfId="27647" applyNumberFormat="1" applyFont="1" applyFill="1" applyAlignment="1">
      <alignment horizontal="left"/>
    </xf>
    <xf numFmtId="5" fontId="69" fillId="0" borderId="0" xfId="16693" applyNumberFormat="1" applyFont="1" applyFill="1"/>
    <xf numFmtId="0" fontId="70" fillId="0" borderId="0" xfId="16693" applyFont="1" applyFill="1"/>
    <xf numFmtId="184" fontId="69" fillId="0" borderId="0" xfId="16693" applyNumberFormat="1" applyFont="1" applyFill="1"/>
    <xf numFmtId="8" fontId="1" fillId="0" borderId="0" xfId="54710" applyNumberFormat="1" applyFont="1" applyFill="1"/>
    <xf numFmtId="0" fontId="3" fillId="0" borderId="57" xfId="0" applyFont="1" applyFill="1" applyBorder="1"/>
    <xf numFmtId="0" fontId="3" fillId="0" borderId="66" xfId="0" applyFont="1" applyFill="1" applyBorder="1" applyAlignment="1">
      <alignment horizontal="center" vertical="center"/>
    </xf>
    <xf numFmtId="0" fontId="3" fillId="0" borderId="67" xfId="0" applyFont="1" applyFill="1" applyBorder="1"/>
    <xf numFmtId="0" fontId="0" fillId="0" borderId="34" xfId="0" applyFill="1" applyBorder="1"/>
    <xf numFmtId="0" fontId="3" fillId="0" borderId="35" xfId="0" applyFont="1" applyFill="1" applyBorder="1" applyAlignment="1">
      <alignment horizontal="center" vertical="center"/>
    </xf>
    <xf numFmtId="183" fontId="0" fillId="0" borderId="35" xfId="1" applyNumberFormat="1" applyFont="1" applyFill="1" applyBorder="1" applyAlignment="1">
      <alignment horizontal="center" vertical="center"/>
    </xf>
    <xf numFmtId="183" fontId="0" fillId="0" borderId="36" xfId="1" applyNumberFormat="1" applyFont="1" applyFill="1" applyBorder="1" applyAlignment="1">
      <alignment horizontal="center" vertical="center"/>
    </xf>
    <xf numFmtId="0" fontId="0" fillId="0" borderId="37" xfId="0" applyFill="1" applyBorder="1"/>
    <xf numFmtId="0" fontId="3" fillId="0" borderId="10" xfId="0" applyFont="1" applyFill="1" applyBorder="1" applyAlignment="1">
      <alignment horizontal="center" vertical="center"/>
    </xf>
    <xf numFmtId="183" fontId="0" fillId="0" borderId="10" xfId="1" applyNumberFormat="1" applyFont="1" applyFill="1" applyBorder="1" applyAlignment="1">
      <alignment horizontal="center" vertical="center"/>
    </xf>
    <xf numFmtId="183" fontId="0" fillId="0" borderId="38" xfId="1" applyNumberFormat="1" applyFont="1" applyFill="1" applyBorder="1" applyAlignment="1">
      <alignment horizontal="center" vertical="center"/>
    </xf>
    <xf numFmtId="0" fontId="0" fillId="0" borderId="39" xfId="0" applyFill="1" applyBorder="1"/>
    <xf numFmtId="0" fontId="3" fillId="0" borderId="40" xfId="0" applyFont="1" applyFill="1" applyBorder="1" applyAlignment="1">
      <alignment horizontal="center" vertical="center"/>
    </xf>
    <xf numFmtId="183" fontId="0" fillId="0" borderId="40" xfId="1" applyNumberFormat="1" applyFont="1" applyFill="1" applyBorder="1" applyAlignment="1">
      <alignment horizontal="center" vertical="center"/>
    </xf>
    <xf numFmtId="183" fontId="0" fillId="0" borderId="41" xfId="1" applyNumberFormat="1" applyFont="1" applyFill="1" applyBorder="1" applyAlignment="1">
      <alignment horizontal="center" vertical="center"/>
    </xf>
    <xf numFmtId="0" fontId="0" fillId="0" borderId="42" xfId="0" applyFill="1" applyBorder="1"/>
    <xf numFmtId="183" fontId="0" fillId="0" borderId="33" xfId="1" applyNumberFormat="1" applyFont="1" applyFill="1" applyBorder="1"/>
    <xf numFmtId="183" fontId="0" fillId="0" borderId="65" xfId="1" applyNumberFormat="1" applyFont="1" applyFill="1" applyBorder="1"/>
    <xf numFmtId="183" fontId="0" fillId="0" borderId="40" xfId="1" applyNumberFormat="1" applyFont="1" applyFill="1" applyBorder="1"/>
    <xf numFmtId="164" fontId="0" fillId="0" borderId="41" xfId="1" applyNumberFormat="1" applyFont="1" applyFill="1" applyBorder="1"/>
    <xf numFmtId="164" fontId="0" fillId="0" borderId="49" xfId="0" applyNumberFormat="1" applyFill="1" applyBorder="1"/>
    <xf numFmtId="183" fontId="0" fillId="0" borderId="35" xfId="1" applyNumberFormat="1" applyFont="1" applyFill="1" applyBorder="1"/>
    <xf numFmtId="164" fontId="0" fillId="0" borderId="36" xfId="1" applyNumberFormat="1" applyFont="1" applyFill="1" applyBorder="1"/>
    <xf numFmtId="183" fontId="0" fillId="0" borderId="10" xfId="1" applyNumberFormat="1" applyFont="1" applyFill="1" applyBorder="1"/>
    <xf numFmtId="183" fontId="0" fillId="0" borderId="52" xfId="1" applyNumberFormat="1" applyFont="1" applyFill="1" applyBorder="1"/>
    <xf numFmtId="183" fontId="0" fillId="0" borderId="32" xfId="1" applyNumberFormat="1" applyFont="1" applyFill="1" applyBorder="1"/>
    <xf numFmtId="183" fontId="0" fillId="0" borderId="30" xfId="1" applyNumberFormat="1" applyFont="1" applyFill="1" applyBorder="1"/>
    <xf numFmtId="183" fontId="0" fillId="0" borderId="43" xfId="1" applyNumberFormat="1" applyFont="1" applyFill="1" applyBorder="1"/>
    <xf numFmtId="183" fontId="0" fillId="0" borderId="38" xfId="1" applyNumberFormat="1" applyFont="1" applyFill="1" applyBorder="1"/>
    <xf numFmtId="183" fontId="0" fillId="0" borderId="41" xfId="1" applyNumberFormat="1" applyFont="1" applyFill="1" applyBorder="1"/>
    <xf numFmtId="183" fontId="0" fillId="0" borderId="36" xfId="1" applyNumberFormat="1" applyFont="1" applyFill="1" applyBorder="1"/>
    <xf numFmtId="43" fontId="0" fillId="0" borderId="10" xfId="1" applyNumberFormat="1" applyFont="1" applyFill="1" applyBorder="1"/>
    <xf numFmtId="164" fontId="0" fillId="0" borderId="40" xfId="1" applyNumberFormat="1" applyFont="1" applyFill="1" applyBorder="1"/>
    <xf numFmtId="0" fontId="0" fillId="0" borderId="58" xfId="0" applyFill="1" applyBorder="1"/>
    <xf numFmtId="164" fontId="0" fillId="0" borderId="59" xfId="0" applyNumberFormat="1" applyFill="1" applyBorder="1"/>
    <xf numFmtId="164" fontId="0" fillId="0" borderId="60" xfId="0" applyNumberFormat="1" applyFill="1" applyBorder="1"/>
    <xf numFmtId="0" fontId="0" fillId="0" borderId="61" xfId="0" applyFill="1" applyBorder="1"/>
    <xf numFmtId="0" fontId="0" fillId="0" borderId="63" xfId="0" applyFill="1" applyBorder="1"/>
    <xf numFmtId="6" fontId="0" fillId="0" borderId="0" xfId="0" applyNumberFormat="1" applyFill="1"/>
    <xf numFmtId="43" fontId="0" fillId="0" borderId="43" xfId="1" applyNumberFormat="1" applyFont="1" applyFill="1" applyBorder="1"/>
    <xf numFmtId="43" fontId="0" fillId="0" borderId="38" xfId="1" applyNumberFormat="1" applyFont="1" applyFill="1" applyBorder="1"/>
    <xf numFmtId="43" fontId="0" fillId="0" borderId="41" xfId="1" applyNumberFormat="1" applyFont="1" applyFill="1" applyBorder="1"/>
    <xf numFmtId="0" fontId="3" fillId="0" borderId="44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wrapText="1"/>
    </xf>
    <xf numFmtId="0" fontId="53" fillId="0" borderId="22" xfId="0" applyFont="1" applyFill="1" applyBorder="1"/>
    <xf numFmtId="164" fontId="53" fillId="0" borderId="44" xfId="1" applyNumberFormat="1" applyFont="1" applyFill="1" applyBorder="1"/>
    <xf numFmtId="164" fontId="53" fillId="0" borderId="54" xfId="1" applyNumberFormat="1" applyFont="1" applyFill="1" applyBorder="1"/>
    <xf numFmtId="164" fontId="53" fillId="0" borderId="6" xfId="1" applyNumberFormat="1" applyFont="1" applyFill="1" applyBorder="1"/>
    <xf numFmtId="164" fontId="0" fillId="0" borderId="46" xfId="1" applyNumberFormat="1" applyFont="1" applyFill="1" applyBorder="1"/>
    <xf numFmtId="164" fontId="0" fillId="0" borderId="47" xfId="1" applyNumberFormat="1" applyFont="1" applyFill="1" applyBorder="1"/>
    <xf numFmtId="0" fontId="53" fillId="0" borderId="29" xfId="0" applyFont="1" applyFill="1" applyBorder="1"/>
    <xf numFmtId="164" fontId="53" fillId="0" borderId="46" xfId="1" applyNumberFormat="1" applyFont="1" applyFill="1" applyBorder="1"/>
    <xf numFmtId="164" fontId="53" fillId="0" borderId="47" xfId="1" applyNumberFormat="1" applyFont="1" applyFill="1" applyBorder="1"/>
    <xf numFmtId="0" fontId="57" fillId="0" borderId="22" xfId="0" applyFont="1" applyFill="1" applyBorder="1"/>
    <xf numFmtId="164" fontId="57" fillId="0" borderId="6" xfId="0" applyNumberFormat="1" applyFont="1" applyFill="1" applyBorder="1"/>
    <xf numFmtId="0" fontId="57" fillId="0" borderId="6" xfId="0" applyFont="1" applyFill="1" applyBorder="1"/>
    <xf numFmtId="164" fontId="57" fillId="0" borderId="23" xfId="0" applyNumberFormat="1" applyFont="1" applyFill="1" applyBorder="1"/>
    <xf numFmtId="43" fontId="0" fillId="0" borderId="0" xfId="1" applyFont="1" applyFill="1" applyBorder="1"/>
    <xf numFmtId="164" fontId="0" fillId="15" borderId="25" xfId="1" applyNumberFormat="1" applyFont="1" applyFill="1" applyBorder="1"/>
    <xf numFmtId="164" fontId="0" fillId="15" borderId="0" xfId="1" applyNumberFormat="1" applyFont="1" applyFill="1" applyBorder="1"/>
    <xf numFmtId="164" fontId="0" fillId="15" borderId="30" xfId="1" applyNumberFormat="1" applyFont="1" applyFill="1" applyBorder="1"/>
    <xf numFmtId="0" fontId="56" fillId="15" borderId="6" xfId="0" applyFont="1" applyFill="1" applyBorder="1" applyAlignment="1">
      <alignment horizontal="center" vertical="center"/>
    </xf>
    <xf numFmtId="0" fontId="56" fillId="15" borderId="54" xfId="0" applyFont="1" applyFill="1" applyBorder="1" applyAlignment="1">
      <alignment horizontal="center" vertical="center"/>
    </xf>
    <xf numFmtId="0" fontId="0" fillId="15" borderId="37" xfId="0" applyFill="1" applyBorder="1"/>
    <xf numFmtId="6" fontId="0" fillId="15" borderId="10" xfId="0" applyNumberFormat="1" applyFill="1" applyBorder="1"/>
    <xf numFmtId="6" fontId="0" fillId="15" borderId="38" xfId="0" applyNumberFormat="1" applyFill="1" applyBorder="1"/>
    <xf numFmtId="9" fontId="0" fillId="15" borderId="10" xfId="2" applyFont="1" applyFill="1" applyBorder="1"/>
    <xf numFmtId="9" fontId="0" fillId="15" borderId="38" xfId="2" applyFont="1" applyFill="1" applyBorder="1"/>
    <xf numFmtId="0" fontId="3" fillId="0" borderId="0" xfId="0" applyFont="1" applyFill="1" applyAlignment="1">
      <alignment horizontal="center" vertical="center"/>
    </xf>
    <xf numFmtId="8" fontId="0" fillId="0" borderId="32" xfId="0" applyNumberFormat="1" applyFill="1" applyBorder="1"/>
    <xf numFmtId="0" fontId="55" fillId="0" borderId="0" xfId="0" applyFont="1" applyFill="1"/>
    <xf numFmtId="17" fontId="3" fillId="0" borderId="0" xfId="0" applyNumberFormat="1" applyFont="1" applyFill="1"/>
    <xf numFmtId="164" fontId="0" fillId="0" borderId="32" xfId="1" applyNumberFormat="1" applyFont="1" applyFill="1" applyBorder="1"/>
    <xf numFmtId="9" fontId="0" fillId="0" borderId="0" xfId="2" applyFont="1" applyFill="1"/>
    <xf numFmtId="9" fontId="0" fillId="0" borderId="0" xfId="0" applyNumberFormat="1" applyFill="1" applyAlignment="1">
      <alignment horizontal="center" vertical="center" wrapText="1"/>
    </xf>
    <xf numFmtId="0" fontId="0" fillId="0" borderId="0" xfId="0" applyFill="1" applyAlignment="1">
      <alignment wrapText="1"/>
    </xf>
    <xf numFmtId="43" fontId="0" fillId="0" borderId="0" xfId="1" applyNumberFormat="1" applyFont="1" applyFill="1"/>
    <xf numFmtId="0" fontId="0" fillId="0" borderId="0" xfId="0" applyFill="1" applyAlignment="1">
      <alignment horizontal="center" vertical="center" wrapText="1"/>
    </xf>
    <xf numFmtId="8" fontId="0" fillId="15" borderId="0" xfId="0" applyNumberFormat="1" applyFill="1" applyBorder="1"/>
    <xf numFmtId="164" fontId="0" fillId="15" borderId="62" xfId="1" applyNumberFormat="1" applyFont="1" applyFill="1" applyBorder="1"/>
    <xf numFmtId="0" fontId="3" fillId="0" borderId="62" xfId="0" applyFont="1" applyFill="1" applyBorder="1" applyAlignment="1">
      <alignment horizontal="center" vertical="center"/>
    </xf>
    <xf numFmtId="164" fontId="0" fillId="0" borderId="64" xfId="1" applyNumberFormat="1" applyFont="1" applyFill="1" applyBorder="1"/>
    <xf numFmtId="8" fontId="62" fillId="0" borderId="0" xfId="0" applyNumberFormat="1" applyFont="1" applyFill="1" applyBorder="1"/>
    <xf numFmtId="164" fontId="62" fillId="0" borderId="0" xfId="1" applyNumberFormat="1" applyFont="1" applyFill="1"/>
    <xf numFmtId="6" fontId="62" fillId="0" borderId="0" xfId="0" applyNumberFormat="1" applyFont="1" applyFill="1" applyBorder="1"/>
    <xf numFmtId="183" fontId="0" fillId="0" borderId="0" xfId="1" applyNumberFormat="1" applyFont="1" applyFill="1"/>
    <xf numFmtId="183" fontId="0" fillId="0" borderId="62" xfId="1" applyNumberFormat="1" applyFont="1" applyFill="1" applyBorder="1"/>
    <xf numFmtId="0" fontId="3" fillId="15" borderId="10" xfId="0" applyFont="1" applyFill="1" applyBorder="1" applyAlignment="1">
      <alignment horizontal="center" vertical="center"/>
    </xf>
    <xf numFmtId="183" fontId="0" fillId="15" borderId="10" xfId="1" applyNumberFormat="1" applyFont="1" applyFill="1" applyBorder="1" applyAlignment="1">
      <alignment horizontal="center" vertical="center"/>
    </xf>
    <xf numFmtId="183" fontId="0" fillId="15" borderId="38" xfId="1" applyNumberFormat="1" applyFont="1" applyFill="1" applyBorder="1" applyAlignment="1">
      <alignment horizontal="center" vertical="center"/>
    </xf>
    <xf numFmtId="183" fontId="0" fillId="15" borderId="33" xfId="1" applyNumberFormat="1" applyFont="1" applyFill="1" applyBorder="1"/>
    <xf numFmtId="0" fontId="3" fillId="0" borderId="29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0" fillId="0" borderId="0" xfId="0" applyFill="1" applyAlignment="1">
      <alignment horizontal="center"/>
    </xf>
    <xf numFmtId="0" fontId="53" fillId="0" borderId="22" xfId="0" applyFont="1" applyFill="1" applyBorder="1" applyAlignment="1">
      <alignment horizontal="center"/>
    </xf>
    <xf numFmtId="0" fontId="53" fillId="0" borderId="6" xfId="0" applyFont="1" applyFill="1" applyBorder="1" applyAlignment="1">
      <alignment horizontal="center"/>
    </xf>
    <xf numFmtId="0" fontId="53" fillId="0" borderId="23" xfId="0" applyFont="1" applyFill="1" applyBorder="1" applyAlignment="1">
      <alignment horizontal="center"/>
    </xf>
    <xf numFmtId="0" fontId="52" fillId="0" borderId="10" xfId="0" applyFont="1" applyFill="1" applyBorder="1" applyAlignment="1">
      <alignment horizontal="center" wrapText="1"/>
    </xf>
    <xf numFmtId="0" fontId="52" fillId="0" borderId="68" xfId="0" applyFont="1" applyFill="1" applyBorder="1" applyAlignment="1">
      <alignment horizontal="center" wrapText="1"/>
    </xf>
    <xf numFmtId="0" fontId="52" fillId="0" borderId="10" xfId="0" applyFont="1" applyFill="1" applyBorder="1" applyAlignment="1">
      <alignment horizontal="center" vertical="center" wrapText="1"/>
    </xf>
    <xf numFmtId="0" fontId="52" fillId="0" borderId="68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0" fontId="3" fillId="0" borderId="51" xfId="0" applyFont="1" applyFill="1" applyBorder="1" applyAlignment="1">
      <alignment horizontal="center" vertical="center" wrapText="1"/>
    </xf>
    <xf numFmtId="0" fontId="53" fillId="0" borderId="22" xfId="0" applyFont="1" applyFill="1" applyBorder="1" applyAlignment="1">
      <alignment horizontal="center" vertical="center" wrapText="1"/>
    </xf>
    <xf numFmtId="0" fontId="53" fillId="0" borderId="23" xfId="0" applyFont="1" applyFill="1" applyBorder="1" applyAlignment="1">
      <alignment horizontal="center" vertical="center" wrapText="1"/>
    </xf>
    <xf numFmtId="0" fontId="1" fillId="0" borderId="79" xfId="54710" applyFont="1" applyFill="1" applyBorder="1" applyAlignment="1">
      <alignment horizontal="center"/>
    </xf>
    <xf numFmtId="0" fontId="1" fillId="0" borderId="81" xfId="54710" applyFont="1" applyFill="1" applyBorder="1" applyAlignment="1">
      <alignment horizontal="center"/>
    </xf>
    <xf numFmtId="0" fontId="53" fillId="0" borderId="32" xfId="54710" applyFont="1" applyFill="1" applyBorder="1" applyAlignment="1">
      <alignment horizontal="center"/>
    </xf>
    <xf numFmtId="0" fontId="53" fillId="0" borderId="56" xfId="54710" applyFont="1" applyFill="1" applyBorder="1" applyAlignment="1">
      <alignment horizontal="center"/>
    </xf>
    <xf numFmtId="0" fontId="53" fillId="0" borderId="52" xfId="54710" applyFont="1" applyFill="1" applyBorder="1" applyAlignment="1">
      <alignment horizontal="center"/>
    </xf>
    <xf numFmtId="0" fontId="1" fillId="0" borderId="80" xfId="54710" applyFont="1" applyFill="1" applyBorder="1" applyAlignment="1">
      <alignment horizontal="center"/>
    </xf>
    <xf numFmtId="0" fontId="53" fillId="0" borderId="49" xfId="54710" applyFont="1" applyFill="1" applyBorder="1" applyAlignment="1">
      <alignment horizontal="center"/>
    </xf>
  </cellXfs>
  <cellStyles count="54714">
    <cellStyle name="_x0013_" xfId="3" xr:uid="{00000000-0005-0000-0000-000000000000}"/>
    <cellStyle name="_x0013_ 17" xfId="4" xr:uid="{00000000-0005-0000-0000-000001000000}"/>
    <cellStyle name="_x0013_ 2" xfId="5" xr:uid="{00000000-0005-0000-0000-000002000000}"/>
    <cellStyle name="_x0013_ 2 2" xfId="6" xr:uid="{00000000-0005-0000-0000-000003000000}"/>
    <cellStyle name="_x0013_ 3" xfId="7" xr:uid="{00000000-0005-0000-0000-000004000000}"/>
    <cellStyle name="_x0013_ 4" xfId="8" xr:uid="{00000000-0005-0000-0000-000005000000}"/>
    <cellStyle name="_x0013_ 5" xfId="9" xr:uid="{00000000-0005-0000-0000-000006000000}"/>
    <cellStyle name="_x0013__Generation" xfId="10" xr:uid="{00000000-0005-0000-0000-000007000000}"/>
    <cellStyle name="_x0013__KRC_Resource Additions_NOV08GFF" xfId="11" xr:uid="{00000000-0005-0000-0000-000008000000}"/>
    <cellStyle name="_x0013__Mkt Share" xfId="12" xr:uid="{00000000-0005-0000-0000-000009000000}"/>
    <cellStyle name="_x0013__NOx" xfId="13" xr:uid="{00000000-0005-0000-0000-00000A000000}"/>
    <cellStyle name="_x0013__SO2" xfId="14" xr:uid="{00000000-0005-0000-0000-00000B000000}"/>
    <cellStyle name="1" xfId="15" xr:uid="{00000000-0005-0000-0000-00000C000000}"/>
    <cellStyle name="2" xfId="16" xr:uid="{00000000-0005-0000-0000-00000D000000}"/>
    <cellStyle name="20% - Accent1 10" xfId="17" xr:uid="{00000000-0005-0000-0000-00000E000000}"/>
    <cellStyle name="20% - Accent1 11" xfId="18" xr:uid="{00000000-0005-0000-0000-00000F000000}"/>
    <cellStyle name="20% - Accent1 2" xfId="19" xr:uid="{00000000-0005-0000-0000-000010000000}"/>
    <cellStyle name="20% - Accent1 3" xfId="20" xr:uid="{00000000-0005-0000-0000-000011000000}"/>
    <cellStyle name="20% - Accent1 4" xfId="21" xr:uid="{00000000-0005-0000-0000-000012000000}"/>
    <cellStyle name="20% - Accent1 5" xfId="22" xr:uid="{00000000-0005-0000-0000-000013000000}"/>
    <cellStyle name="20% - Accent1 6" xfId="23" xr:uid="{00000000-0005-0000-0000-000014000000}"/>
    <cellStyle name="20% - Accent1 7" xfId="24" xr:uid="{00000000-0005-0000-0000-000015000000}"/>
    <cellStyle name="20% - Accent1 8" xfId="25" xr:uid="{00000000-0005-0000-0000-000016000000}"/>
    <cellStyle name="20% - Accent1 9" xfId="26" xr:uid="{00000000-0005-0000-0000-000017000000}"/>
    <cellStyle name="20% - Accent2 10" xfId="27" xr:uid="{00000000-0005-0000-0000-000018000000}"/>
    <cellStyle name="20% - Accent2 11" xfId="28" xr:uid="{00000000-0005-0000-0000-000019000000}"/>
    <cellStyle name="20% - Accent2 2" xfId="29" xr:uid="{00000000-0005-0000-0000-00001A000000}"/>
    <cellStyle name="20% - Accent2 3" xfId="30" xr:uid="{00000000-0005-0000-0000-00001B000000}"/>
    <cellStyle name="20% - Accent2 4" xfId="31" xr:uid="{00000000-0005-0000-0000-00001C000000}"/>
    <cellStyle name="20% - Accent2 5" xfId="32" xr:uid="{00000000-0005-0000-0000-00001D000000}"/>
    <cellStyle name="20% - Accent2 6" xfId="33" xr:uid="{00000000-0005-0000-0000-00001E000000}"/>
    <cellStyle name="20% - Accent2 7" xfId="34" xr:uid="{00000000-0005-0000-0000-00001F000000}"/>
    <cellStyle name="20% - Accent2 8" xfId="35" xr:uid="{00000000-0005-0000-0000-000020000000}"/>
    <cellStyle name="20% - Accent2 9" xfId="36" xr:uid="{00000000-0005-0000-0000-000021000000}"/>
    <cellStyle name="20% - Accent3 10" xfId="37" xr:uid="{00000000-0005-0000-0000-000022000000}"/>
    <cellStyle name="20% - Accent3 11" xfId="38" xr:uid="{00000000-0005-0000-0000-000023000000}"/>
    <cellStyle name="20% - Accent3 2" xfId="39" xr:uid="{00000000-0005-0000-0000-000024000000}"/>
    <cellStyle name="20% - Accent3 3" xfId="40" xr:uid="{00000000-0005-0000-0000-000025000000}"/>
    <cellStyle name="20% - Accent3 4" xfId="41" xr:uid="{00000000-0005-0000-0000-000026000000}"/>
    <cellStyle name="20% - Accent3 5" xfId="42" xr:uid="{00000000-0005-0000-0000-000027000000}"/>
    <cellStyle name="20% - Accent3 6" xfId="43" xr:uid="{00000000-0005-0000-0000-000028000000}"/>
    <cellStyle name="20% - Accent3 7" xfId="44" xr:uid="{00000000-0005-0000-0000-000029000000}"/>
    <cellStyle name="20% - Accent3 8" xfId="45" xr:uid="{00000000-0005-0000-0000-00002A000000}"/>
    <cellStyle name="20% - Accent3 9" xfId="46" xr:uid="{00000000-0005-0000-0000-00002B000000}"/>
    <cellStyle name="20% - Accent4 10" xfId="47" xr:uid="{00000000-0005-0000-0000-00002C000000}"/>
    <cellStyle name="20% - Accent4 11" xfId="48" xr:uid="{00000000-0005-0000-0000-00002D000000}"/>
    <cellStyle name="20% - Accent4 2" xfId="49" xr:uid="{00000000-0005-0000-0000-00002E000000}"/>
    <cellStyle name="20% - Accent4 3" xfId="50" xr:uid="{00000000-0005-0000-0000-00002F000000}"/>
    <cellStyle name="20% - Accent4 4" xfId="51" xr:uid="{00000000-0005-0000-0000-000030000000}"/>
    <cellStyle name="20% - Accent4 5" xfId="52" xr:uid="{00000000-0005-0000-0000-000031000000}"/>
    <cellStyle name="20% - Accent4 6" xfId="53" xr:uid="{00000000-0005-0000-0000-000032000000}"/>
    <cellStyle name="20% - Accent4 7" xfId="54" xr:uid="{00000000-0005-0000-0000-000033000000}"/>
    <cellStyle name="20% - Accent4 8" xfId="55" xr:uid="{00000000-0005-0000-0000-000034000000}"/>
    <cellStyle name="20% - Accent4 9" xfId="56" xr:uid="{00000000-0005-0000-0000-000035000000}"/>
    <cellStyle name="20% - Accent5 10" xfId="57" xr:uid="{00000000-0005-0000-0000-000036000000}"/>
    <cellStyle name="20% - Accent5 11" xfId="58" xr:uid="{00000000-0005-0000-0000-000037000000}"/>
    <cellStyle name="20% - Accent5 2" xfId="59" xr:uid="{00000000-0005-0000-0000-000038000000}"/>
    <cellStyle name="20% - Accent5 3" xfId="60" xr:uid="{00000000-0005-0000-0000-000039000000}"/>
    <cellStyle name="20% - Accent5 4" xfId="61" xr:uid="{00000000-0005-0000-0000-00003A000000}"/>
    <cellStyle name="20% - Accent5 5" xfId="62" xr:uid="{00000000-0005-0000-0000-00003B000000}"/>
    <cellStyle name="20% - Accent5 6" xfId="63" xr:uid="{00000000-0005-0000-0000-00003C000000}"/>
    <cellStyle name="20% - Accent5 7" xfId="64" xr:uid="{00000000-0005-0000-0000-00003D000000}"/>
    <cellStyle name="20% - Accent5 8" xfId="65" xr:uid="{00000000-0005-0000-0000-00003E000000}"/>
    <cellStyle name="20% - Accent5 9" xfId="66" xr:uid="{00000000-0005-0000-0000-00003F000000}"/>
    <cellStyle name="20% - Accent6 10" xfId="67" xr:uid="{00000000-0005-0000-0000-000040000000}"/>
    <cellStyle name="20% - Accent6 11" xfId="68" xr:uid="{00000000-0005-0000-0000-000041000000}"/>
    <cellStyle name="20% - Accent6 2" xfId="69" xr:uid="{00000000-0005-0000-0000-000042000000}"/>
    <cellStyle name="20% - Accent6 3" xfId="70" xr:uid="{00000000-0005-0000-0000-000043000000}"/>
    <cellStyle name="20% - Accent6 4" xfId="71" xr:uid="{00000000-0005-0000-0000-000044000000}"/>
    <cellStyle name="20% - Accent6 5" xfId="72" xr:uid="{00000000-0005-0000-0000-000045000000}"/>
    <cellStyle name="20% - Accent6 6" xfId="73" xr:uid="{00000000-0005-0000-0000-000046000000}"/>
    <cellStyle name="20% - Accent6 7" xfId="74" xr:uid="{00000000-0005-0000-0000-000047000000}"/>
    <cellStyle name="20% - Accent6 8" xfId="75" xr:uid="{00000000-0005-0000-0000-000048000000}"/>
    <cellStyle name="20% - Accent6 9" xfId="76" xr:uid="{00000000-0005-0000-0000-000049000000}"/>
    <cellStyle name="3" xfId="77" xr:uid="{00000000-0005-0000-0000-00004A000000}"/>
    <cellStyle name="40% - Accent1 10" xfId="78" xr:uid="{00000000-0005-0000-0000-00004B000000}"/>
    <cellStyle name="40% - Accent1 11" xfId="79" xr:uid="{00000000-0005-0000-0000-00004C000000}"/>
    <cellStyle name="40% - Accent1 2" xfId="80" xr:uid="{00000000-0005-0000-0000-00004D000000}"/>
    <cellStyle name="40% - Accent1 3" xfId="81" xr:uid="{00000000-0005-0000-0000-00004E000000}"/>
    <cellStyle name="40% - Accent1 4" xfId="82" xr:uid="{00000000-0005-0000-0000-00004F000000}"/>
    <cellStyle name="40% - Accent1 5" xfId="83" xr:uid="{00000000-0005-0000-0000-000050000000}"/>
    <cellStyle name="40% - Accent1 6" xfId="84" xr:uid="{00000000-0005-0000-0000-000051000000}"/>
    <cellStyle name="40% - Accent1 7" xfId="85" xr:uid="{00000000-0005-0000-0000-000052000000}"/>
    <cellStyle name="40% - Accent1 8" xfId="86" xr:uid="{00000000-0005-0000-0000-000053000000}"/>
    <cellStyle name="40% - Accent1 9" xfId="87" xr:uid="{00000000-0005-0000-0000-000054000000}"/>
    <cellStyle name="40% - Accent2 10" xfId="88" xr:uid="{00000000-0005-0000-0000-000055000000}"/>
    <cellStyle name="40% - Accent2 11" xfId="89" xr:uid="{00000000-0005-0000-0000-000056000000}"/>
    <cellStyle name="40% - Accent2 2" xfId="90" xr:uid="{00000000-0005-0000-0000-000057000000}"/>
    <cellStyle name="40% - Accent2 3" xfId="91" xr:uid="{00000000-0005-0000-0000-000058000000}"/>
    <cellStyle name="40% - Accent2 4" xfId="92" xr:uid="{00000000-0005-0000-0000-000059000000}"/>
    <cellStyle name="40% - Accent2 5" xfId="93" xr:uid="{00000000-0005-0000-0000-00005A000000}"/>
    <cellStyle name="40% - Accent2 6" xfId="94" xr:uid="{00000000-0005-0000-0000-00005B000000}"/>
    <cellStyle name="40% - Accent2 7" xfId="95" xr:uid="{00000000-0005-0000-0000-00005C000000}"/>
    <cellStyle name="40% - Accent2 8" xfId="96" xr:uid="{00000000-0005-0000-0000-00005D000000}"/>
    <cellStyle name="40% - Accent2 9" xfId="97" xr:uid="{00000000-0005-0000-0000-00005E000000}"/>
    <cellStyle name="40% - Accent3 10" xfId="98" xr:uid="{00000000-0005-0000-0000-00005F000000}"/>
    <cellStyle name="40% - Accent3 11" xfId="99" xr:uid="{00000000-0005-0000-0000-000060000000}"/>
    <cellStyle name="40% - Accent3 2" xfId="100" xr:uid="{00000000-0005-0000-0000-000061000000}"/>
    <cellStyle name="40% - Accent3 3" xfId="101" xr:uid="{00000000-0005-0000-0000-000062000000}"/>
    <cellStyle name="40% - Accent3 4" xfId="102" xr:uid="{00000000-0005-0000-0000-000063000000}"/>
    <cellStyle name="40% - Accent3 5" xfId="103" xr:uid="{00000000-0005-0000-0000-000064000000}"/>
    <cellStyle name="40% - Accent3 6" xfId="104" xr:uid="{00000000-0005-0000-0000-000065000000}"/>
    <cellStyle name="40% - Accent3 7" xfId="105" xr:uid="{00000000-0005-0000-0000-000066000000}"/>
    <cellStyle name="40% - Accent3 8" xfId="106" xr:uid="{00000000-0005-0000-0000-000067000000}"/>
    <cellStyle name="40% - Accent3 9" xfId="107" xr:uid="{00000000-0005-0000-0000-000068000000}"/>
    <cellStyle name="40% - Accent4 10" xfId="108" xr:uid="{00000000-0005-0000-0000-000069000000}"/>
    <cellStyle name="40% - Accent4 11" xfId="109" xr:uid="{00000000-0005-0000-0000-00006A000000}"/>
    <cellStyle name="40% - Accent4 2" xfId="110" xr:uid="{00000000-0005-0000-0000-00006B000000}"/>
    <cellStyle name="40% - Accent4 3" xfId="111" xr:uid="{00000000-0005-0000-0000-00006C000000}"/>
    <cellStyle name="40% - Accent4 4" xfId="112" xr:uid="{00000000-0005-0000-0000-00006D000000}"/>
    <cellStyle name="40% - Accent4 5" xfId="113" xr:uid="{00000000-0005-0000-0000-00006E000000}"/>
    <cellStyle name="40% - Accent4 6" xfId="114" xr:uid="{00000000-0005-0000-0000-00006F000000}"/>
    <cellStyle name="40% - Accent4 7" xfId="115" xr:uid="{00000000-0005-0000-0000-000070000000}"/>
    <cellStyle name="40% - Accent4 8" xfId="116" xr:uid="{00000000-0005-0000-0000-000071000000}"/>
    <cellStyle name="40% - Accent4 9" xfId="117" xr:uid="{00000000-0005-0000-0000-000072000000}"/>
    <cellStyle name="40% - Accent5 10" xfId="118" xr:uid="{00000000-0005-0000-0000-000073000000}"/>
    <cellStyle name="40% - Accent5 11" xfId="119" xr:uid="{00000000-0005-0000-0000-000074000000}"/>
    <cellStyle name="40% - Accent5 2" xfId="120" xr:uid="{00000000-0005-0000-0000-000075000000}"/>
    <cellStyle name="40% - Accent5 3" xfId="121" xr:uid="{00000000-0005-0000-0000-000076000000}"/>
    <cellStyle name="40% - Accent5 4" xfId="122" xr:uid="{00000000-0005-0000-0000-000077000000}"/>
    <cellStyle name="40% - Accent5 5" xfId="123" xr:uid="{00000000-0005-0000-0000-000078000000}"/>
    <cellStyle name="40% - Accent5 6" xfId="124" xr:uid="{00000000-0005-0000-0000-000079000000}"/>
    <cellStyle name="40% - Accent5 7" xfId="125" xr:uid="{00000000-0005-0000-0000-00007A000000}"/>
    <cellStyle name="40% - Accent5 8" xfId="126" xr:uid="{00000000-0005-0000-0000-00007B000000}"/>
    <cellStyle name="40% - Accent5 9" xfId="127" xr:uid="{00000000-0005-0000-0000-00007C000000}"/>
    <cellStyle name="40% - Accent6 10" xfId="128" xr:uid="{00000000-0005-0000-0000-00007D000000}"/>
    <cellStyle name="40% - Accent6 11" xfId="129" xr:uid="{00000000-0005-0000-0000-00007E000000}"/>
    <cellStyle name="40% - Accent6 2" xfId="130" xr:uid="{00000000-0005-0000-0000-00007F000000}"/>
    <cellStyle name="40% - Accent6 3" xfId="131" xr:uid="{00000000-0005-0000-0000-000080000000}"/>
    <cellStyle name="40% - Accent6 4" xfId="132" xr:uid="{00000000-0005-0000-0000-000081000000}"/>
    <cellStyle name="40% - Accent6 5" xfId="133" xr:uid="{00000000-0005-0000-0000-000082000000}"/>
    <cellStyle name="40% - Accent6 6" xfId="134" xr:uid="{00000000-0005-0000-0000-000083000000}"/>
    <cellStyle name="40% - Accent6 7" xfId="135" xr:uid="{00000000-0005-0000-0000-000084000000}"/>
    <cellStyle name="40% - Accent6 8" xfId="136" xr:uid="{00000000-0005-0000-0000-000085000000}"/>
    <cellStyle name="40% - Accent6 9" xfId="137" xr:uid="{00000000-0005-0000-0000-000086000000}"/>
    <cellStyle name="60% - Accent1 10" xfId="138" xr:uid="{00000000-0005-0000-0000-000087000000}"/>
    <cellStyle name="60% - Accent1 11" xfId="139" xr:uid="{00000000-0005-0000-0000-000088000000}"/>
    <cellStyle name="60% - Accent1 2" xfId="140" xr:uid="{00000000-0005-0000-0000-000089000000}"/>
    <cellStyle name="60% - Accent1 3" xfId="141" xr:uid="{00000000-0005-0000-0000-00008A000000}"/>
    <cellStyle name="60% - Accent1 4" xfId="142" xr:uid="{00000000-0005-0000-0000-00008B000000}"/>
    <cellStyle name="60% - Accent1 5" xfId="143" xr:uid="{00000000-0005-0000-0000-00008C000000}"/>
    <cellStyle name="60% - Accent1 6" xfId="144" xr:uid="{00000000-0005-0000-0000-00008D000000}"/>
    <cellStyle name="60% - Accent1 7" xfId="145" xr:uid="{00000000-0005-0000-0000-00008E000000}"/>
    <cellStyle name="60% - Accent1 8" xfId="146" xr:uid="{00000000-0005-0000-0000-00008F000000}"/>
    <cellStyle name="60% - Accent1 9" xfId="147" xr:uid="{00000000-0005-0000-0000-000090000000}"/>
    <cellStyle name="60% - Accent2 10" xfId="148" xr:uid="{00000000-0005-0000-0000-000091000000}"/>
    <cellStyle name="60% - Accent2 11" xfId="149" xr:uid="{00000000-0005-0000-0000-000092000000}"/>
    <cellStyle name="60% - Accent2 2" xfId="150" xr:uid="{00000000-0005-0000-0000-000093000000}"/>
    <cellStyle name="60% - Accent2 3" xfId="151" xr:uid="{00000000-0005-0000-0000-000094000000}"/>
    <cellStyle name="60% - Accent2 4" xfId="152" xr:uid="{00000000-0005-0000-0000-000095000000}"/>
    <cellStyle name="60% - Accent2 5" xfId="153" xr:uid="{00000000-0005-0000-0000-000096000000}"/>
    <cellStyle name="60% - Accent2 6" xfId="154" xr:uid="{00000000-0005-0000-0000-000097000000}"/>
    <cellStyle name="60% - Accent2 7" xfId="155" xr:uid="{00000000-0005-0000-0000-000098000000}"/>
    <cellStyle name="60% - Accent2 8" xfId="156" xr:uid="{00000000-0005-0000-0000-000099000000}"/>
    <cellStyle name="60% - Accent2 9" xfId="157" xr:uid="{00000000-0005-0000-0000-00009A000000}"/>
    <cellStyle name="60% - Accent3 10" xfId="158" xr:uid="{00000000-0005-0000-0000-00009B000000}"/>
    <cellStyle name="60% - Accent3 11" xfId="159" xr:uid="{00000000-0005-0000-0000-00009C000000}"/>
    <cellStyle name="60% - Accent3 2" xfId="160" xr:uid="{00000000-0005-0000-0000-00009D000000}"/>
    <cellStyle name="60% - Accent3 3" xfId="161" xr:uid="{00000000-0005-0000-0000-00009E000000}"/>
    <cellStyle name="60% - Accent3 4" xfId="162" xr:uid="{00000000-0005-0000-0000-00009F000000}"/>
    <cellStyle name="60% - Accent3 5" xfId="163" xr:uid="{00000000-0005-0000-0000-0000A0000000}"/>
    <cellStyle name="60% - Accent3 6" xfId="164" xr:uid="{00000000-0005-0000-0000-0000A1000000}"/>
    <cellStyle name="60% - Accent3 7" xfId="165" xr:uid="{00000000-0005-0000-0000-0000A2000000}"/>
    <cellStyle name="60% - Accent3 8" xfId="166" xr:uid="{00000000-0005-0000-0000-0000A3000000}"/>
    <cellStyle name="60% - Accent3 9" xfId="167" xr:uid="{00000000-0005-0000-0000-0000A4000000}"/>
    <cellStyle name="60% - Accent4 10" xfId="168" xr:uid="{00000000-0005-0000-0000-0000A5000000}"/>
    <cellStyle name="60% - Accent4 11" xfId="169" xr:uid="{00000000-0005-0000-0000-0000A6000000}"/>
    <cellStyle name="60% - Accent4 2" xfId="170" xr:uid="{00000000-0005-0000-0000-0000A7000000}"/>
    <cellStyle name="60% - Accent4 3" xfId="171" xr:uid="{00000000-0005-0000-0000-0000A8000000}"/>
    <cellStyle name="60% - Accent4 4" xfId="172" xr:uid="{00000000-0005-0000-0000-0000A9000000}"/>
    <cellStyle name="60% - Accent4 5" xfId="173" xr:uid="{00000000-0005-0000-0000-0000AA000000}"/>
    <cellStyle name="60% - Accent4 6" xfId="174" xr:uid="{00000000-0005-0000-0000-0000AB000000}"/>
    <cellStyle name="60% - Accent4 7" xfId="175" xr:uid="{00000000-0005-0000-0000-0000AC000000}"/>
    <cellStyle name="60% - Accent4 8" xfId="176" xr:uid="{00000000-0005-0000-0000-0000AD000000}"/>
    <cellStyle name="60% - Accent4 9" xfId="177" xr:uid="{00000000-0005-0000-0000-0000AE000000}"/>
    <cellStyle name="60% - Accent5 10" xfId="178" xr:uid="{00000000-0005-0000-0000-0000AF000000}"/>
    <cellStyle name="60% - Accent5 11" xfId="179" xr:uid="{00000000-0005-0000-0000-0000B0000000}"/>
    <cellStyle name="60% - Accent5 2" xfId="180" xr:uid="{00000000-0005-0000-0000-0000B1000000}"/>
    <cellStyle name="60% - Accent5 3" xfId="181" xr:uid="{00000000-0005-0000-0000-0000B2000000}"/>
    <cellStyle name="60% - Accent5 4" xfId="182" xr:uid="{00000000-0005-0000-0000-0000B3000000}"/>
    <cellStyle name="60% - Accent5 5" xfId="183" xr:uid="{00000000-0005-0000-0000-0000B4000000}"/>
    <cellStyle name="60% - Accent5 6" xfId="184" xr:uid="{00000000-0005-0000-0000-0000B5000000}"/>
    <cellStyle name="60% - Accent5 7" xfId="185" xr:uid="{00000000-0005-0000-0000-0000B6000000}"/>
    <cellStyle name="60% - Accent5 8" xfId="186" xr:uid="{00000000-0005-0000-0000-0000B7000000}"/>
    <cellStyle name="60% - Accent5 9" xfId="187" xr:uid="{00000000-0005-0000-0000-0000B8000000}"/>
    <cellStyle name="60% - Accent6 10" xfId="188" xr:uid="{00000000-0005-0000-0000-0000B9000000}"/>
    <cellStyle name="60% - Accent6 11" xfId="189" xr:uid="{00000000-0005-0000-0000-0000BA000000}"/>
    <cellStyle name="60% - Accent6 2" xfId="190" xr:uid="{00000000-0005-0000-0000-0000BB000000}"/>
    <cellStyle name="60% - Accent6 3" xfId="191" xr:uid="{00000000-0005-0000-0000-0000BC000000}"/>
    <cellStyle name="60% - Accent6 4" xfId="192" xr:uid="{00000000-0005-0000-0000-0000BD000000}"/>
    <cellStyle name="60% - Accent6 5" xfId="193" xr:uid="{00000000-0005-0000-0000-0000BE000000}"/>
    <cellStyle name="60% - Accent6 6" xfId="194" xr:uid="{00000000-0005-0000-0000-0000BF000000}"/>
    <cellStyle name="60% - Accent6 7" xfId="195" xr:uid="{00000000-0005-0000-0000-0000C0000000}"/>
    <cellStyle name="60% - Accent6 8" xfId="196" xr:uid="{00000000-0005-0000-0000-0000C1000000}"/>
    <cellStyle name="60% - Accent6 9" xfId="197" xr:uid="{00000000-0005-0000-0000-0000C2000000}"/>
    <cellStyle name="Accent1 10" xfId="198" xr:uid="{00000000-0005-0000-0000-0000C3000000}"/>
    <cellStyle name="Accent1 11" xfId="199" xr:uid="{00000000-0005-0000-0000-0000C4000000}"/>
    <cellStyle name="Accent1 2" xfId="200" xr:uid="{00000000-0005-0000-0000-0000C5000000}"/>
    <cellStyle name="Accent1 3" xfId="201" xr:uid="{00000000-0005-0000-0000-0000C6000000}"/>
    <cellStyle name="Accent1 4" xfId="202" xr:uid="{00000000-0005-0000-0000-0000C7000000}"/>
    <cellStyle name="Accent1 5" xfId="203" xr:uid="{00000000-0005-0000-0000-0000C8000000}"/>
    <cellStyle name="Accent1 6" xfId="204" xr:uid="{00000000-0005-0000-0000-0000C9000000}"/>
    <cellStyle name="Accent1 7" xfId="205" xr:uid="{00000000-0005-0000-0000-0000CA000000}"/>
    <cellStyle name="Accent1 8" xfId="206" xr:uid="{00000000-0005-0000-0000-0000CB000000}"/>
    <cellStyle name="Accent1 9" xfId="207" xr:uid="{00000000-0005-0000-0000-0000CC000000}"/>
    <cellStyle name="Accent2 10" xfId="208" xr:uid="{00000000-0005-0000-0000-0000CD000000}"/>
    <cellStyle name="Accent2 11" xfId="209" xr:uid="{00000000-0005-0000-0000-0000CE000000}"/>
    <cellStyle name="Accent2 2" xfId="210" xr:uid="{00000000-0005-0000-0000-0000CF000000}"/>
    <cellStyle name="Accent2 3" xfId="211" xr:uid="{00000000-0005-0000-0000-0000D0000000}"/>
    <cellStyle name="Accent2 4" xfId="212" xr:uid="{00000000-0005-0000-0000-0000D1000000}"/>
    <cellStyle name="Accent2 5" xfId="213" xr:uid="{00000000-0005-0000-0000-0000D2000000}"/>
    <cellStyle name="Accent2 6" xfId="214" xr:uid="{00000000-0005-0000-0000-0000D3000000}"/>
    <cellStyle name="Accent2 7" xfId="215" xr:uid="{00000000-0005-0000-0000-0000D4000000}"/>
    <cellStyle name="Accent2 8" xfId="216" xr:uid="{00000000-0005-0000-0000-0000D5000000}"/>
    <cellStyle name="Accent2 9" xfId="217" xr:uid="{00000000-0005-0000-0000-0000D6000000}"/>
    <cellStyle name="Accent3 10" xfId="218" xr:uid="{00000000-0005-0000-0000-0000D7000000}"/>
    <cellStyle name="Accent3 11" xfId="219" xr:uid="{00000000-0005-0000-0000-0000D8000000}"/>
    <cellStyle name="Accent3 2" xfId="220" xr:uid="{00000000-0005-0000-0000-0000D9000000}"/>
    <cellStyle name="Accent3 3" xfId="221" xr:uid="{00000000-0005-0000-0000-0000DA000000}"/>
    <cellStyle name="Accent3 4" xfId="222" xr:uid="{00000000-0005-0000-0000-0000DB000000}"/>
    <cellStyle name="Accent3 5" xfId="223" xr:uid="{00000000-0005-0000-0000-0000DC000000}"/>
    <cellStyle name="Accent3 6" xfId="224" xr:uid="{00000000-0005-0000-0000-0000DD000000}"/>
    <cellStyle name="Accent3 7" xfId="225" xr:uid="{00000000-0005-0000-0000-0000DE000000}"/>
    <cellStyle name="Accent3 8" xfId="226" xr:uid="{00000000-0005-0000-0000-0000DF000000}"/>
    <cellStyle name="Accent3 9" xfId="227" xr:uid="{00000000-0005-0000-0000-0000E0000000}"/>
    <cellStyle name="Accent4 10" xfId="228" xr:uid="{00000000-0005-0000-0000-0000E1000000}"/>
    <cellStyle name="Accent4 11" xfId="229" xr:uid="{00000000-0005-0000-0000-0000E2000000}"/>
    <cellStyle name="Accent4 2" xfId="230" xr:uid="{00000000-0005-0000-0000-0000E3000000}"/>
    <cellStyle name="Accent4 3" xfId="231" xr:uid="{00000000-0005-0000-0000-0000E4000000}"/>
    <cellStyle name="Accent4 4" xfId="232" xr:uid="{00000000-0005-0000-0000-0000E5000000}"/>
    <cellStyle name="Accent4 5" xfId="233" xr:uid="{00000000-0005-0000-0000-0000E6000000}"/>
    <cellStyle name="Accent4 6" xfId="234" xr:uid="{00000000-0005-0000-0000-0000E7000000}"/>
    <cellStyle name="Accent4 7" xfId="235" xr:uid="{00000000-0005-0000-0000-0000E8000000}"/>
    <cellStyle name="Accent4 8" xfId="236" xr:uid="{00000000-0005-0000-0000-0000E9000000}"/>
    <cellStyle name="Accent4 9" xfId="237" xr:uid="{00000000-0005-0000-0000-0000EA000000}"/>
    <cellStyle name="Accent5 10" xfId="238" xr:uid="{00000000-0005-0000-0000-0000EB000000}"/>
    <cellStyle name="Accent5 11" xfId="239" xr:uid="{00000000-0005-0000-0000-0000EC000000}"/>
    <cellStyle name="Accent5 2" xfId="240" xr:uid="{00000000-0005-0000-0000-0000ED000000}"/>
    <cellStyle name="Accent5 3" xfId="241" xr:uid="{00000000-0005-0000-0000-0000EE000000}"/>
    <cellStyle name="Accent5 4" xfId="242" xr:uid="{00000000-0005-0000-0000-0000EF000000}"/>
    <cellStyle name="Accent5 5" xfId="243" xr:uid="{00000000-0005-0000-0000-0000F0000000}"/>
    <cellStyle name="Accent5 6" xfId="244" xr:uid="{00000000-0005-0000-0000-0000F1000000}"/>
    <cellStyle name="Accent5 7" xfId="245" xr:uid="{00000000-0005-0000-0000-0000F2000000}"/>
    <cellStyle name="Accent5 8" xfId="246" xr:uid="{00000000-0005-0000-0000-0000F3000000}"/>
    <cellStyle name="Accent5 9" xfId="247" xr:uid="{00000000-0005-0000-0000-0000F4000000}"/>
    <cellStyle name="Accent6 10" xfId="248" xr:uid="{00000000-0005-0000-0000-0000F5000000}"/>
    <cellStyle name="Accent6 11" xfId="249" xr:uid="{00000000-0005-0000-0000-0000F6000000}"/>
    <cellStyle name="Accent6 2" xfId="250" xr:uid="{00000000-0005-0000-0000-0000F7000000}"/>
    <cellStyle name="Accent6 3" xfId="251" xr:uid="{00000000-0005-0000-0000-0000F8000000}"/>
    <cellStyle name="Accent6 4" xfId="252" xr:uid="{00000000-0005-0000-0000-0000F9000000}"/>
    <cellStyle name="Accent6 5" xfId="253" xr:uid="{00000000-0005-0000-0000-0000FA000000}"/>
    <cellStyle name="Accent6 6" xfId="254" xr:uid="{00000000-0005-0000-0000-0000FB000000}"/>
    <cellStyle name="Accent6 7" xfId="255" xr:uid="{00000000-0005-0000-0000-0000FC000000}"/>
    <cellStyle name="Accent6 8" xfId="256" xr:uid="{00000000-0005-0000-0000-0000FD000000}"/>
    <cellStyle name="Accent6 9" xfId="257" xr:uid="{00000000-0005-0000-0000-0000FE000000}"/>
    <cellStyle name="Actuals" xfId="258" xr:uid="{00000000-0005-0000-0000-0000FF000000}"/>
    <cellStyle name="Actuals 2" xfId="259" xr:uid="{00000000-0005-0000-0000-000000010000}"/>
    <cellStyle name="Arial 10" xfId="260" xr:uid="{00000000-0005-0000-0000-000001010000}"/>
    <cellStyle name="Arial 10 2" xfId="261" xr:uid="{00000000-0005-0000-0000-000002010000}"/>
    <cellStyle name="Arial 10 3" xfId="262" xr:uid="{00000000-0005-0000-0000-000003010000}"/>
    <cellStyle name="Arial 10 4" xfId="263" xr:uid="{00000000-0005-0000-0000-000004010000}"/>
    <cellStyle name="Bad 10" xfId="264" xr:uid="{00000000-0005-0000-0000-000005010000}"/>
    <cellStyle name="Bad 11" xfId="265" xr:uid="{00000000-0005-0000-0000-000006010000}"/>
    <cellStyle name="Bad 2" xfId="266" xr:uid="{00000000-0005-0000-0000-000007010000}"/>
    <cellStyle name="Bad 3" xfId="267" xr:uid="{00000000-0005-0000-0000-000008010000}"/>
    <cellStyle name="Bad 4" xfId="268" xr:uid="{00000000-0005-0000-0000-000009010000}"/>
    <cellStyle name="Bad 5" xfId="269" xr:uid="{00000000-0005-0000-0000-00000A010000}"/>
    <cellStyle name="Bad 6" xfId="270" xr:uid="{00000000-0005-0000-0000-00000B010000}"/>
    <cellStyle name="Bad 7" xfId="271" xr:uid="{00000000-0005-0000-0000-00000C010000}"/>
    <cellStyle name="Bad 8" xfId="272" xr:uid="{00000000-0005-0000-0000-00000D010000}"/>
    <cellStyle name="Bad 9" xfId="273" xr:uid="{00000000-0005-0000-0000-00000E010000}"/>
    <cellStyle name="Calculation 10" xfId="274" xr:uid="{00000000-0005-0000-0000-00000F010000}"/>
    <cellStyle name="Calculation 11" xfId="275" xr:uid="{00000000-0005-0000-0000-000010010000}"/>
    <cellStyle name="Calculation 2" xfId="276" xr:uid="{00000000-0005-0000-0000-000011010000}"/>
    <cellStyle name="Calculation 2 2" xfId="277" xr:uid="{00000000-0005-0000-0000-000012010000}"/>
    <cellStyle name="Calculation 2 2 2" xfId="278" xr:uid="{00000000-0005-0000-0000-000013010000}"/>
    <cellStyle name="Calculation 2 2 2 2" xfId="279" xr:uid="{00000000-0005-0000-0000-000014010000}"/>
    <cellStyle name="Calculation 2 2 2 3" xfId="280" xr:uid="{00000000-0005-0000-0000-000015010000}"/>
    <cellStyle name="Calculation 2 2 3" xfId="281" xr:uid="{00000000-0005-0000-0000-000016010000}"/>
    <cellStyle name="Calculation 2 2 3 2" xfId="282" xr:uid="{00000000-0005-0000-0000-000017010000}"/>
    <cellStyle name="Calculation 2 2 4" xfId="283" xr:uid="{00000000-0005-0000-0000-000018010000}"/>
    <cellStyle name="Calculation 3" xfId="284" xr:uid="{00000000-0005-0000-0000-000019010000}"/>
    <cellStyle name="Calculation 3 2" xfId="285" xr:uid="{00000000-0005-0000-0000-00001A010000}"/>
    <cellStyle name="Calculation 3 2 2" xfId="286" xr:uid="{00000000-0005-0000-0000-00001B010000}"/>
    <cellStyle name="Calculation 3 2 2 2" xfId="287" xr:uid="{00000000-0005-0000-0000-00001C010000}"/>
    <cellStyle name="Calculation 3 2 2 3" xfId="288" xr:uid="{00000000-0005-0000-0000-00001D010000}"/>
    <cellStyle name="Calculation 3 2 3" xfId="289" xr:uid="{00000000-0005-0000-0000-00001E010000}"/>
    <cellStyle name="Calculation 3 2 3 2" xfId="290" xr:uid="{00000000-0005-0000-0000-00001F010000}"/>
    <cellStyle name="Calculation 3 2 4" xfId="291" xr:uid="{00000000-0005-0000-0000-000020010000}"/>
    <cellStyle name="Calculation 4" xfId="292" xr:uid="{00000000-0005-0000-0000-000021010000}"/>
    <cellStyle name="Calculation 5" xfId="293" xr:uid="{00000000-0005-0000-0000-000022010000}"/>
    <cellStyle name="Calculation 6" xfId="294" xr:uid="{00000000-0005-0000-0000-000023010000}"/>
    <cellStyle name="Calculation 7" xfId="295" xr:uid="{00000000-0005-0000-0000-000024010000}"/>
    <cellStyle name="Calculation 8" xfId="296" xr:uid="{00000000-0005-0000-0000-000025010000}"/>
    <cellStyle name="Calculation 9" xfId="297" xr:uid="{00000000-0005-0000-0000-000026010000}"/>
    <cellStyle name="Calculation in Model" xfId="298" xr:uid="{00000000-0005-0000-0000-000027010000}"/>
    <cellStyle name="Calculation in Model 2" xfId="299" xr:uid="{00000000-0005-0000-0000-000028010000}"/>
    <cellStyle name="Calculation in Model 2 2" xfId="300" xr:uid="{00000000-0005-0000-0000-000029010000}"/>
    <cellStyle name="Calculation in Model 2 3" xfId="301" xr:uid="{00000000-0005-0000-0000-00002A010000}"/>
    <cellStyle name="Calculation in Model 2 4" xfId="302" xr:uid="{00000000-0005-0000-0000-00002B010000}"/>
    <cellStyle name="Calculation in Model 3" xfId="303" xr:uid="{00000000-0005-0000-0000-00002C010000}"/>
    <cellStyle name="Calculation in Model 3 2" xfId="304" xr:uid="{00000000-0005-0000-0000-00002D010000}"/>
    <cellStyle name="Calculation in Model 3 3" xfId="305" xr:uid="{00000000-0005-0000-0000-00002E010000}"/>
    <cellStyle name="Calculation in Model 3 4" xfId="306" xr:uid="{00000000-0005-0000-0000-00002F010000}"/>
    <cellStyle name="Check Cell 10" xfId="307" xr:uid="{00000000-0005-0000-0000-000030010000}"/>
    <cellStyle name="Check Cell 11" xfId="308" xr:uid="{00000000-0005-0000-0000-000031010000}"/>
    <cellStyle name="Check Cell 2" xfId="309" xr:uid="{00000000-0005-0000-0000-000032010000}"/>
    <cellStyle name="Check Cell 3" xfId="310" xr:uid="{00000000-0005-0000-0000-000033010000}"/>
    <cellStyle name="Check Cell 4" xfId="311" xr:uid="{00000000-0005-0000-0000-000034010000}"/>
    <cellStyle name="Check Cell 5" xfId="312" xr:uid="{00000000-0005-0000-0000-000035010000}"/>
    <cellStyle name="Check Cell 6" xfId="313" xr:uid="{00000000-0005-0000-0000-000036010000}"/>
    <cellStyle name="Check Cell 7" xfId="314" xr:uid="{00000000-0005-0000-0000-000037010000}"/>
    <cellStyle name="Check Cell 8" xfId="315" xr:uid="{00000000-0005-0000-0000-000038010000}"/>
    <cellStyle name="Check Cell 9" xfId="316" xr:uid="{00000000-0005-0000-0000-000039010000}"/>
    <cellStyle name="clsAltData" xfId="317" xr:uid="{00000000-0005-0000-0000-00003A010000}"/>
    <cellStyle name="clsAltData 2" xfId="318" xr:uid="{00000000-0005-0000-0000-00003B010000}"/>
    <cellStyle name="clsColumnHeader" xfId="319" xr:uid="{00000000-0005-0000-0000-00003C010000}"/>
    <cellStyle name="clsColumnHeader 2" xfId="320" xr:uid="{00000000-0005-0000-0000-00003D010000}"/>
    <cellStyle name="clsData" xfId="321" xr:uid="{00000000-0005-0000-0000-00003E010000}"/>
    <cellStyle name="clsData 2" xfId="322" xr:uid="{00000000-0005-0000-0000-00003F010000}"/>
    <cellStyle name="clsDefault" xfId="323" xr:uid="{00000000-0005-0000-0000-000040010000}"/>
    <cellStyle name="clsDefault 2" xfId="324" xr:uid="{00000000-0005-0000-0000-000041010000}"/>
    <cellStyle name="clsDefault 2 2" xfId="325" xr:uid="{00000000-0005-0000-0000-000042010000}"/>
    <cellStyle name="clsDefault 2 2 2" xfId="326" xr:uid="{00000000-0005-0000-0000-000043010000}"/>
    <cellStyle name="clsDefault 2 2 3" xfId="327" xr:uid="{00000000-0005-0000-0000-000044010000}"/>
    <cellStyle name="clsDefault 2 3" xfId="328" xr:uid="{00000000-0005-0000-0000-000045010000}"/>
    <cellStyle name="clsDefault 2 3 2" xfId="329" xr:uid="{00000000-0005-0000-0000-000046010000}"/>
    <cellStyle name="clsDefault 2 3 3" xfId="330" xr:uid="{00000000-0005-0000-0000-000047010000}"/>
    <cellStyle name="clsDefault 2 4" xfId="331" xr:uid="{00000000-0005-0000-0000-000048010000}"/>
    <cellStyle name="clsDefault 2 5" xfId="332" xr:uid="{00000000-0005-0000-0000-000049010000}"/>
    <cellStyle name="clsDefault 2 6" xfId="333" xr:uid="{00000000-0005-0000-0000-00004A010000}"/>
    <cellStyle name="clsDefault 3" xfId="334" xr:uid="{00000000-0005-0000-0000-00004B010000}"/>
    <cellStyle name="clsDefault 3 2" xfId="335" xr:uid="{00000000-0005-0000-0000-00004C010000}"/>
    <cellStyle name="clsDefault 3 3" xfId="336" xr:uid="{00000000-0005-0000-0000-00004D010000}"/>
    <cellStyle name="clsDefault 4" xfId="337" xr:uid="{00000000-0005-0000-0000-00004E010000}"/>
    <cellStyle name="clsDefault 4 2" xfId="338" xr:uid="{00000000-0005-0000-0000-00004F010000}"/>
    <cellStyle name="clsDefault 4 3" xfId="339" xr:uid="{00000000-0005-0000-0000-000050010000}"/>
    <cellStyle name="clsDefault 5" xfId="340" xr:uid="{00000000-0005-0000-0000-000051010000}"/>
    <cellStyle name="clsDefault 5 2" xfId="341" xr:uid="{00000000-0005-0000-0000-000052010000}"/>
    <cellStyle name="clsDefault 5 3" xfId="342" xr:uid="{00000000-0005-0000-0000-000053010000}"/>
    <cellStyle name="clsDefault 6" xfId="343" xr:uid="{00000000-0005-0000-0000-000054010000}"/>
    <cellStyle name="clsDefault 7" xfId="344" xr:uid="{00000000-0005-0000-0000-000055010000}"/>
    <cellStyle name="clsDefault 8" xfId="345" xr:uid="{00000000-0005-0000-0000-000056010000}"/>
    <cellStyle name="clsRowHeader" xfId="346" xr:uid="{00000000-0005-0000-0000-000057010000}"/>
    <cellStyle name="clsRowHeader 2" xfId="347" xr:uid="{00000000-0005-0000-0000-000058010000}"/>
    <cellStyle name="clsSection" xfId="348" xr:uid="{00000000-0005-0000-0000-000059010000}"/>
    <cellStyle name="clsSection 2" xfId="349" xr:uid="{00000000-0005-0000-0000-00005A010000}"/>
    <cellStyle name="Comma" xfId="1" builtinId="3"/>
    <cellStyle name="Comma [1]" xfId="350" xr:uid="{00000000-0005-0000-0000-00005C010000}"/>
    <cellStyle name="Comma [1] 2" xfId="351" xr:uid="{00000000-0005-0000-0000-00005D010000}"/>
    <cellStyle name="Comma [1] 3" xfId="352" xr:uid="{00000000-0005-0000-0000-00005E010000}"/>
    <cellStyle name="Comma 10" xfId="353" xr:uid="{00000000-0005-0000-0000-00005F010000}"/>
    <cellStyle name="Comma 10 2" xfId="354" xr:uid="{00000000-0005-0000-0000-000060010000}"/>
    <cellStyle name="Comma 10 2 2" xfId="355" xr:uid="{00000000-0005-0000-0000-000061010000}"/>
    <cellStyle name="Comma 10 2 2 2" xfId="356" xr:uid="{00000000-0005-0000-0000-000062010000}"/>
    <cellStyle name="Comma 10 2 2 3" xfId="357" xr:uid="{00000000-0005-0000-0000-000063010000}"/>
    <cellStyle name="Comma 10 2 3" xfId="358" xr:uid="{00000000-0005-0000-0000-000064010000}"/>
    <cellStyle name="Comma 10 2 3 2" xfId="359" xr:uid="{00000000-0005-0000-0000-000065010000}"/>
    <cellStyle name="Comma 10 2 3 3" xfId="360" xr:uid="{00000000-0005-0000-0000-000066010000}"/>
    <cellStyle name="Comma 10 2 4" xfId="361" xr:uid="{00000000-0005-0000-0000-000067010000}"/>
    <cellStyle name="Comma 10 2 5" xfId="362" xr:uid="{00000000-0005-0000-0000-000068010000}"/>
    <cellStyle name="Comma 10 2 6" xfId="363" xr:uid="{00000000-0005-0000-0000-000069010000}"/>
    <cellStyle name="Comma 10 3" xfId="364" xr:uid="{00000000-0005-0000-0000-00006A010000}"/>
    <cellStyle name="Comma 10 3 2" xfId="365" xr:uid="{00000000-0005-0000-0000-00006B010000}"/>
    <cellStyle name="Comma 10 3 3" xfId="366" xr:uid="{00000000-0005-0000-0000-00006C010000}"/>
    <cellStyle name="Comma 10 4" xfId="367" xr:uid="{00000000-0005-0000-0000-00006D010000}"/>
    <cellStyle name="Comma 10 4 2" xfId="368" xr:uid="{00000000-0005-0000-0000-00006E010000}"/>
    <cellStyle name="Comma 10 4 3" xfId="369" xr:uid="{00000000-0005-0000-0000-00006F010000}"/>
    <cellStyle name="Comma 10 5" xfId="370" xr:uid="{00000000-0005-0000-0000-000070010000}"/>
    <cellStyle name="Comma 10 6" xfId="371" xr:uid="{00000000-0005-0000-0000-000071010000}"/>
    <cellStyle name="Comma 10 7" xfId="372" xr:uid="{00000000-0005-0000-0000-000072010000}"/>
    <cellStyle name="Comma 11" xfId="373" xr:uid="{00000000-0005-0000-0000-000073010000}"/>
    <cellStyle name="Comma 11 2" xfId="374" xr:uid="{00000000-0005-0000-0000-000074010000}"/>
    <cellStyle name="Comma 11 2 2" xfId="375" xr:uid="{00000000-0005-0000-0000-000075010000}"/>
    <cellStyle name="Comma 11 2 2 2" xfId="376" xr:uid="{00000000-0005-0000-0000-000076010000}"/>
    <cellStyle name="Comma 11 2 2 3" xfId="377" xr:uid="{00000000-0005-0000-0000-000077010000}"/>
    <cellStyle name="Comma 11 2 3" xfId="378" xr:uid="{00000000-0005-0000-0000-000078010000}"/>
    <cellStyle name="Comma 11 2 3 2" xfId="379" xr:uid="{00000000-0005-0000-0000-000079010000}"/>
    <cellStyle name="Comma 11 2 3 3" xfId="380" xr:uid="{00000000-0005-0000-0000-00007A010000}"/>
    <cellStyle name="Comma 11 2 4" xfId="381" xr:uid="{00000000-0005-0000-0000-00007B010000}"/>
    <cellStyle name="Comma 11 2 5" xfId="382" xr:uid="{00000000-0005-0000-0000-00007C010000}"/>
    <cellStyle name="Comma 11 2 6" xfId="383" xr:uid="{00000000-0005-0000-0000-00007D010000}"/>
    <cellStyle name="Comma 11 3" xfId="384" xr:uid="{00000000-0005-0000-0000-00007E010000}"/>
    <cellStyle name="Comma 11 3 2" xfId="385" xr:uid="{00000000-0005-0000-0000-00007F010000}"/>
    <cellStyle name="Comma 11 3 3" xfId="386" xr:uid="{00000000-0005-0000-0000-000080010000}"/>
    <cellStyle name="Comma 11 4" xfId="387" xr:uid="{00000000-0005-0000-0000-000081010000}"/>
    <cellStyle name="Comma 11 4 2" xfId="388" xr:uid="{00000000-0005-0000-0000-000082010000}"/>
    <cellStyle name="Comma 11 4 3" xfId="389" xr:uid="{00000000-0005-0000-0000-000083010000}"/>
    <cellStyle name="Comma 11 5" xfId="390" xr:uid="{00000000-0005-0000-0000-000084010000}"/>
    <cellStyle name="Comma 11 6" xfId="391" xr:uid="{00000000-0005-0000-0000-000085010000}"/>
    <cellStyle name="Comma 11 7" xfId="392" xr:uid="{00000000-0005-0000-0000-000086010000}"/>
    <cellStyle name="Comma 12" xfId="393" xr:uid="{00000000-0005-0000-0000-000087010000}"/>
    <cellStyle name="Comma 12 2" xfId="394" xr:uid="{00000000-0005-0000-0000-000088010000}"/>
    <cellStyle name="Comma 12 2 2" xfId="395" xr:uid="{00000000-0005-0000-0000-000089010000}"/>
    <cellStyle name="Comma 12 2 2 2" xfId="396" xr:uid="{00000000-0005-0000-0000-00008A010000}"/>
    <cellStyle name="Comma 12 2 2 3" xfId="397" xr:uid="{00000000-0005-0000-0000-00008B010000}"/>
    <cellStyle name="Comma 12 2 3" xfId="398" xr:uid="{00000000-0005-0000-0000-00008C010000}"/>
    <cellStyle name="Comma 12 2 3 2" xfId="399" xr:uid="{00000000-0005-0000-0000-00008D010000}"/>
    <cellStyle name="Comma 12 2 3 3" xfId="400" xr:uid="{00000000-0005-0000-0000-00008E010000}"/>
    <cellStyle name="Comma 12 2 4" xfId="401" xr:uid="{00000000-0005-0000-0000-00008F010000}"/>
    <cellStyle name="Comma 12 2 5" xfId="402" xr:uid="{00000000-0005-0000-0000-000090010000}"/>
    <cellStyle name="Comma 12 2 6" xfId="403" xr:uid="{00000000-0005-0000-0000-000091010000}"/>
    <cellStyle name="Comma 12 3" xfId="404" xr:uid="{00000000-0005-0000-0000-000092010000}"/>
    <cellStyle name="Comma 12 3 2" xfId="405" xr:uid="{00000000-0005-0000-0000-000093010000}"/>
    <cellStyle name="Comma 12 3 3" xfId="406" xr:uid="{00000000-0005-0000-0000-000094010000}"/>
    <cellStyle name="Comma 12 4" xfId="407" xr:uid="{00000000-0005-0000-0000-000095010000}"/>
    <cellStyle name="Comma 12 4 2" xfId="408" xr:uid="{00000000-0005-0000-0000-000096010000}"/>
    <cellStyle name="Comma 12 4 3" xfId="409" xr:uid="{00000000-0005-0000-0000-000097010000}"/>
    <cellStyle name="Comma 12 5" xfId="410" xr:uid="{00000000-0005-0000-0000-000098010000}"/>
    <cellStyle name="Comma 12 6" xfId="411" xr:uid="{00000000-0005-0000-0000-000099010000}"/>
    <cellStyle name="Comma 12 7" xfId="412" xr:uid="{00000000-0005-0000-0000-00009A010000}"/>
    <cellStyle name="Comma 13" xfId="413" xr:uid="{00000000-0005-0000-0000-00009B010000}"/>
    <cellStyle name="Comma 13 2" xfId="414" xr:uid="{00000000-0005-0000-0000-00009C010000}"/>
    <cellStyle name="Comma 13 2 2" xfId="415" xr:uid="{00000000-0005-0000-0000-00009D010000}"/>
    <cellStyle name="Comma 13 2 2 2" xfId="416" xr:uid="{00000000-0005-0000-0000-00009E010000}"/>
    <cellStyle name="Comma 13 2 2 3" xfId="417" xr:uid="{00000000-0005-0000-0000-00009F010000}"/>
    <cellStyle name="Comma 13 2 3" xfId="418" xr:uid="{00000000-0005-0000-0000-0000A0010000}"/>
    <cellStyle name="Comma 13 2 3 2" xfId="419" xr:uid="{00000000-0005-0000-0000-0000A1010000}"/>
    <cellStyle name="Comma 13 2 3 3" xfId="420" xr:uid="{00000000-0005-0000-0000-0000A2010000}"/>
    <cellStyle name="Comma 13 2 4" xfId="421" xr:uid="{00000000-0005-0000-0000-0000A3010000}"/>
    <cellStyle name="Comma 13 2 5" xfId="422" xr:uid="{00000000-0005-0000-0000-0000A4010000}"/>
    <cellStyle name="Comma 13 2 6" xfId="423" xr:uid="{00000000-0005-0000-0000-0000A5010000}"/>
    <cellStyle name="Comma 13 3" xfId="424" xr:uid="{00000000-0005-0000-0000-0000A6010000}"/>
    <cellStyle name="Comma 13 3 2" xfId="425" xr:uid="{00000000-0005-0000-0000-0000A7010000}"/>
    <cellStyle name="Comma 13 3 3" xfId="426" xr:uid="{00000000-0005-0000-0000-0000A8010000}"/>
    <cellStyle name="Comma 13 4" xfId="427" xr:uid="{00000000-0005-0000-0000-0000A9010000}"/>
    <cellStyle name="Comma 13 4 2" xfId="428" xr:uid="{00000000-0005-0000-0000-0000AA010000}"/>
    <cellStyle name="Comma 13 4 3" xfId="429" xr:uid="{00000000-0005-0000-0000-0000AB010000}"/>
    <cellStyle name="Comma 13 5" xfId="430" xr:uid="{00000000-0005-0000-0000-0000AC010000}"/>
    <cellStyle name="Comma 13 6" xfId="431" xr:uid="{00000000-0005-0000-0000-0000AD010000}"/>
    <cellStyle name="Comma 13 7" xfId="432" xr:uid="{00000000-0005-0000-0000-0000AE010000}"/>
    <cellStyle name="Comma 14" xfId="433" xr:uid="{00000000-0005-0000-0000-0000AF010000}"/>
    <cellStyle name="Comma 14 2" xfId="434" xr:uid="{00000000-0005-0000-0000-0000B0010000}"/>
    <cellStyle name="Comma 15" xfId="435" xr:uid="{00000000-0005-0000-0000-0000B1010000}"/>
    <cellStyle name="Comma 15 2" xfId="436" xr:uid="{00000000-0005-0000-0000-0000B2010000}"/>
    <cellStyle name="Comma 15 2 2" xfId="437" xr:uid="{00000000-0005-0000-0000-0000B3010000}"/>
    <cellStyle name="Comma 15 2 2 2" xfId="438" xr:uid="{00000000-0005-0000-0000-0000B4010000}"/>
    <cellStyle name="Comma 15 2 2 3" xfId="439" xr:uid="{00000000-0005-0000-0000-0000B5010000}"/>
    <cellStyle name="Comma 15 2 3" xfId="440" xr:uid="{00000000-0005-0000-0000-0000B6010000}"/>
    <cellStyle name="Comma 15 2 3 2" xfId="441" xr:uid="{00000000-0005-0000-0000-0000B7010000}"/>
    <cellStyle name="Comma 15 2 3 3" xfId="442" xr:uid="{00000000-0005-0000-0000-0000B8010000}"/>
    <cellStyle name="Comma 15 2 4" xfId="443" xr:uid="{00000000-0005-0000-0000-0000B9010000}"/>
    <cellStyle name="Comma 15 2 5" xfId="444" xr:uid="{00000000-0005-0000-0000-0000BA010000}"/>
    <cellStyle name="Comma 15 2 6" xfId="445" xr:uid="{00000000-0005-0000-0000-0000BB010000}"/>
    <cellStyle name="Comma 15 3" xfId="446" xr:uid="{00000000-0005-0000-0000-0000BC010000}"/>
    <cellStyle name="Comma 15 3 2" xfId="447" xr:uid="{00000000-0005-0000-0000-0000BD010000}"/>
    <cellStyle name="Comma 15 3 3" xfId="448" xr:uid="{00000000-0005-0000-0000-0000BE010000}"/>
    <cellStyle name="Comma 15 4" xfId="449" xr:uid="{00000000-0005-0000-0000-0000BF010000}"/>
    <cellStyle name="Comma 15 4 2" xfId="450" xr:uid="{00000000-0005-0000-0000-0000C0010000}"/>
    <cellStyle name="Comma 15 4 3" xfId="451" xr:uid="{00000000-0005-0000-0000-0000C1010000}"/>
    <cellStyle name="Comma 15 5" xfId="452" xr:uid="{00000000-0005-0000-0000-0000C2010000}"/>
    <cellStyle name="Comma 15 6" xfId="453" xr:uid="{00000000-0005-0000-0000-0000C3010000}"/>
    <cellStyle name="Comma 15 7" xfId="454" xr:uid="{00000000-0005-0000-0000-0000C4010000}"/>
    <cellStyle name="Comma 16" xfId="455" xr:uid="{00000000-0005-0000-0000-0000C5010000}"/>
    <cellStyle name="Comma 16 2" xfId="456" xr:uid="{00000000-0005-0000-0000-0000C6010000}"/>
    <cellStyle name="Comma 16 2 2" xfId="457" xr:uid="{00000000-0005-0000-0000-0000C7010000}"/>
    <cellStyle name="Comma 16 2 2 2" xfId="458" xr:uid="{00000000-0005-0000-0000-0000C8010000}"/>
    <cellStyle name="Comma 16 2 2 3" xfId="459" xr:uid="{00000000-0005-0000-0000-0000C9010000}"/>
    <cellStyle name="Comma 16 2 3" xfId="460" xr:uid="{00000000-0005-0000-0000-0000CA010000}"/>
    <cellStyle name="Comma 16 2 3 2" xfId="461" xr:uid="{00000000-0005-0000-0000-0000CB010000}"/>
    <cellStyle name="Comma 16 2 3 3" xfId="462" xr:uid="{00000000-0005-0000-0000-0000CC010000}"/>
    <cellStyle name="Comma 16 2 4" xfId="463" xr:uid="{00000000-0005-0000-0000-0000CD010000}"/>
    <cellStyle name="Comma 16 2 5" xfId="464" xr:uid="{00000000-0005-0000-0000-0000CE010000}"/>
    <cellStyle name="Comma 16 2 6" xfId="465" xr:uid="{00000000-0005-0000-0000-0000CF010000}"/>
    <cellStyle name="Comma 16 3" xfId="466" xr:uid="{00000000-0005-0000-0000-0000D0010000}"/>
    <cellStyle name="Comma 16 3 2" xfId="467" xr:uid="{00000000-0005-0000-0000-0000D1010000}"/>
    <cellStyle name="Comma 16 3 3" xfId="468" xr:uid="{00000000-0005-0000-0000-0000D2010000}"/>
    <cellStyle name="Comma 16 4" xfId="469" xr:uid="{00000000-0005-0000-0000-0000D3010000}"/>
    <cellStyle name="Comma 16 4 2" xfId="470" xr:uid="{00000000-0005-0000-0000-0000D4010000}"/>
    <cellStyle name="Comma 16 4 3" xfId="471" xr:uid="{00000000-0005-0000-0000-0000D5010000}"/>
    <cellStyle name="Comma 16 5" xfId="472" xr:uid="{00000000-0005-0000-0000-0000D6010000}"/>
    <cellStyle name="Comma 16 6" xfId="473" xr:uid="{00000000-0005-0000-0000-0000D7010000}"/>
    <cellStyle name="Comma 16 7" xfId="474" xr:uid="{00000000-0005-0000-0000-0000D8010000}"/>
    <cellStyle name="Comma 17" xfId="475" xr:uid="{00000000-0005-0000-0000-0000D9010000}"/>
    <cellStyle name="Comma 17 2" xfId="476" xr:uid="{00000000-0005-0000-0000-0000DA010000}"/>
    <cellStyle name="Comma 18" xfId="477" xr:uid="{00000000-0005-0000-0000-0000DB010000}"/>
    <cellStyle name="Comma 18 2" xfId="478" xr:uid="{00000000-0005-0000-0000-0000DC010000}"/>
    <cellStyle name="Comma 18 2 2" xfId="479" xr:uid="{00000000-0005-0000-0000-0000DD010000}"/>
    <cellStyle name="Comma 18 2 2 2" xfId="480" xr:uid="{00000000-0005-0000-0000-0000DE010000}"/>
    <cellStyle name="Comma 18 2 2 3" xfId="481" xr:uid="{00000000-0005-0000-0000-0000DF010000}"/>
    <cellStyle name="Comma 18 2 3" xfId="482" xr:uid="{00000000-0005-0000-0000-0000E0010000}"/>
    <cellStyle name="Comma 18 2 3 2" xfId="483" xr:uid="{00000000-0005-0000-0000-0000E1010000}"/>
    <cellStyle name="Comma 18 2 3 3" xfId="484" xr:uid="{00000000-0005-0000-0000-0000E2010000}"/>
    <cellStyle name="Comma 18 2 4" xfId="485" xr:uid="{00000000-0005-0000-0000-0000E3010000}"/>
    <cellStyle name="Comma 18 2 5" xfId="486" xr:uid="{00000000-0005-0000-0000-0000E4010000}"/>
    <cellStyle name="Comma 18 2 6" xfId="487" xr:uid="{00000000-0005-0000-0000-0000E5010000}"/>
    <cellStyle name="Comma 18 3" xfId="488" xr:uid="{00000000-0005-0000-0000-0000E6010000}"/>
    <cellStyle name="Comma 18 3 2" xfId="489" xr:uid="{00000000-0005-0000-0000-0000E7010000}"/>
    <cellStyle name="Comma 18 3 3" xfId="490" xr:uid="{00000000-0005-0000-0000-0000E8010000}"/>
    <cellStyle name="Comma 18 4" xfId="491" xr:uid="{00000000-0005-0000-0000-0000E9010000}"/>
    <cellStyle name="Comma 18 4 2" xfId="492" xr:uid="{00000000-0005-0000-0000-0000EA010000}"/>
    <cellStyle name="Comma 18 4 3" xfId="493" xr:uid="{00000000-0005-0000-0000-0000EB010000}"/>
    <cellStyle name="Comma 18 5" xfId="494" xr:uid="{00000000-0005-0000-0000-0000EC010000}"/>
    <cellStyle name="Comma 18 6" xfId="495" xr:uid="{00000000-0005-0000-0000-0000ED010000}"/>
    <cellStyle name="Comma 18 7" xfId="496" xr:uid="{00000000-0005-0000-0000-0000EE010000}"/>
    <cellStyle name="Comma 19" xfId="497" xr:uid="{00000000-0005-0000-0000-0000EF010000}"/>
    <cellStyle name="Comma 19 2" xfId="498" xr:uid="{00000000-0005-0000-0000-0000F0010000}"/>
    <cellStyle name="Comma 2" xfId="499" xr:uid="{00000000-0005-0000-0000-0000F1010000}"/>
    <cellStyle name="Comma 2 10" xfId="500" xr:uid="{00000000-0005-0000-0000-0000F2010000}"/>
    <cellStyle name="Comma 2 11" xfId="501" xr:uid="{00000000-0005-0000-0000-0000F3010000}"/>
    <cellStyle name="Comma 2 12" xfId="502" xr:uid="{00000000-0005-0000-0000-0000F4010000}"/>
    <cellStyle name="Comma 2 13" xfId="503" xr:uid="{00000000-0005-0000-0000-0000F5010000}"/>
    <cellStyle name="Comma 2 14" xfId="504" xr:uid="{00000000-0005-0000-0000-0000F6010000}"/>
    <cellStyle name="Comma 2 15" xfId="505" xr:uid="{00000000-0005-0000-0000-0000F7010000}"/>
    <cellStyle name="Comma 2 16" xfId="506" xr:uid="{00000000-0005-0000-0000-0000F8010000}"/>
    <cellStyle name="Comma 2 17" xfId="507" xr:uid="{00000000-0005-0000-0000-0000F9010000}"/>
    <cellStyle name="Comma 2 18" xfId="508" xr:uid="{00000000-0005-0000-0000-0000FA010000}"/>
    <cellStyle name="Comma 2 19" xfId="509" xr:uid="{00000000-0005-0000-0000-0000FB010000}"/>
    <cellStyle name="Comma 2 2" xfId="510" xr:uid="{00000000-0005-0000-0000-0000FC010000}"/>
    <cellStyle name="Comma 2 2 2" xfId="511" xr:uid="{00000000-0005-0000-0000-0000FD010000}"/>
    <cellStyle name="Comma 2 20" xfId="512" xr:uid="{00000000-0005-0000-0000-0000FE010000}"/>
    <cellStyle name="Comma 2 21" xfId="513" xr:uid="{00000000-0005-0000-0000-0000FF010000}"/>
    <cellStyle name="Comma 2 21 2" xfId="514" xr:uid="{00000000-0005-0000-0000-000000020000}"/>
    <cellStyle name="Comma 2 21 2 2" xfId="515" xr:uid="{00000000-0005-0000-0000-000001020000}"/>
    <cellStyle name="Comma 2 21 2 2 2" xfId="516" xr:uid="{00000000-0005-0000-0000-000002020000}"/>
    <cellStyle name="Comma 2 21 2 2 3" xfId="517" xr:uid="{00000000-0005-0000-0000-000003020000}"/>
    <cellStyle name="Comma 2 21 2 3" xfId="518" xr:uid="{00000000-0005-0000-0000-000004020000}"/>
    <cellStyle name="Comma 2 21 2 3 2" xfId="519" xr:uid="{00000000-0005-0000-0000-000005020000}"/>
    <cellStyle name="Comma 2 21 2 3 3" xfId="520" xr:uid="{00000000-0005-0000-0000-000006020000}"/>
    <cellStyle name="Comma 2 21 2 4" xfId="521" xr:uid="{00000000-0005-0000-0000-000007020000}"/>
    <cellStyle name="Comma 2 21 2 5" xfId="522" xr:uid="{00000000-0005-0000-0000-000008020000}"/>
    <cellStyle name="Comma 2 21 2 6" xfId="523" xr:uid="{00000000-0005-0000-0000-000009020000}"/>
    <cellStyle name="Comma 2 21 3" xfId="524" xr:uid="{00000000-0005-0000-0000-00000A020000}"/>
    <cellStyle name="Comma 2 21 3 2" xfId="525" xr:uid="{00000000-0005-0000-0000-00000B020000}"/>
    <cellStyle name="Comma 2 21 3 3" xfId="526" xr:uid="{00000000-0005-0000-0000-00000C020000}"/>
    <cellStyle name="Comma 2 21 4" xfId="527" xr:uid="{00000000-0005-0000-0000-00000D020000}"/>
    <cellStyle name="Comma 2 21 4 2" xfId="528" xr:uid="{00000000-0005-0000-0000-00000E020000}"/>
    <cellStyle name="Comma 2 21 4 3" xfId="529" xr:uid="{00000000-0005-0000-0000-00000F020000}"/>
    <cellStyle name="Comma 2 21 5" xfId="530" xr:uid="{00000000-0005-0000-0000-000010020000}"/>
    <cellStyle name="Comma 2 21 6" xfId="531" xr:uid="{00000000-0005-0000-0000-000011020000}"/>
    <cellStyle name="Comma 2 21 7" xfId="532" xr:uid="{00000000-0005-0000-0000-000012020000}"/>
    <cellStyle name="Comma 2 22" xfId="533" xr:uid="{00000000-0005-0000-0000-000013020000}"/>
    <cellStyle name="Comma 2 22 2" xfId="534" xr:uid="{00000000-0005-0000-0000-000014020000}"/>
    <cellStyle name="Comma 2 22 2 2" xfId="535" xr:uid="{00000000-0005-0000-0000-000015020000}"/>
    <cellStyle name="Comma 2 22 2 2 2" xfId="536" xr:uid="{00000000-0005-0000-0000-000016020000}"/>
    <cellStyle name="Comma 2 22 2 2 3" xfId="537" xr:uid="{00000000-0005-0000-0000-000017020000}"/>
    <cellStyle name="Comma 2 22 2 3" xfId="538" xr:uid="{00000000-0005-0000-0000-000018020000}"/>
    <cellStyle name="Comma 2 22 2 3 2" xfId="539" xr:uid="{00000000-0005-0000-0000-000019020000}"/>
    <cellStyle name="Comma 2 22 2 3 3" xfId="540" xr:uid="{00000000-0005-0000-0000-00001A020000}"/>
    <cellStyle name="Comma 2 22 2 4" xfId="541" xr:uid="{00000000-0005-0000-0000-00001B020000}"/>
    <cellStyle name="Comma 2 22 2 5" xfId="542" xr:uid="{00000000-0005-0000-0000-00001C020000}"/>
    <cellStyle name="Comma 2 22 2 6" xfId="543" xr:uid="{00000000-0005-0000-0000-00001D020000}"/>
    <cellStyle name="Comma 2 22 3" xfId="544" xr:uid="{00000000-0005-0000-0000-00001E020000}"/>
    <cellStyle name="Comma 2 22 3 2" xfId="545" xr:uid="{00000000-0005-0000-0000-00001F020000}"/>
    <cellStyle name="Comma 2 22 3 3" xfId="546" xr:uid="{00000000-0005-0000-0000-000020020000}"/>
    <cellStyle name="Comma 2 22 4" xfId="547" xr:uid="{00000000-0005-0000-0000-000021020000}"/>
    <cellStyle name="Comma 2 22 4 2" xfId="548" xr:uid="{00000000-0005-0000-0000-000022020000}"/>
    <cellStyle name="Comma 2 22 4 3" xfId="549" xr:uid="{00000000-0005-0000-0000-000023020000}"/>
    <cellStyle name="Comma 2 22 5" xfId="550" xr:uid="{00000000-0005-0000-0000-000024020000}"/>
    <cellStyle name="Comma 2 22 6" xfId="551" xr:uid="{00000000-0005-0000-0000-000025020000}"/>
    <cellStyle name="Comma 2 22 7" xfId="552" xr:uid="{00000000-0005-0000-0000-000026020000}"/>
    <cellStyle name="Comma 2 23" xfId="553" xr:uid="{00000000-0005-0000-0000-000027020000}"/>
    <cellStyle name="Comma 2 23 2" xfId="554" xr:uid="{00000000-0005-0000-0000-000028020000}"/>
    <cellStyle name="Comma 2 23 2 2" xfId="555" xr:uid="{00000000-0005-0000-0000-000029020000}"/>
    <cellStyle name="Comma 2 23 2 2 2" xfId="556" xr:uid="{00000000-0005-0000-0000-00002A020000}"/>
    <cellStyle name="Comma 2 23 2 2 3" xfId="557" xr:uid="{00000000-0005-0000-0000-00002B020000}"/>
    <cellStyle name="Comma 2 23 2 3" xfId="558" xr:uid="{00000000-0005-0000-0000-00002C020000}"/>
    <cellStyle name="Comma 2 23 2 3 2" xfId="559" xr:uid="{00000000-0005-0000-0000-00002D020000}"/>
    <cellStyle name="Comma 2 23 2 3 3" xfId="560" xr:uid="{00000000-0005-0000-0000-00002E020000}"/>
    <cellStyle name="Comma 2 23 2 4" xfId="561" xr:uid="{00000000-0005-0000-0000-00002F020000}"/>
    <cellStyle name="Comma 2 23 2 5" xfId="562" xr:uid="{00000000-0005-0000-0000-000030020000}"/>
    <cellStyle name="Comma 2 23 2 6" xfId="563" xr:uid="{00000000-0005-0000-0000-000031020000}"/>
    <cellStyle name="Comma 2 23 3" xfId="564" xr:uid="{00000000-0005-0000-0000-000032020000}"/>
    <cellStyle name="Comma 2 23 3 2" xfId="565" xr:uid="{00000000-0005-0000-0000-000033020000}"/>
    <cellStyle name="Comma 2 23 3 3" xfId="566" xr:uid="{00000000-0005-0000-0000-000034020000}"/>
    <cellStyle name="Comma 2 23 4" xfId="567" xr:uid="{00000000-0005-0000-0000-000035020000}"/>
    <cellStyle name="Comma 2 23 4 2" xfId="568" xr:uid="{00000000-0005-0000-0000-000036020000}"/>
    <cellStyle name="Comma 2 23 4 3" xfId="569" xr:uid="{00000000-0005-0000-0000-000037020000}"/>
    <cellStyle name="Comma 2 23 5" xfId="570" xr:uid="{00000000-0005-0000-0000-000038020000}"/>
    <cellStyle name="Comma 2 23 6" xfId="571" xr:uid="{00000000-0005-0000-0000-000039020000}"/>
    <cellStyle name="Comma 2 23 7" xfId="572" xr:uid="{00000000-0005-0000-0000-00003A020000}"/>
    <cellStyle name="Comma 2 24" xfId="573" xr:uid="{00000000-0005-0000-0000-00003B020000}"/>
    <cellStyle name="Comma 2 24 2" xfId="574" xr:uid="{00000000-0005-0000-0000-00003C020000}"/>
    <cellStyle name="Comma 2 24 2 2" xfId="575" xr:uid="{00000000-0005-0000-0000-00003D020000}"/>
    <cellStyle name="Comma 2 24 2 2 2" xfId="576" xr:uid="{00000000-0005-0000-0000-00003E020000}"/>
    <cellStyle name="Comma 2 24 2 2 3" xfId="577" xr:uid="{00000000-0005-0000-0000-00003F020000}"/>
    <cellStyle name="Comma 2 24 2 3" xfId="578" xr:uid="{00000000-0005-0000-0000-000040020000}"/>
    <cellStyle name="Comma 2 24 2 3 2" xfId="579" xr:uid="{00000000-0005-0000-0000-000041020000}"/>
    <cellStyle name="Comma 2 24 2 3 3" xfId="580" xr:uid="{00000000-0005-0000-0000-000042020000}"/>
    <cellStyle name="Comma 2 24 2 4" xfId="581" xr:uid="{00000000-0005-0000-0000-000043020000}"/>
    <cellStyle name="Comma 2 24 2 5" xfId="582" xr:uid="{00000000-0005-0000-0000-000044020000}"/>
    <cellStyle name="Comma 2 24 2 6" xfId="583" xr:uid="{00000000-0005-0000-0000-000045020000}"/>
    <cellStyle name="Comma 2 24 3" xfId="584" xr:uid="{00000000-0005-0000-0000-000046020000}"/>
    <cellStyle name="Comma 2 24 3 2" xfId="585" xr:uid="{00000000-0005-0000-0000-000047020000}"/>
    <cellStyle name="Comma 2 24 3 3" xfId="586" xr:uid="{00000000-0005-0000-0000-000048020000}"/>
    <cellStyle name="Comma 2 24 4" xfId="587" xr:uid="{00000000-0005-0000-0000-000049020000}"/>
    <cellStyle name="Comma 2 24 4 2" xfId="588" xr:uid="{00000000-0005-0000-0000-00004A020000}"/>
    <cellStyle name="Comma 2 24 4 3" xfId="589" xr:uid="{00000000-0005-0000-0000-00004B020000}"/>
    <cellStyle name="Comma 2 24 5" xfId="590" xr:uid="{00000000-0005-0000-0000-00004C020000}"/>
    <cellStyle name="Comma 2 24 6" xfId="591" xr:uid="{00000000-0005-0000-0000-00004D020000}"/>
    <cellStyle name="Comma 2 24 7" xfId="592" xr:uid="{00000000-0005-0000-0000-00004E020000}"/>
    <cellStyle name="Comma 2 25" xfId="593" xr:uid="{00000000-0005-0000-0000-00004F020000}"/>
    <cellStyle name="Comma 2 25 2" xfId="594" xr:uid="{00000000-0005-0000-0000-000050020000}"/>
    <cellStyle name="Comma 2 25 2 2" xfId="595" xr:uid="{00000000-0005-0000-0000-000051020000}"/>
    <cellStyle name="Comma 2 25 2 2 2" xfId="596" xr:uid="{00000000-0005-0000-0000-000052020000}"/>
    <cellStyle name="Comma 2 25 2 2 3" xfId="597" xr:uid="{00000000-0005-0000-0000-000053020000}"/>
    <cellStyle name="Comma 2 25 2 3" xfId="598" xr:uid="{00000000-0005-0000-0000-000054020000}"/>
    <cellStyle name="Comma 2 25 2 3 2" xfId="599" xr:uid="{00000000-0005-0000-0000-000055020000}"/>
    <cellStyle name="Comma 2 25 2 3 3" xfId="600" xr:uid="{00000000-0005-0000-0000-000056020000}"/>
    <cellStyle name="Comma 2 25 2 4" xfId="601" xr:uid="{00000000-0005-0000-0000-000057020000}"/>
    <cellStyle name="Comma 2 25 2 5" xfId="602" xr:uid="{00000000-0005-0000-0000-000058020000}"/>
    <cellStyle name="Comma 2 25 2 6" xfId="603" xr:uid="{00000000-0005-0000-0000-000059020000}"/>
    <cellStyle name="Comma 2 25 3" xfId="604" xr:uid="{00000000-0005-0000-0000-00005A020000}"/>
    <cellStyle name="Comma 2 25 3 2" xfId="605" xr:uid="{00000000-0005-0000-0000-00005B020000}"/>
    <cellStyle name="Comma 2 25 3 3" xfId="606" xr:uid="{00000000-0005-0000-0000-00005C020000}"/>
    <cellStyle name="Comma 2 25 4" xfId="607" xr:uid="{00000000-0005-0000-0000-00005D020000}"/>
    <cellStyle name="Comma 2 25 4 2" xfId="608" xr:uid="{00000000-0005-0000-0000-00005E020000}"/>
    <cellStyle name="Comma 2 25 4 3" xfId="609" xr:uid="{00000000-0005-0000-0000-00005F020000}"/>
    <cellStyle name="Comma 2 25 5" xfId="610" xr:uid="{00000000-0005-0000-0000-000060020000}"/>
    <cellStyle name="Comma 2 25 6" xfId="611" xr:uid="{00000000-0005-0000-0000-000061020000}"/>
    <cellStyle name="Comma 2 25 7" xfId="612" xr:uid="{00000000-0005-0000-0000-000062020000}"/>
    <cellStyle name="Comma 2 26" xfId="613" xr:uid="{00000000-0005-0000-0000-000063020000}"/>
    <cellStyle name="Comma 2 26 2" xfId="614" xr:uid="{00000000-0005-0000-0000-000064020000}"/>
    <cellStyle name="Comma 2 26 2 2" xfId="615" xr:uid="{00000000-0005-0000-0000-000065020000}"/>
    <cellStyle name="Comma 2 26 2 2 2" xfId="616" xr:uid="{00000000-0005-0000-0000-000066020000}"/>
    <cellStyle name="Comma 2 26 2 2 3" xfId="617" xr:uid="{00000000-0005-0000-0000-000067020000}"/>
    <cellStyle name="Comma 2 26 2 3" xfId="618" xr:uid="{00000000-0005-0000-0000-000068020000}"/>
    <cellStyle name="Comma 2 26 2 3 2" xfId="619" xr:uid="{00000000-0005-0000-0000-000069020000}"/>
    <cellStyle name="Comma 2 26 2 3 3" xfId="620" xr:uid="{00000000-0005-0000-0000-00006A020000}"/>
    <cellStyle name="Comma 2 26 2 4" xfId="621" xr:uid="{00000000-0005-0000-0000-00006B020000}"/>
    <cellStyle name="Comma 2 26 2 5" xfId="622" xr:uid="{00000000-0005-0000-0000-00006C020000}"/>
    <cellStyle name="Comma 2 26 2 6" xfId="623" xr:uid="{00000000-0005-0000-0000-00006D020000}"/>
    <cellStyle name="Comma 2 26 3" xfId="624" xr:uid="{00000000-0005-0000-0000-00006E020000}"/>
    <cellStyle name="Comma 2 26 3 2" xfId="625" xr:uid="{00000000-0005-0000-0000-00006F020000}"/>
    <cellStyle name="Comma 2 26 3 3" xfId="626" xr:uid="{00000000-0005-0000-0000-000070020000}"/>
    <cellStyle name="Comma 2 26 4" xfId="627" xr:uid="{00000000-0005-0000-0000-000071020000}"/>
    <cellStyle name="Comma 2 26 4 2" xfId="628" xr:uid="{00000000-0005-0000-0000-000072020000}"/>
    <cellStyle name="Comma 2 26 4 3" xfId="629" xr:uid="{00000000-0005-0000-0000-000073020000}"/>
    <cellStyle name="Comma 2 26 5" xfId="630" xr:uid="{00000000-0005-0000-0000-000074020000}"/>
    <cellStyle name="Comma 2 26 6" xfId="631" xr:uid="{00000000-0005-0000-0000-000075020000}"/>
    <cellStyle name="Comma 2 26 7" xfId="632" xr:uid="{00000000-0005-0000-0000-000076020000}"/>
    <cellStyle name="Comma 2 27" xfId="633" xr:uid="{00000000-0005-0000-0000-000077020000}"/>
    <cellStyle name="Comma 2 27 2" xfId="634" xr:uid="{00000000-0005-0000-0000-000078020000}"/>
    <cellStyle name="Comma 2 27 2 2" xfId="635" xr:uid="{00000000-0005-0000-0000-000079020000}"/>
    <cellStyle name="Comma 2 27 2 2 2" xfId="636" xr:uid="{00000000-0005-0000-0000-00007A020000}"/>
    <cellStyle name="Comma 2 27 2 2 3" xfId="637" xr:uid="{00000000-0005-0000-0000-00007B020000}"/>
    <cellStyle name="Comma 2 27 2 3" xfId="638" xr:uid="{00000000-0005-0000-0000-00007C020000}"/>
    <cellStyle name="Comma 2 27 2 3 2" xfId="639" xr:uid="{00000000-0005-0000-0000-00007D020000}"/>
    <cellStyle name="Comma 2 27 2 3 3" xfId="640" xr:uid="{00000000-0005-0000-0000-00007E020000}"/>
    <cellStyle name="Comma 2 27 2 4" xfId="641" xr:uid="{00000000-0005-0000-0000-00007F020000}"/>
    <cellStyle name="Comma 2 27 2 5" xfId="642" xr:uid="{00000000-0005-0000-0000-000080020000}"/>
    <cellStyle name="Comma 2 27 2 6" xfId="643" xr:uid="{00000000-0005-0000-0000-000081020000}"/>
    <cellStyle name="Comma 2 27 3" xfId="644" xr:uid="{00000000-0005-0000-0000-000082020000}"/>
    <cellStyle name="Comma 2 27 3 2" xfId="645" xr:uid="{00000000-0005-0000-0000-000083020000}"/>
    <cellStyle name="Comma 2 27 3 3" xfId="646" xr:uid="{00000000-0005-0000-0000-000084020000}"/>
    <cellStyle name="Comma 2 27 4" xfId="647" xr:uid="{00000000-0005-0000-0000-000085020000}"/>
    <cellStyle name="Comma 2 27 4 2" xfId="648" xr:uid="{00000000-0005-0000-0000-000086020000}"/>
    <cellStyle name="Comma 2 27 4 3" xfId="649" xr:uid="{00000000-0005-0000-0000-000087020000}"/>
    <cellStyle name="Comma 2 27 5" xfId="650" xr:uid="{00000000-0005-0000-0000-000088020000}"/>
    <cellStyle name="Comma 2 27 6" xfId="651" xr:uid="{00000000-0005-0000-0000-000089020000}"/>
    <cellStyle name="Comma 2 27 7" xfId="652" xr:uid="{00000000-0005-0000-0000-00008A020000}"/>
    <cellStyle name="Comma 2 28" xfId="653" xr:uid="{00000000-0005-0000-0000-00008B020000}"/>
    <cellStyle name="Comma 2 28 2" xfId="654" xr:uid="{00000000-0005-0000-0000-00008C020000}"/>
    <cellStyle name="Comma 2 28 2 2" xfId="655" xr:uid="{00000000-0005-0000-0000-00008D020000}"/>
    <cellStyle name="Comma 2 28 2 2 2" xfId="656" xr:uid="{00000000-0005-0000-0000-00008E020000}"/>
    <cellStyle name="Comma 2 28 2 2 3" xfId="657" xr:uid="{00000000-0005-0000-0000-00008F020000}"/>
    <cellStyle name="Comma 2 28 2 3" xfId="658" xr:uid="{00000000-0005-0000-0000-000090020000}"/>
    <cellStyle name="Comma 2 28 2 3 2" xfId="659" xr:uid="{00000000-0005-0000-0000-000091020000}"/>
    <cellStyle name="Comma 2 28 2 3 3" xfId="660" xr:uid="{00000000-0005-0000-0000-000092020000}"/>
    <cellStyle name="Comma 2 28 2 4" xfId="661" xr:uid="{00000000-0005-0000-0000-000093020000}"/>
    <cellStyle name="Comma 2 28 2 5" xfId="662" xr:uid="{00000000-0005-0000-0000-000094020000}"/>
    <cellStyle name="Comma 2 28 2 6" xfId="663" xr:uid="{00000000-0005-0000-0000-000095020000}"/>
    <cellStyle name="Comma 2 28 3" xfId="664" xr:uid="{00000000-0005-0000-0000-000096020000}"/>
    <cellStyle name="Comma 2 28 3 2" xfId="665" xr:uid="{00000000-0005-0000-0000-000097020000}"/>
    <cellStyle name="Comma 2 28 3 3" xfId="666" xr:uid="{00000000-0005-0000-0000-000098020000}"/>
    <cellStyle name="Comma 2 28 4" xfId="667" xr:uid="{00000000-0005-0000-0000-000099020000}"/>
    <cellStyle name="Comma 2 28 4 2" xfId="668" xr:uid="{00000000-0005-0000-0000-00009A020000}"/>
    <cellStyle name="Comma 2 28 4 3" xfId="669" xr:uid="{00000000-0005-0000-0000-00009B020000}"/>
    <cellStyle name="Comma 2 28 5" xfId="670" xr:uid="{00000000-0005-0000-0000-00009C020000}"/>
    <cellStyle name="Comma 2 28 6" xfId="671" xr:uid="{00000000-0005-0000-0000-00009D020000}"/>
    <cellStyle name="Comma 2 28 7" xfId="672" xr:uid="{00000000-0005-0000-0000-00009E020000}"/>
    <cellStyle name="Comma 2 29" xfId="673" xr:uid="{00000000-0005-0000-0000-00009F020000}"/>
    <cellStyle name="Comma 2 29 2" xfId="674" xr:uid="{00000000-0005-0000-0000-0000A0020000}"/>
    <cellStyle name="Comma 2 29 2 2" xfId="675" xr:uid="{00000000-0005-0000-0000-0000A1020000}"/>
    <cellStyle name="Comma 2 29 2 2 2" xfId="676" xr:uid="{00000000-0005-0000-0000-0000A2020000}"/>
    <cellStyle name="Comma 2 29 2 2 3" xfId="677" xr:uid="{00000000-0005-0000-0000-0000A3020000}"/>
    <cellStyle name="Comma 2 29 2 3" xfId="678" xr:uid="{00000000-0005-0000-0000-0000A4020000}"/>
    <cellStyle name="Comma 2 29 2 3 2" xfId="679" xr:uid="{00000000-0005-0000-0000-0000A5020000}"/>
    <cellStyle name="Comma 2 29 2 3 3" xfId="680" xr:uid="{00000000-0005-0000-0000-0000A6020000}"/>
    <cellStyle name="Comma 2 29 2 4" xfId="681" xr:uid="{00000000-0005-0000-0000-0000A7020000}"/>
    <cellStyle name="Comma 2 29 2 5" xfId="682" xr:uid="{00000000-0005-0000-0000-0000A8020000}"/>
    <cellStyle name="Comma 2 29 2 6" xfId="683" xr:uid="{00000000-0005-0000-0000-0000A9020000}"/>
    <cellStyle name="Comma 2 29 3" xfId="684" xr:uid="{00000000-0005-0000-0000-0000AA020000}"/>
    <cellStyle name="Comma 2 29 3 2" xfId="685" xr:uid="{00000000-0005-0000-0000-0000AB020000}"/>
    <cellStyle name="Comma 2 29 3 3" xfId="686" xr:uid="{00000000-0005-0000-0000-0000AC020000}"/>
    <cellStyle name="Comma 2 29 4" xfId="687" xr:uid="{00000000-0005-0000-0000-0000AD020000}"/>
    <cellStyle name="Comma 2 29 4 2" xfId="688" xr:uid="{00000000-0005-0000-0000-0000AE020000}"/>
    <cellStyle name="Comma 2 29 4 3" xfId="689" xr:uid="{00000000-0005-0000-0000-0000AF020000}"/>
    <cellStyle name="Comma 2 29 5" xfId="690" xr:uid="{00000000-0005-0000-0000-0000B0020000}"/>
    <cellStyle name="Comma 2 29 6" xfId="691" xr:uid="{00000000-0005-0000-0000-0000B1020000}"/>
    <cellStyle name="Comma 2 29 7" xfId="692" xr:uid="{00000000-0005-0000-0000-0000B2020000}"/>
    <cellStyle name="Comma 2 3" xfId="693" xr:uid="{00000000-0005-0000-0000-0000B3020000}"/>
    <cellStyle name="Comma 2 30" xfId="694" xr:uid="{00000000-0005-0000-0000-0000B4020000}"/>
    <cellStyle name="Comma 2 30 2" xfId="695" xr:uid="{00000000-0005-0000-0000-0000B5020000}"/>
    <cellStyle name="Comma 2 30 2 2" xfId="696" xr:uid="{00000000-0005-0000-0000-0000B6020000}"/>
    <cellStyle name="Comma 2 30 2 2 2" xfId="697" xr:uid="{00000000-0005-0000-0000-0000B7020000}"/>
    <cellStyle name="Comma 2 30 2 2 3" xfId="698" xr:uid="{00000000-0005-0000-0000-0000B8020000}"/>
    <cellStyle name="Comma 2 30 2 3" xfId="699" xr:uid="{00000000-0005-0000-0000-0000B9020000}"/>
    <cellStyle name="Comma 2 30 2 3 2" xfId="700" xr:uid="{00000000-0005-0000-0000-0000BA020000}"/>
    <cellStyle name="Comma 2 30 2 3 3" xfId="701" xr:uid="{00000000-0005-0000-0000-0000BB020000}"/>
    <cellStyle name="Comma 2 30 2 4" xfId="702" xr:uid="{00000000-0005-0000-0000-0000BC020000}"/>
    <cellStyle name="Comma 2 30 2 5" xfId="703" xr:uid="{00000000-0005-0000-0000-0000BD020000}"/>
    <cellStyle name="Comma 2 30 2 6" xfId="704" xr:uid="{00000000-0005-0000-0000-0000BE020000}"/>
    <cellStyle name="Comma 2 30 3" xfId="705" xr:uid="{00000000-0005-0000-0000-0000BF020000}"/>
    <cellStyle name="Comma 2 30 3 2" xfId="706" xr:uid="{00000000-0005-0000-0000-0000C0020000}"/>
    <cellStyle name="Comma 2 30 3 3" xfId="707" xr:uid="{00000000-0005-0000-0000-0000C1020000}"/>
    <cellStyle name="Comma 2 30 4" xfId="708" xr:uid="{00000000-0005-0000-0000-0000C2020000}"/>
    <cellStyle name="Comma 2 30 4 2" xfId="709" xr:uid="{00000000-0005-0000-0000-0000C3020000}"/>
    <cellStyle name="Comma 2 30 4 3" xfId="710" xr:uid="{00000000-0005-0000-0000-0000C4020000}"/>
    <cellStyle name="Comma 2 30 5" xfId="711" xr:uid="{00000000-0005-0000-0000-0000C5020000}"/>
    <cellStyle name="Comma 2 30 6" xfId="712" xr:uid="{00000000-0005-0000-0000-0000C6020000}"/>
    <cellStyle name="Comma 2 30 7" xfId="713" xr:uid="{00000000-0005-0000-0000-0000C7020000}"/>
    <cellStyle name="Comma 2 31" xfId="714" xr:uid="{00000000-0005-0000-0000-0000C8020000}"/>
    <cellStyle name="Comma 2 31 2" xfId="715" xr:uid="{00000000-0005-0000-0000-0000C9020000}"/>
    <cellStyle name="Comma 2 31 2 2" xfId="716" xr:uid="{00000000-0005-0000-0000-0000CA020000}"/>
    <cellStyle name="Comma 2 31 2 2 2" xfId="717" xr:uid="{00000000-0005-0000-0000-0000CB020000}"/>
    <cellStyle name="Comma 2 31 2 2 3" xfId="718" xr:uid="{00000000-0005-0000-0000-0000CC020000}"/>
    <cellStyle name="Comma 2 31 2 3" xfId="719" xr:uid="{00000000-0005-0000-0000-0000CD020000}"/>
    <cellStyle name="Comma 2 31 2 3 2" xfId="720" xr:uid="{00000000-0005-0000-0000-0000CE020000}"/>
    <cellStyle name="Comma 2 31 2 3 3" xfId="721" xr:uid="{00000000-0005-0000-0000-0000CF020000}"/>
    <cellStyle name="Comma 2 31 2 4" xfId="722" xr:uid="{00000000-0005-0000-0000-0000D0020000}"/>
    <cellStyle name="Comma 2 31 2 5" xfId="723" xr:uid="{00000000-0005-0000-0000-0000D1020000}"/>
    <cellStyle name="Comma 2 31 2 6" xfId="724" xr:uid="{00000000-0005-0000-0000-0000D2020000}"/>
    <cellStyle name="Comma 2 31 3" xfId="725" xr:uid="{00000000-0005-0000-0000-0000D3020000}"/>
    <cellStyle name="Comma 2 31 3 2" xfId="726" xr:uid="{00000000-0005-0000-0000-0000D4020000}"/>
    <cellStyle name="Comma 2 31 3 3" xfId="727" xr:uid="{00000000-0005-0000-0000-0000D5020000}"/>
    <cellStyle name="Comma 2 31 4" xfId="728" xr:uid="{00000000-0005-0000-0000-0000D6020000}"/>
    <cellStyle name="Comma 2 31 4 2" xfId="729" xr:uid="{00000000-0005-0000-0000-0000D7020000}"/>
    <cellStyle name="Comma 2 31 4 3" xfId="730" xr:uid="{00000000-0005-0000-0000-0000D8020000}"/>
    <cellStyle name="Comma 2 31 5" xfId="731" xr:uid="{00000000-0005-0000-0000-0000D9020000}"/>
    <cellStyle name="Comma 2 31 6" xfId="732" xr:uid="{00000000-0005-0000-0000-0000DA020000}"/>
    <cellStyle name="Comma 2 31 7" xfId="733" xr:uid="{00000000-0005-0000-0000-0000DB020000}"/>
    <cellStyle name="Comma 2 32" xfId="734" xr:uid="{00000000-0005-0000-0000-0000DC020000}"/>
    <cellStyle name="Comma 2 32 2" xfId="735" xr:uid="{00000000-0005-0000-0000-0000DD020000}"/>
    <cellStyle name="Comma 2 32 2 2" xfId="736" xr:uid="{00000000-0005-0000-0000-0000DE020000}"/>
    <cellStyle name="Comma 2 32 2 2 2" xfId="737" xr:uid="{00000000-0005-0000-0000-0000DF020000}"/>
    <cellStyle name="Comma 2 32 2 2 3" xfId="738" xr:uid="{00000000-0005-0000-0000-0000E0020000}"/>
    <cellStyle name="Comma 2 32 2 3" xfId="739" xr:uid="{00000000-0005-0000-0000-0000E1020000}"/>
    <cellStyle name="Comma 2 32 2 3 2" xfId="740" xr:uid="{00000000-0005-0000-0000-0000E2020000}"/>
    <cellStyle name="Comma 2 32 2 3 3" xfId="741" xr:uid="{00000000-0005-0000-0000-0000E3020000}"/>
    <cellStyle name="Comma 2 32 2 4" xfId="742" xr:uid="{00000000-0005-0000-0000-0000E4020000}"/>
    <cellStyle name="Comma 2 32 2 5" xfId="743" xr:uid="{00000000-0005-0000-0000-0000E5020000}"/>
    <cellStyle name="Comma 2 32 2 6" xfId="744" xr:uid="{00000000-0005-0000-0000-0000E6020000}"/>
    <cellStyle name="Comma 2 32 3" xfId="745" xr:uid="{00000000-0005-0000-0000-0000E7020000}"/>
    <cellStyle name="Comma 2 32 3 2" xfId="746" xr:uid="{00000000-0005-0000-0000-0000E8020000}"/>
    <cellStyle name="Comma 2 32 3 3" xfId="747" xr:uid="{00000000-0005-0000-0000-0000E9020000}"/>
    <cellStyle name="Comma 2 32 4" xfId="748" xr:uid="{00000000-0005-0000-0000-0000EA020000}"/>
    <cellStyle name="Comma 2 32 4 2" xfId="749" xr:uid="{00000000-0005-0000-0000-0000EB020000}"/>
    <cellStyle name="Comma 2 32 4 3" xfId="750" xr:uid="{00000000-0005-0000-0000-0000EC020000}"/>
    <cellStyle name="Comma 2 32 5" xfId="751" xr:uid="{00000000-0005-0000-0000-0000ED020000}"/>
    <cellStyle name="Comma 2 32 6" xfId="752" xr:uid="{00000000-0005-0000-0000-0000EE020000}"/>
    <cellStyle name="Comma 2 32 7" xfId="753" xr:uid="{00000000-0005-0000-0000-0000EF020000}"/>
    <cellStyle name="Comma 2 33" xfId="754" xr:uid="{00000000-0005-0000-0000-0000F0020000}"/>
    <cellStyle name="Comma 2 33 2" xfId="755" xr:uid="{00000000-0005-0000-0000-0000F1020000}"/>
    <cellStyle name="Comma 2 33 2 2" xfId="756" xr:uid="{00000000-0005-0000-0000-0000F2020000}"/>
    <cellStyle name="Comma 2 33 2 2 2" xfId="757" xr:uid="{00000000-0005-0000-0000-0000F3020000}"/>
    <cellStyle name="Comma 2 33 2 2 3" xfId="758" xr:uid="{00000000-0005-0000-0000-0000F4020000}"/>
    <cellStyle name="Comma 2 33 2 3" xfId="759" xr:uid="{00000000-0005-0000-0000-0000F5020000}"/>
    <cellStyle name="Comma 2 33 2 3 2" xfId="760" xr:uid="{00000000-0005-0000-0000-0000F6020000}"/>
    <cellStyle name="Comma 2 33 2 3 3" xfId="761" xr:uid="{00000000-0005-0000-0000-0000F7020000}"/>
    <cellStyle name="Comma 2 33 2 4" xfId="762" xr:uid="{00000000-0005-0000-0000-0000F8020000}"/>
    <cellStyle name="Comma 2 33 2 5" xfId="763" xr:uid="{00000000-0005-0000-0000-0000F9020000}"/>
    <cellStyle name="Comma 2 33 2 6" xfId="764" xr:uid="{00000000-0005-0000-0000-0000FA020000}"/>
    <cellStyle name="Comma 2 33 3" xfId="765" xr:uid="{00000000-0005-0000-0000-0000FB020000}"/>
    <cellStyle name="Comma 2 33 3 2" xfId="766" xr:uid="{00000000-0005-0000-0000-0000FC020000}"/>
    <cellStyle name="Comma 2 33 3 3" xfId="767" xr:uid="{00000000-0005-0000-0000-0000FD020000}"/>
    <cellStyle name="Comma 2 33 4" xfId="768" xr:uid="{00000000-0005-0000-0000-0000FE020000}"/>
    <cellStyle name="Comma 2 33 4 2" xfId="769" xr:uid="{00000000-0005-0000-0000-0000FF020000}"/>
    <cellStyle name="Comma 2 33 4 3" xfId="770" xr:uid="{00000000-0005-0000-0000-000000030000}"/>
    <cellStyle name="Comma 2 33 5" xfId="771" xr:uid="{00000000-0005-0000-0000-000001030000}"/>
    <cellStyle name="Comma 2 33 6" xfId="772" xr:uid="{00000000-0005-0000-0000-000002030000}"/>
    <cellStyle name="Comma 2 33 7" xfId="773" xr:uid="{00000000-0005-0000-0000-000003030000}"/>
    <cellStyle name="Comma 2 34" xfId="774" xr:uid="{00000000-0005-0000-0000-000004030000}"/>
    <cellStyle name="Comma 2 34 2" xfId="775" xr:uid="{00000000-0005-0000-0000-000005030000}"/>
    <cellStyle name="Comma 2 34 2 2" xfId="776" xr:uid="{00000000-0005-0000-0000-000006030000}"/>
    <cellStyle name="Comma 2 34 2 3" xfId="777" xr:uid="{00000000-0005-0000-0000-000007030000}"/>
    <cellStyle name="Comma 2 34 3" xfId="778" xr:uid="{00000000-0005-0000-0000-000008030000}"/>
    <cellStyle name="Comma 2 34 3 2" xfId="779" xr:uid="{00000000-0005-0000-0000-000009030000}"/>
    <cellStyle name="Comma 2 34 3 3" xfId="780" xr:uid="{00000000-0005-0000-0000-00000A030000}"/>
    <cellStyle name="Comma 2 34 4" xfId="781" xr:uid="{00000000-0005-0000-0000-00000B030000}"/>
    <cellStyle name="Comma 2 34 5" xfId="782" xr:uid="{00000000-0005-0000-0000-00000C030000}"/>
    <cellStyle name="Comma 2 34 6" xfId="783" xr:uid="{00000000-0005-0000-0000-00000D030000}"/>
    <cellStyle name="Comma 2 35" xfId="784" xr:uid="{00000000-0005-0000-0000-00000E030000}"/>
    <cellStyle name="Comma 2 35 2" xfId="785" xr:uid="{00000000-0005-0000-0000-00000F030000}"/>
    <cellStyle name="Comma 2 35 3" xfId="786" xr:uid="{00000000-0005-0000-0000-000010030000}"/>
    <cellStyle name="Comma 2 36" xfId="787" xr:uid="{00000000-0005-0000-0000-000011030000}"/>
    <cellStyle name="Comma 2 36 2" xfId="788" xr:uid="{00000000-0005-0000-0000-000012030000}"/>
    <cellStyle name="Comma 2 36 3" xfId="789" xr:uid="{00000000-0005-0000-0000-000013030000}"/>
    <cellStyle name="Comma 2 37" xfId="790" xr:uid="{00000000-0005-0000-0000-000014030000}"/>
    <cellStyle name="Comma 2 37 2" xfId="791" xr:uid="{00000000-0005-0000-0000-000015030000}"/>
    <cellStyle name="Comma 2 37 3" xfId="792" xr:uid="{00000000-0005-0000-0000-000016030000}"/>
    <cellStyle name="Comma 2 38" xfId="793" xr:uid="{00000000-0005-0000-0000-000017030000}"/>
    <cellStyle name="Comma 2 39" xfId="794" xr:uid="{00000000-0005-0000-0000-000018030000}"/>
    <cellStyle name="Comma 2 4" xfId="795" xr:uid="{00000000-0005-0000-0000-000019030000}"/>
    <cellStyle name="Comma 2 40" xfId="796" xr:uid="{00000000-0005-0000-0000-00001A030000}"/>
    <cellStyle name="Comma 2 41" xfId="797" xr:uid="{00000000-0005-0000-0000-00001B030000}"/>
    <cellStyle name="Comma 2 42" xfId="798" xr:uid="{00000000-0005-0000-0000-00001C030000}"/>
    <cellStyle name="Comma 2 5" xfId="799" xr:uid="{00000000-0005-0000-0000-00001D030000}"/>
    <cellStyle name="Comma 2 6" xfId="800" xr:uid="{00000000-0005-0000-0000-00001E030000}"/>
    <cellStyle name="Comma 2 7" xfId="801" xr:uid="{00000000-0005-0000-0000-00001F030000}"/>
    <cellStyle name="Comma 2 8" xfId="802" xr:uid="{00000000-0005-0000-0000-000020030000}"/>
    <cellStyle name="Comma 2 9" xfId="803" xr:uid="{00000000-0005-0000-0000-000021030000}"/>
    <cellStyle name="Comma 20" xfId="804" xr:uid="{00000000-0005-0000-0000-000022030000}"/>
    <cellStyle name="Comma 20 2" xfId="805" xr:uid="{00000000-0005-0000-0000-000023030000}"/>
    <cellStyle name="Comma 21" xfId="806" xr:uid="{00000000-0005-0000-0000-000024030000}"/>
    <cellStyle name="Comma 21 2" xfId="807" xr:uid="{00000000-0005-0000-0000-000025030000}"/>
    <cellStyle name="Comma 22" xfId="808" xr:uid="{00000000-0005-0000-0000-000026030000}"/>
    <cellStyle name="Comma 22 2" xfId="809" xr:uid="{00000000-0005-0000-0000-000027030000}"/>
    <cellStyle name="Comma 22 2 2" xfId="810" xr:uid="{00000000-0005-0000-0000-000028030000}"/>
    <cellStyle name="Comma 22 2 3" xfId="811" xr:uid="{00000000-0005-0000-0000-000029030000}"/>
    <cellStyle name="Comma 22 3" xfId="812" xr:uid="{00000000-0005-0000-0000-00002A030000}"/>
    <cellStyle name="Comma 22 3 2" xfId="813" xr:uid="{00000000-0005-0000-0000-00002B030000}"/>
    <cellStyle name="Comma 22 3 3" xfId="814" xr:uid="{00000000-0005-0000-0000-00002C030000}"/>
    <cellStyle name="Comma 22 4" xfId="815" xr:uid="{00000000-0005-0000-0000-00002D030000}"/>
    <cellStyle name="Comma 22 5" xfId="816" xr:uid="{00000000-0005-0000-0000-00002E030000}"/>
    <cellStyle name="Comma 22 6" xfId="817" xr:uid="{00000000-0005-0000-0000-00002F030000}"/>
    <cellStyle name="Comma 23" xfId="818" xr:uid="{00000000-0005-0000-0000-000030030000}"/>
    <cellStyle name="Comma 23 2" xfId="819" xr:uid="{00000000-0005-0000-0000-000031030000}"/>
    <cellStyle name="Comma 24" xfId="820" xr:uid="{00000000-0005-0000-0000-000032030000}"/>
    <cellStyle name="Comma 24 2" xfId="821" xr:uid="{00000000-0005-0000-0000-000033030000}"/>
    <cellStyle name="Comma 25" xfId="822" xr:uid="{00000000-0005-0000-0000-000034030000}"/>
    <cellStyle name="Comma 25 2" xfId="823" xr:uid="{00000000-0005-0000-0000-000035030000}"/>
    <cellStyle name="Comma 25 3" xfId="824" xr:uid="{00000000-0005-0000-0000-000036030000}"/>
    <cellStyle name="Comma 25 4" xfId="825" xr:uid="{00000000-0005-0000-0000-000037030000}"/>
    <cellStyle name="Comma 26" xfId="826" xr:uid="{00000000-0005-0000-0000-000038030000}"/>
    <cellStyle name="Comma 26 2" xfId="827" xr:uid="{00000000-0005-0000-0000-000039030000}"/>
    <cellStyle name="Comma 26 3" xfId="828" xr:uid="{00000000-0005-0000-0000-00003A030000}"/>
    <cellStyle name="Comma 27" xfId="829" xr:uid="{00000000-0005-0000-0000-00003B030000}"/>
    <cellStyle name="Comma 27 2" xfId="830" xr:uid="{00000000-0005-0000-0000-00003C030000}"/>
    <cellStyle name="Comma 27 3" xfId="831" xr:uid="{00000000-0005-0000-0000-00003D030000}"/>
    <cellStyle name="Comma 28" xfId="832" xr:uid="{00000000-0005-0000-0000-00003E030000}"/>
    <cellStyle name="Comma 29" xfId="833" xr:uid="{00000000-0005-0000-0000-00003F030000}"/>
    <cellStyle name="Comma 3" xfId="834" xr:uid="{00000000-0005-0000-0000-000040030000}"/>
    <cellStyle name="Comma 3 2" xfId="835" xr:uid="{00000000-0005-0000-0000-000041030000}"/>
    <cellStyle name="Comma 3 2 2" xfId="836" xr:uid="{00000000-0005-0000-0000-000042030000}"/>
    <cellStyle name="Comma 3 2 2 2" xfId="837" xr:uid="{00000000-0005-0000-0000-000043030000}"/>
    <cellStyle name="Comma 3 2 2 3" xfId="838" xr:uid="{00000000-0005-0000-0000-000044030000}"/>
    <cellStyle name="Comma 3 2 3" xfId="839" xr:uid="{00000000-0005-0000-0000-000045030000}"/>
    <cellStyle name="Comma 3 2 3 2" xfId="840" xr:uid="{00000000-0005-0000-0000-000046030000}"/>
    <cellStyle name="Comma 3 2 3 3" xfId="841" xr:uid="{00000000-0005-0000-0000-000047030000}"/>
    <cellStyle name="Comma 3 2 4" xfId="842" xr:uid="{00000000-0005-0000-0000-000048030000}"/>
    <cellStyle name="Comma 3 2 5" xfId="843" xr:uid="{00000000-0005-0000-0000-000049030000}"/>
    <cellStyle name="Comma 3 2 6" xfId="844" xr:uid="{00000000-0005-0000-0000-00004A030000}"/>
    <cellStyle name="Comma 3 3" xfId="845" xr:uid="{00000000-0005-0000-0000-00004B030000}"/>
    <cellStyle name="Comma 3 3 2" xfId="846" xr:uid="{00000000-0005-0000-0000-00004C030000}"/>
    <cellStyle name="Comma 3 3 3" xfId="847" xr:uid="{00000000-0005-0000-0000-00004D030000}"/>
    <cellStyle name="Comma 3 4" xfId="848" xr:uid="{00000000-0005-0000-0000-00004E030000}"/>
    <cellStyle name="Comma 3 4 2" xfId="849" xr:uid="{00000000-0005-0000-0000-00004F030000}"/>
    <cellStyle name="Comma 3 4 3" xfId="850" xr:uid="{00000000-0005-0000-0000-000050030000}"/>
    <cellStyle name="Comma 3 5" xfId="851" xr:uid="{00000000-0005-0000-0000-000051030000}"/>
    <cellStyle name="Comma 3 6" xfId="852" xr:uid="{00000000-0005-0000-0000-000052030000}"/>
    <cellStyle name="Comma 3 7" xfId="853" xr:uid="{00000000-0005-0000-0000-000053030000}"/>
    <cellStyle name="Comma 30" xfId="854" xr:uid="{00000000-0005-0000-0000-000054030000}"/>
    <cellStyle name="Comma 31" xfId="855" xr:uid="{00000000-0005-0000-0000-000055030000}"/>
    <cellStyle name="Comma 32" xfId="856" xr:uid="{00000000-0005-0000-0000-000056030000}"/>
    <cellStyle name="Comma 33" xfId="857" xr:uid="{00000000-0005-0000-0000-000057030000}"/>
    <cellStyle name="Comma 33 2" xfId="858" xr:uid="{00000000-0005-0000-0000-000058030000}"/>
    <cellStyle name="Comma 34" xfId="859" xr:uid="{00000000-0005-0000-0000-000059030000}"/>
    <cellStyle name="Comma 34 2" xfId="860" xr:uid="{00000000-0005-0000-0000-00005A030000}"/>
    <cellStyle name="Comma 35" xfId="861" xr:uid="{00000000-0005-0000-0000-00005B030000}"/>
    <cellStyle name="Comma 35 2" xfId="862" xr:uid="{00000000-0005-0000-0000-00005C030000}"/>
    <cellStyle name="Comma 36" xfId="863" xr:uid="{00000000-0005-0000-0000-00005D030000}"/>
    <cellStyle name="Comma 36 2" xfId="864" xr:uid="{00000000-0005-0000-0000-00005E030000}"/>
    <cellStyle name="Comma 37" xfId="865" xr:uid="{00000000-0005-0000-0000-00005F030000}"/>
    <cellStyle name="Comma 4" xfId="866" xr:uid="{00000000-0005-0000-0000-000060030000}"/>
    <cellStyle name="Comma 4 10" xfId="867" xr:uid="{00000000-0005-0000-0000-000061030000}"/>
    <cellStyle name="Comma 4 10 2" xfId="868" xr:uid="{00000000-0005-0000-0000-000062030000}"/>
    <cellStyle name="Comma 4 10 2 2" xfId="869" xr:uid="{00000000-0005-0000-0000-000063030000}"/>
    <cellStyle name="Comma 4 10 2 2 2" xfId="870" xr:uid="{00000000-0005-0000-0000-000064030000}"/>
    <cellStyle name="Comma 4 10 2 2 3" xfId="871" xr:uid="{00000000-0005-0000-0000-000065030000}"/>
    <cellStyle name="Comma 4 10 2 3" xfId="872" xr:uid="{00000000-0005-0000-0000-000066030000}"/>
    <cellStyle name="Comma 4 10 2 3 2" xfId="873" xr:uid="{00000000-0005-0000-0000-000067030000}"/>
    <cellStyle name="Comma 4 10 2 3 3" xfId="874" xr:uid="{00000000-0005-0000-0000-000068030000}"/>
    <cellStyle name="Comma 4 10 2 4" xfId="875" xr:uid="{00000000-0005-0000-0000-000069030000}"/>
    <cellStyle name="Comma 4 10 2 5" xfId="876" xr:uid="{00000000-0005-0000-0000-00006A030000}"/>
    <cellStyle name="Comma 4 10 2 6" xfId="877" xr:uid="{00000000-0005-0000-0000-00006B030000}"/>
    <cellStyle name="Comma 4 10 3" xfId="878" xr:uid="{00000000-0005-0000-0000-00006C030000}"/>
    <cellStyle name="Comma 4 10 3 2" xfId="879" xr:uid="{00000000-0005-0000-0000-00006D030000}"/>
    <cellStyle name="Comma 4 10 3 3" xfId="880" xr:uid="{00000000-0005-0000-0000-00006E030000}"/>
    <cellStyle name="Comma 4 10 4" xfId="881" xr:uid="{00000000-0005-0000-0000-00006F030000}"/>
    <cellStyle name="Comma 4 10 4 2" xfId="882" xr:uid="{00000000-0005-0000-0000-000070030000}"/>
    <cellStyle name="Comma 4 10 4 3" xfId="883" xr:uid="{00000000-0005-0000-0000-000071030000}"/>
    <cellStyle name="Comma 4 10 5" xfId="884" xr:uid="{00000000-0005-0000-0000-000072030000}"/>
    <cellStyle name="Comma 4 10 6" xfId="885" xr:uid="{00000000-0005-0000-0000-000073030000}"/>
    <cellStyle name="Comma 4 10 7" xfId="886" xr:uid="{00000000-0005-0000-0000-000074030000}"/>
    <cellStyle name="Comma 4 11" xfId="887" xr:uid="{00000000-0005-0000-0000-000075030000}"/>
    <cellStyle name="Comma 4 11 2" xfId="888" xr:uid="{00000000-0005-0000-0000-000076030000}"/>
    <cellStyle name="Comma 4 11 2 2" xfId="889" xr:uid="{00000000-0005-0000-0000-000077030000}"/>
    <cellStyle name="Comma 4 11 2 2 2" xfId="890" xr:uid="{00000000-0005-0000-0000-000078030000}"/>
    <cellStyle name="Comma 4 11 2 2 3" xfId="891" xr:uid="{00000000-0005-0000-0000-000079030000}"/>
    <cellStyle name="Comma 4 11 2 3" xfId="892" xr:uid="{00000000-0005-0000-0000-00007A030000}"/>
    <cellStyle name="Comma 4 11 2 3 2" xfId="893" xr:uid="{00000000-0005-0000-0000-00007B030000}"/>
    <cellStyle name="Comma 4 11 2 3 3" xfId="894" xr:uid="{00000000-0005-0000-0000-00007C030000}"/>
    <cellStyle name="Comma 4 11 2 4" xfId="895" xr:uid="{00000000-0005-0000-0000-00007D030000}"/>
    <cellStyle name="Comma 4 11 2 5" xfId="896" xr:uid="{00000000-0005-0000-0000-00007E030000}"/>
    <cellStyle name="Comma 4 11 2 6" xfId="897" xr:uid="{00000000-0005-0000-0000-00007F030000}"/>
    <cellStyle name="Comma 4 11 3" xfId="898" xr:uid="{00000000-0005-0000-0000-000080030000}"/>
    <cellStyle name="Comma 4 11 3 2" xfId="899" xr:uid="{00000000-0005-0000-0000-000081030000}"/>
    <cellStyle name="Comma 4 11 3 3" xfId="900" xr:uid="{00000000-0005-0000-0000-000082030000}"/>
    <cellStyle name="Comma 4 11 4" xfId="901" xr:uid="{00000000-0005-0000-0000-000083030000}"/>
    <cellStyle name="Comma 4 11 4 2" xfId="902" xr:uid="{00000000-0005-0000-0000-000084030000}"/>
    <cellStyle name="Comma 4 11 4 3" xfId="903" xr:uid="{00000000-0005-0000-0000-000085030000}"/>
    <cellStyle name="Comma 4 11 5" xfId="904" xr:uid="{00000000-0005-0000-0000-000086030000}"/>
    <cellStyle name="Comma 4 11 6" xfId="905" xr:uid="{00000000-0005-0000-0000-000087030000}"/>
    <cellStyle name="Comma 4 11 7" xfId="906" xr:uid="{00000000-0005-0000-0000-000088030000}"/>
    <cellStyle name="Comma 4 12" xfId="907" xr:uid="{00000000-0005-0000-0000-000089030000}"/>
    <cellStyle name="Comma 4 12 2" xfId="908" xr:uid="{00000000-0005-0000-0000-00008A030000}"/>
    <cellStyle name="Comma 4 12 2 2" xfId="909" xr:uid="{00000000-0005-0000-0000-00008B030000}"/>
    <cellStyle name="Comma 4 12 2 3" xfId="910" xr:uid="{00000000-0005-0000-0000-00008C030000}"/>
    <cellStyle name="Comma 4 12 3" xfId="911" xr:uid="{00000000-0005-0000-0000-00008D030000}"/>
    <cellStyle name="Comma 4 12 3 2" xfId="912" xr:uid="{00000000-0005-0000-0000-00008E030000}"/>
    <cellStyle name="Comma 4 12 3 3" xfId="913" xr:uid="{00000000-0005-0000-0000-00008F030000}"/>
    <cellStyle name="Comma 4 12 4" xfId="914" xr:uid="{00000000-0005-0000-0000-000090030000}"/>
    <cellStyle name="Comma 4 12 5" xfId="915" xr:uid="{00000000-0005-0000-0000-000091030000}"/>
    <cellStyle name="Comma 4 12 6" xfId="916" xr:uid="{00000000-0005-0000-0000-000092030000}"/>
    <cellStyle name="Comma 4 13" xfId="917" xr:uid="{00000000-0005-0000-0000-000093030000}"/>
    <cellStyle name="Comma 4 13 2" xfId="918" xr:uid="{00000000-0005-0000-0000-000094030000}"/>
    <cellStyle name="Comma 4 13 3" xfId="919" xr:uid="{00000000-0005-0000-0000-000095030000}"/>
    <cellStyle name="Comma 4 14" xfId="920" xr:uid="{00000000-0005-0000-0000-000096030000}"/>
    <cellStyle name="Comma 4 14 2" xfId="921" xr:uid="{00000000-0005-0000-0000-000097030000}"/>
    <cellStyle name="Comma 4 14 3" xfId="922" xr:uid="{00000000-0005-0000-0000-000098030000}"/>
    <cellStyle name="Comma 4 15" xfId="923" xr:uid="{00000000-0005-0000-0000-000099030000}"/>
    <cellStyle name="Comma 4 16" xfId="924" xr:uid="{00000000-0005-0000-0000-00009A030000}"/>
    <cellStyle name="Comma 4 17" xfId="925" xr:uid="{00000000-0005-0000-0000-00009B030000}"/>
    <cellStyle name="Comma 4 2" xfId="926" xr:uid="{00000000-0005-0000-0000-00009C030000}"/>
    <cellStyle name="Comma 4 2 2" xfId="927" xr:uid="{00000000-0005-0000-0000-00009D030000}"/>
    <cellStyle name="Comma 4 2 2 2" xfId="928" xr:uid="{00000000-0005-0000-0000-00009E030000}"/>
    <cellStyle name="Comma 4 2 2 2 2" xfId="929" xr:uid="{00000000-0005-0000-0000-00009F030000}"/>
    <cellStyle name="Comma 4 2 2 2 3" xfId="930" xr:uid="{00000000-0005-0000-0000-0000A0030000}"/>
    <cellStyle name="Comma 4 2 2 3" xfId="931" xr:uid="{00000000-0005-0000-0000-0000A1030000}"/>
    <cellStyle name="Comma 4 2 2 3 2" xfId="932" xr:uid="{00000000-0005-0000-0000-0000A2030000}"/>
    <cellStyle name="Comma 4 2 2 3 3" xfId="933" xr:uid="{00000000-0005-0000-0000-0000A3030000}"/>
    <cellStyle name="Comma 4 2 2 4" xfId="934" xr:uid="{00000000-0005-0000-0000-0000A4030000}"/>
    <cellStyle name="Comma 4 2 2 5" xfId="935" xr:uid="{00000000-0005-0000-0000-0000A5030000}"/>
    <cellStyle name="Comma 4 2 2 6" xfId="936" xr:uid="{00000000-0005-0000-0000-0000A6030000}"/>
    <cellStyle name="Comma 4 2 3" xfId="937" xr:uid="{00000000-0005-0000-0000-0000A7030000}"/>
    <cellStyle name="Comma 4 2 3 2" xfId="938" xr:uid="{00000000-0005-0000-0000-0000A8030000}"/>
    <cellStyle name="Comma 4 2 3 3" xfId="939" xr:uid="{00000000-0005-0000-0000-0000A9030000}"/>
    <cellStyle name="Comma 4 2 4" xfId="940" xr:uid="{00000000-0005-0000-0000-0000AA030000}"/>
    <cellStyle name="Comma 4 2 4 2" xfId="941" xr:uid="{00000000-0005-0000-0000-0000AB030000}"/>
    <cellStyle name="Comma 4 2 4 3" xfId="942" xr:uid="{00000000-0005-0000-0000-0000AC030000}"/>
    <cellStyle name="Comma 4 2 5" xfId="943" xr:uid="{00000000-0005-0000-0000-0000AD030000}"/>
    <cellStyle name="Comma 4 2 6" xfId="944" xr:uid="{00000000-0005-0000-0000-0000AE030000}"/>
    <cellStyle name="Comma 4 2 7" xfId="945" xr:uid="{00000000-0005-0000-0000-0000AF030000}"/>
    <cellStyle name="Comma 4 3" xfId="946" xr:uid="{00000000-0005-0000-0000-0000B0030000}"/>
    <cellStyle name="Comma 4 3 2" xfId="947" xr:uid="{00000000-0005-0000-0000-0000B1030000}"/>
    <cellStyle name="Comma 4 3 2 2" xfId="948" xr:uid="{00000000-0005-0000-0000-0000B2030000}"/>
    <cellStyle name="Comma 4 3 2 2 2" xfId="949" xr:uid="{00000000-0005-0000-0000-0000B3030000}"/>
    <cellStyle name="Comma 4 3 2 2 3" xfId="950" xr:uid="{00000000-0005-0000-0000-0000B4030000}"/>
    <cellStyle name="Comma 4 3 2 3" xfId="951" xr:uid="{00000000-0005-0000-0000-0000B5030000}"/>
    <cellStyle name="Comma 4 3 2 3 2" xfId="952" xr:uid="{00000000-0005-0000-0000-0000B6030000}"/>
    <cellStyle name="Comma 4 3 2 3 3" xfId="953" xr:uid="{00000000-0005-0000-0000-0000B7030000}"/>
    <cellStyle name="Comma 4 3 2 4" xfId="954" xr:uid="{00000000-0005-0000-0000-0000B8030000}"/>
    <cellStyle name="Comma 4 3 2 5" xfId="955" xr:uid="{00000000-0005-0000-0000-0000B9030000}"/>
    <cellStyle name="Comma 4 3 2 6" xfId="956" xr:uid="{00000000-0005-0000-0000-0000BA030000}"/>
    <cellStyle name="Comma 4 3 3" xfId="957" xr:uid="{00000000-0005-0000-0000-0000BB030000}"/>
    <cellStyle name="Comma 4 3 3 2" xfId="958" xr:uid="{00000000-0005-0000-0000-0000BC030000}"/>
    <cellStyle name="Comma 4 3 3 3" xfId="959" xr:uid="{00000000-0005-0000-0000-0000BD030000}"/>
    <cellStyle name="Comma 4 3 4" xfId="960" xr:uid="{00000000-0005-0000-0000-0000BE030000}"/>
    <cellStyle name="Comma 4 3 4 2" xfId="961" xr:uid="{00000000-0005-0000-0000-0000BF030000}"/>
    <cellStyle name="Comma 4 3 4 3" xfId="962" xr:uid="{00000000-0005-0000-0000-0000C0030000}"/>
    <cellStyle name="Comma 4 3 5" xfId="963" xr:uid="{00000000-0005-0000-0000-0000C1030000}"/>
    <cellStyle name="Comma 4 3 6" xfId="964" xr:uid="{00000000-0005-0000-0000-0000C2030000}"/>
    <cellStyle name="Comma 4 3 7" xfId="965" xr:uid="{00000000-0005-0000-0000-0000C3030000}"/>
    <cellStyle name="Comma 4 4" xfId="966" xr:uid="{00000000-0005-0000-0000-0000C4030000}"/>
    <cellStyle name="Comma 4 4 2" xfId="967" xr:uid="{00000000-0005-0000-0000-0000C5030000}"/>
    <cellStyle name="Comma 4 4 2 2" xfId="968" xr:uid="{00000000-0005-0000-0000-0000C6030000}"/>
    <cellStyle name="Comma 4 4 2 2 2" xfId="969" xr:uid="{00000000-0005-0000-0000-0000C7030000}"/>
    <cellStyle name="Comma 4 4 2 2 3" xfId="970" xr:uid="{00000000-0005-0000-0000-0000C8030000}"/>
    <cellStyle name="Comma 4 4 2 3" xfId="971" xr:uid="{00000000-0005-0000-0000-0000C9030000}"/>
    <cellStyle name="Comma 4 4 2 3 2" xfId="972" xr:uid="{00000000-0005-0000-0000-0000CA030000}"/>
    <cellStyle name="Comma 4 4 2 3 3" xfId="973" xr:uid="{00000000-0005-0000-0000-0000CB030000}"/>
    <cellStyle name="Comma 4 4 2 4" xfId="974" xr:uid="{00000000-0005-0000-0000-0000CC030000}"/>
    <cellStyle name="Comma 4 4 2 5" xfId="975" xr:uid="{00000000-0005-0000-0000-0000CD030000}"/>
    <cellStyle name="Comma 4 4 2 6" xfId="976" xr:uid="{00000000-0005-0000-0000-0000CE030000}"/>
    <cellStyle name="Comma 4 4 3" xfId="977" xr:uid="{00000000-0005-0000-0000-0000CF030000}"/>
    <cellStyle name="Comma 4 4 3 2" xfId="978" xr:uid="{00000000-0005-0000-0000-0000D0030000}"/>
    <cellStyle name="Comma 4 4 3 3" xfId="979" xr:uid="{00000000-0005-0000-0000-0000D1030000}"/>
    <cellStyle name="Comma 4 4 4" xfId="980" xr:uid="{00000000-0005-0000-0000-0000D2030000}"/>
    <cellStyle name="Comma 4 4 4 2" xfId="981" xr:uid="{00000000-0005-0000-0000-0000D3030000}"/>
    <cellStyle name="Comma 4 4 4 3" xfId="982" xr:uid="{00000000-0005-0000-0000-0000D4030000}"/>
    <cellStyle name="Comma 4 4 5" xfId="983" xr:uid="{00000000-0005-0000-0000-0000D5030000}"/>
    <cellStyle name="Comma 4 4 6" xfId="984" xr:uid="{00000000-0005-0000-0000-0000D6030000}"/>
    <cellStyle name="Comma 4 4 7" xfId="985" xr:uid="{00000000-0005-0000-0000-0000D7030000}"/>
    <cellStyle name="Comma 4 5" xfId="986" xr:uid="{00000000-0005-0000-0000-0000D8030000}"/>
    <cellStyle name="Comma 4 5 2" xfId="987" xr:uid="{00000000-0005-0000-0000-0000D9030000}"/>
    <cellStyle name="Comma 4 5 2 2" xfId="988" xr:uid="{00000000-0005-0000-0000-0000DA030000}"/>
    <cellStyle name="Comma 4 5 2 2 2" xfId="989" xr:uid="{00000000-0005-0000-0000-0000DB030000}"/>
    <cellStyle name="Comma 4 5 2 2 3" xfId="990" xr:uid="{00000000-0005-0000-0000-0000DC030000}"/>
    <cellStyle name="Comma 4 5 2 3" xfId="991" xr:uid="{00000000-0005-0000-0000-0000DD030000}"/>
    <cellStyle name="Comma 4 5 2 3 2" xfId="992" xr:uid="{00000000-0005-0000-0000-0000DE030000}"/>
    <cellStyle name="Comma 4 5 2 3 3" xfId="993" xr:uid="{00000000-0005-0000-0000-0000DF030000}"/>
    <cellStyle name="Comma 4 5 2 4" xfId="994" xr:uid="{00000000-0005-0000-0000-0000E0030000}"/>
    <cellStyle name="Comma 4 5 2 5" xfId="995" xr:uid="{00000000-0005-0000-0000-0000E1030000}"/>
    <cellStyle name="Comma 4 5 2 6" xfId="996" xr:uid="{00000000-0005-0000-0000-0000E2030000}"/>
    <cellStyle name="Comma 4 5 3" xfId="997" xr:uid="{00000000-0005-0000-0000-0000E3030000}"/>
    <cellStyle name="Comma 4 5 3 2" xfId="998" xr:uid="{00000000-0005-0000-0000-0000E4030000}"/>
    <cellStyle name="Comma 4 5 3 3" xfId="999" xr:uid="{00000000-0005-0000-0000-0000E5030000}"/>
    <cellStyle name="Comma 4 5 4" xfId="1000" xr:uid="{00000000-0005-0000-0000-0000E6030000}"/>
    <cellStyle name="Comma 4 5 4 2" xfId="1001" xr:uid="{00000000-0005-0000-0000-0000E7030000}"/>
    <cellStyle name="Comma 4 5 4 3" xfId="1002" xr:uid="{00000000-0005-0000-0000-0000E8030000}"/>
    <cellStyle name="Comma 4 5 5" xfId="1003" xr:uid="{00000000-0005-0000-0000-0000E9030000}"/>
    <cellStyle name="Comma 4 5 6" xfId="1004" xr:uid="{00000000-0005-0000-0000-0000EA030000}"/>
    <cellStyle name="Comma 4 5 7" xfId="1005" xr:uid="{00000000-0005-0000-0000-0000EB030000}"/>
    <cellStyle name="Comma 4 6" xfId="1006" xr:uid="{00000000-0005-0000-0000-0000EC030000}"/>
    <cellStyle name="Comma 4 6 2" xfId="1007" xr:uid="{00000000-0005-0000-0000-0000ED030000}"/>
    <cellStyle name="Comma 4 6 2 2" xfId="1008" xr:uid="{00000000-0005-0000-0000-0000EE030000}"/>
    <cellStyle name="Comma 4 6 2 2 2" xfId="1009" xr:uid="{00000000-0005-0000-0000-0000EF030000}"/>
    <cellStyle name="Comma 4 6 2 2 3" xfId="1010" xr:uid="{00000000-0005-0000-0000-0000F0030000}"/>
    <cellStyle name="Comma 4 6 2 3" xfId="1011" xr:uid="{00000000-0005-0000-0000-0000F1030000}"/>
    <cellStyle name="Comma 4 6 2 3 2" xfId="1012" xr:uid="{00000000-0005-0000-0000-0000F2030000}"/>
    <cellStyle name="Comma 4 6 2 3 3" xfId="1013" xr:uid="{00000000-0005-0000-0000-0000F3030000}"/>
    <cellStyle name="Comma 4 6 2 4" xfId="1014" xr:uid="{00000000-0005-0000-0000-0000F4030000}"/>
    <cellStyle name="Comma 4 6 2 5" xfId="1015" xr:uid="{00000000-0005-0000-0000-0000F5030000}"/>
    <cellStyle name="Comma 4 6 2 6" xfId="1016" xr:uid="{00000000-0005-0000-0000-0000F6030000}"/>
    <cellStyle name="Comma 4 6 3" xfId="1017" xr:uid="{00000000-0005-0000-0000-0000F7030000}"/>
    <cellStyle name="Comma 4 6 3 2" xfId="1018" xr:uid="{00000000-0005-0000-0000-0000F8030000}"/>
    <cellStyle name="Comma 4 6 3 3" xfId="1019" xr:uid="{00000000-0005-0000-0000-0000F9030000}"/>
    <cellStyle name="Comma 4 6 4" xfId="1020" xr:uid="{00000000-0005-0000-0000-0000FA030000}"/>
    <cellStyle name="Comma 4 6 4 2" xfId="1021" xr:uid="{00000000-0005-0000-0000-0000FB030000}"/>
    <cellStyle name="Comma 4 6 4 3" xfId="1022" xr:uid="{00000000-0005-0000-0000-0000FC030000}"/>
    <cellStyle name="Comma 4 6 5" xfId="1023" xr:uid="{00000000-0005-0000-0000-0000FD030000}"/>
    <cellStyle name="Comma 4 6 6" xfId="1024" xr:uid="{00000000-0005-0000-0000-0000FE030000}"/>
    <cellStyle name="Comma 4 6 7" xfId="1025" xr:uid="{00000000-0005-0000-0000-0000FF030000}"/>
    <cellStyle name="Comma 4 7" xfId="1026" xr:uid="{00000000-0005-0000-0000-000000040000}"/>
    <cellStyle name="Comma 4 7 2" xfId="1027" xr:uid="{00000000-0005-0000-0000-000001040000}"/>
    <cellStyle name="Comma 4 7 2 2" xfId="1028" xr:uid="{00000000-0005-0000-0000-000002040000}"/>
    <cellStyle name="Comma 4 7 2 2 2" xfId="1029" xr:uid="{00000000-0005-0000-0000-000003040000}"/>
    <cellStyle name="Comma 4 7 2 2 3" xfId="1030" xr:uid="{00000000-0005-0000-0000-000004040000}"/>
    <cellStyle name="Comma 4 7 2 3" xfId="1031" xr:uid="{00000000-0005-0000-0000-000005040000}"/>
    <cellStyle name="Comma 4 7 2 3 2" xfId="1032" xr:uid="{00000000-0005-0000-0000-000006040000}"/>
    <cellStyle name="Comma 4 7 2 3 3" xfId="1033" xr:uid="{00000000-0005-0000-0000-000007040000}"/>
    <cellStyle name="Comma 4 7 2 4" xfId="1034" xr:uid="{00000000-0005-0000-0000-000008040000}"/>
    <cellStyle name="Comma 4 7 2 5" xfId="1035" xr:uid="{00000000-0005-0000-0000-000009040000}"/>
    <cellStyle name="Comma 4 7 2 6" xfId="1036" xr:uid="{00000000-0005-0000-0000-00000A040000}"/>
    <cellStyle name="Comma 4 7 3" xfId="1037" xr:uid="{00000000-0005-0000-0000-00000B040000}"/>
    <cellStyle name="Comma 4 7 3 2" xfId="1038" xr:uid="{00000000-0005-0000-0000-00000C040000}"/>
    <cellStyle name="Comma 4 7 3 3" xfId="1039" xr:uid="{00000000-0005-0000-0000-00000D040000}"/>
    <cellStyle name="Comma 4 7 4" xfId="1040" xr:uid="{00000000-0005-0000-0000-00000E040000}"/>
    <cellStyle name="Comma 4 7 4 2" xfId="1041" xr:uid="{00000000-0005-0000-0000-00000F040000}"/>
    <cellStyle name="Comma 4 7 4 3" xfId="1042" xr:uid="{00000000-0005-0000-0000-000010040000}"/>
    <cellStyle name="Comma 4 7 5" xfId="1043" xr:uid="{00000000-0005-0000-0000-000011040000}"/>
    <cellStyle name="Comma 4 7 6" xfId="1044" xr:uid="{00000000-0005-0000-0000-000012040000}"/>
    <cellStyle name="Comma 4 7 7" xfId="1045" xr:uid="{00000000-0005-0000-0000-000013040000}"/>
    <cellStyle name="Comma 4 8" xfId="1046" xr:uid="{00000000-0005-0000-0000-000014040000}"/>
    <cellStyle name="Comma 4 8 2" xfId="1047" xr:uid="{00000000-0005-0000-0000-000015040000}"/>
    <cellStyle name="Comma 4 8 2 2" xfId="1048" xr:uid="{00000000-0005-0000-0000-000016040000}"/>
    <cellStyle name="Comma 4 8 2 2 2" xfId="1049" xr:uid="{00000000-0005-0000-0000-000017040000}"/>
    <cellStyle name="Comma 4 8 2 2 3" xfId="1050" xr:uid="{00000000-0005-0000-0000-000018040000}"/>
    <cellStyle name="Comma 4 8 2 3" xfId="1051" xr:uid="{00000000-0005-0000-0000-000019040000}"/>
    <cellStyle name="Comma 4 8 2 3 2" xfId="1052" xr:uid="{00000000-0005-0000-0000-00001A040000}"/>
    <cellStyle name="Comma 4 8 2 3 3" xfId="1053" xr:uid="{00000000-0005-0000-0000-00001B040000}"/>
    <cellStyle name="Comma 4 8 2 4" xfId="1054" xr:uid="{00000000-0005-0000-0000-00001C040000}"/>
    <cellStyle name="Comma 4 8 2 5" xfId="1055" xr:uid="{00000000-0005-0000-0000-00001D040000}"/>
    <cellStyle name="Comma 4 8 2 6" xfId="1056" xr:uid="{00000000-0005-0000-0000-00001E040000}"/>
    <cellStyle name="Comma 4 8 3" xfId="1057" xr:uid="{00000000-0005-0000-0000-00001F040000}"/>
    <cellStyle name="Comma 4 8 3 2" xfId="1058" xr:uid="{00000000-0005-0000-0000-000020040000}"/>
    <cellStyle name="Comma 4 8 3 3" xfId="1059" xr:uid="{00000000-0005-0000-0000-000021040000}"/>
    <cellStyle name="Comma 4 8 4" xfId="1060" xr:uid="{00000000-0005-0000-0000-000022040000}"/>
    <cellStyle name="Comma 4 8 4 2" xfId="1061" xr:uid="{00000000-0005-0000-0000-000023040000}"/>
    <cellStyle name="Comma 4 8 4 3" xfId="1062" xr:uid="{00000000-0005-0000-0000-000024040000}"/>
    <cellStyle name="Comma 4 8 5" xfId="1063" xr:uid="{00000000-0005-0000-0000-000025040000}"/>
    <cellStyle name="Comma 4 8 6" xfId="1064" xr:uid="{00000000-0005-0000-0000-000026040000}"/>
    <cellStyle name="Comma 4 8 7" xfId="1065" xr:uid="{00000000-0005-0000-0000-000027040000}"/>
    <cellStyle name="Comma 4 9" xfId="1066" xr:uid="{00000000-0005-0000-0000-000028040000}"/>
    <cellStyle name="Comma 4 9 2" xfId="1067" xr:uid="{00000000-0005-0000-0000-000029040000}"/>
    <cellStyle name="Comma 4 9 2 2" xfId="1068" xr:uid="{00000000-0005-0000-0000-00002A040000}"/>
    <cellStyle name="Comma 4 9 2 2 2" xfId="1069" xr:uid="{00000000-0005-0000-0000-00002B040000}"/>
    <cellStyle name="Comma 4 9 2 2 3" xfId="1070" xr:uid="{00000000-0005-0000-0000-00002C040000}"/>
    <cellStyle name="Comma 4 9 2 3" xfId="1071" xr:uid="{00000000-0005-0000-0000-00002D040000}"/>
    <cellStyle name="Comma 4 9 2 3 2" xfId="1072" xr:uid="{00000000-0005-0000-0000-00002E040000}"/>
    <cellStyle name="Comma 4 9 2 3 3" xfId="1073" xr:uid="{00000000-0005-0000-0000-00002F040000}"/>
    <cellStyle name="Comma 4 9 2 4" xfId="1074" xr:uid="{00000000-0005-0000-0000-000030040000}"/>
    <cellStyle name="Comma 4 9 2 5" xfId="1075" xr:uid="{00000000-0005-0000-0000-000031040000}"/>
    <cellStyle name="Comma 4 9 2 6" xfId="1076" xr:uid="{00000000-0005-0000-0000-000032040000}"/>
    <cellStyle name="Comma 4 9 3" xfId="1077" xr:uid="{00000000-0005-0000-0000-000033040000}"/>
    <cellStyle name="Comma 4 9 3 2" xfId="1078" xr:uid="{00000000-0005-0000-0000-000034040000}"/>
    <cellStyle name="Comma 4 9 3 3" xfId="1079" xr:uid="{00000000-0005-0000-0000-000035040000}"/>
    <cellStyle name="Comma 4 9 4" xfId="1080" xr:uid="{00000000-0005-0000-0000-000036040000}"/>
    <cellStyle name="Comma 4 9 4 2" xfId="1081" xr:uid="{00000000-0005-0000-0000-000037040000}"/>
    <cellStyle name="Comma 4 9 4 3" xfId="1082" xr:uid="{00000000-0005-0000-0000-000038040000}"/>
    <cellStyle name="Comma 4 9 5" xfId="1083" xr:uid="{00000000-0005-0000-0000-000039040000}"/>
    <cellStyle name="Comma 4 9 6" xfId="1084" xr:uid="{00000000-0005-0000-0000-00003A040000}"/>
    <cellStyle name="Comma 4 9 7" xfId="1085" xr:uid="{00000000-0005-0000-0000-00003B040000}"/>
    <cellStyle name="Comma 5" xfId="1086" xr:uid="{00000000-0005-0000-0000-00003C040000}"/>
    <cellStyle name="Comma 5 2" xfId="1087" xr:uid="{00000000-0005-0000-0000-00003D040000}"/>
    <cellStyle name="Comma 5 2 2" xfId="1088" xr:uid="{00000000-0005-0000-0000-00003E040000}"/>
    <cellStyle name="Comma 5 2 2 2" xfId="1089" xr:uid="{00000000-0005-0000-0000-00003F040000}"/>
    <cellStyle name="Comma 5 2 2 3" xfId="1090" xr:uid="{00000000-0005-0000-0000-000040040000}"/>
    <cellStyle name="Comma 5 2 3" xfId="1091" xr:uid="{00000000-0005-0000-0000-000041040000}"/>
    <cellStyle name="Comma 5 2 3 2" xfId="1092" xr:uid="{00000000-0005-0000-0000-000042040000}"/>
    <cellStyle name="Comma 5 2 3 3" xfId="1093" xr:uid="{00000000-0005-0000-0000-000043040000}"/>
    <cellStyle name="Comma 5 2 4" xfId="1094" xr:uid="{00000000-0005-0000-0000-000044040000}"/>
    <cellStyle name="Comma 5 2 5" xfId="1095" xr:uid="{00000000-0005-0000-0000-000045040000}"/>
    <cellStyle name="Comma 5 2 6" xfId="1096" xr:uid="{00000000-0005-0000-0000-000046040000}"/>
    <cellStyle name="Comma 5 3" xfId="1097" xr:uid="{00000000-0005-0000-0000-000047040000}"/>
    <cellStyle name="Comma 5 3 2" xfId="1098" xr:uid="{00000000-0005-0000-0000-000048040000}"/>
    <cellStyle name="Comma 5 3 3" xfId="1099" xr:uid="{00000000-0005-0000-0000-000049040000}"/>
    <cellStyle name="Comma 5 4" xfId="1100" xr:uid="{00000000-0005-0000-0000-00004A040000}"/>
    <cellStyle name="Comma 5 4 2" xfId="1101" xr:uid="{00000000-0005-0000-0000-00004B040000}"/>
    <cellStyle name="Comma 5 4 3" xfId="1102" xr:uid="{00000000-0005-0000-0000-00004C040000}"/>
    <cellStyle name="Comma 5 5" xfId="1103" xr:uid="{00000000-0005-0000-0000-00004D040000}"/>
    <cellStyle name="Comma 5 6" xfId="1104" xr:uid="{00000000-0005-0000-0000-00004E040000}"/>
    <cellStyle name="Comma 5 7" xfId="1105" xr:uid="{00000000-0005-0000-0000-00004F040000}"/>
    <cellStyle name="Comma 54 2" xfId="54709" xr:uid="{00000000-0005-0000-0000-000050040000}"/>
    <cellStyle name="Comma 55" xfId="54711" xr:uid="{BE0777C0-F14D-43B3-8DCC-D0F9FA07B5A5}"/>
    <cellStyle name="Comma 6" xfId="1106" xr:uid="{00000000-0005-0000-0000-000051040000}"/>
    <cellStyle name="Comma 6 2" xfId="1107" xr:uid="{00000000-0005-0000-0000-000052040000}"/>
    <cellStyle name="Comma 6 3" xfId="54708" xr:uid="{00000000-0005-0000-0000-000053040000}"/>
    <cellStyle name="Comma 7" xfId="1108" xr:uid="{00000000-0005-0000-0000-000054040000}"/>
    <cellStyle name="Comma 7 10" xfId="1109" xr:uid="{00000000-0005-0000-0000-000055040000}"/>
    <cellStyle name="Comma 7 10 2" xfId="1110" xr:uid="{00000000-0005-0000-0000-000056040000}"/>
    <cellStyle name="Comma 7 10 2 2" xfId="1111" xr:uid="{00000000-0005-0000-0000-000057040000}"/>
    <cellStyle name="Comma 7 10 2 2 2" xfId="1112" xr:uid="{00000000-0005-0000-0000-000058040000}"/>
    <cellStyle name="Comma 7 10 2 2 3" xfId="1113" xr:uid="{00000000-0005-0000-0000-000059040000}"/>
    <cellStyle name="Comma 7 10 2 3" xfId="1114" xr:uid="{00000000-0005-0000-0000-00005A040000}"/>
    <cellStyle name="Comma 7 10 2 3 2" xfId="1115" xr:uid="{00000000-0005-0000-0000-00005B040000}"/>
    <cellStyle name="Comma 7 10 2 3 3" xfId="1116" xr:uid="{00000000-0005-0000-0000-00005C040000}"/>
    <cellStyle name="Comma 7 10 2 4" xfId="1117" xr:uid="{00000000-0005-0000-0000-00005D040000}"/>
    <cellStyle name="Comma 7 10 2 5" xfId="1118" xr:uid="{00000000-0005-0000-0000-00005E040000}"/>
    <cellStyle name="Comma 7 10 2 6" xfId="1119" xr:uid="{00000000-0005-0000-0000-00005F040000}"/>
    <cellStyle name="Comma 7 10 3" xfId="1120" xr:uid="{00000000-0005-0000-0000-000060040000}"/>
    <cellStyle name="Comma 7 10 3 2" xfId="1121" xr:uid="{00000000-0005-0000-0000-000061040000}"/>
    <cellStyle name="Comma 7 10 3 3" xfId="1122" xr:uid="{00000000-0005-0000-0000-000062040000}"/>
    <cellStyle name="Comma 7 10 4" xfId="1123" xr:uid="{00000000-0005-0000-0000-000063040000}"/>
    <cellStyle name="Comma 7 10 4 2" xfId="1124" xr:uid="{00000000-0005-0000-0000-000064040000}"/>
    <cellStyle name="Comma 7 10 4 3" xfId="1125" xr:uid="{00000000-0005-0000-0000-000065040000}"/>
    <cellStyle name="Comma 7 10 5" xfId="1126" xr:uid="{00000000-0005-0000-0000-000066040000}"/>
    <cellStyle name="Comma 7 10 6" xfId="1127" xr:uid="{00000000-0005-0000-0000-000067040000}"/>
    <cellStyle name="Comma 7 10 7" xfId="1128" xr:uid="{00000000-0005-0000-0000-000068040000}"/>
    <cellStyle name="Comma 7 11" xfId="1129" xr:uid="{00000000-0005-0000-0000-000069040000}"/>
    <cellStyle name="Comma 7 11 2" xfId="1130" xr:uid="{00000000-0005-0000-0000-00006A040000}"/>
    <cellStyle name="Comma 7 11 2 2" xfId="1131" xr:uid="{00000000-0005-0000-0000-00006B040000}"/>
    <cellStyle name="Comma 7 11 2 2 2" xfId="1132" xr:uid="{00000000-0005-0000-0000-00006C040000}"/>
    <cellStyle name="Comma 7 11 2 2 3" xfId="1133" xr:uid="{00000000-0005-0000-0000-00006D040000}"/>
    <cellStyle name="Comma 7 11 2 3" xfId="1134" xr:uid="{00000000-0005-0000-0000-00006E040000}"/>
    <cellStyle name="Comma 7 11 2 3 2" xfId="1135" xr:uid="{00000000-0005-0000-0000-00006F040000}"/>
    <cellStyle name="Comma 7 11 2 3 3" xfId="1136" xr:uid="{00000000-0005-0000-0000-000070040000}"/>
    <cellStyle name="Comma 7 11 2 4" xfId="1137" xr:uid="{00000000-0005-0000-0000-000071040000}"/>
    <cellStyle name="Comma 7 11 2 5" xfId="1138" xr:uid="{00000000-0005-0000-0000-000072040000}"/>
    <cellStyle name="Comma 7 11 2 6" xfId="1139" xr:uid="{00000000-0005-0000-0000-000073040000}"/>
    <cellStyle name="Comma 7 11 3" xfId="1140" xr:uid="{00000000-0005-0000-0000-000074040000}"/>
    <cellStyle name="Comma 7 11 3 2" xfId="1141" xr:uid="{00000000-0005-0000-0000-000075040000}"/>
    <cellStyle name="Comma 7 11 3 3" xfId="1142" xr:uid="{00000000-0005-0000-0000-000076040000}"/>
    <cellStyle name="Comma 7 11 4" xfId="1143" xr:uid="{00000000-0005-0000-0000-000077040000}"/>
    <cellStyle name="Comma 7 11 4 2" xfId="1144" xr:uid="{00000000-0005-0000-0000-000078040000}"/>
    <cellStyle name="Comma 7 11 4 3" xfId="1145" xr:uid="{00000000-0005-0000-0000-000079040000}"/>
    <cellStyle name="Comma 7 11 5" xfId="1146" xr:uid="{00000000-0005-0000-0000-00007A040000}"/>
    <cellStyle name="Comma 7 11 6" xfId="1147" xr:uid="{00000000-0005-0000-0000-00007B040000}"/>
    <cellStyle name="Comma 7 11 7" xfId="1148" xr:uid="{00000000-0005-0000-0000-00007C040000}"/>
    <cellStyle name="Comma 7 12" xfId="1149" xr:uid="{00000000-0005-0000-0000-00007D040000}"/>
    <cellStyle name="Comma 7 12 2" xfId="1150" xr:uid="{00000000-0005-0000-0000-00007E040000}"/>
    <cellStyle name="Comma 7 12 2 2" xfId="1151" xr:uid="{00000000-0005-0000-0000-00007F040000}"/>
    <cellStyle name="Comma 7 12 2 3" xfId="1152" xr:uid="{00000000-0005-0000-0000-000080040000}"/>
    <cellStyle name="Comma 7 12 3" xfId="1153" xr:uid="{00000000-0005-0000-0000-000081040000}"/>
    <cellStyle name="Comma 7 12 3 2" xfId="1154" xr:uid="{00000000-0005-0000-0000-000082040000}"/>
    <cellStyle name="Comma 7 12 3 3" xfId="1155" xr:uid="{00000000-0005-0000-0000-000083040000}"/>
    <cellStyle name="Comma 7 12 4" xfId="1156" xr:uid="{00000000-0005-0000-0000-000084040000}"/>
    <cellStyle name="Comma 7 12 5" xfId="1157" xr:uid="{00000000-0005-0000-0000-000085040000}"/>
    <cellStyle name="Comma 7 12 6" xfId="1158" xr:uid="{00000000-0005-0000-0000-000086040000}"/>
    <cellStyle name="Comma 7 13" xfId="1159" xr:uid="{00000000-0005-0000-0000-000087040000}"/>
    <cellStyle name="Comma 7 13 2" xfId="1160" xr:uid="{00000000-0005-0000-0000-000088040000}"/>
    <cellStyle name="Comma 7 13 3" xfId="1161" xr:uid="{00000000-0005-0000-0000-000089040000}"/>
    <cellStyle name="Comma 7 14" xfId="1162" xr:uid="{00000000-0005-0000-0000-00008A040000}"/>
    <cellStyle name="Comma 7 14 2" xfId="1163" xr:uid="{00000000-0005-0000-0000-00008B040000}"/>
    <cellStyle name="Comma 7 14 3" xfId="1164" xr:uid="{00000000-0005-0000-0000-00008C040000}"/>
    <cellStyle name="Comma 7 15" xfId="1165" xr:uid="{00000000-0005-0000-0000-00008D040000}"/>
    <cellStyle name="Comma 7 16" xfId="1166" xr:uid="{00000000-0005-0000-0000-00008E040000}"/>
    <cellStyle name="Comma 7 17" xfId="1167" xr:uid="{00000000-0005-0000-0000-00008F040000}"/>
    <cellStyle name="Comma 7 2" xfId="1168" xr:uid="{00000000-0005-0000-0000-000090040000}"/>
    <cellStyle name="Comma 7 2 2" xfId="1169" xr:uid="{00000000-0005-0000-0000-000091040000}"/>
    <cellStyle name="Comma 7 2 2 2" xfId="1170" xr:uid="{00000000-0005-0000-0000-000092040000}"/>
    <cellStyle name="Comma 7 2 2 2 2" xfId="1171" xr:uid="{00000000-0005-0000-0000-000093040000}"/>
    <cellStyle name="Comma 7 2 2 2 3" xfId="1172" xr:uid="{00000000-0005-0000-0000-000094040000}"/>
    <cellStyle name="Comma 7 2 2 3" xfId="1173" xr:uid="{00000000-0005-0000-0000-000095040000}"/>
    <cellStyle name="Comma 7 2 2 3 2" xfId="1174" xr:uid="{00000000-0005-0000-0000-000096040000}"/>
    <cellStyle name="Comma 7 2 2 3 3" xfId="1175" xr:uid="{00000000-0005-0000-0000-000097040000}"/>
    <cellStyle name="Comma 7 2 2 4" xfId="1176" xr:uid="{00000000-0005-0000-0000-000098040000}"/>
    <cellStyle name="Comma 7 2 2 5" xfId="1177" xr:uid="{00000000-0005-0000-0000-000099040000}"/>
    <cellStyle name="Comma 7 2 2 6" xfId="1178" xr:uid="{00000000-0005-0000-0000-00009A040000}"/>
    <cellStyle name="Comma 7 2 3" xfId="1179" xr:uid="{00000000-0005-0000-0000-00009B040000}"/>
    <cellStyle name="Comma 7 2 3 2" xfId="1180" xr:uid="{00000000-0005-0000-0000-00009C040000}"/>
    <cellStyle name="Comma 7 2 3 3" xfId="1181" xr:uid="{00000000-0005-0000-0000-00009D040000}"/>
    <cellStyle name="Comma 7 2 4" xfId="1182" xr:uid="{00000000-0005-0000-0000-00009E040000}"/>
    <cellStyle name="Comma 7 2 4 2" xfId="1183" xr:uid="{00000000-0005-0000-0000-00009F040000}"/>
    <cellStyle name="Comma 7 2 4 3" xfId="1184" xr:uid="{00000000-0005-0000-0000-0000A0040000}"/>
    <cellStyle name="Comma 7 2 5" xfId="1185" xr:uid="{00000000-0005-0000-0000-0000A1040000}"/>
    <cellStyle name="Comma 7 2 6" xfId="1186" xr:uid="{00000000-0005-0000-0000-0000A2040000}"/>
    <cellStyle name="Comma 7 2 7" xfId="1187" xr:uid="{00000000-0005-0000-0000-0000A3040000}"/>
    <cellStyle name="Comma 7 3" xfId="1188" xr:uid="{00000000-0005-0000-0000-0000A4040000}"/>
    <cellStyle name="Comma 7 3 2" xfId="1189" xr:uid="{00000000-0005-0000-0000-0000A5040000}"/>
    <cellStyle name="Comma 7 3 2 2" xfId="1190" xr:uid="{00000000-0005-0000-0000-0000A6040000}"/>
    <cellStyle name="Comma 7 3 2 2 2" xfId="1191" xr:uid="{00000000-0005-0000-0000-0000A7040000}"/>
    <cellStyle name="Comma 7 3 2 2 3" xfId="1192" xr:uid="{00000000-0005-0000-0000-0000A8040000}"/>
    <cellStyle name="Comma 7 3 2 3" xfId="1193" xr:uid="{00000000-0005-0000-0000-0000A9040000}"/>
    <cellStyle name="Comma 7 3 2 3 2" xfId="1194" xr:uid="{00000000-0005-0000-0000-0000AA040000}"/>
    <cellStyle name="Comma 7 3 2 3 3" xfId="1195" xr:uid="{00000000-0005-0000-0000-0000AB040000}"/>
    <cellStyle name="Comma 7 3 2 4" xfId="1196" xr:uid="{00000000-0005-0000-0000-0000AC040000}"/>
    <cellStyle name="Comma 7 3 2 5" xfId="1197" xr:uid="{00000000-0005-0000-0000-0000AD040000}"/>
    <cellStyle name="Comma 7 3 2 6" xfId="1198" xr:uid="{00000000-0005-0000-0000-0000AE040000}"/>
    <cellStyle name="Comma 7 3 3" xfId="1199" xr:uid="{00000000-0005-0000-0000-0000AF040000}"/>
    <cellStyle name="Comma 7 3 3 2" xfId="1200" xr:uid="{00000000-0005-0000-0000-0000B0040000}"/>
    <cellStyle name="Comma 7 3 3 3" xfId="1201" xr:uid="{00000000-0005-0000-0000-0000B1040000}"/>
    <cellStyle name="Comma 7 3 4" xfId="1202" xr:uid="{00000000-0005-0000-0000-0000B2040000}"/>
    <cellStyle name="Comma 7 3 4 2" xfId="1203" xr:uid="{00000000-0005-0000-0000-0000B3040000}"/>
    <cellStyle name="Comma 7 3 4 3" xfId="1204" xr:uid="{00000000-0005-0000-0000-0000B4040000}"/>
    <cellStyle name="Comma 7 3 5" xfId="1205" xr:uid="{00000000-0005-0000-0000-0000B5040000}"/>
    <cellStyle name="Comma 7 3 6" xfId="1206" xr:uid="{00000000-0005-0000-0000-0000B6040000}"/>
    <cellStyle name="Comma 7 3 7" xfId="1207" xr:uid="{00000000-0005-0000-0000-0000B7040000}"/>
    <cellStyle name="Comma 7 4" xfId="1208" xr:uid="{00000000-0005-0000-0000-0000B8040000}"/>
    <cellStyle name="Comma 7 4 2" xfId="1209" xr:uid="{00000000-0005-0000-0000-0000B9040000}"/>
    <cellStyle name="Comma 7 4 2 2" xfId="1210" xr:uid="{00000000-0005-0000-0000-0000BA040000}"/>
    <cellStyle name="Comma 7 4 2 2 2" xfId="1211" xr:uid="{00000000-0005-0000-0000-0000BB040000}"/>
    <cellStyle name="Comma 7 4 2 2 3" xfId="1212" xr:uid="{00000000-0005-0000-0000-0000BC040000}"/>
    <cellStyle name="Comma 7 4 2 3" xfId="1213" xr:uid="{00000000-0005-0000-0000-0000BD040000}"/>
    <cellStyle name="Comma 7 4 2 3 2" xfId="1214" xr:uid="{00000000-0005-0000-0000-0000BE040000}"/>
    <cellStyle name="Comma 7 4 2 3 3" xfId="1215" xr:uid="{00000000-0005-0000-0000-0000BF040000}"/>
    <cellStyle name="Comma 7 4 2 4" xfId="1216" xr:uid="{00000000-0005-0000-0000-0000C0040000}"/>
    <cellStyle name="Comma 7 4 2 5" xfId="1217" xr:uid="{00000000-0005-0000-0000-0000C1040000}"/>
    <cellStyle name="Comma 7 4 2 6" xfId="1218" xr:uid="{00000000-0005-0000-0000-0000C2040000}"/>
    <cellStyle name="Comma 7 4 3" xfId="1219" xr:uid="{00000000-0005-0000-0000-0000C3040000}"/>
    <cellStyle name="Comma 7 4 3 2" xfId="1220" xr:uid="{00000000-0005-0000-0000-0000C4040000}"/>
    <cellStyle name="Comma 7 4 3 3" xfId="1221" xr:uid="{00000000-0005-0000-0000-0000C5040000}"/>
    <cellStyle name="Comma 7 4 4" xfId="1222" xr:uid="{00000000-0005-0000-0000-0000C6040000}"/>
    <cellStyle name="Comma 7 4 4 2" xfId="1223" xr:uid="{00000000-0005-0000-0000-0000C7040000}"/>
    <cellStyle name="Comma 7 4 4 3" xfId="1224" xr:uid="{00000000-0005-0000-0000-0000C8040000}"/>
    <cellStyle name="Comma 7 4 5" xfId="1225" xr:uid="{00000000-0005-0000-0000-0000C9040000}"/>
    <cellStyle name="Comma 7 4 6" xfId="1226" xr:uid="{00000000-0005-0000-0000-0000CA040000}"/>
    <cellStyle name="Comma 7 4 7" xfId="1227" xr:uid="{00000000-0005-0000-0000-0000CB040000}"/>
    <cellStyle name="Comma 7 5" xfId="1228" xr:uid="{00000000-0005-0000-0000-0000CC040000}"/>
    <cellStyle name="Comma 7 5 2" xfId="1229" xr:uid="{00000000-0005-0000-0000-0000CD040000}"/>
    <cellStyle name="Comma 7 5 2 2" xfId="1230" xr:uid="{00000000-0005-0000-0000-0000CE040000}"/>
    <cellStyle name="Comma 7 5 2 2 2" xfId="1231" xr:uid="{00000000-0005-0000-0000-0000CF040000}"/>
    <cellStyle name="Comma 7 5 2 2 3" xfId="1232" xr:uid="{00000000-0005-0000-0000-0000D0040000}"/>
    <cellStyle name="Comma 7 5 2 3" xfId="1233" xr:uid="{00000000-0005-0000-0000-0000D1040000}"/>
    <cellStyle name="Comma 7 5 2 3 2" xfId="1234" xr:uid="{00000000-0005-0000-0000-0000D2040000}"/>
    <cellStyle name="Comma 7 5 2 3 3" xfId="1235" xr:uid="{00000000-0005-0000-0000-0000D3040000}"/>
    <cellStyle name="Comma 7 5 2 4" xfId="1236" xr:uid="{00000000-0005-0000-0000-0000D4040000}"/>
    <cellStyle name="Comma 7 5 2 5" xfId="1237" xr:uid="{00000000-0005-0000-0000-0000D5040000}"/>
    <cellStyle name="Comma 7 5 2 6" xfId="1238" xr:uid="{00000000-0005-0000-0000-0000D6040000}"/>
    <cellStyle name="Comma 7 5 3" xfId="1239" xr:uid="{00000000-0005-0000-0000-0000D7040000}"/>
    <cellStyle name="Comma 7 5 3 2" xfId="1240" xr:uid="{00000000-0005-0000-0000-0000D8040000}"/>
    <cellStyle name="Comma 7 5 3 3" xfId="1241" xr:uid="{00000000-0005-0000-0000-0000D9040000}"/>
    <cellStyle name="Comma 7 5 4" xfId="1242" xr:uid="{00000000-0005-0000-0000-0000DA040000}"/>
    <cellStyle name="Comma 7 5 4 2" xfId="1243" xr:uid="{00000000-0005-0000-0000-0000DB040000}"/>
    <cellStyle name="Comma 7 5 4 3" xfId="1244" xr:uid="{00000000-0005-0000-0000-0000DC040000}"/>
    <cellStyle name="Comma 7 5 5" xfId="1245" xr:uid="{00000000-0005-0000-0000-0000DD040000}"/>
    <cellStyle name="Comma 7 5 6" xfId="1246" xr:uid="{00000000-0005-0000-0000-0000DE040000}"/>
    <cellStyle name="Comma 7 5 7" xfId="1247" xr:uid="{00000000-0005-0000-0000-0000DF040000}"/>
    <cellStyle name="Comma 7 6" xfId="1248" xr:uid="{00000000-0005-0000-0000-0000E0040000}"/>
    <cellStyle name="Comma 7 6 2" xfId="1249" xr:uid="{00000000-0005-0000-0000-0000E1040000}"/>
    <cellStyle name="Comma 7 6 2 2" xfId="1250" xr:uid="{00000000-0005-0000-0000-0000E2040000}"/>
    <cellStyle name="Comma 7 6 2 2 2" xfId="1251" xr:uid="{00000000-0005-0000-0000-0000E3040000}"/>
    <cellStyle name="Comma 7 6 2 2 3" xfId="1252" xr:uid="{00000000-0005-0000-0000-0000E4040000}"/>
    <cellStyle name="Comma 7 6 2 3" xfId="1253" xr:uid="{00000000-0005-0000-0000-0000E5040000}"/>
    <cellStyle name="Comma 7 6 2 3 2" xfId="1254" xr:uid="{00000000-0005-0000-0000-0000E6040000}"/>
    <cellStyle name="Comma 7 6 2 3 3" xfId="1255" xr:uid="{00000000-0005-0000-0000-0000E7040000}"/>
    <cellStyle name="Comma 7 6 2 4" xfId="1256" xr:uid="{00000000-0005-0000-0000-0000E8040000}"/>
    <cellStyle name="Comma 7 6 2 5" xfId="1257" xr:uid="{00000000-0005-0000-0000-0000E9040000}"/>
    <cellStyle name="Comma 7 6 2 6" xfId="1258" xr:uid="{00000000-0005-0000-0000-0000EA040000}"/>
    <cellStyle name="Comma 7 6 3" xfId="1259" xr:uid="{00000000-0005-0000-0000-0000EB040000}"/>
    <cellStyle name="Comma 7 6 3 2" xfId="1260" xr:uid="{00000000-0005-0000-0000-0000EC040000}"/>
    <cellStyle name="Comma 7 6 3 3" xfId="1261" xr:uid="{00000000-0005-0000-0000-0000ED040000}"/>
    <cellStyle name="Comma 7 6 4" xfId="1262" xr:uid="{00000000-0005-0000-0000-0000EE040000}"/>
    <cellStyle name="Comma 7 6 4 2" xfId="1263" xr:uid="{00000000-0005-0000-0000-0000EF040000}"/>
    <cellStyle name="Comma 7 6 4 3" xfId="1264" xr:uid="{00000000-0005-0000-0000-0000F0040000}"/>
    <cellStyle name="Comma 7 6 5" xfId="1265" xr:uid="{00000000-0005-0000-0000-0000F1040000}"/>
    <cellStyle name="Comma 7 6 6" xfId="1266" xr:uid="{00000000-0005-0000-0000-0000F2040000}"/>
    <cellStyle name="Comma 7 6 7" xfId="1267" xr:uid="{00000000-0005-0000-0000-0000F3040000}"/>
    <cellStyle name="Comma 7 7" xfId="1268" xr:uid="{00000000-0005-0000-0000-0000F4040000}"/>
    <cellStyle name="Comma 7 7 2" xfId="1269" xr:uid="{00000000-0005-0000-0000-0000F5040000}"/>
    <cellStyle name="Comma 7 7 2 2" xfId="1270" xr:uid="{00000000-0005-0000-0000-0000F6040000}"/>
    <cellStyle name="Comma 7 7 2 2 2" xfId="1271" xr:uid="{00000000-0005-0000-0000-0000F7040000}"/>
    <cellStyle name="Comma 7 7 2 2 3" xfId="1272" xr:uid="{00000000-0005-0000-0000-0000F8040000}"/>
    <cellStyle name="Comma 7 7 2 3" xfId="1273" xr:uid="{00000000-0005-0000-0000-0000F9040000}"/>
    <cellStyle name="Comma 7 7 2 3 2" xfId="1274" xr:uid="{00000000-0005-0000-0000-0000FA040000}"/>
    <cellStyle name="Comma 7 7 2 3 3" xfId="1275" xr:uid="{00000000-0005-0000-0000-0000FB040000}"/>
    <cellStyle name="Comma 7 7 2 4" xfId="1276" xr:uid="{00000000-0005-0000-0000-0000FC040000}"/>
    <cellStyle name="Comma 7 7 2 5" xfId="1277" xr:uid="{00000000-0005-0000-0000-0000FD040000}"/>
    <cellStyle name="Comma 7 7 2 6" xfId="1278" xr:uid="{00000000-0005-0000-0000-0000FE040000}"/>
    <cellStyle name="Comma 7 7 3" xfId="1279" xr:uid="{00000000-0005-0000-0000-0000FF040000}"/>
    <cellStyle name="Comma 7 7 3 2" xfId="1280" xr:uid="{00000000-0005-0000-0000-000000050000}"/>
    <cellStyle name="Comma 7 7 3 3" xfId="1281" xr:uid="{00000000-0005-0000-0000-000001050000}"/>
    <cellStyle name="Comma 7 7 4" xfId="1282" xr:uid="{00000000-0005-0000-0000-000002050000}"/>
    <cellStyle name="Comma 7 7 4 2" xfId="1283" xr:uid="{00000000-0005-0000-0000-000003050000}"/>
    <cellStyle name="Comma 7 7 4 3" xfId="1284" xr:uid="{00000000-0005-0000-0000-000004050000}"/>
    <cellStyle name="Comma 7 7 5" xfId="1285" xr:uid="{00000000-0005-0000-0000-000005050000}"/>
    <cellStyle name="Comma 7 7 6" xfId="1286" xr:uid="{00000000-0005-0000-0000-000006050000}"/>
    <cellStyle name="Comma 7 7 7" xfId="1287" xr:uid="{00000000-0005-0000-0000-000007050000}"/>
    <cellStyle name="Comma 7 8" xfId="1288" xr:uid="{00000000-0005-0000-0000-000008050000}"/>
    <cellStyle name="Comma 7 8 2" xfId="1289" xr:uid="{00000000-0005-0000-0000-000009050000}"/>
    <cellStyle name="Comma 7 8 2 2" xfId="1290" xr:uid="{00000000-0005-0000-0000-00000A050000}"/>
    <cellStyle name="Comma 7 8 2 2 2" xfId="1291" xr:uid="{00000000-0005-0000-0000-00000B050000}"/>
    <cellStyle name="Comma 7 8 2 2 3" xfId="1292" xr:uid="{00000000-0005-0000-0000-00000C050000}"/>
    <cellStyle name="Comma 7 8 2 3" xfId="1293" xr:uid="{00000000-0005-0000-0000-00000D050000}"/>
    <cellStyle name="Comma 7 8 2 3 2" xfId="1294" xr:uid="{00000000-0005-0000-0000-00000E050000}"/>
    <cellStyle name="Comma 7 8 2 3 3" xfId="1295" xr:uid="{00000000-0005-0000-0000-00000F050000}"/>
    <cellStyle name="Comma 7 8 2 4" xfId="1296" xr:uid="{00000000-0005-0000-0000-000010050000}"/>
    <cellStyle name="Comma 7 8 2 5" xfId="1297" xr:uid="{00000000-0005-0000-0000-000011050000}"/>
    <cellStyle name="Comma 7 8 2 6" xfId="1298" xr:uid="{00000000-0005-0000-0000-000012050000}"/>
    <cellStyle name="Comma 7 8 3" xfId="1299" xr:uid="{00000000-0005-0000-0000-000013050000}"/>
    <cellStyle name="Comma 7 8 3 2" xfId="1300" xr:uid="{00000000-0005-0000-0000-000014050000}"/>
    <cellStyle name="Comma 7 8 3 3" xfId="1301" xr:uid="{00000000-0005-0000-0000-000015050000}"/>
    <cellStyle name="Comma 7 8 4" xfId="1302" xr:uid="{00000000-0005-0000-0000-000016050000}"/>
    <cellStyle name="Comma 7 8 4 2" xfId="1303" xr:uid="{00000000-0005-0000-0000-000017050000}"/>
    <cellStyle name="Comma 7 8 4 3" xfId="1304" xr:uid="{00000000-0005-0000-0000-000018050000}"/>
    <cellStyle name="Comma 7 8 5" xfId="1305" xr:uid="{00000000-0005-0000-0000-000019050000}"/>
    <cellStyle name="Comma 7 8 6" xfId="1306" xr:uid="{00000000-0005-0000-0000-00001A050000}"/>
    <cellStyle name="Comma 7 8 7" xfId="1307" xr:uid="{00000000-0005-0000-0000-00001B050000}"/>
    <cellStyle name="Comma 7 9" xfId="1308" xr:uid="{00000000-0005-0000-0000-00001C050000}"/>
    <cellStyle name="Comma 7 9 2" xfId="1309" xr:uid="{00000000-0005-0000-0000-00001D050000}"/>
    <cellStyle name="Comma 7 9 2 2" xfId="1310" xr:uid="{00000000-0005-0000-0000-00001E050000}"/>
    <cellStyle name="Comma 7 9 2 2 2" xfId="1311" xr:uid="{00000000-0005-0000-0000-00001F050000}"/>
    <cellStyle name="Comma 7 9 2 2 3" xfId="1312" xr:uid="{00000000-0005-0000-0000-000020050000}"/>
    <cellStyle name="Comma 7 9 2 3" xfId="1313" xr:uid="{00000000-0005-0000-0000-000021050000}"/>
    <cellStyle name="Comma 7 9 2 3 2" xfId="1314" xr:uid="{00000000-0005-0000-0000-000022050000}"/>
    <cellStyle name="Comma 7 9 2 3 3" xfId="1315" xr:uid="{00000000-0005-0000-0000-000023050000}"/>
    <cellStyle name="Comma 7 9 2 4" xfId="1316" xr:uid="{00000000-0005-0000-0000-000024050000}"/>
    <cellStyle name="Comma 7 9 2 5" xfId="1317" xr:uid="{00000000-0005-0000-0000-000025050000}"/>
    <cellStyle name="Comma 7 9 2 6" xfId="1318" xr:uid="{00000000-0005-0000-0000-000026050000}"/>
    <cellStyle name="Comma 7 9 3" xfId="1319" xr:uid="{00000000-0005-0000-0000-000027050000}"/>
    <cellStyle name="Comma 7 9 3 2" xfId="1320" xr:uid="{00000000-0005-0000-0000-000028050000}"/>
    <cellStyle name="Comma 7 9 3 3" xfId="1321" xr:uid="{00000000-0005-0000-0000-000029050000}"/>
    <cellStyle name="Comma 7 9 4" xfId="1322" xr:uid="{00000000-0005-0000-0000-00002A050000}"/>
    <cellStyle name="Comma 7 9 4 2" xfId="1323" xr:uid="{00000000-0005-0000-0000-00002B050000}"/>
    <cellStyle name="Comma 7 9 4 3" xfId="1324" xr:uid="{00000000-0005-0000-0000-00002C050000}"/>
    <cellStyle name="Comma 7 9 5" xfId="1325" xr:uid="{00000000-0005-0000-0000-00002D050000}"/>
    <cellStyle name="Comma 7 9 6" xfId="1326" xr:uid="{00000000-0005-0000-0000-00002E050000}"/>
    <cellStyle name="Comma 7 9 7" xfId="1327" xr:uid="{00000000-0005-0000-0000-00002F050000}"/>
    <cellStyle name="Comma 8" xfId="1328" xr:uid="{00000000-0005-0000-0000-000030050000}"/>
    <cellStyle name="Comma 8 2" xfId="1329" xr:uid="{00000000-0005-0000-0000-000031050000}"/>
    <cellStyle name="Comma 8 2 2" xfId="1330" xr:uid="{00000000-0005-0000-0000-000032050000}"/>
    <cellStyle name="Comma 8 2 2 2" xfId="1331" xr:uid="{00000000-0005-0000-0000-000033050000}"/>
    <cellStyle name="Comma 8 2 2 3" xfId="1332" xr:uid="{00000000-0005-0000-0000-000034050000}"/>
    <cellStyle name="Comma 8 2 3" xfId="1333" xr:uid="{00000000-0005-0000-0000-000035050000}"/>
    <cellStyle name="Comma 8 2 3 2" xfId="1334" xr:uid="{00000000-0005-0000-0000-000036050000}"/>
    <cellStyle name="Comma 8 2 3 3" xfId="1335" xr:uid="{00000000-0005-0000-0000-000037050000}"/>
    <cellStyle name="Comma 8 2 4" xfId="1336" xr:uid="{00000000-0005-0000-0000-000038050000}"/>
    <cellStyle name="Comma 8 2 5" xfId="1337" xr:uid="{00000000-0005-0000-0000-000039050000}"/>
    <cellStyle name="Comma 8 2 6" xfId="1338" xr:uid="{00000000-0005-0000-0000-00003A050000}"/>
    <cellStyle name="Comma 8 3" xfId="1339" xr:uid="{00000000-0005-0000-0000-00003B050000}"/>
    <cellStyle name="Comma 8 3 2" xfId="1340" xr:uid="{00000000-0005-0000-0000-00003C050000}"/>
    <cellStyle name="Comma 8 3 3" xfId="1341" xr:uid="{00000000-0005-0000-0000-00003D050000}"/>
    <cellStyle name="Comma 8 4" xfId="1342" xr:uid="{00000000-0005-0000-0000-00003E050000}"/>
    <cellStyle name="Comma 8 4 2" xfId="1343" xr:uid="{00000000-0005-0000-0000-00003F050000}"/>
    <cellStyle name="Comma 8 4 3" xfId="1344" xr:uid="{00000000-0005-0000-0000-000040050000}"/>
    <cellStyle name="Comma 8 5" xfId="1345" xr:uid="{00000000-0005-0000-0000-000041050000}"/>
    <cellStyle name="Comma 8 6" xfId="1346" xr:uid="{00000000-0005-0000-0000-000042050000}"/>
    <cellStyle name="Comma 8 7" xfId="1347" xr:uid="{00000000-0005-0000-0000-000043050000}"/>
    <cellStyle name="Comma 9" xfId="1348" xr:uid="{00000000-0005-0000-0000-000044050000}"/>
    <cellStyle name="Comma 9 2" xfId="1349" xr:uid="{00000000-0005-0000-0000-000045050000}"/>
    <cellStyle name="Comma 9 2 2" xfId="1350" xr:uid="{00000000-0005-0000-0000-000046050000}"/>
    <cellStyle name="Comma 9 2 2 2" xfId="1351" xr:uid="{00000000-0005-0000-0000-000047050000}"/>
    <cellStyle name="Comma 9 2 2 3" xfId="1352" xr:uid="{00000000-0005-0000-0000-000048050000}"/>
    <cellStyle name="Comma 9 2 3" xfId="1353" xr:uid="{00000000-0005-0000-0000-000049050000}"/>
    <cellStyle name="Comma 9 2 3 2" xfId="1354" xr:uid="{00000000-0005-0000-0000-00004A050000}"/>
    <cellStyle name="Comma 9 2 3 3" xfId="1355" xr:uid="{00000000-0005-0000-0000-00004B050000}"/>
    <cellStyle name="Comma 9 2 4" xfId="1356" xr:uid="{00000000-0005-0000-0000-00004C050000}"/>
    <cellStyle name="Comma 9 2 5" xfId="1357" xr:uid="{00000000-0005-0000-0000-00004D050000}"/>
    <cellStyle name="Comma 9 2 6" xfId="1358" xr:uid="{00000000-0005-0000-0000-00004E050000}"/>
    <cellStyle name="Comma 9 3" xfId="1359" xr:uid="{00000000-0005-0000-0000-00004F050000}"/>
    <cellStyle name="Comma 9 3 2" xfId="1360" xr:uid="{00000000-0005-0000-0000-000050050000}"/>
    <cellStyle name="Comma 9 3 3" xfId="1361" xr:uid="{00000000-0005-0000-0000-000051050000}"/>
    <cellStyle name="Comma 9 4" xfId="1362" xr:uid="{00000000-0005-0000-0000-000052050000}"/>
    <cellStyle name="Comma 9 4 2" xfId="1363" xr:uid="{00000000-0005-0000-0000-000053050000}"/>
    <cellStyle name="Comma 9 4 3" xfId="1364" xr:uid="{00000000-0005-0000-0000-000054050000}"/>
    <cellStyle name="Comma 9 5" xfId="1365" xr:uid="{00000000-0005-0000-0000-000055050000}"/>
    <cellStyle name="Comma 9 6" xfId="1366" xr:uid="{00000000-0005-0000-0000-000056050000}"/>
    <cellStyle name="Comma 9 7" xfId="1367" xr:uid="{00000000-0005-0000-0000-000057050000}"/>
    <cellStyle name="Comma0" xfId="1368" xr:uid="{00000000-0005-0000-0000-000058050000}"/>
    <cellStyle name="Comma0 10" xfId="1369" xr:uid="{00000000-0005-0000-0000-000059050000}"/>
    <cellStyle name="Comma0 10 10" xfId="1370" xr:uid="{00000000-0005-0000-0000-00005A050000}"/>
    <cellStyle name="Comma0 10 11" xfId="1371" xr:uid="{00000000-0005-0000-0000-00005B050000}"/>
    <cellStyle name="Comma0 10 12" xfId="1372" xr:uid="{00000000-0005-0000-0000-00005C050000}"/>
    <cellStyle name="Comma0 10 2" xfId="1373" xr:uid="{00000000-0005-0000-0000-00005D050000}"/>
    <cellStyle name="Comma0 10 2 10" xfId="1374" xr:uid="{00000000-0005-0000-0000-00005E050000}"/>
    <cellStyle name="Comma0 10 2 2" xfId="1375" xr:uid="{00000000-0005-0000-0000-00005F050000}"/>
    <cellStyle name="Comma0 10 2 2 2" xfId="1376" xr:uid="{00000000-0005-0000-0000-000060050000}"/>
    <cellStyle name="Comma0 10 2 2 2 2" xfId="1377" xr:uid="{00000000-0005-0000-0000-000061050000}"/>
    <cellStyle name="Comma0 10 2 2 2 2 2" xfId="1378" xr:uid="{00000000-0005-0000-0000-000062050000}"/>
    <cellStyle name="Comma0 10 2 2 2 2 3" xfId="1379" xr:uid="{00000000-0005-0000-0000-000063050000}"/>
    <cellStyle name="Comma0 10 2 2 2 3" xfId="1380" xr:uid="{00000000-0005-0000-0000-000064050000}"/>
    <cellStyle name="Comma0 10 2 2 2 3 2" xfId="1381" xr:uid="{00000000-0005-0000-0000-000065050000}"/>
    <cellStyle name="Comma0 10 2 2 2 3 3" xfId="1382" xr:uid="{00000000-0005-0000-0000-000066050000}"/>
    <cellStyle name="Comma0 10 2 2 2 4" xfId="1383" xr:uid="{00000000-0005-0000-0000-000067050000}"/>
    <cellStyle name="Comma0 10 2 2 2 5" xfId="1384" xr:uid="{00000000-0005-0000-0000-000068050000}"/>
    <cellStyle name="Comma0 10 2 2 2 6" xfId="1385" xr:uid="{00000000-0005-0000-0000-000069050000}"/>
    <cellStyle name="Comma0 10 2 2 3" xfId="1386" xr:uid="{00000000-0005-0000-0000-00006A050000}"/>
    <cellStyle name="Comma0 10 2 2 3 2" xfId="1387" xr:uid="{00000000-0005-0000-0000-00006B050000}"/>
    <cellStyle name="Comma0 10 2 2 3 3" xfId="1388" xr:uid="{00000000-0005-0000-0000-00006C050000}"/>
    <cellStyle name="Comma0 10 2 2 4" xfId="1389" xr:uid="{00000000-0005-0000-0000-00006D050000}"/>
    <cellStyle name="Comma0 10 2 2 4 2" xfId="1390" xr:uid="{00000000-0005-0000-0000-00006E050000}"/>
    <cellStyle name="Comma0 10 2 2 4 3" xfId="1391" xr:uid="{00000000-0005-0000-0000-00006F050000}"/>
    <cellStyle name="Comma0 10 2 2 5" xfId="1392" xr:uid="{00000000-0005-0000-0000-000070050000}"/>
    <cellStyle name="Comma0 10 2 2 5 2" xfId="1393" xr:uid="{00000000-0005-0000-0000-000071050000}"/>
    <cellStyle name="Comma0 10 2 2 5 3" xfId="1394" xr:uid="{00000000-0005-0000-0000-000072050000}"/>
    <cellStyle name="Comma0 10 2 2 6" xfId="1395" xr:uid="{00000000-0005-0000-0000-000073050000}"/>
    <cellStyle name="Comma0 10 2 2 7" xfId="1396" xr:uid="{00000000-0005-0000-0000-000074050000}"/>
    <cellStyle name="Comma0 10 2 2 8" xfId="1397" xr:uid="{00000000-0005-0000-0000-000075050000}"/>
    <cellStyle name="Comma0 10 2 3" xfId="1398" xr:uid="{00000000-0005-0000-0000-000076050000}"/>
    <cellStyle name="Comma0 10 2 3 2" xfId="1399" xr:uid="{00000000-0005-0000-0000-000077050000}"/>
    <cellStyle name="Comma0 10 2 3 2 2" xfId="1400" xr:uid="{00000000-0005-0000-0000-000078050000}"/>
    <cellStyle name="Comma0 10 2 3 2 2 2" xfId="1401" xr:uid="{00000000-0005-0000-0000-000079050000}"/>
    <cellStyle name="Comma0 10 2 3 2 2 3" xfId="1402" xr:uid="{00000000-0005-0000-0000-00007A050000}"/>
    <cellStyle name="Comma0 10 2 3 2 3" xfId="1403" xr:uid="{00000000-0005-0000-0000-00007B050000}"/>
    <cellStyle name="Comma0 10 2 3 2 3 2" xfId="1404" xr:uid="{00000000-0005-0000-0000-00007C050000}"/>
    <cellStyle name="Comma0 10 2 3 2 3 3" xfId="1405" xr:uid="{00000000-0005-0000-0000-00007D050000}"/>
    <cellStyle name="Comma0 10 2 3 2 4" xfId="1406" xr:uid="{00000000-0005-0000-0000-00007E050000}"/>
    <cellStyle name="Comma0 10 2 3 2 5" xfId="1407" xr:uid="{00000000-0005-0000-0000-00007F050000}"/>
    <cellStyle name="Comma0 10 2 3 2 6" xfId="1408" xr:uid="{00000000-0005-0000-0000-000080050000}"/>
    <cellStyle name="Comma0 10 2 3 3" xfId="1409" xr:uid="{00000000-0005-0000-0000-000081050000}"/>
    <cellStyle name="Comma0 10 2 3 3 2" xfId="1410" xr:uid="{00000000-0005-0000-0000-000082050000}"/>
    <cellStyle name="Comma0 10 2 3 3 3" xfId="1411" xr:uid="{00000000-0005-0000-0000-000083050000}"/>
    <cellStyle name="Comma0 10 2 3 4" xfId="1412" xr:uid="{00000000-0005-0000-0000-000084050000}"/>
    <cellStyle name="Comma0 10 2 3 4 2" xfId="1413" xr:uid="{00000000-0005-0000-0000-000085050000}"/>
    <cellStyle name="Comma0 10 2 3 4 3" xfId="1414" xr:uid="{00000000-0005-0000-0000-000086050000}"/>
    <cellStyle name="Comma0 10 2 3 5" xfId="1415" xr:uid="{00000000-0005-0000-0000-000087050000}"/>
    <cellStyle name="Comma0 10 2 3 5 2" xfId="1416" xr:uid="{00000000-0005-0000-0000-000088050000}"/>
    <cellStyle name="Comma0 10 2 3 5 3" xfId="1417" xr:uid="{00000000-0005-0000-0000-000089050000}"/>
    <cellStyle name="Comma0 10 2 3 6" xfId="1418" xr:uid="{00000000-0005-0000-0000-00008A050000}"/>
    <cellStyle name="Comma0 10 2 3 7" xfId="1419" xr:uid="{00000000-0005-0000-0000-00008B050000}"/>
    <cellStyle name="Comma0 10 2 3 8" xfId="1420" xr:uid="{00000000-0005-0000-0000-00008C050000}"/>
    <cellStyle name="Comma0 10 2 4" xfId="1421" xr:uid="{00000000-0005-0000-0000-00008D050000}"/>
    <cellStyle name="Comma0 10 2 4 2" xfId="1422" xr:uid="{00000000-0005-0000-0000-00008E050000}"/>
    <cellStyle name="Comma0 10 2 4 2 2" xfId="1423" xr:uid="{00000000-0005-0000-0000-00008F050000}"/>
    <cellStyle name="Comma0 10 2 4 2 3" xfId="1424" xr:uid="{00000000-0005-0000-0000-000090050000}"/>
    <cellStyle name="Comma0 10 2 4 3" xfId="1425" xr:uid="{00000000-0005-0000-0000-000091050000}"/>
    <cellStyle name="Comma0 10 2 4 3 2" xfId="1426" xr:uid="{00000000-0005-0000-0000-000092050000}"/>
    <cellStyle name="Comma0 10 2 4 3 3" xfId="1427" xr:uid="{00000000-0005-0000-0000-000093050000}"/>
    <cellStyle name="Comma0 10 2 4 4" xfId="1428" xr:uid="{00000000-0005-0000-0000-000094050000}"/>
    <cellStyle name="Comma0 10 2 4 5" xfId="1429" xr:uid="{00000000-0005-0000-0000-000095050000}"/>
    <cellStyle name="Comma0 10 2 4 6" xfId="1430" xr:uid="{00000000-0005-0000-0000-000096050000}"/>
    <cellStyle name="Comma0 10 2 5" xfId="1431" xr:uid="{00000000-0005-0000-0000-000097050000}"/>
    <cellStyle name="Comma0 10 2 5 2" xfId="1432" xr:uid="{00000000-0005-0000-0000-000098050000}"/>
    <cellStyle name="Comma0 10 2 5 3" xfId="1433" xr:uid="{00000000-0005-0000-0000-000099050000}"/>
    <cellStyle name="Comma0 10 2 6" xfId="1434" xr:uid="{00000000-0005-0000-0000-00009A050000}"/>
    <cellStyle name="Comma0 10 2 6 2" xfId="1435" xr:uid="{00000000-0005-0000-0000-00009B050000}"/>
    <cellStyle name="Comma0 10 2 6 3" xfId="1436" xr:uid="{00000000-0005-0000-0000-00009C050000}"/>
    <cellStyle name="Comma0 10 2 7" xfId="1437" xr:uid="{00000000-0005-0000-0000-00009D050000}"/>
    <cellStyle name="Comma0 10 2 7 2" xfId="1438" xr:uid="{00000000-0005-0000-0000-00009E050000}"/>
    <cellStyle name="Comma0 10 2 7 3" xfId="1439" xr:uid="{00000000-0005-0000-0000-00009F050000}"/>
    <cellStyle name="Comma0 10 2 8" xfId="1440" xr:uid="{00000000-0005-0000-0000-0000A0050000}"/>
    <cellStyle name="Comma0 10 2 9" xfId="1441" xr:uid="{00000000-0005-0000-0000-0000A1050000}"/>
    <cellStyle name="Comma0 10 3" xfId="1442" xr:uid="{00000000-0005-0000-0000-0000A2050000}"/>
    <cellStyle name="Comma0 10 3 2" xfId="1443" xr:uid="{00000000-0005-0000-0000-0000A3050000}"/>
    <cellStyle name="Comma0 10 3 2 2" xfId="1444" xr:uid="{00000000-0005-0000-0000-0000A4050000}"/>
    <cellStyle name="Comma0 10 3 2 2 2" xfId="1445" xr:uid="{00000000-0005-0000-0000-0000A5050000}"/>
    <cellStyle name="Comma0 10 3 2 2 3" xfId="1446" xr:uid="{00000000-0005-0000-0000-0000A6050000}"/>
    <cellStyle name="Comma0 10 3 2 3" xfId="1447" xr:uid="{00000000-0005-0000-0000-0000A7050000}"/>
    <cellStyle name="Comma0 10 3 2 3 2" xfId="1448" xr:uid="{00000000-0005-0000-0000-0000A8050000}"/>
    <cellStyle name="Comma0 10 3 2 3 3" xfId="1449" xr:uid="{00000000-0005-0000-0000-0000A9050000}"/>
    <cellStyle name="Comma0 10 3 2 4" xfId="1450" xr:uid="{00000000-0005-0000-0000-0000AA050000}"/>
    <cellStyle name="Comma0 10 3 2 5" xfId="1451" xr:uid="{00000000-0005-0000-0000-0000AB050000}"/>
    <cellStyle name="Comma0 10 3 2 6" xfId="1452" xr:uid="{00000000-0005-0000-0000-0000AC050000}"/>
    <cellStyle name="Comma0 10 3 3" xfId="1453" xr:uid="{00000000-0005-0000-0000-0000AD050000}"/>
    <cellStyle name="Comma0 10 3 3 2" xfId="1454" xr:uid="{00000000-0005-0000-0000-0000AE050000}"/>
    <cellStyle name="Comma0 10 3 3 3" xfId="1455" xr:uid="{00000000-0005-0000-0000-0000AF050000}"/>
    <cellStyle name="Comma0 10 3 4" xfId="1456" xr:uid="{00000000-0005-0000-0000-0000B0050000}"/>
    <cellStyle name="Comma0 10 3 4 2" xfId="1457" xr:uid="{00000000-0005-0000-0000-0000B1050000}"/>
    <cellStyle name="Comma0 10 3 4 3" xfId="1458" xr:uid="{00000000-0005-0000-0000-0000B2050000}"/>
    <cellStyle name="Comma0 10 3 5" xfId="1459" xr:uid="{00000000-0005-0000-0000-0000B3050000}"/>
    <cellStyle name="Comma0 10 3 5 2" xfId="1460" xr:uid="{00000000-0005-0000-0000-0000B4050000}"/>
    <cellStyle name="Comma0 10 3 5 3" xfId="1461" xr:uid="{00000000-0005-0000-0000-0000B5050000}"/>
    <cellStyle name="Comma0 10 3 6" xfId="1462" xr:uid="{00000000-0005-0000-0000-0000B6050000}"/>
    <cellStyle name="Comma0 10 3 7" xfId="1463" xr:uid="{00000000-0005-0000-0000-0000B7050000}"/>
    <cellStyle name="Comma0 10 3 8" xfId="1464" xr:uid="{00000000-0005-0000-0000-0000B8050000}"/>
    <cellStyle name="Comma0 10 4" xfId="1465" xr:uid="{00000000-0005-0000-0000-0000B9050000}"/>
    <cellStyle name="Comma0 10 4 2" xfId="1466" xr:uid="{00000000-0005-0000-0000-0000BA050000}"/>
    <cellStyle name="Comma0 10 4 2 2" xfId="1467" xr:uid="{00000000-0005-0000-0000-0000BB050000}"/>
    <cellStyle name="Comma0 10 4 2 2 2" xfId="1468" xr:uid="{00000000-0005-0000-0000-0000BC050000}"/>
    <cellStyle name="Comma0 10 4 2 2 3" xfId="1469" xr:uid="{00000000-0005-0000-0000-0000BD050000}"/>
    <cellStyle name="Comma0 10 4 2 3" xfId="1470" xr:uid="{00000000-0005-0000-0000-0000BE050000}"/>
    <cellStyle name="Comma0 10 4 2 3 2" xfId="1471" xr:uid="{00000000-0005-0000-0000-0000BF050000}"/>
    <cellStyle name="Comma0 10 4 2 3 3" xfId="1472" xr:uid="{00000000-0005-0000-0000-0000C0050000}"/>
    <cellStyle name="Comma0 10 4 2 4" xfId="1473" xr:uid="{00000000-0005-0000-0000-0000C1050000}"/>
    <cellStyle name="Comma0 10 4 2 5" xfId="1474" xr:uid="{00000000-0005-0000-0000-0000C2050000}"/>
    <cellStyle name="Comma0 10 4 2 6" xfId="1475" xr:uid="{00000000-0005-0000-0000-0000C3050000}"/>
    <cellStyle name="Comma0 10 4 3" xfId="1476" xr:uid="{00000000-0005-0000-0000-0000C4050000}"/>
    <cellStyle name="Comma0 10 4 3 2" xfId="1477" xr:uid="{00000000-0005-0000-0000-0000C5050000}"/>
    <cellStyle name="Comma0 10 4 3 3" xfId="1478" xr:uid="{00000000-0005-0000-0000-0000C6050000}"/>
    <cellStyle name="Comma0 10 4 4" xfId="1479" xr:uid="{00000000-0005-0000-0000-0000C7050000}"/>
    <cellStyle name="Comma0 10 4 4 2" xfId="1480" xr:uid="{00000000-0005-0000-0000-0000C8050000}"/>
    <cellStyle name="Comma0 10 4 4 3" xfId="1481" xr:uid="{00000000-0005-0000-0000-0000C9050000}"/>
    <cellStyle name="Comma0 10 4 5" xfId="1482" xr:uid="{00000000-0005-0000-0000-0000CA050000}"/>
    <cellStyle name="Comma0 10 4 5 2" xfId="1483" xr:uid="{00000000-0005-0000-0000-0000CB050000}"/>
    <cellStyle name="Comma0 10 4 5 3" xfId="1484" xr:uid="{00000000-0005-0000-0000-0000CC050000}"/>
    <cellStyle name="Comma0 10 4 6" xfId="1485" xr:uid="{00000000-0005-0000-0000-0000CD050000}"/>
    <cellStyle name="Comma0 10 4 7" xfId="1486" xr:uid="{00000000-0005-0000-0000-0000CE050000}"/>
    <cellStyle name="Comma0 10 4 8" xfId="1487" xr:uid="{00000000-0005-0000-0000-0000CF050000}"/>
    <cellStyle name="Comma0 10 5" xfId="1488" xr:uid="{00000000-0005-0000-0000-0000D0050000}"/>
    <cellStyle name="Comma0 10 5 2" xfId="1489" xr:uid="{00000000-0005-0000-0000-0000D1050000}"/>
    <cellStyle name="Comma0 10 5 2 2" xfId="1490" xr:uid="{00000000-0005-0000-0000-0000D2050000}"/>
    <cellStyle name="Comma0 10 5 2 2 2" xfId="1491" xr:uid="{00000000-0005-0000-0000-0000D3050000}"/>
    <cellStyle name="Comma0 10 5 2 2 3" xfId="1492" xr:uid="{00000000-0005-0000-0000-0000D4050000}"/>
    <cellStyle name="Comma0 10 5 2 3" xfId="1493" xr:uid="{00000000-0005-0000-0000-0000D5050000}"/>
    <cellStyle name="Comma0 10 5 2 3 2" xfId="1494" xr:uid="{00000000-0005-0000-0000-0000D6050000}"/>
    <cellStyle name="Comma0 10 5 2 3 3" xfId="1495" xr:uid="{00000000-0005-0000-0000-0000D7050000}"/>
    <cellStyle name="Comma0 10 5 2 4" xfId="1496" xr:uid="{00000000-0005-0000-0000-0000D8050000}"/>
    <cellStyle name="Comma0 10 5 2 5" xfId="1497" xr:uid="{00000000-0005-0000-0000-0000D9050000}"/>
    <cellStyle name="Comma0 10 5 2 6" xfId="1498" xr:uid="{00000000-0005-0000-0000-0000DA050000}"/>
    <cellStyle name="Comma0 10 5 3" xfId="1499" xr:uid="{00000000-0005-0000-0000-0000DB050000}"/>
    <cellStyle name="Comma0 10 5 3 2" xfId="1500" xr:uid="{00000000-0005-0000-0000-0000DC050000}"/>
    <cellStyle name="Comma0 10 5 3 3" xfId="1501" xr:uid="{00000000-0005-0000-0000-0000DD050000}"/>
    <cellStyle name="Comma0 10 5 4" xfId="1502" xr:uid="{00000000-0005-0000-0000-0000DE050000}"/>
    <cellStyle name="Comma0 10 5 4 2" xfId="1503" xr:uid="{00000000-0005-0000-0000-0000DF050000}"/>
    <cellStyle name="Comma0 10 5 4 3" xfId="1504" xr:uid="{00000000-0005-0000-0000-0000E0050000}"/>
    <cellStyle name="Comma0 10 5 5" xfId="1505" xr:uid="{00000000-0005-0000-0000-0000E1050000}"/>
    <cellStyle name="Comma0 10 5 5 2" xfId="1506" xr:uid="{00000000-0005-0000-0000-0000E2050000}"/>
    <cellStyle name="Comma0 10 5 5 3" xfId="1507" xr:uid="{00000000-0005-0000-0000-0000E3050000}"/>
    <cellStyle name="Comma0 10 5 6" xfId="1508" xr:uid="{00000000-0005-0000-0000-0000E4050000}"/>
    <cellStyle name="Comma0 10 5 7" xfId="1509" xr:uid="{00000000-0005-0000-0000-0000E5050000}"/>
    <cellStyle name="Comma0 10 5 8" xfId="1510" xr:uid="{00000000-0005-0000-0000-0000E6050000}"/>
    <cellStyle name="Comma0 10 6" xfId="1511" xr:uid="{00000000-0005-0000-0000-0000E7050000}"/>
    <cellStyle name="Comma0 10 6 2" xfId="1512" xr:uid="{00000000-0005-0000-0000-0000E8050000}"/>
    <cellStyle name="Comma0 10 6 2 2" xfId="1513" xr:uid="{00000000-0005-0000-0000-0000E9050000}"/>
    <cellStyle name="Comma0 10 6 2 3" xfId="1514" xr:uid="{00000000-0005-0000-0000-0000EA050000}"/>
    <cellStyle name="Comma0 10 6 3" xfId="1515" xr:uid="{00000000-0005-0000-0000-0000EB050000}"/>
    <cellStyle name="Comma0 10 6 3 2" xfId="1516" xr:uid="{00000000-0005-0000-0000-0000EC050000}"/>
    <cellStyle name="Comma0 10 6 3 3" xfId="1517" xr:uid="{00000000-0005-0000-0000-0000ED050000}"/>
    <cellStyle name="Comma0 10 6 4" xfId="1518" xr:uid="{00000000-0005-0000-0000-0000EE050000}"/>
    <cellStyle name="Comma0 10 6 5" xfId="1519" xr:uid="{00000000-0005-0000-0000-0000EF050000}"/>
    <cellStyle name="Comma0 10 6 6" xfId="1520" xr:uid="{00000000-0005-0000-0000-0000F0050000}"/>
    <cellStyle name="Comma0 10 7" xfId="1521" xr:uid="{00000000-0005-0000-0000-0000F1050000}"/>
    <cellStyle name="Comma0 10 7 2" xfId="1522" xr:uid="{00000000-0005-0000-0000-0000F2050000}"/>
    <cellStyle name="Comma0 10 7 3" xfId="1523" xr:uid="{00000000-0005-0000-0000-0000F3050000}"/>
    <cellStyle name="Comma0 10 8" xfId="1524" xr:uid="{00000000-0005-0000-0000-0000F4050000}"/>
    <cellStyle name="Comma0 10 8 2" xfId="1525" xr:uid="{00000000-0005-0000-0000-0000F5050000}"/>
    <cellStyle name="Comma0 10 8 3" xfId="1526" xr:uid="{00000000-0005-0000-0000-0000F6050000}"/>
    <cellStyle name="Comma0 10 9" xfId="1527" xr:uid="{00000000-0005-0000-0000-0000F7050000}"/>
    <cellStyle name="Comma0 10 9 2" xfId="1528" xr:uid="{00000000-0005-0000-0000-0000F8050000}"/>
    <cellStyle name="Comma0 10 9 3" xfId="1529" xr:uid="{00000000-0005-0000-0000-0000F9050000}"/>
    <cellStyle name="Comma0 11" xfId="1530" xr:uid="{00000000-0005-0000-0000-0000FA050000}"/>
    <cellStyle name="Comma0 11 10" xfId="1531" xr:uid="{00000000-0005-0000-0000-0000FB050000}"/>
    <cellStyle name="Comma0 11 11" xfId="1532" xr:uid="{00000000-0005-0000-0000-0000FC050000}"/>
    <cellStyle name="Comma0 11 12" xfId="1533" xr:uid="{00000000-0005-0000-0000-0000FD050000}"/>
    <cellStyle name="Comma0 11 2" xfId="1534" xr:uid="{00000000-0005-0000-0000-0000FE050000}"/>
    <cellStyle name="Comma0 11 2 10" xfId="1535" xr:uid="{00000000-0005-0000-0000-0000FF050000}"/>
    <cellStyle name="Comma0 11 2 2" xfId="1536" xr:uid="{00000000-0005-0000-0000-000000060000}"/>
    <cellStyle name="Comma0 11 2 2 2" xfId="1537" xr:uid="{00000000-0005-0000-0000-000001060000}"/>
    <cellStyle name="Comma0 11 2 2 2 2" xfId="1538" xr:uid="{00000000-0005-0000-0000-000002060000}"/>
    <cellStyle name="Comma0 11 2 2 2 2 2" xfId="1539" xr:uid="{00000000-0005-0000-0000-000003060000}"/>
    <cellStyle name="Comma0 11 2 2 2 2 3" xfId="1540" xr:uid="{00000000-0005-0000-0000-000004060000}"/>
    <cellStyle name="Comma0 11 2 2 2 3" xfId="1541" xr:uid="{00000000-0005-0000-0000-000005060000}"/>
    <cellStyle name="Comma0 11 2 2 2 3 2" xfId="1542" xr:uid="{00000000-0005-0000-0000-000006060000}"/>
    <cellStyle name="Comma0 11 2 2 2 3 3" xfId="1543" xr:uid="{00000000-0005-0000-0000-000007060000}"/>
    <cellStyle name="Comma0 11 2 2 2 4" xfId="1544" xr:uid="{00000000-0005-0000-0000-000008060000}"/>
    <cellStyle name="Comma0 11 2 2 2 5" xfId="1545" xr:uid="{00000000-0005-0000-0000-000009060000}"/>
    <cellStyle name="Comma0 11 2 2 2 6" xfId="1546" xr:uid="{00000000-0005-0000-0000-00000A060000}"/>
    <cellStyle name="Comma0 11 2 2 3" xfId="1547" xr:uid="{00000000-0005-0000-0000-00000B060000}"/>
    <cellStyle name="Comma0 11 2 2 3 2" xfId="1548" xr:uid="{00000000-0005-0000-0000-00000C060000}"/>
    <cellStyle name="Comma0 11 2 2 3 3" xfId="1549" xr:uid="{00000000-0005-0000-0000-00000D060000}"/>
    <cellStyle name="Comma0 11 2 2 4" xfId="1550" xr:uid="{00000000-0005-0000-0000-00000E060000}"/>
    <cellStyle name="Comma0 11 2 2 4 2" xfId="1551" xr:uid="{00000000-0005-0000-0000-00000F060000}"/>
    <cellStyle name="Comma0 11 2 2 4 3" xfId="1552" xr:uid="{00000000-0005-0000-0000-000010060000}"/>
    <cellStyle name="Comma0 11 2 2 5" xfId="1553" xr:uid="{00000000-0005-0000-0000-000011060000}"/>
    <cellStyle name="Comma0 11 2 2 5 2" xfId="1554" xr:uid="{00000000-0005-0000-0000-000012060000}"/>
    <cellStyle name="Comma0 11 2 2 5 3" xfId="1555" xr:uid="{00000000-0005-0000-0000-000013060000}"/>
    <cellStyle name="Comma0 11 2 2 6" xfId="1556" xr:uid="{00000000-0005-0000-0000-000014060000}"/>
    <cellStyle name="Comma0 11 2 2 7" xfId="1557" xr:uid="{00000000-0005-0000-0000-000015060000}"/>
    <cellStyle name="Comma0 11 2 2 8" xfId="1558" xr:uid="{00000000-0005-0000-0000-000016060000}"/>
    <cellStyle name="Comma0 11 2 3" xfId="1559" xr:uid="{00000000-0005-0000-0000-000017060000}"/>
    <cellStyle name="Comma0 11 2 3 2" xfId="1560" xr:uid="{00000000-0005-0000-0000-000018060000}"/>
    <cellStyle name="Comma0 11 2 3 2 2" xfId="1561" xr:uid="{00000000-0005-0000-0000-000019060000}"/>
    <cellStyle name="Comma0 11 2 3 2 2 2" xfId="1562" xr:uid="{00000000-0005-0000-0000-00001A060000}"/>
    <cellStyle name="Comma0 11 2 3 2 2 3" xfId="1563" xr:uid="{00000000-0005-0000-0000-00001B060000}"/>
    <cellStyle name="Comma0 11 2 3 2 3" xfId="1564" xr:uid="{00000000-0005-0000-0000-00001C060000}"/>
    <cellStyle name="Comma0 11 2 3 2 3 2" xfId="1565" xr:uid="{00000000-0005-0000-0000-00001D060000}"/>
    <cellStyle name="Comma0 11 2 3 2 3 3" xfId="1566" xr:uid="{00000000-0005-0000-0000-00001E060000}"/>
    <cellStyle name="Comma0 11 2 3 2 4" xfId="1567" xr:uid="{00000000-0005-0000-0000-00001F060000}"/>
    <cellStyle name="Comma0 11 2 3 2 5" xfId="1568" xr:uid="{00000000-0005-0000-0000-000020060000}"/>
    <cellStyle name="Comma0 11 2 3 2 6" xfId="1569" xr:uid="{00000000-0005-0000-0000-000021060000}"/>
    <cellStyle name="Comma0 11 2 3 3" xfId="1570" xr:uid="{00000000-0005-0000-0000-000022060000}"/>
    <cellStyle name="Comma0 11 2 3 3 2" xfId="1571" xr:uid="{00000000-0005-0000-0000-000023060000}"/>
    <cellStyle name="Comma0 11 2 3 3 3" xfId="1572" xr:uid="{00000000-0005-0000-0000-000024060000}"/>
    <cellStyle name="Comma0 11 2 3 4" xfId="1573" xr:uid="{00000000-0005-0000-0000-000025060000}"/>
    <cellStyle name="Comma0 11 2 3 4 2" xfId="1574" xr:uid="{00000000-0005-0000-0000-000026060000}"/>
    <cellStyle name="Comma0 11 2 3 4 3" xfId="1575" xr:uid="{00000000-0005-0000-0000-000027060000}"/>
    <cellStyle name="Comma0 11 2 3 5" xfId="1576" xr:uid="{00000000-0005-0000-0000-000028060000}"/>
    <cellStyle name="Comma0 11 2 3 5 2" xfId="1577" xr:uid="{00000000-0005-0000-0000-000029060000}"/>
    <cellStyle name="Comma0 11 2 3 5 3" xfId="1578" xr:uid="{00000000-0005-0000-0000-00002A060000}"/>
    <cellStyle name="Comma0 11 2 3 6" xfId="1579" xr:uid="{00000000-0005-0000-0000-00002B060000}"/>
    <cellStyle name="Comma0 11 2 3 7" xfId="1580" xr:uid="{00000000-0005-0000-0000-00002C060000}"/>
    <cellStyle name="Comma0 11 2 3 8" xfId="1581" xr:uid="{00000000-0005-0000-0000-00002D060000}"/>
    <cellStyle name="Comma0 11 2 4" xfId="1582" xr:uid="{00000000-0005-0000-0000-00002E060000}"/>
    <cellStyle name="Comma0 11 2 4 2" xfId="1583" xr:uid="{00000000-0005-0000-0000-00002F060000}"/>
    <cellStyle name="Comma0 11 2 4 2 2" xfId="1584" xr:uid="{00000000-0005-0000-0000-000030060000}"/>
    <cellStyle name="Comma0 11 2 4 2 3" xfId="1585" xr:uid="{00000000-0005-0000-0000-000031060000}"/>
    <cellStyle name="Comma0 11 2 4 3" xfId="1586" xr:uid="{00000000-0005-0000-0000-000032060000}"/>
    <cellStyle name="Comma0 11 2 4 3 2" xfId="1587" xr:uid="{00000000-0005-0000-0000-000033060000}"/>
    <cellStyle name="Comma0 11 2 4 3 3" xfId="1588" xr:uid="{00000000-0005-0000-0000-000034060000}"/>
    <cellStyle name="Comma0 11 2 4 4" xfId="1589" xr:uid="{00000000-0005-0000-0000-000035060000}"/>
    <cellStyle name="Comma0 11 2 4 5" xfId="1590" xr:uid="{00000000-0005-0000-0000-000036060000}"/>
    <cellStyle name="Comma0 11 2 4 6" xfId="1591" xr:uid="{00000000-0005-0000-0000-000037060000}"/>
    <cellStyle name="Comma0 11 2 5" xfId="1592" xr:uid="{00000000-0005-0000-0000-000038060000}"/>
    <cellStyle name="Comma0 11 2 5 2" xfId="1593" xr:uid="{00000000-0005-0000-0000-000039060000}"/>
    <cellStyle name="Comma0 11 2 5 3" xfId="1594" xr:uid="{00000000-0005-0000-0000-00003A060000}"/>
    <cellStyle name="Comma0 11 2 6" xfId="1595" xr:uid="{00000000-0005-0000-0000-00003B060000}"/>
    <cellStyle name="Comma0 11 2 6 2" xfId="1596" xr:uid="{00000000-0005-0000-0000-00003C060000}"/>
    <cellStyle name="Comma0 11 2 6 3" xfId="1597" xr:uid="{00000000-0005-0000-0000-00003D060000}"/>
    <cellStyle name="Comma0 11 2 7" xfId="1598" xr:uid="{00000000-0005-0000-0000-00003E060000}"/>
    <cellStyle name="Comma0 11 2 7 2" xfId="1599" xr:uid="{00000000-0005-0000-0000-00003F060000}"/>
    <cellStyle name="Comma0 11 2 7 3" xfId="1600" xr:uid="{00000000-0005-0000-0000-000040060000}"/>
    <cellStyle name="Comma0 11 2 8" xfId="1601" xr:uid="{00000000-0005-0000-0000-000041060000}"/>
    <cellStyle name="Comma0 11 2 9" xfId="1602" xr:uid="{00000000-0005-0000-0000-000042060000}"/>
    <cellStyle name="Comma0 11 3" xfId="1603" xr:uid="{00000000-0005-0000-0000-000043060000}"/>
    <cellStyle name="Comma0 11 3 2" xfId="1604" xr:uid="{00000000-0005-0000-0000-000044060000}"/>
    <cellStyle name="Comma0 11 3 2 2" xfId="1605" xr:uid="{00000000-0005-0000-0000-000045060000}"/>
    <cellStyle name="Comma0 11 3 2 2 2" xfId="1606" xr:uid="{00000000-0005-0000-0000-000046060000}"/>
    <cellStyle name="Comma0 11 3 2 2 3" xfId="1607" xr:uid="{00000000-0005-0000-0000-000047060000}"/>
    <cellStyle name="Comma0 11 3 2 3" xfId="1608" xr:uid="{00000000-0005-0000-0000-000048060000}"/>
    <cellStyle name="Comma0 11 3 2 3 2" xfId="1609" xr:uid="{00000000-0005-0000-0000-000049060000}"/>
    <cellStyle name="Comma0 11 3 2 3 3" xfId="1610" xr:uid="{00000000-0005-0000-0000-00004A060000}"/>
    <cellStyle name="Comma0 11 3 2 4" xfId="1611" xr:uid="{00000000-0005-0000-0000-00004B060000}"/>
    <cellStyle name="Comma0 11 3 2 5" xfId="1612" xr:uid="{00000000-0005-0000-0000-00004C060000}"/>
    <cellStyle name="Comma0 11 3 2 6" xfId="1613" xr:uid="{00000000-0005-0000-0000-00004D060000}"/>
    <cellStyle name="Comma0 11 3 3" xfId="1614" xr:uid="{00000000-0005-0000-0000-00004E060000}"/>
    <cellStyle name="Comma0 11 3 3 2" xfId="1615" xr:uid="{00000000-0005-0000-0000-00004F060000}"/>
    <cellStyle name="Comma0 11 3 3 3" xfId="1616" xr:uid="{00000000-0005-0000-0000-000050060000}"/>
    <cellStyle name="Comma0 11 3 4" xfId="1617" xr:uid="{00000000-0005-0000-0000-000051060000}"/>
    <cellStyle name="Comma0 11 3 4 2" xfId="1618" xr:uid="{00000000-0005-0000-0000-000052060000}"/>
    <cellStyle name="Comma0 11 3 4 3" xfId="1619" xr:uid="{00000000-0005-0000-0000-000053060000}"/>
    <cellStyle name="Comma0 11 3 5" xfId="1620" xr:uid="{00000000-0005-0000-0000-000054060000}"/>
    <cellStyle name="Comma0 11 3 5 2" xfId="1621" xr:uid="{00000000-0005-0000-0000-000055060000}"/>
    <cellStyle name="Comma0 11 3 5 3" xfId="1622" xr:uid="{00000000-0005-0000-0000-000056060000}"/>
    <cellStyle name="Comma0 11 3 6" xfId="1623" xr:uid="{00000000-0005-0000-0000-000057060000}"/>
    <cellStyle name="Comma0 11 3 7" xfId="1624" xr:uid="{00000000-0005-0000-0000-000058060000}"/>
    <cellStyle name="Comma0 11 3 8" xfId="1625" xr:uid="{00000000-0005-0000-0000-000059060000}"/>
    <cellStyle name="Comma0 11 4" xfId="1626" xr:uid="{00000000-0005-0000-0000-00005A060000}"/>
    <cellStyle name="Comma0 11 4 2" xfId="1627" xr:uid="{00000000-0005-0000-0000-00005B060000}"/>
    <cellStyle name="Comma0 11 4 2 2" xfId="1628" xr:uid="{00000000-0005-0000-0000-00005C060000}"/>
    <cellStyle name="Comma0 11 4 2 2 2" xfId="1629" xr:uid="{00000000-0005-0000-0000-00005D060000}"/>
    <cellStyle name="Comma0 11 4 2 2 3" xfId="1630" xr:uid="{00000000-0005-0000-0000-00005E060000}"/>
    <cellStyle name="Comma0 11 4 2 3" xfId="1631" xr:uid="{00000000-0005-0000-0000-00005F060000}"/>
    <cellStyle name="Comma0 11 4 2 3 2" xfId="1632" xr:uid="{00000000-0005-0000-0000-000060060000}"/>
    <cellStyle name="Comma0 11 4 2 3 3" xfId="1633" xr:uid="{00000000-0005-0000-0000-000061060000}"/>
    <cellStyle name="Comma0 11 4 2 4" xfId="1634" xr:uid="{00000000-0005-0000-0000-000062060000}"/>
    <cellStyle name="Comma0 11 4 2 5" xfId="1635" xr:uid="{00000000-0005-0000-0000-000063060000}"/>
    <cellStyle name="Comma0 11 4 2 6" xfId="1636" xr:uid="{00000000-0005-0000-0000-000064060000}"/>
    <cellStyle name="Comma0 11 4 3" xfId="1637" xr:uid="{00000000-0005-0000-0000-000065060000}"/>
    <cellStyle name="Comma0 11 4 3 2" xfId="1638" xr:uid="{00000000-0005-0000-0000-000066060000}"/>
    <cellStyle name="Comma0 11 4 3 3" xfId="1639" xr:uid="{00000000-0005-0000-0000-000067060000}"/>
    <cellStyle name="Comma0 11 4 4" xfId="1640" xr:uid="{00000000-0005-0000-0000-000068060000}"/>
    <cellStyle name="Comma0 11 4 4 2" xfId="1641" xr:uid="{00000000-0005-0000-0000-000069060000}"/>
    <cellStyle name="Comma0 11 4 4 3" xfId="1642" xr:uid="{00000000-0005-0000-0000-00006A060000}"/>
    <cellStyle name="Comma0 11 4 5" xfId="1643" xr:uid="{00000000-0005-0000-0000-00006B060000}"/>
    <cellStyle name="Comma0 11 4 5 2" xfId="1644" xr:uid="{00000000-0005-0000-0000-00006C060000}"/>
    <cellStyle name="Comma0 11 4 5 3" xfId="1645" xr:uid="{00000000-0005-0000-0000-00006D060000}"/>
    <cellStyle name="Comma0 11 4 6" xfId="1646" xr:uid="{00000000-0005-0000-0000-00006E060000}"/>
    <cellStyle name="Comma0 11 4 7" xfId="1647" xr:uid="{00000000-0005-0000-0000-00006F060000}"/>
    <cellStyle name="Comma0 11 4 8" xfId="1648" xr:uid="{00000000-0005-0000-0000-000070060000}"/>
    <cellStyle name="Comma0 11 5" xfId="1649" xr:uid="{00000000-0005-0000-0000-000071060000}"/>
    <cellStyle name="Comma0 11 5 2" xfId="1650" xr:uid="{00000000-0005-0000-0000-000072060000}"/>
    <cellStyle name="Comma0 11 5 2 2" xfId="1651" xr:uid="{00000000-0005-0000-0000-000073060000}"/>
    <cellStyle name="Comma0 11 5 2 2 2" xfId="1652" xr:uid="{00000000-0005-0000-0000-000074060000}"/>
    <cellStyle name="Comma0 11 5 2 2 3" xfId="1653" xr:uid="{00000000-0005-0000-0000-000075060000}"/>
    <cellStyle name="Comma0 11 5 2 3" xfId="1654" xr:uid="{00000000-0005-0000-0000-000076060000}"/>
    <cellStyle name="Comma0 11 5 2 3 2" xfId="1655" xr:uid="{00000000-0005-0000-0000-000077060000}"/>
    <cellStyle name="Comma0 11 5 2 3 3" xfId="1656" xr:uid="{00000000-0005-0000-0000-000078060000}"/>
    <cellStyle name="Comma0 11 5 2 4" xfId="1657" xr:uid="{00000000-0005-0000-0000-000079060000}"/>
    <cellStyle name="Comma0 11 5 2 5" xfId="1658" xr:uid="{00000000-0005-0000-0000-00007A060000}"/>
    <cellStyle name="Comma0 11 5 2 6" xfId="1659" xr:uid="{00000000-0005-0000-0000-00007B060000}"/>
    <cellStyle name="Comma0 11 5 3" xfId="1660" xr:uid="{00000000-0005-0000-0000-00007C060000}"/>
    <cellStyle name="Comma0 11 5 3 2" xfId="1661" xr:uid="{00000000-0005-0000-0000-00007D060000}"/>
    <cellStyle name="Comma0 11 5 3 3" xfId="1662" xr:uid="{00000000-0005-0000-0000-00007E060000}"/>
    <cellStyle name="Comma0 11 5 4" xfId="1663" xr:uid="{00000000-0005-0000-0000-00007F060000}"/>
    <cellStyle name="Comma0 11 5 4 2" xfId="1664" xr:uid="{00000000-0005-0000-0000-000080060000}"/>
    <cellStyle name="Comma0 11 5 4 3" xfId="1665" xr:uid="{00000000-0005-0000-0000-000081060000}"/>
    <cellStyle name="Comma0 11 5 5" xfId="1666" xr:uid="{00000000-0005-0000-0000-000082060000}"/>
    <cellStyle name="Comma0 11 5 5 2" xfId="1667" xr:uid="{00000000-0005-0000-0000-000083060000}"/>
    <cellStyle name="Comma0 11 5 5 3" xfId="1668" xr:uid="{00000000-0005-0000-0000-000084060000}"/>
    <cellStyle name="Comma0 11 5 6" xfId="1669" xr:uid="{00000000-0005-0000-0000-000085060000}"/>
    <cellStyle name="Comma0 11 5 7" xfId="1670" xr:uid="{00000000-0005-0000-0000-000086060000}"/>
    <cellStyle name="Comma0 11 5 8" xfId="1671" xr:uid="{00000000-0005-0000-0000-000087060000}"/>
    <cellStyle name="Comma0 11 6" xfId="1672" xr:uid="{00000000-0005-0000-0000-000088060000}"/>
    <cellStyle name="Comma0 11 6 2" xfId="1673" xr:uid="{00000000-0005-0000-0000-000089060000}"/>
    <cellStyle name="Comma0 11 6 2 2" xfId="1674" xr:uid="{00000000-0005-0000-0000-00008A060000}"/>
    <cellStyle name="Comma0 11 6 2 3" xfId="1675" xr:uid="{00000000-0005-0000-0000-00008B060000}"/>
    <cellStyle name="Comma0 11 6 3" xfId="1676" xr:uid="{00000000-0005-0000-0000-00008C060000}"/>
    <cellStyle name="Comma0 11 6 3 2" xfId="1677" xr:uid="{00000000-0005-0000-0000-00008D060000}"/>
    <cellStyle name="Comma0 11 6 3 3" xfId="1678" xr:uid="{00000000-0005-0000-0000-00008E060000}"/>
    <cellStyle name="Comma0 11 6 4" xfId="1679" xr:uid="{00000000-0005-0000-0000-00008F060000}"/>
    <cellStyle name="Comma0 11 6 5" xfId="1680" xr:uid="{00000000-0005-0000-0000-000090060000}"/>
    <cellStyle name="Comma0 11 6 6" xfId="1681" xr:uid="{00000000-0005-0000-0000-000091060000}"/>
    <cellStyle name="Comma0 11 7" xfId="1682" xr:uid="{00000000-0005-0000-0000-000092060000}"/>
    <cellStyle name="Comma0 11 7 2" xfId="1683" xr:uid="{00000000-0005-0000-0000-000093060000}"/>
    <cellStyle name="Comma0 11 7 3" xfId="1684" xr:uid="{00000000-0005-0000-0000-000094060000}"/>
    <cellStyle name="Comma0 11 8" xfId="1685" xr:uid="{00000000-0005-0000-0000-000095060000}"/>
    <cellStyle name="Comma0 11 8 2" xfId="1686" xr:uid="{00000000-0005-0000-0000-000096060000}"/>
    <cellStyle name="Comma0 11 8 3" xfId="1687" xr:uid="{00000000-0005-0000-0000-000097060000}"/>
    <cellStyle name="Comma0 11 9" xfId="1688" xr:uid="{00000000-0005-0000-0000-000098060000}"/>
    <cellStyle name="Comma0 11 9 2" xfId="1689" xr:uid="{00000000-0005-0000-0000-000099060000}"/>
    <cellStyle name="Comma0 11 9 3" xfId="1690" xr:uid="{00000000-0005-0000-0000-00009A060000}"/>
    <cellStyle name="Comma0 12" xfId="1691" xr:uid="{00000000-0005-0000-0000-00009B060000}"/>
    <cellStyle name="Comma0 12 10" xfId="1692" xr:uid="{00000000-0005-0000-0000-00009C060000}"/>
    <cellStyle name="Comma0 12 2" xfId="1693" xr:uid="{00000000-0005-0000-0000-00009D060000}"/>
    <cellStyle name="Comma0 12 2 2" xfId="1694" xr:uid="{00000000-0005-0000-0000-00009E060000}"/>
    <cellStyle name="Comma0 12 2 2 2" xfId="1695" xr:uid="{00000000-0005-0000-0000-00009F060000}"/>
    <cellStyle name="Comma0 12 2 2 2 2" xfId="1696" xr:uid="{00000000-0005-0000-0000-0000A0060000}"/>
    <cellStyle name="Comma0 12 2 2 2 3" xfId="1697" xr:uid="{00000000-0005-0000-0000-0000A1060000}"/>
    <cellStyle name="Comma0 12 2 2 3" xfId="1698" xr:uid="{00000000-0005-0000-0000-0000A2060000}"/>
    <cellStyle name="Comma0 12 2 2 3 2" xfId="1699" xr:uid="{00000000-0005-0000-0000-0000A3060000}"/>
    <cellStyle name="Comma0 12 2 2 3 3" xfId="1700" xr:uid="{00000000-0005-0000-0000-0000A4060000}"/>
    <cellStyle name="Comma0 12 2 2 4" xfId="1701" xr:uid="{00000000-0005-0000-0000-0000A5060000}"/>
    <cellStyle name="Comma0 12 2 2 5" xfId="1702" xr:uid="{00000000-0005-0000-0000-0000A6060000}"/>
    <cellStyle name="Comma0 12 2 2 6" xfId="1703" xr:uid="{00000000-0005-0000-0000-0000A7060000}"/>
    <cellStyle name="Comma0 12 2 3" xfId="1704" xr:uid="{00000000-0005-0000-0000-0000A8060000}"/>
    <cellStyle name="Comma0 12 2 3 2" xfId="1705" xr:uid="{00000000-0005-0000-0000-0000A9060000}"/>
    <cellStyle name="Comma0 12 2 3 3" xfId="1706" xr:uid="{00000000-0005-0000-0000-0000AA060000}"/>
    <cellStyle name="Comma0 12 2 4" xfId="1707" xr:uid="{00000000-0005-0000-0000-0000AB060000}"/>
    <cellStyle name="Comma0 12 2 4 2" xfId="1708" xr:uid="{00000000-0005-0000-0000-0000AC060000}"/>
    <cellStyle name="Comma0 12 2 4 3" xfId="1709" xr:uid="{00000000-0005-0000-0000-0000AD060000}"/>
    <cellStyle name="Comma0 12 2 5" xfId="1710" xr:uid="{00000000-0005-0000-0000-0000AE060000}"/>
    <cellStyle name="Comma0 12 2 5 2" xfId="1711" xr:uid="{00000000-0005-0000-0000-0000AF060000}"/>
    <cellStyle name="Comma0 12 2 5 3" xfId="1712" xr:uid="{00000000-0005-0000-0000-0000B0060000}"/>
    <cellStyle name="Comma0 12 2 6" xfId="1713" xr:uid="{00000000-0005-0000-0000-0000B1060000}"/>
    <cellStyle name="Comma0 12 2 7" xfId="1714" xr:uid="{00000000-0005-0000-0000-0000B2060000}"/>
    <cellStyle name="Comma0 12 2 8" xfId="1715" xr:uid="{00000000-0005-0000-0000-0000B3060000}"/>
    <cellStyle name="Comma0 12 3" xfId="1716" xr:uid="{00000000-0005-0000-0000-0000B4060000}"/>
    <cellStyle name="Comma0 12 3 2" xfId="1717" xr:uid="{00000000-0005-0000-0000-0000B5060000}"/>
    <cellStyle name="Comma0 12 3 2 2" xfId="1718" xr:uid="{00000000-0005-0000-0000-0000B6060000}"/>
    <cellStyle name="Comma0 12 3 2 2 2" xfId="1719" xr:uid="{00000000-0005-0000-0000-0000B7060000}"/>
    <cellStyle name="Comma0 12 3 2 2 3" xfId="1720" xr:uid="{00000000-0005-0000-0000-0000B8060000}"/>
    <cellStyle name="Comma0 12 3 2 3" xfId="1721" xr:uid="{00000000-0005-0000-0000-0000B9060000}"/>
    <cellStyle name="Comma0 12 3 2 3 2" xfId="1722" xr:uid="{00000000-0005-0000-0000-0000BA060000}"/>
    <cellStyle name="Comma0 12 3 2 3 3" xfId="1723" xr:uid="{00000000-0005-0000-0000-0000BB060000}"/>
    <cellStyle name="Comma0 12 3 2 4" xfId="1724" xr:uid="{00000000-0005-0000-0000-0000BC060000}"/>
    <cellStyle name="Comma0 12 3 2 5" xfId="1725" xr:uid="{00000000-0005-0000-0000-0000BD060000}"/>
    <cellStyle name="Comma0 12 3 2 6" xfId="1726" xr:uid="{00000000-0005-0000-0000-0000BE060000}"/>
    <cellStyle name="Comma0 12 3 3" xfId="1727" xr:uid="{00000000-0005-0000-0000-0000BF060000}"/>
    <cellStyle name="Comma0 12 3 3 2" xfId="1728" xr:uid="{00000000-0005-0000-0000-0000C0060000}"/>
    <cellStyle name="Comma0 12 3 3 3" xfId="1729" xr:uid="{00000000-0005-0000-0000-0000C1060000}"/>
    <cellStyle name="Comma0 12 3 4" xfId="1730" xr:uid="{00000000-0005-0000-0000-0000C2060000}"/>
    <cellStyle name="Comma0 12 3 4 2" xfId="1731" xr:uid="{00000000-0005-0000-0000-0000C3060000}"/>
    <cellStyle name="Comma0 12 3 4 3" xfId="1732" xr:uid="{00000000-0005-0000-0000-0000C4060000}"/>
    <cellStyle name="Comma0 12 3 5" xfId="1733" xr:uid="{00000000-0005-0000-0000-0000C5060000}"/>
    <cellStyle name="Comma0 12 3 5 2" xfId="1734" xr:uid="{00000000-0005-0000-0000-0000C6060000}"/>
    <cellStyle name="Comma0 12 3 5 3" xfId="1735" xr:uid="{00000000-0005-0000-0000-0000C7060000}"/>
    <cellStyle name="Comma0 12 3 6" xfId="1736" xr:uid="{00000000-0005-0000-0000-0000C8060000}"/>
    <cellStyle name="Comma0 12 3 7" xfId="1737" xr:uid="{00000000-0005-0000-0000-0000C9060000}"/>
    <cellStyle name="Comma0 12 3 8" xfId="1738" xr:uid="{00000000-0005-0000-0000-0000CA060000}"/>
    <cellStyle name="Comma0 12 4" xfId="1739" xr:uid="{00000000-0005-0000-0000-0000CB060000}"/>
    <cellStyle name="Comma0 12 4 2" xfId="1740" xr:uid="{00000000-0005-0000-0000-0000CC060000}"/>
    <cellStyle name="Comma0 12 4 2 2" xfId="1741" xr:uid="{00000000-0005-0000-0000-0000CD060000}"/>
    <cellStyle name="Comma0 12 4 2 3" xfId="1742" xr:uid="{00000000-0005-0000-0000-0000CE060000}"/>
    <cellStyle name="Comma0 12 4 3" xfId="1743" xr:uid="{00000000-0005-0000-0000-0000CF060000}"/>
    <cellStyle name="Comma0 12 4 3 2" xfId="1744" xr:uid="{00000000-0005-0000-0000-0000D0060000}"/>
    <cellStyle name="Comma0 12 4 3 3" xfId="1745" xr:uid="{00000000-0005-0000-0000-0000D1060000}"/>
    <cellStyle name="Comma0 12 4 4" xfId="1746" xr:uid="{00000000-0005-0000-0000-0000D2060000}"/>
    <cellStyle name="Comma0 12 4 5" xfId="1747" xr:uid="{00000000-0005-0000-0000-0000D3060000}"/>
    <cellStyle name="Comma0 12 4 6" xfId="1748" xr:uid="{00000000-0005-0000-0000-0000D4060000}"/>
    <cellStyle name="Comma0 12 5" xfId="1749" xr:uid="{00000000-0005-0000-0000-0000D5060000}"/>
    <cellStyle name="Comma0 12 5 2" xfId="1750" xr:uid="{00000000-0005-0000-0000-0000D6060000}"/>
    <cellStyle name="Comma0 12 5 3" xfId="1751" xr:uid="{00000000-0005-0000-0000-0000D7060000}"/>
    <cellStyle name="Comma0 12 6" xfId="1752" xr:uid="{00000000-0005-0000-0000-0000D8060000}"/>
    <cellStyle name="Comma0 12 6 2" xfId="1753" xr:uid="{00000000-0005-0000-0000-0000D9060000}"/>
    <cellStyle name="Comma0 12 6 3" xfId="1754" xr:uid="{00000000-0005-0000-0000-0000DA060000}"/>
    <cellStyle name="Comma0 12 7" xfId="1755" xr:uid="{00000000-0005-0000-0000-0000DB060000}"/>
    <cellStyle name="Comma0 12 7 2" xfId="1756" xr:uid="{00000000-0005-0000-0000-0000DC060000}"/>
    <cellStyle name="Comma0 12 7 3" xfId="1757" xr:uid="{00000000-0005-0000-0000-0000DD060000}"/>
    <cellStyle name="Comma0 12 8" xfId="1758" xr:uid="{00000000-0005-0000-0000-0000DE060000}"/>
    <cellStyle name="Comma0 12 9" xfId="1759" xr:uid="{00000000-0005-0000-0000-0000DF060000}"/>
    <cellStyle name="Comma0 13" xfId="1760" xr:uid="{00000000-0005-0000-0000-0000E0060000}"/>
    <cellStyle name="Comma0 13 2" xfId="1761" xr:uid="{00000000-0005-0000-0000-0000E1060000}"/>
    <cellStyle name="Comma0 13 2 2" xfId="1762" xr:uid="{00000000-0005-0000-0000-0000E2060000}"/>
    <cellStyle name="Comma0 13 2 2 2" xfId="1763" xr:uid="{00000000-0005-0000-0000-0000E3060000}"/>
    <cellStyle name="Comma0 13 2 2 3" xfId="1764" xr:uid="{00000000-0005-0000-0000-0000E4060000}"/>
    <cellStyle name="Comma0 13 2 3" xfId="1765" xr:uid="{00000000-0005-0000-0000-0000E5060000}"/>
    <cellStyle name="Comma0 13 2 3 2" xfId="1766" xr:uid="{00000000-0005-0000-0000-0000E6060000}"/>
    <cellStyle name="Comma0 13 2 3 3" xfId="1767" xr:uid="{00000000-0005-0000-0000-0000E7060000}"/>
    <cellStyle name="Comma0 13 2 4" xfId="1768" xr:uid="{00000000-0005-0000-0000-0000E8060000}"/>
    <cellStyle name="Comma0 13 2 5" xfId="1769" xr:uid="{00000000-0005-0000-0000-0000E9060000}"/>
    <cellStyle name="Comma0 13 2 6" xfId="1770" xr:uid="{00000000-0005-0000-0000-0000EA060000}"/>
    <cellStyle name="Comma0 13 3" xfId="1771" xr:uid="{00000000-0005-0000-0000-0000EB060000}"/>
    <cellStyle name="Comma0 13 3 2" xfId="1772" xr:uid="{00000000-0005-0000-0000-0000EC060000}"/>
    <cellStyle name="Comma0 13 3 3" xfId="1773" xr:uid="{00000000-0005-0000-0000-0000ED060000}"/>
    <cellStyle name="Comma0 13 4" xfId="1774" xr:uid="{00000000-0005-0000-0000-0000EE060000}"/>
    <cellStyle name="Comma0 13 4 2" xfId="1775" xr:uid="{00000000-0005-0000-0000-0000EF060000}"/>
    <cellStyle name="Comma0 13 4 3" xfId="1776" xr:uid="{00000000-0005-0000-0000-0000F0060000}"/>
    <cellStyle name="Comma0 13 5" xfId="1777" xr:uid="{00000000-0005-0000-0000-0000F1060000}"/>
    <cellStyle name="Comma0 13 5 2" xfId="1778" xr:uid="{00000000-0005-0000-0000-0000F2060000}"/>
    <cellStyle name="Comma0 13 5 3" xfId="1779" xr:uid="{00000000-0005-0000-0000-0000F3060000}"/>
    <cellStyle name="Comma0 13 6" xfId="1780" xr:uid="{00000000-0005-0000-0000-0000F4060000}"/>
    <cellStyle name="Comma0 13 7" xfId="1781" xr:uid="{00000000-0005-0000-0000-0000F5060000}"/>
    <cellStyle name="Comma0 13 8" xfId="1782" xr:uid="{00000000-0005-0000-0000-0000F6060000}"/>
    <cellStyle name="Comma0 14" xfId="1783" xr:uid="{00000000-0005-0000-0000-0000F7060000}"/>
    <cellStyle name="Comma0 14 2" xfId="1784" xr:uid="{00000000-0005-0000-0000-0000F8060000}"/>
    <cellStyle name="Comma0 14 2 2" xfId="1785" xr:uid="{00000000-0005-0000-0000-0000F9060000}"/>
    <cellStyle name="Comma0 14 2 2 2" xfId="1786" xr:uid="{00000000-0005-0000-0000-0000FA060000}"/>
    <cellStyle name="Comma0 14 2 2 3" xfId="1787" xr:uid="{00000000-0005-0000-0000-0000FB060000}"/>
    <cellStyle name="Comma0 14 2 3" xfId="1788" xr:uid="{00000000-0005-0000-0000-0000FC060000}"/>
    <cellStyle name="Comma0 14 2 3 2" xfId="1789" xr:uid="{00000000-0005-0000-0000-0000FD060000}"/>
    <cellStyle name="Comma0 14 2 3 3" xfId="1790" xr:uid="{00000000-0005-0000-0000-0000FE060000}"/>
    <cellStyle name="Comma0 14 2 4" xfId="1791" xr:uid="{00000000-0005-0000-0000-0000FF060000}"/>
    <cellStyle name="Comma0 14 2 5" xfId="1792" xr:uid="{00000000-0005-0000-0000-000000070000}"/>
    <cellStyle name="Comma0 14 2 6" xfId="1793" xr:uid="{00000000-0005-0000-0000-000001070000}"/>
    <cellStyle name="Comma0 14 3" xfId="1794" xr:uid="{00000000-0005-0000-0000-000002070000}"/>
    <cellStyle name="Comma0 14 3 2" xfId="1795" xr:uid="{00000000-0005-0000-0000-000003070000}"/>
    <cellStyle name="Comma0 14 3 3" xfId="1796" xr:uid="{00000000-0005-0000-0000-000004070000}"/>
    <cellStyle name="Comma0 14 4" xfId="1797" xr:uid="{00000000-0005-0000-0000-000005070000}"/>
    <cellStyle name="Comma0 14 4 2" xfId="1798" xr:uid="{00000000-0005-0000-0000-000006070000}"/>
    <cellStyle name="Comma0 14 4 3" xfId="1799" xr:uid="{00000000-0005-0000-0000-000007070000}"/>
    <cellStyle name="Comma0 14 5" xfId="1800" xr:uid="{00000000-0005-0000-0000-000008070000}"/>
    <cellStyle name="Comma0 14 5 2" xfId="1801" xr:uid="{00000000-0005-0000-0000-000009070000}"/>
    <cellStyle name="Comma0 14 5 3" xfId="1802" xr:uid="{00000000-0005-0000-0000-00000A070000}"/>
    <cellStyle name="Comma0 14 6" xfId="1803" xr:uid="{00000000-0005-0000-0000-00000B070000}"/>
    <cellStyle name="Comma0 14 7" xfId="1804" xr:uid="{00000000-0005-0000-0000-00000C070000}"/>
    <cellStyle name="Comma0 14 8" xfId="1805" xr:uid="{00000000-0005-0000-0000-00000D070000}"/>
    <cellStyle name="Comma0 15" xfId="1806" xr:uid="{00000000-0005-0000-0000-00000E070000}"/>
    <cellStyle name="Comma0 15 2" xfId="1807" xr:uid="{00000000-0005-0000-0000-00000F070000}"/>
    <cellStyle name="Comma0 15 2 2" xfId="1808" xr:uid="{00000000-0005-0000-0000-000010070000}"/>
    <cellStyle name="Comma0 15 2 2 2" xfId="1809" xr:uid="{00000000-0005-0000-0000-000011070000}"/>
    <cellStyle name="Comma0 15 2 2 3" xfId="1810" xr:uid="{00000000-0005-0000-0000-000012070000}"/>
    <cellStyle name="Comma0 15 2 3" xfId="1811" xr:uid="{00000000-0005-0000-0000-000013070000}"/>
    <cellStyle name="Comma0 15 2 3 2" xfId="1812" xr:uid="{00000000-0005-0000-0000-000014070000}"/>
    <cellStyle name="Comma0 15 2 3 3" xfId="1813" xr:uid="{00000000-0005-0000-0000-000015070000}"/>
    <cellStyle name="Comma0 15 2 4" xfId="1814" xr:uid="{00000000-0005-0000-0000-000016070000}"/>
    <cellStyle name="Comma0 15 2 5" xfId="1815" xr:uid="{00000000-0005-0000-0000-000017070000}"/>
    <cellStyle name="Comma0 15 2 6" xfId="1816" xr:uid="{00000000-0005-0000-0000-000018070000}"/>
    <cellStyle name="Comma0 15 3" xfId="1817" xr:uid="{00000000-0005-0000-0000-000019070000}"/>
    <cellStyle name="Comma0 15 3 2" xfId="1818" xr:uid="{00000000-0005-0000-0000-00001A070000}"/>
    <cellStyle name="Comma0 15 3 3" xfId="1819" xr:uid="{00000000-0005-0000-0000-00001B070000}"/>
    <cellStyle name="Comma0 15 4" xfId="1820" xr:uid="{00000000-0005-0000-0000-00001C070000}"/>
    <cellStyle name="Comma0 15 4 2" xfId="1821" xr:uid="{00000000-0005-0000-0000-00001D070000}"/>
    <cellStyle name="Comma0 15 4 3" xfId="1822" xr:uid="{00000000-0005-0000-0000-00001E070000}"/>
    <cellStyle name="Comma0 15 5" xfId="1823" xr:uid="{00000000-0005-0000-0000-00001F070000}"/>
    <cellStyle name="Comma0 15 5 2" xfId="1824" xr:uid="{00000000-0005-0000-0000-000020070000}"/>
    <cellStyle name="Comma0 15 5 3" xfId="1825" xr:uid="{00000000-0005-0000-0000-000021070000}"/>
    <cellStyle name="Comma0 15 6" xfId="1826" xr:uid="{00000000-0005-0000-0000-000022070000}"/>
    <cellStyle name="Comma0 15 7" xfId="1827" xr:uid="{00000000-0005-0000-0000-000023070000}"/>
    <cellStyle name="Comma0 15 8" xfId="1828" xr:uid="{00000000-0005-0000-0000-000024070000}"/>
    <cellStyle name="Comma0 16" xfId="1829" xr:uid="{00000000-0005-0000-0000-000025070000}"/>
    <cellStyle name="Comma0 16 2" xfId="1830" xr:uid="{00000000-0005-0000-0000-000026070000}"/>
    <cellStyle name="Comma0 16 2 2" xfId="1831" xr:uid="{00000000-0005-0000-0000-000027070000}"/>
    <cellStyle name="Comma0 16 2 3" xfId="1832" xr:uid="{00000000-0005-0000-0000-000028070000}"/>
    <cellStyle name="Comma0 16 3" xfId="1833" xr:uid="{00000000-0005-0000-0000-000029070000}"/>
    <cellStyle name="Comma0 16 3 2" xfId="1834" xr:uid="{00000000-0005-0000-0000-00002A070000}"/>
    <cellStyle name="Comma0 16 3 3" xfId="1835" xr:uid="{00000000-0005-0000-0000-00002B070000}"/>
    <cellStyle name="Comma0 16 4" xfId="1836" xr:uid="{00000000-0005-0000-0000-00002C070000}"/>
    <cellStyle name="Comma0 16 5" xfId="1837" xr:uid="{00000000-0005-0000-0000-00002D070000}"/>
    <cellStyle name="Comma0 16 6" xfId="1838" xr:uid="{00000000-0005-0000-0000-00002E070000}"/>
    <cellStyle name="Comma0 17" xfId="1839" xr:uid="{00000000-0005-0000-0000-00002F070000}"/>
    <cellStyle name="Comma0 17 2" xfId="1840" xr:uid="{00000000-0005-0000-0000-000030070000}"/>
    <cellStyle name="Comma0 17 3" xfId="1841" xr:uid="{00000000-0005-0000-0000-000031070000}"/>
    <cellStyle name="Comma0 18" xfId="1842" xr:uid="{00000000-0005-0000-0000-000032070000}"/>
    <cellStyle name="Comma0 18 2" xfId="1843" xr:uid="{00000000-0005-0000-0000-000033070000}"/>
    <cellStyle name="Comma0 18 3" xfId="1844" xr:uid="{00000000-0005-0000-0000-000034070000}"/>
    <cellStyle name="Comma0 19" xfId="1845" xr:uid="{00000000-0005-0000-0000-000035070000}"/>
    <cellStyle name="Comma0 19 2" xfId="1846" xr:uid="{00000000-0005-0000-0000-000036070000}"/>
    <cellStyle name="Comma0 19 3" xfId="1847" xr:uid="{00000000-0005-0000-0000-000037070000}"/>
    <cellStyle name="Comma0 2" xfId="1848" xr:uid="{00000000-0005-0000-0000-000038070000}"/>
    <cellStyle name="Comma0 2 10" xfId="1849" xr:uid="{00000000-0005-0000-0000-000039070000}"/>
    <cellStyle name="Comma0 2 11" xfId="1850" xr:uid="{00000000-0005-0000-0000-00003A070000}"/>
    <cellStyle name="Comma0 2 12" xfId="1851" xr:uid="{00000000-0005-0000-0000-00003B070000}"/>
    <cellStyle name="Comma0 2 2" xfId="1852" xr:uid="{00000000-0005-0000-0000-00003C070000}"/>
    <cellStyle name="Comma0 2 2 10" xfId="1853" xr:uid="{00000000-0005-0000-0000-00003D070000}"/>
    <cellStyle name="Comma0 2 2 2" xfId="1854" xr:uid="{00000000-0005-0000-0000-00003E070000}"/>
    <cellStyle name="Comma0 2 2 2 2" xfId="1855" xr:uid="{00000000-0005-0000-0000-00003F070000}"/>
    <cellStyle name="Comma0 2 2 2 2 2" xfId="1856" xr:uid="{00000000-0005-0000-0000-000040070000}"/>
    <cellStyle name="Comma0 2 2 2 2 2 2" xfId="1857" xr:uid="{00000000-0005-0000-0000-000041070000}"/>
    <cellStyle name="Comma0 2 2 2 2 2 3" xfId="1858" xr:uid="{00000000-0005-0000-0000-000042070000}"/>
    <cellStyle name="Comma0 2 2 2 2 3" xfId="1859" xr:uid="{00000000-0005-0000-0000-000043070000}"/>
    <cellStyle name="Comma0 2 2 2 2 3 2" xfId="1860" xr:uid="{00000000-0005-0000-0000-000044070000}"/>
    <cellStyle name="Comma0 2 2 2 2 3 3" xfId="1861" xr:uid="{00000000-0005-0000-0000-000045070000}"/>
    <cellStyle name="Comma0 2 2 2 2 4" xfId="1862" xr:uid="{00000000-0005-0000-0000-000046070000}"/>
    <cellStyle name="Comma0 2 2 2 2 5" xfId="1863" xr:uid="{00000000-0005-0000-0000-000047070000}"/>
    <cellStyle name="Comma0 2 2 2 2 6" xfId="1864" xr:uid="{00000000-0005-0000-0000-000048070000}"/>
    <cellStyle name="Comma0 2 2 2 3" xfId="1865" xr:uid="{00000000-0005-0000-0000-000049070000}"/>
    <cellStyle name="Comma0 2 2 2 3 2" xfId="1866" xr:uid="{00000000-0005-0000-0000-00004A070000}"/>
    <cellStyle name="Comma0 2 2 2 3 3" xfId="1867" xr:uid="{00000000-0005-0000-0000-00004B070000}"/>
    <cellStyle name="Comma0 2 2 2 4" xfId="1868" xr:uid="{00000000-0005-0000-0000-00004C070000}"/>
    <cellStyle name="Comma0 2 2 2 4 2" xfId="1869" xr:uid="{00000000-0005-0000-0000-00004D070000}"/>
    <cellStyle name="Comma0 2 2 2 4 3" xfId="1870" xr:uid="{00000000-0005-0000-0000-00004E070000}"/>
    <cellStyle name="Comma0 2 2 2 5" xfId="1871" xr:uid="{00000000-0005-0000-0000-00004F070000}"/>
    <cellStyle name="Comma0 2 2 2 5 2" xfId="1872" xr:uid="{00000000-0005-0000-0000-000050070000}"/>
    <cellStyle name="Comma0 2 2 2 5 3" xfId="1873" xr:uid="{00000000-0005-0000-0000-000051070000}"/>
    <cellStyle name="Comma0 2 2 2 6" xfId="1874" xr:uid="{00000000-0005-0000-0000-000052070000}"/>
    <cellStyle name="Comma0 2 2 2 7" xfId="1875" xr:uid="{00000000-0005-0000-0000-000053070000}"/>
    <cellStyle name="Comma0 2 2 2 8" xfId="1876" xr:uid="{00000000-0005-0000-0000-000054070000}"/>
    <cellStyle name="Comma0 2 2 3" xfId="1877" xr:uid="{00000000-0005-0000-0000-000055070000}"/>
    <cellStyle name="Comma0 2 2 3 2" xfId="1878" xr:uid="{00000000-0005-0000-0000-000056070000}"/>
    <cellStyle name="Comma0 2 2 3 2 2" xfId="1879" xr:uid="{00000000-0005-0000-0000-000057070000}"/>
    <cellStyle name="Comma0 2 2 3 2 2 2" xfId="1880" xr:uid="{00000000-0005-0000-0000-000058070000}"/>
    <cellStyle name="Comma0 2 2 3 2 2 3" xfId="1881" xr:uid="{00000000-0005-0000-0000-000059070000}"/>
    <cellStyle name="Comma0 2 2 3 2 3" xfId="1882" xr:uid="{00000000-0005-0000-0000-00005A070000}"/>
    <cellStyle name="Comma0 2 2 3 2 3 2" xfId="1883" xr:uid="{00000000-0005-0000-0000-00005B070000}"/>
    <cellStyle name="Comma0 2 2 3 2 3 3" xfId="1884" xr:uid="{00000000-0005-0000-0000-00005C070000}"/>
    <cellStyle name="Comma0 2 2 3 2 4" xfId="1885" xr:uid="{00000000-0005-0000-0000-00005D070000}"/>
    <cellStyle name="Comma0 2 2 3 2 5" xfId="1886" xr:uid="{00000000-0005-0000-0000-00005E070000}"/>
    <cellStyle name="Comma0 2 2 3 2 6" xfId="1887" xr:uid="{00000000-0005-0000-0000-00005F070000}"/>
    <cellStyle name="Comma0 2 2 3 3" xfId="1888" xr:uid="{00000000-0005-0000-0000-000060070000}"/>
    <cellStyle name="Comma0 2 2 3 3 2" xfId="1889" xr:uid="{00000000-0005-0000-0000-000061070000}"/>
    <cellStyle name="Comma0 2 2 3 3 3" xfId="1890" xr:uid="{00000000-0005-0000-0000-000062070000}"/>
    <cellStyle name="Comma0 2 2 3 4" xfId="1891" xr:uid="{00000000-0005-0000-0000-000063070000}"/>
    <cellStyle name="Comma0 2 2 3 4 2" xfId="1892" xr:uid="{00000000-0005-0000-0000-000064070000}"/>
    <cellStyle name="Comma0 2 2 3 4 3" xfId="1893" xr:uid="{00000000-0005-0000-0000-000065070000}"/>
    <cellStyle name="Comma0 2 2 3 5" xfId="1894" xr:uid="{00000000-0005-0000-0000-000066070000}"/>
    <cellStyle name="Comma0 2 2 3 5 2" xfId="1895" xr:uid="{00000000-0005-0000-0000-000067070000}"/>
    <cellStyle name="Comma0 2 2 3 5 3" xfId="1896" xr:uid="{00000000-0005-0000-0000-000068070000}"/>
    <cellStyle name="Comma0 2 2 3 6" xfId="1897" xr:uid="{00000000-0005-0000-0000-000069070000}"/>
    <cellStyle name="Comma0 2 2 3 7" xfId="1898" xr:uid="{00000000-0005-0000-0000-00006A070000}"/>
    <cellStyle name="Comma0 2 2 3 8" xfId="1899" xr:uid="{00000000-0005-0000-0000-00006B070000}"/>
    <cellStyle name="Comma0 2 2 4" xfId="1900" xr:uid="{00000000-0005-0000-0000-00006C070000}"/>
    <cellStyle name="Comma0 2 2 4 2" xfId="1901" xr:uid="{00000000-0005-0000-0000-00006D070000}"/>
    <cellStyle name="Comma0 2 2 4 2 2" xfId="1902" xr:uid="{00000000-0005-0000-0000-00006E070000}"/>
    <cellStyle name="Comma0 2 2 4 2 3" xfId="1903" xr:uid="{00000000-0005-0000-0000-00006F070000}"/>
    <cellStyle name="Comma0 2 2 4 3" xfId="1904" xr:uid="{00000000-0005-0000-0000-000070070000}"/>
    <cellStyle name="Comma0 2 2 4 3 2" xfId="1905" xr:uid="{00000000-0005-0000-0000-000071070000}"/>
    <cellStyle name="Comma0 2 2 4 3 3" xfId="1906" xr:uid="{00000000-0005-0000-0000-000072070000}"/>
    <cellStyle name="Comma0 2 2 4 4" xfId="1907" xr:uid="{00000000-0005-0000-0000-000073070000}"/>
    <cellStyle name="Comma0 2 2 4 5" xfId="1908" xr:uid="{00000000-0005-0000-0000-000074070000}"/>
    <cellStyle name="Comma0 2 2 4 6" xfId="1909" xr:uid="{00000000-0005-0000-0000-000075070000}"/>
    <cellStyle name="Comma0 2 2 5" xfId="1910" xr:uid="{00000000-0005-0000-0000-000076070000}"/>
    <cellStyle name="Comma0 2 2 5 2" xfId="1911" xr:uid="{00000000-0005-0000-0000-000077070000}"/>
    <cellStyle name="Comma0 2 2 5 3" xfId="1912" xr:uid="{00000000-0005-0000-0000-000078070000}"/>
    <cellStyle name="Comma0 2 2 6" xfId="1913" xr:uid="{00000000-0005-0000-0000-000079070000}"/>
    <cellStyle name="Comma0 2 2 6 2" xfId="1914" xr:uid="{00000000-0005-0000-0000-00007A070000}"/>
    <cellStyle name="Comma0 2 2 6 3" xfId="1915" xr:uid="{00000000-0005-0000-0000-00007B070000}"/>
    <cellStyle name="Comma0 2 2 7" xfId="1916" xr:uid="{00000000-0005-0000-0000-00007C070000}"/>
    <cellStyle name="Comma0 2 2 7 2" xfId="1917" xr:uid="{00000000-0005-0000-0000-00007D070000}"/>
    <cellStyle name="Comma0 2 2 7 3" xfId="1918" xr:uid="{00000000-0005-0000-0000-00007E070000}"/>
    <cellStyle name="Comma0 2 2 8" xfId="1919" xr:uid="{00000000-0005-0000-0000-00007F070000}"/>
    <cellStyle name="Comma0 2 2 9" xfId="1920" xr:uid="{00000000-0005-0000-0000-000080070000}"/>
    <cellStyle name="Comma0 2 3" xfId="1921" xr:uid="{00000000-0005-0000-0000-000081070000}"/>
    <cellStyle name="Comma0 2 3 2" xfId="1922" xr:uid="{00000000-0005-0000-0000-000082070000}"/>
    <cellStyle name="Comma0 2 3 2 2" xfId="1923" xr:uid="{00000000-0005-0000-0000-000083070000}"/>
    <cellStyle name="Comma0 2 3 2 2 2" xfId="1924" xr:uid="{00000000-0005-0000-0000-000084070000}"/>
    <cellStyle name="Comma0 2 3 2 2 3" xfId="1925" xr:uid="{00000000-0005-0000-0000-000085070000}"/>
    <cellStyle name="Comma0 2 3 2 3" xfId="1926" xr:uid="{00000000-0005-0000-0000-000086070000}"/>
    <cellStyle name="Comma0 2 3 2 3 2" xfId="1927" xr:uid="{00000000-0005-0000-0000-000087070000}"/>
    <cellStyle name="Comma0 2 3 2 3 3" xfId="1928" xr:uid="{00000000-0005-0000-0000-000088070000}"/>
    <cellStyle name="Comma0 2 3 2 4" xfId="1929" xr:uid="{00000000-0005-0000-0000-000089070000}"/>
    <cellStyle name="Comma0 2 3 2 5" xfId="1930" xr:uid="{00000000-0005-0000-0000-00008A070000}"/>
    <cellStyle name="Comma0 2 3 2 6" xfId="1931" xr:uid="{00000000-0005-0000-0000-00008B070000}"/>
    <cellStyle name="Comma0 2 3 3" xfId="1932" xr:uid="{00000000-0005-0000-0000-00008C070000}"/>
    <cellStyle name="Comma0 2 3 3 2" xfId="1933" xr:uid="{00000000-0005-0000-0000-00008D070000}"/>
    <cellStyle name="Comma0 2 3 3 3" xfId="1934" xr:uid="{00000000-0005-0000-0000-00008E070000}"/>
    <cellStyle name="Comma0 2 3 4" xfId="1935" xr:uid="{00000000-0005-0000-0000-00008F070000}"/>
    <cellStyle name="Comma0 2 3 4 2" xfId="1936" xr:uid="{00000000-0005-0000-0000-000090070000}"/>
    <cellStyle name="Comma0 2 3 4 3" xfId="1937" xr:uid="{00000000-0005-0000-0000-000091070000}"/>
    <cellStyle name="Comma0 2 3 5" xfId="1938" xr:uid="{00000000-0005-0000-0000-000092070000}"/>
    <cellStyle name="Comma0 2 3 5 2" xfId="1939" xr:uid="{00000000-0005-0000-0000-000093070000}"/>
    <cellStyle name="Comma0 2 3 5 3" xfId="1940" xr:uid="{00000000-0005-0000-0000-000094070000}"/>
    <cellStyle name="Comma0 2 3 6" xfId="1941" xr:uid="{00000000-0005-0000-0000-000095070000}"/>
    <cellStyle name="Comma0 2 3 7" xfId="1942" xr:uid="{00000000-0005-0000-0000-000096070000}"/>
    <cellStyle name="Comma0 2 3 8" xfId="1943" xr:uid="{00000000-0005-0000-0000-000097070000}"/>
    <cellStyle name="Comma0 2 4" xfId="1944" xr:uid="{00000000-0005-0000-0000-000098070000}"/>
    <cellStyle name="Comma0 2 4 2" xfId="1945" xr:uid="{00000000-0005-0000-0000-000099070000}"/>
    <cellStyle name="Comma0 2 4 2 2" xfId="1946" xr:uid="{00000000-0005-0000-0000-00009A070000}"/>
    <cellStyle name="Comma0 2 4 2 2 2" xfId="1947" xr:uid="{00000000-0005-0000-0000-00009B070000}"/>
    <cellStyle name="Comma0 2 4 2 2 3" xfId="1948" xr:uid="{00000000-0005-0000-0000-00009C070000}"/>
    <cellStyle name="Comma0 2 4 2 3" xfId="1949" xr:uid="{00000000-0005-0000-0000-00009D070000}"/>
    <cellStyle name="Comma0 2 4 2 3 2" xfId="1950" xr:uid="{00000000-0005-0000-0000-00009E070000}"/>
    <cellStyle name="Comma0 2 4 2 3 3" xfId="1951" xr:uid="{00000000-0005-0000-0000-00009F070000}"/>
    <cellStyle name="Comma0 2 4 2 4" xfId="1952" xr:uid="{00000000-0005-0000-0000-0000A0070000}"/>
    <cellStyle name="Comma0 2 4 2 5" xfId="1953" xr:uid="{00000000-0005-0000-0000-0000A1070000}"/>
    <cellStyle name="Comma0 2 4 2 6" xfId="1954" xr:uid="{00000000-0005-0000-0000-0000A2070000}"/>
    <cellStyle name="Comma0 2 4 3" xfId="1955" xr:uid="{00000000-0005-0000-0000-0000A3070000}"/>
    <cellStyle name="Comma0 2 4 3 2" xfId="1956" xr:uid="{00000000-0005-0000-0000-0000A4070000}"/>
    <cellStyle name="Comma0 2 4 3 3" xfId="1957" xr:uid="{00000000-0005-0000-0000-0000A5070000}"/>
    <cellStyle name="Comma0 2 4 4" xfId="1958" xr:uid="{00000000-0005-0000-0000-0000A6070000}"/>
    <cellStyle name="Comma0 2 4 4 2" xfId="1959" xr:uid="{00000000-0005-0000-0000-0000A7070000}"/>
    <cellStyle name="Comma0 2 4 4 3" xfId="1960" xr:uid="{00000000-0005-0000-0000-0000A8070000}"/>
    <cellStyle name="Comma0 2 4 5" xfId="1961" xr:uid="{00000000-0005-0000-0000-0000A9070000}"/>
    <cellStyle name="Comma0 2 4 5 2" xfId="1962" xr:uid="{00000000-0005-0000-0000-0000AA070000}"/>
    <cellStyle name="Comma0 2 4 5 3" xfId="1963" xr:uid="{00000000-0005-0000-0000-0000AB070000}"/>
    <cellStyle name="Comma0 2 4 6" xfId="1964" xr:uid="{00000000-0005-0000-0000-0000AC070000}"/>
    <cellStyle name="Comma0 2 4 7" xfId="1965" xr:uid="{00000000-0005-0000-0000-0000AD070000}"/>
    <cellStyle name="Comma0 2 4 8" xfId="1966" xr:uid="{00000000-0005-0000-0000-0000AE070000}"/>
    <cellStyle name="Comma0 2 5" xfId="1967" xr:uid="{00000000-0005-0000-0000-0000AF070000}"/>
    <cellStyle name="Comma0 2 5 2" xfId="1968" xr:uid="{00000000-0005-0000-0000-0000B0070000}"/>
    <cellStyle name="Comma0 2 5 2 2" xfId="1969" xr:uid="{00000000-0005-0000-0000-0000B1070000}"/>
    <cellStyle name="Comma0 2 5 2 2 2" xfId="1970" xr:uid="{00000000-0005-0000-0000-0000B2070000}"/>
    <cellStyle name="Comma0 2 5 2 2 3" xfId="1971" xr:uid="{00000000-0005-0000-0000-0000B3070000}"/>
    <cellStyle name="Comma0 2 5 2 3" xfId="1972" xr:uid="{00000000-0005-0000-0000-0000B4070000}"/>
    <cellStyle name="Comma0 2 5 2 3 2" xfId="1973" xr:uid="{00000000-0005-0000-0000-0000B5070000}"/>
    <cellStyle name="Comma0 2 5 2 3 3" xfId="1974" xr:uid="{00000000-0005-0000-0000-0000B6070000}"/>
    <cellStyle name="Comma0 2 5 2 4" xfId="1975" xr:uid="{00000000-0005-0000-0000-0000B7070000}"/>
    <cellStyle name="Comma0 2 5 2 5" xfId="1976" xr:uid="{00000000-0005-0000-0000-0000B8070000}"/>
    <cellStyle name="Comma0 2 5 2 6" xfId="1977" xr:uid="{00000000-0005-0000-0000-0000B9070000}"/>
    <cellStyle name="Comma0 2 5 3" xfId="1978" xr:uid="{00000000-0005-0000-0000-0000BA070000}"/>
    <cellStyle name="Comma0 2 5 3 2" xfId="1979" xr:uid="{00000000-0005-0000-0000-0000BB070000}"/>
    <cellStyle name="Comma0 2 5 3 3" xfId="1980" xr:uid="{00000000-0005-0000-0000-0000BC070000}"/>
    <cellStyle name="Comma0 2 5 4" xfId="1981" xr:uid="{00000000-0005-0000-0000-0000BD070000}"/>
    <cellStyle name="Comma0 2 5 4 2" xfId="1982" xr:uid="{00000000-0005-0000-0000-0000BE070000}"/>
    <cellStyle name="Comma0 2 5 4 3" xfId="1983" xr:uid="{00000000-0005-0000-0000-0000BF070000}"/>
    <cellStyle name="Comma0 2 5 5" xfId="1984" xr:uid="{00000000-0005-0000-0000-0000C0070000}"/>
    <cellStyle name="Comma0 2 5 5 2" xfId="1985" xr:uid="{00000000-0005-0000-0000-0000C1070000}"/>
    <cellStyle name="Comma0 2 5 5 3" xfId="1986" xr:uid="{00000000-0005-0000-0000-0000C2070000}"/>
    <cellStyle name="Comma0 2 5 6" xfId="1987" xr:uid="{00000000-0005-0000-0000-0000C3070000}"/>
    <cellStyle name="Comma0 2 5 7" xfId="1988" xr:uid="{00000000-0005-0000-0000-0000C4070000}"/>
    <cellStyle name="Comma0 2 5 8" xfId="1989" xr:uid="{00000000-0005-0000-0000-0000C5070000}"/>
    <cellStyle name="Comma0 2 6" xfId="1990" xr:uid="{00000000-0005-0000-0000-0000C6070000}"/>
    <cellStyle name="Comma0 2 6 2" xfId="1991" xr:uid="{00000000-0005-0000-0000-0000C7070000}"/>
    <cellStyle name="Comma0 2 6 2 2" xfId="1992" xr:uid="{00000000-0005-0000-0000-0000C8070000}"/>
    <cellStyle name="Comma0 2 6 2 3" xfId="1993" xr:uid="{00000000-0005-0000-0000-0000C9070000}"/>
    <cellStyle name="Comma0 2 6 3" xfId="1994" xr:uid="{00000000-0005-0000-0000-0000CA070000}"/>
    <cellStyle name="Comma0 2 6 3 2" xfId="1995" xr:uid="{00000000-0005-0000-0000-0000CB070000}"/>
    <cellStyle name="Comma0 2 6 3 3" xfId="1996" xr:uid="{00000000-0005-0000-0000-0000CC070000}"/>
    <cellStyle name="Comma0 2 6 4" xfId="1997" xr:uid="{00000000-0005-0000-0000-0000CD070000}"/>
    <cellStyle name="Comma0 2 6 5" xfId="1998" xr:uid="{00000000-0005-0000-0000-0000CE070000}"/>
    <cellStyle name="Comma0 2 6 6" xfId="1999" xr:uid="{00000000-0005-0000-0000-0000CF070000}"/>
    <cellStyle name="Comma0 2 7" xfId="2000" xr:uid="{00000000-0005-0000-0000-0000D0070000}"/>
    <cellStyle name="Comma0 2 7 2" xfId="2001" xr:uid="{00000000-0005-0000-0000-0000D1070000}"/>
    <cellStyle name="Comma0 2 7 3" xfId="2002" xr:uid="{00000000-0005-0000-0000-0000D2070000}"/>
    <cellStyle name="Comma0 2 7 4" xfId="2003" xr:uid="{00000000-0005-0000-0000-0000D3070000}"/>
    <cellStyle name="Comma0 2 8" xfId="2004" xr:uid="{00000000-0005-0000-0000-0000D4070000}"/>
    <cellStyle name="Comma0 2 8 2" xfId="2005" xr:uid="{00000000-0005-0000-0000-0000D5070000}"/>
    <cellStyle name="Comma0 2 8 3" xfId="2006" xr:uid="{00000000-0005-0000-0000-0000D6070000}"/>
    <cellStyle name="Comma0 2 9" xfId="2007" xr:uid="{00000000-0005-0000-0000-0000D7070000}"/>
    <cellStyle name="Comma0 2 9 2" xfId="2008" xr:uid="{00000000-0005-0000-0000-0000D8070000}"/>
    <cellStyle name="Comma0 2 9 3" xfId="2009" xr:uid="{00000000-0005-0000-0000-0000D9070000}"/>
    <cellStyle name="Comma0 20" xfId="2010" xr:uid="{00000000-0005-0000-0000-0000DA070000}"/>
    <cellStyle name="Comma0 21" xfId="2011" xr:uid="{00000000-0005-0000-0000-0000DB070000}"/>
    <cellStyle name="Comma0 22" xfId="2012" xr:uid="{00000000-0005-0000-0000-0000DC070000}"/>
    <cellStyle name="Comma0 3" xfId="2013" xr:uid="{00000000-0005-0000-0000-0000DD070000}"/>
    <cellStyle name="Comma0 3 10" xfId="2014" xr:uid="{00000000-0005-0000-0000-0000DE070000}"/>
    <cellStyle name="Comma0 3 11" xfId="2015" xr:uid="{00000000-0005-0000-0000-0000DF070000}"/>
    <cellStyle name="Comma0 3 12" xfId="2016" xr:uid="{00000000-0005-0000-0000-0000E0070000}"/>
    <cellStyle name="Comma0 3 2" xfId="2017" xr:uid="{00000000-0005-0000-0000-0000E1070000}"/>
    <cellStyle name="Comma0 3 2 10" xfId="2018" xr:uid="{00000000-0005-0000-0000-0000E2070000}"/>
    <cellStyle name="Comma0 3 2 2" xfId="2019" xr:uid="{00000000-0005-0000-0000-0000E3070000}"/>
    <cellStyle name="Comma0 3 2 2 2" xfId="2020" xr:uid="{00000000-0005-0000-0000-0000E4070000}"/>
    <cellStyle name="Comma0 3 2 2 2 2" xfId="2021" xr:uid="{00000000-0005-0000-0000-0000E5070000}"/>
    <cellStyle name="Comma0 3 2 2 2 2 2" xfId="2022" xr:uid="{00000000-0005-0000-0000-0000E6070000}"/>
    <cellStyle name="Comma0 3 2 2 2 2 3" xfId="2023" xr:uid="{00000000-0005-0000-0000-0000E7070000}"/>
    <cellStyle name="Comma0 3 2 2 2 3" xfId="2024" xr:uid="{00000000-0005-0000-0000-0000E8070000}"/>
    <cellStyle name="Comma0 3 2 2 2 3 2" xfId="2025" xr:uid="{00000000-0005-0000-0000-0000E9070000}"/>
    <cellStyle name="Comma0 3 2 2 2 3 3" xfId="2026" xr:uid="{00000000-0005-0000-0000-0000EA070000}"/>
    <cellStyle name="Comma0 3 2 2 2 4" xfId="2027" xr:uid="{00000000-0005-0000-0000-0000EB070000}"/>
    <cellStyle name="Comma0 3 2 2 2 5" xfId="2028" xr:uid="{00000000-0005-0000-0000-0000EC070000}"/>
    <cellStyle name="Comma0 3 2 2 2 6" xfId="2029" xr:uid="{00000000-0005-0000-0000-0000ED070000}"/>
    <cellStyle name="Comma0 3 2 2 3" xfId="2030" xr:uid="{00000000-0005-0000-0000-0000EE070000}"/>
    <cellStyle name="Comma0 3 2 2 3 2" xfId="2031" xr:uid="{00000000-0005-0000-0000-0000EF070000}"/>
    <cellStyle name="Comma0 3 2 2 3 3" xfId="2032" xr:uid="{00000000-0005-0000-0000-0000F0070000}"/>
    <cellStyle name="Comma0 3 2 2 4" xfId="2033" xr:uid="{00000000-0005-0000-0000-0000F1070000}"/>
    <cellStyle name="Comma0 3 2 2 4 2" xfId="2034" xr:uid="{00000000-0005-0000-0000-0000F2070000}"/>
    <cellStyle name="Comma0 3 2 2 4 3" xfId="2035" xr:uid="{00000000-0005-0000-0000-0000F3070000}"/>
    <cellStyle name="Comma0 3 2 2 5" xfId="2036" xr:uid="{00000000-0005-0000-0000-0000F4070000}"/>
    <cellStyle name="Comma0 3 2 2 5 2" xfId="2037" xr:uid="{00000000-0005-0000-0000-0000F5070000}"/>
    <cellStyle name="Comma0 3 2 2 5 3" xfId="2038" xr:uid="{00000000-0005-0000-0000-0000F6070000}"/>
    <cellStyle name="Comma0 3 2 2 6" xfId="2039" xr:uid="{00000000-0005-0000-0000-0000F7070000}"/>
    <cellStyle name="Comma0 3 2 2 7" xfId="2040" xr:uid="{00000000-0005-0000-0000-0000F8070000}"/>
    <cellStyle name="Comma0 3 2 2 8" xfId="2041" xr:uid="{00000000-0005-0000-0000-0000F9070000}"/>
    <cellStyle name="Comma0 3 2 3" xfId="2042" xr:uid="{00000000-0005-0000-0000-0000FA070000}"/>
    <cellStyle name="Comma0 3 2 3 2" xfId="2043" xr:uid="{00000000-0005-0000-0000-0000FB070000}"/>
    <cellStyle name="Comma0 3 2 3 2 2" xfId="2044" xr:uid="{00000000-0005-0000-0000-0000FC070000}"/>
    <cellStyle name="Comma0 3 2 3 2 2 2" xfId="2045" xr:uid="{00000000-0005-0000-0000-0000FD070000}"/>
    <cellStyle name="Comma0 3 2 3 2 2 3" xfId="2046" xr:uid="{00000000-0005-0000-0000-0000FE070000}"/>
    <cellStyle name="Comma0 3 2 3 2 3" xfId="2047" xr:uid="{00000000-0005-0000-0000-0000FF070000}"/>
    <cellStyle name="Comma0 3 2 3 2 3 2" xfId="2048" xr:uid="{00000000-0005-0000-0000-000000080000}"/>
    <cellStyle name="Comma0 3 2 3 2 3 3" xfId="2049" xr:uid="{00000000-0005-0000-0000-000001080000}"/>
    <cellStyle name="Comma0 3 2 3 2 4" xfId="2050" xr:uid="{00000000-0005-0000-0000-000002080000}"/>
    <cellStyle name="Comma0 3 2 3 2 5" xfId="2051" xr:uid="{00000000-0005-0000-0000-000003080000}"/>
    <cellStyle name="Comma0 3 2 3 2 6" xfId="2052" xr:uid="{00000000-0005-0000-0000-000004080000}"/>
    <cellStyle name="Comma0 3 2 3 3" xfId="2053" xr:uid="{00000000-0005-0000-0000-000005080000}"/>
    <cellStyle name="Comma0 3 2 3 3 2" xfId="2054" xr:uid="{00000000-0005-0000-0000-000006080000}"/>
    <cellStyle name="Comma0 3 2 3 3 3" xfId="2055" xr:uid="{00000000-0005-0000-0000-000007080000}"/>
    <cellStyle name="Comma0 3 2 3 4" xfId="2056" xr:uid="{00000000-0005-0000-0000-000008080000}"/>
    <cellStyle name="Comma0 3 2 3 4 2" xfId="2057" xr:uid="{00000000-0005-0000-0000-000009080000}"/>
    <cellStyle name="Comma0 3 2 3 4 3" xfId="2058" xr:uid="{00000000-0005-0000-0000-00000A080000}"/>
    <cellStyle name="Comma0 3 2 3 5" xfId="2059" xr:uid="{00000000-0005-0000-0000-00000B080000}"/>
    <cellStyle name="Comma0 3 2 3 5 2" xfId="2060" xr:uid="{00000000-0005-0000-0000-00000C080000}"/>
    <cellStyle name="Comma0 3 2 3 5 3" xfId="2061" xr:uid="{00000000-0005-0000-0000-00000D080000}"/>
    <cellStyle name="Comma0 3 2 3 6" xfId="2062" xr:uid="{00000000-0005-0000-0000-00000E080000}"/>
    <cellStyle name="Comma0 3 2 3 7" xfId="2063" xr:uid="{00000000-0005-0000-0000-00000F080000}"/>
    <cellStyle name="Comma0 3 2 3 8" xfId="2064" xr:uid="{00000000-0005-0000-0000-000010080000}"/>
    <cellStyle name="Comma0 3 2 4" xfId="2065" xr:uid="{00000000-0005-0000-0000-000011080000}"/>
    <cellStyle name="Comma0 3 2 4 2" xfId="2066" xr:uid="{00000000-0005-0000-0000-000012080000}"/>
    <cellStyle name="Comma0 3 2 4 2 2" xfId="2067" xr:uid="{00000000-0005-0000-0000-000013080000}"/>
    <cellStyle name="Comma0 3 2 4 2 3" xfId="2068" xr:uid="{00000000-0005-0000-0000-000014080000}"/>
    <cellStyle name="Comma0 3 2 4 3" xfId="2069" xr:uid="{00000000-0005-0000-0000-000015080000}"/>
    <cellStyle name="Comma0 3 2 4 3 2" xfId="2070" xr:uid="{00000000-0005-0000-0000-000016080000}"/>
    <cellStyle name="Comma0 3 2 4 3 3" xfId="2071" xr:uid="{00000000-0005-0000-0000-000017080000}"/>
    <cellStyle name="Comma0 3 2 4 4" xfId="2072" xr:uid="{00000000-0005-0000-0000-000018080000}"/>
    <cellStyle name="Comma0 3 2 4 5" xfId="2073" xr:uid="{00000000-0005-0000-0000-000019080000}"/>
    <cellStyle name="Comma0 3 2 4 6" xfId="2074" xr:uid="{00000000-0005-0000-0000-00001A080000}"/>
    <cellStyle name="Comma0 3 2 5" xfId="2075" xr:uid="{00000000-0005-0000-0000-00001B080000}"/>
    <cellStyle name="Comma0 3 2 5 2" xfId="2076" xr:uid="{00000000-0005-0000-0000-00001C080000}"/>
    <cellStyle name="Comma0 3 2 5 3" xfId="2077" xr:uid="{00000000-0005-0000-0000-00001D080000}"/>
    <cellStyle name="Comma0 3 2 6" xfId="2078" xr:uid="{00000000-0005-0000-0000-00001E080000}"/>
    <cellStyle name="Comma0 3 2 6 2" xfId="2079" xr:uid="{00000000-0005-0000-0000-00001F080000}"/>
    <cellStyle name="Comma0 3 2 6 3" xfId="2080" xr:uid="{00000000-0005-0000-0000-000020080000}"/>
    <cellStyle name="Comma0 3 2 7" xfId="2081" xr:uid="{00000000-0005-0000-0000-000021080000}"/>
    <cellStyle name="Comma0 3 2 7 2" xfId="2082" xr:uid="{00000000-0005-0000-0000-000022080000}"/>
    <cellStyle name="Comma0 3 2 7 3" xfId="2083" xr:uid="{00000000-0005-0000-0000-000023080000}"/>
    <cellStyle name="Comma0 3 2 8" xfId="2084" xr:uid="{00000000-0005-0000-0000-000024080000}"/>
    <cellStyle name="Comma0 3 2 9" xfId="2085" xr:uid="{00000000-0005-0000-0000-000025080000}"/>
    <cellStyle name="Comma0 3 3" xfId="2086" xr:uid="{00000000-0005-0000-0000-000026080000}"/>
    <cellStyle name="Comma0 3 3 2" xfId="2087" xr:uid="{00000000-0005-0000-0000-000027080000}"/>
    <cellStyle name="Comma0 3 3 2 2" xfId="2088" xr:uid="{00000000-0005-0000-0000-000028080000}"/>
    <cellStyle name="Comma0 3 3 2 2 2" xfId="2089" xr:uid="{00000000-0005-0000-0000-000029080000}"/>
    <cellStyle name="Comma0 3 3 2 2 3" xfId="2090" xr:uid="{00000000-0005-0000-0000-00002A080000}"/>
    <cellStyle name="Comma0 3 3 2 3" xfId="2091" xr:uid="{00000000-0005-0000-0000-00002B080000}"/>
    <cellStyle name="Comma0 3 3 2 3 2" xfId="2092" xr:uid="{00000000-0005-0000-0000-00002C080000}"/>
    <cellStyle name="Comma0 3 3 2 3 3" xfId="2093" xr:uid="{00000000-0005-0000-0000-00002D080000}"/>
    <cellStyle name="Comma0 3 3 2 4" xfId="2094" xr:uid="{00000000-0005-0000-0000-00002E080000}"/>
    <cellStyle name="Comma0 3 3 2 5" xfId="2095" xr:uid="{00000000-0005-0000-0000-00002F080000}"/>
    <cellStyle name="Comma0 3 3 2 6" xfId="2096" xr:uid="{00000000-0005-0000-0000-000030080000}"/>
    <cellStyle name="Comma0 3 3 3" xfId="2097" xr:uid="{00000000-0005-0000-0000-000031080000}"/>
    <cellStyle name="Comma0 3 3 3 2" xfId="2098" xr:uid="{00000000-0005-0000-0000-000032080000}"/>
    <cellStyle name="Comma0 3 3 3 3" xfId="2099" xr:uid="{00000000-0005-0000-0000-000033080000}"/>
    <cellStyle name="Comma0 3 3 4" xfId="2100" xr:uid="{00000000-0005-0000-0000-000034080000}"/>
    <cellStyle name="Comma0 3 3 4 2" xfId="2101" xr:uid="{00000000-0005-0000-0000-000035080000}"/>
    <cellStyle name="Comma0 3 3 4 3" xfId="2102" xr:uid="{00000000-0005-0000-0000-000036080000}"/>
    <cellStyle name="Comma0 3 3 5" xfId="2103" xr:uid="{00000000-0005-0000-0000-000037080000}"/>
    <cellStyle name="Comma0 3 3 5 2" xfId="2104" xr:uid="{00000000-0005-0000-0000-000038080000}"/>
    <cellStyle name="Comma0 3 3 5 3" xfId="2105" xr:uid="{00000000-0005-0000-0000-000039080000}"/>
    <cellStyle name="Comma0 3 3 6" xfId="2106" xr:uid="{00000000-0005-0000-0000-00003A080000}"/>
    <cellStyle name="Comma0 3 3 7" xfId="2107" xr:uid="{00000000-0005-0000-0000-00003B080000}"/>
    <cellStyle name="Comma0 3 3 8" xfId="2108" xr:uid="{00000000-0005-0000-0000-00003C080000}"/>
    <cellStyle name="Comma0 3 4" xfId="2109" xr:uid="{00000000-0005-0000-0000-00003D080000}"/>
    <cellStyle name="Comma0 3 4 2" xfId="2110" xr:uid="{00000000-0005-0000-0000-00003E080000}"/>
    <cellStyle name="Comma0 3 4 2 2" xfId="2111" xr:uid="{00000000-0005-0000-0000-00003F080000}"/>
    <cellStyle name="Comma0 3 4 2 2 2" xfId="2112" xr:uid="{00000000-0005-0000-0000-000040080000}"/>
    <cellStyle name="Comma0 3 4 2 2 3" xfId="2113" xr:uid="{00000000-0005-0000-0000-000041080000}"/>
    <cellStyle name="Comma0 3 4 2 3" xfId="2114" xr:uid="{00000000-0005-0000-0000-000042080000}"/>
    <cellStyle name="Comma0 3 4 2 3 2" xfId="2115" xr:uid="{00000000-0005-0000-0000-000043080000}"/>
    <cellStyle name="Comma0 3 4 2 3 3" xfId="2116" xr:uid="{00000000-0005-0000-0000-000044080000}"/>
    <cellStyle name="Comma0 3 4 2 4" xfId="2117" xr:uid="{00000000-0005-0000-0000-000045080000}"/>
    <cellStyle name="Comma0 3 4 2 5" xfId="2118" xr:uid="{00000000-0005-0000-0000-000046080000}"/>
    <cellStyle name="Comma0 3 4 2 6" xfId="2119" xr:uid="{00000000-0005-0000-0000-000047080000}"/>
    <cellStyle name="Comma0 3 4 3" xfId="2120" xr:uid="{00000000-0005-0000-0000-000048080000}"/>
    <cellStyle name="Comma0 3 4 3 2" xfId="2121" xr:uid="{00000000-0005-0000-0000-000049080000}"/>
    <cellStyle name="Comma0 3 4 3 3" xfId="2122" xr:uid="{00000000-0005-0000-0000-00004A080000}"/>
    <cellStyle name="Comma0 3 4 4" xfId="2123" xr:uid="{00000000-0005-0000-0000-00004B080000}"/>
    <cellStyle name="Comma0 3 4 4 2" xfId="2124" xr:uid="{00000000-0005-0000-0000-00004C080000}"/>
    <cellStyle name="Comma0 3 4 4 3" xfId="2125" xr:uid="{00000000-0005-0000-0000-00004D080000}"/>
    <cellStyle name="Comma0 3 4 5" xfId="2126" xr:uid="{00000000-0005-0000-0000-00004E080000}"/>
    <cellStyle name="Comma0 3 4 5 2" xfId="2127" xr:uid="{00000000-0005-0000-0000-00004F080000}"/>
    <cellStyle name="Comma0 3 4 5 3" xfId="2128" xr:uid="{00000000-0005-0000-0000-000050080000}"/>
    <cellStyle name="Comma0 3 4 6" xfId="2129" xr:uid="{00000000-0005-0000-0000-000051080000}"/>
    <cellStyle name="Comma0 3 4 7" xfId="2130" xr:uid="{00000000-0005-0000-0000-000052080000}"/>
    <cellStyle name="Comma0 3 4 8" xfId="2131" xr:uid="{00000000-0005-0000-0000-000053080000}"/>
    <cellStyle name="Comma0 3 5" xfId="2132" xr:uid="{00000000-0005-0000-0000-000054080000}"/>
    <cellStyle name="Comma0 3 5 2" xfId="2133" xr:uid="{00000000-0005-0000-0000-000055080000}"/>
    <cellStyle name="Comma0 3 5 2 2" xfId="2134" xr:uid="{00000000-0005-0000-0000-000056080000}"/>
    <cellStyle name="Comma0 3 5 2 2 2" xfId="2135" xr:uid="{00000000-0005-0000-0000-000057080000}"/>
    <cellStyle name="Comma0 3 5 2 2 3" xfId="2136" xr:uid="{00000000-0005-0000-0000-000058080000}"/>
    <cellStyle name="Comma0 3 5 2 3" xfId="2137" xr:uid="{00000000-0005-0000-0000-000059080000}"/>
    <cellStyle name="Comma0 3 5 2 3 2" xfId="2138" xr:uid="{00000000-0005-0000-0000-00005A080000}"/>
    <cellStyle name="Comma0 3 5 2 3 3" xfId="2139" xr:uid="{00000000-0005-0000-0000-00005B080000}"/>
    <cellStyle name="Comma0 3 5 2 4" xfId="2140" xr:uid="{00000000-0005-0000-0000-00005C080000}"/>
    <cellStyle name="Comma0 3 5 2 5" xfId="2141" xr:uid="{00000000-0005-0000-0000-00005D080000}"/>
    <cellStyle name="Comma0 3 5 2 6" xfId="2142" xr:uid="{00000000-0005-0000-0000-00005E080000}"/>
    <cellStyle name="Comma0 3 5 3" xfId="2143" xr:uid="{00000000-0005-0000-0000-00005F080000}"/>
    <cellStyle name="Comma0 3 5 3 2" xfId="2144" xr:uid="{00000000-0005-0000-0000-000060080000}"/>
    <cellStyle name="Comma0 3 5 3 3" xfId="2145" xr:uid="{00000000-0005-0000-0000-000061080000}"/>
    <cellStyle name="Comma0 3 5 4" xfId="2146" xr:uid="{00000000-0005-0000-0000-000062080000}"/>
    <cellStyle name="Comma0 3 5 4 2" xfId="2147" xr:uid="{00000000-0005-0000-0000-000063080000}"/>
    <cellStyle name="Comma0 3 5 4 3" xfId="2148" xr:uid="{00000000-0005-0000-0000-000064080000}"/>
    <cellStyle name="Comma0 3 5 5" xfId="2149" xr:uid="{00000000-0005-0000-0000-000065080000}"/>
    <cellStyle name="Comma0 3 5 5 2" xfId="2150" xr:uid="{00000000-0005-0000-0000-000066080000}"/>
    <cellStyle name="Comma0 3 5 5 3" xfId="2151" xr:uid="{00000000-0005-0000-0000-000067080000}"/>
    <cellStyle name="Comma0 3 5 6" xfId="2152" xr:uid="{00000000-0005-0000-0000-000068080000}"/>
    <cellStyle name="Comma0 3 5 7" xfId="2153" xr:uid="{00000000-0005-0000-0000-000069080000}"/>
    <cellStyle name="Comma0 3 5 8" xfId="2154" xr:uid="{00000000-0005-0000-0000-00006A080000}"/>
    <cellStyle name="Comma0 3 6" xfId="2155" xr:uid="{00000000-0005-0000-0000-00006B080000}"/>
    <cellStyle name="Comma0 3 6 2" xfId="2156" xr:uid="{00000000-0005-0000-0000-00006C080000}"/>
    <cellStyle name="Comma0 3 6 2 2" xfId="2157" xr:uid="{00000000-0005-0000-0000-00006D080000}"/>
    <cellStyle name="Comma0 3 6 2 3" xfId="2158" xr:uid="{00000000-0005-0000-0000-00006E080000}"/>
    <cellStyle name="Comma0 3 6 3" xfId="2159" xr:uid="{00000000-0005-0000-0000-00006F080000}"/>
    <cellStyle name="Comma0 3 6 3 2" xfId="2160" xr:uid="{00000000-0005-0000-0000-000070080000}"/>
    <cellStyle name="Comma0 3 6 3 3" xfId="2161" xr:uid="{00000000-0005-0000-0000-000071080000}"/>
    <cellStyle name="Comma0 3 6 4" xfId="2162" xr:uid="{00000000-0005-0000-0000-000072080000}"/>
    <cellStyle name="Comma0 3 6 5" xfId="2163" xr:uid="{00000000-0005-0000-0000-000073080000}"/>
    <cellStyle name="Comma0 3 6 6" xfId="2164" xr:uid="{00000000-0005-0000-0000-000074080000}"/>
    <cellStyle name="Comma0 3 7" xfId="2165" xr:uid="{00000000-0005-0000-0000-000075080000}"/>
    <cellStyle name="Comma0 3 7 2" xfId="2166" xr:uid="{00000000-0005-0000-0000-000076080000}"/>
    <cellStyle name="Comma0 3 7 3" xfId="2167" xr:uid="{00000000-0005-0000-0000-000077080000}"/>
    <cellStyle name="Comma0 3 7 4" xfId="2168" xr:uid="{00000000-0005-0000-0000-000078080000}"/>
    <cellStyle name="Comma0 3 8" xfId="2169" xr:uid="{00000000-0005-0000-0000-000079080000}"/>
    <cellStyle name="Comma0 3 8 2" xfId="2170" xr:uid="{00000000-0005-0000-0000-00007A080000}"/>
    <cellStyle name="Comma0 3 8 3" xfId="2171" xr:uid="{00000000-0005-0000-0000-00007B080000}"/>
    <cellStyle name="Comma0 3 9" xfId="2172" xr:uid="{00000000-0005-0000-0000-00007C080000}"/>
    <cellStyle name="Comma0 3 9 2" xfId="2173" xr:uid="{00000000-0005-0000-0000-00007D080000}"/>
    <cellStyle name="Comma0 3 9 3" xfId="2174" xr:uid="{00000000-0005-0000-0000-00007E080000}"/>
    <cellStyle name="Comma0 4" xfId="2175" xr:uid="{00000000-0005-0000-0000-00007F080000}"/>
    <cellStyle name="Comma0 4 10" xfId="2176" xr:uid="{00000000-0005-0000-0000-000080080000}"/>
    <cellStyle name="Comma0 4 11" xfId="2177" xr:uid="{00000000-0005-0000-0000-000081080000}"/>
    <cellStyle name="Comma0 4 12" xfId="2178" xr:uid="{00000000-0005-0000-0000-000082080000}"/>
    <cellStyle name="Comma0 4 2" xfId="2179" xr:uid="{00000000-0005-0000-0000-000083080000}"/>
    <cellStyle name="Comma0 4 2 10" xfId="2180" xr:uid="{00000000-0005-0000-0000-000084080000}"/>
    <cellStyle name="Comma0 4 2 2" xfId="2181" xr:uid="{00000000-0005-0000-0000-000085080000}"/>
    <cellStyle name="Comma0 4 2 2 2" xfId="2182" xr:uid="{00000000-0005-0000-0000-000086080000}"/>
    <cellStyle name="Comma0 4 2 2 2 2" xfId="2183" xr:uid="{00000000-0005-0000-0000-000087080000}"/>
    <cellStyle name="Comma0 4 2 2 2 2 2" xfId="2184" xr:uid="{00000000-0005-0000-0000-000088080000}"/>
    <cellStyle name="Comma0 4 2 2 2 2 3" xfId="2185" xr:uid="{00000000-0005-0000-0000-000089080000}"/>
    <cellStyle name="Comma0 4 2 2 2 3" xfId="2186" xr:uid="{00000000-0005-0000-0000-00008A080000}"/>
    <cellStyle name="Comma0 4 2 2 2 3 2" xfId="2187" xr:uid="{00000000-0005-0000-0000-00008B080000}"/>
    <cellStyle name="Comma0 4 2 2 2 3 3" xfId="2188" xr:uid="{00000000-0005-0000-0000-00008C080000}"/>
    <cellStyle name="Comma0 4 2 2 2 4" xfId="2189" xr:uid="{00000000-0005-0000-0000-00008D080000}"/>
    <cellStyle name="Comma0 4 2 2 2 5" xfId="2190" xr:uid="{00000000-0005-0000-0000-00008E080000}"/>
    <cellStyle name="Comma0 4 2 2 2 6" xfId="2191" xr:uid="{00000000-0005-0000-0000-00008F080000}"/>
    <cellStyle name="Comma0 4 2 2 3" xfId="2192" xr:uid="{00000000-0005-0000-0000-000090080000}"/>
    <cellStyle name="Comma0 4 2 2 3 2" xfId="2193" xr:uid="{00000000-0005-0000-0000-000091080000}"/>
    <cellStyle name="Comma0 4 2 2 3 3" xfId="2194" xr:uid="{00000000-0005-0000-0000-000092080000}"/>
    <cellStyle name="Comma0 4 2 2 4" xfId="2195" xr:uid="{00000000-0005-0000-0000-000093080000}"/>
    <cellStyle name="Comma0 4 2 2 4 2" xfId="2196" xr:uid="{00000000-0005-0000-0000-000094080000}"/>
    <cellStyle name="Comma0 4 2 2 4 3" xfId="2197" xr:uid="{00000000-0005-0000-0000-000095080000}"/>
    <cellStyle name="Comma0 4 2 2 5" xfId="2198" xr:uid="{00000000-0005-0000-0000-000096080000}"/>
    <cellStyle name="Comma0 4 2 2 5 2" xfId="2199" xr:uid="{00000000-0005-0000-0000-000097080000}"/>
    <cellStyle name="Comma0 4 2 2 5 3" xfId="2200" xr:uid="{00000000-0005-0000-0000-000098080000}"/>
    <cellStyle name="Comma0 4 2 2 6" xfId="2201" xr:uid="{00000000-0005-0000-0000-000099080000}"/>
    <cellStyle name="Comma0 4 2 2 7" xfId="2202" xr:uid="{00000000-0005-0000-0000-00009A080000}"/>
    <cellStyle name="Comma0 4 2 2 8" xfId="2203" xr:uid="{00000000-0005-0000-0000-00009B080000}"/>
    <cellStyle name="Comma0 4 2 3" xfId="2204" xr:uid="{00000000-0005-0000-0000-00009C080000}"/>
    <cellStyle name="Comma0 4 2 3 2" xfId="2205" xr:uid="{00000000-0005-0000-0000-00009D080000}"/>
    <cellStyle name="Comma0 4 2 3 2 2" xfId="2206" xr:uid="{00000000-0005-0000-0000-00009E080000}"/>
    <cellStyle name="Comma0 4 2 3 2 2 2" xfId="2207" xr:uid="{00000000-0005-0000-0000-00009F080000}"/>
    <cellStyle name="Comma0 4 2 3 2 2 3" xfId="2208" xr:uid="{00000000-0005-0000-0000-0000A0080000}"/>
    <cellStyle name="Comma0 4 2 3 2 3" xfId="2209" xr:uid="{00000000-0005-0000-0000-0000A1080000}"/>
    <cellStyle name="Comma0 4 2 3 2 3 2" xfId="2210" xr:uid="{00000000-0005-0000-0000-0000A2080000}"/>
    <cellStyle name="Comma0 4 2 3 2 3 3" xfId="2211" xr:uid="{00000000-0005-0000-0000-0000A3080000}"/>
    <cellStyle name="Comma0 4 2 3 2 4" xfId="2212" xr:uid="{00000000-0005-0000-0000-0000A4080000}"/>
    <cellStyle name="Comma0 4 2 3 2 5" xfId="2213" xr:uid="{00000000-0005-0000-0000-0000A5080000}"/>
    <cellStyle name="Comma0 4 2 3 2 6" xfId="2214" xr:uid="{00000000-0005-0000-0000-0000A6080000}"/>
    <cellStyle name="Comma0 4 2 3 3" xfId="2215" xr:uid="{00000000-0005-0000-0000-0000A7080000}"/>
    <cellStyle name="Comma0 4 2 3 3 2" xfId="2216" xr:uid="{00000000-0005-0000-0000-0000A8080000}"/>
    <cellStyle name="Comma0 4 2 3 3 3" xfId="2217" xr:uid="{00000000-0005-0000-0000-0000A9080000}"/>
    <cellStyle name="Comma0 4 2 3 4" xfId="2218" xr:uid="{00000000-0005-0000-0000-0000AA080000}"/>
    <cellStyle name="Comma0 4 2 3 4 2" xfId="2219" xr:uid="{00000000-0005-0000-0000-0000AB080000}"/>
    <cellStyle name="Comma0 4 2 3 4 3" xfId="2220" xr:uid="{00000000-0005-0000-0000-0000AC080000}"/>
    <cellStyle name="Comma0 4 2 3 5" xfId="2221" xr:uid="{00000000-0005-0000-0000-0000AD080000}"/>
    <cellStyle name="Comma0 4 2 3 5 2" xfId="2222" xr:uid="{00000000-0005-0000-0000-0000AE080000}"/>
    <cellStyle name="Comma0 4 2 3 5 3" xfId="2223" xr:uid="{00000000-0005-0000-0000-0000AF080000}"/>
    <cellStyle name="Comma0 4 2 3 6" xfId="2224" xr:uid="{00000000-0005-0000-0000-0000B0080000}"/>
    <cellStyle name="Comma0 4 2 3 7" xfId="2225" xr:uid="{00000000-0005-0000-0000-0000B1080000}"/>
    <cellStyle name="Comma0 4 2 3 8" xfId="2226" xr:uid="{00000000-0005-0000-0000-0000B2080000}"/>
    <cellStyle name="Comma0 4 2 4" xfId="2227" xr:uid="{00000000-0005-0000-0000-0000B3080000}"/>
    <cellStyle name="Comma0 4 2 4 2" xfId="2228" xr:uid="{00000000-0005-0000-0000-0000B4080000}"/>
    <cellStyle name="Comma0 4 2 4 2 2" xfId="2229" xr:uid="{00000000-0005-0000-0000-0000B5080000}"/>
    <cellStyle name="Comma0 4 2 4 2 3" xfId="2230" xr:uid="{00000000-0005-0000-0000-0000B6080000}"/>
    <cellStyle name="Comma0 4 2 4 3" xfId="2231" xr:uid="{00000000-0005-0000-0000-0000B7080000}"/>
    <cellStyle name="Comma0 4 2 4 3 2" xfId="2232" xr:uid="{00000000-0005-0000-0000-0000B8080000}"/>
    <cellStyle name="Comma0 4 2 4 3 3" xfId="2233" xr:uid="{00000000-0005-0000-0000-0000B9080000}"/>
    <cellStyle name="Comma0 4 2 4 4" xfId="2234" xr:uid="{00000000-0005-0000-0000-0000BA080000}"/>
    <cellStyle name="Comma0 4 2 4 5" xfId="2235" xr:uid="{00000000-0005-0000-0000-0000BB080000}"/>
    <cellStyle name="Comma0 4 2 4 6" xfId="2236" xr:uid="{00000000-0005-0000-0000-0000BC080000}"/>
    <cellStyle name="Comma0 4 2 5" xfId="2237" xr:uid="{00000000-0005-0000-0000-0000BD080000}"/>
    <cellStyle name="Comma0 4 2 5 2" xfId="2238" xr:uid="{00000000-0005-0000-0000-0000BE080000}"/>
    <cellStyle name="Comma0 4 2 5 3" xfId="2239" xr:uid="{00000000-0005-0000-0000-0000BF080000}"/>
    <cellStyle name="Comma0 4 2 6" xfId="2240" xr:uid="{00000000-0005-0000-0000-0000C0080000}"/>
    <cellStyle name="Comma0 4 2 6 2" xfId="2241" xr:uid="{00000000-0005-0000-0000-0000C1080000}"/>
    <cellStyle name="Comma0 4 2 6 3" xfId="2242" xr:uid="{00000000-0005-0000-0000-0000C2080000}"/>
    <cellStyle name="Comma0 4 2 7" xfId="2243" xr:uid="{00000000-0005-0000-0000-0000C3080000}"/>
    <cellStyle name="Comma0 4 2 7 2" xfId="2244" xr:uid="{00000000-0005-0000-0000-0000C4080000}"/>
    <cellStyle name="Comma0 4 2 7 3" xfId="2245" xr:uid="{00000000-0005-0000-0000-0000C5080000}"/>
    <cellStyle name="Comma0 4 2 8" xfId="2246" xr:uid="{00000000-0005-0000-0000-0000C6080000}"/>
    <cellStyle name="Comma0 4 2 9" xfId="2247" xr:uid="{00000000-0005-0000-0000-0000C7080000}"/>
    <cellStyle name="Comma0 4 3" xfId="2248" xr:uid="{00000000-0005-0000-0000-0000C8080000}"/>
    <cellStyle name="Comma0 4 3 2" xfId="2249" xr:uid="{00000000-0005-0000-0000-0000C9080000}"/>
    <cellStyle name="Comma0 4 3 2 2" xfId="2250" xr:uid="{00000000-0005-0000-0000-0000CA080000}"/>
    <cellStyle name="Comma0 4 3 2 2 2" xfId="2251" xr:uid="{00000000-0005-0000-0000-0000CB080000}"/>
    <cellStyle name="Comma0 4 3 2 2 3" xfId="2252" xr:uid="{00000000-0005-0000-0000-0000CC080000}"/>
    <cellStyle name="Comma0 4 3 2 3" xfId="2253" xr:uid="{00000000-0005-0000-0000-0000CD080000}"/>
    <cellStyle name="Comma0 4 3 2 3 2" xfId="2254" xr:uid="{00000000-0005-0000-0000-0000CE080000}"/>
    <cellStyle name="Comma0 4 3 2 3 3" xfId="2255" xr:uid="{00000000-0005-0000-0000-0000CF080000}"/>
    <cellStyle name="Comma0 4 3 2 4" xfId="2256" xr:uid="{00000000-0005-0000-0000-0000D0080000}"/>
    <cellStyle name="Comma0 4 3 2 5" xfId="2257" xr:uid="{00000000-0005-0000-0000-0000D1080000}"/>
    <cellStyle name="Comma0 4 3 2 6" xfId="2258" xr:uid="{00000000-0005-0000-0000-0000D2080000}"/>
    <cellStyle name="Comma0 4 3 3" xfId="2259" xr:uid="{00000000-0005-0000-0000-0000D3080000}"/>
    <cellStyle name="Comma0 4 3 3 2" xfId="2260" xr:uid="{00000000-0005-0000-0000-0000D4080000}"/>
    <cellStyle name="Comma0 4 3 3 3" xfId="2261" xr:uid="{00000000-0005-0000-0000-0000D5080000}"/>
    <cellStyle name="Comma0 4 3 4" xfId="2262" xr:uid="{00000000-0005-0000-0000-0000D6080000}"/>
    <cellStyle name="Comma0 4 3 4 2" xfId="2263" xr:uid="{00000000-0005-0000-0000-0000D7080000}"/>
    <cellStyle name="Comma0 4 3 4 3" xfId="2264" xr:uid="{00000000-0005-0000-0000-0000D8080000}"/>
    <cellStyle name="Comma0 4 3 5" xfId="2265" xr:uid="{00000000-0005-0000-0000-0000D9080000}"/>
    <cellStyle name="Comma0 4 3 5 2" xfId="2266" xr:uid="{00000000-0005-0000-0000-0000DA080000}"/>
    <cellStyle name="Comma0 4 3 5 3" xfId="2267" xr:uid="{00000000-0005-0000-0000-0000DB080000}"/>
    <cellStyle name="Comma0 4 3 6" xfId="2268" xr:uid="{00000000-0005-0000-0000-0000DC080000}"/>
    <cellStyle name="Comma0 4 3 7" xfId="2269" xr:uid="{00000000-0005-0000-0000-0000DD080000}"/>
    <cellStyle name="Comma0 4 3 8" xfId="2270" xr:uid="{00000000-0005-0000-0000-0000DE080000}"/>
    <cellStyle name="Comma0 4 4" xfId="2271" xr:uid="{00000000-0005-0000-0000-0000DF080000}"/>
    <cellStyle name="Comma0 4 4 2" xfId="2272" xr:uid="{00000000-0005-0000-0000-0000E0080000}"/>
    <cellStyle name="Comma0 4 4 2 2" xfId="2273" xr:uid="{00000000-0005-0000-0000-0000E1080000}"/>
    <cellStyle name="Comma0 4 4 2 2 2" xfId="2274" xr:uid="{00000000-0005-0000-0000-0000E2080000}"/>
    <cellStyle name="Comma0 4 4 2 2 3" xfId="2275" xr:uid="{00000000-0005-0000-0000-0000E3080000}"/>
    <cellStyle name="Comma0 4 4 2 3" xfId="2276" xr:uid="{00000000-0005-0000-0000-0000E4080000}"/>
    <cellStyle name="Comma0 4 4 2 3 2" xfId="2277" xr:uid="{00000000-0005-0000-0000-0000E5080000}"/>
    <cellStyle name="Comma0 4 4 2 3 3" xfId="2278" xr:uid="{00000000-0005-0000-0000-0000E6080000}"/>
    <cellStyle name="Comma0 4 4 2 4" xfId="2279" xr:uid="{00000000-0005-0000-0000-0000E7080000}"/>
    <cellStyle name="Comma0 4 4 2 5" xfId="2280" xr:uid="{00000000-0005-0000-0000-0000E8080000}"/>
    <cellStyle name="Comma0 4 4 2 6" xfId="2281" xr:uid="{00000000-0005-0000-0000-0000E9080000}"/>
    <cellStyle name="Comma0 4 4 3" xfId="2282" xr:uid="{00000000-0005-0000-0000-0000EA080000}"/>
    <cellStyle name="Comma0 4 4 3 2" xfId="2283" xr:uid="{00000000-0005-0000-0000-0000EB080000}"/>
    <cellStyle name="Comma0 4 4 3 3" xfId="2284" xr:uid="{00000000-0005-0000-0000-0000EC080000}"/>
    <cellStyle name="Comma0 4 4 4" xfId="2285" xr:uid="{00000000-0005-0000-0000-0000ED080000}"/>
    <cellStyle name="Comma0 4 4 4 2" xfId="2286" xr:uid="{00000000-0005-0000-0000-0000EE080000}"/>
    <cellStyle name="Comma0 4 4 4 3" xfId="2287" xr:uid="{00000000-0005-0000-0000-0000EF080000}"/>
    <cellStyle name="Comma0 4 4 5" xfId="2288" xr:uid="{00000000-0005-0000-0000-0000F0080000}"/>
    <cellStyle name="Comma0 4 4 5 2" xfId="2289" xr:uid="{00000000-0005-0000-0000-0000F1080000}"/>
    <cellStyle name="Comma0 4 4 5 3" xfId="2290" xr:uid="{00000000-0005-0000-0000-0000F2080000}"/>
    <cellStyle name="Comma0 4 4 6" xfId="2291" xr:uid="{00000000-0005-0000-0000-0000F3080000}"/>
    <cellStyle name="Comma0 4 4 7" xfId="2292" xr:uid="{00000000-0005-0000-0000-0000F4080000}"/>
    <cellStyle name="Comma0 4 4 8" xfId="2293" xr:uid="{00000000-0005-0000-0000-0000F5080000}"/>
    <cellStyle name="Comma0 4 5" xfId="2294" xr:uid="{00000000-0005-0000-0000-0000F6080000}"/>
    <cellStyle name="Comma0 4 5 2" xfId="2295" xr:uid="{00000000-0005-0000-0000-0000F7080000}"/>
    <cellStyle name="Comma0 4 5 2 2" xfId="2296" xr:uid="{00000000-0005-0000-0000-0000F8080000}"/>
    <cellStyle name="Comma0 4 5 2 2 2" xfId="2297" xr:uid="{00000000-0005-0000-0000-0000F9080000}"/>
    <cellStyle name="Comma0 4 5 2 2 3" xfId="2298" xr:uid="{00000000-0005-0000-0000-0000FA080000}"/>
    <cellStyle name="Comma0 4 5 2 3" xfId="2299" xr:uid="{00000000-0005-0000-0000-0000FB080000}"/>
    <cellStyle name="Comma0 4 5 2 3 2" xfId="2300" xr:uid="{00000000-0005-0000-0000-0000FC080000}"/>
    <cellStyle name="Comma0 4 5 2 3 3" xfId="2301" xr:uid="{00000000-0005-0000-0000-0000FD080000}"/>
    <cellStyle name="Comma0 4 5 2 4" xfId="2302" xr:uid="{00000000-0005-0000-0000-0000FE080000}"/>
    <cellStyle name="Comma0 4 5 2 5" xfId="2303" xr:uid="{00000000-0005-0000-0000-0000FF080000}"/>
    <cellStyle name="Comma0 4 5 2 6" xfId="2304" xr:uid="{00000000-0005-0000-0000-000000090000}"/>
    <cellStyle name="Comma0 4 5 3" xfId="2305" xr:uid="{00000000-0005-0000-0000-000001090000}"/>
    <cellStyle name="Comma0 4 5 3 2" xfId="2306" xr:uid="{00000000-0005-0000-0000-000002090000}"/>
    <cellStyle name="Comma0 4 5 3 3" xfId="2307" xr:uid="{00000000-0005-0000-0000-000003090000}"/>
    <cellStyle name="Comma0 4 5 4" xfId="2308" xr:uid="{00000000-0005-0000-0000-000004090000}"/>
    <cellStyle name="Comma0 4 5 4 2" xfId="2309" xr:uid="{00000000-0005-0000-0000-000005090000}"/>
    <cellStyle name="Comma0 4 5 4 3" xfId="2310" xr:uid="{00000000-0005-0000-0000-000006090000}"/>
    <cellStyle name="Comma0 4 5 5" xfId="2311" xr:uid="{00000000-0005-0000-0000-000007090000}"/>
    <cellStyle name="Comma0 4 5 5 2" xfId="2312" xr:uid="{00000000-0005-0000-0000-000008090000}"/>
    <cellStyle name="Comma0 4 5 5 3" xfId="2313" xr:uid="{00000000-0005-0000-0000-000009090000}"/>
    <cellStyle name="Comma0 4 5 6" xfId="2314" xr:uid="{00000000-0005-0000-0000-00000A090000}"/>
    <cellStyle name="Comma0 4 5 7" xfId="2315" xr:uid="{00000000-0005-0000-0000-00000B090000}"/>
    <cellStyle name="Comma0 4 5 8" xfId="2316" xr:uid="{00000000-0005-0000-0000-00000C090000}"/>
    <cellStyle name="Comma0 4 6" xfId="2317" xr:uid="{00000000-0005-0000-0000-00000D090000}"/>
    <cellStyle name="Comma0 4 6 2" xfId="2318" xr:uid="{00000000-0005-0000-0000-00000E090000}"/>
    <cellStyle name="Comma0 4 6 2 2" xfId="2319" xr:uid="{00000000-0005-0000-0000-00000F090000}"/>
    <cellStyle name="Comma0 4 6 2 3" xfId="2320" xr:uid="{00000000-0005-0000-0000-000010090000}"/>
    <cellStyle name="Comma0 4 6 3" xfId="2321" xr:uid="{00000000-0005-0000-0000-000011090000}"/>
    <cellStyle name="Comma0 4 6 3 2" xfId="2322" xr:uid="{00000000-0005-0000-0000-000012090000}"/>
    <cellStyle name="Comma0 4 6 3 3" xfId="2323" xr:uid="{00000000-0005-0000-0000-000013090000}"/>
    <cellStyle name="Comma0 4 6 4" xfId="2324" xr:uid="{00000000-0005-0000-0000-000014090000}"/>
    <cellStyle name="Comma0 4 6 5" xfId="2325" xr:uid="{00000000-0005-0000-0000-000015090000}"/>
    <cellStyle name="Comma0 4 6 6" xfId="2326" xr:uid="{00000000-0005-0000-0000-000016090000}"/>
    <cellStyle name="Comma0 4 7" xfId="2327" xr:uid="{00000000-0005-0000-0000-000017090000}"/>
    <cellStyle name="Comma0 4 7 2" xfId="2328" xr:uid="{00000000-0005-0000-0000-000018090000}"/>
    <cellStyle name="Comma0 4 7 3" xfId="2329" xr:uid="{00000000-0005-0000-0000-000019090000}"/>
    <cellStyle name="Comma0 4 7 4" xfId="2330" xr:uid="{00000000-0005-0000-0000-00001A090000}"/>
    <cellStyle name="Comma0 4 8" xfId="2331" xr:uid="{00000000-0005-0000-0000-00001B090000}"/>
    <cellStyle name="Comma0 4 8 2" xfId="2332" xr:uid="{00000000-0005-0000-0000-00001C090000}"/>
    <cellStyle name="Comma0 4 8 3" xfId="2333" xr:uid="{00000000-0005-0000-0000-00001D090000}"/>
    <cellStyle name="Comma0 4 9" xfId="2334" xr:uid="{00000000-0005-0000-0000-00001E090000}"/>
    <cellStyle name="Comma0 4 9 2" xfId="2335" xr:uid="{00000000-0005-0000-0000-00001F090000}"/>
    <cellStyle name="Comma0 4 9 3" xfId="2336" xr:uid="{00000000-0005-0000-0000-000020090000}"/>
    <cellStyle name="Comma0 5" xfId="2337" xr:uid="{00000000-0005-0000-0000-000021090000}"/>
    <cellStyle name="Comma0 5 10" xfId="2338" xr:uid="{00000000-0005-0000-0000-000022090000}"/>
    <cellStyle name="Comma0 5 11" xfId="2339" xr:uid="{00000000-0005-0000-0000-000023090000}"/>
    <cellStyle name="Comma0 5 12" xfId="2340" xr:uid="{00000000-0005-0000-0000-000024090000}"/>
    <cellStyle name="Comma0 5 2" xfId="2341" xr:uid="{00000000-0005-0000-0000-000025090000}"/>
    <cellStyle name="Comma0 5 2 10" xfId="2342" xr:uid="{00000000-0005-0000-0000-000026090000}"/>
    <cellStyle name="Comma0 5 2 2" xfId="2343" xr:uid="{00000000-0005-0000-0000-000027090000}"/>
    <cellStyle name="Comma0 5 2 2 2" xfId="2344" xr:uid="{00000000-0005-0000-0000-000028090000}"/>
    <cellStyle name="Comma0 5 2 2 2 2" xfId="2345" xr:uid="{00000000-0005-0000-0000-000029090000}"/>
    <cellStyle name="Comma0 5 2 2 2 2 2" xfId="2346" xr:uid="{00000000-0005-0000-0000-00002A090000}"/>
    <cellStyle name="Comma0 5 2 2 2 2 3" xfId="2347" xr:uid="{00000000-0005-0000-0000-00002B090000}"/>
    <cellStyle name="Comma0 5 2 2 2 3" xfId="2348" xr:uid="{00000000-0005-0000-0000-00002C090000}"/>
    <cellStyle name="Comma0 5 2 2 2 3 2" xfId="2349" xr:uid="{00000000-0005-0000-0000-00002D090000}"/>
    <cellStyle name="Comma0 5 2 2 2 3 3" xfId="2350" xr:uid="{00000000-0005-0000-0000-00002E090000}"/>
    <cellStyle name="Comma0 5 2 2 2 4" xfId="2351" xr:uid="{00000000-0005-0000-0000-00002F090000}"/>
    <cellStyle name="Comma0 5 2 2 2 5" xfId="2352" xr:uid="{00000000-0005-0000-0000-000030090000}"/>
    <cellStyle name="Comma0 5 2 2 2 6" xfId="2353" xr:uid="{00000000-0005-0000-0000-000031090000}"/>
    <cellStyle name="Comma0 5 2 2 3" xfId="2354" xr:uid="{00000000-0005-0000-0000-000032090000}"/>
    <cellStyle name="Comma0 5 2 2 3 2" xfId="2355" xr:uid="{00000000-0005-0000-0000-000033090000}"/>
    <cellStyle name="Comma0 5 2 2 3 3" xfId="2356" xr:uid="{00000000-0005-0000-0000-000034090000}"/>
    <cellStyle name="Comma0 5 2 2 4" xfId="2357" xr:uid="{00000000-0005-0000-0000-000035090000}"/>
    <cellStyle name="Comma0 5 2 2 4 2" xfId="2358" xr:uid="{00000000-0005-0000-0000-000036090000}"/>
    <cellStyle name="Comma0 5 2 2 4 3" xfId="2359" xr:uid="{00000000-0005-0000-0000-000037090000}"/>
    <cellStyle name="Comma0 5 2 2 5" xfId="2360" xr:uid="{00000000-0005-0000-0000-000038090000}"/>
    <cellStyle name="Comma0 5 2 2 5 2" xfId="2361" xr:uid="{00000000-0005-0000-0000-000039090000}"/>
    <cellStyle name="Comma0 5 2 2 5 3" xfId="2362" xr:uid="{00000000-0005-0000-0000-00003A090000}"/>
    <cellStyle name="Comma0 5 2 2 6" xfId="2363" xr:uid="{00000000-0005-0000-0000-00003B090000}"/>
    <cellStyle name="Comma0 5 2 2 7" xfId="2364" xr:uid="{00000000-0005-0000-0000-00003C090000}"/>
    <cellStyle name="Comma0 5 2 2 8" xfId="2365" xr:uid="{00000000-0005-0000-0000-00003D090000}"/>
    <cellStyle name="Comma0 5 2 3" xfId="2366" xr:uid="{00000000-0005-0000-0000-00003E090000}"/>
    <cellStyle name="Comma0 5 2 3 2" xfId="2367" xr:uid="{00000000-0005-0000-0000-00003F090000}"/>
    <cellStyle name="Comma0 5 2 3 2 2" xfId="2368" xr:uid="{00000000-0005-0000-0000-000040090000}"/>
    <cellStyle name="Comma0 5 2 3 2 2 2" xfId="2369" xr:uid="{00000000-0005-0000-0000-000041090000}"/>
    <cellStyle name="Comma0 5 2 3 2 2 3" xfId="2370" xr:uid="{00000000-0005-0000-0000-000042090000}"/>
    <cellStyle name="Comma0 5 2 3 2 3" xfId="2371" xr:uid="{00000000-0005-0000-0000-000043090000}"/>
    <cellStyle name="Comma0 5 2 3 2 3 2" xfId="2372" xr:uid="{00000000-0005-0000-0000-000044090000}"/>
    <cellStyle name="Comma0 5 2 3 2 3 3" xfId="2373" xr:uid="{00000000-0005-0000-0000-000045090000}"/>
    <cellStyle name="Comma0 5 2 3 2 4" xfId="2374" xr:uid="{00000000-0005-0000-0000-000046090000}"/>
    <cellStyle name="Comma0 5 2 3 2 5" xfId="2375" xr:uid="{00000000-0005-0000-0000-000047090000}"/>
    <cellStyle name="Comma0 5 2 3 2 6" xfId="2376" xr:uid="{00000000-0005-0000-0000-000048090000}"/>
    <cellStyle name="Comma0 5 2 3 3" xfId="2377" xr:uid="{00000000-0005-0000-0000-000049090000}"/>
    <cellStyle name="Comma0 5 2 3 3 2" xfId="2378" xr:uid="{00000000-0005-0000-0000-00004A090000}"/>
    <cellStyle name="Comma0 5 2 3 3 3" xfId="2379" xr:uid="{00000000-0005-0000-0000-00004B090000}"/>
    <cellStyle name="Comma0 5 2 3 4" xfId="2380" xr:uid="{00000000-0005-0000-0000-00004C090000}"/>
    <cellStyle name="Comma0 5 2 3 4 2" xfId="2381" xr:uid="{00000000-0005-0000-0000-00004D090000}"/>
    <cellStyle name="Comma0 5 2 3 4 3" xfId="2382" xr:uid="{00000000-0005-0000-0000-00004E090000}"/>
    <cellStyle name="Comma0 5 2 3 5" xfId="2383" xr:uid="{00000000-0005-0000-0000-00004F090000}"/>
    <cellStyle name="Comma0 5 2 3 5 2" xfId="2384" xr:uid="{00000000-0005-0000-0000-000050090000}"/>
    <cellStyle name="Comma0 5 2 3 5 3" xfId="2385" xr:uid="{00000000-0005-0000-0000-000051090000}"/>
    <cellStyle name="Comma0 5 2 3 6" xfId="2386" xr:uid="{00000000-0005-0000-0000-000052090000}"/>
    <cellStyle name="Comma0 5 2 3 7" xfId="2387" xr:uid="{00000000-0005-0000-0000-000053090000}"/>
    <cellStyle name="Comma0 5 2 3 8" xfId="2388" xr:uid="{00000000-0005-0000-0000-000054090000}"/>
    <cellStyle name="Comma0 5 2 4" xfId="2389" xr:uid="{00000000-0005-0000-0000-000055090000}"/>
    <cellStyle name="Comma0 5 2 4 2" xfId="2390" xr:uid="{00000000-0005-0000-0000-000056090000}"/>
    <cellStyle name="Comma0 5 2 4 2 2" xfId="2391" xr:uid="{00000000-0005-0000-0000-000057090000}"/>
    <cellStyle name="Comma0 5 2 4 2 3" xfId="2392" xr:uid="{00000000-0005-0000-0000-000058090000}"/>
    <cellStyle name="Comma0 5 2 4 3" xfId="2393" xr:uid="{00000000-0005-0000-0000-000059090000}"/>
    <cellStyle name="Comma0 5 2 4 3 2" xfId="2394" xr:uid="{00000000-0005-0000-0000-00005A090000}"/>
    <cellStyle name="Comma0 5 2 4 3 3" xfId="2395" xr:uid="{00000000-0005-0000-0000-00005B090000}"/>
    <cellStyle name="Comma0 5 2 4 4" xfId="2396" xr:uid="{00000000-0005-0000-0000-00005C090000}"/>
    <cellStyle name="Comma0 5 2 4 5" xfId="2397" xr:uid="{00000000-0005-0000-0000-00005D090000}"/>
    <cellStyle name="Comma0 5 2 4 6" xfId="2398" xr:uid="{00000000-0005-0000-0000-00005E090000}"/>
    <cellStyle name="Comma0 5 2 5" xfId="2399" xr:uid="{00000000-0005-0000-0000-00005F090000}"/>
    <cellStyle name="Comma0 5 2 5 2" xfId="2400" xr:uid="{00000000-0005-0000-0000-000060090000}"/>
    <cellStyle name="Comma0 5 2 5 3" xfId="2401" xr:uid="{00000000-0005-0000-0000-000061090000}"/>
    <cellStyle name="Comma0 5 2 6" xfId="2402" xr:uid="{00000000-0005-0000-0000-000062090000}"/>
    <cellStyle name="Comma0 5 2 6 2" xfId="2403" xr:uid="{00000000-0005-0000-0000-000063090000}"/>
    <cellStyle name="Comma0 5 2 6 3" xfId="2404" xr:uid="{00000000-0005-0000-0000-000064090000}"/>
    <cellStyle name="Comma0 5 2 7" xfId="2405" xr:uid="{00000000-0005-0000-0000-000065090000}"/>
    <cellStyle name="Comma0 5 2 7 2" xfId="2406" xr:uid="{00000000-0005-0000-0000-000066090000}"/>
    <cellStyle name="Comma0 5 2 7 3" xfId="2407" xr:uid="{00000000-0005-0000-0000-000067090000}"/>
    <cellStyle name="Comma0 5 2 8" xfId="2408" xr:uid="{00000000-0005-0000-0000-000068090000}"/>
    <cellStyle name="Comma0 5 2 9" xfId="2409" xr:uid="{00000000-0005-0000-0000-000069090000}"/>
    <cellStyle name="Comma0 5 3" xfId="2410" xr:uid="{00000000-0005-0000-0000-00006A090000}"/>
    <cellStyle name="Comma0 5 3 2" xfId="2411" xr:uid="{00000000-0005-0000-0000-00006B090000}"/>
    <cellStyle name="Comma0 5 3 2 2" xfId="2412" xr:uid="{00000000-0005-0000-0000-00006C090000}"/>
    <cellStyle name="Comma0 5 3 2 2 2" xfId="2413" xr:uid="{00000000-0005-0000-0000-00006D090000}"/>
    <cellStyle name="Comma0 5 3 2 2 3" xfId="2414" xr:uid="{00000000-0005-0000-0000-00006E090000}"/>
    <cellStyle name="Comma0 5 3 2 3" xfId="2415" xr:uid="{00000000-0005-0000-0000-00006F090000}"/>
    <cellStyle name="Comma0 5 3 2 3 2" xfId="2416" xr:uid="{00000000-0005-0000-0000-000070090000}"/>
    <cellStyle name="Comma0 5 3 2 3 3" xfId="2417" xr:uid="{00000000-0005-0000-0000-000071090000}"/>
    <cellStyle name="Comma0 5 3 2 4" xfId="2418" xr:uid="{00000000-0005-0000-0000-000072090000}"/>
    <cellStyle name="Comma0 5 3 2 5" xfId="2419" xr:uid="{00000000-0005-0000-0000-000073090000}"/>
    <cellStyle name="Comma0 5 3 2 6" xfId="2420" xr:uid="{00000000-0005-0000-0000-000074090000}"/>
    <cellStyle name="Comma0 5 3 3" xfId="2421" xr:uid="{00000000-0005-0000-0000-000075090000}"/>
    <cellStyle name="Comma0 5 3 3 2" xfId="2422" xr:uid="{00000000-0005-0000-0000-000076090000}"/>
    <cellStyle name="Comma0 5 3 3 3" xfId="2423" xr:uid="{00000000-0005-0000-0000-000077090000}"/>
    <cellStyle name="Comma0 5 3 4" xfId="2424" xr:uid="{00000000-0005-0000-0000-000078090000}"/>
    <cellStyle name="Comma0 5 3 4 2" xfId="2425" xr:uid="{00000000-0005-0000-0000-000079090000}"/>
    <cellStyle name="Comma0 5 3 4 3" xfId="2426" xr:uid="{00000000-0005-0000-0000-00007A090000}"/>
    <cellStyle name="Comma0 5 3 5" xfId="2427" xr:uid="{00000000-0005-0000-0000-00007B090000}"/>
    <cellStyle name="Comma0 5 3 5 2" xfId="2428" xr:uid="{00000000-0005-0000-0000-00007C090000}"/>
    <cellStyle name="Comma0 5 3 5 3" xfId="2429" xr:uid="{00000000-0005-0000-0000-00007D090000}"/>
    <cellStyle name="Comma0 5 3 6" xfId="2430" xr:uid="{00000000-0005-0000-0000-00007E090000}"/>
    <cellStyle name="Comma0 5 3 7" xfId="2431" xr:uid="{00000000-0005-0000-0000-00007F090000}"/>
    <cellStyle name="Comma0 5 3 8" xfId="2432" xr:uid="{00000000-0005-0000-0000-000080090000}"/>
    <cellStyle name="Comma0 5 4" xfId="2433" xr:uid="{00000000-0005-0000-0000-000081090000}"/>
    <cellStyle name="Comma0 5 4 2" xfId="2434" xr:uid="{00000000-0005-0000-0000-000082090000}"/>
    <cellStyle name="Comma0 5 4 2 2" xfId="2435" xr:uid="{00000000-0005-0000-0000-000083090000}"/>
    <cellStyle name="Comma0 5 4 2 2 2" xfId="2436" xr:uid="{00000000-0005-0000-0000-000084090000}"/>
    <cellStyle name="Comma0 5 4 2 2 3" xfId="2437" xr:uid="{00000000-0005-0000-0000-000085090000}"/>
    <cellStyle name="Comma0 5 4 2 3" xfId="2438" xr:uid="{00000000-0005-0000-0000-000086090000}"/>
    <cellStyle name="Comma0 5 4 2 3 2" xfId="2439" xr:uid="{00000000-0005-0000-0000-000087090000}"/>
    <cellStyle name="Comma0 5 4 2 3 3" xfId="2440" xr:uid="{00000000-0005-0000-0000-000088090000}"/>
    <cellStyle name="Comma0 5 4 2 4" xfId="2441" xr:uid="{00000000-0005-0000-0000-000089090000}"/>
    <cellStyle name="Comma0 5 4 2 5" xfId="2442" xr:uid="{00000000-0005-0000-0000-00008A090000}"/>
    <cellStyle name="Comma0 5 4 2 6" xfId="2443" xr:uid="{00000000-0005-0000-0000-00008B090000}"/>
    <cellStyle name="Comma0 5 4 3" xfId="2444" xr:uid="{00000000-0005-0000-0000-00008C090000}"/>
    <cellStyle name="Comma0 5 4 3 2" xfId="2445" xr:uid="{00000000-0005-0000-0000-00008D090000}"/>
    <cellStyle name="Comma0 5 4 3 3" xfId="2446" xr:uid="{00000000-0005-0000-0000-00008E090000}"/>
    <cellStyle name="Comma0 5 4 4" xfId="2447" xr:uid="{00000000-0005-0000-0000-00008F090000}"/>
    <cellStyle name="Comma0 5 4 4 2" xfId="2448" xr:uid="{00000000-0005-0000-0000-000090090000}"/>
    <cellStyle name="Comma0 5 4 4 3" xfId="2449" xr:uid="{00000000-0005-0000-0000-000091090000}"/>
    <cellStyle name="Comma0 5 4 5" xfId="2450" xr:uid="{00000000-0005-0000-0000-000092090000}"/>
    <cellStyle name="Comma0 5 4 5 2" xfId="2451" xr:uid="{00000000-0005-0000-0000-000093090000}"/>
    <cellStyle name="Comma0 5 4 5 3" xfId="2452" xr:uid="{00000000-0005-0000-0000-000094090000}"/>
    <cellStyle name="Comma0 5 4 6" xfId="2453" xr:uid="{00000000-0005-0000-0000-000095090000}"/>
    <cellStyle name="Comma0 5 4 7" xfId="2454" xr:uid="{00000000-0005-0000-0000-000096090000}"/>
    <cellStyle name="Comma0 5 4 8" xfId="2455" xr:uid="{00000000-0005-0000-0000-000097090000}"/>
    <cellStyle name="Comma0 5 5" xfId="2456" xr:uid="{00000000-0005-0000-0000-000098090000}"/>
    <cellStyle name="Comma0 5 5 2" xfId="2457" xr:uid="{00000000-0005-0000-0000-000099090000}"/>
    <cellStyle name="Comma0 5 5 2 2" xfId="2458" xr:uid="{00000000-0005-0000-0000-00009A090000}"/>
    <cellStyle name="Comma0 5 5 2 2 2" xfId="2459" xr:uid="{00000000-0005-0000-0000-00009B090000}"/>
    <cellStyle name="Comma0 5 5 2 2 3" xfId="2460" xr:uid="{00000000-0005-0000-0000-00009C090000}"/>
    <cellStyle name="Comma0 5 5 2 3" xfId="2461" xr:uid="{00000000-0005-0000-0000-00009D090000}"/>
    <cellStyle name="Comma0 5 5 2 3 2" xfId="2462" xr:uid="{00000000-0005-0000-0000-00009E090000}"/>
    <cellStyle name="Comma0 5 5 2 3 3" xfId="2463" xr:uid="{00000000-0005-0000-0000-00009F090000}"/>
    <cellStyle name="Comma0 5 5 2 4" xfId="2464" xr:uid="{00000000-0005-0000-0000-0000A0090000}"/>
    <cellStyle name="Comma0 5 5 2 5" xfId="2465" xr:uid="{00000000-0005-0000-0000-0000A1090000}"/>
    <cellStyle name="Comma0 5 5 2 6" xfId="2466" xr:uid="{00000000-0005-0000-0000-0000A2090000}"/>
    <cellStyle name="Comma0 5 5 3" xfId="2467" xr:uid="{00000000-0005-0000-0000-0000A3090000}"/>
    <cellStyle name="Comma0 5 5 3 2" xfId="2468" xr:uid="{00000000-0005-0000-0000-0000A4090000}"/>
    <cellStyle name="Comma0 5 5 3 3" xfId="2469" xr:uid="{00000000-0005-0000-0000-0000A5090000}"/>
    <cellStyle name="Comma0 5 5 4" xfId="2470" xr:uid="{00000000-0005-0000-0000-0000A6090000}"/>
    <cellStyle name="Comma0 5 5 4 2" xfId="2471" xr:uid="{00000000-0005-0000-0000-0000A7090000}"/>
    <cellStyle name="Comma0 5 5 4 3" xfId="2472" xr:uid="{00000000-0005-0000-0000-0000A8090000}"/>
    <cellStyle name="Comma0 5 5 5" xfId="2473" xr:uid="{00000000-0005-0000-0000-0000A9090000}"/>
    <cellStyle name="Comma0 5 5 5 2" xfId="2474" xr:uid="{00000000-0005-0000-0000-0000AA090000}"/>
    <cellStyle name="Comma0 5 5 5 3" xfId="2475" xr:uid="{00000000-0005-0000-0000-0000AB090000}"/>
    <cellStyle name="Comma0 5 5 6" xfId="2476" xr:uid="{00000000-0005-0000-0000-0000AC090000}"/>
    <cellStyle name="Comma0 5 5 7" xfId="2477" xr:uid="{00000000-0005-0000-0000-0000AD090000}"/>
    <cellStyle name="Comma0 5 5 8" xfId="2478" xr:uid="{00000000-0005-0000-0000-0000AE090000}"/>
    <cellStyle name="Comma0 5 6" xfId="2479" xr:uid="{00000000-0005-0000-0000-0000AF090000}"/>
    <cellStyle name="Comma0 5 6 2" xfId="2480" xr:uid="{00000000-0005-0000-0000-0000B0090000}"/>
    <cellStyle name="Comma0 5 6 2 2" xfId="2481" xr:uid="{00000000-0005-0000-0000-0000B1090000}"/>
    <cellStyle name="Comma0 5 6 2 3" xfId="2482" xr:uid="{00000000-0005-0000-0000-0000B2090000}"/>
    <cellStyle name="Comma0 5 6 3" xfId="2483" xr:uid="{00000000-0005-0000-0000-0000B3090000}"/>
    <cellStyle name="Comma0 5 6 3 2" xfId="2484" xr:uid="{00000000-0005-0000-0000-0000B4090000}"/>
    <cellStyle name="Comma0 5 6 3 3" xfId="2485" xr:uid="{00000000-0005-0000-0000-0000B5090000}"/>
    <cellStyle name="Comma0 5 6 4" xfId="2486" xr:uid="{00000000-0005-0000-0000-0000B6090000}"/>
    <cellStyle name="Comma0 5 6 5" xfId="2487" xr:uid="{00000000-0005-0000-0000-0000B7090000}"/>
    <cellStyle name="Comma0 5 6 6" xfId="2488" xr:uid="{00000000-0005-0000-0000-0000B8090000}"/>
    <cellStyle name="Comma0 5 7" xfId="2489" xr:uid="{00000000-0005-0000-0000-0000B9090000}"/>
    <cellStyle name="Comma0 5 7 2" xfId="2490" xr:uid="{00000000-0005-0000-0000-0000BA090000}"/>
    <cellStyle name="Comma0 5 7 3" xfId="2491" xr:uid="{00000000-0005-0000-0000-0000BB090000}"/>
    <cellStyle name="Comma0 5 7 4" xfId="2492" xr:uid="{00000000-0005-0000-0000-0000BC090000}"/>
    <cellStyle name="Comma0 5 8" xfId="2493" xr:uid="{00000000-0005-0000-0000-0000BD090000}"/>
    <cellStyle name="Comma0 5 8 2" xfId="2494" xr:uid="{00000000-0005-0000-0000-0000BE090000}"/>
    <cellStyle name="Comma0 5 8 3" xfId="2495" xr:uid="{00000000-0005-0000-0000-0000BF090000}"/>
    <cellStyle name="Comma0 5 9" xfId="2496" xr:uid="{00000000-0005-0000-0000-0000C0090000}"/>
    <cellStyle name="Comma0 5 9 2" xfId="2497" xr:uid="{00000000-0005-0000-0000-0000C1090000}"/>
    <cellStyle name="Comma0 5 9 3" xfId="2498" xr:uid="{00000000-0005-0000-0000-0000C2090000}"/>
    <cellStyle name="Comma0 6" xfId="2499" xr:uid="{00000000-0005-0000-0000-0000C3090000}"/>
    <cellStyle name="Comma0 6 10" xfId="2500" xr:uid="{00000000-0005-0000-0000-0000C4090000}"/>
    <cellStyle name="Comma0 6 11" xfId="2501" xr:uid="{00000000-0005-0000-0000-0000C5090000}"/>
    <cellStyle name="Comma0 6 12" xfId="2502" xr:uid="{00000000-0005-0000-0000-0000C6090000}"/>
    <cellStyle name="Comma0 6 2" xfId="2503" xr:uid="{00000000-0005-0000-0000-0000C7090000}"/>
    <cellStyle name="Comma0 6 2 10" xfId="2504" xr:uid="{00000000-0005-0000-0000-0000C8090000}"/>
    <cellStyle name="Comma0 6 2 2" xfId="2505" xr:uid="{00000000-0005-0000-0000-0000C9090000}"/>
    <cellStyle name="Comma0 6 2 2 2" xfId="2506" xr:uid="{00000000-0005-0000-0000-0000CA090000}"/>
    <cellStyle name="Comma0 6 2 2 2 2" xfId="2507" xr:uid="{00000000-0005-0000-0000-0000CB090000}"/>
    <cellStyle name="Comma0 6 2 2 2 2 2" xfId="2508" xr:uid="{00000000-0005-0000-0000-0000CC090000}"/>
    <cellStyle name="Comma0 6 2 2 2 2 3" xfId="2509" xr:uid="{00000000-0005-0000-0000-0000CD090000}"/>
    <cellStyle name="Comma0 6 2 2 2 3" xfId="2510" xr:uid="{00000000-0005-0000-0000-0000CE090000}"/>
    <cellStyle name="Comma0 6 2 2 2 3 2" xfId="2511" xr:uid="{00000000-0005-0000-0000-0000CF090000}"/>
    <cellStyle name="Comma0 6 2 2 2 3 3" xfId="2512" xr:uid="{00000000-0005-0000-0000-0000D0090000}"/>
    <cellStyle name="Comma0 6 2 2 2 4" xfId="2513" xr:uid="{00000000-0005-0000-0000-0000D1090000}"/>
    <cellStyle name="Comma0 6 2 2 2 5" xfId="2514" xr:uid="{00000000-0005-0000-0000-0000D2090000}"/>
    <cellStyle name="Comma0 6 2 2 2 6" xfId="2515" xr:uid="{00000000-0005-0000-0000-0000D3090000}"/>
    <cellStyle name="Comma0 6 2 2 3" xfId="2516" xr:uid="{00000000-0005-0000-0000-0000D4090000}"/>
    <cellStyle name="Comma0 6 2 2 3 2" xfId="2517" xr:uid="{00000000-0005-0000-0000-0000D5090000}"/>
    <cellStyle name="Comma0 6 2 2 3 3" xfId="2518" xr:uid="{00000000-0005-0000-0000-0000D6090000}"/>
    <cellStyle name="Comma0 6 2 2 4" xfId="2519" xr:uid="{00000000-0005-0000-0000-0000D7090000}"/>
    <cellStyle name="Comma0 6 2 2 4 2" xfId="2520" xr:uid="{00000000-0005-0000-0000-0000D8090000}"/>
    <cellStyle name="Comma0 6 2 2 4 3" xfId="2521" xr:uid="{00000000-0005-0000-0000-0000D9090000}"/>
    <cellStyle name="Comma0 6 2 2 5" xfId="2522" xr:uid="{00000000-0005-0000-0000-0000DA090000}"/>
    <cellStyle name="Comma0 6 2 2 5 2" xfId="2523" xr:uid="{00000000-0005-0000-0000-0000DB090000}"/>
    <cellStyle name="Comma0 6 2 2 5 3" xfId="2524" xr:uid="{00000000-0005-0000-0000-0000DC090000}"/>
    <cellStyle name="Comma0 6 2 2 6" xfId="2525" xr:uid="{00000000-0005-0000-0000-0000DD090000}"/>
    <cellStyle name="Comma0 6 2 2 7" xfId="2526" xr:uid="{00000000-0005-0000-0000-0000DE090000}"/>
    <cellStyle name="Comma0 6 2 2 8" xfId="2527" xr:uid="{00000000-0005-0000-0000-0000DF090000}"/>
    <cellStyle name="Comma0 6 2 3" xfId="2528" xr:uid="{00000000-0005-0000-0000-0000E0090000}"/>
    <cellStyle name="Comma0 6 2 3 2" xfId="2529" xr:uid="{00000000-0005-0000-0000-0000E1090000}"/>
    <cellStyle name="Comma0 6 2 3 2 2" xfId="2530" xr:uid="{00000000-0005-0000-0000-0000E2090000}"/>
    <cellStyle name="Comma0 6 2 3 2 2 2" xfId="2531" xr:uid="{00000000-0005-0000-0000-0000E3090000}"/>
    <cellStyle name="Comma0 6 2 3 2 2 3" xfId="2532" xr:uid="{00000000-0005-0000-0000-0000E4090000}"/>
    <cellStyle name="Comma0 6 2 3 2 3" xfId="2533" xr:uid="{00000000-0005-0000-0000-0000E5090000}"/>
    <cellStyle name="Comma0 6 2 3 2 3 2" xfId="2534" xr:uid="{00000000-0005-0000-0000-0000E6090000}"/>
    <cellStyle name="Comma0 6 2 3 2 3 3" xfId="2535" xr:uid="{00000000-0005-0000-0000-0000E7090000}"/>
    <cellStyle name="Comma0 6 2 3 2 4" xfId="2536" xr:uid="{00000000-0005-0000-0000-0000E8090000}"/>
    <cellStyle name="Comma0 6 2 3 2 5" xfId="2537" xr:uid="{00000000-0005-0000-0000-0000E9090000}"/>
    <cellStyle name="Comma0 6 2 3 2 6" xfId="2538" xr:uid="{00000000-0005-0000-0000-0000EA090000}"/>
    <cellStyle name="Comma0 6 2 3 3" xfId="2539" xr:uid="{00000000-0005-0000-0000-0000EB090000}"/>
    <cellStyle name="Comma0 6 2 3 3 2" xfId="2540" xr:uid="{00000000-0005-0000-0000-0000EC090000}"/>
    <cellStyle name="Comma0 6 2 3 3 3" xfId="2541" xr:uid="{00000000-0005-0000-0000-0000ED090000}"/>
    <cellStyle name="Comma0 6 2 3 4" xfId="2542" xr:uid="{00000000-0005-0000-0000-0000EE090000}"/>
    <cellStyle name="Comma0 6 2 3 4 2" xfId="2543" xr:uid="{00000000-0005-0000-0000-0000EF090000}"/>
    <cellStyle name="Comma0 6 2 3 4 3" xfId="2544" xr:uid="{00000000-0005-0000-0000-0000F0090000}"/>
    <cellStyle name="Comma0 6 2 3 5" xfId="2545" xr:uid="{00000000-0005-0000-0000-0000F1090000}"/>
    <cellStyle name="Comma0 6 2 3 5 2" xfId="2546" xr:uid="{00000000-0005-0000-0000-0000F2090000}"/>
    <cellStyle name="Comma0 6 2 3 5 3" xfId="2547" xr:uid="{00000000-0005-0000-0000-0000F3090000}"/>
    <cellStyle name="Comma0 6 2 3 6" xfId="2548" xr:uid="{00000000-0005-0000-0000-0000F4090000}"/>
    <cellStyle name="Comma0 6 2 3 7" xfId="2549" xr:uid="{00000000-0005-0000-0000-0000F5090000}"/>
    <cellStyle name="Comma0 6 2 3 8" xfId="2550" xr:uid="{00000000-0005-0000-0000-0000F6090000}"/>
    <cellStyle name="Comma0 6 2 4" xfId="2551" xr:uid="{00000000-0005-0000-0000-0000F7090000}"/>
    <cellStyle name="Comma0 6 2 4 2" xfId="2552" xr:uid="{00000000-0005-0000-0000-0000F8090000}"/>
    <cellStyle name="Comma0 6 2 4 2 2" xfId="2553" xr:uid="{00000000-0005-0000-0000-0000F9090000}"/>
    <cellStyle name="Comma0 6 2 4 2 3" xfId="2554" xr:uid="{00000000-0005-0000-0000-0000FA090000}"/>
    <cellStyle name="Comma0 6 2 4 3" xfId="2555" xr:uid="{00000000-0005-0000-0000-0000FB090000}"/>
    <cellStyle name="Comma0 6 2 4 3 2" xfId="2556" xr:uid="{00000000-0005-0000-0000-0000FC090000}"/>
    <cellStyle name="Comma0 6 2 4 3 3" xfId="2557" xr:uid="{00000000-0005-0000-0000-0000FD090000}"/>
    <cellStyle name="Comma0 6 2 4 4" xfId="2558" xr:uid="{00000000-0005-0000-0000-0000FE090000}"/>
    <cellStyle name="Comma0 6 2 4 5" xfId="2559" xr:uid="{00000000-0005-0000-0000-0000FF090000}"/>
    <cellStyle name="Comma0 6 2 4 6" xfId="2560" xr:uid="{00000000-0005-0000-0000-0000000A0000}"/>
    <cellStyle name="Comma0 6 2 5" xfId="2561" xr:uid="{00000000-0005-0000-0000-0000010A0000}"/>
    <cellStyle name="Comma0 6 2 5 2" xfId="2562" xr:uid="{00000000-0005-0000-0000-0000020A0000}"/>
    <cellStyle name="Comma0 6 2 5 3" xfId="2563" xr:uid="{00000000-0005-0000-0000-0000030A0000}"/>
    <cellStyle name="Comma0 6 2 6" xfId="2564" xr:uid="{00000000-0005-0000-0000-0000040A0000}"/>
    <cellStyle name="Comma0 6 2 6 2" xfId="2565" xr:uid="{00000000-0005-0000-0000-0000050A0000}"/>
    <cellStyle name="Comma0 6 2 6 3" xfId="2566" xr:uid="{00000000-0005-0000-0000-0000060A0000}"/>
    <cellStyle name="Comma0 6 2 7" xfId="2567" xr:uid="{00000000-0005-0000-0000-0000070A0000}"/>
    <cellStyle name="Comma0 6 2 7 2" xfId="2568" xr:uid="{00000000-0005-0000-0000-0000080A0000}"/>
    <cellStyle name="Comma0 6 2 7 3" xfId="2569" xr:uid="{00000000-0005-0000-0000-0000090A0000}"/>
    <cellStyle name="Comma0 6 2 8" xfId="2570" xr:uid="{00000000-0005-0000-0000-00000A0A0000}"/>
    <cellStyle name="Comma0 6 2 9" xfId="2571" xr:uid="{00000000-0005-0000-0000-00000B0A0000}"/>
    <cellStyle name="Comma0 6 3" xfId="2572" xr:uid="{00000000-0005-0000-0000-00000C0A0000}"/>
    <cellStyle name="Comma0 6 3 2" xfId="2573" xr:uid="{00000000-0005-0000-0000-00000D0A0000}"/>
    <cellStyle name="Comma0 6 3 2 2" xfId="2574" xr:uid="{00000000-0005-0000-0000-00000E0A0000}"/>
    <cellStyle name="Comma0 6 3 2 2 2" xfId="2575" xr:uid="{00000000-0005-0000-0000-00000F0A0000}"/>
    <cellStyle name="Comma0 6 3 2 2 3" xfId="2576" xr:uid="{00000000-0005-0000-0000-0000100A0000}"/>
    <cellStyle name="Comma0 6 3 2 3" xfId="2577" xr:uid="{00000000-0005-0000-0000-0000110A0000}"/>
    <cellStyle name="Comma0 6 3 2 3 2" xfId="2578" xr:uid="{00000000-0005-0000-0000-0000120A0000}"/>
    <cellStyle name="Comma0 6 3 2 3 3" xfId="2579" xr:uid="{00000000-0005-0000-0000-0000130A0000}"/>
    <cellStyle name="Comma0 6 3 2 4" xfId="2580" xr:uid="{00000000-0005-0000-0000-0000140A0000}"/>
    <cellStyle name="Comma0 6 3 2 5" xfId="2581" xr:uid="{00000000-0005-0000-0000-0000150A0000}"/>
    <cellStyle name="Comma0 6 3 2 6" xfId="2582" xr:uid="{00000000-0005-0000-0000-0000160A0000}"/>
    <cellStyle name="Comma0 6 3 3" xfId="2583" xr:uid="{00000000-0005-0000-0000-0000170A0000}"/>
    <cellStyle name="Comma0 6 3 3 2" xfId="2584" xr:uid="{00000000-0005-0000-0000-0000180A0000}"/>
    <cellStyle name="Comma0 6 3 3 3" xfId="2585" xr:uid="{00000000-0005-0000-0000-0000190A0000}"/>
    <cellStyle name="Comma0 6 3 4" xfId="2586" xr:uid="{00000000-0005-0000-0000-00001A0A0000}"/>
    <cellStyle name="Comma0 6 3 4 2" xfId="2587" xr:uid="{00000000-0005-0000-0000-00001B0A0000}"/>
    <cellStyle name="Comma0 6 3 4 3" xfId="2588" xr:uid="{00000000-0005-0000-0000-00001C0A0000}"/>
    <cellStyle name="Comma0 6 3 5" xfId="2589" xr:uid="{00000000-0005-0000-0000-00001D0A0000}"/>
    <cellStyle name="Comma0 6 3 5 2" xfId="2590" xr:uid="{00000000-0005-0000-0000-00001E0A0000}"/>
    <cellStyle name="Comma0 6 3 5 3" xfId="2591" xr:uid="{00000000-0005-0000-0000-00001F0A0000}"/>
    <cellStyle name="Comma0 6 3 6" xfId="2592" xr:uid="{00000000-0005-0000-0000-0000200A0000}"/>
    <cellStyle name="Comma0 6 3 7" xfId="2593" xr:uid="{00000000-0005-0000-0000-0000210A0000}"/>
    <cellStyle name="Comma0 6 3 8" xfId="2594" xr:uid="{00000000-0005-0000-0000-0000220A0000}"/>
    <cellStyle name="Comma0 6 4" xfId="2595" xr:uid="{00000000-0005-0000-0000-0000230A0000}"/>
    <cellStyle name="Comma0 6 4 2" xfId="2596" xr:uid="{00000000-0005-0000-0000-0000240A0000}"/>
    <cellStyle name="Comma0 6 4 2 2" xfId="2597" xr:uid="{00000000-0005-0000-0000-0000250A0000}"/>
    <cellStyle name="Comma0 6 4 2 2 2" xfId="2598" xr:uid="{00000000-0005-0000-0000-0000260A0000}"/>
    <cellStyle name="Comma0 6 4 2 2 3" xfId="2599" xr:uid="{00000000-0005-0000-0000-0000270A0000}"/>
    <cellStyle name="Comma0 6 4 2 3" xfId="2600" xr:uid="{00000000-0005-0000-0000-0000280A0000}"/>
    <cellStyle name="Comma0 6 4 2 3 2" xfId="2601" xr:uid="{00000000-0005-0000-0000-0000290A0000}"/>
    <cellStyle name="Comma0 6 4 2 3 3" xfId="2602" xr:uid="{00000000-0005-0000-0000-00002A0A0000}"/>
    <cellStyle name="Comma0 6 4 2 4" xfId="2603" xr:uid="{00000000-0005-0000-0000-00002B0A0000}"/>
    <cellStyle name="Comma0 6 4 2 5" xfId="2604" xr:uid="{00000000-0005-0000-0000-00002C0A0000}"/>
    <cellStyle name="Comma0 6 4 2 6" xfId="2605" xr:uid="{00000000-0005-0000-0000-00002D0A0000}"/>
    <cellStyle name="Comma0 6 4 3" xfId="2606" xr:uid="{00000000-0005-0000-0000-00002E0A0000}"/>
    <cellStyle name="Comma0 6 4 3 2" xfId="2607" xr:uid="{00000000-0005-0000-0000-00002F0A0000}"/>
    <cellStyle name="Comma0 6 4 3 3" xfId="2608" xr:uid="{00000000-0005-0000-0000-0000300A0000}"/>
    <cellStyle name="Comma0 6 4 4" xfId="2609" xr:uid="{00000000-0005-0000-0000-0000310A0000}"/>
    <cellStyle name="Comma0 6 4 4 2" xfId="2610" xr:uid="{00000000-0005-0000-0000-0000320A0000}"/>
    <cellStyle name="Comma0 6 4 4 3" xfId="2611" xr:uid="{00000000-0005-0000-0000-0000330A0000}"/>
    <cellStyle name="Comma0 6 4 5" xfId="2612" xr:uid="{00000000-0005-0000-0000-0000340A0000}"/>
    <cellStyle name="Comma0 6 4 5 2" xfId="2613" xr:uid="{00000000-0005-0000-0000-0000350A0000}"/>
    <cellStyle name="Comma0 6 4 5 3" xfId="2614" xr:uid="{00000000-0005-0000-0000-0000360A0000}"/>
    <cellStyle name="Comma0 6 4 6" xfId="2615" xr:uid="{00000000-0005-0000-0000-0000370A0000}"/>
    <cellStyle name="Comma0 6 4 7" xfId="2616" xr:uid="{00000000-0005-0000-0000-0000380A0000}"/>
    <cellStyle name="Comma0 6 4 8" xfId="2617" xr:uid="{00000000-0005-0000-0000-0000390A0000}"/>
    <cellStyle name="Comma0 6 5" xfId="2618" xr:uid="{00000000-0005-0000-0000-00003A0A0000}"/>
    <cellStyle name="Comma0 6 5 2" xfId="2619" xr:uid="{00000000-0005-0000-0000-00003B0A0000}"/>
    <cellStyle name="Comma0 6 5 2 2" xfId="2620" xr:uid="{00000000-0005-0000-0000-00003C0A0000}"/>
    <cellStyle name="Comma0 6 5 2 2 2" xfId="2621" xr:uid="{00000000-0005-0000-0000-00003D0A0000}"/>
    <cellStyle name="Comma0 6 5 2 2 3" xfId="2622" xr:uid="{00000000-0005-0000-0000-00003E0A0000}"/>
    <cellStyle name="Comma0 6 5 2 3" xfId="2623" xr:uid="{00000000-0005-0000-0000-00003F0A0000}"/>
    <cellStyle name="Comma0 6 5 2 3 2" xfId="2624" xr:uid="{00000000-0005-0000-0000-0000400A0000}"/>
    <cellStyle name="Comma0 6 5 2 3 3" xfId="2625" xr:uid="{00000000-0005-0000-0000-0000410A0000}"/>
    <cellStyle name="Comma0 6 5 2 4" xfId="2626" xr:uid="{00000000-0005-0000-0000-0000420A0000}"/>
    <cellStyle name="Comma0 6 5 2 5" xfId="2627" xr:uid="{00000000-0005-0000-0000-0000430A0000}"/>
    <cellStyle name="Comma0 6 5 2 6" xfId="2628" xr:uid="{00000000-0005-0000-0000-0000440A0000}"/>
    <cellStyle name="Comma0 6 5 3" xfId="2629" xr:uid="{00000000-0005-0000-0000-0000450A0000}"/>
    <cellStyle name="Comma0 6 5 3 2" xfId="2630" xr:uid="{00000000-0005-0000-0000-0000460A0000}"/>
    <cellStyle name="Comma0 6 5 3 3" xfId="2631" xr:uid="{00000000-0005-0000-0000-0000470A0000}"/>
    <cellStyle name="Comma0 6 5 4" xfId="2632" xr:uid="{00000000-0005-0000-0000-0000480A0000}"/>
    <cellStyle name="Comma0 6 5 4 2" xfId="2633" xr:uid="{00000000-0005-0000-0000-0000490A0000}"/>
    <cellStyle name="Comma0 6 5 4 3" xfId="2634" xr:uid="{00000000-0005-0000-0000-00004A0A0000}"/>
    <cellStyle name="Comma0 6 5 5" xfId="2635" xr:uid="{00000000-0005-0000-0000-00004B0A0000}"/>
    <cellStyle name="Comma0 6 5 5 2" xfId="2636" xr:uid="{00000000-0005-0000-0000-00004C0A0000}"/>
    <cellStyle name="Comma0 6 5 5 3" xfId="2637" xr:uid="{00000000-0005-0000-0000-00004D0A0000}"/>
    <cellStyle name="Comma0 6 5 6" xfId="2638" xr:uid="{00000000-0005-0000-0000-00004E0A0000}"/>
    <cellStyle name="Comma0 6 5 7" xfId="2639" xr:uid="{00000000-0005-0000-0000-00004F0A0000}"/>
    <cellStyle name="Comma0 6 5 8" xfId="2640" xr:uid="{00000000-0005-0000-0000-0000500A0000}"/>
    <cellStyle name="Comma0 6 6" xfId="2641" xr:uid="{00000000-0005-0000-0000-0000510A0000}"/>
    <cellStyle name="Comma0 6 6 2" xfId="2642" xr:uid="{00000000-0005-0000-0000-0000520A0000}"/>
    <cellStyle name="Comma0 6 6 2 2" xfId="2643" xr:uid="{00000000-0005-0000-0000-0000530A0000}"/>
    <cellStyle name="Comma0 6 6 2 3" xfId="2644" xr:uid="{00000000-0005-0000-0000-0000540A0000}"/>
    <cellStyle name="Comma0 6 6 3" xfId="2645" xr:uid="{00000000-0005-0000-0000-0000550A0000}"/>
    <cellStyle name="Comma0 6 6 3 2" xfId="2646" xr:uid="{00000000-0005-0000-0000-0000560A0000}"/>
    <cellStyle name="Comma0 6 6 3 3" xfId="2647" xr:uid="{00000000-0005-0000-0000-0000570A0000}"/>
    <cellStyle name="Comma0 6 6 4" xfId="2648" xr:uid="{00000000-0005-0000-0000-0000580A0000}"/>
    <cellStyle name="Comma0 6 6 5" xfId="2649" xr:uid="{00000000-0005-0000-0000-0000590A0000}"/>
    <cellStyle name="Comma0 6 6 6" xfId="2650" xr:uid="{00000000-0005-0000-0000-00005A0A0000}"/>
    <cellStyle name="Comma0 6 7" xfId="2651" xr:uid="{00000000-0005-0000-0000-00005B0A0000}"/>
    <cellStyle name="Comma0 6 7 2" xfId="2652" xr:uid="{00000000-0005-0000-0000-00005C0A0000}"/>
    <cellStyle name="Comma0 6 7 3" xfId="2653" xr:uid="{00000000-0005-0000-0000-00005D0A0000}"/>
    <cellStyle name="Comma0 6 7 4" xfId="2654" xr:uid="{00000000-0005-0000-0000-00005E0A0000}"/>
    <cellStyle name="Comma0 6 8" xfId="2655" xr:uid="{00000000-0005-0000-0000-00005F0A0000}"/>
    <cellStyle name="Comma0 6 8 2" xfId="2656" xr:uid="{00000000-0005-0000-0000-0000600A0000}"/>
    <cellStyle name="Comma0 6 8 3" xfId="2657" xr:uid="{00000000-0005-0000-0000-0000610A0000}"/>
    <cellStyle name="Comma0 6 9" xfId="2658" xr:uid="{00000000-0005-0000-0000-0000620A0000}"/>
    <cellStyle name="Comma0 6 9 2" xfId="2659" xr:uid="{00000000-0005-0000-0000-0000630A0000}"/>
    <cellStyle name="Comma0 6 9 3" xfId="2660" xr:uid="{00000000-0005-0000-0000-0000640A0000}"/>
    <cellStyle name="Comma0 7" xfId="2661" xr:uid="{00000000-0005-0000-0000-0000650A0000}"/>
    <cellStyle name="Comma0 7 10" xfId="2662" xr:uid="{00000000-0005-0000-0000-0000660A0000}"/>
    <cellStyle name="Comma0 7 11" xfId="2663" xr:uid="{00000000-0005-0000-0000-0000670A0000}"/>
    <cellStyle name="Comma0 7 12" xfId="2664" xr:uid="{00000000-0005-0000-0000-0000680A0000}"/>
    <cellStyle name="Comma0 7 2" xfId="2665" xr:uid="{00000000-0005-0000-0000-0000690A0000}"/>
    <cellStyle name="Comma0 7 2 10" xfId="2666" xr:uid="{00000000-0005-0000-0000-00006A0A0000}"/>
    <cellStyle name="Comma0 7 2 2" xfId="2667" xr:uid="{00000000-0005-0000-0000-00006B0A0000}"/>
    <cellStyle name="Comma0 7 2 2 2" xfId="2668" xr:uid="{00000000-0005-0000-0000-00006C0A0000}"/>
    <cellStyle name="Comma0 7 2 2 2 2" xfId="2669" xr:uid="{00000000-0005-0000-0000-00006D0A0000}"/>
    <cellStyle name="Comma0 7 2 2 2 2 2" xfId="2670" xr:uid="{00000000-0005-0000-0000-00006E0A0000}"/>
    <cellStyle name="Comma0 7 2 2 2 2 3" xfId="2671" xr:uid="{00000000-0005-0000-0000-00006F0A0000}"/>
    <cellStyle name="Comma0 7 2 2 2 3" xfId="2672" xr:uid="{00000000-0005-0000-0000-0000700A0000}"/>
    <cellStyle name="Comma0 7 2 2 2 3 2" xfId="2673" xr:uid="{00000000-0005-0000-0000-0000710A0000}"/>
    <cellStyle name="Comma0 7 2 2 2 3 3" xfId="2674" xr:uid="{00000000-0005-0000-0000-0000720A0000}"/>
    <cellStyle name="Comma0 7 2 2 2 4" xfId="2675" xr:uid="{00000000-0005-0000-0000-0000730A0000}"/>
    <cellStyle name="Comma0 7 2 2 2 5" xfId="2676" xr:uid="{00000000-0005-0000-0000-0000740A0000}"/>
    <cellStyle name="Comma0 7 2 2 2 6" xfId="2677" xr:uid="{00000000-0005-0000-0000-0000750A0000}"/>
    <cellStyle name="Comma0 7 2 2 3" xfId="2678" xr:uid="{00000000-0005-0000-0000-0000760A0000}"/>
    <cellStyle name="Comma0 7 2 2 3 2" xfId="2679" xr:uid="{00000000-0005-0000-0000-0000770A0000}"/>
    <cellStyle name="Comma0 7 2 2 3 3" xfId="2680" xr:uid="{00000000-0005-0000-0000-0000780A0000}"/>
    <cellStyle name="Comma0 7 2 2 4" xfId="2681" xr:uid="{00000000-0005-0000-0000-0000790A0000}"/>
    <cellStyle name="Comma0 7 2 2 4 2" xfId="2682" xr:uid="{00000000-0005-0000-0000-00007A0A0000}"/>
    <cellStyle name="Comma0 7 2 2 4 3" xfId="2683" xr:uid="{00000000-0005-0000-0000-00007B0A0000}"/>
    <cellStyle name="Comma0 7 2 2 5" xfId="2684" xr:uid="{00000000-0005-0000-0000-00007C0A0000}"/>
    <cellStyle name="Comma0 7 2 2 5 2" xfId="2685" xr:uid="{00000000-0005-0000-0000-00007D0A0000}"/>
    <cellStyle name="Comma0 7 2 2 5 3" xfId="2686" xr:uid="{00000000-0005-0000-0000-00007E0A0000}"/>
    <cellStyle name="Comma0 7 2 2 6" xfId="2687" xr:uid="{00000000-0005-0000-0000-00007F0A0000}"/>
    <cellStyle name="Comma0 7 2 2 7" xfId="2688" xr:uid="{00000000-0005-0000-0000-0000800A0000}"/>
    <cellStyle name="Comma0 7 2 2 8" xfId="2689" xr:uid="{00000000-0005-0000-0000-0000810A0000}"/>
    <cellStyle name="Comma0 7 2 3" xfId="2690" xr:uid="{00000000-0005-0000-0000-0000820A0000}"/>
    <cellStyle name="Comma0 7 2 3 2" xfId="2691" xr:uid="{00000000-0005-0000-0000-0000830A0000}"/>
    <cellStyle name="Comma0 7 2 3 2 2" xfId="2692" xr:uid="{00000000-0005-0000-0000-0000840A0000}"/>
    <cellStyle name="Comma0 7 2 3 2 2 2" xfId="2693" xr:uid="{00000000-0005-0000-0000-0000850A0000}"/>
    <cellStyle name="Comma0 7 2 3 2 2 3" xfId="2694" xr:uid="{00000000-0005-0000-0000-0000860A0000}"/>
    <cellStyle name="Comma0 7 2 3 2 3" xfId="2695" xr:uid="{00000000-0005-0000-0000-0000870A0000}"/>
    <cellStyle name="Comma0 7 2 3 2 3 2" xfId="2696" xr:uid="{00000000-0005-0000-0000-0000880A0000}"/>
    <cellStyle name="Comma0 7 2 3 2 3 3" xfId="2697" xr:uid="{00000000-0005-0000-0000-0000890A0000}"/>
    <cellStyle name="Comma0 7 2 3 2 4" xfId="2698" xr:uid="{00000000-0005-0000-0000-00008A0A0000}"/>
    <cellStyle name="Comma0 7 2 3 2 5" xfId="2699" xr:uid="{00000000-0005-0000-0000-00008B0A0000}"/>
    <cellStyle name="Comma0 7 2 3 2 6" xfId="2700" xr:uid="{00000000-0005-0000-0000-00008C0A0000}"/>
    <cellStyle name="Comma0 7 2 3 3" xfId="2701" xr:uid="{00000000-0005-0000-0000-00008D0A0000}"/>
    <cellStyle name="Comma0 7 2 3 3 2" xfId="2702" xr:uid="{00000000-0005-0000-0000-00008E0A0000}"/>
    <cellStyle name="Comma0 7 2 3 3 3" xfId="2703" xr:uid="{00000000-0005-0000-0000-00008F0A0000}"/>
    <cellStyle name="Comma0 7 2 3 4" xfId="2704" xr:uid="{00000000-0005-0000-0000-0000900A0000}"/>
    <cellStyle name="Comma0 7 2 3 4 2" xfId="2705" xr:uid="{00000000-0005-0000-0000-0000910A0000}"/>
    <cellStyle name="Comma0 7 2 3 4 3" xfId="2706" xr:uid="{00000000-0005-0000-0000-0000920A0000}"/>
    <cellStyle name="Comma0 7 2 3 5" xfId="2707" xr:uid="{00000000-0005-0000-0000-0000930A0000}"/>
    <cellStyle name="Comma0 7 2 3 5 2" xfId="2708" xr:uid="{00000000-0005-0000-0000-0000940A0000}"/>
    <cellStyle name="Comma0 7 2 3 5 3" xfId="2709" xr:uid="{00000000-0005-0000-0000-0000950A0000}"/>
    <cellStyle name="Comma0 7 2 3 6" xfId="2710" xr:uid="{00000000-0005-0000-0000-0000960A0000}"/>
    <cellStyle name="Comma0 7 2 3 7" xfId="2711" xr:uid="{00000000-0005-0000-0000-0000970A0000}"/>
    <cellStyle name="Comma0 7 2 3 8" xfId="2712" xr:uid="{00000000-0005-0000-0000-0000980A0000}"/>
    <cellStyle name="Comma0 7 2 4" xfId="2713" xr:uid="{00000000-0005-0000-0000-0000990A0000}"/>
    <cellStyle name="Comma0 7 2 4 2" xfId="2714" xr:uid="{00000000-0005-0000-0000-00009A0A0000}"/>
    <cellStyle name="Comma0 7 2 4 2 2" xfId="2715" xr:uid="{00000000-0005-0000-0000-00009B0A0000}"/>
    <cellStyle name="Comma0 7 2 4 2 3" xfId="2716" xr:uid="{00000000-0005-0000-0000-00009C0A0000}"/>
    <cellStyle name="Comma0 7 2 4 3" xfId="2717" xr:uid="{00000000-0005-0000-0000-00009D0A0000}"/>
    <cellStyle name="Comma0 7 2 4 3 2" xfId="2718" xr:uid="{00000000-0005-0000-0000-00009E0A0000}"/>
    <cellStyle name="Comma0 7 2 4 3 3" xfId="2719" xr:uid="{00000000-0005-0000-0000-00009F0A0000}"/>
    <cellStyle name="Comma0 7 2 4 4" xfId="2720" xr:uid="{00000000-0005-0000-0000-0000A00A0000}"/>
    <cellStyle name="Comma0 7 2 4 5" xfId="2721" xr:uid="{00000000-0005-0000-0000-0000A10A0000}"/>
    <cellStyle name="Comma0 7 2 4 6" xfId="2722" xr:uid="{00000000-0005-0000-0000-0000A20A0000}"/>
    <cellStyle name="Comma0 7 2 5" xfId="2723" xr:uid="{00000000-0005-0000-0000-0000A30A0000}"/>
    <cellStyle name="Comma0 7 2 5 2" xfId="2724" xr:uid="{00000000-0005-0000-0000-0000A40A0000}"/>
    <cellStyle name="Comma0 7 2 5 3" xfId="2725" xr:uid="{00000000-0005-0000-0000-0000A50A0000}"/>
    <cellStyle name="Comma0 7 2 6" xfId="2726" xr:uid="{00000000-0005-0000-0000-0000A60A0000}"/>
    <cellStyle name="Comma0 7 2 6 2" xfId="2727" xr:uid="{00000000-0005-0000-0000-0000A70A0000}"/>
    <cellStyle name="Comma0 7 2 6 3" xfId="2728" xr:uid="{00000000-0005-0000-0000-0000A80A0000}"/>
    <cellStyle name="Comma0 7 2 7" xfId="2729" xr:uid="{00000000-0005-0000-0000-0000A90A0000}"/>
    <cellStyle name="Comma0 7 2 7 2" xfId="2730" xr:uid="{00000000-0005-0000-0000-0000AA0A0000}"/>
    <cellStyle name="Comma0 7 2 7 3" xfId="2731" xr:uid="{00000000-0005-0000-0000-0000AB0A0000}"/>
    <cellStyle name="Comma0 7 2 8" xfId="2732" xr:uid="{00000000-0005-0000-0000-0000AC0A0000}"/>
    <cellStyle name="Comma0 7 2 9" xfId="2733" xr:uid="{00000000-0005-0000-0000-0000AD0A0000}"/>
    <cellStyle name="Comma0 7 3" xfId="2734" xr:uid="{00000000-0005-0000-0000-0000AE0A0000}"/>
    <cellStyle name="Comma0 7 3 2" xfId="2735" xr:uid="{00000000-0005-0000-0000-0000AF0A0000}"/>
    <cellStyle name="Comma0 7 3 2 2" xfId="2736" xr:uid="{00000000-0005-0000-0000-0000B00A0000}"/>
    <cellStyle name="Comma0 7 3 2 2 2" xfId="2737" xr:uid="{00000000-0005-0000-0000-0000B10A0000}"/>
    <cellStyle name="Comma0 7 3 2 2 3" xfId="2738" xr:uid="{00000000-0005-0000-0000-0000B20A0000}"/>
    <cellStyle name="Comma0 7 3 2 3" xfId="2739" xr:uid="{00000000-0005-0000-0000-0000B30A0000}"/>
    <cellStyle name="Comma0 7 3 2 3 2" xfId="2740" xr:uid="{00000000-0005-0000-0000-0000B40A0000}"/>
    <cellStyle name="Comma0 7 3 2 3 3" xfId="2741" xr:uid="{00000000-0005-0000-0000-0000B50A0000}"/>
    <cellStyle name="Comma0 7 3 2 4" xfId="2742" xr:uid="{00000000-0005-0000-0000-0000B60A0000}"/>
    <cellStyle name="Comma0 7 3 2 5" xfId="2743" xr:uid="{00000000-0005-0000-0000-0000B70A0000}"/>
    <cellStyle name="Comma0 7 3 2 6" xfId="2744" xr:uid="{00000000-0005-0000-0000-0000B80A0000}"/>
    <cellStyle name="Comma0 7 3 3" xfId="2745" xr:uid="{00000000-0005-0000-0000-0000B90A0000}"/>
    <cellStyle name="Comma0 7 3 3 2" xfId="2746" xr:uid="{00000000-0005-0000-0000-0000BA0A0000}"/>
    <cellStyle name="Comma0 7 3 3 3" xfId="2747" xr:uid="{00000000-0005-0000-0000-0000BB0A0000}"/>
    <cellStyle name="Comma0 7 3 4" xfId="2748" xr:uid="{00000000-0005-0000-0000-0000BC0A0000}"/>
    <cellStyle name="Comma0 7 3 4 2" xfId="2749" xr:uid="{00000000-0005-0000-0000-0000BD0A0000}"/>
    <cellStyle name="Comma0 7 3 4 3" xfId="2750" xr:uid="{00000000-0005-0000-0000-0000BE0A0000}"/>
    <cellStyle name="Comma0 7 3 5" xfId="2751" xr:uid="{00000000-0005-0000-0000-0000BF0A0000}"/>
    <cellStyle name="Comma0 7 3 5 2" xfId="2752" xr:uid="{00000000-0005-0000-0000-0000C00A0000}"/>
    <cellStyle name="Comma0 7 3 5 3" xfId="2753" xr:uid="{00000000-0005-0000-0000-0000C10A0000}"/>
    <cellStyle name="Comma0 7 3 6" xfId="2754" xr:uid="{00000000-0005-0000-0000-0000C20A0000}"/>
    <cellStyle name="Comma0 7 3 7" xfId="2755" xr:uid="{00000000-0005-0000-0000-0000C30A0000}"/>
    <cellStyle name="Comma0 7 3 8" xfId="2756" xr:uid="{00000000-0005-0000-0000-0000C40A0000}"/>
    <cellStyle name="Comma0 7 4" xfId="2757" xr:uid="{00000000-0005-0000-0000-0000C50A0000}"/>
    <cellStyle name="Comma0 7 4 2" xfId="2758" xr:uid="{00000000-0005-0000-0000-0000C60A0000}"/>
    <cellStyle name="Comma0 7 4 2 2" xfId="2759" xr:uid="{00000000-0005-0000-0000-0000C70A0000}"/>
    <cellStyle name="Comma0 7 4 2 2 2" xfId="2760" xr:uid="{00000000-0005-0000-0000-0000C80A0000}"/>
    <cellStyle name="Comma0 7 4 2 2 3" xfId="2761" xr:uid="{00000000-0005-0000-0000-0000C90A0000}"/>
    <cellStyle name="Comma0 7 4 2 3" xfId="2762" xr:uid="{00000000-0005-0000-0000-0000CA0A0000}"/>
    <cellStyle name="Comma0 7 4 2 3 2" xfId="2763" xr:uid="{00000000-0005-0000-0000-0000CB0A0000}"/>
    <cellStyle name="Comma0 7 4 2 3 3" xfId="2764" xr:uid="{00000000-0005-0000-0000-0000CC0A0000}"/>
    <cellStyle name="Comma0 7 4 2 4" xfId="2765" xr:uid="{00000000-0005-0000-0000-0000CD0A0000}"/>
    <cellStyle name="Comma0 7 4 2 5" xfId="2766" xr:uid="{00000000-0005-0000-0000-0000CE0A0000}"/>
    <cellStyle name="Comma0 7 4 2 6" xfId="2767" xr:uid="{00000000-0005-0000-0000-0000CF0A0000}"/>
    <cellStyle name="Comma0 7 4 3" xfId="2768" xr:uid="{00000000-0005-0000-0000-0000D00A0000}"/>
    <cellStyle name="Comma0 7 4 3 2" xfId="2769" xr:uid="{00000000-0005-0000-0000-0000D10A0000}"/>
    <cellStyle name="Comma0 7 4 3 3" xfId="2770" xr:uid="{00000000-0005-0000-0000-0000D20A0000}"/>
    <cellStyle name="Comma0 7 4 4" xfId="2771" xr:uid="{00000000-0005-0000-0000-0000D30A0000}"/>
    <cellStyle name="Comma0 7 4 4 2" xfId="2772" xr:uid="{00000000-0005-0000-0000-0000D40A0000}"/>
    <cellStyle name="Comma0 7 4 4 3" xfId="2773" xr:uid="{00000000-0005-0000-0000-0000D50A0000}"/>
    <cellStyle name="Comma0 7 4 5" xfId="2774" xr:uid="{00000000-0005-0000-0000-0000D60A0000}"/>
    <cellStyle name="Comma0 7 4 5 2" xfId="2775" xr:uid="{00000000-0005-0000-0000-0000D70A0000}"/>
    <cellStyle name="Comma0 7 4 5 3" xfId="2776" xr:uid="{00000000-0005-0000-0000-0000D80A0000}"/>
    <cellStyle name="Comma0 7 4 6" xfId="2777" xr:uid="{00000000-0005-0000-0000-0000D90A0000}"/>
    <cellStyle name="Comma0 7 4 7" xfId="2778" xr:uid="{00000000-0005-0000-0000-0000DA0A0000}"/>
    <cellStyle name="Comma0 7 4 8" xfId="2779" xr:uid="{00000000-0005-0000-0000-0000DB0A0000}"/>
    <cellStyle name="Comma0 7 5" xfId="2780" xr:uid="{00000000-0005-0000-0000-0000DC0A0000}"/>
    <cellStyle name="Comma0 7 5 2" xfId="2781" xr:uid="{00000000-0005-0000-0000-0000DD0A0000}"/>
    <cellStyle name="Comma0 7 5 2 2" xfId="2782" xr:uid="{00000000-0005-0000-0000-0000DE0A0000}"/>
    <cellStyle name="Comma0 7 5 2 2 2" xfId="2783" xr:uid="{00000000-0005-0000-0000-0000DF0A0000}"/>
    <cellStyle name="Comma0 7 5 2 2 3" xfId="2784" xr:uid="{00000000-0005-0000-0000-0000E00A0000}"/>
    <cellStyle name="Comma0 7 5 2 3" xfId="2785" xr:uid="{00000000-0005-0000-0000-0000E10A0000}"/>
    <cellStyle name="Comma0 7 5 2 3 2" xfId="2786" xr:uid="{00000000-0005-0000-0000-0000E20A0000}"/>
    <cellStyle name="Comma0 7 5 2 3 3" xfId="2787" xr:uid="{00000000-0005-0000-0000-0000E30A0000}"/>
    <cellStyle name="Comma0 7 5 2 4" xfId="2788" xr:uid="{00000000-0005-0000-0000-0000E40A0000}"/>
    <cellStyle name="Comma0 7 5 2 5" xfId="2789" xr:uid="{00000000-0005-0000-0000-0000E50A0000}"/>
    <cellStyle name="Comma0 7 5 2 6" xfId="2790" xr:uid="{00000000-0005-0000-0000-0000E60A0000}"/>
    <cellStyle name="Comma0 7 5 3" xfId="2791" xr:uid="{00000000-0005-0000-0000-0000E70A0000}"/>
    <cellStyle name="Comma0 7 5 3 2" xfId="2792" xr:uid="{00000000-0005-0000-0000-0000E80A0000}"/>
    <cellStyle name="Comma0 7 5 3 3" xfId="2793" xr:uid="{00000000-0005-0000-0000-0000E90A0000}"/>
    <cellStyle name="Comma0 7 5 4" xfId="2794" xr:uid="{00000000-0005-0000-0000-0000EA0A0000}"/>
    <cellStyle name="Comma0 7 5 4 2" xfId="2795" xr:uid="{00000000-0005-0000-0000-0000EB0A0000}"/>
    <cellStyle name="Comma0 7 5 4 3" xfId="2796" xr:uid="{00000000-0005-0000-0000-0000EC0A0000}"/>
    <cellStyle name="Comma0 7 5 5" xfId="2797" xr:uid="{00000000-0005-0000-0000-0000ED0A0000}"/>
    <cellStyle name="Comma0 7 5 5 2" xfId="2798" xr:uid="{00000000-0005-0000-0000-0000EE0A0000}"/>
    <cellStyle name="Comma0 7 5 5 3" xfId="2799" xr:uid="{00000000-0005-0000-0000-0000EF0A0000}"/>
    <cellStyle name="Comma0 7 5 6" xfId="2800" xr:uid="{00000000-0005-0000-0000-0000F00A0000}"/>
    <cellStyle name="Comma0 7 5 7" xfId="2801" xr:uid="{00000000-0005-0000-0000-0000F10A0000}"/>
    <cellStyle name="Comma0 7 5 8" xfId="2802" xr:uid="{00000000-0005-0000-0000-0000F20A0000}"/>
    <cellStyle name="Comma0 7 6" xfId="2803" xr:uid="{00000000-0005-0000-0000-0000F30A0000}"/>
    <cellStyle name="Comma0 7 6 2" xfId="2804" xr:uid="{00000000-0005-0000-0000-0000F40A0000}"/>
    <cellStyle name="Comma0 7 6 2 2" xfId="2805" xr:uid="{00000000-0005-0000-0000-0000F50A0000}"/>
    <cellStyle name="Comma0 7 6 2 3" xfId="2806" xr:uid="{00000000-0005-0000-0000-0000F60A0000}"/>
    <cellStyle name="Comma0 7 6 3" xfId="2807" xr:uid="{00000000-0005-0000-0000-0000F70A0000}"/>
    <cellStyle name="Comma0 7 6 3 2" xfId="2808" xr:uid="{00000000-0005-0000-0000-0000F80A0000}"/>
    <cellStyle name="Comma0 7 6 3 3" xfId="2809" xr:uid="{00000000-0005-0000-0000-0000F90A0000}"/>
    <cellStyle name="Comma0 7 6 4" xfId="2810" xr:uid="{00000000-0005-0000-0000-0000FA0A0000}"/>
    <cellStyle name="Comma0 7 6 5" xfId="2811" xr:uid="{00000000-0005-0000-0000-0000FB0A0000}"/>
    <cellStyle name="Comma0 7 6 6" xfId="2812" xr:uid="{00000000-0005-0000-0000-0000FC0A0000}"/>
    <cellStyle name="Comma0 7 7" xfId="2813" xr:uid="{00000000-0005-0000-0000-0000FD0A0000}"/>
    <cellStyle name="Comma0 7 7 2" xfId="2814" xr:uid="{00000000-0005-0000-0000-0000FE0A0000}"/>
    <cellStyle name="Comma0 7 7 3" xfId="2815" xr:uid="{00000000-0005-0000-0000-0000FF0A0000}"/>
    <cellStyle name="Comma0 7 7 4" xfId="2816" xr:uid="{00000000-0005-0000-0000-0000000B0000}"/>
    <cellStyle name="Comma0 7 8" xfId="2817" xr:uid="{00000000-0005-0000-0000-0000010B0000}"/>
    <cellStyle name="Comma0 7 8 2" xfId="2818" xr:uid="{00000000-0005-0000-0000-0000020B0000}"/>
    <cellStyle name="Comma0 7 8 3" xfId="2819" xr:uid="{00000000-0005-0000-0000-0000030B0000}"/>
    <cellStyle name="Comma0 7 9" xfId="2820" xr:uid="{00000000-0005-0000-0000-0000040B0000}"/>
    <cellStyle name="Comma0 7 9 2" xfId="2821" xr:uid="{00000000-0005-0000-0000-0000050B0000}"/>
    <cellStyle name="Comma0 7 9 3" xfId="2822" xr:uid="{00000000-0005-0000-0000-0000060B0000}"/>
    <cellStyle name="Comma0 8" xfId="2823" xr:uid="{00000000-0005-0000-0000-0000070B0000}"/>
    <cellStyle name="Comma0 8 10" xfId="2824" xr:uid="{00000000-0005-0000-0000-0000080B0000}"/>
    <cellStyle name="Comma0 8 11" xfId="2825" xr:uid="{00000000-0005-0000-0000-0000090B0000}"/>
    <cellStyle name="Comma0 8 12" xfId="2826" xr:uid="{00000000-0005-0000-0000-00000A0B0000}"/>
    <cellStyle name="Comma0 8 2" xfId="2827" xr:uid="{00000000-0005-0000-0000-00000B0B0000}"/>
    <cellStyle name="Comma0 8 2 10" xfId="2828" xr:uid="{00000000-0005-0000-0000-00000C0B0000}"/>
    <cellStyle name="Comma0 8 2 2" xfId="2829" xr:uid="{00000000-0005-0000-0000-00000D0B0000}"/>
    <cellStyle name="Comma0 8 2 2 2" xfId="2830" xr:uid="{00000000-0005-0000-0000-00000E0B0000}"/>
    <cellStyle name="Comma0 8 2 2 2 2" xfId="2831" xr:uid="{00000000-0005-0000-0000-00000F0B0000}"/>
    <cellStyle name="Comma0 8 2 2 2 2 2" xfId="2832" xr:uid="{00000000-0005-0000-0000-0000100B0000}"/>
    <cellStyle name="Comma0 8 2 2 2 2 3" xfId="2833" xr:uid="{00000000-0005-0000-0000-0000110B0000}"/>
    <cellStyle name="Comma0 8 2 2 2 3" xfId="2834" xr:uid="{00000000-0005-0000-0000-0000120B0000}"/>
    <cellStyle name="Comma0 8 2 2 2 3 2" xfId="2835" xr:uid="{00000000-0005-0000-0000-0000130B0000}"/>
    <cellStyle name="Comma0 8 2 2 2 3 3" xfId="2836" xr:uid="{00000000-0005-0000-0000-0000140B0000}"/>
    <cellStyle name="Comma0 8 2 2 2 4" xfId="2837" xr:uid="{00000000-0005-0000-0000-0000150B0000}"/>
    <cellStyle name="Comma0 8 2 2 2 5" xfId="2838" xr:uid="{00000000-0005-0000-0000-0000160B0000}"/>
    <cellStyle name="Comma0 8 2 2 2 6" xfId="2839" xr:uid="{00000000-0005-0000-0000-0000170B0000}"/>
    <cellStyle name="Comma0 8 2 2 3" xfId="2840" xr:uid="{00000000-0005-0000-0000-0000180B0000}"/>
    <cellStyle name="Comma0 8 2 2 3 2" xfId="2841" xr:uid="{00000000-0005-0000-0000-0000190B0000}"/>
    <cellStyle name="Comma0 8 2 2 3 3" xfId="2842" xr:uid="{00000000-0005-0000-0000-00001A0B0000}"/>
    <cellStyle name="Comma0 8 2 2 4" xfId="2843" xr:uid="{00000000-0005-0000-0000-00001B0B0000}"/>
    <cellStyle name="Comma0 8 2 2 4 2" xfId="2844" xr:uid="{00000000-0005-0000-0000-00001C0B0000}"/>
    <cellStyle name="Comma0 8 2 2 4 3" xfId="2845" xr:uid="{00000000-0005-0000-0000-00001D0B0000}"/>
    <cellStyle name="Comma0 8 2 2 5" xfId="2846" xr:uid="{00000000-0005-0000-0000-00001E0B0000}"/>
    <cellStyle name="Comma0 8 2 2 5 2" xfId="2847" xr:uid="{00000000-0005-0000-0000-00001F0B0000}"/>
    <cellStyle name="Comma0 8 2 2 5 3" xfId="2848" xr:uid="{00000000-0005-0000-0000-0000200B0000}"/>
    <cellStyle name="Comma0 8 2 2 6" xfId="2849" xr:uid="{00000000-0005-0000-0000-0000210B0000}"/>
    <cellStyle name="Comma0 8 2 2 7" xfId="2850" xr:uid="{00000000-0005-0000-0000-0000220B0000}"/>
    <cellStyle name="Comma0 8 2 2 8" xfId="2851" xr:uid="{00000000-0005-0000-0000-0000230B0000}"/>
    <cellStyle name="Comma0 8 2 3" xfId="2852" xr:uid="{00000000-0005-0000-0000-0000240B0000}"/>
    <cellStyle name="Comma0 8 2 3 2" xfId="2853" xr:uid="{00000000-0005-0000-0000-0000250B0000}"/>
    <cellStyle name="Comma0 8 2 3 2 2" xfId="2854" xr:uid="{00000000-0005-0000-0000-0000260B0000}"/>
    <cellStyle name="Comma0 8 2 3 2 2 2" xfId="2855" xr:uid="{00000000-0005-0000-0000-0000270B0000}"/>
    <cellStyle name="Comma0 8 2 3 2 2 3" xfId="2856" xr:uid="{00000000-0005-0000-0000-0000280B0000}"/>
    <cellStyle name="Comma0 8 2 3 2 3" xfId="2857" xr:uid="{00000000-0005-0000-0000-0000290B0000}"/>
    <cellStyle name="Comma0 8 2 3 2 3 2" xfId="2858" xr:uid="{00000000-0005-0000-0000-00002A0B0000}"/>
    <cellStyle name="Comma0 8 2 3 2 3 3" xfId="2859" xr:uid="{00000000-0005-0000-0000-00002B0B0000}"/>
    <cellStyle name="Comma0 8 2 3 2 4" xfId="2860" xr:uid="{00000000-0005-0000-0000-00002C0B0000}"/>
    <cellStyle name="Comma0 8 2 3 2 5" xfId="2861" xr:uid="{00000000-0005-0000-0000-00002D0B0000}"/>
    <cellStyle name="Comma0 8 2 3 2 6" xfId="2862" xr:uid="{00000000-0005-0000-0000-00002E0B0000}"/>
    <cellStyle name="Comma0 8 2 3 3" xfId="2863" xr:uid="{00000000-0005-0000-0000-00002F0B0000}"/>
    <cellStyle name="Comma0 8 2 3 3 2" xfId="2864" xr:uid="{00000000-0005-0000-0000-0000300B0000}"/>
    <cellStyle name="Comma0 8 2 3 3 3" xfId="2865" xr:uid="{00000000-0005-0000-0000-0000310B0000}"/>
    <cellStyle name="Comma0 8 2 3 4" xfId="2866" xr:uid="{00000000-0005-0000-0000-0000320B0000}"/>
    <cellStyle name="Comma0 8 2 3 4 2" xfId="2867" xr:uid="{00000000-0005-0000-0000-0000330B0000}"/>
    <cellStyle name="Comma0 8 2 3 4 3" xfId="2868" xr:uid="{00000000-0005-0000-0000-0000340B0000}"/>
    <cellStyle name="Comma0 8 2 3 5" xfId="2869" xr:uid="{00000000-0005-0000-0000-0000350B0000}"/>
    <cellStyle name="Comma0 8 2 3 5 2" xfId="2870" xr:uid="{00000000-0005-0000-0000-0000360B0000}"/>
    <cellStyle name="Comma0 8 2 3 5 3" xfId="2871" xr:uid="{00000000-0005-0000-0000-0000370B0000}"/>
    <cellStyle name="Comma0 8 2 3 6" xfId="2872" xr:uid="{00000000-0005-0000-0000-0000380B0000}"/>
    <cellStyle name="Comma0 8 2 3 7" xfId="2873" xr:uid="{00000000-0005-0000-0000-0000390B0000}"/>
    <cellStyle name="Comma0 8 2 3 8" xfId="2874" xr:uid="{00000000-0005-0000-0000-00003A0B0000}"/>
    <cellStyle name="Comma0 8 2 4" xfId="2875" xr:uid="{00000000-0005-0000-0000-00003B0B0000}"/>
    <cellStyle name="Comma0 8 2 4 2" xfId="2876" xr:uid="{00000000-0005-0000-0000-00003C0B0000}"/>
    <cellStyle name="Comma0 8 2 4 2 2" xfId="2877" xr:uid="{00000000-0005-0000-0000-00003D0B0000}"/>
    <cellStyle name="Comma0 8 2 4 2 3" xfId="2878" xr:uid="{00000000-0005-0000-0000-00003E0B0000}"/>
    <cellStyle name="Comma0 8 2 4 3" xfId="2879" xr:uid="{00000000-0005-0000-0000-00003F0B0000}"/>
    <cellStyle name="Comma0 8 2 4 3 2" xfId="2880" xr:uid="{00000000-0005-0000-0000-0000400B0000}"/>
    <cellStyle name="Comma0 8 2 4 3 3" xfId="2881" xr:uid="{00000000-0005-0000-0000-0000410B0000}"/>
    <cellStyle name="Comma0 8 2 4 4" xfId="2882" xr:uid="{00000000-0005-0000-0000-0000420B0000}"/>
    <cellStyle name="Comma0 8 2 4 5" xfId="2883" xr:uid="{00000000-0005-0000-0000-0000430B0000}"/>
    <cellStyle name="Comma0 8 2 4 6" xfId="2884" xr:uid="{00000000-0005-0000-0000-0000440B0000}"/>
    <cellStyle name="Comma0 8 2 5" xfId="2885" xr:uid="{00000000-0005-0000-0000-0000450B0000}"/>
    <cellStyle name="Comma0 8 2 5 2" xfId="2886" xr:uid="{00000000-0005-0000-0000-0000460B0000}"/>
    <cellStyle name="Comma0 8 2 5 3" xfId="2887" xr:uid="{00000000-0005-0000-0000-0000470B0000}"/>
    <cellStyle name="Comma0 8 2 6" xfId="2888" xr:uid="{00000000-0005-0000-0000-0000480B0000}"/>
    <cellStyle name="Comma0 8 2 6 2" xfId="2889" xr:uid="{00000000-0005-0000-0000-0000490B0000}"/>
    <cellStyle name="Comma0 8 2 6 3" xfId="2890" xr:uid="{00000000-0005-0000-0000-00004A0B0000}"/>
    <cellStyle name="Comma0 8 2 7" xfId="2891" xr:uid="{00000000-0005-0000-0000-00004B0B0000}"/>
    <cellStyle name="Comma0 8 2 7 2" xfId="2892" xr:uid="{00000000-0005-0000-0000-00004C0B0000}"/>
    <cellStyle name="Comma0 8 2 7 3" xfId="2893" xr:uid="{00000000-0005-0000-0000-00004D0B0000}"/>
    <cellStyle name="Comma0 8 2 8" xfId="2894" xr:uid="{00000000-0005-0000-0000-00004E0B0000}"/>
    <cellStyle name="Comma0 8 2 9" xfId="2895" xr:uid="{00000000-0005-0000-0000-00004F0B0000}"/>
    <cellStyle name="Comma0 8 3" xfId="2896" xr:uid="{00000000-0005-0000-0000-0000500B0000}"/>
    <cellStyle name="Comma0 8 3 2" xfId="2897" xr:uid="{00000000-0005-0000-0000-0000510B0000}"/>
    <cellStyle name="Comma0 8 3 2 2" xfId="2898" xr:uid="{00000000-0005-0000-0000-0000520B0000}"/>
    <cellStyle name="Comma0 8 3 2 2 2" xfId="2899" xr:uid="{00000000-0005-0000-0000-0000530B0000}"/>
    <cellStyle name="Comma0 8 3 2 2 3" xfId="2900" xr:uid="{00000000-0005-0000-0000-0000540B0000}"/>
    <cellStyle name="Comma0 8 3 2 3" xfId="2901" xr:uid="{00000000-0005-0000-0000-0000550B0000}"/>
    <cellStyle name="Comma0 8 3 2 3 2" xfId="2902" xr:uid="{00000000-0005-0000-0000-0000560B0000}"/>
    <cellStyle name="Comma0 8 3 2 3 3" xfId="2903" xr:uid="{00000000-0005-0000-0000-0000570B0000}"/>
    <cellStyle name="Comma0 8 3 2 4" xfId="2904" xr:uid="{00000000-0005-0000-0000-0000580B0000}"/>
    <cellStyle name="Comma0 8 3 2 5" xfId="2905" xr:uid="{00000000-0005-0000-0000-0000590B0000}"/>
    <cellStyle name="Comma0 8 3 2 6" xfId="2906" xr:uid="{00000000-0005-0000-0000-00005A0B0000}"/>
    <cellStyle name="Comma0 8 3 3" xfId="2907" xr:uid="{00000000-0005-0000-0000-00005B0B0000}"/>
    <cellStyle name="Comma0 8 3 3 2" xfId="2908" xr:uid="{00000000-0005-0000-0000-00005C0B0000}"/>
    <cellStyle name="Comma0 8 3 3 3" xfId="2909" xr:uid="{00000000-0005-0000-0000-00005D0B0000}"/>
    <cellStyle name="Comma0 8 3 4" xfId="2910" xr:uid="{00000000-0005-0000-0000-00005E0B0000}"/>
    <cellStyle name="Comma0 8 3 4 2" xfId="2911" xr:uid="{00000000-0005-0000-0000-00005F0B0000}"/>
    <cellStyle name="Comma0 8 3 4 3" xfId="2912" xr:uid="{00000000-0005-0000-0000-0000600B0000}"/>
    <cellStyle name="Comma0 8 3 5" xfId="2913" xr:uid="{00000000-0005-0000-0000-0000610B0000}"/>
    <cellStyle name="Comma0 8 3 5 2" xfId="2914" xr:uid="{00000000-0005-0000-0000-0000620B0000}"/>
    <cellStyle name="Comma0 8 3 5 3" xfId="2915" xr:uid="{00000000-0005-0000-0000-0000630B0000}"/>
    <cellStyle name="Comma0 8 3 6" xfId="2916" xr:uid="{00000000-0005-0000-0000-0000640B0000}"/>
    <cellStyle name="Comma0 8 3 7" xfId="2917" xr:uid="{00000000-0005-0000-0000-0000650B0000}"/>
    <cellStyle name="Comma0 8 3 8" xfId="2918" xr:uid="{00000000-0005-0000-0000-0000660B0000}"/>
    <cellStyle name="Comma0 8 4" xfId="2919" xr:uid="{00000000-0005-0000-0000-0000670B0000}"/>
    <cellStyle name="Comma0 8 4 2" xfId="2920" xr:uid="{00000000-0005-0000-0000-0000680B0000}"/>
    <cellStyle name="Comma0 8 4 2 2" xfId="2921" xr:uid="{00000000-0005-0000-0000-0000690B0000}"/>
    <cellStyle name="Comma0 8 4 2 2 2" xfId="2922" xr:uid="{00000000-0005-0000-0000-00006A0B0000}"/>
    <cellStyle name="Comma0 8 4 2 2 3" xfId="2923" xr:uid="{00000000-0005-0000-0000-00006B0B0000}"/>
    <cellStyle name="Comma0 8 4 2 3" xfId="2924" xr:uid="{00000000-0005-0000-0000-00006C0B0000}"/>
    <cellStyle name="Comma0 8 4 2 3 2" xfId="2925" xr:uid="{00000000-0005-0000-0000-00006D0B0000}"/>
    <cellStyle name="Comma0 8 4 2 3 3" xfId="2926" xr:uid="{00000000-0005-0000-0000-00006E0B0000}"/>
    <cellStyle name="Comma0 8 4 2 4" xfId="2927" xr:uid="{00000000-0005-0000-0000-00006F0B0000}"/>
    <cellStyle name="Comma0 8 4 2 5" xfId="2928" xr:uid="{00000000-0005-0000-0000-0000700B0000}"/>
    <cellStyle name="Comma0 8 4 2 6" xfId="2929" xr:uid="{00000000-0005-0000-0000-0000710B0000}"/>
    <cellStyle name="Comma0 8 4 3" xfId="2930" xr:uid="{00000000-0005-0000-0000-0000720B0000}"/>
    <cellStyle name="Comma0 8 4 3 2" xfId="2931" xr:uid="{00000000-0005-0000-0000-0000730B0000}"/>
    <cellStyle name="Comma0 8 4 3 3" xfId="2932" xr:uid="{00000000-0005-0000-0000-0000740B0000}"/>
    <cellStyle name="Comma0 8 4 4" xfId="2933" xr:uid="{00000000-0005-0000-0000-0000750B0000}"/>
    <cellStyle name="Comma0 8 4 4 2" xfId="2934" xr:uid="{00000000-0005-0000-0000-0000760B0000}"/>
    <cellStyle name="Comma0 8 4 4 3" xfId="2935" xr:uid="{00000000-0005-0000-0000-0000770B0000}"/>
    <cellStyle name="Comma0 8 4 5" xfId="2936" xr:uid="{00000000-0005-0000-0000-0000780B0000}"/>
    <cellStyle name="Comma0 8 4 5 2" xfId="2937" xr:uid="{00000000-0005-0000-0000-0000790B0000}"/>
    <cellStyle name="Comma0 8 4 5 3" xfId="2938" xr:uid="{00000000-0005-0000-0000-00007A0B0000}"/>
    <cellStyle name="Comma0 8 4 6" xfId="2939" xr:uid="{00000000-0005-0000-0000-00007B0B0000}"/>
    <cellStyle name="Comma0 8 4 7" xfId="2940" xr:uid="{00000000-0005-0000-0000-00007C0B0000}"/>
    <cellStyle name="Comma0 8 4 8" xfId="2941" xr:uid="{00000000-0005-0000-0000-00007D0B0000}"/>
    <cellStyle name="Comma0 8 5" xfId="2942" xr:uid="{00000000-0005-0000-0000-00007E0B0000}"/>
    <cellStyle name="Comma0 8 5 2" xfId="2943" xr:uid="{00000000-0005-0000-0000-00007F0B0000}"/>
    <cellStyle name="Comma0 8 5 2 2" xfId="2944" xr:uid="{00000000-0005-0000-0000-0000800B0000}"/>
    <cellStyle name="Comma0 8 5 2 2 2" xfId="2945" xr:uid="{00000000-0005-0000-0000-0000810B0000}"/>
    <cellStyle name="Comma0 8 5 2 2 3" xfId="2946" xr:uid="{00000000-0005-0000-0000-0000820B0000}"/>
    <cellStyle name="Comma0 8 5 2 3" xfId="2947" xr:uid="{00000000-0005-0000-0000-0000830B0000}"/>
    <cellStyle name="Comma0 8 5 2 3 2" xfId="2948" xr:uid="{00000000-0005-0000-0000-0000840B0000}"/>
    <cellStyle name="Comma0 8 5 2 3 3" xfId="2949" xr:uid="{00000000-0005-0000-0000-0000850B0000}"/>
    <cellStyle name="Comma0 8 5 2 4" xfId="2950" xr:uid="{00000000-0005-0000-0000-0000860B0000}"/>
    <cellStyle name="Comma0 8 5 2 5" xfId="2951" xr:uid="{00000000-0005-0000-0000-0000870B0000}"/>
    <cellStyle name="Comma0 8 5 2 6" xfId="2952" xr:uid="{00000000-0005-0000-0000-0000880B0000}"/>
    <cellStyle name="Comma0 8 5 3" xfId="2953" xr:uid="{00000000-0005-0000-0000-0000890B0000}"/>
    <cellStyle name="Comma0 8 5 3 2" xfId="2954" xr:uid="{00000000-0005-0000-0000-00008A0B0000}"/>
    <cellStyle name="Comma0 8 5 3 3" xfId="2955" xr:uid="{00000000-0005-0000-0000-00008B0B0000}"/>
    <cellStyle name="Comma0 8 5 4" xfId="2956" xr:uid="{00000000-0005-0000-0000-00008C0B0000}"/>
    <cellStyle name="Comma0 8 5 4 2" xfId="2957" xr:uid="{00000000-0005-0000-0000-00008D0B0000}"/>
    <cellStyle name="Comma0 8 5 4 3" xfId="2958" xr:uid="{00000000-0005-0000-0000-00008E0B0000}"/>
    <cellStyle name="Comma0 8 5 5" xfId="2959" xr:uid="{00000000-0005-0000-0000-00008F0B0000}"/>
    <cellStyle name="Comma0 8 5 5 2" xfId="2960" xr:uid="{00000000-0005-0000-0000-0000900B0000}"/>
    <cellStyle name="Comma0 8 5 5 3" xfId="2961" xr:uid="{00000000-0005-0000-0000-0000910B0000}"/>
    <cellStyle name="Comma0 8 5 6" xfId="2962" xr:uid="{00000000-0005-0000-0000-0000920B0000}"/>
    <cellStyle name="Comma0 8 5 7" xfId="2963" xr:uid="{00000000-0005-0000-0000-0000930B0000}"/>
    <cellStyle name="Comma0 8 5 8" xfId="2964" xr:uid="{00000000-0005-0000-0000-0000940B0000}"/>
    <cellStyle name="Comma0 8 6" xfId="2965" xr:uid="{00000000-0005-0000-0000-0000950B0000}"/>
    <cellStyle name="Comma0 8 6 2" xfId="2966" xr:uid="{00000000-0005-0000-0000-0000960B0000}"/>
    <cellStyle name="Comma0 8 6 2 2" xfId="2967" xr:uid="{00000000-0005-0000-0000-0000970B0000}"/>
    <cellStyle name="Comma0 8 6 2 3" xfId="2968" xr:uid="{00000000-0005-0000-0000-0000980B0000}"/>
    <cellStyle name="Comma0 8 6 3" xfId="2969" xr:uid="{00000000-0005-0000-0000-0000990B0000}"/>
    <cellStyle name="Comma0 8 6 3 2" xfId="2970" xr:uid="{00000000-0005-0000-0000-00009A0B0000}"/>
    <cellStyle name="Comma0 8 6 3 3" xfId="2971" xr:uid="{00000000-0005-0000-0000-00009B0B0000}"/>
    <cellStyle name="Comma0 8 6 4" xfId="2972" xr:uid="{00000000-0005-0000-0000-00009C0B0000}"/>
    <cellStyle name="Comma0 8 6 5" xfId="2973" xr:uid="{00000000-0005-0000-0000-00009D0B0000}"/>
    <cellStyle name="Comma0 8 6 6" xfId="2974" xr:uid="{00000000-0005-0000-0000-00009E0B0000}"/>
    <cellStyle name="Comma0 8 7" xfId="2975" xr:uid="{00000000-0005-0000-0000-00009F0B0000}"/>
    <cellStyle name="Comma0 8 7 2" xfId="2976" xr:uid="{00000000-0005-0000-0000-0000A00B0000}"/>
    <cellStyle name="Comma0 8 7 3" xfId="2977" xr:uid="{00000000-0005-0000-0000-0000A10B0000}"/>
    <cellStyle name="Comma0 8 7 4" xfId="2978" xr:uid="{00000000-0005-0000-0000-0000A20B0000}"/>
    <cellStyle name="Comma0 8 8" xfId="2979" xr:uid="{00000000-0005-0000-0000-0000A30B0000}"/>
    <cellStyle name="Comma0 8 8 2" xfId="2980" xr:uid="{00000000-0005-0000-0000-0000A40B0000}"/>
    <cellStyle name="Comma0 8 8 3" xfId="2981" xr:uid="{00000000-0005-0000-0000-0000A50B0000}"/>
    <cellStyle name="Comma0 8 9" xfId="2982" xr:uid="{00000000-0005-0000-0000-0000A60B0000}"/>
    <cellStyle name="Comma0 8 9 2" xfId="2983" xr:uid="{00000000-0005-0000-0000-0000A70B0000}"/>
    <cellStyle name="Comma0 8 9 3" xfId="2984" xr:uid="{00000000-0005-0000-0000-0000A80B0000}"/>
    <cellStyle name="Comma0 9" xfId="2985" xr:uid="{00000000-0005-0000-0000-0000A90B0000}"/>
    <cellStyle name="Comma0 9 10" xfId="2986" xr:uid="{00000000-0005-0000-0000-0000AA0B0000}"/>
    <cellStyle name="Comma0 9 11" xfId="2987" xr:uid="{00000000-0005-0000-0000-0000AB0B0000}"/>
    <cellStyle name="Comma0 9 12" xfId="2988" xr:uid="{00000000-0005-0000-0000-0000AC0B0000}"/>
    <cellStyle name="Comma0 9 2" xfId="2989" xr:uid="{00000000-0005-0000-0000-0000AD0B0000}"/>
    <cellStyle name="Comma0 9 2 10" xfId="2990" xr:uid="{00000000-0005-0000-0000-0000AE0B0000}"/>
    <cellStyle name="Comma0 9 2 2" xfId="2991" xr:uid="{00000000-0005-0000-0000-0000AF0B0000}"/>
    <cellStyle name="Comma0 9 2 2 2" xfId="2992" xr:uid="{00000000-0005-0000-0000-0000B00B0000}"/>
    <cellStyle name="Comma0 9 2 2 2 2" xfId="2993" xr:uid="{00000000-0005-0000-0000-0000B10B0000}"/>
    <cellStyle name="Comma0 9 2 2 2 2 2" xfId="2994" xr:uid="{00000000-0005-0000-0000-0000B20B0000}"/>
    <cellStyle name="Comma0 9 2 2 2 2 3" xfId="2995" xr:uid="{00000000-0005-0000-0000-0000B30B0000}"/>
    <cellStyle name="Comma0 9 2 2 2 3" xfId="2996" xr:uid="{00000000-0005-0000-0000-0000B40B0000}"/>
    <cellStyle name="Comma0 9 2 2 2 3 2" xfId="2997" xr:uid="{00000000-0005-0000-0000-0000B50B0000}"/>
    <cellStyle name="Comma0 9 2 2 2 3 3" xfId="2998" xr:uid="{00000000-0005-0000-0000-0000B60B0000}"/>
    <cellStyle name="Comma0 9 2 2 2 4" xfId="2999" xr:uid="{00000000-0005-0000-0000-0000B70B0000}"/>
    <cellStyle name="Comma0 9 2 2 2 5" xfId="3000" xr:uid="{00000000-0005-0000-0000-0000B80B0000}"/>
    <cellStyle name="Comma0 9 2 2 2 6" xfId="3001" xr:uid="{00000000-0005-0000-0000-0000B90B0000}"/>
    <cellStyle name="Comma0 9 2 2 3" xfId="3002" xr:uid="{00000000-0005-0000-0000-0000BA0B0000}"/>
    <cellStyle name="Comma0 9 2 2 3 2" xfId="3003" xr:uid="{00000000-0005-0000-0000-0000BB0B0000}"/>
    <cellStyle name="Comma0 9 2 2 3 3" xfId="3004" xr:uid="{00000000-0005-0000-0000-0000BC0B0000}"/>
    <cellStyle name="Comma0 9 2 2 4" xfId="3005" xr:uid="{00000000-0005-0000-0000-0000BD0B0000}"/>
    <cellStyle name="Comma0 9 2 2 4 2" xfId="3006" xr:uid="{00000000-0005-0000-0000-0000BE0B0000}"/>
    <cellStyle name="Comma0 9 2 2 4 3" xfId="3007" xr:uid="{00000000-0005-0000-0000-0000BF0B0000}"/>
    <cellStyle name="Comma0 9 2 2 5" xfId="3008" xr:uid="{00000000-0005-0000-0000-0000C00B0000}"/>
    <cellStyle name="Comma0 9 2 2 5 2" xfId="3009" xr:uid="{00000000-0005-0000-0000-0000C10B0000}"/>
    <cellStyle name="Comma0 9 2 2 5 3" xfId="3010" xr:uid="{00000000-0005-0000-0000-0000C20B0000}"/>
    <cellStyle name="Comma0 9 2 2 6" xfId="3011" xr:uid="{00000000-0005-0000-0000-0000C30B0000}"/>
    <cellStyle name="Comma0 9 2 2 7" xfId="3012" xr:uid="{00000000-0005-0000-0000-0000C40B0000}"/>
    <cellStyle name="Comma0 9 2 2 8" xfId="3013" xr:uid="{00000000-0005-0000-0000-0000C50B0000}"/>
    <cellStyle name="Comma0 9 2 3" xfId="3014" xr:uid="{00000000-0005-0000-0000-0000C60B0000}"/>
    <cellStyle name="Comma0 9 2 3 2" xfId="3015" xr:uid="{00000000-0005-0000-0000-0000C70B0000}"/>
    <cellStyle name="Comma0 9 2 3 2 2" xfId="3016" xr:uid="{00000000-0005-0000-0000-0000C80B0000}"/>
    <cellStyle name="Comma0 9 2 3 2 2 2" xfId="3017" xr:uid="{00000000-0005-0000-0000-0000C90B0000}"/>
    <cellStyle name="Comma0 9 2 3 2 2 3" xfId="3018" xr:uid="{00000000-0005-0000-0000-0000CA0B0000}"/>
    <cellStyle name="Comma0 9 2 3 2 3" xfId="3019" xr:uid="{00000000-0005-0000-0000-0000CB0B0000}"/>
    <cellStyle name="Comma0 9 2 3 2 3 2" xfId="3020" xr:uid="{00000000-0005-0000-0000-0000CC0B0000}"/>
    <cellStyle name="Comma0 9 2 3 2 3 3" xfId="3021" xr:uid="{00000000-0005-0000-0000-0000CD0B0000}"/>
    <cellStyle name="Comma0 9 2 3 2 4" xfId="3022" xr:uid="{00000000-0005-0000-0000-0000CE0B0000}"/>
    <cellStyle name="Comma0 9 2 3 2 5" xfId="3023" xr:uid="{00000000-0005-0000-0000-0000CF0B0000}"/>
    <cellStyle name="Comma0 9 2 3 2 6" xfId="3024" xr:uid="{00000000-0005-0000-0000-0000D00B0000}"/>
    <cellStyle name="Comma0 9 2 3 3" xfId="3025" xr:uid="{00000000-0005-0000-0000-0000D10B0000}"/>
    <cellStyle name="Comma0 9 2 3 3 2" xfId="3026" xr:uid="{00000000-0005-0000-0000-0000D20B0000}"/>
    <cellStyle name="Comma0 9 2 3 3 3" xfId="3027" xr:uid="{00000000-0005-0000-0000-0000D30B0000}"/>
    <cellStyle name="Comma0 9 2 3 4" xfId="3028" xr:uid="{00000000-0005-0000-0000-0000D40B0000}"/>
    <cellStyle name="Comma0 9 2 3 4 2" xfId="3029" xr:uid="{00000000-0005-0000-0000-0000D50B0000}"/>
    <cellStyle name="Comma0 9 2 3 4 3" xfId="3030" xr:uid="{00000000-0005-0000-0000-0000D60B0000}"/>
    <cellStyle name="Comma0 9 2 3 5" xfId="3031" xr:uid="{00000000-0005-0000-0000-0000D70B0000}"/>
    <cellStyle name="Comma0 9 2 3 5 2" xfId="3032" xr:uid="{00000000-0005-0000-0000-0000D80B0000}"/>
    <cellStyle name="Comma0 9 2 3 5 3" xfId="3033" xr:uid="{00000000-0005-0000-0000-0000D90B0000}"/>
    <cellStyle name="Comma0 9 2 3 6" xfId="3034" xr:uid="{00000000-0005-0000-0000-0000DA0B0000}"/>
    <cellStyle name="Comma0 9 2 3 7" xfId="3035" xr:uid="{00000000-0005-0000-0000-0000DB0B0000}"/>
    <cellStyle name="Comma0 9 2 3 8" xfId="3036" xr:uid="{00000000-0005-0000-0000-0000DC0B0000}"/>
    <cellStyle name="Comma0 9 2 4" xfId="3037" xr:uid="{00000000-0005-0000-0000-0000DD0B0000}"/>
    <cellStyle name="Comma0 9 2 4 2" xfId="3038" xr:uid="{00000000-0005-0000-0000-0000DE0B0000}"/>
    <cellStyle name="Comma0 9 2 4 2 2" xfId="3039" xr:uid="{00000000-0005-0000-0000-0000DF0B0000}"/>
    <cellStyle name="Comma0 9 2 4 2 3" xfId="3040" xr:uid="{00000000-0005-0000-0000-0000E00B0000}"/>
    <cellStyle name="Comma0 9 2 4 3" xfId="3041" xr:uid="{00000000-0005-0000-0000-0000E10B0000}"/>
    <cellStyle name="Comma0 9 2 4 3 2" xfId="3042" xr:uid="{00000000-0005-0000-0000-0000E20B0000}"/>
    <cellStyle name="Comma0 9 2 4 3 3" xfId="3043" xr:uid="{00000000-0005-0000-0000-0000E30B0000}"/>
    <cellStyle name="Comma0 9 2 4 4" xfId="3044" xr:uid="{00000000-0005-0000-0000-0000E40B0000}"/>
    <cellStyle name="Comma0 9 2 4 5" xfId="3045" xr:uid="{00000000-0005-0000-0000-0000E50B0000}"/>
    <cellStyle name="Comma0 9 2 4 6" xfId="3046" xr:uid="{00000000-0005-0000-0000-0000E60B0000}"/>
    <cellStyle name="Comma0 9 2 5" xfId="3047" xr:uid="{00000000-0005-0000-0000-0000E70B0000}"/>
    <cellStyle name="Comma0 9 2 5 2" xfId="3048" xr:uid="{00000000-0005-0000-0000-0000E80B0000}"/>
    <cellStyle name="Comma0 9 2 5 3" xfId="3049" xr:uid="{00000000-0005-0000-0000-0000E90B0000}"/>
    <cellStyle name="Comma0 9 2 6" xfId="3050" xr:uid="{00000000-0005-0000-0000-0000EA0B0000}"/>
    <cellStyle name="Comma0 9 2 6 2" xfId="3051" xr:uid="{00000000-0005-0000-0000-0000EB0B0000}"/>
    <cellStyle name="Comma0 9 2 6 3" xfId="3052" xr:uid="{00000000-0005-0000-0000-0000EC0B0000}"/>
    <cellStyle name="Comma0 9 2 7" xfId="3053" xr:uid="{00000000-0005-0000-0000-0000ED0B0000}"/>
    <cellStyle name="Comma0 9 2 7 2" xfId="3054" xr:uid="{00000000-0005-0000-0000-0000EE0B0000}"/>
    <cellStyle name="Comma0 9 2 7 3" xfId="3055" xr:uid="{00000000-0005-0000-0000-0000EF0B0000}"/>
    <cellStyle name="Comma0 9 2 8" xfId="3056" xr:uid="{00000000-0005-0000-0000-0000F00B0000}"/>
    <cellStyle name="Comma0 9 2 9" xfId="3057" xr:uid="{00000000-0005-0000-0000-0000F10B0000}"/>
    <cellStyle name="Comma0 9 3" xfId="3058" xr:uid="{00000000-0005-0000-0000-0000F20B0000}"/>
    <cellStyle name="Comma0 9 3 2" xfId="3059" xr:uid="{00000000-0005-0000-0000-0000F30B0000}"/>
    <cellStyle name="Comma0 9 3 2 2" xfId="3060" xr:uid="{00000000-0005-0000-0000-0000F40B0000}"/>
    <cellStyle name="Comma0 9 3 2 2 2" xfId="3061" xr:uid="{00000000-0005-0000-0000-0000F50B0000}"/>
    <cellStyle name="Comma0 9 3 2 2 3" xfId="3062" xr:uid="{00000000-0005-0000-0000-0000F60B0000}"/>
    <cellStyle name="Comma0 9 3 2 3" xfId="3063" xr:uid="{00000000-0005-0000-0000-0000F70B0000}"/>
    <cellStyle name="Comma0 9 3 2 3 2" xfId="3064" xr:uid="{00000000-0005-0000-0000-0000F80B0000}"/>
    <cellStyle name="Comma0 9 3 2 3 3" xfId="3065" xr:uid="{00000000-0005-0000-0000-0000F90B0000}"/>
    <cellStyle name="Comma0 9 3 2 4" xfId="3066" xr:uid="{00000000-0005-0000-0000-0000FA0B0000}"/>
    <cellStyle name="Comma0 9 3 2 5" xfId="3067" xr:uid="{00000000-0005-0000-0000-0000FB0B0000}"/>
    <cellStyle name="Comma0 9 3 2 6" xfId="3068" xr:uid="{00000000-0005-0000-0000-0000FC0B0000}"/>
    <cellStyle name="Comma0 9 3 3" xfId="3069" xr:uid="{00000000-0005-0000-0000-0000FD0B0000}"/>
    <cellStyle name="Comma0 9 3 3 2" xfId="3070" xr:uid="{00000000-0005-0000-0000-0000FE0B0000}"/>
    <cellStyle name="Comma0 9 3 3 3" xfId="3071" xr:uid="{00000000-0005-0000-0000-0000FF0B0000}"/>
    <cellStyle name="Comma0 9 3 4" xfId="3072" xr:uid="{00000000-0005-0000-0000-0000000C0000}"/>
    <cellStyle name="Comma0 9 3 4 2" xfId="3073" xr:uid="{00000000-0005-0000-0000-0000010C0000}"/>
    <cellStyle name="Comma0 9 3 4 3" xfId="3074" xr:uid="{00000000-0005-0000-0000-0000020C0000}"/>
    <cellStyle name="Comma0 9 3 5" xfId="3075" xr:uid="{00000000-0005-0000-0000-0000030C0000}"/>
    <cellStyle name="Comma0 9 3 5 2" xfId="3076" xr:uid="{00000000-0005-0000-0000-0000040C0000}"/>
    <cellStyle name="Comma0 9 3 5 3" xfId="3077" xr:uid="{00000000-0005-0000-0000-0000050C0000}"/>
    <cellStyle name="Comma0 9 3 6" xfId="3078" xr:uid="{00000000-0005-0000-0000-0000060C0000}"/>
    <cellStyle name="Comma0 9 3 7" xfId="3079" xr:uid="{00000000-0005-0000-0000-0000070C0000}"/>
    <cellStyle name="Comma0 9 3 8" xfId="3080" xr:uid="{00000000-0005-0000-0000-0000080C0000}"/>
    <cellStyle name="Comma0 9 4" xfId="3081" xr:uid="{00000000-0005-0000-0000-0000090C0000}"/>
    <cellStyle name="Comma0 9 4 2" xfId="3082" xr:uid="{00000000-0005-0000-0000-00000A0C0000}"/>
    <cellStyle name="Comma0 9 4 2 2" xfId="3083" xr:uid="{00000000-0005-0000-0000-00000B0C0000}"/>
    <cellStyle name="Comma0 9 4 2 2 2" xfId="3084" xr:uid="{00000000-0005-0000-0000-00000C0C0000}"/>
    <cellStyle name="Comma0 9 4 2 2 3" xfId="3085" xr:uid="{00000000-0005-0000-0000-00000D0C0000}"/>
    <cellStyle name="Comma0 9 4 2 3" xfId="3086" xr:uid="{00000000-0005-0000-0000-00000E0C0000}"/>
    <cellStyle name="Comma0 9 4 2 3 2" xfId="3087" xr:uid="{00000000-0005-0000-0000-00000F0C0000}"/>
    <cellStyle name="Comma0 9 4 2 3 3" xfId="3088" xr:uid="{00000000-0005-0000-0000-0000100C0000}"/>
    <cellStyle name="Comma0 9 4 2 4" xfId="3089" xr:uid="{00000000-0005-0000-0000-0000110C0000}"/>
    <cellStyle name="Comma0 9 4 2 5" xfId="3090" xr:uid="{00000000-0005-0000-0000-0000120C0000}"/>
    <cellStyle name="Comma0 9 4 2 6" xfId="3091" xr:uid="{00000000-0005-0000-0000-0000130C0000}"/>
    <cellStyle name="Comma0 9 4 3" xfId="3092" xr:uid="{00000000-0005-0000-0000-0000140C0000}"/>
    <cellStyle name="Comma0 9 4 3 2" xfId="3093" xr:uid="{00000000-0005-0000-0000-0000150C0000}"/>
    <cellStyle name="Comma0 9 4 3 3" xfId="3094" xr:uid="{00000000-0005-0000-0000-0000160C0000}"/>
    <cellStyle name="Comma0 9 4 4" xfId="3095" xr:uid="{00000000-0005-0000-0000-0000170C0000}"/>
    <cellStyle name="Comma0 9 4 4 2" xfId="3096" xr:uid="{00000000-0005-0000-0000-0000180C0000}"/>
    <cellStyle name="Comma0 9 4 4 3" xfId="3097" xr:uid="{00000000-0005-0000-0000-0000190C0000}"/>
    <cellStyle name="Comma0 9 4 5" xfId="3098" xr:uid="{00000000-0005-0000-0000-00001A0C0000}"/>
    <cellStyle name="Comma0 9 4 5 2" xfId="3099" xr:uid="{00000000-0005-0000-0000-00001B0C0000}"/>
    <cellStyle name="Comma0 9 4 5 3" xfId="3100" xr:uid="{00000000-0005-0000-0000-00001C0C0000}"/>
    <cellStyle name="Comma0 9 4 6" xfId="3101" xr:uid="{00000000-0005-0000-0000-00001D0C0000}"/>
    <cellStyle name="Comma0 9 4 7" xfId="3102" xr:uid="{00000000-0005-0000-0000-00001E0C0000}"/>
    <cellStyle name="Comma0 9 4 8" xfId="3103" xr:uid="{00000000-0005-0000-0000-00001F0C0000}"/>
    <cellStyle name="Comma0 9 5" xfId="3104" xr:uid="{00000000-0005-0000-0000-0000200C0000}"/>
    <cellStyle name="Comma0 9 5 2" xfId="3105" xr:uid="{00000000-0005-0000-0000-0000210C0000}"/>
    <cellStyle name="Comma0 9 5 2 2" xfId="3106" xr:uid="{00000000-0005-0000-0000-0000220C0000}"/>
    <cellStyle name="Comma0 9 5 2 2 2" xfId="3107" xr:uid="{00000000-0005-0000-0000-0000230C0000}"/>
    <cellStyle name="Comma0 9 5 2 2 3" xfId="3108" xr:uid="{00000000-0005-0000-0000-0000240C0000}"/>
    <cellStyle name="Comma0 9 5 2 3" xfId="3109" xr:uid="{00000000-0005-0000-0000-0000250C0000}"/>
    <cellStyle name="Comma0 9 5 2 3 2" xfId="3110" xr:uid="{00000000-0005-0000-0000-0000260C0000}"/>
    <cellStyle name="Comma0 9 5 2 3 3" xfId="3111" xr:uid="{00000000-0005-0000-0000-0000270C0000}"/>
    <cellStyle name="Comma0 9 5 2 4" xfId="3112" xr:uid="{00000000-0005-0000-0000-0000280C0000}"/>
    <cellStyle name="Comma0 9 5 2 5" xfId="3113" xr:uid="{00000000-0005-0000-0000-0000290C0000}"/>
    <cellStyle name="Comma0 9 5 2 6" xfId="3114" xr:uid="{00000000-0005-0000-0000-00002A0C0000}"/>
    <cellStyle name="Comma0 9 5 3" xfId="3115" xr:uid="{00000000-0005-0000-0000-00002B0C0000}"/>
    <cellStyle name="Comma0 9 5 3 2" xfId="3116" xr:uid="{00000000-0005-0000-0000-00002C0C0000}"/>
    <cellStyle name="Comma0 9 5 3 3" xfId="3117" xr:uid="{00000000-0005-0000-0000-00002D0C0000}"/>
    <cellStyle name="Comma0 9 5 4" xfId="3118" xr:uid="{00000000-0005-0000-0000-00002E0C0000}"/>
    <cellStyle name="Comma0 9 5 4 2" xfId="3119" xr:uid="{00000000-0005-0000-0000-00002F0C0000}"/>
    <cellStyle name="Comma0 9 5 4 3" xfId="3120" xr:uid="{00000000-0005-0000-0000-0000300C0000}"/>
    <cellStyle name="Comma0 9 5 5" xfId="3121" xr:uid="{00000000-0005-0000-0000-0000310C0000}"/>
    <cellStyle name="Comma0 9 5 5 2" xfId="3122" xr:uid="{00000000-0005-0000-0000-0000320C0000}"/>
    <cellStyle name="Comma0 9 5 5 3" xfId="3123" xr:uid="{00000000-0005-0000-0000-0000330C0000}"/>
    <cellStyle name="Comma0 9 5 6" xfId="3124" xr:uid="{00000000-0005-0000-0000-0000340C0000}"/>
    <cellStyle name="Comma0 9 5 7" xfId="3125" xr:uid="{00000000-0005-0000-0000-0000350C0000}"/>
    <cellStyle name="Comma0 9 5 8" xfId="3126" xr:uid="{00000000-0005-0000-0000-0000360C0000}"/>
    <cellStyle name="Comma0 9 6" xfId="3127" xr:uid="{00000000-0005-0000-0000-0000370C0000}"/>
    <cellStyle name="Comma0 9 6 2" xfId="3128" xr:uid="{00000000-0005-0000-0000-0000380C0000}"/>
    <cellStyle name="Comma0 9 6 2 2" xfId="3129" xr:uid="{00000000-0005-0000-0000-0000390C0000}"/>
    <cellStyle name="Comma0 9 6 2 3" xfId="3130" xr:uid="{00000000-0005-0000-0000-00003A0C0000}"/>
    <cellStyle name="Comma0 9 6 3" xfId="3131" xr:uid="{00000000-0005-0000-0000-00003B0C0000}"/>
    <cellStyle name="Comma0 9 6 3 2" xfId="3132" xr:uid="{00000000-0005-0000-0000-00003C0C0000}"/>
    <cellStyle name="Comma0 9 6 3 3" xfId="3133" xr:uid="{00000000-0005-0000-0000-00003D0C0000}"/>
    <cellStyle name="Comma0 9 6 4" xfId="3134" xr:uid="{00000000-0005-0000-0000-00003E0C0000}"/>
    <cellStyle name="Comma0 9 6 5" xfId="3135" xr:uid="{00000000-0005-0000-0000-00003F0C0000}"/>
    <cellStyle name="Comma0 9 6 6" xfId="3136" xr:uid="{00000000-0005-0000-0000-0000400C0000}"/>
    <cellStyle name="Comma0 9 7" xfId="3137" xr:uid="{00000000-0005-0000-0000-0000410C0000}"/>
    <cellStyle name="Comma0 9 7 2" xfId="3138" xr:uid="{00000000-0005-0000-0000-0000420C0000}"/>
    <cellStyle name="Comma0 9 7 3" xfId="3139" xr:uid="{00000000-0005-0000-0000-0000430C0000}"/>
    <cellStyle name="Comma0 9 8" xfId="3140" xr:uid="{00000000-0005-0000-0000-0000440C0000}"/>
    <cellStyle name="Comma0 9 8 2" xfId="3141" xr:uid="{00000000-0005-0000-0000-0000450C0000}"/>
    <cellStyle name="Comma0 9 8 3" xfId="3142" xr:uid="{00000000-0005-0000-0000-0000460C0000}"/>
    <cellStyle name="Comma0 9 9" xfId="3143" xr:uid="{00000000-0005-0000-0000-0000470C0000}"/>
    <cellStyle name="Comma0 9 9 2" xfId="3144" xr:uid="{00000000-0005-0000-0000-0000480C0000}"/>
    <cellStyle name="Comma0 9 9 3" xfId="3145" xr:uid="{00000000-0005-0000-0000-0000490C0000}"/>
    <cellStyle name="Currency [0] 2" xfId="3146" xr:uid="{00000000-0005-0000-0000-00004B0C0000}"/>
    <cellStyle name="Currency 10" xfId="3147" xr:uid="{00000000-0005-0000-0000-00004C0C0000}"/>
    <cellStyle name="Currency 10 2" xfId="3148" xr:uid="{00000000-0005-0000-0000-00004D0C0000}"/>
    <cellStyle name="Currency 10 2 2" xfId="3149" xr:uid="{00000000-0005-0000-0000-00004E0C0000}"/>
    <cellStyle name="Currency 10 2 2 2" xfId="3150" xr:uid="{00000000-0005-0000-0000-00004F0C0000}"/>
    <cellStyle name="Currency 10 2 2 2 2" xfId="3151" xr:uid="{00000000-0005-0000-0000-0000500C0000}"/>
    <cellStyle name="Currency 10 2 2 2 3" xfId="3152" xr:uid="{00000000-0005-0000-0000-0000510C0000}"/>
    <cellStyle name="Currency 10 2 2 3" xfId="3153" xr:uid="{00000000-0005-0000-0000-0000520C0000}"/>
    <cellStyle name="Currency 10 2 2 3 2" xfId="3154" xr:uid="{00000000-0005-0000-0000-0000530C0000}"/>
    <cellStyle name="Currency 10 2 2 3 3" xfId="3155" xr:uid="{00000000-0005-0000-0000-0000540C0000}"/>
    <cellStyle name="Currency 10 2 2 4" xfId="3156" xr:uid="{00000000-0005-0000-0000-0000550C0000}"/>
    <cellStyle name="Currency 10 2 2 5" xfId="3157" xr:uid="{00000000-0005-0000-0000-0000560C0000}"/>
    <cellStyle name="Currency 10 2 2 6" xfId="3158" xr:uid="{00000000-0005-0000-0000-0000570C0000}"/>
    <cellStyle name="Currency 10 2 3" xfId="3159" xr:uid="{00000000-0005-0000-0000-0000580C0000}"/>
    <cellStyle name="Currency 10 2 3 2" xfId="3160" xr:uid="{00000000-0005-0000-0000-0000590C0000}"/>
    <cellStyle name="Currency 10 2 3 3" xfId="3161" xr:uid="{00000000-0005-0000-0000-00005A0C0000}"/>
    <cellStyle name="Currency 10 2 4" xfId="3162" xr:uid="{00000000-0005-0000-0000-00005B0C0000}"/>
    <cellStyle name="Currency 10 2 4 2" xfId="3163" xr:uid="{00000000-0005-0000-0000-00005C0C0000}"/>
    <cellStyle name="Currency 10 2 4 3" xfId="3164" xr:uid="{00000000-0005-0000-0000-00005D0C0000}"/>
    <cellStyle name="Currency 10 2 5" xfId="3165" xr:uid="{00000000-0005-0000-0000-00005E0C0000}"/>
    <cellStyle name="Currency 10 2 6" xfId="3166" xr:uid="{00000000-0005-0000-0000-00005F0C0000}"/>
    <cellStyle name="Currency 10 2 7" xfId="3167" xr:uid="{00000000-0005-0000-0000-0000600C0000}"/>
    <cellStyle name="Currency 10 3" xfId="3168" xr:uid="{00000000-0005-0000-0000-0000610C0000}"/>
    <cellStyle name="Currency 10 3 2" xfId="3169" xr:uid="{00000000-0005-0000-0000-0000620C0000}"/>
    <cellStyle name="Currency 10 3 2 2" xfId="3170" xr:uid="{00000000-0005-0000-0000-0000630C0000}"/>
    <cellStyle name="Currency 10 3 2 3" xfId="3171" xr:uid="{00000000-0005-0000-0000-0000640C0000}"/>
    <cellStyle name="Currency 10 3 3" xfId="3172" xr:uid="{00000000-0005-0000-0000-0000650C0000}"/>
    <cellStyle name="Currency 10 3 3 2" xfId="3173" xr:uid="{00000000-0005-0000-0000-0000660C0000}"/>
    <cellStyle name="Currency 10 3 3 3" xfId="3174" xr:uid="{00000000-0005-0000-0000-0000670C0000}"/>
    <cellStyle name="Currency 10 3 4" xfId="3175" xr:uid="{00000000-0005-0000-0000-0000680C0000}"/>
    <cellStyle name="Currency 10 3 5" xfId="3176" xr:uid="{00000000-0005-0000-0000-0000690C0000}"/>
    <cellStyle name="Currency 10 3 6" xfId="3177" xr:uid="{00000000-0005-0000-0000-00006A0C0000}"/>
    <cellStyle name="Currency 10 4" xfId="3178" xr:uid="{00000000-0005-0000-0000-00006B0C0000}"/>
    <cellStyle name="Currency 10 4 2" xfId="3179" xr:uid="{00000000-0005-0000-0000-00006C0C0000}"/>
    <cellStyle name="Currency 10 4 3" xfId="3180" xr:uid="{00000000-0005-0000-0000-00006D0C0000}"/>
    <cellStyle name="Currency 10 5" xfId="3181" xr:uid="{00000000-0005-0000-0000-00006E0C0000}"/>
    <cellStyle name="Currency 10 5 2" xfId="3182" xr:uid="{00000000-0005-0000-0000-00006F0C0000}"/>
    <cellStyle name="Currency 10 5 3" xfId="3183" xr:uid="{00000000-0005-0000-0000-0000700C0000}"/>
    <cellStyle name="Currency 10 6" xfId="3184" xr:uid="{00000000-0005-0000-0000-0000710C0000}"/>
    <cellStyle name="Currency 10 7" xfId="3185" xr:uid="{00000000-0005-0000-0000-0000720C0000}"/>
    <cellStyle name="Currency 10 8" xfId="3186" xr:uid="{00000000-0005-0000-0000-0000730C0000}"/>
    <cellStyle name="Currency 11" xfId="3187" xr:uid="{00000000-0005-0000-0000-0000740C0000}"/>
    <cellStyle name="Currency 11 2" xfId="3188" xr:uid="{00000000-0005-0000-0000-0000750C0000}"/>
    <cellStyle name="Currency 11 2 2" xfId="3189" xr:uid="{00000000-0005-0000-0000-0000760C0000}"/>
    <cellStyle name="Currency 11 2 2 2" xfId="3190" xr:uid="{00000000-0005-0000-0000-0000770C0000}"/>
    <cellStyle name="Currency 11 2 2 3" xfId="3191" xr:uid="{00000000-0005-0000-0000-0000780C0000}"/>
    <cellStyle name="Currency 11 2 3" xfId="3192" xr:uid="{00000000-0005-0000-0000-0000790C0000}"/>
    <cellStyle name="Currency 11 2 3 2" xfId="3193" xr:uid="{00000000-0005-0000-0000-00007A0C0000}"/>
    <cellStyle name="Currency 11 2 3 3" xfId="3194" xr:uid="{00000000-0005-0000-0000-00007B0C0000}"/>
    <cellStyle name="Currency 11 2 4" xfId="3195" xr:uid="{00000000-0005-0000-0000-00007C0C0000}"/>
    <cellStyle name="Currency 11 2 5" xfId="3196" xr:uid="{00000000-0005-0000-0000-00007D0C0000}"/>
    <cellStyle name="Currency 11 2 6" xfId="3197" xr:uid="{00000000-0005-0000-0000-00007E0C0000}"/>
    <cellStyle name="Currency 11 3" xfId="3198" xr:uid="{00000000-0005-0000-0000-00007F0C0000}"/>
    <cellStyle name="Currency 11 3 2" xfId="3199" xr:uid="{00000000-0005-0000-0000-0000800C0000}"/>
    <cellStyle name="Currency 11 3 3" xfId="3200" xr:uid="{00000000-0005-0000-0000-0000810C0000}"/>
    <cellStyle name="Currency 11 4" xfId="3201" xr:uid="{00000000-0005-0000-0000-0000820C0000}"/>
    <cellStyle name="Currency 11 4 2" xfId="3202" xr:uid="{00000000-0005-0000-0000-0000830C0000}"/>
    <cellStyle name="Currency 11 4 3" xfId="3203" xr:uid="{00000000-0005-0000-0000-0000840C0000}"/>
    <cellStyle name="Currency 11 5" xfId="3204" xr:uid="{00000000-0005-0000-0000-0000850C0000}"/>
    <cellStyle name="Currency 11 6" xfId="3205" xr:uid="{00000000-0005-0000-0000-0000860C0000}"/>
    <cellStyle name="Currency 11 7" xfId="3206" xr:uid="{00000000-0005-0000-0000-0000870C0000}"/>
    <cellStyle name="Currency 12" xfId="3207" xr:uid="{00000000-0005-0000-0000-0000880C0000}"/>
    <cellStyle name="Currency 12 2" xfId="3208" xr:uid="{00000000-0005-0000-0000-0000890C0000}"/>
    <cellStyle name="Currency 12 2 2" xfId="3209" xr:uid="{00000000-0005-0000-0000-00008A0C0000}"/>
    <cellStyle name="Currency 12 2 2 2" xfId="3210" xr:uid="{00000000-0005-0000-0000-00008B0C0000}"/>
    <cellStyle name="Currency 12 2 2 3" xfId="3211" xr:uid="{00000000-0005-0000-0000-00008C0C0000}"/>
    <cellStyle name="Currency 12 2 3" xfId="3212" xr:uid="{00000000-0005-0000-0000-00008D0C0000}"/>
    <cellStyle name="Currency 12 2 3 2" xfId="3213" xr:uid="{00000000-0005-0000-0000-00008E0C0000}"/>
    <cellStyle name="Currency 12 2 3 3" xfId="3214" xr:uid="{00000000-0005-0000-0000-00008F0C0000}"/>
    <cellStyle name="Currency 12 2 4" xfId="3215" xr:uid="{00000000-0005-0000-0000-0000900C0000}"/>
    <cellStyle name="Currency 12 2 5" xfId="3216" xr:uid="{00000000-0005-0000-0000-0000910C0000}"/>
    <cellStyle name="Currency 12 2 6" xfId="3217" xr:uid="{00000000-0005-0000-0000-0000920C0000}"/>
    <cellStyle name="Currency 12 3" xfId="3218" xr:uid="{00000000-0005-0000-0000-0000930C0000}"/>
    <cellStyle name="Currency 12 3 2" xfId="3219" xr:uid="{00000000-0005-0000-0000-0000940C0000}"/>
    <cellStyle name="Currency 12 3 3" xfId="3220" xr:uid="{00000000-0005-0000-0000-0000950C0000}"/>
    <cellStyle name="Currency 12 4" xfId="3221" xr:uid="{00000000-0005-0000-0000-0000960C0000}"/>
    <cellStyle name="Currency 12 4 2" xfId="3222" xr:uid="{00000000-0005-0000-0000-0000970C0000}"/>
    <cellStyle name="Currency 12 4 3" xfId="3223" xr:uid="{00000000-0005-0000-0000-0000980C0000}"/>
    <cellStyle name="Currency 12 5" xfId="3224" xr:uid="{00000000-0005-0000-0000-0000990C0000}"/>
    <cellStyle name="Currency 12 6" xfId="3225" xr:uid="{00000000-0005-0000-0000-00009A0C0000}"/>
    <cellStyle name="Currency 12 7" xfId="3226" xr:uid="{00000000-0005-0000-0000-00009B0C0000}"/>
    <cellStyle name="Currency 13" xfId="3227" xr:uid="{00000000-0005-0000-0000-00009C0C0000}"/>
    <cellStyle name="Currency 13 2" xfId="3228" xr:uid="{00000000-0005-0000-0000-00009D0C0000}"/>
    <cellStyle name="Currency 13 2 2" xfId="3229" xr:uid="{00000000-0005-0000-0000-00009E0C0000}"/>
    <cellStyle name="Currency 13 2 2 2" xfId="3230" xr:uid="{00000000-0005-0000-0000-00009F0C0000}"/>
    <cellStyle name="Currency 13 2 2 3" xfId="3231" xr:uid="{00000000-0005-0000-0000-0000A00C0000}"/>
    <cellStyle name="Currency 13 2 3" xfId="3232" xr:uid="{00000000-0005-0000-0000-0000A10C0000}"/>
    <cellStyle name="Currency 13 2 3 2" xfId="3233" xr:uid="{00000000-0005-0000-0000-0000A20C0000}"/>
    <cellStyle name="Currency 13 2 3 3" xfId="3234" xr:uid="{00000000-0005-0000-0000-0000A30C0000}"/>
    <cellStyle name="Currency 13 2 4" xfId="3235" xr:uid="{00000000-0005-0000-0000-0000A40C0000}"/>
    <cellStyle name="Currency 13 2 5" xfId="3236" xr:uid="{00000000-0005-0000-0000-0000A50C0000}"/>
    <cellStyle name="Currency 13 2 6" xfId="3237" xr:uid="{00000000-0005-0000-0000-0000A60C0000}"/>
    <cellStyle name="Currency 13 3" xfId="3238" xr:uid="{00000000-0005-0000-0000-0000A70C0000}"/>
    <cellStyle name="Currency 13 3 2" xfId="3239" xr:uid="{00000000-0005-0000-0000-0000A80C0000}"/>
    <cellStyle name="Currency 13 3 3" xfId="3240" xr:uid="{00000000-0005-0000-0000-0000A90C0000}"/>
    <cellStyle name="Currency 13 4" xfId="3241" xr:uid="{00000000-0005-0000-0000-0000AA0C0000}"/>
    <cellStyle name="Currency 13 4 2" xfId="3242" xr:uid="{00000000-0005-0000-0000-0000AB0C0000}"/>
    <cellStyle name="Currency 13 4 3" xfId="3243" xr:uid="{00000000-0005-0000-0000-0000AC0C0000}"/>
    <cellStyle name="Currency 13 5" xfId="3244" xr:uid="{00000000-0005-0000-0000-0000AD0C0000}"/>
    <cellStyle name="Currency 13 6" xfId="3245" xr:uid="{00000000-0005-0000-0000-0000AE0C0000}"/>
    <cellStyle name="Currency 13 7" xfId="3246" xr:uid="{00000000-0005-0000-0000-0000AF0C0000}"/>
    <cellStyle name="Currency 14" xfId="3247" xr:uid="{00000000-0005-0000-0000-0000B00C0000}"/>
    <cellStyle name="Currency 14 2" xfId="3248" xr:uid="{00000000-0005-0000-0000-0000B10C0000}"/>
    <cellStyle name="Currency 14 2 2" xfId="3249" xr:uid="{00000000-0005-0000-0000-0000B20C0000}"/>
    <cellStyle name="Currency 14 2 2 2" xfId="3250" xr:uid="{00000000-0005-0000-0000-0000B30C0000}"/>
    <cellStyle name="Currency 14 2 2 3" xfId="3251" xr:uid="{00000000-0005-0000-0000-0000B40C0000}"/>
    <cellStyle name="Currency 14 2 3" xfId="3252" xr:uid="{00000000-0005-0000-0000-0000B50C0000}"/>
    <cellStyle name="Currency 14 2 3 2" xfId="3253" xr:uid="{00000000-0005-0000-0000-0000B60C0000}"/>
    <cellStyle name="Currency 14 2 3 3" xfId="3254" xr:uid="{00000000-0005-0000-0000-0000B70C0000}"/>
    <cellStyle name="Currency 14 2 4" xfId="3255" xr:uid="{00000000-0005-0000-0000-0000B80C0000}"/>
    <cellStyle name="Currency 14 2 5" xfId="3256" xr:uid="{00000000-0005-0000-0000-0000B90C0000}"/>
    <cellStyle name="Currency 14 2 6" xfId="3257" xr:uid="{00000000-0005-0000-0000-0000BA0C0000}"/>
    <cellStyle name="Currency 14 3" xfId="3258" xr:uid="{00000000-0005-0000-0000-0000BB0C0000}"/>
    <cellStyle name="Currency 14 3 2" xfId="3259" xr:uid="{00000000-0005-0000-0000-0000BC0C0000}"/>
    <cellStyle name="Currency 14 3 3" xfId="3260" xr:uid="{00000000-0005-0000-0000-0000BD0C0000}"/>
    <cellStyle name="Currency 14 4" xfId="3261" xr:uid="{00000000-0005-0000-0000-0000BE0C0000}"/>
    <cellStyle name="Currency 14 4 2" xfId="3262" xr:uid="{00000000-0005-0000-0000-0000BF0C0000}"/>
    <cellStyle name="Currency 14 4 3" xfId="3263" xr:uid="{00000000-0005-0000-0000-0000C00C0000}"/>
    <cellStyle name="Currency 14 5" xfId="3264" xr:uid="{00000000-0005-0000-0000-0000C10C0000}"/>
    <cellStyle name="Currency 14 6" xfId="3265" xr:uid="{00000000-0005-0000-0000-0000C20C0000}"/>
    <cellStyle name="Currency 14 7" xfId="3266" xr:uid="{00000000-0005-0000-0000-0000C30C0000}"/>
    <cellStyle name="Currency 15" xfId="3267" xr:uid="{00000000-0005-0000-0000-0000C40C0000}"/>
    <cellStyle name="Currency 15 10" xfId="3268" xr:uid="{00000000-0005-0000-0000-0000C50C0000}"/>
    <cellStyle name="Currency 15 10 10" xfId="3269" xr:uid="{00000000-0005-0000-0000-0000C60C0000}"/>
    <cellStyle name="Currency 15 10 10 2" xfId="3270" xr:uid="{00000000-0005-0000-0000-0000C70C0000}"/>
    <cellStyle name="Currency 15 10 11" xfId="3271" xr:uid="{00000000-0005-0000-0000-0000C80C0000}"/>
    <cellStyle name="Currency 15 10 11 2" xfId="3272" xr:uid="{00000000-0005-0000-0000-0000C90C0000}"/>
    <cellStyle name="Currency 15 10 12" xfId="3273" xr:uid="{00000000-0005-0000-0000-0000CA0C0000}"/>
    <cellStyle name="Currency 15 10 12 2" xfId="3274" xr:uid="{00000000-0005-0000-0000-0000CB0C0000}"/>
    <cellStyle name="Currency 15 10 13" xfId="3275" xr:uid="{00000000-0005-0000-0000-0000CC0C0000}"/>
    <cellStyle name="Currency 15 10 13 2" xfId="3276" xr:uid="{00000000-0005-0000-0000-0000CD0C0000}"/>
    <cellStyle name="Currency 15 10 14" xfId="3277" xr:uid="{00000000-0005-0000-0000-0000CE0C0000}"/>
    <cellStyle name="Currency 15 10 14 2" xfId="3278" xr:uid="{00000000-0005-0000-0000-0000CF0C0000}"/>
    <cellStyle name="Currency 15 10 15" xfId="3279" xr:uid="{00000000-0005-0000-0000-0000D00C0000}"/>
    <cellStyle name="Currency 15 10 2" xfId="3280" xr:uid="{00000000-0005-0000-0000-0000D10C0000}"/>
    <cellStyle name="Currency 15 10 2 2" xfId="3281" xr:uid="{00000000-0005-0000-0000-0000D20C0000}"/>
    <cellStyle name="Currency 15 10 3" xfId="3282" xr:uid="{00000000-0005-0000-0000-0000D30C0000}"/>
    <cellStyle name="Currency 15 10 3 2" xfId="3283" xr:uid="{00000000-0005-0000-0000-0000D40C0000}"/>
    <cellStyle name="Currency 15 10 4" xfId="3284" xr:uid="{00000000-0005-0000-0000-0000D50C0000}"/>
    <cellStyle name="Currency 15 10 4 2" xfId="3285" xr:uid="{00000000-0005-0000-0000-0000D60C0000}"/>
    <cellStyle name="Currency 15 10 5" xfId="3286" xr:uid="{00000000-0005-0000-0000-0000D70C0000}"/>
    <cellStyle name="Currency 15 10 5 2" xfId="3287" xr:uid="{00000000-0005-0000-0000-0000D80C0000}"/>
    <cellStyle name="Currency 15 10 6" xfId="3288" xr:uid="{00000000-0005-0000-0000-0000D90C0000}"/>
    <cellStyle name="Currency 15 10 6 2" xfId="3289" xr:uid="{00000000-0005-0000-0000-0000DA0C0000}"/>
    <cellStyle name="Currency 15 10 7" xfId="3290" xr:uid="{00000000-0005-0000-0000-0000DB0C0000}"/>
    <cellStyle name="Currency 15 10 7 2" xfId="3291" xr:uid="{00000000-0005-0000-0000-0000DC0C0000}"/>
    <cellStyle name="Currency 15 10 8" xfId="3292" xr:uid="{00000000-0005-0000-0000-0000DD0C0000}"/>
    <cellStyle name="Currency 15 10 8 2" xfId="3293" xr:uid="{00000000-0005-0000-0000-0000DE0C0000}"/>
    <cellStyle name="Currency 15 10 9" xfId="3294" xr:uid="{00000000-0005-0000-0000-0000DF0C0000}"/>
    <cellStyle name="Currency 15 10 9 2" xfId="3295" xr:uid="{00000000-0005-0000-0000-0000E00C0000}"/>
    <cellStyle name="Currency 15 11" xfId="3296" xr:uid="{00000000-0005-0000-0000-0000E10C0000}"/>
    <cellStyle name="Currency 15 11 10" xfId="3297" xr:uid="{00000000-0005-0000-0000-0000E20C0000}"/>
    <cellStyle name="Currency 15 11 10 2" xfId="3298" xr:uid="{00000000-0005-0000-0000-0000E30C0000}"/>
    <cellStyle name="Currency 15 11 11" xfId="3299" xr:uid="{00000000-0005-0000-0000-0000E40C0000}"/>
    <cellStyle name="Currency 15 11 11 2" xfId="3300" xr:uid="{00000000-0005-0000-0000-0000E50C0000}"/>
    <cellStyle name="Currency 15 11 12" xfId="3301" xr:uid="{00000000-0005-0000-0000-0000E60C0000}"/>
    <cellStyle name="Currency 15 11 12 2" xfId="3302" xr:uid="{00000000-0005-0000-0000-0000E70C0000}"/>
    <cellStyle name="Currency 15 11 13" xfId="3303" xr:uid="{00000000-0005-0000-0000-0000E80C0000}"/>
    <cellStyle name="Currency 15 11 13 2" xfId="3304" xr:uid="{00000000-0005-0000-0000-0000E90C0000}"/>
    <cellStyle name="Currency 15 11 14" xfId="3305" xr:uid="{00000000-0005-0000-0000-0000EA0C0000}"/>
    <cellStyle name="Currency 15 11 14 2" xfId="3306" xr:uid="{00000000-0005-0000-0000-0000EB0C0000}"/>
    <cellStyle name="Currency 15 11 15" xfId="3307" xr:uid="{00000000-0005-0000-0000-0000EC0C0000}"/>
    <cellStyle name="Currency 15 11 2" xfId="3308" xr:uid="{00000000-0005-0000-0000-0000ED0C0000}"/>
    <cellStyle name="Currency 15 11 2 2" xfId="3309" xr:uid="{00000000-0005-0000-0000-0000EE0C0000}"/>
    <cellStyle name="Currency 15 11 3" xfId="3310" xr:uid="{00000000-0005-0000-0000-0000EF0C0000}"/>
    <cellStyle name="Currency 15 11 3 2" xfId="3311" xr:uid="{00000000-0005-0000-0000-0000F00C0000}"/>
    <cellStyle name="Currency 15 11 4" xfId="3312" xr:uid="{00000000-0005-0000-0000-0000F10C0000}"/>
    <cellStyle name="Currency 15 11 4 2" xfId="3313" xr:uid="{00000000-0005-0000-0000-0000F20C0000}"/>
    <cellStyle name="Currency 15 11 5" xfId="3314" xr:uid="{00000000-0005-0000-0000-0000F30C0000}"/>
    <cellStyle name="Currency 15 11 5 2" xfId="3315" xr:uid="{00000000-0005-0000-0000-0000F40C0000}"/>
    <cellStyle name="Currency 15 11 6" xfId="3316" xr:uid="{00000000-0005-0000-0000-0000F50C0000}"/>
    <cellStyle name="Currency 15 11 6 2" xfId="3317" xr:uid="{00000000-0005-0000-0000-0000F60C0000}"/>
    <cellStyle name="Currency 15 11 7" xfId="3318" xr:uid="{00000000-0005-0000-0000-0000F70C0000}"/>
    <cellStyle name="Currency 15 11 7 2" xfId="3319" xr:uid="{00000000-0005-0000-0000-0000F80C0000}"/>
    <cellStyle name="Currency 15 11 8" xfId="3320" xr:uid="{00000000-0005-0000-0000-0000F90C0000}"/>
    <cellStyle name="Currency 15 11 8 2" xfId="3321" xr:uid="{00000000-0005-0000-0000-0000FA0C0000}"/>
    <cellStyle name="Currency 15 11 9" xfId="3322" xr:uid="{00000000-0005-0000-0000-0000FB0C0000}"/>
    <cellStyle name="Currency 15 11 9 2" xfId="3323" xr:uid="{00000000-0005-0000-0000-0000FC0C0000}"/>
    <cellStyle name="Currency 15 12" xfId="3324" xr:uid="{00000000-0005-0000-0000-0000FD0C0000}"/>
    <cellStyle name="Currency 15 12 10" xfId="3325" xr:uid="{00000000-0005-0000-0000-0000FE0C0000}"/>
    <cellStyle name="Currency 15 12 10 2" xfId="3326" xr:uid="{00000000-0005-0000-0000-0000FF0C0000}"/>
    <cellStyle name="Currency 15 12 11" xfId="3327" xr:uid="{00000000-0005-0000-0000-0000000D0000}"/>
    <cellStyle name="Currency 15 12 11 2" xfId="3328" xr:uid="{00000000-0005-0000-0000-0000010D0000}"/>
    <cellStyle name="Currency 15 12 12" xfId="3329" xr:uid="{00000000-0005-0000-0000-0000020D0000}"/>
    <cellStyle name="Currency 15 12 12 2" xfId="3330" xr:uid="{00000000-0005-0000-0000-0000030D0000}"/>
    <cellStyle name="Currency 15 12 13" xfId="3331" xr:uid="{00000000-0005-0000-0000-0000040D0000}"/>
    <cellStyle name="Currency 15 12 13 2" xfId="3332" xr:uid="{00000000-0005-0000-0000-0000050D0000}"/>
    <cellStyle name="Currency 15 12 14" xfId="3333" xr:uid="{00000000-0005-0000-0000-0000060D0000}"/>
    <cellStyle name="Currency 15 12 14 2" xfId="3334" xr:uid="{00000000-0005-0000-0000-0000070D0000}"/>
    <cellStyle name="Currency 15 12 15" xfId="3335" xr:uid="{00000000-0005-0000-0000-0000080D0000}"/>
    <cellStyle name="Currency 15 12 2" xfId="3336" xr:uid="{00000000-0005-0000-0000-0000090D0000}"/>
    <cellStyle name="Currency 15 12 2 2" xfId="3337" xr:uid="{00000000-0005-0000-0000-00000A0D0000}"/>
    <cellStyle name="Currency 15 12 3" xfId="3338" xr:uid="{00000000-0005-0000-0000-00000B0D0000}"/>
    <cellStyle name="Currency 15 12 3 2" xfId="3339" xr:uid="{00000000-0005-0000-0000-00000C0D0000}"/>
    <cellStyle name="Currency 15 12 4" xfId="3340" xr:uid="{00000000-0005-0000-0000-00000D0D0000}"/>
    <cellStyle name="Currency 15 12 4 2" xfId="3341" xr:uid="{00000000-0005-0000-0000-00000E0D0000}"/>
    <cellStyle name="Currency 15 12 5" xfId="3342" xr:uid="{00000000-0005-0000-0000-00000F0D0000}"/>
    <cellStyle name="Currency 15 12 5 2" xfId="3343" xr:uid="{00000000-0005-0000-0000-0000100D0000}"/>
    <cellStyle name="Currency 15 12 6" xfId="3344" xr:uid="{00000000-0005-0000-0000-0000110D0000}"/>
    <cellStyle name="Currency 15 12 6 2" xfId="3345" xr:uid="{00000000-0005-0000-0000-0000120D0000}"/>
    <cellStyle name="Currency 15 12 7" xfId="3346" xr:uid="{00000000-0005-0000-0000-0000130D0000}"/>
    <cellStyle name="Currency 15 12 7 2" xfId="3347" xr:uid="{00000000-0005-0000-0000-0000140D0000}"/>
    <cellStyle name="Currency 15 12 8" xfId="3348" xr:uid="{00000000-0005-0000-0000-0000150D0000}"/>
    <cellStyle name="Currency 15 12 8 2" xfId="3349" xr:uid="{00000000-0005-0000-0000-0000160D0000}"/>
    <cellStyle name="Currency 15 12 9" xfId="3350" xr:uid="{00000000-0005-0000-0000-0000170D0000}"/>
    <cellStyle name="Currency 15 12 9 2" xfId="3351" xr:uid="{00000000-0005-0000-0000-0000180D0000}"/>
    <cellStyle name="Currency 15 13" xfId="3352" xr:uid="{00000000-0005-0000-0000-0000190D0000}"/>
    <cellStyle name="Currency 15 13 2" xfId="3353" xr:uid="{00000000-0005-0000-0000-00001A0D0000}"/>
    <cellStyle name="Currency 15 14" xfId="3354" xr:uid="{00000000-0005-0000-0000-00001B0D0000}"/>
    <cellStyle name="Currency 15 14 2" xfId="3355" xr:uid="{00000000-0005-0000-0000-00001C0D0000}"/>
    <cellStyle name="Currency 15 15" xfId="3356" xr:uid="{00000000-0005-0000-0000-00001D0D0000}"/>
    <cellStyle name="Currency 15 15 2" xfId="3357" xr:uid="{00000000-0005-0000-0000-00001E0D0000}"/>
    <cellStyle name="Currency 15 16" xfId="3358" xr:uid="{00000000-0005-0000-0000-00001F0D0000}"/>
    <cellStyle name="Currency 15 16 2" xfId="3359" xr:uid="{00000000-0005-0000-0000-0000200D0000}"/>
    <cellStyle name="Currency 15 17" xfId="3360" xr:uid="{00000000-0005-0000-0000-0000210D0000}"/>
    <cellStyle name="Currency 15 17 2" xfId="3361" xr:uid="{00000000-0005-0000-0000-0000220D0000}"/>
    <cellStyle name="Currency 15 18" xfId="3362" xr:uid="{00000000-0005-0000-0000-0000230D0000}"/>
    <cellStyle name="Currency 15 18 2" xfId="3363" xr:uid="{00000000-0005-0000-0000-0000240D0000}"/>
    <cellStyle name="Currency 15 19" xfId="3364" xr:uid="{00000000-0005-0000-0000-0000250D0000}"/>
    <cellStyle name="Currency 15 19 2" xfId="3365" xr:uid="{00000000-0005-0000-0000-0000260D0000}"/>
    <cellStyle name="Currency 15 2" xfId="3366" xr:uid="{00000000-0005-0000-0000-0000270D0000}"/>
    <cellStyle name="Currency 15 2 10" xfId="3367" xr:uid="{00000000-0005-0000-0000-0000280D0000}"/>
    <cellStyle name="Currency 15 2 10 2" xfId="3368" xr:uid="{00000000-0005-0000-0000-0000290D0000}"/>
    <cellStyle name="Currency 15 2 11" xfId="3369" xr:uid="{00000000-0005-0000-0000-00002A0D0000}"/>
    <cellStyle name="Currency 15 2 11 2" xfId="3370" xr:uid="{00000000-0005-0000-0000-00002B0D0000}"/>
    <cellStyle name="Currency 15 2 12" xfId="3371" xr:uid="{00000000-0005-0000-0000-00002C0D0000}"/>
    <cellStyle name="Currency 15 2 12 2" xfId="3372" xr:uid="{00000000-0005-0000-0000-00002D0D0000}"/>
    <cellStyle name="Currency 15 2 13" xfId="3373" xr:uid="{00000000-0005-0000-0000-00002E0D0000}"/>
    <cellStyle name="Currency 15 2 13 2" xfId="3374" xr:uid="{00000000-0005-0000-0000-00002F0D0000}"/>
    <cellStyle name="Currency 15 2 14" xfId="3375" xr:uid="{00000000-0005-0000-0000-0000300D0000}"/>
    <cellStyle name="Currency 15 2 14 2" xfId="3376" xr:uid="{00000000-0005-0000-0000-0000310D0000}"/>
    <cellStyle name="Currency 15 2 15" xfId="3377" xr:uid="{00000000-0005-0000-0000-0000320D0000}"/>
    <cellStyle name="Currency 15 2 2" xfId="3378" xr:uid="{00000000-0005-0000-0000-0000330D0000}"/>
    <cellStyle name="Currency 15 2 2 2" xfId="3379" xr:uid="{00000000-0005-0000-0000-0000340D0000}"/>
    <cellStyle name="Currency 15 2 3" xfId="3380" xr:uid="{00000000-0005-0000-0000-0000350D0000}"/>
    <cellStyle name="Currency 15 2 3 2" xfId="3381" xr:uid="{00000000-0005-0000-0000-0000360D0000}"/>
    <cellStyle name="Currency 15 2 4" xfId="3382" xr:uid="{00000000-0005-0000-0000-0000370D0000}"/>
    <cellStyle name="Currency 15 2 4 2" xfId="3383" xr:uid="{00000000-0005-0000-0000-0000380D0000}"/>
    <cellStyle name="Currency 15 2 5" xfId="3384" xr:uid="{00000000-0005-0000-0000-0000390D0000}"/>
    <cellStyle name="Currency 15 2 5 2" xfId="3385" xr:uid="{00000000-0005-0000-0000-00003A0D0000}"/>
    <cellStyle name="Currency 15 2 6" xfId="3386" xr:uid="{00000000-0005-0000-0000-00003B0D0000}"/>
    <cellStyle name="Currency 15 2 6 2" xfId="3387" xr:uid="{00000000-0005-0000-0000-00003C0D0000}"/>
    <cellStyle name="Currency 15 2 7" xfId="3388" xr:uid="{00000000-0005-0000-0000-00003D0D0000}"/>
    <cellStyle name="Currency 15 2 7 2" xfId="3389" xr:uid="{00000000-0005-0000-0000-00003E0D0000}"/>
    <cellStyle name="Currency 15 2 8" xfId="3390" xr:uid="{00000000-0005-0000-0000-00003F0D0000}"/>
    <cellStyle name="Currency 15 2 8 2" xfId="3391" xr:uid="{00000000-0005-0000-0000-0000400D0000}"/>
    <cellStyle name="Currency 15 2 9" xfId="3392" xr:uid="{00000000-0005-0000-0000-0000410D0000}"/>
    <cellStyle name="Currency 15 2 9 2" xfId="3393" xr:uid="{00000000-0005-0000-0000-0000420D0000}"/>
    <cellStyle name="Currency 15 20" xfId="3394" xr:uid="{00000000-0005-0000-0000-0000430D0000}"/>
    <cellStyle name="Currency 15 20 2" xfId="3395" xr:uid="{00000000-0005-0000-0000-0000440D0000}"/>
    <cellStyle name="Currency 15 21" xfId="3396" xr:uid="{00000000-0005-0000-0000-0000450D0000}"/>
    <cellStyle name="Currency 15 21 2" xfId="3397" xr:uid="{00000000-0005-0000-0000-0000460D0000}"/>
    <cellStyle name="Currency 15 22" xfId="3398" xr:uid="{00000000-0005-0000-0000-0000470D0000}"/>
    <cellStyle name="Currency 15 22 2" xfId="3399" xr:uid="{00000000-0005-0000-0000-0000480D0000}"/>
    <cellStyle name="Currency 15 23" xfId="3400" xr:uid="{00000000-0005-0000-0000-0000490D0000}"/>
    <cellStyle name="Currency 15 23 2" xfId="3401" xr:uid="{00000000-0005-0000-0000-00004A0D0000}"/>
    <cellStyle name="Currency 15 24" xfId="3402" xr:uid="{00000000-0005-0000-0000-00004B0D0000}"/>
    <cellStyle name="Currency 15 24 2" xfId="3403" xr:uid="{00000000-0005-0000-0000-00004C0D0000}"/>
    <cellStyle name="Currency 15 25" xfId="3404" xr:uid="{00000000-0005-0000-0000-00004D0D0000}"/>
    <cellStyle name="Currency 15 25 2" xfId="3405" xr:uid="{00000000-0005-0000-0000-00004E0D0000}"/>
    <cellStyle name="Currency 15 26" xfId="3406" xr:uid="{00000000-0005-0000-0000-00004F0D0000}"/>
    <cellStyle name="Currency 15 3" xfId="3407" xr:uid="{00000000-0005-0000-0000-0000500D0000}"/>
    <cellStyle name="Currency 15 3 10" xfId="3408" xr:uid="{00000000-0005-0000-0000-0000510D0000}"/>
    <cellStyle name="Currency 15 3 10 2" xfId="3409" xr:uid="{00000000-0005-0000-0000-0000520D0000}"/>
    <cellStyle name="Currency 15 3 11" xfId="3410" xr:uid="{00000000-0005-0000-0000-0000530D0000}"/>
    <cellStyle name="Currency 15 3 11 2" xfId="3411" xr:uid="{00000000-0005-0000-0000-0000540D0000}"/>
    <cellStyle name="Currency 15 3 12" xfId="3412" xr:uid="{00000000-0005-0000-0000-0000550D0000}"/>
    <cellStyle name="Currency 15 3 12 2" xfId="3413" xr:uid="{00000000-0005-0000-0000-0000560D0000}"/>
    <cellStyle name="Currency 15 3 13" xfId="3414" xr:uid="{00000000-0005-0000-0000-0000570D0000}"/>
    <cellStyle name="Currency 15 3 13 2" xfId="3415" xr:uid="{00000000-0005-0000-0000-0000580D0000}"/>
    <cellStyle name="Currency 15 3 14" xfId="3416" xr:uid="{00000000-0005-0000-0000-0000590D0000}"/>
    <cellStyle name="Currency 15 3 14 2" xfId="3417" xr:uid="{00000000-0005-0000-0000-00005A0D0000}"/>
    <cellStyle name="Currency 15 3 15" xfId="3418" xr:uid="{00000000-0005-0000-0000-00005B0D0000}"/>
    <cellStyle name="Currency 15 3 2" xfId="3419" xr:uid="{00000000-0005-0000-0000-00005C0D0000}"/>
    <cellStyle name="Currency 15 3 2 2" xfId="3420" xr:uid="{00000000-0005-0000-0000-00005D0D0000}"/>
    <cellStyle name="Currency 15 3 3" xfId="3421" xr:uid="{00000000-0005-0000-0000-00005E0D0000}"/>
    <cellStyle name="Currency 15 3 3 2" xfId="3422" xr:uid="{00000000-0005-0000-0000-00005F0D0000}"/>
    <cellStyle name="Currency 15 3 4" xfId="3423" xr:uid="{00000000-0005-0000-0000-0000600D0000}"/>
    <cellStyle name="Currency 15 3 4 2" xfId="3424" xr:uid="{00000000-0005-0000-0000-0000610D0000}"/>
    <cellStyle name="Currency 15 3 5" xfId="3425" xr:uid="{00000000-0005-0000-0000-0000620D0000}"/>
    <cellStyle name="Currency 15 3 5 2" xfId="3426" xr:uid="{00000000-0005-0000-0000-0000630D0000}"/>
    <cellStyle name="Currency 15 3 6" xfId="3427" xr:uid="{00000000-0005-0000-0000-0000640D0000}"/>
    <cellStyle name="Currency 15 3 6 2" xfId="3428" xr:uid="{00000000-0005-0000-0000-0000650D0000}"/>
    <cellStyle name="Currency 15 3 7" xfId="3429" xr:uid="{00000000-0005-0000-0000-0000660D0000}"/>
    <cellStyle name="Currency 15 3 7 2" xfId="3430" xr:uid="{00000000-0005-0000-0000-0000670D0000}"/>
    <cellStyle name="Currency 15 3 8" xfId="3431" xr:uid="{00000000-0005-0000-0000-0000680D0000}"/>
    <cellStyle name="Currency 15 3 8 2" xfId="3432" xr:uid="{00000000-0005-0000-0000-0000690D0000}"/>
    <cellStyle name="Currency 15 3 9" xfId="3433" xr:uid="{00000000-0005-0000-0000-00006A0D0000}"/>
    <cellStyle name="Currency 15 3 9 2" xfId="3434" xr:uid="{00000000-0005-0000-0000-00006B0D0000}"/>
    <cellStyle name="Currency 15 4" xfId="3435" xr:uid="{00000000-0005-0000-0000-00006C0D0000}"/>
    <cellStyle name="Currency 15 4 10" xfId="3436" xr:uid="{00000000-0005-0000-0000-00006D0D0000}"/>
    <cellStyle name="Currency 15 4 10 2" xfId="3437" xr:uid="{00000000-0005-0000-0000-00006E0D0000}"/>
    <cellStyle name="Currency 15 4 11" xfId="3438" xr:uid="{00000000-0005-0000-0000-00006F0D0000}"/>
    <cellStyle name="Currency 15 4 11 2" xfId="3439" xr:uid="{00000000-0005-0000-0000-0000700D0000}"/>
    <cellStyle name="Currency 15 4 12" xfId="3440" xr:uid="{00000000-0005-0000-0000-0000710D0000}"/>
    <cellStyle name="Currency 15 4 12 2" xfId="3441" xr:uid="{00000000-0005-0000-0000-0000720D0000}"/>
    <cellStyle name="Currency 15 4 13" xfId="3442" xr:uid="{00000000-0005-0000-0000-0000730D0000}"/>
    <cellStyle name="Currency 15 4 13 2" xfId="3443" xr:uid="{00000000-0005-0000-0000-0000740D0000}"/>
    <cellStyle name="Currency 15 4 14" xfId="3444" xr:uid="{00000000-0005-0000-0000-0000750D0000}"/>
    <cellStyle name="Currency 15 4 14 2" xfId="3445" xr:uid="{00000000-0005-0000-0000-0000760D0000}"/>
    <cellStyle name="Currency 15 4 15" xfId="3446" xr:uid="{00000000-0005-0000-0000-0000770D0000}"/>
    <cellStyle name="Currency 15 4 2" xfId="3447" xr:uid="{00000000-0005-0000-0000-0000780D0000}"/>
    <cellStyle name="Currency 15 4 2 2" xfId="3448" xr:uid="{00000000-0005-0000-0000-0000790D0000}"/>
    <cellStyle name="Currency 15 4 3" xfId="3449" xr:uid="{00000000-0005-0000-0000-00007A0D0000}"/>
    <cellStyle name="Currency 15 4 3 2" xfId="3450" xr:uid="{00000000-0005-0000-0000-00007B0D0000}"/>
    <cellStyle name="Currency 15 4 4" xfId="3451" xr:uid="{00000000-0005-0000-0000-00007C0D0000}"/>
    <cellStyle name="Currency 15 4 4 2" xfId="3452" xr:uid="{00000000-0005-0000-0000-00007D0D0000}"/>
    <cellStyle name="Currency 15 4 5" xfId="3453" xr:uid="{00000000-0005-0000-0000-00007E0D0000}"/>
    <cellStyle name="Currency 15 4 5 2" xfId="3454" xr:uid="{00000000-0005-0000-0000-00007F0D0000}"/>
    <cellStyle name="Currency 15 4 6" xfId="3455" xr:uid="{00000000-0005-0000-0000-0000800D0000}"/>
    <cellStyle name="Currency 15 4 6 2" xfId="3456" xr:uid="{00000000-0005-0000-0000-0000810D0000}"/>
    <cellStyle name="Currency 15 4 7" xfId="3457" xr:uid="{00000000-0005-0000-0000-0000820D0000}"/>
    <cellStyle name="Currency 15 4 7 2" xfId="3458" xr:uid="{00000000-0005-0000-0000-0000830D0000}"/>
    <cellStyle name="Currency 15 4 8" xfId="3459" xr:uid="{00000000-0005-0000-0000-0000840D0000}"/>
    <cellStyle name="Currency 15 4 8 2" xfId="3460" xr:uid="{00000000-0005-0000-0000-0000850D0000}"/>
    <cellStyle name="Currency 15 4 9" xfId="3461" xr:uid="{00000000-0005-0000-0000-0000860D0000}"/>
    <cellStyle name="Currency 15 4 9 2" xfId="3462" xr:uid="{00000000-0005-0000-0000-0000870D0000}"/>
    <cellStyle name="Currency 15 5" xfId="3463" xr:uid="{00000000-0005-0000-0000-0000880D0000}"/>
    <cellStyle name="Currency 15 5 10" xfId="3464" xr:uid="{00000000-0005-0000-0000-0000890D0000}"/>
    <cellStyle name="Currency 15 5 10 2" xfId="3465" xr:uid="{00000000-0005-0000-0000-00008A0D0000}"/>
    <cellStyle name="Currency 15 5 11" xfId="3466" xr:uid="{00000000-0005-0000-0000-00008B0D0000}"/>
    <cellStyle name="Currency 15 5 11 2" xfId="3467" xr:uid="{00000000-0005-0000-0000-00008C0D0000}"/>
    <cellStyle name="Currency 15 5 12" xfId="3468" xr:uid="{00000000-0005-0000-0000-00008D0D0000}"/>
    <cellStyle name="Currency 15 5 12 2" xfId="3469" xr:uid="{00000000-0005-0000-0000-00008E0D0000}"/>
    <cellStyle name="Currency 15 5 13" xfId="3470" xr:uid="{00000000-0005-0000-0000-00008F0D0000}"/>
    <cellStyle name="Currency 15 5 13 2" xfId="3471" xr:uid="{00000000-0005-0000-0000-0000900D0000}"/>
    <cellStyle name="Currency 15 5 14" xfId="3472" xr:uid="{00000000-0005-0000-0000-0000910D0000}"/>
    <cellStyle name="Currency 15 5 14 2" xfId="3473" xr:uid="{00000000-0005-0000-0000-0000920D0000}"/>
    <cellStyle name="Currency 15 5 15" xfId="3474" xr:uid="{00000000-0005-0000-0000-0000930D0000}"/>
    <cellStyle name="Currency 15 5 2" xfId="3475" xr:uid="{00000000-0005-0000-0000-0000940D0000}"/>
    <cellStyle name="Currency 15 5 2 2" xfId="3476" xr:uid="{00000000-0005-0000-0000-0000950D0000}"/>
    <cellStyle name="Currency 15 5 3" xfId="3477" xr:uid="{00000000-0005-0000-0000-0000960D0000}"/>
    <cellStyle name="Currency 15 5 3 2" xfId="3478" xr:uid="{00000000-0005-0000-0000-0000970D0000}"/>
    <cellStyle name="Currency 15 5 4" xfId="3479" xr:uid="{00000000-0005-0000-0000-0000980D0000}"/>
    <cellStyle name="Currency 15 5 4 2" xfId="3480" xr:uid="{00000000-0005-0000-0000-0000990D0000}"/>
    <cellStyle name="Currency 15 5 5" xfId="3481" xr:uid="{00000000-0005-0000-0000-00009A0D0000}"/>
    <cellStyle name="Currency 15 5 5 2" xfId="3482" xr:uid="{00000000-0005-0000-0000-00009B0D0000}"/>
    <cellStyle name="Currency 15 5 6" xfId="3483" xr:uid="{00000000-0005-0000-0000-00009C0D0000}"/>
    <cellStyle name="Currency 15 5 6 2" xfId="3484" xr:uid="{00000000-0005-0000-0000-00009D0D0000}"/>
    <cellStyle name="Currency 15 5 7" xfId="3485" xr:uid="{00000000-0005-0000-0000-00009E0D0000}"/>
    <cellStyle name="Currency 15 5 7 2" xfId="3486" xr:uid="{00000000-0005-0000-0000-00009F0D0000}"/>
    <cellStyle name="Currency 15 5 8" xfId="3487" xr:uid="{00000000-0005-0000-0000-0000A00D0000}"/>
    <cellStyle name="Currency 15 5 8 2" xfId="3488" xr:uid="{00000000-0005-0000-0000-0000A10D0000}"/>
    <cellStyle name="Currency 15 5 9" xfId="3489" xr:uid="{00000000-0005-0000-0000-0000A20D0000}"/>
    <cellStyle name="Currency 15 5 9 2" xfId="3490" xr:uid="{00000000-0005-0000-0000-0000A30D0000}"/>
    <cellStyle name="Currency 15 6" xfId="3491" xr:uid="{00000000-0005-0000-0000-0000A40D0000}"/>
    <cellStyle name="Currency 15 6 10" xfId="3492" xr:uid="{00000000-0005-0000-0000-0000A50D0000}"/>
    <cellStyle name="Currency 15 6 10 2" xfId="3493" xr:uid="{00000000-0005-0000-0000-0000A60D0000}"/>
    <cellStyle name="Currency 15 6 11" xfId="3494" xr:uid="{00000000-0005-0000-0000-0000A70D0000}"/>
    <cellStyle name="Currency 15 6 11 2" xfId="3495" xr:uid="{00000000-0005-0000-0000-0000A80D0000}"/>
    <cellStyle name="Currency 15 6 12" xfId="3496" xr:uid="{00000000-0005-0000-0000-0000A90D0000}"/>
    <cellStyle name="Currency 15 6 12 2" xfId="3497" xr:uid="{00000000-0005-0000-0000-0000AA0D0000}"/>
    <cellStyle name="Currency 15 6 13" xfId="3498" xr:uid="{00000000-0005-0000-0000-0000AB0D0000}"/>
    <cellStyle name="Currency 15 6 13 2" xfId="3499" xr:uid="{00000000-0005-0000-0000-0000AC0D0000}"/>
    <cellStyle name="Currency 15 6 14" xfId="3500" xr:uid="{00000000-0005-0000-0000-0000AD0D0000}"/>
    <cellStyle name="Currency 15 6 14 2" xfId="3501" xr:uid="{00000000-0005-0000-0000-0000AE0D0000}"/>
    <cellStyle name="Currency 15 6 15" xfId="3502" xr:uid="{00000000-0005-0000-0000-0000AF0D0000}"/>
    <cellStyle name="Currency 15 6 2" xfId="3503" xr:uid="{00000000-0005-0000-0000-0000B00D0000}"/>
    <cellStyle name="Currency 15 6 2 2" xfId="3504" xr:uid="{00000000-0005-0000-0000-0000B10D0000}"/>
    <cellStyle name="Currency 15 6 3" xfId="3505" xr:uid="{00000000-0005-0000-0000-0000B20D0000}"/>
    <cellStyle name="Currency 15 6 3 2" xfId="3506" xr:uid="{00000000-0005-0000-0000-0000B30D0000}"/>
    <cellStyle name="Currency 15 6 4" xfId="3507" xr:uid="{00000000-0005-0000-0000-0000B40D0000}"/>
    <cellStyle name="Currency 15 6 4 2" xfId="3508" xr:uid="{00000000-0005-0000-0000-0000B50D0000}"/>
    <cellStyle name="Currency 15 6 5" xfId="3509" xr:uid="{00000000-0005-0000-0000-0000B60D0000}"/>
    <cellStyle name="Currency 15 6 5 2" xfId="3510" xr:uid="{00000000-0005-0000-0000-0000B70D0000}"/>
    <cellStyle name="Currency 15 6 6" xfId="3511" xr:uid="{00000000-0005-0000-0000-0000B80D0000}"/>
    <cellStyle name="Currency 15 6 6 2" xfId="3512" xr:uid="{00000000-0005-0000-0000-0000B90D0000}"/>
    <cellStyle name="Currency 15 6 7" xfId="3513" xr:uid="{00000000-0005-0000-0000-0000BA0D0000}"/>
    <cellStyle name="Currency 15 6 7 2" xfId="3514" xr:uid="{00000000-0005-0000-0000-0000BB0D0000}"/>
    <cellStyle name="Currency 15 6 8" xfId="3515" xr:uid="{00000000-0005-0000-0000-0000BC0D0000}"/>
    <cellStyle name="Currency 15 6 8 2" xfId="3516" xr:uid="{00000000-0005-0000-0000-0000BD0D0000}"/>
    <cellStyle name="Currency 15 6 9" xfId="3517" xr:uid="{00000000-0005-0000-0000-0000BE0D0000}"/>
    <cellStyle name="Currency 15 6 9 2" xfId="3518" xr:uid="{00000000-0005-0000-0000-0000BF0D0000}"/>
    <cellStyle name="Currency 15 7" xfId="3519" xr:uid="{00000000-0005-0000-0000-0000C00D0000}"/>
    <cellStyle name="Currency 15 7 10" xfId="3520" xr:uid="{00000000-0005-0000-0000-0000C10D0000}"/>
    <cellStyle name="Currency 15 7 10 2" xfId="3521" xr:uid="{00000000-0005-0000-0000-0000C20D0000}"/>
    <cellStyle name="Currency 15 7 11" xfId="3522" xr:uid="{00000000-0005-0000-0000-0000C30D0000}"/>
    <cellStyle name="Currency 15 7 11 2" xfId="3523" xr:uid="{00000000-0005-0000-0000-0000C40D0000}"/>
    <cellStyle name="Currency 15 7 12" xfId="3524" xr:uid="{00000000-0005-0000-0000-0000C50D0000}"/>
    <cellStyle name="Currency 15 7 12 2" xfId="3525" xr:uid="{00000000-0005-0000-0000-0000C60D0000}"/>
    <cellStyle name="Currency 15 7 13" xfId="3526" xr:uid="{00000000-0005-0000-0000-0000C70D0000}"/>
    <cellStyle name="Currency 15 7 13 2" xfId="3527" xr:uid="{00000000-0005-0000-0000-0000C80D0000}"/>
    <cellStyle name="Currency 15 7 14" xfId="3528" xr:uid="{00000000-0005-0000-0000-0000C90D0000}"/>
    <cellStyle name="Currency 15 7 14 2" xfId="3529" xr:uid="{00000000-0005-0000-0000-0000CA0D0000}"/>
    <cellStyle name="Currency 15 7 15" xfId="3530" xr:uid="{00000000-0005-0000-0000-0000CB0D0000}"/>
    <cellStyle name="Currency 15 7 2" xfId="3531" xr:uid="{00000000-0005-0000-0000-0000CC0D0000}"/>
    <cellStyle name="Currency 15 7 2 2" xfId="3532" xr:uid="{00000000-0005-0000-0000-0000CD0D0000}"/>
    <cellStyle name="Currency 15 7 3" xfId="3533" xr:uid="{00000000-0005-0000-0000-0000CE0D0000}"/>
    <cellStyle name="Currency 15 7 3 2" xfId="3534" xr:uid="{00000000-0005-0000-0000-0000CF0D0000}"/>
    <cellStyle name="Currency 15 7 4" xfId="3535" xr:uid="{00000000-0005-0000-0000-0000D00D0000}"/>
    <cellStyle name="Currency 15 7 4 2" xfId="3536" xr:uid="{00000000-0005-0000-0000-0000D10D0000}"/>
    <cellStyle name="Currency 15 7 5" xfId="3537" xr:uid="{00000000-0005-0000-0000-0000D20D0000}"/>
    <cellStyle name="Currency 15 7 5 2" xfId="3538" xr:uid="{00000000-0005-0000-0000-0000D30D0000}"/>
    <cellStyle name="Currency 15 7 6" xfId="3539" xr:uid="{00000000-0005-0000-0000-0000D40D0000}"/>
    <cellStyle name="Currency 15 7 6 2" xfId="3540" xr:uid="{00000000-0005-0000-0000-0000D50D0000}"/>
    <cellStyle name="Currency 15 7 7" xfId="3541" xr:uid="{00000000-0005-0000-0000-0000D60D0000}"/>
    <cellStyle name="Currency 15 7 7 2" xfId="3542" xr:uid="{00000000-0005-0000-0000-0000D70D0000}"/>
    <cellStyle name="Currency 15 7 8" xfId="3543" xr:uid="{00000000-0005-0000-0000-0000D80D0000}"/>
    <cellStyle name="Currency 15 7 8 2" xfId="3544" xr:uid="{00000000-0005-0000-0000-0000D90D0000}"/>
    <cellStyle name="Currency 15 7 9" xfId="3545" xr:uid="{00000000-0005-0000-0000-0000DA0D0000}"/>
    <cellStyle name="Currency 15 7 9 2" xfId="3546" xr:uid="{00000000-0005-0000-0000-0000DB0D0000}"/>
    <cellStyle name="Currency 15 8" xfId="3547" xr:uid="{00000000-0005-0000-0000-0000DC0D0000}"/>
    <cellStyle name="Currency 15 8 10" xfId="3548" xr:uid="{00000000-0005-0000-0000-0000DD0D0000}"/>
    <cellStyle name="Currency 15 8 10 2" xfId="3549" xr:uid="{00000000-0005-0000-0000-0000DE0D0000}"/>
    <cellStyle name="Currency 15 8 11" xfId="3550" xr:uid="{00000000-0005-0000-0000-0000DF0D0000}"/>
    <cellStyle name="Currency 15 8 11 2" xfId="3551" xr:uid="{00000000-0005-0000-0000-0000E00D0000}"/>
    <cellStyle name="Currency 15 8 12" xfId="3552" xr:uid="{00000000-0005-0000-0000-0000E10D0000}"/>
    <cellStyle name="Currency 15 8 12 2" xfId="3553" xr:uid="{00000000-0005-0000-0000-0000E20D0000}"/>
    <cellStyle name="Currency 15 8 13" xfId="3554" xr:uid="{00000000-0005-0000-0000-0000E30D0000}"/>
    <cellStyle name="Currency 15 8 13 2" xfId="3555" xr:uid="{00000000-0005-0000-0000-0000E40D0000}"/>
    <cellStyle name="Currency 15 8 14" xfId="3556" xr:uid="{00000000-0005-0000-0000-0000E50D0000}"/>
    <cellStyle name="Currency 15 8 14 2" xfId="3557" xr:uid="{00000000-0005-0000-0000-0000E60D0000}"/>
    <cellStyle name="Currency 15 8 15" xfId="3558" xr:uid="{00000000-0005-0000-0000-0000E70D0000}"/>
    <cellStyle name="Currency 15 8 2" xfId="3559" xr:uid="{00000000-0005-0000-0000-0000E80D0000}"/>
    <cellStyle name="Currency 15 8 2 2" xfId="3560" xr:uid="{00000000-0005-0000-0000-0000E90D0000}"/>
    <cellStyle name="Currency 15 8 3" xfId="3561" xr:uid="{00000000-0005-0000-0000-0000EA0D0000}"/>
    <cellStyle name="Currency 15 8 3 2" xfId="3562" xr:uid="{00000000-0005-0000-0000-0000EB0D0000}"/>
    <cellStyle name="Currency 15 8 4" xfId="3563" xr:uid="{00000000-0005-0000-0000-0000EC0D0000}"/>
    <cellStyle name="Currency 15 8 4 2" xfId="3564" xr:uid="{00000000-0005-0000-0000-0000ED0D0000}"/>
    <cellStyle name="Currency 15 8 5" xfId="3565" xr:uid="{00000000-0005-0000-0000-0000EE0D0000}"/>
    <cellStyle name="Currency 15 8 5 2" xfId="3566" xr:uid="{00000000-0005-0000-0000-0000EF0D0000}"/>
    <cellStyle name="Currency 15 8 6" xfId="3567" xr:uid="{00000000-0005-0000-0000-0000F00D0000}"/>
    <cellStyle name="Currency 15 8 6 2" xfId="3568" xr:uid="{00000000-0005-0000-0000-0000F10D0000}"/>
    <cellStyle name="Currency 15 8 7" xfId="3569" xr:uid="{00000000-0005-0000-0000-0000F20D0000}"/>
    <cellStyle name="Currency 15 8 7 2" xfId="3570" xr:uid="{00000000-0005-0000-0000-0000F30D0000}"/>
    <cellStyle name="Currency 15 8 8" xfId="3571" xr:uid="{00000000-0005-0000-0000-0000F40D0000}"/>
    <cellStyle name="Currency 15 8 8 2" xfId="3572" xr:uid="{00000000-0005-0000-0000-0000F50D0000}"/>
    <cellStyle name="Currency 15 8 9" xfId="3573" xr:uid="{00000000-0005-0000-0000-0000F60D0000}"/>
    <cellStyle name="Currency 15 8 9 2" xfId="3574" xr:uid="{00000000-0005-0000-0000-0000F70D0000}"/>
    <cellStyle name="Currency 15 9" xfId="3575" xr:uid="{00000000-0005-0000-0000-0000F80D0000}"/>
    <cellStyle name="Currency 15 9 10" xfId="3576" xr:uid="{00000000-0005-0000-0000-0000F90D0000}"/>
    <cellStyle name="Currency 15 9 10 2" xfId="3577" xr:uid="{00000000-0005-0000-0000-0000FA0D0000}"/>
    <cellStyle name="Currency 15 9 11" xfId="3578" xr:uid="{00000000-0005-0000-0000-0000FB0D0000}"/>
    <cellStyle name="Currency 15 9 11 2" xfId="3579" xr:uid="{00000000-0005-0000-0000-0000FC0D0000}"/>
    <cellStyle name="Currency 15 9 12" xfId="3580" xr:uid="{00000000-0005-0000-0000-0000FD0D0000}"/>
    <cellStyle name="Currency 15 9 12 2" xfId="3581" xr:uid="{00000000-0005-0000-0000-0000FE0D0000}"/>
    <cellStyle name="Currency 15 9 13" xfId="3582" xr:uid="{00000000-0005-0000-0000-0000FF0D0000}"/>
    <cellStyle name="Currency 15 9 13 2" xfId="3583" xr:uid="{00000000-0005-0000-0000-0000000E0000}"/>
    <cellStyle name="Currency 15 9 14" xfId="3584" xr:uid="{00000000-0005-0000-0000-0000010E0000}"/>
    <cellStyle name="Currency 15 9 14 2" xfId="3585" xr:uid="{00000000-0005-0000-0000-0000020E0000}"/>
    <cellStyle name="Currency 15 9 15" xfId="3586" xr:uid="{00000000-0005-0000-0000-0000030E0000}"/>
    <cellStyle name="Currency 15 9 2" xfId="3587" xr:uid="{00000000-0005-0000-0000-0000040E0000}"/>
    <cellStyle name="Currency 15 9 2 2" xfId="3588" xr:uid="{00000000-0005-0000-0000-0000050E0000}"/>
    <cellStyle name="Currency 15 9 3" xfId="3589" xr:uid="{00000000-0005-0000-0000-0000060E0000}"/>
    <cellStyle name="Currency 15 9 3 2" xfId="3590" xr:uid="{00000000-0005-0000-0000-0000070E0000}"/>
    <cellStyle name="Currency 15 9 4" xfId="3591" xr:uid="{00000000-0005-0000-0000-0000080E0000}"/>
    <cellStyle name="Currency 15 9 4 2" xfId="3592" xr:uid="{00000000-0005-0000-0000-0000090E0000}"/>
    <cellStyle name="Currency 15 9 5" xfId="3593" xr:uid="{00000000-0005-0000-0000-00000A0E0000}"/>
    <cellStyle name="Currency 15 9 5 2" xfId="3594" xr:uid="{00000000-0005-0000-0000-00000B0E0000}"/>
    <cellStyle name="Currency 15 9 6" xfId="3595" xr:uid="{00000000-0005-0000-0000-00000C0E0000}"/>
    <cellStyle name="Currency 15 9 6 2" xfId="3596" xr:uid="{00000000-0005-0000-0000-00000D0E0000}"/>
    <cellStyle name="Currency 15 9 7" xfId="3597" xr:uid="{00000000-0005-0000-0000-00000E0E0000}"/>
    <cellStyle name="Currency 15 9 7 2" xfId="3598" xr:uid="{00000000-0005-0000-0000-00000F0E0000}"/>
    <cellStyle name="Currency 15 9 8" xfId="3599" xr:uid="{00000000-0005-0000-0000-0000100E0000}"/>
    <cellStyle name="Currency 15 9 8 2" xfId="3600" xr:uid="{00000000-0005-0000-0000-0000110E0000}"/>
    <cellStyle name="Currency 15 9 9" xfId="3601" xr:uid="{00000000-0005-0000-0000-0000120E0000}"/>
    <cellStyle name="Currency 15 9 9 2" xfId="3602" xr:uid="{00000000-0005-0000-0000-0000130E0000}"/>
    <cellStyle name="Currency 16" xfId="3603" xr:uid="{00000000-0005-0000-0000-0000140E0000}"/>
    <cellStyle name="Currency 16 10" xfId="3604" xr:uid="{00000000-0005-0000-0000-0000150E0000}"/>
    <cellStyle name="Currency 16 10 10" xfId="3605" xr:uid="{00000000-0005-0000-0000-0000160E0000}"/>
    <cellStyle name="Currency 16 10 10 2" xfId="3606" xr:uid="{00000000-0005-0000-0000-0000170E0000}"/>
    <cellStyle name="Currency 16 10 11" xfId="3607" xr:uid="{00000000-0005-0000-0000-0000180E0000}"/>
    <cellStyle name="Currency 16 10 11 2" xfId="3608" xr:uid="{00000000-0005-0000-0000-0000190E0000}"/>
    <cellStyle name="Currency 16 10 12" xfId="3609" xr:uid="{00000000-0005-0000-0000-00001A0E0000}"/>
    <cellStyle name="Currency 16 10 12 2" xfId="3610" xr:uid="{00000000-0005-0000-0000-00001B0E0000}"/>
    <cellStyle name="Currency 16 10 13" xfId="3611" xr:uid="{00000000-0005-0000-0000-00001C0E0000}"/>
    <cellStyle name="Currency 16 10 13 2" xfId="3612" xr:uid="{00000000-0005-0000-0000-00001D0E0000}"/>
    <cellStyle name="Currency 16 10 14" xfId="3613" xr:uid="{00000000-0005-0000-0000-00001E0E0000}"/>
    <cellStyle name="Currency 16 10 14 2" xfId="3614" xr:uid="{00000000-0005-0000-0000-00001F0E0000}"/>
    <cellStyle name="Currency 16 10 15" xfId="3615" xr:uid="{00000000-0005-0000-0000-0000200E0000}"/>
    <cellStyle name="Currency 16 10 2" xfId="3616" xr:uid="{00000000-0005-0000-0000-0000210E0000}"/>
    <cellStyle name="Currency 16 10 2 2" xfId="3617" xr:uid="{00000000-0005-0000-0000-0000220E0000}"/>
    <cellStyle name="Currency 16 10 3" xfId="3618" xr:uid="{00000000-0005-0000-0000-0000230E0000}"/>
    <cellStyle name="Currency 16 10 3 2" xfId="3619" xr:uid="{00000000-0005-0000-0000-0000240E0000}"/>
    <cellStyle name="Currency 16 10 4" xfId="3620" xr:uid="{00000000-0005-0000-0000-0000250E0000}"/>
    <cellStyle name="Currency 16 10 4 2" xfId="3621" xr:uid="{00000000-0005-0000-0000-0000260E0000}"/>
    <cellStyle name="Currency 16 10 5" xfId="3622" xr:uid="{00000000-0005-0000-0000-0000270E0000}"/>
    <cellStyle name="Currency 16 10 5 2" xfId="3623" xr:uid="{00000000-0005-0000-0000-0000280E0000}"/>
    <cellStyle name="Currency 16 10 6" xfId="3624" xr:uid="{00000000-0005-0000-0000-0000290E0000}"/>
    <cellStyle name="Currency 16 10 6 2" xfId="3625" xr:uid="{00000000-0005-0000-0000-00002A0E0000}"/>
    <cellStyle name="Currency 16 10 7" xfId="3626" xr:uid="{00000000-0005-0000-0000-00002B0E0000}"/>
    <cellStyle name="Currency 16 10 7 2" xfId="3627" xr:uid="{00000000-0005-0000-0000-00002C0E0000}"/>
    <cellStyle name="Currency 16 10 8" xfId="3628" xr:uid="{00000000-0005-0000-0000-00002D0E0000}"/>
    <cellStyle name="Currency 16 10 8 2" xfId="3629" xr:uid="{00000000-0005-0000-0000-00002E0E0000}"/>
    <cellStyle name="Currency 16 10 9" xfId="3630" xr:uid="{00000000-0005-0000-0000-00002F0E0000}"/>
    <cellStyle name="Currency 16 10 9 2" xfId="3631" xr:uid="{00000000-0005-0000-0000-0000300E0000}"/>
    <cellStyle name="Currency 16 11" xfId="3632" xr:uid="{00000000-0005-0000-0000-0000310E0000}"/>
    <cellStyle name="Currency 16 11 10" xfId="3633" xr:uid="{00000000-0005-0000-0000-0000320E0000}"/>
    <cellStyle name="Currency 16 11 10 2" xfId="3634" xr:uid="{00000000-0005-0000-0000-0000330E0000}"/>
    <cellStyle name="Currency 16 11 11" xfId="3635" xr:uid="{00000000-0005-0000-0000-0000340E0000}"/>
    <cellStyle name="Currency 16 11 11 2" xfId="3636" xr:uid="{00000000-0005-0000-0000-0000350E0000}"/>
    <cellStyle name="Currency 16 11 12" xfId="3637" xr:uid="{00000000-0005-0000-0000-0000360E0000}"/>
    <cellStyle name="Currency 16 11 12 2" xfId="3638" xr:uid="{00000000-0005-0000-0000-0000370E0000}"/>
    <cellStyle name="Currency 16 11 13" xfId="3639" xr:uid="{00000000-0005-0000-0000-0000380E0000}"/>
    <cellStyle name="Currency 16 11 13 2" xfId="3640" xr:uid="{00000000-0005-0000-0000-0000390E0000}"/>
    <cellStyle name="Currency 16 11 14" xfId="3641" xr:uid="{00000000-0005-0000-0000-00003A0E0000}"/>
    <cellStyle name="Currency 16 11 14 2" xfId="3642" xr:uid="{00000000-0005-0000-0000-00003B0E0000}"/>
    <cellStyle name="Currency 16 11 15" xfId="3643" xr:uid="{00000000-0005-0000-0000-00003C0E0000}"/>
    <cellStyle name="Currency 16 11 2" xfId="3644" xr:uid="{00000000-0005-0000-0000-00003D0E0000}"/>
    <cellStyle name="Currency 16 11 2 2" xfId="3645" xr:uid="{00000000-0005-0000-0000-00003E0E0000}"/>
    <cellStyle name="Currency 16 11 3" xfId="3646" xr:uid="{00000000-0005-0000-0000-00003F0E0000}"/>
    <cellStyle name="Currency 16 11 3 2" xfId="3647" xr:uid="{00000000-0005-0000-0000-0000400E0000}"/>
    <cellStyle name="Currency 16 11 4" xfId="3648" xr:uid="{00000000-0005-0000-0000-0000410E0000}"/>
    <cellStyle name="Currency 16 11 4 2" xfId="3649" xr:uid="{00000000-0005-0000-0000-0000420E0000}"/>
    <cellStyle name="Currency 16 11 5" xfId="3650" xr:uid="{00000000-0005-0000-0000-0000430E0000}"/>
    <cellStyle name="Currency 16 11 5 2" xfId="3651" xr:uid="{00000000-0005-0000-0000-0000440E0000}"/>
    <cellStyle name="Currency 16 11 6" xfId="3652" xr:uid="{00000000-0005-0000-0000-0000450E0000}"/>
    <cellStyle name="Currency 16 11 6 2" xfId="3653" xr:uid="{00000000-0005-0000-0000-0000460E0000}"/>
    <cellStyle name="Currency 16 11 7" xfId="3654" xr:uid="{00000000-0005-0000-0000-0000470E0000}"/>
    <cellStyle name="Currency 16 11 7 2" xfId="3655" xr:uid="{00000000-0005-0000-0000-0000480E0000}"/>
    <cellStyle name="Currency 16 11 8" xfId="3656" xr:uid="{00000000-0005-0000-0000-0000490E0000}"/>
    <cellStyle name="Currency 16 11 8 2" xfId="3657" xr:uid="{00000000-0005-0000-0000-00004A0E0000}"/>
    <cellStyle name="Currency 16 11 9" xfId="3658" xr:uid="{00000000-0005-0000-0000-00004B0E0000}"/>
    <cellStyle name="Currency 16 11 9 2" xfId="3659" xr:uid="{00000000-0005-0000-0000-00004C0E0000}"/>
    <cellStyle name="Currency 16 12" xfId="3660" xr:uid="{00000000-0005-0000-0000-00004D0E0000}"/>
    <cellStyle name="Currency 16 12 10" xfId="3661" xr:uid="{00000000-0005-0000-0000-00004E0E0000}"/>
    <cellStyle name="Currency 16 12 10 2" xfId="3662" xr:uid="{00000000-0005-0000-0000-00004F0E0000}"/>
    <cellStyle name="Currency 16 12 11" xfId="3663" xr:uid="{00000000-0005-0000-0000-0000500E0000}"/>
    <cellStyle name="Currency 16 12 11 2" xfId="3664" xr:uid="{00000000-0005-0000-0000-0000510E0000}"/>
    <cellStyle name="Currency 16 12 12" xfId="3665" xr:uid="{00000000-0005-0000-0000-0000520E0000}"/>
    <cellStyle name="Currency 16 12 12 2" xfId="3666" xr:uid="{00000000-0005-0000-0000-0000530E0000}"/>
    <cellStyle name="Currency 16 12 13" xfId="3667" xr:uid="{00000000-0005-0000-0000-0000540E0000}"/>
    <cellStyle name="Currency 16 12 13 2" xfId="3668" xr:uid="{00000000-0005-0000-0000-0000550E0000}"/>
    <cellStyle name="Currency 16 12 14" xfId="3669" xr:uid="{00000000-0005-0000-0000-0000560E0000}"/>
    <cellStyle name="Currency 16 12 14 2" xfId="3670" xr:uid="{00000000-0005-0000-0000-0000570E0000}"/>
    <cellStyle name="Currency 16 12 15" xfId="3671" xr:uid="{00000000-0005-0000-0000-0000580E0000}"/>
    <cellStyle name="Currency 16 12 2" xfId="3672" xr:uid="{00000000-0005-0000-0000-0000590E0000}"/>
    <cellStyle name="Currency 16 12 2 2" xfId="3673" xr:uid="{00000000-0005-0000-0000-00005A0E0000}"/>
    <cellStyle name="Currency 16 12 3" xfId="3674" xr:uid="{00000000-0005-0000-0000-00005B0E0000}"/>
    <cellStyle name="Currency 16 12 3 2" xfId="3675" xr:uid="{00000000-0005-0000-0000-00005C0E0000}"/>
    <cellStyle name="Currency 16 12 4" xfId="3676" xr:uid="{00000000-0005-0000-0000-00005D0E0000}"/>
    <cellStyle name="Currency 16 12 4 2" xfId="3677" xr:uid="{00000000-0005-0000-0000-00005E0E0000}"/>
    <cellStyle name="Currency 16 12 5" xfId="3678" xr:uid="{00000000-0005-0000-0000-00005F0E0000}"/>
    <cellStyle name="Currency 16 12 5 2" xfId="3679" xr:uid="{00000000-0005-0000-0000-0000600E0000}"/>
    <cellStyle name="Currency 16 12 6" xfId="3680" xr:uid="{00000000-0005-0000-0000-0000610E0000}"/>
    <cellStyle name="Currency 16 12 6 2" xfId="3681" xr:uid="{00000000-0005-0000-0000-0000620E0000}"/>
    <cellStyle name="Currency 16 12 7" xfId="3682" xr:uid="{00000000-0005-0000-0000-0000630E0000}"/>
    <cellStyle name="Currency 16 12 7 2" xfId="3683" xr:uid="{00000000-0005-0000-0000-0000640E0000}"/>
    <cellStyle name="Currency 16 12 8" xfId="3684" xr:uid="{00000000-0005-0000-0000-0000650E0000}"/>
    <cellStyle name="Currency 16 12 8 2" xfId="3685" xr:uid="{00000000-0005-0000-0000-0000660E0000}"/>
    <cellStyle name="Currency 16 12 9" xfId="3686" xr:uid="{00000000-0005-0000-0000-0000670E0000}"/>
    <cellStyle name="Currency 16 12 9 2" xfId="3687" xr:uid="{00000000-0005-0000-0000-0000680E0000}"/>
    <cellStyle name="Currency 16 13" xfId="3688" xr:uid="{00000000-0005-0000-0000-0000690E0000}"/>
    <cellStyle name="Currency 16 13 2" xfId="3689" xr:uid="{00000000-0005-0000-0000-00006A0E0000}"/>
    <cellStyle name="Currency 16 14" xfId="3690" xr:uid="{00000000-0005-0000-0000-00006B0E0000}"/>
    <cellStyle name="Currency 16 14 2" xfId="3691" xr:uid="{00000000-0005-0000-0000-00006C0E0000}"/>
    <cellStyle name="Currency 16 15" xfId="3692" xr:uid="{00000000-0005-0000-0000-00006D0E0000}"/>
    <cellStyle name="Currency 16 15 2" xfId="3693" xr:uid="{00000000-0005-0000-0000-00006E0E0000}"/>
    <cellStyle name="Currency 16 16" xfId="3694" xr:uid="{00000000-0005-0000-0000-00006F0E0000}"/>
    <cellStyle name="Currency 16 16 2" xfId="3695" xr:uid="{00000000-0005-0000-0000-0000700E0000}"/>
    <cellStyle name="Currency 16 17" xfId="3696" xr:uid="{00000000-0005-0000-0000-0000710E0000}"/>
    <cellStyle name="Currency 16 17 2" xfId="3697" xr:uid="{00000000-0005-0000-0000-0000720E0000}"/>
    <cellStyle name="Currency 16 18" xfId="3698" xr:uid="{00000000-0005-0000-0000-0000730E0000}"/>
    <cellStyle name="Currency 16 18 2" xfId="3699" xr:uid="{00000000-0005-0000-0000-0000740E0000}"/>
    <cellStyle name="Currency 16 19" xfId="3700" xr:uid="{00000000-0005-0000-0000-0000750E0000}"/>
    <cellStyle name="Currency 16 19 2" xfId="3701" xr:uid="{00000000-0005-0000-0000-0000760E0000}"/>
    <cellStyle name="Currency 16 2" xfId="3702" xr:uid="{00000000-0005-0000-0000-0000770E0000}"/>
    <cellStyle name="Currency 16 2 10" xfId="3703" xr:uid="{00000000-0005-0000-0000-0000780E0000}"/>
    <cellStyle name="Currency 16 2 10 2" xfId="3704" xr:uid="{00000000-0005-0000-0000-0000790E0000}"/>
    <cellStyle name="Currency 16 2 11" xfId="3705" xr:uid="{00000000-0005-0000-0000-00007A0E0000}"/>
    <cellStyle name="Currency 16 2 11 2" xfId="3706" xr:uid="{00000000-0005-0000-0000-00007B0E0000}"/>
    <cellStyle name="Currency 16 2 12" xfId="3707" xr:uid="{00000000-0005-0000-0000-00007C0E0000}"/>
    <cellStyle name="Currency 16 2 12 2" xfId="3708" xr:uid="{00000000-0005-0000-0000-00007D0E0000}"/>
    <cellStyle name="Currency 16 2 13" xfId="3709" xr:uid="{00000000-0005-0000-0000-00007E0E0000}"/>
    <cellStyle name="Currency 16 2 13 2" xfId="3710" xr:uid="{00000000-0005-0000-0000-00007F0E0000}"/>
    <cellStyle name="Currency 16 2 14" xfId="3711" xr:uid="{00000000-0005-0000-0000-0000800E0000}"/>
    <cellStyle name="Currency 16 2 14 2" xfId="3712" xr:uid="{00000000-0005-0000-0000-0000810E0000}"/>
    <cellStyle name="Currency 16 2 15" xfId="3713" xr:uid="{00000000-0005-0000-0000-0000820E0000}"/>
    <cellStyle name="Currency 16 2 2" xfId="3714" xr:uid="{00000000-0005-0000-0000-0000830E0000}"/>
    <cellStyle name="Currency 16 2 2 2" xfId="3715" xr:uid="{00000000-0005-0000-0000-0000840E0000}"/>
    <cellStyle name="Currency 16 2 3" xfId="3716" xr:uid="{00000000-0005-0000-0000-0000850E0000}"/>
    <cellStyle name="Currency 16 2 3 2" xfId="3717" xr:uid="{00000000-0005-0000-0000-0000860E0000}"/>
    <cellStyle name="Currency 16 2 4" xfId="3718" xr:uid="{00000000-0005-0000-0000-0000870E0000}"/>
    <cellStyle name="Currency 16 2 4 2" xfId="3719" xr:uid="{00000000-0005-0000-0000-0000880E0000}"/>
    <cellStyle name="Currency 16 2 5" xfId="3720" xr:uid="{00000000-0005-0000-0000-0000890E0000}"/>
    <cellStyle name="Currency 16 2 5 2" xfId="3721" xr:uid="{00000000-0005-0000-0000-00008A0E0000}"/>
    <cellStyle name="Currency 16 2 6" xfId="3722" xr:uid="{00000000-0005-0000-0000-00008B0E0000}"/>
    <cellStyle name="Currency 16 2 6 2" xfId="3723" xr:uid="{00000000-0005-0000-0000-00008C0E0000}"/>
    <cellStyle name="Currency 16 2 7" xfId="3724" xr:uid="{00000000-0005-0000-0000-00008D0E0000}"/>
    <cellStyle name="Currency 16 2 7 2" xfId="3725" xr:uid="{00000000-0005-0000-0000-00008E0E0000}"/>
    <cellStyle name="Currency 16 2 8" xfId="3726" xr:uid="{00000000-0005-0000-0000-00008F0E0000}"/>
    <cellStyle name="Currency 16 2 8 2" xfId="3727" xr:uid="{00000000-0005-0000-0000-0000900E0000}"/>
    <cellStyle name="Currency 16 2 9" xfId="3728" xr:uid="{00000000-0005-0000-0000-0000910E0000}"/>
    <cellStyle name="Currency 16 2 9 2" xfId="3729" xr:uid="{00000000-0005-0000-0000-0000920E0000}"/>
    <cellStyle name="Currency 16 20" xfId="3730" xr:uid="{00000000-0005-0000-0000-0000930E0000}"/>
    <cellStyle name="Currency 16 20 2" xfId="3731" xr:uid="{00000000-0005-0000-0000-0000940E0000}"/>
    <cellStyle name="Currency 16 21" xfId="3732" xr:uid="{00000000-0005-0000-0000-0000950E0000}"/>
    <cellStyle name="Currency 16 21 2" xfId="3733" xr:uid="{00000000-0005-0000-0000-0000960E0000}"/>
    <cellStyle name="Currency 16 22" xfId="3734" xr:uid="{00000000-0005-0000-0000-0000970E0000}"/>
    <cellStyle name="Currency 16 22 2" xfId="3735" xr:uid="{00000000-0005-0000-0000-0000980E0000}"/>
    <cellStyle name="Currency 16 23" xfId="3736" xr:uid="{00000000-0005-0000-0000-0000990E0000}"/>
    <cellStyle name="Currency 16 23 2" xfId="3737" xr:uid="{00000000-0005-0000-0000-00009A0E0000}"/>
    <cellStyle name="Currency 16 24" xfId="3738" xr:uid="{00000000-0005-0000-0000-00009B0E0000}"/>
    <cellStyle name="Currency 16 24 2" xfId="3739" xr:uid="{00000000-0005-0000-0000-00009C0E0000}"/>
    <cellStyle name="Currency 16 25" xfId="3740" xr:uid="{00000000-0005-0000-0000-00009D0E0000}"/>
    <cellStyle name="Currency 16 25 2" xfId="3741" xr:uid="{00000000-0005-0000-0000-00009E0E0000}"/>
    <cellStyle name="Currency 16 26" xfId="3742" xr:uid="{00000000-0005-0000-0000-00009F0E0000}"/>
    <cellStyle name="Currency 16 3" xfId="3743" xr:uid="{00000000-0005-0000-0000-0000A00E0000}"/>
    <cellStyle name="Currency 16 3 10" xfId="3744" xr:uid="{00000000-0005-0000-0000-0000A10E0000}"/>
    <cellStyle name="Currency 16 3 10 2" xfId="3745" xr:uid="{00000000-0005-0000-0000-0000A20E0000}"/>
    <cellStyle name="Currency 16 3 11" xfId="3746" xr:uid="{00000000-0005-0000-0000-0000A30E0000}"/>
    <cellStyle name="Currency 16 3 11 2" xfId="3747" xr:uid="{00000000-0005-0000-0000-0000A40E0000}"/>
    <cellStyle name="Currency 16 3 12" xfId="3748" xr:uid="{00000000-0005-0000-0000-0000A50E0000}"/>
    <cellStyle name="Currency 16 3 12 2" xfId="3749" xr:uid="{00000000-0005-0000-0000-0000A60E0000}"/>
    <cellStyle name="Currency 16 3 13" xfId="3750" xr:uid="{00000000-0005-0000-0000-0000A70E0000}"/>
    <cellStyle name="Currency 16 3 13 2" xfId="3751" xr:uid="{00000000-0005-0000-0000-0000A80E0000}"/>
    <cellStyle name="Currency 16 3 14" xfId="3752" xr:uid="{00000000-0005-0000-0000-0000A90E0000}"/>
    <cellStyle name="Currency 16 3 14 2" xfId="3753" xr:uid="{00000000-0005-0000-0000-0000AA0E0000}"/>
    <cellStyle name="Currency 16 3 15" xfId="3754" xr:uid="{00000000-0005-0000-0000-0000AB0E0000}"/>
    <cellStyle name="Currency 16 3 2" xfId="3755" xr:uid="{00000000-0005-0000-0000-0000AC0E0000}"/>
    <cellStyle name="Currency 16 3 2 2" xfId="3756" xr:uid="{00000000-0005-0000-0000-0000AD0E0000}"/>
    <cellStyle name="Currency 16 3 3" xfId="3757" xr:uid="{00000000-0005-0000-0000-0000AE0E0000}"/>
    <cellStyle name="Currency 16 3 3 2" xfId="3758" xr:uid="{00000000-0005-0000-0000-0000AF0E0000}"/>
    <cellStyle name="Currency 16 3 4" xfId="3759" xr:uid="{00000000-0005-0000-0000-0000B00E0000}"/>
    <cellStyle name="Currency 16 3 4 2" xfId="3760" xr:uid="{00000000-0005-0000-0000-0000B10E0000}"/>
    <cellStyle name="Currency 16 3 5" xfId="3761" xr:uid="{00000000-0005-0000-0000-0000B20E0000}"/>
    <cellStyle name="Currency 16 3 5 2" xfId="3762" xr:uid="{00000000-0005-0000-0000-0000B30E0000}"/>
    <cellStyle name="Currency 16 3 6" xfId="3763" xr:uid="{00000000-0005-0000-0000-0000B40E0000}"/>
    <cellStyle name="Currency 16 3 6 2" xfId="3764" xr:uid="{00000000-0005-0000-0000-0000B50E0000}"/>
    <cellStyle name="Currency 16 3 7" xfId="3765" xr:uid="{00000000-0005-0000-0000-0000B60E0000}"/>
    <cellStyle name="Currency 16 3 7 2" xfId="3766" xr:uid="{00000000-0005-0000-0000-0000B70E0000}"/>
    <cellStyle name="Currency 16 3 8" xfId="3767" xr:uid="{00000000-0005-0000-0000-0000B80E0000}"/>
    <cellStyle name="Currency 16 3 8 2" xfId="3768" xr:uid="{00000000-0005-0000-0000-0000B90E0000}"/>
    <cellStyle name="Currency 16 3 9" xfId="3769" xr:uid="{00000000-0005-0000-0000-0000BA0E0000}"/>
    <cellStyle name="Currency 16 3 9 2" xfId="3770" xr:uid="{00000000-0005-0000-0000-0000BB0E0000}"/>
    <cellStyle name="Currency 16 4" xfId="3771" xr:uid="{00000000-0005-0000-0000-0000BC0E0000}"/>
    <cellStyle name="Currency 16 4 10" xfId="3772" xr:uid="{00000000-0005-0000-0000-0000BD0E0000}"/>
    <cellStyle name="Currency 16 4 10 2" xfId="3773" xr:uid="{00000000-0005-0000-0000-0000BE0E0000}"/>
    <cellStyle name="Currency 16 4 11" xfId="3774" xr:uid="{00000000-0005-0000-0000-0000BF0E0000}"/>
    <cellStyle name="Currency 16 4 11 2" xfId="3775" xr:uid="{00000000-0005-0000-0000-0000C00E0000}"/>
    <cellStyle name="Currency 16 4 12" xfId="3776" xr:uid="{00000000-0005-0000-0000-0000C10E0000}"/>
    <cellStyle name="Currency 16 4 12 2" xfId="3777" xr:uid="{00000000-0005-0000-0000-0000C20E0000}"/>
    <cellStyle name="Currency 16 4 13" xfId="3778" xr:uid="{00000000-0005-0000-0000-0000C30E0000}"/>
    <cellStyle name="Currency 16 4 13 2" xfId="3779" xr:uid="{00000000-0005-0000-0000-0000C40E0000}"/>
    <cellStyle name="Currency 16 4 14" xfId="3780" xr:uid="{00000000-0005-0000-0000-0000C50E0000}"/>
    <cellStyle name="Currency 16 4 14 2" xfId="3781" xr:uid="{00000000-0005-0000-0000-0000C60E0000}"/>
    <cellStyle name="Currency 16 4 15" xfId="3782" xr:uid="{00000000-0005-0000-0000-0000C70E0000}"/>
    <cellStyle name="Currency 16 4 2" xfId="3783" xr:uid="{00000000-0005-0000-0000-0000C80E0000}"/>
    <cellStyle name="Currency 16 4 2 2" xfId="3784" xr:uid="{00000000-0005-0000-0000-0000C90E0000}"/>
    <cellStyle name="Currency 16 4 3" xfId="3785" xr:uid="{00000000-0005-0000-0000-0000CA0E0000}"/>
    <cellStyle name="Currency 16 4 3 2" xfId="3786" xr:uid="{00000000-0005-0000-0000-0000CB0E0000}"/>
    <cellStyle name="Currency 16 4 4" xfId="3787" xr:uid="{00000000-0005-0000-0000-0000CC0E0000}"/>
    <cellStyle name="Currency 16 4 4 2" xfId="3788" xr:uid="{00000000-0005-0000-0000-0000CD0E0000}"/>
    <cellStyle name="Currency 16 4 5" xfId="3789" xr:uid="{00000000-0005-0000-0000-0000CE0E0000}"/>
    <cellStyle name="Currency 16 4 5 2" xfId="3790" xr:uid="{00000000-0005-0000-0000-0000CF0E0000}"/>
    <cellStyle name="Currency 16 4 6" xfId="3791" xr:uid="{00000000-0005-0000-0000-0000D00E0000}"/>
    <cellStyle name="Currency 16 4 6 2" xfId="3792" xr:uid="{00000000-0005-0000-0000-0000D10E0000}"/>
    <cellStyle name="Currency 16 4 7" xfId="3793" xr:uid="{00000000-0005-0000-0000-0000D20E0000}"/>
    <cellStyle name="Currency 16 4 7 2" xfId="3794" xr:uid="{00000000-0005-0000-0000-0000D30E0000}"/>
    <cellStyle name="Currency 16 4 8" xfId="3795" xr:uid="{00000000-0005-0000-0000-0000D40E0000}"/>
    <cellStyle name="Currency 16 4 8 2" xfId="3796" xr:uid="{00000000-0005-0000-0000-0000D50E0000}"/>
    <cellStyle name="Currency 16 4 9" xfId="3797" xr:uid="{00000000-0005-0000-0000-0000D60E0000}"/>
    <cellStyle name="Currency 16 4 9 2" xfId="3798" xr:uid="{00000000-0005-0000-0000-0000D70E0000}"/>
    <cellStyle name="Currency 16 5" xfId="3799" xr:uid="{00000000-0005-0000-0000-0000D80E0000}"/>
    <cellStyle name="Currency 16 5 10" xfId="3800" xr:uid="{00000000-0005-0000-0000-0000D90E0000}"/>
    <cellStyle name="Currency 16 5 10 2" xfId="3801" xr:uid="{00000000-0005-0000-0000-0000DA0E0000}"/>
    <cellStyle name="Currency 16 5 11" xfId="3802" xr:uid="{00000000-0005-0000-0000-0000DB0E0000}"/>
    <cellStyle name="Currency 16 5 11 2" xfId="3803" xr:uid="{00000000-0005-0000-0000-0000DC0E0000}"/>
    <cellStyle name="Currency 16 5 12" xfId="3804" xr:uid="{00000000-0005-0000-0000-0000DD0E0000}"/>
    <cellStyle name="Currency 16 5 12 2" xfId="3805" xr:uid="{00000000-0005-0000-0000-0000DE0E0000}"/>
    <cellStyle name="Currency 16 5 13" xfId="3806" xr:uid="{00000000-0005-0000-0000-0000DF0E0000}"/>
    <cellStyle name="Currency 16 5 13 2" xfId="3807" xr:uid="{00000000-0005-0000-0000-0000E00E0000}"/>
    <cellStyle name="Currency 16 5 14" xfId="3808" xr:uid="{00000000-0005-0000-0000-0000E10E0000}"/>
    <cellStyle name="Currency 16 5 14 2" xfId="3809" xr:uid="{00000000-0005-0000-0000-0000E20E0000}"/>
    <cellStyle name="Currency 16 5 15" xfId="3810" xr:uid="{00000000-0005-0000-0000-0000E30E0000}"/>
    <cellStyle name="Currency 16 5 2" xfId="3811" xr:uid="{00000000-0005-0000-0000-0000E40E0000}"/>
    <cellStyle name="Currency 16 5 2 2" xfId="3812" xr:uid="{00000000-0005-0000-0000-0000E50E0000}"/>
    <cellStyle name="Currency 16 5 3" xfId="3813" xr:uid="{00000000-0005-0000-0000-0000E60E0000}"/>
    <cellStyle name="Currency 16 5 3 2" xfId="3814" xr:uid="{00000000-0005-0000-0000-0000E70E0000}"/>
    <cellStyle name="Currency 16 5 4" xfId="3815" xr:uid="{00000000-0005-0000-0000-0000E80E0000}"/>
    <cellStyle name="Currency 16 5 4 2" xfId="3816" xr:uid="{00000000-0005-0000-0000-0000E90E0000}"/>
    <cellStyle name="Currency 16 5 5" xfId="3817" xr:uid="{00000000-0005-0000-0000-0000EA0E0000}"/>
    <cellStyle name="Currency 16 5 5 2" xfId="3818" xr:uid="{00000000-0005-0000-0000-0000EB0E0000}"/>
    <cellStyle name="Currency 16 5 6" xfId="3819" xr:uid="{00000000-0005-0000-0000-0000EC0E0000}"/>
    <cellStyle name="Currency 16 5 6 2" xfId="3820" xr:uid="{00000000-0005-0000-0000-0000ED0E0000}"/>
    <cellStyle name="Currency 16 5 7" xfId="3821" xr:uid="{00000000-0005-0000-0000-0000EE0E0000}"/>
    <cellStyle name="Currency 16 5 7 2" xfId="3822" xr:uid="{00000000-0005-0000-0000-0000EF0E0000}"/>
    <cellStyle name="Currency 16 5 8" xfId="3823" xr:uid="{00000000-0005-0000-0000-0000F00E0000}"/>
    <cellStyle name="Currency 16 5 8 2" xfId="3824" xr:uid="{00000000-0005-0000-0000-0000F10E0000}"/>
    <cellStyle name="Currency 16 5 9" xfId="3825" xr:uid="{00000000-0005-0000-0000-0000F20E0000}"/>
    <cellStyle name="Currency 16 5 9 2" xfId="3826" xr:uid="{00000000-0005-0000-0000-0000F30E0000}"/>
    <cellStyle name="Currency 16 6" xfId="3827" xr:uid="{00000000-0005-0000-0000-0000F40E0000}"/>
    <cellStyle name="Currency 16 6 10" xfId="3828" xr:uid="{00000000-0005-0000-0000-0000F50E0000}"/>
    <cellStyle name="Currency 16 6 10 2" xfId="3829" xr:uid="{00000000-0005-0000-0000-0000F60E0000}"/>
    <cellStyle name="Currency 16 6 11" xfId="3830" xr:uid="{00000000-0005-0000-0000-0000F70E0000}"/>
    <cellStyle name="Currency 16 6 11 2" xfId="3831" xr:uid="{00000000-0005-0000-0000-0000F80E0000}"/>
    <cellStyle name="Currency 16 6 12" xfId="3832" xr:uid="{00000000-0005-0000-0000-0000F90E0000}"/>
    <cellStyle name="Currency 16 6 12 2" xfId="3833" xr:uid="{00000000-0005-0000-0000-0000FA0E0000}"/>
    <cellStyle name="Currency 16 6 13" xfId="3834" xr:uid="{00000000-0005-0000-0000-0000FB0E0000}"/>
    <cellStyle name="Currency 16 6 13 2" xfId="3835" xr:uid="{00000000-0005-0000-0000-0000FC0E0000}"/>
    <cellStyle name="Currency 16 6 14" xfId="3836" xr:uid="{00000000-0005-0000-0000-0000FD0E0000}"/>
    <cellStyle name="Currency 16 6 14 2" xfId="3837" xr:uid="{00000000-0005-0000-0000-0000FE0E0000}"/>
    <cellStyle name="Currency 16 6 15" xfId="3838" xr:uid="{00000000-0005-0000-0000-0000FF0E0000}"/>
    <cellStyle name="Currency 16 6 2" xfId="3839" xr:uid="{00000000-0005-0000-0000-0000000F0000}"/>
    <cellStyle name="Currency 16 6 2 2" xfId="3840" xr:uid="{00000000-0005-0000-0000-0000010F0000}"/>
    <cellStyle name="Currency 16 6 3" xfId="3841" xr:uid="{00000000-0005-0000-0000-0000020F0000}"/>
    <cellStyle name="Currency 16 6 3 2" xfId="3842" xr:uid="{00000000-0005-0000-0000-0000030F0000}"/>
    <cellStyle name="Currency 16 6 4" xfId="3843" xr:uid="{00000000-0005-0000-0000-0000040F0000}"/>
    <cellStyle name="Currency 16 6 4 2" xfId="3844" xr:uid="{00000000-0005-0000-0000-0000050F0000}"/>
    <cellStyle name="Currency 16 6 5" xfId="3845" xr:uid="{00000000-0005-0000-0000-0000060F0000}"/>
    <cellStyle name="Currency 16 6 5 2" xfId="3846" xr:uid="{00000000-0005-0000-0000-0000070F0000}"/>
    <cellStyle name="Currency 16 6 6" xfId="3847" xr:uid="{00000000-0005-0000-0000-0000080F0000}"/>
    <cellStyle name="Currency 16 6 6 2" xfId="3848" xr:uid="{00000000-0005-0000-0000-0000090F0000}"/>
    <cellStyle name="Currency 16 6 7" xfId="3849" xr:uid="{00000000-0005-0000-0000-00000A0F0000}"/>
    <cellStyle name="Currency 16 6 7 2" xfId="3850" xr:uid="{00000000-0005-0000-0000-00000B0F0000}"/>
    <cellStyle name="Currency 16 6 8" xfId="3851" xr:uid="{00000000-0005-0000-0000-00000C0F0000}"/>
    <cellStyle name="Currency 16 6 8 2" xfId="3852" xr:uid="{00000000-0005-0000-0000-00000D0F0000}"/>
    <cellStyle name="Currency 16 6 9" xfId="3853" xr:uid="{00000000-0005-0000-0000-00000E0F0000}"/>
    <cellStyle name="Currency 16 6 9 2" xfId="3854" xr:uid="{00000000-0005-0000-0000-00000F0F0000}"/>
    <cellStyle name="Currency 16 7" xfId="3855" xr:uid="{00000000-0005-0000-0000-0000100F0000}"/>
    <cellStyle name="Currency 16 7 10" xfId="3856" xr:uid="{00000000-0005-0000-0000-0000110F0000}"/>
    <cellStyle name="Currency 16 7 10 2" xfId="3857" xr:uid="{00000000-0005-0000-0000-0000120F0000}"/>
    <cellStyle name="Currency 16 7 11" xfId="3858" xr:uid="{00000000-0005-0000-0000-0000130F0000}"/>
    <cellStyle name="Currency 16 7 11 2" xfId="3859" xr:uid="{00000000-0005-0000-0000-0000140F0000}"/>
    <cellStyle name="Currency 16 7 12" xfId="3860" xr:uid="{00000000-0005-0000-0000-0000150F0000}"/>
    <cellStyle name="Currency 16 7 12 2" xfId="3861" xr:uid="{00000000-0005-0000-0000-0000160F0000}"/>
    <cellStyle name="Currency 16 7 13" xfId="3862" xr:uid="{00000000-0005-0000-0000-0000170F0000}"/>
    <cellStyle name="Currency 16 7 13 2" xfId="3863" xr:uid="{00000000-0005-0000-0000-0000180F0000}"/>
    <cellStyle name="Currency 16 7 14" xfId="3864" xr:uid="{00000000-0005-0000-0000-0000190F0000}"/>
    <cellStyle name="Currency 16 7 14 2" xfId="3865" xr:uid="{00000000-0005-0000-0000-00001A0F0000}"/>
    <cellStyle name="Currency 16 7 15" xfId="3866" xr:uid="{00000000-0005-0000-0000-00001B0F0000}"/>
    <cellStyle name="Currency 16 7 2" xfId="3867" xr:uid="{00000000-0005-0000-0000-00001C0F0000}"/>
    <cellStyle name="Currency 16 7 2 2" xfId="3868" xr:uid="{00000000-0005-0000-0000-00001D0F0000}"/>
    <cellStyle name="Currency 16 7 3" xfId="3869" xr:uid="{00000000-0005-0000-0000-00001E0F0000}"/>
    <cellStyle name="Currency 16 7 3 2" xfId="3870" xr:uid="{00000000-0005-0000-0000-00001F0F0000}"/>
    <cellStyle name="Currency 16 7 4" xfId="3871" xr:uid="{00000000-0005-0000-0000-0000200F0000}"/>
    <cellStyle name="Currency 16 7 4 2" xfId="3872" xr:uid="{00000000-0005-0000-0000-0000210F0000}"/>
    <cellStyle name="Currency 16 7 5" xfId="3873" xr:uid="{00000000-0005-0000-0000-0000220F0000}"/>
    <cellStyle name="Currency 16 7 5 2" xfId="3874" xr:uid="{00000000-0005-0000-0000-0000230F0000}"/>
    <cellStyle name="Currency 16 7 6" xfId="3875" xr:uid="{00000000-0005-0000-0000-0000240F0000}"/>
    <cellStyle name="Currency 16 7 6 2" xfId="3876" xr:uid="{00000000-0005-0000-0000-0000250F0000}"/>
    <cellStyle name="Currency 16 7 7" xfId="3877" xr:uid="{00000000-0005-0000-0000-0000260F0000}"/>
    <cellStyle name="Currency 16 7 7 2" xfId="3878" xr:uid="{00000000-0005-0000-0000-0000270F0000}"/>
    <cellStyle name="Currency 16 7 8" xfId="3879" xr:uid="{00000000-0005-0000-0000-0000280F0000}"/>
    <cellStyle name="Currency 16 7 8 2" xfId="3880" xr:uid="{00000000-0005-0000-0000-0000290F0000}"/>
    <cellStyle name="Currency 16 7 9" xfId="3881" xr:uid="{00000000-0005-0000-0000-00002A0F0000}"/>
    <cellStyle name="Currency 16 7 9 2" xfId="3882" xr:uid="{00000000-0005-0000-0000-00002B0F0000}"/>
    <cellStyle name="Currency 16 8" xfId="3883" xr:uid="{00000000-0005-0000-0000-00002C0F0000}"/>
    <cellStyle name="Currency 16 8 10" xfId="3884" xr:uid="{00000000-0005-0000-0000-00002D0F0000}"/>
    <cellStyle name="Currency 16 8 10 2" xfId="3885" xr:uid="{00000000-0005-0000-0000-00002E0F0000}"/>
    <cellStyle name="Currency 16 8 11" xfId="3886" xr:uid="{00000000-0005-0000-0000-00002F0F0000}"/>
    <cellStyle name="Currency 16 8 11 2" xfId="3887" xr:uid="{00000000-0005-0000-0000-0000300F0000}"/>
    <cellStyle name="Currency 16 8 12" xfId="3888" xr:uid="{00000000-0005-0000-0000-0000310F0000}"/>
    <cellStyle name="Currency 16 8 12 2" xfId="3889" xr:uid="{00000000-0005-0000-0000-0000320F0000}"/>
    <cellStyle name="Currency 16 8 13" xfId="3890" xr:uid="{00000000-0005-0000-0000-0000330F0000}"/>
    <cellStyle name="Currency 16 8 13 2" xfId="3891" xr:uid="{00000000-0005-0000-0000-0000340F0000}"/>
    <cellStyle name="Currency 16 8 14" xfId="3892" xr:uid="{00000000-0005-0000-0000-0000350F0000}"/>
    <cellStyle name="Currency 16 8 14 2" xfId="3893" xr:uid="{00000000-0005-0000-0000-0000360F0000}"/>
    <cellStyle name="Currency 16 8 15" xfId="3894" xr:uid="{00000000-0005-0000-0000-0000370F0000}"/>
    <cellStyle name="Currency 16 8 2" xfId="3895" xr:uid="{00000000-0005-0000-0000-0000380F0000}"/>
    <cellStyle name="Currency 16 8 2 2" xfId="3896" xr:uid="{00000000-0005-0000-0000-0000390F0000}"/>
    <cellStyle name="Currency 16 8 3" xfId="3897" xr:uid="{00000000-0005-0000-0000-00003A0F0000}"/>
    <cellStyle name="Currency 16 8 3 2" xfId="3898" xr:uid="{00000000-0005-0000-0000-00003B0F0000}"/>
    <cellStyle name="Currency 16 8 4" xfId="3899" xr:uid="{00000000-0005-0000-0000-00003C0F0000}"/>
    <cellStyle name="Currency 16 8 4 2" xfId="3900" xr:uid="{00000000-0005-0000-0000-00003D0F0000}"/>
    <cellStyle name="Currency 16 8 5" xfId="3901" xr:uid="{00000000-0005-0000-0000-00003E0F0000}"/>
    <cellStyle name="Currency 16 8 5 2" xfId="3902" xr:uid="{00000000-0005-0000-0000-00003F0F0000}"/>
    <cellStyle name="Currency 16 8 6" xfId="3903" xr:uid="{00000000-0005-0000-0000-0000400F0000}"/>
    <cellStyle name="Currency 16 8 6 2" xfId="3904" xr:uid="{00000000-0005-0000-0000-0000410F0000}"/>
    <cellStyle name="Currency 16 8 7" xfId="3905" xr:uid="{00000000-0005-0000-0000-0000420F0000}"/>
    <cellStyle name="Currency 16 8 7 2" xfId="3906" xr:uid="{00000000-0005-0000-0000-0000430F0000}"/>
    <cellStyle name="Currency 16 8 8" xfId="3907" xr:uid="{00000000-0005-0000-0000-0000440F0000}"/>
    <cellStyle name="Currency 16 8 8 2" xfId="3908" xr:uid="{00000000-0005-0000-0000-0000450F0000}"/>
    <cellStyle name="Currency 16 8 9" xfId="3909" xr:uid="{00000000-0005-0000-0000-0000460F0000}"/>
    <cellStyle name="Currency 16 8 9 2" xfId="3910" xr:uid="{00000000-0005-0000-0000-0000470F0000}"/>
    <cellStyle name="Currency 16 9" xfId="3911" xr:uid="{00000000-0005-0000-0000-0000480F0000}"/>
    <cellStyle name="Currency 16 9 10" xfId="3912" xr:uid="{00000000-0005-0000-0000-0000490F0000}"/>
    <cellStyle name="Currency 16 9 10 2" xfId="3913" xr:uid="{00000000-0005-0000-0000-00004A0F0000}"/>
    <cellStyle name="Currency 16 9 11" xfId="3914" xr:uid="{00000000-0005-0000-0000-00004B0F0000}"/>
    <cellStyle name="Currency 16 9 11 2" xfId="3915" xr:uid="{00000000-0005-0000-0000-00004C0F0000}"/>
    <cellStyle name="Currency 16 9 12" xfId="3916" xr:uid="{00000000-0005-0000-0000-00004D0F0000}"/>
    <cellStyle name="Currency 16 9 12 2" xfId="3917" xr:uid="{00000000-0005-0000-0000-00004E0F0000}"/>
    <cellStyle name="Currency 16 9 13" xfId="3918" xr:uid="{00000000-0005-0000-0000-00004F0F0000}"/>
    <cellStyle name="Currency 16 9 13 2" xfId="3919" xr:uid="{00000000-0005-0000-0000-0000500F0000}"/>
    <cellStyle name="Currency 16 9 14" xfId="3920" xr:uid="{00000000-0005-0000-0000-0000510F0000}"/>
    <cellStyle name="Currency 16 9 14 2" xfId="3921" xr:uid="{00000000-0005-0000-0000-0000520F0000}"/>
    <cellStyle name="Currency 16 9 15" xfId="3922" xr:uid="{00000000-0005-0000-0000-0000530F0000}"/>
    <cellStyle name="Currency 16 9 2" xfId="3923" xr:uid="{00000000-0005-0000-0000-0000540F0000}"/>
    <cellStyle name="Currency 16 9 2 2" xfId="3924" xr:uid="{00000000-0005-0000-0000-0000550F0000}"/>
    <cellStyle name="Currency 16 9 3" xfId="3925" xr:uid="{00000000-0005-0000-0000-0000560F0000}"/>
    <cellStyle name="Currency 16 9 3 2" xfId="3926" xr:uid="{00000000-0005-0000-0000-0000570F0000}"/>
    <cellStyle name="Currency 16 9 4" xfId="3927" xr:uid="{00000000-0005-0000-0000-0000580F0000}"/>
    <cellStyle name="Currency 16 9 4 2" xfId="3928" xr:uid="{00000000-0005-0000-0000-0000590F0000}"/>
    <cellStyle name="Currency 16 9 5" xfId="3929" xr:uid="{00000000-0005-0000-0000-00005A0F0000}"/>
    <cellStyle name="Currency 16 9 5 2" xfId="3930" xr:uid="{00000000-0005-0000-0000-00005B0F0000}"/>
    <cellStyle name="Currency 16 9 6" xfId="3931" xr:uid="{00000000-0005-0000-0000-00005C0F0000}"/>
    <cellStyle name="Currency 16 9 6 2" xfId="3932" xr:uid="{00000000-0005-0000-0000-00005D0F0000}"/>
    <cellStyle name="Currency 16 9 7" xfId="3933" xr:uid="{00000000-0005-0000-0000-00005E0F0000}"/>
    <cellStyle name="Currency 16 9 7 2" xfId="3934" xr:uid="{00000000-0005-0000-0000-00005F0F0000}"/>
    <cellStyle name="Currency 16 9 8" xfId="3935" xr:uid="{00000000-0005-0000-0000-0000600F0000}"/>
    <cellStyle name="Currency 16 9 8 2" xfId="3936" xr:uid="{00000000-0005-0000-0000-0000610F0000}"/>
    <cellStyle name="Currency 16 9 9" xfId="3937" xr:uid="{00000000-0005-0000-0000-0000620F0000}"/>
    <cellStyle name="Currency 16 9 9 2" xfId="3938" xr:uid="{00000000-0005-0000-0000-0000630F0000}"/>
    <cellStyle name="Currency 17" xfId="3939" xr:uid="{00000000-0005-0000-0000-0000640F0000}"/>
    <cellStyle name="Currency 17 2" xfId="3940" xr:uid="{00000000-0005-0000-0000-0000650F0000}"/>
    <cellStyle name="Currency 17 2 2" xfId="3941" xr:uid="{00000000-0005-0000-0000-0000660F0000}"/>
    <cellStyle name="Currency 17 2 2 2" xfId="3942" xr:uid="{00000000-0005-0000-0000-0000670F0000}"/>
    <cellStyle name="Currency 17 2 2 3" xfId="3943" xr:uid="{00000000-0005-0000-0000-0000680F0000}"/>
    <cellStyle name="Currency 17 2 3" xfId="3944" xr:uid="{00000000-0005-0000-0000-0000690F0000}"/>
    <cellStyle name="Currency 17 2 3 2" xfId="3945" xr:uid="{00000000-0005-0000-0000-00006A0F0000}"/>
    <cellStyle name="Currency 17 2 3 3" xfId="3946" xr:uid="{00000000-0005-0000-0000-00006B0F0000}"/>
    <cellStyle name="Currency 17 2 4" xfId="3947" xr:uid="{00000000-0005-0000-0000-00006C0F0000}"/>
    <cellStyle name="Currency 17 2 5" xfId="3948" xr:uid="{00000000-0005-0000-0000-00006D0F0000}"/>
    <cellStyle name="Currency 17 2 6" xfId="3949" xr:uid="{00000000-0005-0000-0000-00006E0F0000}"/>
    <cellStyle name="Currency 17 3" xfId="3950" xr:uid="{00000000-0005-0000-0000-00006F0F0000}"/>
    <cellStyle name="Currency 17 3 2" xfId="3951" xr:uid="{00000000-0005-0000-0000-0000700F0000}"/>
    <cellStyle name="Currency 17 3 3" xfId="3952" xr:uid="{00000000-0005-0000-0000-0000710F0000}"/>
    <cellStyle name="Currency 17 4" xfId="3953" xr:uid="{00000000-0005-0000-0000-0000720F0000}"/>
    <cellStyle name="Currency 17 4 2" xfId="3954" xr:uid="{00000000-0005-0000-0000-0000730F0000}"/>
    <cellStyle name="Currency 17 4 3" xfId="3955" xr:uid="{00000000-0005-0000-0000-0000740F0000}"/>
    <cellStyle name="Currency 17 5" xfId="3956" xr:uid="{00000000-0005-0000-0000-0000750F0000}"/>
    <cellStyle name="Currency 17 6" xfId="3957" xr:uid="{00000000-0005-0000-0000-0000760F0000}"/>
    <cellStyle name="Currency 17 7" xfId="3958" xr:uid="{00000000-0005-0000-0000-0000770F0000}"/>
    <cellStyle name="Currency 18" xfId="3959" xr:uid="{00000000-0005-0000-0000-0000780F0000}"/>
    <cellStyle name="Currency 18 2" xfId="3960" xr:uid="{00000000-0005-0000-0000-0000790F0000}"/>
    <cellStyle name="Currency 18 2 2" xfId="3961" xr:uid="{00000000-0005-0000-0000-00007A0F0000}"/>
    <cellStyle name="Currency 18 2 2 2" xfId="3962" xr:uid="{00000000-0005-0000-0000-00007B0F0000}"/>
    <cellStyle name="Currency 18 2 2 3" xfId="3963" xr:uid="{00000000-0005-0000-0000-00007C0F0000}"/>
    <cellStyle name="Currency 18 2 3" xfId="3964" xr:uid="{00000000-0005-0000-0000-00007D0F0000}"/>
    <cellStyle name="Currency 18 2 3 2" xfId="3965" xr:uid="{00000000-0005-0000-0000-00007E0F0000}"/>
    <cellStyle name="Currency 18 2 3 3" xfId="3966" xr:uid="{00000000-0005-0000-0000-00007F0F0000}"/>
    <cellStyle name="Currency 18 2 4" xfId="3967" xr:uid="{00000000-0005-0000-0000-0000800F0000}"/>
    <cellStyle name="Currency 18 2 5" xfId="3968" xr:uid="{00000000-0005-0000-0000-0000810F0000}"/>
    <cellStyle name="Currency 18 2 6" xfId="3969" xr:uid="{00000000-0005-0000-0000-0000820F0000}"/>
    <cellStyle name="Currency 18 3" xfId="3970" xr:uid="{00000000-0005-0000-0000-0000830F0000}"/>
    <cellStyle name="Currency 18 3 2" xfId="3971" xr:uid="{00000000-0005-0000-0000-0000840F0000}"/>
    <cellStyle name="Currency 18 3 3" xfId="3972" xr:uid="{00000000-0005-0000-0000-0000850F0000}"/>
    <cellStyle name="Currency 18 4" xfId="3973" xr:uid="{00000000-0005-0000-0000-0000860F0000}"/>
    <cellStyle name="Currency 18 4 2" xfId="3974" xr:uid="{00000000-0005-0000-0000-0000870F0000}"/>
    <cellStyle name="Currency 18 4 3" xfId="3975" xr:uid="{00000000-0005-0000-0000-0000880F0000}"/>
    <cellStyle name="Currency 18 5" xfId="3976" xr:uid="{00000000-0005-0000-0000-0000890F0000}"/>
    <cellStyle name="Currency 18 6" xfId="3977" xr:uid="{00000000-0005-0000-0000-00008A0F0000}"/>
    <cellStyle name="Currency 18 7" xfId="3978" xr:uid="{00000000-0005-0000-0000-00008B0F0000}"/>
    <cellStyle name="Currency 19" xfId="3979" xr:uid="{00000000-0005-0000-0000-00008C0F0000}"/>
    <cellStyle name="Currency 19 2" xfId="3980" xr:uid="{00000000-0005-0000-0000-00008D0F0000}"/>
    <cellStyle name="Currency 19 2 2" xfId="3981" xr:uid="{00000000-0005-0000-0000-00008E0F0000}"/>
    <cellStyle name="Currency 19 2 2 2" xfId="3982" xr:uid="{00000000-0005-0000-0000-00008F0F0000}"/>
    <cellStyle name="Currency 19 2 2 3" xfId="3983" xr:uid="{00000000-0005-0000-0000-0000900F0000}"/>
    <cellStyle name="Currency 19 2 3" xfId="3984" xr:uid="{00000000-0005-0000-0000-0000910F0000}"/>
    <cellStyle name="Currency 19 2 3 2" xfId="3985" xr:uid="{00000000-0005-0000-0000-0000920F0000}"/>
    <cellStyle name="Currency 19 2 3 3" xfId="3986" xr:uid="{00000000-0005-0000-0000-0000930F0000}"/>
    <cellStyle name="Currency 19 2 4" xfId="3987" xr:uid="{00000000-0005-0000-0000-0000940F0000}"/>
    <cellStyle name="Currency 19 2 5" xfId="3988" xr:uid="{00000000-0005-0000-0000-0000950F0000}"/>
    <cellStyle name="Currency 19 2 6" xfId="3989" xr:uid="{00000000-0005-0000-0000-0000960F0000}"/>
    <cellStyle name="Currency 19 3" xfId="3990" xr:uid="{00000000-0005-0000-0000-0000970F0000}"/>
    <cellStyle name="Currency 19 3 2" xfId="3991" xr:uid="{00000000-0005-0000-0000-0000980F0000}"/>
    <cellStyle name="Currency 19 3 3" xfId="3992" xr:uid="{00000000-0005-0000-0000-0000990F0000}"/>
    <cellStyle name="Currency 19 4" xfId="3993" xr:uid="{00000000-0005-0000-0000-00009A0F0000}"/>
    <cellStyle name="Currency 19 4 2" xfId="3994" xr:uid="{00000000-0005-0000-0000-00009B0F0000}"/>
    <cellStyle name="Currency 19 4 3" xfId="3995" xr:uid="{00000000-0005-0000-0000-00009C0F0000}"/>
    <cellStyle name="Currency 19 5" xfId="3996" xr:uid="{00000000-0005-0000-0000-00009D0F0000}"/>
    <cellStyle name="Currency 19 6" xfId="3997" xr:uid="{00000000-0005-0000-0000-00009E0F0000}"/>
    <cellStyle name="Currency 19 7" xfId="3998" xr:uid="{00000000-0005-0000-0000-00009F0F0000}"/>
    <cellStyle name="Currency 19 8" xfId="3999" xr:uid="{00000000-0005-0000-0000-0000A00F0000}"/>
    <cellStyle name="Currency 2" xfId="4000" xr:uid="{00000000-0005-0000-0000-0000A10F0000}"/>
    <cellStyle name="Currency 2 10" xfId="4001" xr:uid="{00000000-0005-0000-0000-0000A20F0000}"/>
    <cellStyle name="Currency 2 10 2" xfId="4002" xr:uid="{00000000-0005-0000-0000-0000A30F0000}"/>
    <cellStyle name="Currency 2 10 2 2" xfId="4003" xr:uid="{00000000-0005-0000-0000-0000A40F0000}"/>
    <cellStyle name="Currency 2 10 2 2 2" xfId="4004" xr:uid="{00000000-0005-0000-0000-0000A50F0000}"/>
    <cellStyle name="Currency 2 10 2 2 3" xfId="4005" xr:uid="{00000000-0005-0000-0000-0000A60F0000}"/>
    <cellStyle name="Currency 2 10 2 3" xfId="4006" xr:uid="{00000000-0005-0000-0000-0000A70F0000}"/>
    <cellStyle name="Currency 2 10 2 3 2" xfId="4007" xr:uid="{00000000-0005-0000-0000-0000A80F0000}"/>
    <cellStyle name="Currency 2 10 2 3 3" xfId="4008" xr:uid="{00000000-0005-0000-0000-0000A90F0000}"/>
    <cellStyle name="Currency 2 10 2 4" xfId="4009" xr:uid="{00000000-0005-0000-0000-0000AA0F0000}"/>
    <cellStyle name="Currency 2 10 2 5" xfId="4010" xr:uid="{00000000-0005-0000-0000-0000AB0F0000}"/>
    <cellStyle name="Currency 2 10 2 6" xfId="4011" xr:uid="{00000000-0005-0000-0000-0000AC0F0000}"/>
    <cellStyle name="Currency 2 10 3" xfId="4012" xr:uid="{00000000-0005-0000-0000-0000AD0F0000}"/>
    <cellStyle name="Currency 2 10 3 2" xfId="4013" xr:uid="{00000000-0005-0000-0000-0000AE0F0000}"/>
    <cellStyle name="Currency 2 10 3 3" xfId="4014" xr:uid="{00000000-0005-0000-0000-0000AF0F0000}"/>
    <cellStyle name="Currency 2 10 4" xfId="4015" xr:uid="{00000000-0005-0000-0000-0000B00F0000}"/>
    <cellStyle name="Currency 2 10 4 2" xfId="4016" xr:uid="{00000000-0005-0000-0000-0000B10F0000}"/>
    <cellStyle name="Currency 2 10 4 3" xfId="4017" xr:uid="{00000000-0005-0000-0000-0000B20F0000}"/>
    <cellStyle name="Currency 2 10 5" xfId="4018" xr:uid="{00000000-0005-0000-0000-0000B30F0000}"/>
    <cellStyle name="Currency 2 10 6" xfId="4019" xr:uid="{00000000-0005-0000-0000-0000B40F0000}"/>
    <cellStyle name="Currency 2 10 7" xfId="4020" xr:uid="{00000000-0005-0000-0000-0000B50F0000}"/>
    <cellStyle name="Currency 2 11" xfId="4021" xr:uid="{00000000-0005-0000-0000-0000B60F0000}"/>
    <cellStyle name="Currency 2 11 2" xfId="4022" xr:uid="{00000000-0005-0000-0000-0000B70F0000}"/>
    <cellStyle name="Currency 2 11 2 2" xfId="4023" xr:uid="{00000000-0005-0000-0000-0000B80F0000}"/>
    <cellStyle name="Currency 2 11 2 2 2" xfId="4024" xr:uid="{00000000-0005-0000-0000-0000B90F0000}"/>
    <cellStyle name="Currency 2 11 2 2 3" xfId="4025" xr:uid="{00000000-0005-0000-0000-0000BA0F0000}"/>
    <cellStyle name="Currency 2 11 2 3" xfId="4026" xr:uid="{00000000-0005-0000-0000-0000BB0F0000}"/>
    <cellStyle name="Currency 2 11 2 3 2" xfId="4027" xr:uid="{00000000-0005-0000-0000-0000BC0F0000}"/>
    <cellStyle name="Currency 2 11 2 3 3" xfId="4028" xr:uid="{00000000-0005-0000-0000-0000BD0F0000}"/>
    <cellStyle name="Currency 2 11 2 4" xfId="4029" xr:uid="{00000000-0005-0000-0000-0000BE0F0000}"/>
    <cellStyle name="Currency 2 11 2 5" xfId="4030" xr:uid="{00000000-0005-0000-0000-0000BF0F0000}"/>
    <cellStyle name="Currency 2 11 2 6" xfId="4031" xr:uid="{00000000-0005-0000-0000-0000C00F0000}"/>
    <cellStyle name="Currency 2 11 3" xfId="4032" xr:uid="{00000000-0005-0000-0000-0000C10F0000}"/>
    <cellStyle name="Currency 2 11 3 2" xfId="4033" xr:uid="{00000000-0005-0000-0000-0000C20F0000}"/>
    <cellStyle name="Currency 2 11 3 3" xfId="4034" xr:uid="{00000000-0005-0000-0000-0000C30F0000}"/>
    <cellStyle name="Currency 2 11 4" xfId="4035" xr:uid="{00000000-0005-0000-0000-0000C40F0000}"/>
    <cellStyle name="Currency 2 11 4 2" xfId="4036" xr:uid="{00000000-0005-0000-0000-0000C50F0000}"/>
    <cellStyle name="Currency 2 11 4 3" xfId="4037" xr:uid="{00000000-0005-0000-0000-0000C60F0000}"/>
    <cellStyle name="Currency 2 11 5" xfId="4038" xr:uid="{00000000-0005-0000-0000-0000C70F0000}"/>
    <cellStyle name="Currency 2 11 6" xfId="4039" xr:uid="{00000000-0005-0000-0000-0000C80F0000}"/>
    <cellStyle name="Currency 2 11 7" xfId="4040" xr:uid="{00000000-0005-0000-0000-0000C90F0000}"/>
    <cellStyle name="Currency 2 12" xfId="4041" xr:uid="{00000000-0005-0000-0000-0000CA0F0000}"/>
    <cellStyle name="Currency 2 12 2" xfId="4042" xr:uid="{00000000-0005-0000-0000-0000CB0F0000}"/>
    <cellStyle name="Currency 2 12 2 2" xfId="4043" xr:uid="{00000000-0005-0000-0000-0000CC0F0000}"/>
    <cellStyle name="Currency 2 12 2 2 2" xfId="4044" xr:uid="{00000000-0005-0000-0000-0000CD0F0000}"/>
    <cellStyle name="Currency 2 12 2 2 3" xfId="4045" xr:uid="{00000000-0005-0000-0000-0000CE0F0000}"/>
    <cellStyle name="Currency 2 12 2 3" xfId="4046" xr:uid="{00000000-0005-0000-0000-0000CF0F0000}"/>
    <cellStyle name="Currency 2 12 2 3 2" xfId="4047" xr:uid="{00000000-0005-0000-0000-0000D00F0000}"/>
    <cellStyle name="Currency 2 12 2 3 3" xfId="4048" xr:uid="{00000000-0005-0000-0000-0000D10F0000}"/>
    <cellStyle name="Currency 2 12 2 4" xfId="4049" xr:uid="{00000000-0005-0000-0000-0000D20F0000}"/>
    <cellStyle name="Currency 2 12 2 5" xfId="4050" xr:uid="{00000000-0005-0000-0000-0000D30F0000}"/>
    <cellStyle name="Currency 2 12 2 6" xfId="4051" xr:uid="{00000000-0005-0000-0000-0000D40F0000}"/>
    <cellStyle name="Currency 2 12 3" xfId="4052" xr:uid="{00000000-0005-0000-0000-0000D50F0000}"/>
    <cellStyle name="Currency 2 12 3 2" xfId="4053" xr:uid="{00000000-0005-0000-0000-0000D60F0000}"/>
    <cellStyle name="Currency 2 12 3 3" xfId="4054" xr:uid="{00000000-0005-0000-0000-0000D70F0000}"/>
    <cellStyle name="Currency 2 12 4" xfId="4055" xr:uid="{00000000-0005-0000-0000-0000D80F0000}"/>
    <cellStyle name="Currency 2 12 4 2" xfId="4056" xr:uid="{00000000-0005-0000-0000-0000D90F0000}"/>
    <cellStyle name="Currency 2 12 4 3" xfId="4057" xr:uid="{00000000-0005-0000-0000-0000DA0F0000}"/>
    <cellStyle name="Currency 2 12 5" xfId="4058" xr:uid="{00000000-0005-0000-0000-0000DB0F0000}"/>
    <cellStyle name="Currency 2 12 6" xfId="4059" xr:uid="{00000000-0005-0000-0000-0000DC0F0000}"/>
    <cellStyle name="Currency 2 12 7" xfId="4060" xr:uid="{00000000-0005-0000-0000-0000DD0F0000}"/>
    <cellStyle name="Currency 2 13" xfId="4061" xr:uid="{00000000-0005-0000-0000-0000DE0F0000}"/>
    <cellStyle name="Currency 2 13 2" xfId="4062" xr:uid="{00000000-0005-0000-0000-0000DF0F0000}"/>
    <cellStyle name="Currency 2 13 2 2" xfId="4063" xr:uid="{00000000-0005-0000-0000-0000E00F0000}"/>
    <cellStyle name="Currency 2 13 2 2 2" xfId="4064" xr:uid="{00000000-0005-0000-0000-0000E10F0000}"/>
    <cellStyle name="Currency 2 13 2 2 3" xfId="4065" xr:uid="{00000000-0005-0000-0000-0000E20F0000}"/>
    <cellStyle name="Currency 2 13 2 3" xfId="4066" xr:uid="{00000000-0005-0000-0000-0000E30F0000}"/>
    <cellStyle name="Currency 2 13 2 3 2" xfId="4067" xr:uid="{00000000-0005-0000-0000-0000E40F0000}"/>
    <cellStyle name="Currency 2 13 2 3 3" xfId="4068" xr:uid="{00000000-0005-0000-0000-0000E50F0000}"/>
    <cellStyle name="Currency 2 13 2 4" xfId="4069" xr:uid="{00000000-0005-0000-0000-0000E60F0000}"/>
    <cellStyle name="Currency 2 13 2 5" xfId="4070" xr:uid="{00000000-0005-0000-0000-0000E70F0000}"/>
    <cellStyle name="Currency 2 13 2 6" xfId="4071" xr:uid="{00000000-0005-0000-0000-0000E80F0000}"/>
    <cellStyle name="Currency 2 13 3" xfId="4072" xr:uid="{00000000-0005-0000-0000-0000E90F0000}"/>
    <cellStyle name="Currency 2 13 3 2" xfId="4073" xr:uid="{00000000-0005-0000-0000-0000EA0F0000}"/>
    <cellStyle name="Currency 2 13 3 3" xfId="4074" xr:uid="{00000000-0005-0000-0000-0000EB0F0000}"/>
    <cellStyle name="Currency 2 13 4" xfId="4075" xr:uid="{00000000-0005-0000-0000-0000EC0F0000}"/>
    <cellStyle name="Currency 2 13 4 2" xfId="4076" xr:uid="{00000000-0005-0000-0000-0000ED0F0000}"/>
    <cellStyle name="Currency 2 13 4 3" xfId="4077" xr:uid="{00000000-0005-0000-0000-0000EE0F0000}"/>
    <cellStyle name="Currency 2 13 5" xfId="4078" xr:uid="{00000000-0005-0000-0000-0000EF0F0000}"/>
    <cellStyle name="Currency 2 13 6" xfId="4079" xr:uid="{00000000-0005-0000-0000-0000F00F0000}"/>
    <cellStyle name="Currency 2 13 7" xfId="4080" xr:uid="{00000000-0005-0000-0000-0000F10F0000}"/>
    <cellStyle name="Currency 2 14" xfId="4081" xr:uid="{00000000-0005-0000-0000-0000F20F0000}"/>
    <cellStyle name="Currency 2 14 2" xfId="4082" xr:uid="{00000000-0005-0000-0000-0000F30F0000}"/>
    <cellStyle name="Currency 2 14 2 2" xfId="4083" xr:uid="{00000000-0005-0000-0000-0000F40F0000}"/>
    <cellStyle name="Currency 2 14 2 2 2" xfId="4084" xr:uid="{00000000-0005-0000-0000-0000F50F0000}"/>
    <cellStyle name="Currency 2 14 2 2 3" xfId="4085" xr:uid="{00000000-0005-0000-0000-0000F60F0000}"/>
    <cellStyle name="Currency 2 14 2 3" xfId="4086" xr:uid="{00000000-0005-0000-0000-0000F70F0000}"/>
    <cellStyle name="Currency 2 14 2 3 2" xfId="4087" xr:uid="{00000000-0005-0000-0000-0000F80F0000}"/>
    <cellStyle name="Currency 2 14 2 3 3" xfId="4088" xr:uid="{00000000-0005-0000-0000-0000F90F0000}"/>
    <cellStyle name="Currency 2 14 2 4" xfId="4089" xr:uid="{00000000-0005-0000-0000-0000FA0F0000}"/>
    <cellStyle name="Currency 2 14 2 5" xfId="4090" xr:uid="{00000000-0005-0000-0000-0000FB0F0000}"/>
    <cellStyle name="Currency 2 14 2 6" xfId="4091" xr:uid="{00000000-0005-0000-0000-0000FC0F0000}"/>
    <cellStyle name="Currency 2 14 3" xfId="4092" xr:uid="{00000000-0005-0000-0000-0000FD0F0000}"/>
    <cellStyle name="Currency 2 14 3 2" xfId="4093" xr:uid="{00000000-0005-0000-0000-0000FE0F0000}"/>
    <cellStyle name="Currency 2 14 3 3" xfId="4094" xr:uid="{00000000-0005-0000-0000-0000FF0F0000}"/>
    <cellStyle name="Currency 2 14 4" xfId="4095" xr:uid="{00000000-0005-0000-0000-000000100000}"/>
    <cellStyle name="Currency 2 14 4 2" xfId="4096" xr:uid="{00000000-0005-0000-0000-000001100000}"/>
    <cellStyle name="Currency 2 14 4 3" xfId="4097" xr:uid="{00000000-0005-0000-0000-000002100000}"/>
    <cellStyle name="Currency 2 14 5" xfId="4098" xr:uid="{00000000-0005-0000-0000-000003100000}"/>
    <cellStyle name="Currency 2 14 6" xfId="4099" xr:uid="{00000000-0005-0000-0000-000004100000}"/>
    <cellStyle name="Currency 2 14 7" xfId="4100" xr:uid="{00000000-0005-0000-0000-000005100000}"/>
    <cellStyle name="Currency 2 15" xfId="4101" xr:uid="{00000000-0005-0000-0000-000006100000}"/>
    <cellStyle name="Currency 2 15 2" xfId="4102" xr:uid="{00000000-0005-0000-0000-000007100000}"/>
    <cellStyle name="Currency 2 15 2 2" xfId="4103" xr:uid="{00000000-0005-0000-0000-000008100000}"/>
    <cellStyle name="Currency 2 15 2 2 2" xfId="4104" xr:uid="{00000000-0005-0000-0000-000009100000}"/>
    <cellStyle name="Currency 2 15 2 2 3" xfId="4105" xr:uid="{00000000-0005-0000-0000-00000A100000}"/>
    <cellStyle name="Currency 2 15 2 3" xfId="4106" xr:uid="{00000000-0005-0000-0000-00000B100000}"/>
    <cellStyle name="Currency 2 15 2 3 2" xfId="4107" xr:uid="{00000000-0005-0000-0000-00000C100000}"/>
    <cellStyle name="Currency 2 15 2 3 3" xfId="4108" xr:uid="{00000000-0005-0000-0000-00000D100000}"/>
    <cellStyle name="Currency 2 15 2 4" xfId="4109" xr:uid="{00000000-0005-0000-0000-00000E100000}"/>
    <cellStyle name="Currency 2 15 2 5" xfId="4110" xr:uid="{00000000-0005-0000-0000-00000F100000}"/>
    <cellStyle name="Currency 2 15 2 6" xfId="4111" xr:uid="{00000000-0005-0000-0000-000010100000}"/>
    <cellStyle name="Currency 2 15 3" xfId="4112" xr:uid="{00000000-0005-0000-0000-000011100000}"/>
    <cellStyle name="Currency 2 15 3 2" xfId="4113" xr:uid="{00000000-0005-0000-0000-000012100000}"/>
    <cellStyle name="Currency 2 15 3 3" xfId="4114" xr:uid="{00000000-0005-0000-0000-000013100000}"/>
    <cellStyle name="Currency 2 15 4" xfId="4115" xr:uid="{00000000-0005-0000-0000-000014100000}"/>
    <cellStyle name="Currency 2 15 4 2" xfId="4116" xr:uid="{00000000-0005-0000-0000-000015100000}"/>
    <cellStyle name="Currency 2 15 4 3" xfId="4117" xr:uid="{00000000-0005-0000-0000-000016100000}"/>
    <cellStyle name="Currency 2 15 5" xfId="4118" xr:uid="{00000000-0005-0000-0000-000017100000}"/>
    <cellStyle name="Currency 2 15 6" xfId="4119" xr:uid="{00000000-0005-0000-0000-000018100000}"/>
    <cellStyle name="Currency 2 15 7" xfId="4120" xr:uid="{00000000-0005-0000-0000-000019100000}"/>
    <cellStyle name="Currency 2 16" xfId="4121" xr:uid="{00000000-0005-0000-0000-00001A100000}"/>
    <cellStyle name="Currency 2 16 2" xfId="4122" xr:uid="{00000000-0005-0000-0000-00001B100000}"/>
    <cellStyle name="Currency 2 16 2 2" xfId="4123" xr:uid="{00000000-0005-0000-0000-00001C100000}"/>
    <cellStyle name="Currency 2 16 2 2 2" xfId="4124" xr:uid="{00000000-0005-0000-0000-00001D100000}"/>
    <cellStyle name="Currency 2 16 2 2 3" xfId="4125" xr:uid="{00000000-0005-0000-0000-00001E100000}"/>
    <cellStyle name="Currency 2 16 2 3" xfId="4126" xr:uid="{00000000-0005-0000-0000-00001F100000}"/>
    <cellStyle name="Currency 2 16 2 3 2" xfId="4127" xr:uid="{00000000-0005-0000-0000-000020100000}"/>
    <cellStyle name="Currency 2 16 2 3 3" xfId="4128" xr:uid="{00000000-0005-0000-0000-000021100000}"/>
    <cellStyle name="Currency 2 16 2 4" xfId="4129" xr:uid="{00000000-0005-0000-0000-000022100000}"/>
    <cellStyle name="Currency 2 16 2 5" xfId="4130" xr:uid="{00000000-0005-0000-0000-000023100000}"/>
    <cellStyle name="Currency 2 16 2 6" xfId="4131" xr:uid="{00000000-0005-0000-0000-000024100000}"/>
    <cellStyle name="Currency 2 16 3" xfId="4132" xr:uid="{00000000-0005-0000-0000-000025100000}"/>
    <cellStyle name="Currency 2 16 3 2" xfId="4133" xr:uid="{00000000-0005-0000-0000-000026100000}"/>
    <cellStyle name="Currency 2 16 3 3" xfId="4134" xr:uid="{00000000-0005-0000-0000-000027100000}"/>
    <cellStyle name="Currency 2 16 4" xfId="4135" xr:uid="{00000000-0005-0000-0000-000028100000}"/>
    <cellStyle name="Currency 2 16 4 2" xfId="4136" xr:uid="{00000000-0005-0000-0000-000029100000}"/>
    <cellStyle name="Currency 2 16 4 3" xfId="4137" xr:uid="{00000000-0005-0000-0000-00002A100000}"/>
    <cellStyle name="Currency 2 16 5" xfId="4138" xr:uid="{00000000-0005-0000-0000-00002B100000}"/>
    <cellStyle name="Currency 2 16 6" xfId="4139" xr:uid="{00000000-0005-0000-0000-00002C100000}"/>
    <cellStyle name="Currency 2 16 7" xfId="4140" xr:uid="{00000000-0005-0000-0000-00002D100000}"/>
    <cellStyle name="Currency 2 17" xfId="4141" xr:uid="{00000000-0005-0000-0000-00002E100000}"/>
    <cellStyle name="Currency 2 17 2" xfId="4142" xr:uid="{00000000-0005-0000-0000-00002F100000}"/>
    <cellStyle name="Currency 2 17 2 2" xfId="4143" xr:uid="{00000000-0005-0000-0000-000030100000}"/>
    <cellStyle name="Currency 2 17 2 2 2" xfId="4144" xr:uid="{00000000-0005-0000-0000-000031100000}"/>
    <cellStyle name="Currency 2 17 2 2 3" xfId="4145" xr:uid="{00000000-0005-0000-0000-000032100000}"/>
    <cellStyle name="Currency 2 17 2 3" xfId="4146" xr:uid="{00000000-0005-0000-0000-000033100000}"/>
    <cellStyle name="Currency 2 17 2 3 2" xfId="4147" xr:uid="{00000000-0005-0000-0000-000034100000}"/>
    <cellStyle name="Currency 2 17 2 3 3" xfId="4148" xr:uid="{00000000-0005-0000-0000-000035100000}"/>
    <cellStyle name="Currency 2 17 2 4" xfId="4149" xr:uid="{00000000-0005-0000-0000-000036100000}"/>
    <cellStyle name="Currency 2 17 2 5" xfId="4150" xr:uid="{00000000-0005-0000-0000-000037100000}"/>
    <cellStyle name="Currency 2 17 2 6" xfId="4151" xr:uid="{00000000-0005-0000-0000-000038100000}"/>
    <cellStyle name="Currency 2 17 3" xfId="4152" xr:uid="{00000000-0005-0000-0000-000039100000}"/>
    <cellStyle name="Currency 2 17 3 2" xfId="4153" xr:uid="{00000000-0005-0000-0000-00003A100000}"/>
    <cellStyle name="Currency 2 17 3 3" xfId="4154" xr:uid="{00000000-0005-0000-0000-00003B100000}"/>
    <cellStyle name="Currency 2 17 4" xfId="4155" xr:uid="{00000000-0005-0000-0000-00003C100000}"/>
    <cellStyle name="Currency 2 17 4 2" xfId="4156" xr:uid="{00000000-0005-0000-0000-00003D100000}"/>
    <cellStyle name="Currency 2 17 4 3" xfId="4157" xr:uid="{00000000-0005-0000-0000-00003E100000}"/>
    <cellStyle name="Currency 2 17 5" xfId="4158" xr:uid="{00000000-0005-0000-0000-00003F100000}"/>
    <cellStyle name="Currency 2 17 6" xfId="4159" xr:uid="{00000000-0005-0000-0000-000040100000}"/>
    <cellStyle name="Currency 2 17 7" xfId="4160" xr:uid="{00000000-0005-0000-0000-000041100000}"/>
    <cellStyle name="Currency 2 18" xfId="4161" xr:uid="{00000000-0005-0000-0000-000042100000}"/>
    <cellStyle name="Currency 2 18 2" xfId="4162" xr:uid="{00000000-0005-0000-0000-000043100000}"/>
    <cellStyle name="Currency 2 18 2 2" xfId="4163" xr:uid="{00000000-0005-0000-0000-000044100000}"/>
    <cellStyle name="Currency 2 18 2 2 2" xfId="4164" xr:uid="{00000000-0005-0000-0000-000045100000}"/>
    <cellStyle name="Currency 2 18 2 2 3" xfId="4165" xr:uid="{00000000-0005-0000-0000-000046100000}"/>
    <cellStyle name="Currency 2 18 2 3" xfId="4166" xr:uid="{00000000-0005-0000-0000-000047100000}"/>
    <cellStyle name="Currency 2 18 2 3 2" xfId="4167" xr:uid="{00000000-0005-0000-0000-000048100000}"/>
    <cellStyle name="Currency 2 18 2 3 3" xfId="4168" xr:uid="{00000000-0005-0000-0000-000049100000}"/>
    <cellStyle name="Currency 2 18 2 4" xfId="4169" xr:uid="{00000000-0005-0000-0000-00004A100000}"/>
    <cellStyle name="Currency 2 18 2 5" xfId="4170" xr:uid="{00000000-0005-0000-0000-00004B100000}"/>
    <cellStyle name="Currency 2 18 2 6" xfId="4171" xr:uid="{00000000-0005-0000-0000-00004C100000}"/>
    <cellStyle name="Currency 2 18 3" xfId="4172" xr:uid="{00000000-0005-0000-0000-00004D100000}"/>
    <cellStyle name="Currency 2 18 3 2" xfId="4173" xr:uid="{00000000-0005-0000-0000-00004E100000}"/>
    <cellStyle name="Currency 2 18 3 3" xfId="4174" xr:uid="{00000000-0005-0000-0000-00004F100000}"/>
    <cellStyle name="Currency 2 18 4" xfId="4175" xr:uid="{00000000-0005-0000-0000-000050100000}"/>
    <cellStyle name="Currency 2 18 4 2" xfId="4176" xr:uid="{00000000-0005-0000-0000-000051100000}"/>
    <cellStyle name="Currency 2 18 4 3" xfId="4177" xr:uid="{00000000-0005-0000-0000-000052100000}"/>
    <cellStyle name="Currency 2 18 5" xfId="4178" xr:uid="{00000000-0005-0000-0000-000053100000}"/>
    <cellStyle name="Currency 2 18 6" xfId="4179" xr:uid="{00000000-0005-0000-0000-000054100000}"/>
    <cellStyle name="Currency 2 18 7" xfId="4180" xr:uid="{00000000-0005-0000-0000-000055100000}"/>
    <cellStyle name="Currency 2 19" xfId="4181" xr:uid="{00000000-0005-0000-0000-000056100000}"/>
    <cellStyle name="Currency 2 19 2" xfId="4182" xr:uid="{00000000-0005-0000-0000-000057100000}"/>
    <cellStyle name="Currency 2 19 2 2" xfId="4183" xr:uid="{00000000-0005-0000-0000-000058100000}"/>
    <cellStyle name="Currency 2 19 2 2 2" xfId="4184" xr:uid="{00000000-0005-0000-0000-000059100000}"/>
    <cellStyle name="Currency 2 19 2 2 3" xfId="4185" xr:uid="{00000000-0005-0000-0000-00005A100000}"/>
    <cellStyle name="Currency 2 19 2 3" xfId="4186" xr:uid="{00000000-0005-0000-0000-00005B100000}"/>
    <cellStyle name="Currency 2 19 2 3 2" xfId="4187" xr:uid="{00000000-0005-0000-0000-00005C100000}"/>
    <cellStyle name="Currency 2 19 2 3 3" xfId="4188" xr:uid="{00000000-0005-0000-0000-00005D100000}"/>
    <cellStyle name="Currency 2 19 2 4" xfId="4189" xr:uid="{00000000-0005-0000-0000-00005E100000}"/>
    <cellStyle name="Currency 2 19 2 5" xfId="4190" xr:uid="{00000000-0005-0000-0000-00005F100000}"/>
    <cellStyle name="Currency 2 19 2 6" xfId="4191" xr:uid="{00000000-0005-0000-0000-000060100000}"/>
    <cellStyle name="Currency 2 19 3" xfId="4192" xr:uid="{00000000-0005-0000-0000-000061100000}"/>
    <cellStyle name="Currency 2 19 3 2" xfId="4193" xr:uid="{00000000-0005-0000-0000-000062100000}"/>
    <cellStyle name="Currency 2 19 3 3" xfId="4194" xr:uid="{00000000-0005-0000-0000-000063100000}"/>
    <cellStyle name="Currency 2 19 4" xfId="4195" xr:uid="{00000000-0005-0000-0000-000064100000}"/>
    <cellStyle name="Currency 2 19 4 2" xfId="4196" xr:uid="{00000000-0005-0000-0000-000065100000}"/>
    <cellStyle name="Currency 2 19 4 3" xfId="4197" xr:uid="{00000000-0005-0000-0000-000066100000}"/>
    <cellStyle name="Currency 2 19 5" xfId="4198" xr:uid="{00000000-0005-0000-0000-000067100000}"/>
    <cellStyle name="Currency 2 19 6" xfId="4199" xr:uid="{00000000-0005-0000-0000-000068100000}"/>
    <cellStyle name="Currency 2 19 7" xfId="4200" xr:uid="{00000000-0005-0000-0000-000069100000}"/>
    <cellStyle name="Currency 2 2" xfId="4201" xr:uid="{00000000-0005-0000-0000-00006A100000}"/>
    <cellStyle name="Currency 2 2 2" xfId="4202" xr:uid="{00000000-0005-0000-0000-00006B100000}"/>
    <cellStyle name="Currency 2 2 2 2" xfId="4203" xr:uid="{00000000-0005-0000-0000-00006C100000}"/>
    <cellStyle name="Currency 2 2 2 2 2" xfId="4204" xr:uid="{00000000-0005-0000-0000-00006D100000}"/>
    <cellStyle name="Currency 2 2 2 2 3" xfId="4205" xr:uid="{00000000-0005-0000-0000-00006E100000}"/>
    <cellStyle name="Currency 2 2 2 3" xfId="4206" xr:uid="{00000000-0005-0000-0000-00006F100000}"/>
    <cellStyle name="Currency 2 2 2 3 2" xfId="4207" xr:uid="{00000000-0005-0000-0000-000070100000}"/>
    <cellStyle name="Currency 2 2 2 3 3" xfId="4208" xr:uid="{00000000-0005-0000-0000-000071100000}"/>
    <cellStyle name="Currency 2 2 2 4" xfId="4209" xr:uid="{00000000-0005-0000-0000-000072100000}"/>
    <cellStyle name="Currency 2 2 2 5" xfId="4210" xr:uid="{00000000-0005-0000-0000-000073100000}"/>
    <cellStyle name="Currency 2 2 2 6" xfId="4211" xr:uid="{00000000-0005-0000-0000-000074100000}"/>
    <cellStyle name="Currency 2 2 3" xfId="4212" xr:uid="{00000000-0005-0000-0000-000075100000}"/>
    <cellStyle name="Currency 2 2 3 2" xfId="4213" xr:uid="{00000000-0005-0000-0000-000076100000}"/>
    <cellStyle name="Currency 2 2 3 3" xfId="4214" xr:uid="{00000000-0005-0000-0000-000077100000}"/>
    <cellStyle name="Currency 2 2 4" xfId="4215" xr:uid="{00000000-0005-0000-0000-000078100000}"/>
    <cellStyle name="Currency 2 2 4 2" xfId="4216" xr:uid="{00000000-0005-0000-0000-000079100000}"/>
    <cellStyle name="Currency 2 2 4 3" xfId="4217" xr:uid="{00000000-0005-0000-0000-00007A100000}"/>
    <cellStyle name="Currency 2 2 5" xfId="4218" xr:uid="{00000000-0005-0000-0000-00007B100000}"/>
    <cellStyle name="Currency 2 2 6" xfId="4219" xr:uid="{00000000-0005-0000-0000-00007C100000}"/>
    <cellStyle name="Currency 2 2 7" xfId="4220" xr:uid="{00000000-0005-0000-0000-00007D100000}"/>
    <cellStyle name="Currency 2 20" xfId="4221" xr:uid="{00000000-0005-0000-0000-00007E100000}"/>
    <cellStyle name="Currency 2 20 2" xfId="4222" xr:uid="{00000000-0005-0000-0000-00007F100000}"/>
    <cellStyle name="Currency 2 20 2 2" xfId="4223" xr:uid="{00000000-0005-0000-0000-000080100000}"/>
    <cellStyle name="Currency 2 20 2 2 2" xfId="4224" xr:uid="{00000000-0005-0000-0000-000081100000}"/>
    <cellStyle name="Currency 2 20 2 2 3" xfId="4225" xr:uid="{00000000-0005-0000-0000-000082100000}"/>
    <cellStyle name="Currency 2 20 2 3" xfId="4226" xr:uid="{00000000-0005-0000-0000-000083100000}"/>
    <cellStyle name="Currency 2 20 2 3 2" xfId="4227" xr:uid="{00000000-0005-0000-0000-000084100000}"/>
    <cellStyle name="Currency 2 20 2 3 3" xfId="4228" xr:uid="{00000000-0005-0000-0000-000085100000}"/>
    <cellStyle name="Currency 2 20 2 4" xfId="4229" xr:uid="{00000000-0005-0000-0000-000086100000}"/>
    <cellStyle name="Currency 2 20 2 5" xfId="4230" xr:uid="{00000000-0005-0000-0000-000087100000}"/>
    <cellStyle name="Currency 2 20 2 6" xfId="4231" xr:uid="{00000000-0005-0000-0000-000088100000}"/>
    <cellStyle name="Currency 2 20 3" xfId="4232" xr:uid="{00000000-0005-0000-0000-000089100000}"/>
    <cellStyle name="Currency 2 20 3 2" xfId="4233" xr:uid="{00000000-0005-0000-0000-00008A100000}"/>
    <cellStyle name="Currency 2 20 3 3" xfId="4234" xr:uid="{00000000-0005-0000-0000-00008B100000}"/>
    <cellStyle name="Currency 2 20 4" xfId="4235" xr:uid="{00000000-0005-0000-0000-00008C100000}"/>
    <cellStyle name="Currency 2 20 4 2" xfId="4236" xr:uid="{00000000-0005-0000-0000-00008D100000}"/>
    <cellStyle name="Currency 2 20 4 3" xfId="4237" xr:uid="{00000000-0005-0000-0000-00008E100000}"/>
    <cellStyle name="Currency 2 20 5" xfId="4238" xr:uid="{00000000-0005-0000-0000-00008F100000}"/>
    <cellStyle name="Currency 2 20 6" xfId="4239" xr:uid="{00000000-0005-0000-0000-000090100000}"/>
    <cellStyle name="Currency 2 20 7" xfId="4240" xr:uid="{00000000-0005-0000-0000-000091100000}"/>
    <cellStyle name="Currency 2 21" xfId="4241" xr:uid="{00000000-0005-0000-0000-000092100000}"/>
    <cellStyle name="Currency 2 21 2" xfId="4242" xr:uid="{00000000-0005-0000-0000-000093100000}"/>
    <cellStyle name="Currency 2 21 2 2" xfId="4243" xr:uid="{00000000-0005-0000-0000-000094100000}"/>
    <cellStyle name="Currency 2 21 2 2 2" xfId="4244" xr:uid="{00000000-0005-0000-0000-000095100000}"/>
    <cellStyle name="Currency 2 21 2 2 3" xfId="4245" xr:uid="{00000000-0005-0000-0000-000096100000}"/>
    <cellStyle name="Currency 2 21 2 3" xfId="4246" xr:uid="{00000000-0005-0000-0000-000097100000}"/>
    <cellStyle name="Currency 2 21 2 3 2" xfId="4247" xr:uid="{00000000-0005-0000-0000-000098100000}"/>
    <cellStyle name="Currency 2 21 2 3 3" xfId="4248" xr:uid="{00000000-0005-0000-0000-000099100000}"/>
    <cellStyle name="Currency 2 21 2 4" xfId="4249" xr:uid="{00000000-0005-0000-0000-00009A100000}"/>
    <cellStyle name="Currency 2 21 2 5" xfId="4250" xr:uid="{00000000-0005-0000-0000-00009B100000}"/>
    <cellStyle name="Currency 2 21 2 6" xfId="4251" xr:uid="{00000000-0005-0000-0000-00009C100000}"/>
    <cellStyle name="Currency 2 21 3" xfId="4252" xr:uid="{00000000-0005-0000-0000-00009D100000}"/>
    <cellStyle name="Currency 2 21 3 2" xfId="4253" xr:uid="{00000000-0005-0000-0000-00009E100000}"/>
    <cellStyle name="Currency 2 21 3 3" xfId="4254" xr:uid="{00000000-0005-0000-0000-00009F100000}"/>
    <cellStyle name="Currency 2 21 4" xfId="4255" xr:uid="{00000000-0005-0000-0000-0000A0100000}"/>
    <cellStyle name="Currency 2 21 4 2" xfId="4256" xr:uid="{00000000-0005-0000-0000-0000A1100000}"/>
    <cellStyle name="Currency 2 21 4 3" xfId="4257" xr:uid="{00000000-0005-0000-0000-0000A2100000}"/>
    <cellStyle name="Currency 2 21 5" xfId="4258" xr:uid="{00000000-0005-0000-0000-0000A3100000}"/>
    <cellStyle name="Currency 2 21 6" xfId="4259" xr:uid="{00000000-0005-0000-0000-0000A4100000}"/>
    <cellStyle name="Currency 2 21 7" xfId="4260" xr:uid="{00000000-0005-0000-0000-0000A5100000}"/>
    <cellStyle name="Currency 2 22" xfId="4261" xr:uid="{00000000-0005-0000-0000-0000A6100000}"/>
    <cellStyle name="Currency 2 22 2" xfId="4262" xr:uid="{00000000-0005-0000-0000-0000A7100000}"/>
    <cellStyle name="Currency 2 22 2 2" xfId="4263" xr:uid="{00000000-0005-0000-0000-0000A8100000}"/>
    <cellStyle name="Currency 2 22 2 2 2" xfId="4264" xr:uid="{00000000-0005-0000-0000-0000A9100000}"/>
    <cellStyle name="Currency 2 22 2 2 3" xfId="4265" xr:uid="{00000000-0005-0000-0000-0000AA100000}"/>
    <cellStyle name="Currency 2 22 2 3" xfId="4266" xr:uid="{00000000-0005-0000-0000-0000AB100000}"/>
    <cellStyle name="Currency 2 22 2 3 2" xfId="4267" xr:uid="{00000000-0005-0000-0000-0000AC100000}"/>
    <cellStyle name="Currency 2 22 2 3 3" xfId="4268" xr:uid="{00000000-0005-0000-0000-0000AD100000}"/>
    <cellStyle name="Currency 2 22 2 4" xfId="4269" xr:uid="{00000000-0005-0000-0000-0000AE100000}"/>
    <cellStyle name="Currency 2 22 2 5" xfId="4270" xr:uid="{00000000-0005-0000-0000-0000AF100000}"/>
    <cellStyle name="Currency 2 22 2 6" xfId="4271" xr:uid="{00000000-0005-0000-0000-0000B0100000}"/>
    <cellStyle name="Currency 2 22 3" xfId="4272" xr:uid="{00000000-0005-0000-0000-0000B1100000}"/>
    <cellStyle name="Currency 2 22 3 2" xfId="4273" xr:uid="{00000000-0005-0000-0000-0000B2100000}"/>
    <cellStyle name="Currency 2 22 3 3" xfId="4274" xr:uid="{00000000-0005-0000-0000-0000B3100000}"/>
    <cellStyle name="Currency 2 22 4" xfId="4275" xr:uid="{00000000-0005-0000-0000-0000B4100000}"/>
    <cellStyle name="Currency 2 22 4 2" xfId="4276" xr:uid="{00000000-0005-0000-0000-0000B5100000}"/>
    <cellStyle name="Currency 2 22 4 3" xfId="4277" xr:uid="{00000000-0005-0000-0000-0000B6100000}"/>
    <cellStyle name="Currency 2 22 5" xfId="4278" xr:uid="{00000000-0005-0000-0000-0000B7100000}"/>
    <cellStyle name="Currency 2 22 6" xfId="4279" xr:uid="{00000000-0005-0000-0000-0000B8100000}"/>
    <cellStyle name="Currency 2 22 7" xfId="4280" xr:uid="{00000000-0005-0000-0000-0000B9100000}"/>
    <cellStyle name="Currency 2 23" xfId="4281" xr:uid="{00000000-0005-0000-0000-0000BA100000}"/>
    <cellStyle name="Currency 2 23 2" xfId="4282" xr:uid="{00000000-0005-0000-0000-0000BB100000}"/>
    <cellStyle name="Currency 2 23 2 2" xfId="4283" xr:uid="{00000000-0005-0000-0000-0000BC100000}"/>
    <cellStyle name="Currency 2 23 2 2 2" xfId="4284" xr:uid="{00000000-0005-0000-0000-0000BD100000}"/>
    <cellStyle name="Currency 2 23 2 2 3" xfId="4285" xr:uid="{00000000-0005-0000-0000-0000BE100000}"/>
    <cellStyle name="Currency 2 23 2 3" xfId="4286" xr:uid="{00000000-0005-0000-0000-0000BF100000}"/>
    <cellStyle name="Currency 2 23 2 3 2" xfId="4287" xr:uid="{00000000-0005-0000-0000-0000C0100000}"/>
    <cellStyle name="Currency 2 23 2 3 3" xfId="4288" xr:uid="{00000000-0005-0000-0000-0000C1100000}"/>
    <cellStyle name="Currency 2 23 2 4" xfId="4289" xr:uid="{00000000-0005-0000-0000-0000C2100000}"/>
    <cellStyle name="Currency 2 23 2 5" xfId="4290" xr:uid="{00000000-0005-0000-0000-0000C3100000}"/>
    <cellStyle name="Currency 2 23 2 6" xfId="4291" xr:uid="{00000000-0005-0000-0000-0000C4100000}"/>
    <cellStyle name="Currency 2 23 3" xfId="4292" xr:uid="{00000000-0005-0000-0000-0000C5100000}"/>
    <cellStyle name="Currency 2 23 3 2" xfId="4293" xr:uid="{00000000-0005-0000-0000-0000C6100000}"/>
    <cellStyle name="Currency 2 23 3 3" xfId="4294" xr:uid="{00000000-0005-0000-0000-0000C7100000}"/>
    <cellStyle name="Currency 2 23 4" xfId="4295" xr:uid="{00000000-0005-0000-0000-0000C8100000}"/>
    <cellStyle name="Currency 2 23 4 2" xfId="4296" xr:uid="{00000000-0005-0000-0000-0000C9100000}"/>
    <cellStyle name="Currency 2 23 4 3" xfId="4297" xr:uid="{00000000-0005-0000-0000-0000CA100000}"/>
    <cellStyle name="Currency 2 23 5" xfId="4298" xr:uid="{00000000-0005-0000-0000-0000CB100000}"/>
    <cellStyle name="Currency 2 23 6" xfId="4299" xr:uid="{00000000-0005-0000-0000-0000CC100000}"/>
    <cellStyle name="Currency 2 23 7" xfId="4300" xr:uid="{00000000-0005-0000-0000-0000CD100000}"/>
    <cellStyle name="Currency 2 24" xfId="4301" xr:uid="{00000000-0005-0000-0000-0000CE100000}"/>
    <cellStyle name="Currency 2 24 2" xfId="4302" xr:uid="{00000000-0005-0000-0000-0000CF100000}"/>
    <cellStyle name="Currency 2 24 2 2" xfId="4303" xr:uid="{00000000-0005-0000-0000-0000D0100000}"/>
    <cellStyle name="Currency 2 24 2 2 2" xfId="4304" xr:uid="{00000000-0005-0000-0000-0000D1100000}"/>
    <cellStyle name="Currency 2 24 2 2 3" xfId="4305" xr:uid="{00000000-0005-0000-0000-0000D2100000}"/>
    <cellStyle name="Currency 2 24 2 3" xfId="4306" xr:uid="{00000000-0005-0000-0000-0000D3100000}"/>
    <cellStyle name="Currency 2 24 2 3 2" xfId="4307" xr:uid="{00000000-0005-0000-0000-0000D4100000}"/>
    <cellStyle name="Currency 2 24 2 3 3" xfId="4308" xr:uid="{00000000-0005-0000-0000-0000D5100000}"/>
    <cellStyle name="Currency 2 24 2 4" xfId="4309" xr:uid="{00000000-0005-0000-0000-0000D6100000}"/>
    <cellStyle name="Currency 2 24 2 5" xfId="4310" xr:uid="{00000000-0005-0000-0000-0000D7100000}"/>
    <cellStyle name="Currency 2 24 2 6" xfId="4311" xr:uid="{00000000-0005-0000-0000-0000D8100000}"/>
    <cellStyle name="Currency 2 24 3" xfId="4312" xr:uid="{00000000-0005-0000-0000-0000D9100000}"/>
    <cellStyle name="Currency 2 24 3 2" xfId="4313" xr:uid="{00000000-0005-0000-0000-0000DA100000}"/>
    <cellStyle name="Currency 2 24 3 3" xfId="4314" xr:uid="{00000000-0005-0000-0000-0000DB100000}"/>
    <cellStyle name="Currency 2 24 4" xfId="4315" xr:uid="{00000000-0005-0000-0000-0000DC100000}"/>
    <cellStyle name="Currency 2 24 4 2" xfId="4316" xr:uid="{00000000-0005-0000-0000-0000DD100000}"/>
    <cellStyle name="Currency 2 24 4 3" xfId="4317" xr:uid="{00000000-0005-0000-0000-0000DE100000}"/>
    <cellStyle name="Currency 2 24 5" xfId="4318" xr:uid="{00000000-0005-0000-0000-0000DF100000}"/>
    <cellStyle name="Currency 2 24 6" xfId="4319" xr:uid="{00000000-0005-0000-0000-0000E0100000}"/>
    <cellStyle name="Currency 2 24 7" xfId="4320" xr:uid="{00000000-0005-0000-0000-0000E1100000}"/>
    <cellStyle name="Currency 2 25" xfId="4321" xr:uid="{00000000-0005-0000-0000-0000E2100000}"/>
    <cellStyle name="Currency 2 25 2" xfId="4322" xr:uid="{00000000-0005-0000-0000-0000E3100000}"/>
    <cellStyle name="Currency 2 25 2 2" xfId="4323" xr:uid="{00000000-0005-0000-0000-0000E4100000}"/>
    <cellStyle name="Currency 2 25 2 2 2" xfId="4324" xr:uid="{00000000-0005-0000-0000-0000E5100000}"/>
    <cellStyle name="Currency 2 25 2 2 3" xfId="4325" xr:uid="{00000000-0005-0000-0000-0000E6100000}"/>
    <cellStyle name="Currency 2 25 2 3" xfId="4326" xr:uid="{00000000-0005-0000-0000-0000E7100000}"/>
    <cellStyle name="Currency 2 25 2 3 2" xfId="4327" xr:uid="{00000000-0005-0000-0000-0000E8100000}"/>
    <cellStyle name="Currency 2 25 2 3 3" xfId="4328" xr:uid="{00000000-0005-0000-0000-0000E9100000}"/>
    <cellStyle name="Currency 2 25 2 4" xfId="4329" xr:uid="{00000000-0005-0000-0000-0000EA100000}"/>
    <cellStyle name="Currency 2 25 2 5" xfId="4330" xr:uid="{00000000-0005-0000-0000-0000EB100000}"/>
    <cellStyle name="Currency 2 25 2 6" xfId="4331" xr:uid="{00000000-0005-0000-0000-0000EC100000}"/>
    <cellStyle name="Currency 2 25 3" xfId="4332" xr:uid="{00000000-0005-0000-0000-0000ED100000}"/>
    <cellStyle name="Currency 2 25 3 2" xfId="4333" xr:uid="{00000000-0005-0000-0000-0000EE100000}"/>
    <cellStyle name="Currency 2 25 3 3" xfId="4334" xr:uid="{00000000-0005-0000-0000-0000EF100000}"/>
    <cellStyle name="Currency 2 25 4" xfId="4335" xr:uid="{00000000-0005-0000-0000-0000F0100000}"/>
    <cellStyle name="Currency 2 25 4 2" xfId="4336" xr:uid="{00000000-0005-0000-0000-0000F1100000}"/>
    <cellStyle name="Currency 2 25 4 3" xfId="4337" xr:uid="{00000000-0005-0000-0000-0000F2100000}"/>
    <cellStyle name="Currency 2 25 5" xfId="4338" xr:uid="{00000000-0005-0000-0000-0000F3100000}"/>
    <cellStyle name="Currency 2 25 6" xfId="4339" xr:uid="{00000000-0005-0000-0000-0000F4100000}"/>
    <cellStyle name="Currency 2 25 7" xfId="4340" xr:uid="{00000000-0005-0000-0000-0000F5100000}"/>
    <cellStyle name="Currency 2 26" xfId="4341" xr:uid="{00000000-0005-0000-0000-0000F6100000}"/>
    <cellStyle name="Currency 2 26 2" xfId="4342" xr:uid="{00000000-0005-0000-0000-0000F7100000}"/>
    <cellStyle name="Currency 2 26 2 2" xfId="4343" xr:uid="{00000000-0005-0000-0000-0000F8100000}"/>
    <cellStyle name="Currency 2 26 2 2 2" xfId="4344" xr:uid="{00000000-0005-0000-0000-0000F9100000}"/>
    <cellStyle name="Currency 2 26 2 2 3" xfId="4345" xr:uid="{00000000-0005-0000-0000-0000FA100000}"/>
    <cellStyle name="Currency 2 26 2 3" xfId="4346" xr:uid="{00000000-0005-0000-0000-0000FB100000}"/>
    <cellStyle name="Currency 2 26 2 3 2" xfId="4347" xr:uid="{00000000-0005-0000-0000-0000FC100000}"/>
    <cellStyle name="Currency 2 26 2 3 3" xfId="4348" xr:uid="{00000000-0005-0000-0000-0000FD100000}"/>
    <cellStyle name="Currency 2 26 2 4" xfId="4349" xr:uid="{00000000-0005-0000-0000-0000FE100000}"/>
    <cellStyle name="Currency 2 26 2 5" xfId="4350" xr:uid="{00000000-0005-0000-0000-0000FF100000}"/>
    <cellStyle name="Currency 2 26 2 6" xfId="4351" xr:uid="{00000000-0005-0000-0000-000000110000}"/>
    <cellStyle name="Currency 2 26 3" xfId="4352" xr:uid="{00000000-0005-0000-0000-000001110000}"/>
    <cellStyle name="Currency 2 26 3 2" xfId="4353" xr:uid="{00000000-0005-0000-0000-000002110000}"/>
    <cellStyle name="Currency 2 26 3 3" xfId="4354" xr:uid="{00000000-0005-0000-0000-000003110000}"/>
    <cellStyle name="Currency 2 26 4" xfId="4355" xr:uid="{00000000-0005-0000-0000-000004110000}"/>
    <cellStyle name="Currency 2 26 4 2" xfId="4356" xr:uid="{00000000-0005-0000-0000-000005110000}"/>
    <cellStyle name="Currency 2 26 4 3" xfId="4357" xr:uid="{00000000-0005-0000-0000-000006110000}"/>
    <cellStyle name="Currency 2 26 5" xfId="4358" xr:uid="{00000000-0005-0000-0000-000007110000}"/>
    <cellStyle name="Currency 2 26 6" xfId="4359" xr:uid="{00000000-0005-0000-0000-000008110000}"/>
    <cellStyle name="Currency 2 26 7" xfId="4360" xr:uid="{00000000-0005-0000-0000-000009110000}"/>
    <cellStyle name="Currency 2 27" xfId="4361" xr:uid="{00000000-0005-0000-0000-00000A110000}"/>
    <cellStyle name="Currency 2 27 2" xfId="4362" xr:uid="{00000000-0005-0000-0000-00000B110000}"/>
    <cellStyle name="Currency 2 27 2 2" xfId="4363" xr:uid="{00000000-0005-0000-0000-00000C110000}"/>
    <cellStyle name="Currency 2 27 2 2 2" xfId="4364" xr:uid="{00000000-0005-0000-0000-00000D110000}"/>
    <cellStyle name="Currency 2 27 2 2 3" xfId="4365" xr:uid="{00000000-0005-0000-0000-00000E110000}"/>
    <cellStyle name="Currency 2 27 2 3" xfId="4366" xr:uid="{00000000-0005-0000-0000-00000F110000}"/>
    <cellStyle name="Currency 2 27 2 3 2" xfId="4367" xr:uid="{00000000-0005-0000-0000-000010110000}"/>
    <cellStyle name="Currency 2 27 2 3 3" xfId="4368" xr:uid="{00000000-0005-0000-0000-000011110000}"/>
    <cellStyle name="Currency 2 27 2 4" xfId="4369" xr:uid="{00000000-0005-0000-0000-000012110000}"/>
    <cellStyle name="Currency 2 27 2 5" xfId="4370" xr:uid="{00000000-0005-0000-0000-000013110000}"/>
    <cellStyle name="Currency 2 27 2 6" xfId="4371" xr:uid="{00000000-0005-0000-0000-000014110000}"/>
    <cellStyle name="Currency 2 27 3" xfId="4372" xr:uid="{00000000-0005-0000-0000-000015110000}"/>
    <cellStyle name="Currency 2 27 3 2" xfId="4373" xr:uid="{00000000-0005-0000-0000-000016110000}"/>
    <cellStyle name="Currency 2 27 3 3" xfId="4374" xr:uid="{00000000-0005-0000-0000-000017110000}"/>
    <cellStyle name="Currency 2 27 4" xfId="4375" xr:uid="{00000000-0005-0000-0000-000018110000}"/>
    <cellStyle name="Currency 2 27 4 2" xfId="4376" xr:uid="{00000000-0005-0000-0000-000019110000}"/>
    <cellStyle name="Currency 2 27 4 3" xfId="4377" xr:uid="{00000000-0005-0000-0000-00001A110000}"/>
    <cellStyle name="Currency 2 27 5" xfId="4378" xr:uid="{00000000-0005-0000-0000-00001B110000}"/>
    <cellStyle name="Currency 2 27 6" xfId="4379" xr:uid="{00000000-0005-0000-0000-00001C110000}"/>
    <cellStyle name="Currency 2 27 7" xfId="4380" xr:uid="{00000000-0005-0000-0000-00001D110000}"/>
    <cellStyle name="Currency 2 28" xfId="4381" xr:uid="{00000000-0005-0000-0000-00001E110000}"/>
    <cellStyle name="Currency 2 28 2" xfId="4382" xr:uid="{00000000-0005-0000-0000-00001F110000}"/>
    <cellStyle name="Currency 2 28 2 2" xfId="4383" xr:uid="{00000000-0005-0000-0000-000020110000}"/>
    <cellStyle name="Currency 2 28 2 2 2" xfId="4384" xr:uid="{00000000-0005-0000-0000-000021110000}"/>
    <cellStyle name="Currency 2 28 2 2 3" xfId="4385" xr:uid="{00000000-0005-0000-0000-000022110000}"/>
    <cellStyle name="Currency 2 28 2 3" xfId="4386" xr:uid="{00000000-0005-0000-0000-000023110000}"/>
    <cellStyle name="Currency 2 28 2 3 2" xfId="4387" xr:uid="{00000000-0005-0000-0000-000024110000}"/>
    <cellStyle name="Currency 2 28 2 3 3" xfId="4388" xr:uid="{00000000-0005-0000-0000-000025110000}"/>
    <cellStyle name="Currency 2 28 2 4" xfId="4389" xr:uid="{00000000-0005-0000-0000-000026110000}"/>
    <cellStyle name="Currency 2 28 2 5" xfId="4390" xr:uid="{00000000-0005-0000-0000-000027110000}"/>
    <cellStyle name="Currency 2 28 2 6" xfId="4391" xr:uid="{00000000-0005-0000-0000-000028110000}"/>
    <cellStyle name="Currency 2 28 3" xfId="4392" xr:uid="{00000000-0005-0000-0000-000029110000}"/>
    <cellStyle name="Currency 2 28 3 2" xfId="4393" xr:uid="{00000000-0005-0000-0000-00002A110000}"/>
    <cellStyle name="Currency 2 28 3 3" xfId="4394" xr:uid="{00000000-0005-0000-0000-00002B110000}"/>
    <cellStyle name="Currency 2 28 4" xfId="4395" xr:uid="{00000000-0005-0000-0000-00002C110000}"/>
    <cellStyle name="Currency 2 28 4 2" xfId="4396" xr:uid="{00000000-0005-0000-0000-00002D110000}"/>
    <cellStyle name="Currency 2 28 4 3" xfId="4397" xr:uid="{00000000-0005-0000-0000-00002E110000}"/>
    <cellStyle name="Currency 2 28 5" xfId="4398" xr:uid="{00000000-0005-0000-0000-00002F110000}"/>
    <cellStyle name="Currency 2 28 6" xfId="4399" xr:uid="{00000000-0005-0000-0000-000030110000}"/>
    <cellStyle name="Currency 2 28 7" xfId="4400" xr:uid="{00000000-0005-0000-0000-000031110000}"/>
    <cellStyle name="Currency 2 29" xfId="4401" xr:uid="{00000000-0005-0000-0000-000032110000}"/>
    <cellStyle name="Currency 2 29 2" xfId="4402" xr:uid="{00000000-0005-0000-0000-000033110000}"/>
    <cellStyle name="Currency 2 29 2 2" xfId="4403" xr:uid="{00000000-0005-0000-0000-000034110000}"/>
    <cellStyle name="Currency 2 29 2 2 2" xfId="4404" xr:uid="{00000000-0005-0000-0000-000035110000}"/>
    <cellStyle name="Currency 2 29 2 2 3" xfId="4405" xr:uid="{00000000-0005-0000-0000-000036110000}"/>
    <cellStyle name="Currency 2 29 2 3" xfId="4406" xr:uid="{00000000-0005-0000-0000-000037110000}"/>
    <cellStyle name="Currency 2 29 2 3 2" xfId="4407" xr:uid="{00000000-0005-0000-0000-000038110000}"/>
    <cellStyle name="Currency 2 29 2 3 3" xfId="4408" xr:uid="{00000000-0005-0000-0000-000039110000}"/>
    <cellStyle name="Currency 2 29 2 4" xfId="4409" xr:uid="{00000000-0005-0000-0000-00003A110000}"/>
    <cellStyle name="Currency 2 29 2 5" xfId="4410" xr:uid="{00000000-0005-0000-0000-00003B110000}"/>
    <cellStyle name="Currency 2 29 2 6" xfId="4411" xr:uid="{00000000-0005-0000-0000-00003C110000}"/>
    <cellStyle name="Currency 2 29 3" xfId="4412" xr:uid="{00000000-0005-0000-0000-00003D110000}"/>
    <cellStyle name="Currency 2 29 3 2" xfId="4413" xr:uid="{00000000-0005-0000-0000-00003E110000}"/>
    <cellStyle name="Currency 2 29 3 3" xfId="4414" xr:uid="{00000000-0005-0000-0000-00003F110000}"/>
    <cellStyle name="Currency 2 29 4" xfId="4415" xr:uid="{00000000-0005-0000-0000-000040110000}"/>
    <cellStyle name="Currency 2 29 4 2" xfId="4416" xr:uid="{00000000-0005-0000-0000-000041110000}"/>
    <cellStyle name="Currency 2 29 4 3" xfId="4417" xr:uid="{00000000-0005-0000-0000-000042110000}"/>
    <cellStyle name="Currency 2 29 5" xfId="4418" xr:uid="{00000000-0005-0000-0000-000043110000}"/>
    <cellStyle name="Currency 2 29 6" xfId="4419" xr:uid="{00000000-0005-0000-0000-000044110000}"/>
    <cellStyle name="Currency 2 29 7" xfId="4420" xr:uid="{00000000-0005-0000-0000-000045110000}"/>
    <cellStyle name="Currency 2 3" xfId="4421" xr:uid="{00000000-0005-0000-0000-000046110000}"/>
    <cellStyle name="Currency 2 3 2" xfId="4422" xr:uid="{00000000-0005-0000-0000-000047110000}"/>
    <cellStyle name="Currency 2 3 2 2" xfId="4423" xr:uid="{00000000-0005-0000-0000-000048110000}"/>
    <cellStyle name="Currency 2 3 2 2 2" xfId="4424" xr:uid="{00000000-0005-0000-0000-000049110000}"/>
    <cellStyle name="Currency 2 3 2 2 3" xfId="4425" xr:uid="{00000000-0005-0000-0000-00004A110000}"/>
    <cellStyle name="Currency 2 3 2 3" xfId="4426" xr:uid="{00000000-0005-0000-0000-00004B110000}"/>
    <cellStyle name="Currency 2 3 2 3 2" xfId="4427" xr:uid="{00000000-0005-0000-0000-00004C110000}"/>
    <cellStyle name="Currency 2 3 2 3 3" xfId="4428" xr:uid="{00000000-0005-0000-0000-00004D110000}"/>
    <cellStyle name="Currency 2 3 2 4" xfId="4429" xr:uid="{00000000-0005-0000-0000-00004E110000}"/>
    <cellStyle name="Currency 2 3 2 5" xfId="4430" xr:uid="{00000000-0005-0000-0000-00004F110000}"/>
    <cellStyle name="Currency 2 3 2 6" xfId="4431" xr:uid="{00000000-0005-0000-0000-000050110000}"/>
    <cellStyle name="Currency 2 3 3" xfId="4432" xr:uid="{00000000-0005-0000-0000-000051110000}"/>
    <cellStyle name="Currency 2 3 3 2" xfId="4433" xr:uid="{00000000-0005-0000-0000-000052110000}"/>
    <cellStyle name="Currency 2 3 3 3" xfId="4434" xr:uid="{00000000-0005-0000-0000-000053110000}"/>
    <cellStyle name="Currency 2 3 4" xfId="4435" xr:uid="{00000000-0005-0000-0000-000054110000}"/>
    <cellStyle name="Currency 2 3 4 2" xfId="4436" xr:uid="{00000000-0005-0000-0000-000055110000}"/>
    <cellStyle name="Currency 2 3 4 3" xfId="4437" xr:uid="{00000000-0005-0000-0000-000056110000}"/>
    <cellStyle name="Currency 2 3 5" xfId="4438" xr:uid="{00000000-0005-0000-0000-000057110000}"/>
    <cellStyle name="Currency 2 3 6" xfId="4439" xr:uid="{00000000-0005-0000-0000-000058110000}"/>
    <cellStyle name="Currency 2 3 7" xfId="4440" xr:uid="{00000000-0005-0000-0000-000059110000}"/>
    <cellStyle name="Currency 2 30" xfId="4441" xr:uid="{00000000-0005-0000-0000-00005A110000}"/>
    <cellStyle name="Currency 2 30 2" xfId="4442" xr:uid="{00000000-0005-0000-0000-00005B110000}"/>
    <cellStyle name="Currency 2 30 2 2" xfId="4443" xr:uid="{00000000-0005-0000-0000-00005C110000}"/>
    <cellStyle name="Currency 2 30 2 2 2" xfId="4444" xr:uid="{00000000-0005-0000-0000-00005D110000}"/>
    <cellStyle name="Currency 2 30 2 2 3" xfId="4445" xr:uid="{00000000-0005-0000-0000-00005E110000}"/>
    <cellStyle name="Currency 2 30 2 3" xfId="4446" xr:uid="{00000000-0005-0000-0000-00005F110000}"/>
    <cellStyle name="Currency 2 30 2 3 2" xfId="4447" xr:uid="{00000000-0005-0000-0000-000060110000}"/>
    <cellStyle name="Currency 2 30 2 3 3" xfId="4448" xr:uid="{00000000-0005-0000-0000-000061110000}"/>
    <cellStyle name="Currency 2 30 2 4" xfId="4449" xr:uid="{00000000-0005-0000-0000-000062110000}"/>
    <cellStyle name="Currency 2 30 2 5" xfId="4450" xr:uid="{00000000-0005-0000-0000-000063110000}"/>
    <cellStyle name="Currency 2 30 2 6" xfId="4451" xr:uid="{00000000-0005-0000-0000-000064110000}"/>
    <cellStyle name="Currency 2 30 3" xfId="4452" xr:uid="{00000000-0005-0000-0000-000065110000}"/>
    <cellStyle name="Currency 2 30 3 2" xfId="4453" xr:uid="{00000000-0005-0000-0000-000066110000}"/>
    <cellStyle name="Currency 2 30 3 3" xfId="4454" xr:uid="{00000000-0005-0000-0000-000067110000}"/>
    <cellStyle name="Currency 2 30 4" xfId="4455" xr:uid="{00000000-0005-0000-0000-000068110000}"/>
    <cellStyle name="Currency 2 30 4 2" xfId="4456" xr:uid="{00000000-0005-0000-0000-000069110000}"/>
    <cellStyle name="Currency 2 30 4 3" xfId="4457" xr:uid="{00000000-0005-0000-0000-00006A110000}"/>
    <cellStyle name="Currency 2 30 5" xfId="4458" xr:uid="{00000000-0005-0000-0000-00006B110000}"/>
    <cellStyle name="Currency 2 30 6" xfId="4459" xr:uid="{00000000-0005-0000-0000-00006C110000}"/>
    <cellStyle name="Currency 2 30 7" xfId="4460" xr:uid="{00000000-0005-0000-0000-00006D110000}"/>
    <cellStyle name="Currency 2 31" xfId="4461" xr:uid="{00000000-0005-0000-0000-00006E110000}"/>
    <cellStyle name="Currency 2 31 2" xfId="4462" xr:uid="{00000000-0005-0000-0000-00006F110000}"/>
    <cellStyle name="Currency 2 31 2 2" xfId="4463" xr:uid="{00000000-0005-0000-0000-000070110000}"/>
    <cellStyle name="Currency 2 31 2 2 2" xfId="4464" xr:uid="{00000000-0005-0000-0000-000071110000}"/>
    <cellStyle name="Currency 2 31 2 2 3" xfId="4465" xr:uid="{00000000-0005-0000-0000-000072110000}"/>
    <cellStyle name="Currency 2 31 2 3" xfId="4466" xr:uid="{00000000-0005-0000-0000-000073110000}"/>
    <cellStyle name="Currency 2 31 2 3 2" xfId="4467" xr:uid="{00000000-0005-0000-0000-000074110000}"/>
    <cellStyle name="Currency 2 31 2 3 3" xfId="4468" xr:uid="{00000000-0005-0000-0000-000075110000}"/>
    <cellStyle name="Currency 2 31 2 4" xfId="4469" xr:uid="{00000000-0005-0000-0000-000076110000}"/>
    <cellStyle name="Currency 2 31 2 5" xfId="4470" xr:uid="{00000000-0005-0000-0000-000077110000}"/>
    <cellStyle name="Currency 2 31 2 6" xfId="4471" xr:uid="{00000000-0005-0000-0000-000078110000}"/>
    <cellStyle name="Currency 2 31 3" xfId="4472" xr:uid="{00000000-0005-0000-0000-000079110000}"/>
    <cellStyle name="Currency 2 31 3 2" xfId="4473" xr:uid="{00000000-0005-0000-0000-00007A110000}"/>
    <cellStyle name="Currency 2 31 3 3" xfId="4474" xr:uid="{00000000-0005-0000-0000-00007B110000}"/>
    <cellStyle name="Currency 2 31 4" xfId="4475" xr:uid="{00000000-0005-0000-0000-00007C110000}"/>
    <cellStyle name="Currency 2 31 4 2" xfId="4476" xr:uid="{00000000-0005-0000-0000-00007D110000}"/>
    <cellStyle name="Currency 2 31 4 3" xfId="4477" xr:uid="{00000000-0005-0000-0000-00007E110000}"/>
    <cellStyle name="Currency 2 31 5" xfId="4478" xr:uid="{00000000-0005-0000-0000-00007F110000}"/>
    <cellStyle name="Currency 2 31 6" xfId="4479" xr:uid="{00000000-0005-0000-0000-000080110000}"/>
    <cellStyle name="Currency 2 31 7" xfId="4480" xr:uid="{00000000-0005-0000-0000-000081110000}"/>
    <cellStyle name="Currency 2 32" xfId="4481" xr:uid="{00000000-0005-0000-0000-000082110000}"/>
    <cellStyle name="Currency 2 32 2" xfId="4482" xr:uid="{00000000-0005-0000-0000-000083110000}"/>
    <cellStyle name="Currency 2 32 2 2" xfId="4483" xr:uid="{00000000-0005-0000-0000-000084110000}"/>
    <cellStyle name="Currency 2 32 2 2 2" xfId="4484" xr:uid="{00000000-0005-0000-0000-000085110000}"/>
    <cellStyle name="Currency 2 32 2 2 3" xfId="4485" xr:uid="{00000000-0005-0000-0000-000086110000}"/>
    <cellStyle name="Currency 2 32 2 3" xfId="4486" xr:uid="{00000000-0005-0000-0000-000087110000}"/>
    <cellStyle name="Currency 2 32 2 3 2" xfId="4487" xr:uid="{00000000-0005-0000-0000-000088110000}"/>
    <cellStyle name="Currency 2 32 2 3 3" xfId="4488" xr:uid="{00000000-0005-0000-0000-000089110000}"/>
    <cellStyle name="Currency 2 32 2 4" xfId="4489" xr:uid="{00000000-0005-0000-0000-00008A110000}"/>
    <cellStyle name="Currency 2 32 2 5" xfId="4490" xr:uid="{00000000-0005-0000-0000-00008B110000}"/>
    <cellStyle name="Currency 2 32 2 6" xfId="4491" xr:uid="{00000000-0005-0000-0000-00008C110000}"/>
    <cellStyle name="Currency 2 32 3" xfId="4492" xr:uid="{00000000-0005-0000-0000-00008D110000}"/>
    <cellStyle name="Currency 2 32 3 2" xfId="4493" xr:uid="{00000000-0005-0000-0000-00008E110000}"/>
    <cellStyle name="Currency 2 32 3 3" xfId="4494" xr:uid="{00000000-0005-0000-0000-00008F110000}"/>
    <cellStyle name="Currency 2 32 4" xfId="4495" xr:uid="{00000000-0005-0000-0000-000090110000}"/>
    <cellStyle name="Currency 2 32 4 2" xfId="4496" xr:uid="{00000000-0005-0000-0000-000091110000}"/>
    <cellStyle name="Currency 2 32 4 3" xfId="4497" xr:uid="{00000000-0005-0000-0000-000092110000}"/>
    <cellStyle name="Currency 2 32 5" xfId="4498" xr:uid="{00000000-0005-0000-0000-000093110000}"/>
    <cellStyle name="Currency 2 32 6" xfId="4499" xr:uid="{00000000-0005-0000-0000-000094110000}"/>
    <cellStyle name="Currency 2 32 7" xfId="4500" xr:uid="{00000000-0005-0000-0000-000095110000}"/>
    <cellStyle name="Currency 2 33" xfId="4501" xr:uid="{00000000-0005-0000-0000-000096110000}"/>
    <cellStyle name="Currency 2 33 2" xfId="4502" xr:uid="{00000000-0005-0000-0000-000097110000}"/>
    <cellStyle name="Currency 2 33 2 2" xfId="4503" xr:uid="{00000000-0005-0000-0000-000098110000}"/>
    <cellStyle name="Currency 2 33 2 2 2" xfId="4504" xr:uid="{00000000-0005-0000-0000-000099110000}"/>
    <cellStyle name="Currency 2 33 2 2 3" xfId="4505" xr:uid="{00000000-0005-0000-0000-00009A110000}"/>
    <cellStyle name="Currency 2 33 2 3" xfId="4506" xr:uid="{00000000-0005-0000-0000-00009B110000}"/>
    <cellStyle name="Currency 2 33 2 3 2" xfId="4507" xr:uid="{00000000-0005-0000-0000-00009C110000}"/>
    <cellStyle name="Currency 2 33 2 3 3" xfId="4508" xr:uid="{00000000-0005-0000-0000-00009D110000}"/>
    <cellStyle name="Currency 2 33 2 4" xfId="4509" xr:uid="{00000000-0005-0000-0000-00009E110000}"/>
    <cellStyle name="Currency 2 33 2 5" xfId="4510" xr:uid="{00000000-0005-0000-0000-00009F110000}"/>
    <cellStyle name="Currency 2 33 2 6" xfId="4511" xr:uid="{00000000-0005-0000-0000-0000A0110000}"/>
    <cellStyle name="Currency 2 33 3" xfId="4512" xr:uid="{00000000-0005-0000-0000-0000A1110000}"/>
    <cellStyle name="Currency 2 33 3 2" xfId="4513" xr:uid="{00000000-0005-0000-0000-0000A2110000}"/>
    <cellStyle name="Currency 2 33 3 3" xfId="4514" xr:uid="{00000000-0005-0000-0000-0000A3110000}"/>
    <cellStyle name="Currency 2 33 4" xfId="4515" xr:uid="{00000000-0005-0000-0000-0000A4110000}"/>
    <cellStyle name="Currency 2 33 4 2" xfId="4516" xr:uid="{00000000-0005-0000-0000-0000A5110000}"/>
    <cellStyle name="Currency 2 33 4 3" xfId="4517" xr:uid="{00000000-0005-0000-0000-0000A6110000}"/>
    <cellStyle name="Currency 2 33 5" xfId="4518" xr:uid="{00000000-0005-0000-0000-0000A7110000}"/>
    <cellStyle name="Currency 2 33 6" xfId="4519" xr:uid="{00000000-0005-0000-0000-0000A8110000}"/>
    <cellStyle name="Currency 2 33 7" xfId="4520" xr:uid="{00000000-0005-0000-0000-0000A9110000}"/>
    <cellStyle name="Currency 2 34" xfId="4521" xr:uid="{00000000-0005-0000-0000-0000AA110000}"/>
    <cellStyle name="Currency 2 34 2" xfId="4522" xr:uid="{00000000-0005-0000-0000-0000AB110000}"/>
    <cellStyle name="Currency 2 34 2 2" xfId="4523" xr:uid="{00000000-0005-0000-0000-0000AC110000}"/>
    <cellStyle name="Currency 2 34 2 2 2" xfId="4524" xr:uid="{00000000-0005-0000-0000-0000AD110000}"/>
    <cellStyle name="Currency 2 34 2 2 3" xfId="4525" xr:uid="{00000000-0005-0000-0000-0000AE110000}"/>
    <cellStyle name="Currency 2 34 2 3" xfId="4526" xr:uid="{00000000-0005-0000-0000-0000AF110000}"/>
    <cellStyle name="Currency 2 34 2 3 2" xfId="4527" xr:uid="{00000000-0005-0000-0000-0000B0110000}"/>
    <cellStyle name="Currency 2 34 2 3 3" xfId="4528" xr:uid="{00000000-0005-0000-0000-0000B1110000}"/>
    <cellStyle name="Currency 2 34 2 4" xfId="4529" xr:uid="{00000000-0005-0000-0000-0000B2110000}"/>
    <cellStyle name="Currency 2 34 2 5" xfId="4530" xr:uid="{00000000-0005-0000-0000-0000B3110000}"/>
    <cellStyle name="Currency 2 34 2 6" xfId="4531" xr:uid="{00000000-0005-0000-0000-0000B4110000}"/>
    <cellStyle name="Currency 2 34 3" xfId="4532" xr:uid="{00000000-0005-0000-0000-0000B5110000}"/>
    <cellStyle name="Currency 2 34 3 2" xfId="4533" xr:uid="{00000000-0005-0000-0000-0000B6110000}"/>
    <cellStyle name="Currency 2 34 3 3" xfId="4534" xr:uid="{00000000-0005-0000-0000-0000B7110000}"/>
    <cellStyle name="Currency 2 34 4" xfId="4535" xr:uid="{00000000-0005-0000-0000-0000B8110000}"/>
    <cellStyle name="Currency 2 34 4 2" xfId="4536" xr:uid="{00000000-0005-0000-0000-0000B9110000}"/>
    <cellStyle name="Currency 2 34 4 3" xfId="4537" xr:uid="{00000000-0005-0000-0000-0000BA110000}"/>
    <cellStyle name="Currency 2 34 5" xfId="4538" xr:uid="{00000000-0005-0000-0000-0000BB110000}"/>
    <cellStyle name="Currency 2 34 6" xfId="4539" xr:uid="{00000000-0005-0000-0000-0000BC110000}"/>
    <cellStyle name="Currency 2 34 7" xfId="4540" xr:uid="{00000000-0005-0000-0000-0000BD110000}"/>
    <cellStyle name="Currency 2 35" xfId="4541" xr:uid="{00000000-0005-0000-0000-0000BE110000}"/>
    <cellStyle name="Currency 2 35 2" xfId="4542" xr:uid="{00000000-0005-0000-0000-0000BF110000}"/>
    <cellStyle name="Currency 2 35 2 2" xfId="4543" xr:uid="{00000000-0005-0000-0000-0000C0110000}"/>
    <cellStyle name="Currency 2 35 2 2 2" xfId="4544" xr:uid="{00000000-0005-0000-0000-0000C1110000}"/>
    <cellStyle name="Currency 2 35 2 2 3" xfId="4545" xr:uid="{00000000-0005-0000-0000-0000C2110000}"/>
    <cellStyle name="Currency 2 35 2 3" xfId="4546" xr:uid="{00000000-0005-0000-0000-0000C3110000}"/>
    <cellStyle name="Currency 2 35 2 3 2" xfId="4547" xr:uid="{00000000-0005-0000-0000-0000C4110000}"/>
    <cellStyle name="Currency 2 35 2 3 3" xfId="4548" xr:uid="{00000000-0005-0000-0000-0000C5110000}"/>
    <cellStyle name="Currency 2 35 2 4" xfId="4549" xr:uid="{00000000-0005-0000-0000-0000C6110000}"/>
    <cellStyle name="Currency 2 35 2 5" xfId="4550" xr:uid="{00000000-0005-0000-0000-0000C7110000}"/>
    <cellStyle name="Currency 2 35 2 6" xfId="4551" xr:uid="{00000000-0005-0000-0000-0000C8110000}"/>
    <cellStyle name="Currency 2 35 3" xfId="4552" xr:uid="{00000000-0005-0000-0000-0000C9110000}"/>
    <cellStyle name="Currency 2 35 3 2" xfId="4553" xr:uid="{00000000-0005-0000-0000-0000CA110000}"/>
    <cellStyle name="Currency 2 35 3 3" xfId="4554" xr:uid="{00000000-0005-0000-0000-0000CB110000}"/>
    <cellStyle name="Currency 2 35 4" xfId="4555" xr:uid="{00000000-0005-0000-0000-0000CC110000}"/>
    <cellStyle name="Currency 2 35 4 2" xfId="4556" xr:uid="{00000000-0005-0000-0000-0000CD110000}"/>
    <cellStyle name="Currency 2 35 4 3" xfId="4557" xr:uid="{00000000-0005-0000-0000-0000CE110000}"/>
    <cellStyle name="Currency 2 35 5" xfId="4558" xr:uid="{00000000-0005-0000-0000-0000CF110000}"/>
    <cellStyle name="Currency 2 35 6" xfId="4559" xr:uid="{00000000-0005-0000-0000-0000D0110000}"/>
    <cellStyle name="Currency 2 35 7" xfId="4560" xr:uid="{00000000-0005-0000-0000-0000D1110000}"/>
    <cellStyle name="Currency 2 36" xfId="4561" xr:uid="{00000000-0005-0000-0000-0000D2110000}"/>
    <cellStyle name="Currency 2 36 2" xfId="4562" xr:uid="{00000000-0005-0000-0000-0000D3110000}"/>
    <cellStyle name="Currency 2 37" xfId="4563" xr:uid="{00000000-0005-0000-0000-0000D4110000}"/>
    <cellStyle name="Currency 2 37 2" xfId="4564" xr:uid="{00000000-0005-0000-0000-0000D5110000}"/>
    <cellStyle name="Currency 2 37 2 2" xfId="4565" xr:uid="{00000000-0005-0000-0000-0000D6110000}"/>
    <cellStyle name="Currency 2 37 2 3" xfId="4566" xr:uid="{00000000-0005-0000-0000-0000D7110000}"/>
    <cellStyle name="Currency 2 37 3" xfId="4567" xr:uid="{00000000-0005-0000-0000-0000D8110000}"/>
    <cellStyle name="Currency 2 37 3 2" xfId="4568" xr:uid="{00000000-0005-0000-0000-0000D9110000}"/>
    <cellStyle name="Currency 2 37 3 3" xfId="4569" xr:uid="{00000000-0005-0000-0000-0000DA110000}"/>
    <cellStyle name="Currency 2 37 4" xfId="4570" xr:uid="{00000000-0005-0000-0000-0000DB110000}"/>
    <cellStyle name="Currency 2 37 5" xfId="4571" xr:uid="{00000000-0005-0000-0000-0000DC110000}"/>
    <cellStyle name="Currency 2 37 6" xfId="4572" xr:uid="{00000000-0005-0000-0000-0000DD110000}"/>
    <cellStyle name="Currency 2 38" xfId="4573" xr:uid="{00000000-0005-0000-0000-0000DE110000}"/>
    <cellStyle name="Currency 2 38 2" xfId="4574" xr:uid="{00000000-0005-0000-0000-0000DF110000}"/>
    <cellStyle name="Currency 2 38 3" xfId="4575" xr:uid="{00000000-0005-0000-0000-0000E0110000}"/>
    <cellStyle name="Currency 2 38 4" xfId="4576" xr:uid="{00000000-0005-0000-0000-0000E1110000}"/>
    <cellStyle name="Currency 2 39" xfId="4577" xr:uid="{00000000-0005-0000-0000-0000E2110000}"/>
    <cellStyle name="Currency 2 39 2" xfId="4578" xr:uid="{00000000-0005-0000-0000-0000E3110000}"/>
    <cellStyle name="Currency 2 39 3" xfId="4579" xr:uid="{00000000-0005-0000-0000-0000E4110000}"/>
    <cellStyle name="Currency 2 4" xfId="4580" xr:uid="{00000000-0005-0000-0000-0000E5110000}"/>
    <cellStyle name="Currency 2 4 2" xfId="4581" xr:uid="{00000000-0005-0000-0000-0000E6110000}"/>
    <cellStyle name="Currency 2 4 2 2" xfId="4582" xr:uid="{00000000-0005-0000-0000-0000E7110000}"/>
    <cellStyle name="Currency 2 4 2 2 2" xfId="4583" xr:uid="{00000000-0005-0000-0000-0000E8110000}"/>
    <cellStyle name="Currency 2 4 2 2 3" xfId="4584" xr:uid="{00000000-0005-0000-0000-0000E9110000}"/>
    <cellStyle name="Currency 2 4 2 3" xfId="4585" xr:uid="{00000000-0005-0000-0000-0000EA110000}"/>
    <cellStyle name="Currency 2 4 2 3 2" xfId="4586" xr:uid="{00000000-0005-0000-0000-0000EB110000}"/>
    <cellStyle name="Currency 2 4 2 3 3" xfId="4587" xr:uid="{00000000-0005-0000-0000-0000EC110000}"/>
    <cellStyle name="Currency 2 4 2 4" xfId="4588" xr:uid="{00000000-0005-0000-0000-0000ED110000}"/>
    <cellStyle name="Currency 2 4 2 5" xfId="4589" xr:uid="{00000000-0005-0000-0000-0000EE110000}"/>
    <cellStyle name="Currency 2 4 2 6" xfId="4590" xr:uid="{00000000-0005-0000-0000-0000EF110000}"/>
    <cellStyle name="Currency 2 4 3" xfId="4591" xr:uid="{00000000-0005-0000-0000-0000F0110000}"/>
    <cellStyle name="Currency 2 4 3 2" xfId="4592" xr:uid="{00000000-0005-0000-0000-0000F1110000}"/>
    <cellStyle name="Currency 2 4 3 3" xfId="4593" xr:uid="{00000000-0005-0000-0000-0000F2110000}"/>
    <cellStyle name="Currency 2 4 4" xfId="4594" xr:uid="{00000000-0005-0000-0000-0000F3110000}"/>
    <cellStyle name="Currency 2 4 4 2" xfId="4595" xr:uid="{00000000-0005-0000-0000-0000F4110000}"/>
    <cellStyle name="Currency 2 4 4 3" xfId="4596" xr:uid="{00000000-0005-0000-0000-0000F5110000}"/>
    <cellStyle name="Currency 2 4 5" xfId="4597" xr:uid="{00000000-0005-0000-0000-0000F6110000}"/>
    <cellStyle name="Currency 2 4 6" xfId="4598" xr:uid="{00000000-0005-0000-0000-0000F7110000}"/>
    <cellStyle name="Currency 2 4 7" xfId="4599" xr:uid="{00000000-0005-0000-0000-0000F8110000}"/>
    <cellStyle name="Currency 2 40" xfId="4600" xr:uid="{00000000-0005-0000-0000-0000F9110000}"/>
    <cellStyle name="Currency 2 40 2" xfId="4601" xr:uid="{00000000-0005-0000-0000-0000FA110000}"/>
    <cellStyle name="Currency 2 40 3" xfId="4602" xr:uid="{00000000-0005-0000-0000-0000FB110000}"/>
    <cellStyle name="Currency 2 41" xfId="4603" xr:uid="{00000000-0005-0000-0000-0000FC110000}"/>
    <cellStyle name="Currency 2 42" xfId="4604" xr:uid="{00000000-0005-0000-0000-0000FD110000}"/>
    <cellStyle name="Currency 2 43" xfId="4605" xr:uid="{00000000-0005-0000-0000-0000FE110000}"/>
    <cellStyle name="Currency 2 5" xfId="4606" xr:uid="{00000000-0005-0000-0000-0000FF110000}"/>
    <cellStyle name="Currency 2 5 2" xfId="4607" xr:uid="{00000000-0005-0000-0000-000000120000}"/>
    <cellStyle name="Currency 2 5 2 2" xfId="4608" xr:uid="{00000000-0005-0000-0000-000001120000}"/>
    <cellStyle name="Currency 2 5 2 2 2" xfId="4609" xr:uid="{00000000-0005-0000-0000-000002120000}"/>
    <cellStyle name="Currency 2 5 2 2 3" xfId="4610" xr:uid="{00000000-0005-0000-0000-000003120000}"/>
    <cellStyle name="Currency 2 5 2 3" xfId="4611" xr:uid="{00000000-0005-0000-0000-000004120000}"/>
    <cellStyle name="Currency 2 5 2 3 2" xfId="4612" xr:uid="{00000000-0005-0000-0000-000005120000}"/>
    <cellStyle name="Currency 2 5 2 3 3" xfId="4613" xr:uid="{00000000-0005-0000-0000-000006120000}"/>
    <cellStyle name="Currency 2 5 2 4" xfId="4614" xr:uid="{00000000-0005-0000-0000-000007120000}"/>
    <cellStyle name="Currency 2 5 2 5" xfId="4615" xr:uid="{00000000-0005-0000-0000-000008120000}"/>
    <cellStyle name="Currency 2 5 2 6" xfId="4616" xr:uid="{00000000-0005-0000-0000-000009120000}"/>
    <cellStyle name="Currency 2 5 3" xfId="4617" xr:uid="{00000000-0005-0000-0000-00000A120000}"/>
    <cellStyle name="Currency 2 5 3 2" xfId="4618" xr:uid="{00000000-0005-0000-0000-00000B120000}"/>
    <cellStyle name="Currency 2 5 3 3" xfId="4619" xr:uid="{00000000-0005-0000-0000-00000C120000}"/>
    <cellStyle name="Currency 2 5 4" xfId="4620" xr:uid="{00000000-0005-0000-0000-00000D120000}"/>
    <cellStyle name="Currency 2 5 4 2" xfId="4621" xr:uid="{00000000-0005-0000-0000-00000E120000}"/>
    <cellStyle name="Currency 2 5 4 3" xfId="4622" xr:uid="{00000000-0005-0000-0000-00000F120000}"/>
    <cellStyle name="Currency 2 5 5" xfId="4623" xr:uid="{00000000-0005-0000-0000-000010120000}"/>
    <cellStyle name="Currency 2 5 6" xfId="4624" xr:uid="{00000000-0005-0000-0000-000011120000}"/>
    <cellStyle name="Currency 2 5 7" xfId="4625" xr:uid="{00000000-0005-0000-0000-000012120000}"/>
    <cellStyle name="Currency 2 6" xfId="4626" xr:uid="{00000000-0005-0000-0000-000013120000}"/>
    <cellStyle name="Currency 2 6 2" xfId="4627" xr:uid="{00000000-0005-0000-0000-000014120000}"/>
    <cellStyle name="Currency 2 6 2 2" xfId="4628" xr:uid="{00000000-0005-0000-0000-000015120000}"/>
    <cellStyle name="Currency 2 6 2 2 2" xfId="4629" xr:uid="{00000000-0005-0000-0000-000016120000}"/>
    <cellStyle name="Currency 2 6 2 2 3" xfId="4630" xr:uid="{00000000-0005-0000-0000-000017120000}"/>
    <cellStyle name="Currency 2 6 2 3" xfId="4631" xr:uid="{00000000-0005-0000-0000-000018120000}"/>
    <cellStyle name="Currency 2 6 2 3 2" xfId="4632" xr:uid="{00000000-0005-0000-0000-000019120000}"/>
    <cellStyle name="Currency 2 6 2 3 3" xfId="4633" xr:uid="{00000000-0005-0000-0000-00001A120000}"/>
    <cellStyle name="Currency 2 6 2 4" xfId="4634" xr:uid="{00000000-0005-0000-0000-00001B120000}"/>
    <cellStyle name="Currency 2 6 2 5" xfId="4635" xr:uid="{00000000-0005-0000-0000-00001C120000}"/>
    <cellStyle name="Currency 2 6 2 6" xfId="4636" xr:uid="{00000000-0005-0000-0000-00001D120000}"/>
    <cellStyle name="Currency 2 6 3" xfId="4637" xr:uid="{00000000-0005-0000-0000-00001E120000}"/>
    <cellStyle name="Currency 2 6 3 2" xfId="4638" xr:uid="{00000000-0005-0000-0000-00001F120000}"/>
    <cellStyle name="Currency 2 6 3 3" xfId="4639" xr:uid="{00000000-0005-0000-0000-000020120000}"/>
    <cellStyle name="Currency 2 6 4" xfId="4640" xr:uid="{00000000-0005-0000-0000-000021120000}"/>
    <cellStyle name="Currency 2 6 4 2" xfId="4641" xr:uid="{00000000-0005-0000-0000-000022120000}"/>
    <cellStyle name="Currency 2 6 4 3" xfId="4642" xr:uid="{00000000-0005-0000-0000-000023120000}"/>
    <cellStyle name="Currency 2 6 5" xfId="4643" xr:uid="{00000000-0005-0000-0000-000024120000}"/>
    <cellStyle name="Currency 2 6 6" xfId="4644" xr:uid="{00000000-0005-0000-0000-000025120000}"/>
    <cellStyle name="Currency 2 6 7" xfId="4645" xr:uid="{00000000-0005-0000-0000-000026120000}"/>
    <cellStyle name="Currency 2 7" xfId="4646" xr:uid="{00000000-0005-0000-0000-000027120000}"/>
    <cellStyle name="Currency 2 7 2" xfId="4647" xr:uid="{00000000-0005-0000-0000-000028120000}"/>
    <cellStyle name="Currency 2 7 2 2" xfId="4648" xr:uid="{00000000-0005-0000-0000-000029120000}"/>
    <cellStyle name="Currency 2 7 2 2 2" xfId="4649" xr:uid="{00000000-0005-0000-0000-00002A120000}"/>
    <cellStyle name="Currency 2 7 2 2 3" xfId="4650" xr:uid="{00000000-0005-0000-0000-00002B120000}"/>
    <cellStyle name="Currency 2 7 2 3" xfId="4651" xr:uid="{00000000-0005-0000-0000-00002C120000}"/>
    <cellStyle name="Currency 2 7 2 3 2" xfId="4652" xr:uid="{00000000-0005-0000-0000-00002D120000}"/>
    <cellStyle name="Currency 2 7 2 3 3" xfId="4653" xr:uid="{00000000-0005-0000-0000-00002E120000}"/>
    <cellStyle name="Currency 2 7 2 4" xfId="4654" xr:uid="{00000000-0005-0000-0000-00002F120000}"/>
    <cellStyle name="Currency 2 7 2 5" xfId="4655" xr:uid="{00000000-0005-0000-0000-000030120000}"/>
    <cellStyle name="Currency 2 7 2 6" xfId="4656" xr:uid="{00000000-0005-0000-0000-000031120000}"/>
    <cellStyle name="Currency 2 7 3" xfId="4657" xr:uid="{00000000-0005-0000-0000-000032120000}"/>
    <cellStyle name="Currency 2 7 3 2" xfId="4658" xr:uid="{00000000-0005-0000-0000-000033120000}"/>
    <cellStyle name="Currency 2 7 3 3" xfId="4659" xr:uid="{00000000-0005-0000-0000-000034120000}"/>
    <cellStyle name="Currency 2 7 4" xfId="4660" xr:uid="{00000000-0005-0000-0000-000035120000}"/>
    <cellStyle name="Currency 2 7 4 2" xfId="4661" xr:uid="{00000000-0005-0000-0000-000036120000}"/>
    <cellStyle name="Currency 2 7 4 3" xfId="4662" xr:uid="{00000000-0005-0000-0000-000037120000}"/>
    <cellStyle name="Currency 2 7 5" xfId="4663" xr:uid="{00000000-0005-0000-0000-000038120000}"/>
    <cellStyle name="Currency 2 7 6" xfId="4664" xr:uid="{00000000-0005-0000-0000-000039120000}"/>
    <cellStyle name="Currency 2 7 7" xfId="4665" xr:uid="{00000000-0005-0000-0000-00003A120000}"/>
    <cellStyle name="Currency 2 8" xfId="4666" xr:uid="{00000000-0005-0000-0000-00003B120000}"/>
    <cellStyle name="Currency 2 8 2" xfId="4667" xr:uid="{00000000-0005-0000-0000-00003C120000}"/>
    <cellStyle name="Currency 2 8 2 2" xfId="4668" xr:uid="{00000000-0005-0000-0000-00003D120000}"/>
    <cellStyle name="Currency 2 8 2 2 2" xfId="4669" xr:uid="{00000000-0005-0000-0000-00003E120000}"/>
    <cellStyle name="Currency 2 8 2 2 3" xfId="4670" xr:uid="{00000000-0005-0000-0000-00003F120000}"/>
    <cellStyle name="Currency 2 8 2 3" xfId="4671" xr:uid="{00000000-0005-0000-0000-000040120000}"/>
    <cellStyle name="Currency 2 8 2 3 2" xfId="4672" xr:uid="{00000000-0005-0000-0000-000041120000}"/>
    <cellStyle name="Currency 2 8 2 3 3" xfId="4673" xr:uid="{00000000-0005-0000-0000-000042120000}"/>
    <cellStyle name="Currency 2 8 2 4" xfId="4674" xr:uid="{00000000-0005-0000-0000-000043120000}"/>
    <cellStyle name="Currency 2 8 2 5" xfId="4675" xr:uid="{00000000-0005-0000-0000-000044120000}"/>
    <cellStyle name="Currency 2 8 2 6" xfId="4676" xr:uid="{00000000-0005-0000-0000-000045120000}"/>
    <cellStyle name="Currency 2 8 3" xfId="4677" xr:uid="{00000000-0005-0000-0000-000046120000}"/>
    <cellStyle name="Currency 2 8 3 2" xfId="4678" xr:uid="{00000000-0005-0000-0000-000047120000}"/>
    <cellStyle name="Currency 2 8 3 3" xfId="4679" xr:uid="{00000000-0005-0000-0000-000048120000}"/>
    <cellStyle name="Currency 2 8 4" xfId="4680" xr:uid="{00000000-0005-0000-0000-000049120000}"/>
    <cellStyle name="Currency 2 8 4 2" xfId="4681" xr:uid="{00000000-0005-0000-0000-00004A120000}"/>
    <cellStyle name="Currency 2 8 4 3" xfId="4682" xr:uid="{00000000-0005-0000-0000-00004B120000}"/>
    <cellStyle name="Currency 2 8 5" xfId="4683" xr:uid="{00000000-0005-0000-0000-00004C120000}"/>
    <cellStyle name="Currency 2 8 6" xfId="4684" xr:uid="{00000000-0005-0000-0000-00004D120000}"/>
    <cellStyle name="Currency 2 8 7" xfId="4685" xr:uid="{00000000-0005-0000-0000-00004E120000}"/>
    <cellStyle name="Currency 2 9" xfId="4686" xr:uid="{00000000-0005-0000-0000-00004F120000}"/>
    <cellStyle name="Currency 2 9 2" xfId="4687" xr:uid="{00000000-0005-0000-0000-000050120000}"/>
    <cellStyle name="Currency 2 9 2 2" xfId="4688" xr:uid="{00000000-0005-0000-0000-000051120000}"/>
    <cellStyle name="Currency 2 9 2 2 2" xfId="4689" xr:uid="{00000000-0005-0000-0000-000052120000}"/>
    <cellStyle name="Currency 2 9 2 2 3" xfId="4690" xr:uid="{00000000-0005-0000-0000-000053120000}"/>
    <cellStyle name="Currency 2 9 2 3" xfId="4691" xr:uid="{00000000-0005-0000-0000-000054120000}"/>
    <cellStyle name="Currency 2 9 2 3 2" xfId="4692" xr:uid="{00000000-0005-0000-0000-000055120000}"/>
    <cellStyle name="Currency 2 9 2 3 3" xfId="4693" xr:uid="{00000000-0005-0000-0000-000056120000}"/>
    <cellStyle name="Currency 2 9 2 4" xfId="4694" xr:uid="{00000000-0005-0000-0000-000057120000}"/>
    <cellStyle name="Currency 2 9 2 5" xfId="4695" xr:uid="{00000000-0005-0000-0000-000058120000}"/>
    <cellStyle name="Currency 2 9 2 6" xfId="4696" xr:uid="{00000000-0005-0000-0000-000059120000}"/>
    <cellStyle name="Currency 2 9 3" xfId="4697" xr:uid="{00000000-0005-0000-0000-00005A120000}"/>
    <cellStyle name="Currency 2 9 3 2" xfId="4698" xr:uid="{00000000-0005-0000-0000-00005B120000}"/>
    <cellStyle name="Currency 2 9 3 3" xfId="4699" xr:uid="{00000000-0005-0000-0000-00005C120000}"/>
    <cellStyle name="Currency 2 9 4" xfId="4700" xr:uid="{00000000-0005-0000-0000-00005D120000}"/>
    <cellStyle name="Currency 2 9 4 2" xfId="4701" xr:uid="{00000000-0005-0000-0000-00005E120000}"/>
    <cellStyle name="Currency 2 9 4 3" xfId="4702" xr:uid="{00000000-0005-0000-0000-00005F120000}"/>
    <cellStyle name="Currency 2 9 5" xfId="4703" xr:uid="{00000000-0005-0000-0000-000060120000}"/>
    <cellStyle name="Currency 2 9 6" xfId="4704" xr:uid="{00000000-0005-0000-0000-000061120000}"/>
    <cellStyle name="Currency 2 9 7" xfId="4705" xr:uid="{00000000-0005-0000-0000-000062120000}"/>
    <cellStyle name="Currency 20" xfId="4706" xr:uid="{00000000-0005-0000-0000-000063120000}"/>
    <cellStyle name="Currency 20 2" xfId="4707" xr:uid="{00000000-0005-0000-0000-000064120000}"/>
    <cellStyle name="Currency 20 2 2" xfId="4708" xr:uid="{00000000-0005-0000-0000-000065120000}"/>
    <cellStyle name="Currency 20 2 3" xfId="4709" xr:uid="{00000000-0005-0000-0000-000066120000}"/>
    <cellStyle name="Currency 20 3" xfId="4710" xr:uid="{00000000-0005-0000-0000-000067120000}"/>
    <cellStyle name="Currency 20 3 2" xfId="4711" xr:uid="{00000000-0005-0000-0000-000068120000}"/>
    <cellStyle name="Currency 20 3 3" xfId="4712" xr:uid="{00000000-0005-0000-0000-000069120000}"/>
    <cellStyle name="Currency 20 4" xfId="4713" xr:uid="{00000000-0005-0000-0000-00006A120000}"/>
    <cellStyle name="Currency 20 5" xfId="4714" xr:uid="{00000000-0005-0000-0000-00006B120000}"/>
    <cellStyle name="Currency 20 6" xfId="4715" xr:uid="{00000000-0005-0000-0000-00006C120000}"/>
    <cellStyle name="Currency 21" xfId="4716" xr:uid="{00000000-0005-0000-0000-00006D120000}"/>
    <cellStyle name="Currency 21 2" xfId="4717" xr:uid="{00000000-0005-0000-0000-00006E120000}"/>
    <cellStyle name="Currency 21 3" xfId="4718" xr:uid="{00000000-0005-0000-0000-00006F120000}"/>
    <cellStyle name="Currency 21 4" xfId="4719" xr:uid="{00000000-0005-0000-0000-000070120000}"/>
    <cellStyle name="Currency 22" xfId="4720" xr:uid="{00000000-0005-0000-0000-000071120000}"/>
    <cellStyle name="Currency 22 2" xfId="4721" xr:uid="{00000000-0005-0000-0000-000072120000}"/>
    <cellStyle name="Currency 22 3" xfId="4722" xr:uid="{00000000-0005-0000-0000-000073120000}"/>
    <cellStyle name="Currency 22 4" xfId="4723" xr:uid="{00000000-0005-0000-0000-000074120000}"/>
    <cellStyle name="Currency 23" xfId="4724" xr:uid="{00000000-0005-0000-0000-000075120000}"/>
    <cellStyle name="Currency 23 2" xfId="4725" xr:uid="{00000000-0005-0000-0000-000076120000}"/>
    <cellStyle name="Currency 23 3" xfId="4726" xr:uid="{00000000-0005-0000-0000-000077120000}"/>
    <cellStyle name="Currency 24" xfId="4727" xr:uid="{00000000-0005-0000-0000-000078120000}"/>
    <cellStyle name="Currency 25" xfId="4728" xr:uid="{00000000-0005-0000-0000-000079120000}"/>
    <cellStyle name="Currency 26" xfId="4729" xr:uid="{00000000-0005-0000-0000-00007A120000}"/>
    <cellStyle name="Currency 26 2" xfId="4730" xr:uid="{00000000-0005-0000-0000-00007B120000}"/>
    <cellStyle name="Currency 3" xfId="4731" xr:uid="{00000000-0005-0000-0000-00007C120000}"/>
    <cellStyle name="Currency 3 2" xfId="4732" xr:uid="{00000000-0005-0000-0000-00007D120000}"/>
    <cellStyle name="Currency 3 2 2" xfId="4733" xr:uid="{00000000-0005-0000-0000-00007E120000}"/>
    <cellStyle name="Currency 3 2 2 2" xfId="4734" xr:uid="{00000000-0005-0000-0000-00007F120000}"/>
    <cellStyle name="Currency 3 2 2 2 2" xfId="4735" xr:uid="{00000000-0005-0000-0000-000080120000}"/>
    <cellStyle name="Currency 3 2 2 2 3" xfId="4736" xr:uid="{00000000-0005-0000-0000-000081120000}"/>
    <cellStyle name="Currency 3 2 2 3" xfId="4737" xr:uid="{00000000-0005-0000-0000-000082120000}"/>
    <cellStyle name="Currency 3 2 2 3 2" xfId="4738" xr:uid="{00000000-0005-0000-0000-000083120000}"/>
    <cellStyle name="Currency 3 2 2 3 3" xfId="4739" xr:uid="{00000000-0005-0000-0000-000084120000}"/>
    <cellStyle name="Currency 3 2 2 4" xfId="4740" xr:uid="{00000000-0005-0000-0000-000085120000}"/>
    <cellStyle name="Currency 3 2 2 5" xfId="4741" xr:uid="{00000000-0005-0000-0000-000086120000}"/>
    <cellStyle name="Currency 3 2 2 6" xfId="4742" xr:uid="{00000000-0005-0000-0000-000087120000}"/>
    <cellStyle name="Currency 3 2 3" xfId="4743" xr:uid="{00000000-0005-0000-0000-000088120000}"/>
    <cellStyle name="Currency 3 2 3 2" xfId="4744" xr:uid="{00000000-0005-0000-0000-000089120000}"/>
    <cellStyle name="Currency 3 2 3 3" xfId="4745" xr:uid="{00000000-0005-0000-0000-00008A120000}"/>
    <cellStyle name="Currency 3 2 4" xfId="4746" xr:uid="{00000000-0005-0000-0000-00008B120000}"/>
    <cellStyle name="Currency 3 2 4 2" xfId="4747" xr:uid="{00000000-0005-0000-0000-00008C120000}"/>
    <cellStyle name="Currency 3 2 4 3" xfId="4748" xr:uid="{00000000-0005-0000-0000-00008D120000}"/>
    <cellStyle name="Currency 3 2 5" xfId="4749" xr:uid="{00000000-0005-0000-0000-00008E120000}"/>
    <cellStyle name="Currency 3 2 6" xfId="4750" xr:uid="{00000000-0005-0000-0000-00008F120000}"/>
    <cellStyle name="Currency 3 2 7" xfId="4751" xr:uid="{00000000-0005-0000-0000-000090120000}"/>
    <cellStyle name="Currency 3 3" xfId="4752" xr:uid="{00000000-0005-0000-0000-000091120000}"/>
    <cellStyle name="Currency 3 3 2" xfId="4753" xr:uid="{00000000-0005-0000-0000-000092120000}"/>
    <cellStyle name="Currency 3 3 2 2" xfId="4754" xr:uid="{00000000-0005-0000-0000-000093120000}"/>
    <cellStyle name="Currency 3 3 2 3" xfId="4755" xr:uid="{00000000-0005-0000-0000-000094120000}"/>
    <cellStyle name="Currency 3 3 3" xfId="4756" xr:uid="{00000000-0005-0000-0000-000095120000}"/>
    <cellStyle name="Currency 3 3 3 2" xfId="4757" xr:uid="{00000000-0005-0000-0000-000096120000}"/>
    <cellStyle name="Currency 3 3 3 3" xfId="4758" xr:uid="{00000000-0005-0000-0000-000097120000}"/>
    <cellStyle name="Currency 3 3 4" xfId="4759" xr:uid="{00000000-0005-0000-0000-000098120000}"/>
    <cellStyle name="Currency 3 3 5" xfId="4760" xr:uid="{00000000-0005-0000-0000-000099120000}"/>
    <cellStyle name="Currency 3 3 6" xfId="4761" xr:uid="{00000000-0005-0000-0000-00009A120000}"/>
    <cellStyle name="Currency 3 4" xfId="4762" xr:uid="{00000000-0005-0000-0000-00009B120000}"/>
    <cellStyle name="Currency 3 4 2" xfId="4763" xr:uid="{00000000-0005-0000-0000-00009C120000}"/>
    <cellStyle name="Currency 3 4 3" xfId="4764" xr:uid="{00000000-0005-0000-0000-00009D120000}"/>
    <cellStyle name="Currency 3 5" xfId="4765" xr:uid="{00000000-0005-0000-0000-00009E120000}"/>
    <cellStyle name="Currency 3 5 2" xfId="4766" xr:uid="{00000000-0005-0000-0000-00009F120000}"/>
    <cellStyle name="Currency 3 5 3" xfId="4767" xr:uid="{00000000-0005-0000-0000-0000A0120000}"/>
    <cellStyle name="Currency 3 6" xfId="4768" xr:uid="{00000000-0005-0000-0000-0000A1120000}"/>
    <cellStyle name="Currency 3 7" xfId="4769" xr:uid="{00000000-0005-0000-0000-0000A2120000}"/>
    <cellStyle name="Currency 3 8" xfId="4770" xr:uid="{00000000-0005-0000-0000-0000A3120000}"/>
    <cellStyle name="Currency 33" xfId="54713" xr:uid="{206E4218-523B-40F3-9672-3F19835E03AE}"/>
    <cellStyle name="Currency 4" xfId="4771" xr:uid="{00000000-0005-0000-0000-0000A4120000}"/>
    <cellStyle name="Currency 4 2" xfId="4772" xr:uid="{00000000-0005-0000-0000-0000A5120000}"/>
    <cellStyle name="Currency 4 2 2" xfId="4773" xr:uid="{00000000-0005-0000-0000-0000A6120000}"/>
    <cellStyle name="Currency 4 2 2 2" xfId="4774" xr:uid="{00000000-0005-0000-0000-0000A7120000}"/>
    <cellStyle name="Currency 4 2 2 2 2" xfId="4775" xr:uid="{00000000-0005-0000-0000-0000A8120000}"/>
    <cellStyle name="Currency 4 2 2 2 3" xfId="4776" xr:uid="{00000000-0005-0000-0000-0000A9120000}"/>
    <cellStyle name="Currency 4 2 2 3" xfId="4777" xr:uid="{00000000-0005-0000-0000-0000AA120000}"/>
    <cellStyle name="Currency 4 2 2 3 2" xfId="4778" xr:uid="{00000000-0005-0000-0000-0000AB120000}"/>
    <cellStyle name="Currency 4 2 2 3 3" xfId="4779" xr:uid="{00000000-0005-0000-0000-0000AC120000}"/>
    <cellStyle name="Currency 4 2 2 4" xfId="4780" xr:uid="{00000000-0005-0000-0000-0000AD120000}"/>
    <cellStyle name="Currency 4 2 2 5" xfId="4781" xr:uid="{00000000-0005-0000-0000-0000AE120000}"/>
    <cellStyle name="Currency 4 2 2 6" xfId="4782" xr:uid="{00000000-0005-0000-0000-0000AF120000}"/>
    <cellStyle name="Currency 4 2 3" xfId="4783" xr:uid="{00000000-0005-0000-0000-0000B0120000}"/>
    <cellStyle name="Currency 4 2 3 2" xfId="4784" xr:uid="{00000000-0005-0000-0000-0000B1120000}"/>
    <cellStyle name="Currency 4 2 3 3" xfId="4785" xr:uid="{00000000-0005-0000-0000-0000B2120000}"/>
    <cellStyle name="Currency 4 2 4" xfId="4786" xr:uid="{00000000-0005-0000-0000-0000B3120000}"/>
    <cellStyle name="Currency 4 2 4 2" xfId="4787" xr:uid="{00000000-0005-0000-0000-0000B4120000}"/>
    <cellStyle name="Currency 4 2 4 3" xfId="4788" xr:uid="{00000000-0005-0000-0000-0000B5120000}"/>
    <cellStyle name="Currency 4 2 5" xfId="4789" xr:uid="{00000000-0005-0000-0000-0000B6120000}"/>
    <cellStyle name="Currency 4 2 6" xfId="4790" xr:uid="{00000000-0005-0000-0000-0000B7120000}"/>
    <cellStyle name="Currency 4 2 7" xfId="4791" xr:uid="{00000000-0005-0000-0000-0000B8120000}"/>
    <cellStyle name="Currency 4 3" xfId="4792" xr:uid="{00000000-0005-0000-0000-0000B9120000}"/>
    <cellStyle name="Currency 4 3 2" xfId="4793" xr:uid="{00000000-0005-0000-0000-0000BA120000}"/>
    <cellStyle name="Currency 4 3 2 2" xfId="4794" xr:uid="{00000000-0005-0000-0000-0000BB120000}"/>
    <cellStyle name="Currency 4 3 2 3" xfId="4795" xr:uid="{00000000-0005-0000-0000-0000BC120000}"/>
    <cellStyle name="Currency 4 3 3" xfId="4796" xr:uid="{00000000-0005-0000-0000-0000BD120000}"/>
    <cellStyle name="Currency 4 3 3 2" xfId="4797" xr:uid="{00000000-0005-0000-0000-0000BE120000}"/>
    <cellStyle name="Currency 4 3 3 3" xfId="4798" xr:uid="{00000000-0005-0000-0000-0000BF120000}"/>
    <cellStyle name="Currency 4 3 4" xfId="4799" xr:uid="{00000000-0005-0000-0000-0000C0120000}"/>
    <cellStyle name="Currency 4 3 5" xfId="4800" xr:uid="{00000000-0005-0000-0000-0000C1120000}"/>
    <cellStyle name="Currency 4 3 6" xfId="4801" xr:uid="{00000000-0005-0000-0000-0000C2120000}"/>
    <cellStyle name="Currency 4 4" xfId="4802" xr:uid="{00000000-0005-0000-0000-0000C3120000}"/>
    <cellStyle name="Currency 4 4 2" xfId="4803" xr:uid="{00000000-0005-0000-0000-0000C4120000}"/>
    <cellStyle name="Currency 4 4 3" xfId="4804" xr:uid="{00000000-0005-0000-0000-0000C5120000}"/>
    <cellStyle name="Currency 4 5" xfId="4805" xr:uid="{00000000-0005-0000-0000-0000C6120000}"/>
    <cellStyle name="Currency 4 5 2" xfId="4806" xr:uid="{00000000-0005-0000-0000-0000C7120000}"/>
    <cellStyle name="Currency 4 5 3" xfId="4807" xr:uid="{00000000-0005-0000-0000-0000C8120000}"/>
    <cellStyle name="Currency 4 6" xfId="4808" xr:uid="{00000000-0005-0000-0000-0000C9120000}"/>
    <cellStyle name="Currency 4 7" xfId="4809" xr:uid="{00000000-0005-0000-0000-0000CA120000}"/>
    <cellStyle name="Currency 4 8" xfId="4810" xr:uid="{00000000-0005-0000-0000-0000CB120000}"/>
    <cellStyle name="Currency 5" xfId="4811" xr:uid="{00000000-0005-0000-0000-0000CC120000}"/>
    <cellStyle name="Currency 5 2" xfId="4812" xr:uid="{00000000-0005-0000-0000-0000CD120000}"/>
    <cellStyle name="Currency 5 2 2" xfId="4813" xr:uid="{00000000-0005-0000-0000-0000CE120000}"/>
    <cellStyle name="Currency 5 2 2 2" xfId="4814" xr:uid="{00000000-0005-0000-0000-0000CF120000}"/>
    <cellStyle name="Currency 5 2 2 2 2" xfId="4815" xr:uid="{00000000-0005-0000-0000-0000D0120000}"/>
    <cellStyle name="Currency 5 2 2 2 3" xfId="4816" xr:uid="{00000000-0005-0000-0000-0000D1120000}"/>
    <cellStyle name="Currency 5 2 2 3" xfId="4817" xr:uid="{00000000-0005-0000-0000-0000D2120000}"/>
    <cellStyle name="Currency 5 2 2 3 2" xfId="4818" xr:uid="{00000000-0005-0000-0000-0000D3120000}"/>
    <cellStyle name="Currency 5 2 2 3 3" xfId="4819" xr:uid="{00000000-0005-0000-0000-0000D4120000}"/>
    <cellStyle name="Currency 5 2 2 4" xfId="4820" xr:uid="{00000000-0005-0000-0000-0000D5120000}"/>
    <cellStyle name="Currency 5 2 2 5" xfId="4821" xr:uid="{00000000-0005-0000-0000-0000D6120000}"/>
    <cellStyle name="Currency 5 2 2 6" xfId="4822" xr:uid="{00000000-0005-0000-0000-0000D7120000}"/>
    <cellStyle name="Currency 5 2 3" xfId="4823" xr:uid="{00000000-0005-0000-0000-0000D8120000}"/>
    <cellStyle name="Currency 5 2 3 2" xfId="4824" xr:uid="{00000000-0005-0000-0000-0000D9120000}"/>
    <cellStyle name="Currency 5 2 3 3" xfId="4825" xr:uid="{00000000-0005-0000-0000-0000DA120000}"/>
    <cellStyle name="Currency 5 2 4" xfId="4826" xr:uid="{00000000-0005-0000-0000-0000DB120000}"/>
    <cellStyle name="Currency 5 2 4 2" xfId="4827" xr:uid="{00000000-0005-0000-0000-0000DC120000}"/>
    <cellStyle name="Currency 5 2 4 3" xfId="4828" xr:uid="{00000000-0005-0000-0000-0000DD120000}"/>
    <cellStyle name="Currency 5 2 5" xfId="4829" xr:uid="{00000000-0005-0000-0000-0000DE120000}"/>
    <cellStyle name="Currency 5 2 6" xfId="4830" xr:uid="{00000000-0005-0000-0000-0000DF120000}"/>
    <cellStyle name="Currency 5 2 7" xfId="4831" xr:uid="{00000000-0005-0000-0000-0000E0120000}"/>
    <cellStyle name="Currency 5 3" xfId="4832" xr:uid="{00000000-0005-0000-0000-0000E1120000}"/>
    <cellStyle name="Currency 5 3 2" xfId="4833" xr:uid="{00000000-0005-0000-0000-0000E2120000}"/>
    <cellStyle name="Currency 5 3 2 2" xfId="4834" xr:uid="{00000000-0005-0000-0000-0000E3120000}"/>
    <cellStyle name="Currency 5 3 2 3" xfId="4835" xr:uid="{00000000-0005-0000-0000-0000E4120000}"/>
    <cellStyle name="Currency 5 3 3" xfId="4836" xr:uid="{00000000-0005-0000-0000-0000E5120000}"/>
    <cellStyle name="Currency 5 3 3 2" xfId="4837" xr:uid="{00000000-0005-0000-0000-0000E6120000}"/>
    <cellStyle name="Currency 5 3 3 3" xfId="4838" xr:uid="{00000000-0005-0000-0000-0000E7120000}"/>
    <cellStyle name="Currency 5 3 4" xfId="4839" xr:uid="{00000000-0005-0000-0000-0000E8120000}"/>
    <cellStyle name="Currency 5 3 5" xfId="4840" xr:uid="{00000000-0005-0000-0000-0000E9120000}"/>
    <cellStyle name="Currency 5 3 6" xfId="4841" xr:uid="{00000000-0005-0000-0000-0000EA120000}"/>
    <cellStyle name="Currency 5 4" xfId="4842" xr:uid="{00000000-0005-0000-0000-0000EB120000}"/>
    <cellStyle name="Currency 5 4 2" xfId="4843" xr:uid="{00000000-0005-0000-0000-0000EC120000}"/>
    <cellStyle name="Currency 5 4 3" xfId="4844" xr:uid="{00000000-0005-0000-0000-0000ED120000}"/>
    <cellStyle name="Currency 5 5" xfId="4845" xr:uid="{00000000-0005-0000-0000-0000EE120000}"/>
    <cellStyle name="Currency 5 5 2" xfId="4846" xr:uid="{00000000-0005-0000-0000-0000EF120000}"/>
    <cellStyle name="Currency 5 5 3" xfId="4847" xr:uid="{00000000-0005-0000-0000-0000F0120000}"/>
    <cellStyle name="Currency 5 6" xfId="4848" xr:uid="{00000000-0005-0000-0000-0000F1120000}"/>
    <cellStyle name="Currency 5 7" xfId="4849" xr:uid="{00000000-0005-0000-0000-0000F2120000}"/>
    <cellStyle name="Currency 5 8" xfId="4850" xr:uid="{00000000-0005-0000-0000-0000F3120000}"/>
    <cellStyle name="Currency 6" xfId="4851" xr:uid="{00000000-0005-0000-0000-0000F4120000}"/>
    <cellStyle name="Currency 6 2" xfId="4852" xr:uid="{00000000-0005-0000-0000-0000F5120000}"/>
    <cellStyle name="Currency 6 2 2" xfId="4853" xr:uid="{00000000-0005-0000-0000-0000F6120000}"/>
    <cellStyle name="Currency 6 2 2 2" xfId="4854" xr:uid="{00000000-0005-0000-0000-0000F7120000}"/>
    <cellStyle name="Currency 6 2 2 2 2" xfId="4855" xr:uid="{00000000-0005-0000-0000-0000F8120000}"/>
    <cellStyle name="Currency 6 2 2 2 3" xfId="4856" xr:uid="{00000000-0005-0000-0000-0000F9120000}"/>
    <cellStyle name="Currency 6 2 2 3" xfId="4857" xr:uid="{00000000-0005-0000-0000-0000FA120000}"/>
    <cellStyle name="Currency 6 2 2 3 2" xfId="4858" xr:uid="{00000000-0005-0000-0000-0000FB120000}"/>
    <cellStyle name="Currency 6 2 2 3 3" xfId="4859" xr:uid="{00000000-0005-0000-0000-0000FC120000}"/>
    <cellStyle name="Currency 6 2 2 4" xfId="4860" xr:uid="{00000000-0005-0000-0000-0000FD120000}"/>
    <cellStyle name="Currency 6 2 2 5" xfId="4861" xr:uid="{00000000-0005-0000-0000-0000FE120000}"/>
    <cellStyle name="Currency 6 2 2 6" xfId="4862" xr:uid="{00000000-0005-0000-0000-0000FF120000}"/>
    <cellStyle name="Currency 6 2 3" xfId="4863" xr:uid="{00000000-0005-0000-0000-000000130000}"/>
    <cellStyle name="Currency 6 2 3 2" xfId="4864" xr:uid="{00000000-0005-0000-0000-000001130000}"/>
    <cellStyle name="Currency 6 2 3 3" xfId="4865" xr:uid="{00000000-0005-0000-0000-000002130000}"/>
    <cellStyle name="Currency 6 2 4" xfId="4866" xr:uid="{00000000-0005-0000-0000-000003130000}"/>
    <cellStyle name="Currency 6 2 4 2" xfId="4867" xr:uid="{00000000-0005-0000-0000-000004130000}"/>
    <cellStyle name="Currency 6 2 4 3" xfId="4868" xr:uid="{00000000-0005-0000-0000-000005130000}"/>
    <cellStyle name="Currency 6 2 5" xfId="4869" xr:uid="{00000000-0005-0000-0000-000006130000}"/>
    <cellStyle name="Currency 6 2 6" xfId="4870" xr:uid="{00000000-0005-0000-0000-000007130000}"/>
    <cellStyle name="Currency 6 2 7" xfId="4871" xr:uid="{00000000-0005-0000-0000-000008130000}"/>
    <cellStyle name="Currency 6 3" xfId="4872" xr:uid="{00000000-0005-0000-0000-000009130000}"/>
    <cellStyle name="Currency 6 3 2" xfId="4873" xr:uid="{00000000-0005-0000-0000-00000A130000}"/>
    <cellStyle name="Currency 6 3 2 2" xfId="4874" xr:uid="{00000000-0005-0000-0000-00000B130000}"/>
    <cellStyle name="Currency 6 3 2 3" xfId="4875" xr:uid="{00000000-0005-0000-0000-00000C130000}"/>
    <cellStyle name="Currency 6 3 3" xfId="4876" xr:uid="{00000000-0005-0000-0000-00000D130000}"/>
    <cellStyle name="Currency 6 3 3 2" xfId="4877" xr:uid="{00000000-0005-0000-0000-00000E130000}"/>
    <cellStyle name="Currency 6 3 3 3" xfId="4878" xr:uid="{00000000-0005-0000-0000-00000F130000}"/>
    <cellStyle name="Currency 6 3 4" xfId="4879" xr:uid="{00000000-0005-0000-0000-000010130000}"/>
    <cellStyle name="Currency 6 3 5" xfId="4880" xr:uid="{00000000-0005-0000-0000-000011130000}"/>
    <cellStyle name="Currency 6 3 6" xfId="4881" xr:uid="{00000000-0005-0000-0000-000012130000}"/>
    <cellStyle name="Currency 6 4" xfId="4882" xr:uid="{00000000-0005-0000-0000-000013130000}"/>
    <cellStyle name="Currency 6 4 2" xfId="4883" xr:uid="{00000000-0005-0000-0000-000014130000}"/>
    <cellStyle name="Currency 6 4 3" xfId="4884" xr:uid="{00000000-0005-0000-0000-000015130000}"/>
    <cellStyle name="Currency 6 5" xfId="4885" xr:uid="{00000000-0005-0000-0000-000016130000}"/>
    <cellStyle name="Currency 6 5 2" xfId="4886" xr:uid="{00000000-0005-0000-0000-000017130000}"/>
    <cellStyle name="Currency 6 5 3" xfId="4887" xr:uid="{00000000-0005-0000-0000-000018130000}"/>
    <cellStyle name="Currency 6 6" xfId="4888" xr:uid="{00000000-0005-0000-0000-000019130000}"/>
    <cellStyle name="Currency 6 7" xfId="4889" xr:uid="{00000000-0005-0000-0000-00001A130000}"/>
    <cellStyle name="Currency 6 8" xfId="4890" xr:uid="{00000000-0005-0000-0000-00001B130000}"/>
    <cellStyle name="Currency 7" xfId="4891" xr:uid="{00000000-0005-0000-0000-00001C130000}"/>
    <cellStyle name="Currency 7 2" xfId="4892" xr:uid="{00000000-0005-0000-0000-00001D130000}"/>
    <cellStyle name="Currency 7 2 2" xfId="4893" xr:uid="{00000000-0005-0000-0000-00001E130000}"/>
    <cellStyle name="Currency 7 2 2 2" xfId="4894" xr:uid="{00000000-0005-0000-0000-00001F130000}"/>
    <cellStyle name="Currency 7 2 2 2 2" xfId="4895" xr:uid="{00000000-0005-0000-0000-000020130000}"/>
    <cellStyle name="Currency 7 2 2 2 3" xfId="4896" xr:uid="{00000000-0005-0000-0000-000021130000}"/>
    <cellStyle name="Currency 7 2 2 3" xfId="4897" xr:uid="{00000000-0005-0000-0000-000022130000}"/>
    <cellStyle name="Currency 7 2 2 3 2" xfId="4898" xr:uid="{00000000-0005-0000-0000-000023130000}"/>
    <cellStyle name="Currency 7 2 2 3 3" xfId="4899" xr:uid="{00000000-0005-0000-0000-000024130000}"/>
    <cellStyle name="Currency 7 2 2 4" xfId="4900" xr:uid="{00000000-0005-0000-0000-000025130000}"/>
    <cellStyle name="Currency 7 2 2 5" xfId="4901" xr:uid="{00000000-0005-0000-0000-000026130000}"/>
    <cellStyle name="Currency 7 2 2 6" xfId="4902" xr:uid="{00000000-0005-0000-0000-000027130000}"/>
    <cellStyle name="Currency 7 2 3" xfId="4903" xr:uid="{00000000-0005-0000-0000-000028130000}"/>
    <cellStyle name="Currency 7 2 3 2" xfId="4904" xr:uid="{00000000-0005-0000-0000-000029130000}"/>
    <cellStyle name="Currency 7 2 3 3" xfId="4905" xr:uid="{00000000-0005-0000-0000-00002A130000}"/>
    <cellStyle name="Currency 7 2 4" xfId="4906" xr:uid="{00000000-0005-0000-0000-00002B130000}"/>
    <cellStyle name="Currency 7 2 4 2" xfId="4907" xr:uid="{00000000-0005-0000-0000-00002C130000}"/>
    <cellStyle name="Currency 7 2 4 3" xfId="4908" xr:uid="{00000000-0005-0000-0000-00002D130000}"/>
    <cellStyle name="Currency 7 2 5" xfId="4909" xr:uid="{00000000-0005-0000-0000-00002E130000}"/>
    <cellStyle name="Currency 7 2 6" xfId="4910" xr:uid="{00000000-0005-0000-0000-00002F130000}"/>
    <cellStyle name="Currency 7 2 7" xfId="4911" xr:uid="{00000000-0005-0000-0000-000030130000}"/>
    <cellStyle name="Currency 7 3" xfId="4912" xr:uid="{00000000-0005-0000-0000-000031130000}"/>
    <cellStyle name="Currency 7 3 2" xfId="4913" xr:uid="{00000000-0005-0000-0000-000032130000}"/>
    <cellStyle name="Currency 7 3 2 2" xfId="4914" xr:uid="{00000000-0005-0000-0000-000033130000}"/>
    <cellStyle name="Currency 7 3 2 3" xfId="4915" xr:uid="{00000000-0005-0000-0000-000034130000}"/>
    <cellStyle name="Currency 7 3 3" xfId="4916" xr:uid="{00000000-0005-0000-0000-000035130000}"/>
    <cellStyle name="Currency 7 3 3 2" xfId="4917" xr:uid="{00000000-0005-0000-0000-000036130000}"/>
    <cellStyle name="Currency 7 3 3 3" xfId="4918" xr:uid="{00000000-0005-0000-0000-000037130000}"/>
    <cellStyle name="Currency 7 3 4" xfId="4919" xr:uid="{00000000-0005-0000-0000-000038130000}"/>
    <cellStyle name="Currency 7 3 5" xfId="4920" xr:uid="{00000000-0005-0000-0000-000039130000}"/>
    <cellStyle name="Currency 7 3 6" xfId="4921" xr:uid="{00000000-0005-0000-0000-00003A130000}"/>
    <cellStyle name="Currency 7 4" xfId="4922" xr:uid="{00000000-0005-0000-0000-00003B130000}"/>
    <cellStyle name="Currency 7 4 2" xfId="4923" xr:uid="{00000000-0005-0000-0000-00003C130000}"/>
    <cellStyle name="Currency 7 4 3" xfId="4924" xr:uid="{00000000-0005-0000-0000-00003D130000}"/>
    <cellStyle name="Currency 7 5" xfId="4925" xr:uid="{00000000-0005-0000-0000-00003E130000}"/>
    <cellStyle name="Currency 7 5 2" xfId="4926" xr:uid="{00000000-0005-0000-0000-00003F130000}"/>
    <cellStyle name="Currency 7 5 3" xfId="4927" xr:uid="{00000000-0005-0000-0000-000040130000}"/>
    <cellStyle name="Currency 7 6" xfId="4928" xr:uid="{00000000-0005-0000-0000-000041130000}"/>
    <cellStyle name="Currency 7 7" xfId="4929" xr:uid="{00000000-0005-0000-0000-000042130000}"/>
    <cellStyle name="Currency 7 8" xfId="4930" xr:uid="{00000000-0005-0000-0000-000043130000}"/>
    <cellStyle name="Currency 8" xfId="4931" xr:uid="{00000000-0005-0000-0000-000044130000}"/>
    <cellStyle name="Currency 8 2" xfId="4932" xr:uid="{00000000-0005-0000-0000-000045130000}"/>
    <cellStyle name="Currency 8 2 2" xfId="4933" xr:uid="{00000000-0005-0000-0000-000046130000}"/>
    <cellStyle name="Currency 8 2 2 2" xfId="4934" xr:uid="{00000000-0005-0000-0000-000047130000}"/>
    <cellStyle name="Currency 8 2 2 2 2" xfId="4935" xr:uid="{00000000-0005-0000-0000-000048130000}"/>
    <cellStyle name="Currency 8 2 2 2 3" xfId="4936" xr:uid="{00000000-0005-0000-0000-000049130000}"/>
    <cellStyle name="Currency 8 2 2 3" xfId="4937" xr:uid="{00000000-0005-0000-0000-00004A130000}"/>
    <cellStyle name="Currency 8 2 2 3 2" xfId="4938" xr:uid="{00000000-0005-0000-0000-00004B130000}"/>
    <cellStyle name="Currency 8 2 2 3 3" xfId="4939" xr:uid="{00000000-0005-0000-0000-00004C130000}"/>
    <cellStyle name="Currency 8 2 2 4" xfId="4940" xr:uid="{00000000-0005-0000-0000-00004D130000}"/>
    <cellStyle name="Currency 8 2 2 5" xfId="4941" xr:uid="{00000000-0005-0000-0000-00004E130000}"/>
    <cellStyle name="Currency 8 2 2 6" xfId="4942" xr:uid="{00000000-0005-0000-0000-00004F130000}"/>
    <cellStyle name="Currency 8 2 3" xfId="4943" xr:uid="{00000000-0005-0000-0000-000050130000}"/>
    <cellStyle name="Currency 8 2 3 2" xfId="4944" xr:uid="{00000000-0005-0000-0000-000051130000}"/>
    <cellStyle name="Currency 8 2 3 3" xfId="4945" xr:uid="{00000000-0005-0000-0000-000052130000}"/>
    <cellStyle name="Currency 8 2 4" xfId="4946" xr:uid="{00000000-0005-0000-0000-000053130000}"/>
    <cellStyle name="Currency 8 2 4 2" xfId="4947" xr:uid="{00000000-0005-0000-0000-000054130000}"/>
    <cellStyle name="Currency 8 2 4 3" xfId="4948" xr:uid="{00000000-0005-0000-0000-000055130000}"/>
    <cellStyle name="Currency 8 2 5" xfId="4949" xr:uid="{00000000-0005-0000-0000-000056130000}"/>
    <cellStyle name="Currency 8 2 6" xfId="4950" xr:uid="{00000000-0005-0000-0000-000057130000}"/>
    <cellStyle name="Currency 8 2 7" xfId="4951" xr:uid="{00000000-0005-0000-0000-000058130000}"/>
    <cellStyle name="Currency 8 3" xfId="4952" xr:uid="{00000000-0005-0000-0000-000059130000}"/>
    <cellStyle name="Currency 8 3 2" xfId="4953" xr:uid="{00000000-0005-0000-0000-00005A130000}"/>
    <cellStyle name="Currency 8 3 2 2" xfId="4954" xr:uid="{00000000-0005-0000-0000-00005B130000}"/>
    <cellStyle name="Currency 8 3 2 3" xfId="4955" xr:uid="{00000000-0005-0000-0000-00005C130000}"/>
    <cellStyle name="Currency 8 3 3" xfId="4956" xr:uid="{00000000-0005-0000-0000-00005D130000}"/>
    <cellStyle name="Currency 8 3 3 2" xfId="4957" xr:uid="{00000000-0005-0000-0000-00005E130000}"/>
    <cellStyle name="Currency 8 3 3 3" xfId="4958" xr:uid="{00000000-0005-0000-0000-00005F130000}"/>
    <cellStyle name="Currency 8 3 4" xfId="4959" xr:uid="{00000000-0005-0000-0000-000060130000}"/>
    <cellStyle name="Currency 8 3 5" xfId="4960" xr:uid="{00000000-0005-0000-0000-000061130000}"/>
    <cellStyle name="Currency 8 3 6" xfId="4961" xr:uid="{00000000-0005-0000-0000-000062130000}"/>
    <cellStyle name="Currency 8 4" xfId="4962" xr:uid="{00000000-0005-0000-0000-000063130000}"/>
    <cellStyle name="Currency 8 4 2" xfId="4963" xr:uid="{00000000-0005-0000-0000-000064130000}"/>
    <cellStyle name="Currency 8 4 3" xfId="4964" xr:uid="{00000000-0005-0000-0000-000065130000}"/>
    <cellStyle name="Currency 8 5" xfId="4965" xr:uid="{00000000-0005-0000-0000-000066130000}"/>
    <cellStyle name="Currency 8 5 2" xfId="4966" xr:uid="{00000000-0005-0000-0000-000067130000}"/>
    <cellStyle name="Currency 8 5 3" xfId="4967" xr:uid="{00000000-0005-0000-0000-000068130000}"/>
    <cellStyle name="Currency 8 6" xfId="4968" xr:uid="{00000000-0005-0000-0000-000069130000}"/>
    <cellStyle name="Currency 8 7" xfId="4969" xr:uid="{00000000-0005-0000-0000-00006A130000}"/>
    <cellStyle name="Currency 8 8" xfId="4970" xr:uid="{00000000-0005-0000-0000-00006B130000}"/>
    <cellStyle name="Currency 9" xfId="4971" xr:uid="{00000000-0005-0000-0000-00006C130000}"/>
    <cellStyle name="Currency 9 2" xfId="4972" xr:uid="{00000000-0005-0000-0000-00006D130000}"/>
    <cellStyle name="Currency 9 2 2" xfId="4973" xr:uid="{00000000-0005-0000-0000-00006E130000}"/>
    <cellStyle name="Currency 9 2 2 2" xfId="4974" xr:uid="{00000000-0005-0000-0000-00006F130000}"/>
    <cellStyle name="Currency 9 2 2 2 2" xfId="4975" xr:uid="{00000000-0005-0000-0000-000070130000}"/>
    <cellStyle name="Currency 9 2 2 2 3" xfId="4976" xr:uid="{00000000-0005-0000-0000-000071130000}"/>
    <cellStyle name="Currency 9 2 2 3" xfId="4977" xr:uid="{00000000-0005-0000-0000-000072130000}"/>
    <cellStyle name="Currency 9 2 2 3 2" xfId="4978" xr:uid="{00000000-0005-0000-0000-000073130000}"/>
    <cellStyle name="Currency 9 2 2 3 3" xfId="4979" xr:uid="{00000000-0005-0000-0000-000074130000}"/>
    <cellStyle name="Currency 9 2 2 4" xfId="4980" xr:uid="{00000000-0005-0000-0000-000075130000}"/>
    <cellStyle name="Currency 9 2 2 5" xfId="4981" xr:uid="{00000000-0005-0000-0000-000076130000}"/>
    <cellStyle name="Currency 9 2 2 6" xfId="4982" xr:uid="{00000000-0005-0000-0000-000077130000}"/>
    <cellStyle name="Currency 9 2 3" xfId="4983" xr:uid="{00000000-0005-0000-0000-000078130000}"/>
    <cellStyle name="Currency 9 2 3 2" xfId="4984" xr:uid="{00000000-0005-0000-0000-000079130000}"/>
    <cellStyle name="Currency 9 2 3 3" xfId="4985" xr:uid="{00000000-0005-0000-0000-00007A130000}"/>
    <cellStyle name="Currency 9 2 4" xfId="4986" xr:uid="{00000000-0005-0000-0000-00007B130000}"/>
    <cellStyle name="Currency 9 2 4 2" xfId="4987" xr:uid="{00000000-0005-0000-0000-00007C130000}"/>
    <cellStyle name="Currency 9 2 4 3" xfId="4988" xr:uid="{00000000-0005-0000-0000-00007D130000}"/>
    <cellStyle name="Currency 9 2 5" xfId="4989" xr:uid="{00000000-0005-0000-0000-00007E130000}"/>
    <cellStyle name="Currency 9 2 6" xfId="4990" xr:uid="{00000000-0005-0000-0000-00007F130000}"/>
    <cellStyle name="Currency 9 2 7" xfId="4991" xr:uid="{00000000-0005-0000-0000-000080130000}"/>
    <cellStyle name="Currency 9 3" xfId="4992" xr:uid="{00000000-0005-0000-0000-000081130000}"/>
    <cellStyle name="Currency 9 3 2" xfId="4993" xr:uid="{00000000-0005-0000-0000-000082130000}"/>
    <cellStyle name="Currency 9 3 2 2" xfId="4994" xr:uid="{00000000-0005-0000-0000-000083130000}"/>
    <cellStyle name="Currency 9 3 2 3" xfId="4995" xr:uid="{00000000-0005-0000-0000-000084130000}"/>
    <cellStyle name="Currency 9 3 3" xfId="4996" xr:uid="{00000000-0005-0000-0000-000085130000}"/>
    <cellStyle name="Currency 9 3 3 2" xfId="4997" xr:uid="{00000000-0005-0000-0000-000086130000}"/>
    <cellStyle name="Currency 9 3 3 3" xfId="4998" xr:uid="{00000000-0005-0000-0000-000087130000}"/>
    <cellStyle name="Currency 9 3 4" xfId="4999" xr:uid="{00000000-0005-0000-0000-000088130000}"/>
    <cellStyle name="Currency 9 3 5" xfId="5000" xr:uid="{00000000-0005-0000-0000-000089130000}"/>
    <cellStyle name="Currency 9 3 6" xfId="5001" xr:uid="{00000000-0005-0000-0000-00008A130000}"/>
    <cellStyle name="Currency 9 4" xfId="5002" xr:uid="{00000000-0005-0000-0000-00008B130000}"/>
    <cellStyle name="Currency 9 4 2" xfId="5003" xr:uid="{00000000-0005-0000-0000-00008C130000}"/>
    <cellStyle name="Currency 9 4 3" xfId="5004" xr:uid="{00000000-0005-0000-0000-00008D130000}"/>
    <cellStyle name="Currency 9 5" xfId="5005" xr:uid="{00000000-0005-0000-0000-00008E130000}"/>
    <cellStyle name="Currency 9 5 2" xfId="5006" xr:uid="{00000000-0005-0000-0000-00008F130000}"/>
    <cellStyle name="Currency 9 5 3" xfId="5007" xr:uid="{00000000-0005-0000-0000-000090130000}"/>
    <cellStyle name="Currency 9 6" xfId="5008" xr:uid="{00000000-0005-0000-0000-000091130000}"/>
    <cellStyle name="Currency 9 7" xfId="5009" xr:uid="{00000000-0005-0000-0000-000092130000}"/>
    <cellStyle name="Currency 9 8" xfId="5010" xr:uid="{00000000-0005-0000-0000-000093130000}"/>
    <cellStyle name="Currency0" xfId="5011" xr:uid="{00000000-0005-0000-0000-000094130000}"/>
    <cellStyle name="Currency0 10" xfId="5012" xr:uid="{00000000-0005-0000-0000-000095130000}"/>
    <cellStyle name="Currency0 10 10" xfId="5013" xr:uid="{00000000-0005-0000-0000-000096130000}"/>
    <cellStyle name="Currency0 10 11" xfId="5014" xr:uid="{00000000-0005-0000-0000-000097130000}"/>
    <cellStyle name="Currency0 10 12" xfId="5015" xr:uid="{00000000-0005-0000-0000-000098130000}"/>
    <cellStyle name="Currency0 10 2" xfId="5016" xr:uid="{00000000-0005-0000-0000-000099130000}"/>
    <cellStyle name="Currency0 10 2 10" xfId="5017" xr:uid="{00000000-0005-0000-0000-00009A130000}"/>
    <cellStyle name="Currency0 10 2 2" xfId="5018" xr:uid="{00000000-0005-0000-0000-00009B130000}"/>
    <cellStyle name="Currency0 10 2 2 2" xfId="5019" xr:uid="{00000000-0005-0000-0000-00009C130000}"/>
    <cellStyle name="Currency0 10 2 2 2 2" xfId="5020" xr:uid="{00000000-0005-0000-0000-00009D130000}"/>
    <cellStyle name="Currency0 10 2 2 2 2 2" xfId="5021" xr:uid="{00000000-0005-0000-0000-00009E130000}"/>
    <cellStyle name="Currency0 10 2 2 2 2 3" xfId="5022" xr:uid="{00000000-0005-0000-0000-00009F130000}"/>
    <cellStyle name="Currency0 10 2 2 2 3" xfId="5023" xr:uid="{00000000-0005-0000-0000-0000A0130000}"/>
    <cellStyle name="Currency0 10 2 2 2 3 2" xfId="5024" xr:uid="{00000000-0005-0000-0000-0000A1130000}"/>
    <cellStyle name="Currency0 10 2 2 2 3 3" xfId="5025" xr:uid="{00000000-0005-0000-0000-0000A2130000}"/>
    <cellStyle name="Currency0 10 2 2 2 4" xfId="5026" xr:uid="{00000000-0005-0000-0000-0000A3130000}"/>
    <cellStyle name="Currency0 10 2 2 2 5" xfId="5027" xr:uid="{00000000-0005-0000-0000-0000A4130000}"/>
    <cellStyle name="Currency0 10 2 2 2 6" xfId="5028" xr:uid="{00000000-0005-0000-0000-0000A5130000}"/>
    <cellStyle name="Currency0 10 2 2 3" xfId="5029" xr:uid="{00000000-0005-0000-0000-0000A6130000}"/>
    <cellStyle name="Currency0 10 2 2 3 2" xfId="5030" xr:uid="{00000000-0005-0000-0000-0000A7130000}"/>
    <cellStyle name="Currency0 10 2 2 3 3" xfId="5031" xr:uid="{00000000-0005-0000-0000-0000A8130000}"/>
    <cellStyle name="Currency0 10 2 2 4" xfId="5032" xr:uid="{00000000-0005-0000-0000-0000A9130000}"/>
    <cellStyle name="Currency0 10 2 2 4 2" xfId="5033" xr:uid="{00000000-0005-0000-0000-0000AA130000}"/>
    <cellStyle name="Currency0 10 2 2 4 3" xfId="5034" xr:uid="{00000000-0005-0000-0000-0000AB130000}"/>
    <cellStyle name="Currency0 10 2 2 5" xfId="5035" xr:uid="{00000000-0005-0000-0000-0000AC130000}"/>
    <cellStyle name="Currency0 10 2 2 5 2" xfId="5036" xr:uid="{00000000-0005-0000-0000-0000AD130000}"/>
    <cellStyle name="Currency0 10 2 2 5 3" xfId="5037" xr:uid="{00000000-0005-0000-0000-0000AE130000}"/>
    <cellStyle name="Currency0 10 2 2 6" xfId="5038" xr:uid="{00000000-0005-0000-0000-0000AF130000}"/>
    <cellStyle name="Currency0 10 2 2 7" xfId="5039" xr:uid="{00000000-0005-0000-0000-0000B0130000}"/>
    <cellStyle name="Currency0 10 2 2 8" xfId="5040" xr:uid="{00000000-0005-0000-0000-0000B1130000}"/>
    <cellStyle name="Currency0 10 2 3" xfId="5041" xr:uid="{00000000-0005-0000-0000-0000B2130000}"/>
    <cellStyle name="Currency0 10 2 3 2" xfId="5042" xr:uid="{00000000-0005-0000-0000-0000B3130000}"/>
    <cellStyle name="Currency0 10 2 3 2 2" xfId="5043" xr:uid="{00000000-0005-0000-0000-0000B4130000}"/>
    <cellStyle name="Currency0 10 2 3 2 2 2" xfId="5044" xr:uid="{00000000-0005-0000-0000-0000B5130000}"/>
    <cellStyle name="Currency0 10 2 3 2 2 3" xfId="5045" xr:uid="{00000000-0005-0000-0000-0000B6130000}"/>
    <cellStyle name="Currency0 10 2 3 2 3" xfId="5046" xr:uid="{00000000-0005-0000-0000-0000B7130000}"/>
    <cellStyle name="Currency0 10 2 3 2 3 2" xfId="5047" xr:uid="{00000000-0005-0000-0000-0000B8130000}"/>
    <cellStyle name="Currency0 10 2 3 2 3 3" xfId="5048" xr:uid="{00000000-0005-0000-0000-0000B9130000}"/>
    <cellStyle name="Currency0 10 2 3 2 4" xfId="5049" xr:uid="{00000000-0005-0000-0000-0000BA130000}"/>
    <cellStyle name="Currency0 10 2 3 2 5" xfId="5050" xr:uid="{00000000-0005-0000-0000-0000BB130000}"/>
    <cellStyle name="Currency0 10 2 3 2 6" xfId="5051" xr:uid="{00000000-0005-0000-0000-0000BC130000}"/>
    <cellStyle name="Currency0 10 2 3 3" xfId="5052" xr:uid="{00000000-0005-0000-0000-0000BD130000}"/>
    <cellStyle name="Currency0 10 2 3 3 2" xfId="5053" xr:uid="{00000000-0005-0000-0000-0000BE130000}"/>
    <cellStyle name="Currency0 10 2 3 3 3" xfId="5054" xr:uid="{00000000-0005-0000-0000-0000BF130000}"/>
    <cellStyle name="Currency0 10 2 3 4" xfId="5055" xr:uid="{00000000-0005-0000-0000-0000C0130000}"/>
    <cellStyle name="Currency0 10 2 3 4 2" xfId="5056" xr:uid="{00000000-0005-0000-0000-0000C1130000}"/>
    <cellStyle name="Currency0 10 2 3 4 3" xfId="5057" xr:uid="{00000000-0005-0000-0000-0000C2130000}"/>
    <cellStyle name="Currency0 10 2 3 5" xfId="5058" xr:uid="{00000000-0005-0000-0000-0000C3130000}"/>
    <cellStyle name="Currency0 10 2 3 5 2" xfId="5059" xr:uid="{00000000-0005-0000-0000-0000C4130000}"/>
    <cellStyle name="Currency0 10 2 3 5 3" xfId="5060" xr:uid="{00000000-0005-0000-0000-0000C5130000}"/>
    <cellStyle name="Currency0 10 2 3 6" xfId="5061" xr:uid="{00000000-0005-0000-0000-0000C6130000}"/>
    <cellStyle name="Currency0 10 2 3 7" xfId="5062" xr:uid="{00000000-0005-0000-0000-0000C7130000}"/>
    <cellStyle name="Currency0 10 2 3 8" xfId="5063" xr:uid="{00000000-0005-0000-0000-0000C8130000}"/>
    <cellStyle name="Currency0 10 2 4" xfId="5064" xr:uid="{00000000-0005-0000-0000-0000C9130000}"/>
    <cellStyle name="Currency0 10 2 4 2" xfId="5065" xr:uid="{00000000-0005-0000-0000-0000CA130000}"/>
    <cellStyle name="Currency0 10 2 4 2 2" xfId="5066" xr:uid="{00000000-0005-0000-0000-0000CB130000}"/>
    <cellStyle name="Currency0 10 2 4 2 3" xfId="5067" xr:uid="{00000000-0005-0000-0000-0000CC130000}"/>
    <cellStyle name="Currency0 10 2 4 3" xfId="5068" xr:uid="{00000000-0005-0000-0000-0000CD130000}"/>
    <cellStyle name="Currency0 10 2 4 3 2" xfId="5069" xr:uid="{00000000-0005-0000-0000-0000CE130000}"/>
    <cellStyle name="Currency0 10 2 4 3 3" xfId="5070" xr:uid="{00000000-0005-0000-0000-0000CF130000}"/>
    <cellStyle name="Currency0 10 2 4 4" xfId="5071" xr:uid="{00000000-0005-0000-0000-0000D0130000}"/>
    <cellStyle name="Currency0 10 2 4 5" xfId="5072" xr:uid="{00000000-0005-0000-0000-0000D1130000}"/>
    <cellStyle name="Currency0 10 2 4 6" xfId="5073" xr:uid="{00000000-0005-0000-0000-0000D2130000}"/>
    <cellStyle name="Currency0 10 2 5" xfId="5074" xr:uid="{00000000-0005-0000-0000-0000D3130000}"/>
    <cellStyle name="Currency0 10 2 5 2" xfId="5075" xr:uid="{00000000-0005-0000-0000-0000D4130000}"/>
    <cellStyle name="Currency0 10 2 5 3" xfId="5076" xr:uid="{00000000-0005-0000-0000-0000D5130000}"/>
    <cellStyle name="Currency0 10 2 6" xfId="5077" xr:uid="{00000000-0005-0000-0000-0000D6130000}"/>
    <cellStyle name="Currency0 10 2 6 2" xfId="5078" xr:uid="{00000000-0005-0000-0000-0000D7130000}"/>
    <cellStyle name="Currency0 10 2 6 3" xfId="5079" xr:uid="{00000000-0005-0000-0000-0000D8130000}"/>
    <cellStyle name="Currency0 10 2 7" xfId="5080" xr:uid="{00000000-0005-0000-0000-0000D9130000}"/>
    <cellStyle name="Currency0 10 2 7 2" xfId="5081" xr:uid="{00000000-0005-0000-0000-0000DA130000}"/>
    <cellStyle name="Currency0 10 2 7 3" xfId="5082" xr:uid="{00000000-0005-0000-0000-0000DB130000}"/>
    <cellStyle name="Currency0 10 2 8" xfId="5083" xr:uid="{00000000-0005-0000-0000-0000DC130000}"/>
    <cellStyle name="Currency0 10 2 9" xfId="5084" xr:uid="{00000000-0005-0000-0000-0000DD130000}"/>
    <cellStyle name="Currency0 10 3" xfId="5085" xr:uid="{00000000-0005-0000-0000-0000DE130000}"/>
    <cellStyle name="Currency0 10 3 2" xfId="5086" xr:uid="{00000000-0005-0000-0000-0000DF130000}"/>
    <cellStyle name="Currency0 10 3 2 2" xfId="5087" xr:uid="{00000000-0005-0000-0000-0000E0130000}"/>
    <cellStyle name="Currency0 10 3 2 2 2" xfId="5088" xr:uid="{00000000-0005-0000-0000-0000E1130000}"/>
    <cellStyle name="Currency0 10 3 2 2 3" xfId="5089" xr:uid="{00000000-0005-0000-0000-0000E2130000}"/>
    <cellStyle name="Currency0 10 3 2 3" xfId="5090" xr:uid="{00000000-0005-0000-0000-0000E3130000}"/>
    <cellStyle name="Currency0 10 3 2 3 2" xfId="5091" xr:uid="{00000000-0005-0000-0000-0000E4130000}"/>
    <cellStyle name="Currency0 10 3 2 3 3" xfId="5092" xr:uid="{00000000-0005-0000-0000-0000E5130000}"/>
    <cellStyle name="Currency0 10 3 2 4" xfId="5093" xr:uid="{00000000-0005-0000-0000-0000E6130000}"/>
    <cellStyle name="Currency0 10 3 2 5" xfId="5094" xr:uid="{00000000-0005-0000-0000-0000E7130000}"/>
    <cellStyle name="Currency0 10 3 2 6" xfId="5095" xr:uid="{00000000-0005-0000-0000-0000E8130000}"/>
    <cellStyle name="Currency0 10 3 3" xfId="5096" xr:uid="{00000000-0005-0000-0000-0000E9130000}"/>
    <cellStyle name="Currency0 10 3 3 2" xfId="5097" xr:uid="{00000000-0005-0000-0000-0000EA130000}"/>
    <cellStyle name="Currency0 10 3 3 3" xfId="5098" xr:uid="{00000000-0005-0000-0000-0000EB130000}"/>
    <cellStyle name="Currency0 10 3 4" xfId="5099" xr:uid="{00000000-0005-0000-0000-0000EC130000}"/>
    <cellStyle name="Currency0 10 3 4 2" xfId="5100" xr:uid="{00000000-0005-0000-0000-0000ED130000}"/>
    <cellStyle name="Currency0 10 3 4 3" xfId="5101" xr:uid="{00000000-0005-0000-0000-0000EE130000}"/>
    <cellStyle name="Currency0 10 3 5" xfId="5102" xr:uid="{00000000-0005-0000-0000-0000EF130000}"/>
    <cellStyle name="Currency0 10 3 5 2" xfId="5103" xr:uid="{00000000-0005-0000-0000-0000F0130000}"/>
    <cellStyle name="Currency0 10 3 5 3" xfId="5104" xr:uid="{00000000-0005-0000-0000-0000F1130000}"/>
    <cellStyle name="Currency0 10 3 6" xfId="5105" xr:uid="{00000000-0005-0000-0000-0000F2130000}"/>
    <cellStyle name="Currency0 10 3 7" xfId="5106" xr:uid="{00000000-0005-0000-0000-0000F3130000}"/>
    <cellStyle name="Currency0 10 3 8" xfId="5107" xr:uid="{00000000-0005-0000-0000-0000F4130000}"/>
    <cellStyle name="Currency0 10 4" xfId="5108" xr:uid="{00000000-0005-0000-0000-0000F5130000}"/>
    <cellStyle name="Currency0 10 4 2" xfId="5109" xr:uid="{00000000-0005-0000-0000-0000F6130000}"/>
    <cellStyle name="Currency0 10 4 2 2" xfId="5110" xr:uid="{00000000-0005-0000-0000-0000F7130000}"/>
    <cellStyle name="Currency0 10 4 2 2 2" xfId="5111" xr:uid="{00000000-0005-0000-0000-0000F8130000}"/>
    <cellStyle name="Currency0 10 4 2 2 3" xfId="5112" xr:uid="{00000000-0005-0000-0000-0000F9130000}"/>
    <cellStyle name="Currency0 10 4 2 3" xfId="5113" xr:uid="{00000000-0005-0000-0000-0000FA130000}"/>
    <cellStyle name="Currency0 10 4 2 3 2" xfId="5114" xr:uid="{00000000-0005-0000-0000-0000FB130000}"/>
    <cellStyle name="Currency0 10 4 2 3 3" xfId="5115" xr:uid="{00000000-0005-0000-0000-0000FC130000}"/>
    <cellStyle name="Currency0 10 4 2 4" xfId="5116" xr:uid="{00000000-0005-0000-0000-0000FD130000}"/>
    <cellStyle name="Currency0 10 4 2 5" xfId="5117" xr:uid="{00000000-0005-0000-0000-0000FE130000}"/>
    <cellStyle name="Currency0 10 4 2 6" xfId="5118" xr:uid="{00000000-0005-0000-0000-0000FF130000}"/>
    <cellStyle name="Currency0 10 4 3" xfId="5119" xr:uid="{00000000-0005-0000-0000-000000140000}"/>
    <cellStyle name="Currency0 10 4 3 2" xfId="5120" xr:uid="{00000000-0005-0000-0000-000001140000}"/>
    <cellStyle name="Currency0 10 4 3 3" xfId="5121" xr:uid="{00000000-0005-0000-0000-000002140000}"/>
    <cellStyle name="Currency0 10 4 4" xfId="5122" xr:uid="{00000000-0005-0000-0000-000003140000}"/>
    <cellStyle name="Currency0 10 4 4 2" xfId="5123" xr:uid="{00000000-0005-0000-0000-000004140000}"/>
    <cellStyle name="Currency0 10 4 4 3" xfId="5124" xr:uid="{00000000-0005-0000-0000-000005140000}"/>
    <cellStyle name="Currency0 10 4 5" xfId="5125" xr:uid="{00000000-0005-0000-0000-000006140000}"/>
    <cellStyle name="Currency0 10 4 5 2" xfId="5126" xr:uid="{00000000-0005-0000-0000-000007140000}"/>
    <cellStyle name="Currency0 10 4 5 3" xfId="5127" xr:uid="{00000000-0005-0000-0000-000008140000}"/>
    <cellStyle name="Currency0 10 4 6" xfId="5128" xr:uid="{00000000-0005-0000-0000-000009140000}"/>
    <cellStyle name="Currency0 10 4 7" xfId="5129" xr:uid="{00000000-0005-0000-0000-00000A140000}"/>
    <cellStyle name="Currency0 10 4 8" xfId="5130" xr:uid="{00000000-0005-0000-0000-00000B140000}"/>
    <cellStyle name="Currency0 10 5" xfId="5131" xr:uid="{00000000-0005-0000-0000-00000C140000}"/>
    <cellStyle name="Currency0 10 5 2" xfId="5132" xr:uid="{00000000-0005-0000-0000-00000D140000}"/>
    <cellStyle name="Currency0 10 5 2 2" xfId="5133" xr:uid="{00000000-0005-0000-0000-00000E140000}"/>
    <cellStyle name="Currency0 10 5 2 2 2" xfId="5134" xr:uid="{00000000-0005-0000-0000-00000F140000}"/>
    <cellStyle name="Currency0 10 5 2 2 3" xfId="5135" xr:uid="{00000000-0005-0000-0000-000010140000}"/>
    <cellStyle name="Currency0 10 5 2 3" xfId="5136" xr:uid="{00000000-0005-0000-0000-000011140000}"/>
    <cellStyle name="Currency0 10 5 2 3 2" xfId="5137" xr:uid="{00000000-0005-0000-0000-000012140000}"/>
    <cellStyle name="Currency0 10 5 2 3 3" xfId="5138" xr:uid="{00000000-0005-0000-0000-000013140000}"/>
    <cellStyle name="Currency0 10 5 2 4" xfId="5139" xr:uid="{00000000-0005-0000-0000-000014140000}"/>
    <cellStyle name="Currency0 10 5 2 5" xfId="5140" xr:uid="{00000000-0005-0000-0000-000015140000}"/>
    <cellStyle name="Currency0 10 5 2 6" xfId="5141" xr:uid="{00000000-0005-0000-0000-000016140000}"/>
    <cellStyle name="Currency0 10 5 3" xfId="5142" xr:uid="{00000000-0005-0000-0000-000017140000}"/>
    <cellStyle name="Currency0 10 5 3 2" xfId="5143" xr:uid="{00000000-0005-0000-0000-000018140000}"/>
    <cellStyle name="Currency0 10 5 3 3" xfId="5144" xr:uid="{00000000-0005-0000-0000-000019140000}"/>
    <cellStyle name="Currency0 10 5 4" xfId="5145" xr:uid="{00000000-0005-0000-0000-00001A140000}"/>
    <cellStyle name="Currency0 10 5 4 2" xfId="5146" xr:uid="{00000000-0005-0000-0000-00001B140000}"/>
    <cellStyle name="Currency0 10 5 4 3" xfId="5147" xr:uid="{00000000-0005-0000-0000-00001C140000}"/>
    <cellStyle name="Currency0 10 5 5" xfId="5148" xr:uid="{00000000-0005-0000-0000-00001D140000}"/>
    <cellStyle name="Currency0 10 5 5 2" xfId="5149" xr:uid="{00000000-0005-0000-0000-00001E140000}"/>
    <cellStyle name="Currency0 10 5 5 3" xfId="5150" xr:uid="{00000000-0005-0000-0000-00001F140000}"/>
    <cellStyle name="Currency0 10 5 6" xfId="5151" xr:uid="{00000000-0005-0000-0000-000020140000}"/>
    <cellStyle name="Currency0 10 5 7" xfId="5152" xr:uid="{00000000-0005-0000-0000-000021140000}"/>
    <cellStyle name="Currency0 10 5 8" xfId="5153" xr:uid="{00000000-0005-0000-0000-000022140000}"/>
    <cellStyle name="Currency0 10 6" xfId="5154" xr:uid="{00000000-0005-0000-0000-000023140000}"/>
    <cellStyle name="Currency0 10 6 2" xfId="5155" xr:uid="{00000000-0005-0000-0000-000024140000}"/>
    <cellStyle name="Currency0 10 6 2 2" xfId="5156" xr:uid="{00000000-0005-0000-0000-000025140000}"/>
    <cellStyle name="Currency0 10 6 2 3" xfId="5157" xr:uid="{00000000-0005-0000-0000-000026140000}"/>
    <cellStyle name="Currency0 10 6 3" xfId="5158" xr:uid="{00000000-0005-0000-0000-000027140000}"/>
    <cellStyle name="Currency0 10 6 3 2" xfId="5159" xr:uid="{00000000-0005-0000-0000-000028140000}"/>
    <cellStyle name="Currency0 10 6 3 3" xfId="5160" xr:uid="{00000000-0005-0000-0000-000029140000}"/>
    <cellStyle name="Currency0 10 6 4" xfId="5161" xr:uid="{00000000-0005-0000-0000-00002A140000}"/>
    <cellStyle name="Currency0 10 6 5" xfId="5162" xr:uid="{00000000-0005-0000-0000-00002B140000}"/>
    <cellStyle name="Currency0 10 6 6" xfId="5163" xr:uid="{00000000-0005-0000-0000-00002C140000}"/>
    <cellStyle name="Currency0 10 7" xfId="5164" xr:uid="{00000000-0005-0000-0000-00002D140000}"/>
    <cellStyle name="Currency0 10 7 2" xfId="5165" xr:uid="{00000000-0005-0000-0000-00002E140000}"/>
    <cellStyle name="Currency0 10 7 3" xfId="5166" xr:uid="{00000000-0005-0000-0000-00002F140000}"/>
    <cellStyle name="Currency0 10 8" xfId="5167" xr:uid="{00000000-0005-0000-0000-000030140000}"/>
    <cellStyle name="Currency0 10 8 2" xfId="5168" xr:uid="{00000000-0005-0000-0000-000031140000}"/>
    <cellStyle name="Currency0 10 8 3" xfId="5169" xr:uid="{00000000-0005-0000-0000-000032140000}"/>
    <cellStyle name="Currency0 10 9" xfId="5170" xr:uid="{00000000-0005-0000-0000-000033140000}"/>
    <cellStyle name="Currency0 10 9 2" xfId="5171" xr:uid="{00000000-0005-0000-0000-000034140000}"/>
    <cellStyle name="Currency0 10 9 3" xfId="5172" xr:uid="{00000000-0005-0000-0000-000035140000}"/>
    <cellStyle name="Currency0 11" xfId="5173" xr:uid="{00000000-0005-0000-0000-000036140000}"/>
    <cellStyle name="Currency0 11 10" xfId="5174" xr:uid="{00000000-0005-0000-0000-000037140000}"/>
    <cellStyle name="Currency0 11 11" xfId="5175" xr:uid="{00000000-0005-0000-0000-000038140000}"/>
    <cellStyle name="Currency0 11 12" xfId="5176" xr:uid="{00000000-0005-0000-0000-000039140000}"/>
    <cellStyle name="Currency0 11 2" xfId="5177" xr:uid="{00000000-0005-0000-0000-00003A140000}"/>
    <cellStyle name="Currency0 11 2 10" xfId="5178" xr:uid="{00000000-0005-0000-0000-00003B140000}"/>
    <cellStyle name="Currency0 11 2 2" xfId="5179" xr:uid="{00000000-0005-0000-0000-00003C140000}"/>
    <cellStyle name="Currency0 11 2 2 2" xfId="5180" xr:uid="{00000000-0005-0000-0000-00003D140000}"/>
    <cellStyle name="Currency0 11 2 2 2 2" xfId="5181" xr:uid="{00000000-0005-0000-0000-00003E140000}"/>
    <cellStyle name="Currency0 11 2 2 2 2 2" xfId="5182" xr:uid="{00000000-0005-0000-0000-00003F140000}"/>
    <cellStyle name="Currency0 11 2 2 2 2 3" xfId="5183" xr:uid="{00000000-0005-0000-0000-000040140000}"/>
    <cellStyle name="Currency0 11 2 2 2 3" xfId="5184" xr:uid="{00000000-0005-0000-0000-000041140000}"/>
    <cellStyle name="Currency0 11 2 2 2 3 2" xfId="5185" xr:uid="{00000000-0005-0000-0000-000042140000}"/>
    <cellStyle name="Currency0 11 2 2 2 3 3" xfId="5186" xr:uid="{00000000-0005-0000-0000-000043140000}"/>
    <cellStyle name="Currency0 11 2 2 2 4" xfId="5187" xr:uid="{00000000-0005-0000-0000-000044140000}"/>
    <cellStyle name="Currency0 11 2 2 2 5" xfId="5188" xr:uid="{00000000-0005-0000-0000-000045140000}"/>
    <cellStyle name="Currency0 11 2 2 2 6" xfId="5189" xr:uid="{00000000-0005-0000-0000-000046140000}"/>
    <cellStyle name="Currency0 11 2 2 3" xfId="5190" xr:uid="{00000000-0005-0000-0000-000047140000}"/>
    <cellStyle name="Currency0 11 2 2 3 2" xfId="5191" xr:uid="{00000000-0005-0000-0000-000048140000}"/>
    <cellStyle name="Currency0 11 2 2 3 3" xfId="5192" xr:uid="{00000000-0005-0000-0000-000049140000}"/>
    <cellStyle name="Currency0 11 2 2 4" xfId="5193" xr:uid="{00000000-0005-0000-0000-00004A140000}"/>
    <cellStyle name="Currency0 11 2 2 4 2" xfId="5194" xr:uid="{00000000-0005-0000-0000-00004B140000}"/>
    <cellStyle name="Currency0 11 2 2 4 3" xfId="5195" xr:uid="{00000000-0005-0000-0000-00004C140000}"/>
    <cellStyle name="Currency0 11 2 2 5" xfId="5196" xr:uid="{00000000-0005-0000-0000-00004D140000}"/>
    <cellStyle name="Currency0 11 2 2 5 2" xfId="5197" xr:uid="{00000000-0005-0000-0000-00004E140000}"/>
    <cellStyle name="Currency0 11 2 2 5 3" xfId="5198" xr:uid="{00000000-0005-0000-0000-00004F140000}"/>
    <cellStyle name="Currency0 11 2 2 6" xfId="5199" xr:uid="{00000000-0005-0000-0000-000050140000}"/>
    <cellStyle name="Currency0 11 2 2 7" xfId="5200" xr:uid="{00000000-0005-0000-0000-000051140000}"/>
    <cellStyle name="Currency0 11 2 2 8" xfId="5201" xr:uid="{00000000-0005-0000-0000-000052140000}"/>
    <cellStyle name="Currency0 11 2 3" xfId="5202" xr:uid="{00000000-0005-0000-0000-000053140000}"/>
    <cellStyle name="Currency0 11 2 3 2" xfId="5203" xr:uid="{00000000-0005-0000-0000-000054140000}"/>
    <cellStyle name="Currency0 11 2 3 2 2" xfId="5204" xr:uid="{00000000-0005-0000-0000-000055140000}"/>
    <cellStyle name="Currency0 11 2 3 2 2 2" xfId="5205" xr:uid="{00000000-0005-0000-0000-000056140000}"/>
    <cellStyle name="Currency0 11 2 3 2 2 3" xfId="5206" xr:uid="{00000000-0005-0000-0000-000057140000}"/>
    <cellStyle name="Currency0 11 2 3 2 3" xfId="5207" xr:uid="{00000000-0005-0000-0000-000058140000}"/>
    <cellStyle name="Currency0 11 2 3 2 3 2" xfId="5208" xr:uid="{00000000-0005-0000-0000-000059140000}"/>
    <cellStyle name="Currency0 11 2 3 2 3 3" xfId="5209" xr:uid="{00000000-0005-0000-0000-00005A140000}"/>
    <cellStyle name="Currency0 11 2 3 2 4" xfId="5210" xr:uid="{00000000-0005-0000-0000-00005B140000}"/>
    <cellStyle name="Currency0 11 2 3 2 5" xfId="5211" xr:uid="{00000000-0005-0000-0000-00005C140000}"/>
    <cellStyle name="Currency0 11 2 3 2 6" xfId="5212" xr:uid="{00000000-0005-0000-0000-00005D140000}"/>
    <cellStyle name="Currency0 11 2 3 3" xfId="5213" xr:uid="{00000000-0005-0000-0000-00005E140000}"/>
    <cellStyle name="Currency0 11 2 3 3 2" xfId="5214" xr:uid="{00000000-0005-0000-0000-00005F140000}"/>
    <cellStyle name="Currency0 11 2 3 3 3" xfId="5215" xr:uid="{00000000-0005-0000-0000-000060140000}"/>
    <cellStyle name="Currency0 11 2 3 4" xfId="5216" xr:uid="{00000000-0005-0000-0000-000061140000}"/>
    <cellStyle name="Currency0 11 2 3 4 2" xfId="5217" xr:uid="{00000000-0005-0000-0000-000062140000}"/>
    <cellStyle name="Currency0 11 2 3 4 3" xfId="5218" xr:uid="{00000000-0005-0000-0000-000063140000}"/>
    <cellStyle name="Currency0 11 2 3 5" xfId="5219" xr:uid="{00000000-0005-0000-0000-000064140000}"/>
    <cellStyle name="Currency0 11 2 3 5 2" xfId="5220" xr:uid="{00000000-0005-0000-0000-000065140000}"/>
    <cellStyle name="Currency0 11 2 3 5 3" xfId="5221" xr:uid="{00000000-0005-0000-0000-000066140000}"/>
    <cellStyle name="Currency0 11 2 3 6" xfId="5222" xr:uid="{00000000-0005-0000-0000-000067140000}"/>
    <cellStyle name="Currency0 11 2 3 7" xfId="5223" xr:uid="{00000000-0005-0000-0000-000068140000}"/>
    <cellStyle name="Currency0 11 2 3 8" xfId="5224" xr:uid="{00000000-0005-0000-0000-000069140000}"/>
    <cellStyle name="Currency0 11 2 4" xfId="5225" xr:uid="{00000000-0005-0000-0000-00006A140000}"/>
    <cellStyle name="Currency0 11 2 4 2" xfId="5226" xr:uid="{00000000-0005-0000-0000-00006B140000}"/>
    <cellStyle name="Currency0 11 2 4 2 2" xfId="5227" xr:uid="{00000000-0005-0000-0000-00006C140000}"/>
    <cellStyle name="Currency0 11 2 4 2 3" xfId="5228" xr:uid="{00000000-0005-0000-0000-00006D140000}"/>
    <cellStyle name="Currency0 11 2 4 3" xfId="5229" xr:uid="{00000000-0005-0000-0000-00006E140000}"/>
    <cellStyle name="Currency0 11 2 4 3 2" xfId="5230" xr:uid="{00000000-0005-0000-0000-00006F140000}"/>
    <cellStyle name="Currency0 11 2 4 3 3" xfId="5231" xr:uid="{00000000-0005-0000-0000-000070140000}"/>
    <cellStyle name="Currency0 11 2 4 4" xfId="5232" xr:uid="{00000000-0005-0000-0000-000071140000}"/>
    <cellStyle name="Currency0 11 2 4 5" xfId="5233" xr:uid="{00000000-0005-0000-0000-000072140000}"/>
    <cellStyle name="Currency0 11 2 4 6" xfId="5234" xr:uid="{00000000-0005-0000-0000-000073140000}"/>
    <cellStyle name="Currency0 11 2 5" xfId="5235" xr:uid="{00000000-0005-0000-0000-000074140000}"/>
    <cellStyle name="Currency0 11 2 5 2" xfId="5236" xr:uid="{00000000-0005-0000-0000-000075140000}"/>
    <cellStyle name="Currency0 11 2 5 3" xfId="5237" xr:uid="{00000000-0005-0000-0000-000076140000}"/>
    <cellStyle name="Currency0 11 2 6" xfId="5238" xr:uid="{00000000-0005-0000-0000-000077140000}"/>
    <cellStyle name="Currency0 11 2 6 2" xfId="5239" xr:uid="{00000000-0005-0000-0000-000078140000}"/>
    <cellStyle name="Currency0 11 2 6 3" xfId="5240" xr:uid="{00000000-0005-0000-0000-000079140000}"/>
    <cellStyle name="Currency0 11 2 7" xfId="5241" xr:uid="{00000000-0005-0000-0000-00007A140000}"/>
    <cellStyle name="Currency0 11 2 7 2" xfId="5242" xr:uid="{00000000-0005-0000-0000-00007B140000}"/>
    <cellStyle name="Currency0 11 2 7 3" xfId="5243" xr:uid="{00000000-0005-0000-0000-00007C140000}"/>
    <cellStyle name="Currency0 11 2 8" xfId="5244" xr:uid="{00000000-0005-0000-0000-00007D140000}"/>
    <cellStyle name="Currency0 11 2 9" xfId="5245" xr:uid="{00000000-0005-0000-0000-00007E140000}"/>
    <cellStyle name="Currency0 11 3" xfId="5246" xr:uid="{00000000-0005-0000-0000-00007F140000}"/>
    <cellStyle name="Currency0 11 3 2" xfId="5247" xr:uid="{00000000-0005-0000-0000-000080140000}"/>
    <cellStyle name="Currency0 11 3 2 2" xfId="5248" xr:uid="{00000000-0005-0000-0000-000081140000}"/>
    <cellStyle name="Currency0 11 3 2 2 2" xfId="5249" xr:uid="{00000000-0005-0000-0000-000082140000}"/>
    <cellStyle name="Currency0 11 3 2 2 3" xfId="5250" xr:uid="{00000000-0005-0000-0000-000083140000}"/>
    <cellStyle name="Currency0 11 3 2 3" xfId="5251" xr:uid="{00000000-0005-0000-0000-000084140000}"/>
    <cellStyle name="Currency0 11 3 2 3 2" xfId="5252" xr:uid="{00000000-0005-0000-0000-000085140000}"/>
    <cellStyle name="Currency0 11 3 2 3 3" xfId="5253" xr:uid="{00000000-0005-0000-0000-000086140000}"/>
    <cellStyle name="Currency0 11 3 2 4" xfId="5254" xr:uid="{00000000-0005-0000-0000-000087140000}"/>
    <cellStyle name="Currency0 11 3 2 5" xfId="5255" xr:uid="{00000000-0005-0000-0000-000088140000}"/>
    <cellStyle name="Currency0 11 3 2 6" xfId="5256" xr:uid="{00000000-0005-0000-0000-000089140000}"/>
    <cellStyle name="Currency0 11 3 3" xfId="5257" xr:uid="{00000000-0005-0000-0000-00008A140000}"/>
    <cellStyle name="Currency0 11 3 3 2" xfId="5258" xr:uid="{00000000-0005-0000-0000-00008B140000}"/>
    <cellStyle name="Currency0 11 3 3 3" xfId="5259" xr:uid="{00000000-0005-0000-0000-00008C140000}"/>
    <cellStyle name="Currency0 11 3 4" xfId="5260" xr:uid="{00000000-0005-0000-0000-00008D140000}"/>
    <cellStyle name="Currency0 11 3 4 2" xfId="5261" xr:uid="{00000000-0005-0000-0000-00008E140000}"/>
    <cellStyle name="Currency0 11 3 4 3" xfId="5262" xr:uid="{00000000-0005-0000-0000-00008F140000}"/>
    <cellStyle name="Currency0 11 3 5" xfId="5263" xr:uid="{00000000-0005-0000-0000-000090140000}"/>
    <cellStyle name="Currency0 11 3 5 2" xfId="5264" xr:uid="{00000000-0005-0000-0000-000091140000}"/>
    <cellStyle name="Currency0 11 3 5 3" xfId="5265" xr:uid="{00000000-0005-0000-0000-000092140000}"/>
    <cellStyle name="Currency0 11 3 6" xfId="5266" xr:uid="{00000000-0005-0000-0000-000093140000}"/>
    <cellStyle name="Currency0 11 3 7" xfId="5267" xr:uid="{00000000-0005-0000-0000-000094140000}"/>
    <cellStyle name="Currency0 11 3 8" xfId="5268" xr:uid="{00000000-0005-0000-0000-000095140000}"/>
    <cellStyle name="Currency0 11 4" xfId="5269" xr:uid="{00000000-0005-0000-0000-000096140000}"/>
    <cellStyle name="Currency0 11 4 2" xfId="5270" xr:uid="{00000000-0005-0000-0000-000097140000}"/>
    <cellStyle name="Currency0 11 4 2 2" xfId="5271" xr:uid="{00000000-0005-0000-0000-000098140000}"/>
    <cellStyle name="Currency0 11 4 2 2 2" xfId="5272" xr:uid="{00000000-0005-0000-0000-000099140000}"/>
    <cellStyle name="Currency0 11 4 2 2 3" xfId="5273" xr:uid="{00000000-0005-0000-0000-00009A140000}"/>
    <cellStyle name="Currency0 11 4 2 3" xfId="5274" xr:uid="{00000000-0005-0000-0000-00009B140000}"/>
    <cellStyle name="Currency0 11 4 2 3 2" xfId="5275" xr:uid="{00000000-0005-0000-0000-00009C140000}"/>
    <cellStyle name="Currency0 11 4 2 3 3" xfId="5276" xr:uid="{00000000-0005-0000-0000-00009D140000}"/>
    <cellStyle name="Currency0 11 4 2 4" xfId="5277" xr:uid="{00000000-0005-0000-0000-00009E140000}"/>
    <cellStyle name="Currency0 11 4 2 5" xfId="5278" xr:uid="{00000000-0005-0000-0000-00009F140000}"/>
    <cellStyle name="Currency0 11 4 2 6" xfId="5279" xr:uid="{00000000-0005-0000-0000-0000A0140000}"/>
    <cellStyle name="Currency0 11 4 3" xfId="5280" xr:uid="{00000000-0005-0000-0000-0000A1140000}"/>
    <cellStyle name="Currency0 11 4 3 2" xfId="5281" xr:uid="{00000000-0005-0000-0000-0000A2140000}"/>
    <cellStyle name="Currency0 11 4 3 3" xfId="5282" xr:uid="{00000000-0005-0000-0000-0000A3140000}"/>
    <cellStyle name="Currency0 11 4 4" xfId="5283" xr:uid="{00000000-0005-0000-0000-0000A4140000}"/>
    <cellStyle name="Currency0 11 4 4 2" xfId="5284" xr:uid="{00000000-0005-0000-0000-0000A5140000}"/>
    <cellStyle name="Currency0 11 4 4 3" xfId="5285" xr:uid="{00000000-0005-0000-0000-0000A6140000}"/>
    <cellStyle name="Currency0 11 4 5" xfId="5286" xr:uid="{00000000-0005-0000-0000-0000A7140000}"/>
    <cellStyle name="Currency0 11 4 5 2" xfId="5287" xr:uid="{00000000-0005-0000-0000-0000A8140000}"/>
    <cellStyle name="Currency0 11 4 5 3" xfId="5288" xr:uid="{00000000-0005-0000-0000-0000A9140000}"/>
    <cellStyle name="Currency0 11 4 6" xfId="5289" xr:uid="{00000000-0005-0000-0000-0000AA140000}"/>
    <cellStyle name="Currency0 11 4 7" xfId="5290" xr:uid="{00000000-0005-0000-0000-0000AB140000}"/>
    <cellStyle name="Currency0 11 4 8" xfId="5291" xr:uid="{00000000-0005-0000-0000-0000AC140000}"/>
    <cellStyle name="Currency0 11 5" xfId="5292" xr:uid="{00000000-0005-0000-0000-0000AD140000}"/>
    <cellStyle name="Currency0 11 5 2" xfId="5293" xr:uid="{00000000-0005-0000-0000-0000AE140000}"/>
    <cellStyle name="Currency0 11 5 2 2" xfId="5294" xr:uid="{00000000-0005-0000-0000-0000AF140000}"/>
    <cellStyle name="Currency0 11 5 2 2 2" xfId="5295" xr:uid="{00000000-0005-0000-0000-0000B0140000}"/>
    <cellStyle name="Currency0 11 5 2 2 3" xfId="5296" xr:uid="{00000000-0005-0000-0000-0000B1140000}"/>
    <cellStyle name="Currency0 11 5 2 3" xfId="5297" xr:uid="{00000000-0005-0000-0000-0000B2140000}"/>
    <cellStyle name="Currency0 11 5 2 3 2" xfId="5298" xr:uid="{00000000-0005-0000-0000-0000B3140000}"/>
    <cellStyle name="Currency0 11 5 2 3 3" xfId="5299" xr:uid="{00000000-0005-0000-0000-0000B4140000}"/>
    <cellStyle name="Currency0 11 5 2 4" xfId="5300" xr:uid="{00000000-0005-0000-0000-0000B5140000}"/>
    <cellStyle name="Currency0 11 5 2 5" xfId="5301" xr:uid="{00000000-0005-0000-0000-0000B6140000}"/>
    <cellStyle name="Currency0 11 5 2 6" xfId="5302" xr:uid="{00000000-0005-0000-0000-0000B7140000}"/>
    <cellStyle name="Currency0 11 5 3" xfId="5303" xr:uid="{00000000-0005-0000-0000-0000B8140000}"/>
    <cellStyle name="Currency0 11 5 3 2" xfId="5304" xr:uid="{00000000-0005-0000-0000-0000B9140000}"/>
    <cellStyle name="Currency0 11 5 3 3" xfId="5305" xr:uid="{00000000-0005-0000-0000-0000BA140000}"/>
    <cellStyle name="Currency0 11 5 4" xfId="5306" xr:uid="{00000000-0005-0000-0000-0000BB140000}"/>
    <cellStyle name="Currency0 11 5 4 2" xfId="5307" xr:uid="{00000000-0005-0000-0000-0000BC140000}"/>
    <cellStyle name="Currency0 11 5 4 3" xfId="5308" xr:uid="{00000000-0005-0000-0000-0000BD140000}"/>
    <cellStyle name="Currency0 11 5 5" xfId="5309" xr:uid="{00000000-0005-0000-0000-0000BE140000}"/>
    <cellStyle name="Currency0 11 5 5 2" xfId="5310" xr:uid="{00000000-0005-0000-0000-0000BF140000}"/>
    <cellStyle name="Currency0 11 5 5 3" xfId="5311" xr:uid="{00000000-0005-0000-0000-0000C0140000}"/>
    <cellStyle name="Currency0 11 5 6" xfId="5312" xr:uid="{00000000-0005-0000-0000-0000C1140000}"/>
    <cellStyle name="Currency0 11 5 7" xfId="5313" xr:uid="{00000000-0005-0000-0000-0000C2140000}"/>
    <cellStyle name="Currency0 11 5 8" xfId="5314" xr:uid="{00000000-0005-0000-0000-0000C3140000}"/>
    <cellStyle name="Currency0 11 6" xfId="5315" xr:uid="{00000000-0005-0000-0000-0000C4140000}"/>
    <cellStyle name="Currency0 11 6 2" xfId="5316" xr:uid="{00000000-0005-0000-0000-0000C5140000}"/>
    <cellStyle name="Currency0 11 6 2 2" xfId="5317" xr:uid="{00000000-0005-0000-0000-0000C6140000}"/>
    <cellStyle name="Currency0 11 6 2 3" xfId="5318" xr:uid="{00000000-0005-0000-0000-0000C7140000}"/>
    <cellStyle name="Currency0 11 6 3" xfId="5319" xr:uid="{00000000-0005-0000-0000-0000C8140000}"/>
    <cellStyle name="Currency0 11 6 3 2" xfId="5320" xr:uid="{00000000-0005-0000-0000-0000C9140000}"/>
    <cellStyle name="Currency0 11 6 3 3" xfId="5321" xr:uid="{00000000-0005-0000-0000-0000CA140000}"/>
    <cellStyle name="Currency0 11 6 4" xfId="5322" xr:uid="{00000000-0005-0000-0000-0000CB140000}"/>
    <cellStyle name="Currency0 11 6 5" xfId="5323" xr:uid="{00000000-0005-0000-0000-0000CC140000}"/>
    <cellStyle name="Currency0 11 6 6" xfId="5324" xr:uid="{00000000-0005-0000-0000-0000CD140000}"/>
    <cellStyle name="Currency0 11 7" xfId="5325" xr:uid="{00000000-0005-0000-0000-0000CE140000}"/>
    <cellStyle name="Currency0 11 7 2" xfId="5326" xr:uid="{00000000-0005-0000-0000-0000CF140000}"/>
    <cellStyle name="Currency0 11 7 3" xfId="5327" xr:uid="{00000000-0005-0000-0000-0000D0140000}"/>
    <cellStyle name="Currency0 11 8" xfId="5328" xr:uid="{00000000-0005-0000-0000-0000D1140000}"/>
    <cellStyle name="Currency0 11 8 2" xfId="5329" xr:uid="{00000000-0005-0000-0000-0000D2140000}"/>
    <cellStyle name="Currency0 11 8 3" xfId="5330" xr:uid="{00000000-0005-0000-0000-0000D3140000}"/>
    <cellStyle name="Currency0 11 9" xfId="5331" xr:uid="{00000000-0005-0000-0000-0000D4140000}"/>
    <cellStyle name="Currency0 11 9 2" xfId="5332" xr:uid="{00000000-0005-0000-0000-0000D5140000}"/>
    <cellStyle name="Currency0 11 9 3" xfId="5333" xr:uid="{00000000-0005-0000-0000-0000D6140000}"/>
    <cellStyle name="Currency0 12" xfId="5334" xr:uid="{00000000-0005-0000-0000-0000D7140000}"/>
    <cellStyle name="Currency0 12 10" xfId="5335" xr:uid="{00000000-0005-0000-0000-0000D8140000}"/>
    <cellStyle name="Currency0 12 2" xfId="5336" xr:uid="{00000000-0005-0000-0000-0000D9140000}"/>
    <cellStyle name="Currency0 12 2 2" xfId="5337" xr:uid="{00000000-0005-0000-0000-0000DA140000}"/>
    <cellStyle name="Currency0 12 2 2 2" xfId="5338" xr:uid="{00000000-0005-0000-0000-0000DB140000}"/>
    <cellStyle name="Currency0 12 2 2 2 2" xfId="5339" xr:uid="{00000000-0005-0000-0000-0000DC140000}"/>
    <cellStyle name="Currency0 12 2 2 2 3" xfId="5340" xr:uid="{00000000-0005-0000-0000-0000DD140000}"/>
    <cellStyle name="Currency0 12 2 2 3" xfId="5341" xr:uid="{00000000-0005-0000-0000-0000DE140000}"/>
    <cellStyle name="Currency0 12 2 2 3 2" xfId="5342" xr:uid="{00000000-0005-0000-0000-0000DF140000}"/>
    <cellStyle name="Currency0 12 2 2 3 3" xfId="5343" xr:uid="{00000000-0005-0000-0000-0000E0140000}"/>
    <cellStyle name="Currency0 12 2 2 4" xfId="5344" xr:uid="{00000000-0005-0000-0000-0000E1140000}"/>
    <cellStyle name="Currency0 12 2 2 5" xfId="5345" xr:uid="{00000000-0005-0000-0000-0000E2140000}"/>
    <cellStyle name="Currency0 12 2 2 6" xfId="5346" xr:uid="{00000000-0005-0000-0000-0000E3140000}"/>
    <cellStyle name="Currency0 12 2 3" xfId="5347" xr:uid="{00000000-0005-0000-0000-0000E4140000}"/>
    <cellStyle name="Currency0 12 2 3 2" xfId="5348" xr:uid="{00000000-0005-0000-0000-0000E5140000}"/>
    <cellStyle name="Currency0 12 2 3 3" xfId="5349" xr:uid="{00000000-0005-0000-0000-0000E6140000}"/>
    <cellStyle name="Currency0 12 2 4" xfId="5350" xr:uid="{00000000-0005-0000-0000-0000E7140000}"/>
    <cellStyle name="Currency0 12 2 4 2" xfId="5351" xr:uid="{00000000-0005-0000-0000-0000E8140000}"/>
    <cellStyle name="Currency0 12 2 4 3" xfId="5352" xr:uid="{00000000-0005-0000-0000-0000E9140000}"/>
    <cellStyle name="Currency0 12 2 5" xfId="5353" xr:uid="{00000000-0005-0000-0000-0000EA140000}"/>
    <cellStyle name="Currency0 12 2 5 2" xfId="5354" xr:uid="{00000000-0005-0000-0000-0000EB140000}"/>
    <cellStyle name="Currency0 12 2 5 3" xfId="5355" xr:uid="{00000000-0005-0000-0000-0000EC140000}"/>
    <cellStyle name="Currency0 12 2 6" xfId="5356" xr:uid="{00000000-0005-0000-0000-0000ED140000}"/>
    <cellStyle name="Currency0 12 2 7" xfId="5357" xr:uid="{00000000-0005-0000-0000-0000EE140000}"/>
    <cellStyle name="Currency0 12 2 8" xfId="5358" xr:uid="{00000000-0005-0000-0000-0000EF140000}"/>
    <cellStyle name="Currency0 12 3" xfId="5359" xr:uid="{00000000-0005-0000-0000-0000F0140000}"/>
    <cellStyle name="Currency0 12 3 2" xfId="5360" xr:uid="{00000000-0005-0000-0000-0000F1140000}"/>
    <cellStyle name="Currency0 12 3 2 2" xfId="5361" xr:uid="{00000000-0005-0000-0000-0000F2140000}"/>
    <cellStyle name="Currency0 12 3 2 2 2" xfId="5362" xr:uid="{00000000-0005-0000-0000-0000F3140000}"/>
    <cellStyle name="Currency0 12 3 2 2 3" xfId="5363" xr:uid="{00000000-0005-0000-0000-0000F4140000}"/>
    <cellStyle name="Currency0 12 3 2 3" xfId="5364" xr:uid="{00000000-0005-0000-0000-0000F5140000}"/>
    <cellStyle name="Currency0 12 3 2 3 2" xfId="5365" xr:uid="{00000000-0005-0000-0000-0000F6140000}"/>
    <cellStyle name="Currency0 12 3 2 3 3" xfId="5366" xr:uid="{00000000-0005-0000-0000-0000F7140000}"/>
    <cellStyle name="Currency0 12 3 2 4" xfId="5367" xr:uid="{00000000-0005-0000-0000-0000F8140000}"/>
    <cellStyle name="Currency0 12 3 2 5" xfId="5368" xr:uid="{00000000-0005-0000-0000-0000F9140000}"/>
    <cellStyle name="Currency0 12 3 2 6" xfId="5369" xr:uid="{00000000-0005-0000-0000-0000FA140000}"/>
    <cellStyle name="Currency0 12 3 3" xfId="5370" xr:uid="{00000000-0005-0000-0000-0000FB140000}"/>
    <cellStyle name="Currency0 12 3 3 2" xfId="5371" xr:uid="{00000000-0005-0000-0000-0000FC140000}"/>
    <cellStyle name="Currency0 12 3 3 3" xfId="5372" xr:uid="{00000000-0005-0000-0000-0000FD140000}"/>
    <cellStyle name="Currency0 12 3 4" xfId="5373" xr:uid="{00000000-0005-0000-0000-0000FE140000}"/>
    <cellStyle name="Currency0 12 3 4 2" xfId="5374" xr:uid="{00000000-0005-0000-0000-0000FF140000}"/>
    <cellStyle name="Currency0 12 3 4 3" xfId="5375" xr:uid="{00000000-0005-0000-0000-000000150000}"/>
    <cellStyle name="Currency0 12 3 5" xfId="5376" xr:uid="{00000000-0005-0000-0000-000001150000}"/>
    <cellStyle name="Currency0 12 3 5 2" xfId="5377" xr:uid="{00000000-0005-0000-0000-000002150000}"/>
    <cellStyle name="Currency0 12 3 5 3" xfId="5378" xr:uid="{00000000-0005-0000-0000-000003150000}"/>
    <cellStyle name="Currency0 12 3 6" xfId="5379" xr:uid="{00000000-0005-0000-0000-000004150000}"/>
    <cellStyle name="Currency0 12 3 7" xfId="5380" xr:uid="{00000000-0005-0000-0000-000005150000}"/>
    <cellStyle name="Currency0 12 3 8" xfId="5381" xr:uid="{00000000-0005-0000-0000-000006150000}"/>
    <cellStyle name="Currency0 12 4" xfId="5382" xr:uid="{00000000-0005-0000-0000-000007150000}"/>
    <cellStyle name="Currency0 12 4 2" xfId="5383" xr:uid="{00000000-0005-0000-0000-000008150000}"/>
    <cellStyle name="Currency0 12 4 2 2" xfId="5384" xr:uid="{00000000-0005-0000-0000-000009150000}"/>
    <cellStyle name="Currency0 12 4 2 3" xfId="5385" xr:uid="{00000000-0005-0000-0000-00000A150000}"/>
    <cellStyle name="Currency0 12 4 3" xfId="5386" xr:uid="{00000000-0005-0000-0000-00000B150000}"/>
    <cellStyle name="Currency0 12 4 3 2" xfId="5387" xr:uid="{00000000-0005-0000-0000-00000C150000}"/>
    <cellStyle name="Currency0 12 4 3 3" xfId="5388" xr:uid="{00000000-0005-0000-0000-00000D150000}"/>
    <cellStyle name="Currency0 12 4 4" xfId="5389" xr:uid="{00000000-0005-0000-0000-00000E150000}"/>
    <cellStyle name="Currency0 12 4 5" xfId="5390" xr:uid="{00000000-0005-0000-0000-00000F150000}"/>
    <cellStyle name="Currency0 12 4 6" xfId="5391" xr:uid="{00000000-0005-0000-0000-000010150000}"/>
    <cellStyle name="Currency0 12 5" xfId="5392" xr:uid="{00000000-0005-0000-0000-000011150000}"/>
    <cellStyle name="Currency0 12 5 2" xfId="5393" xr:uid="{00000000-0005-0000-0000-000012150000}"/>
    <cellStyle name="Currency0 12 5 3" xfId="5394" xr:uid="{00000000-0005-0000-0000-000013150000}"/>
    <cellStyle name="Currency0 12 6" xfId="5395" xr:uid="{00000000-0005-0000-0000-000014150000}"/>
    <cellStyle name="Currency0 12 6 2" xfId="5396" xr:uid="{00000000-0005-0000-0000-000015150000}"/>
    <cellStyle name="Currency0 12 6 3" xfId="5397" xr:uid="{00000000-0005-0000-0000-000016150000}"/>
    <cellStyle name="Currency0 12 7" xfId="5398" xr:uid="{00000000-0005-0000-0000-000017150000}"/>
    <cellStyle name="Currency0 12 7 2" xfId="5399" xr:uid="{00000000-0005-0000-0000-000018150000}"/>
    <cellStyle name="Currency0 12 7 3" xfId="5400" xr:uid="{00000000-0005-0000-0000-000019150000}"/>
    <cellStyle name="Currency0 12 8" xfId="5401" xr:uid="{00000000-0005-0000-0000-00001A150000}"/>
    <cellStyle name="Currency0 12 9" xfId="5402" xr:uid="{00000000-0005-0000-0000-00001B150000}"/>
    <cellStyle name="Currency0 13" xfId="5403" xr:uid="{00000000-0005-0000-0000-00001C150000}"/>
    <cellStyle name="Currency0 13 2" xfId="5404" xr:uid="{00000000-0005-0000-0000-00001D150000}"/>
    <cellStyle name="Currency0 13 2 2" xfId="5405" xr:uid="{00000000-0005-0000-0000-00001E150000}"/>
    <cellStyle name="Currency0 13 2 2 2" xfId="5406" xr:uid="{00000000-0005-0000-0000-00001F150000}"/>
    <cellStyle name="Currency0 13 2 2 3" xfId="5407" xr:uid="{00000000-0005-0000-0000-000020150000}"/>
    <cellStyle name="Currency0 13 2 3" xfId="5408" xr:uid="{00000000-0005-0000-0000-000021150000}"/>
    <cellStyle name="Currency0 13 2 3 2" xfId="5409" xr:uid="{00000000-0005-0000-0000-000022150000}"/>
    <cellStyle name="Currency0 13 2 3 3" xfId="5410" xr:uid="{00000000-0005-0000-0000-000023150000}"/>
    <cellStyle name="Currency0 13 2 4" xfId="5411" xr:uid="{00000000-0005-0000-0000-000024150000}"/>
    <cellStyle name="Currency0 13 2 5" xfId="5412" xr:uid="{00000000-0005-0000-0000-000025150000}"/>
    <cellStyle name="Currency0 13 2 6" xfId="5413" xr:uid="{00000000-0005-0000-0000-000026150000}"/>
    <cellStyle name="Currency0 13 3" xfId="5414" xr:uid="{00000000-0005-0000-0000-000027150000}"/>
    <cellStyle name="Currency0 13 3 2" xfId="5415" xr:uid="{00000000-0005-0000-0000-000028150000}"/>
    <cellStyle name="Currency0 13 3 3" xfId="5416" xr:uid="{00000000-0005-0000-0000-000029150000}"/>
    <cellStyle name="Currency0 13 4" xfId="5417" xr:uid="{00000000-0005-0000-0000-00002A150000}"/>
    <cellStyle name="Currency0 13 4 2" xfId="5418" xr:uid="{00000000-0005-0000-0000-00002B150000}"/>
    <cellStyle name="Currency0 13 4 3" xfId="5419" xr:uid="{00000000-0005-0000-0000-00002C150000}"/>
    <cellStyle name="Currency0 13 5" xfId="5420" xr:uid="{00000000-0005-0000-0000-00002D150000}"/>
    <cellStyle name="Currency0 13 5 2" xfId="5421" xr:uid="{00000000-0005-0000-0000-00002E150000}"/>
    <cellStyle name="Currency0 13 5 3" xfId="5422" xr:uid="{00000000-0005-0000-0000-00002F150000}"/>
    <cellStyle name="Currency0 13 6" xfId="5423" xr:uid="{00000000-0005-0000-0000-000030150000}"/>
    <cellStyle name="Currency0 13 7" xfId="5424" xr:uid="{00000000-0005-0000-0000-000031150000}"/>
    <cellStyle name="Currency0 13 8" xfId="5425" xr:uid="{00000000-0005-0000-0000-000032150000}"/>
    <cellStyle name="Currency0 14" xfId="5426" xr:uid="{00000000-0005-0000-0000-000033150000}"/>
    <cellStyle name="Currency0 14 2" xfId="5427" xr:uid="{00000000-0005-0000-0000-000034150000}"/>
    <cellStyle name="Currency0 14 2 2" xfId="5428" xr:uid="{00000000-0005-0000-0000-000035150000}"/>
    <cellStyle name="Currency0 14 2 2 2" xfId="5429" xr:uid="{00000000-0005-0000-0000-000036150000}"/>
    <cellStyle name="Currency0 14 2 2 3" xfId="5430" xr:uid="{00000000-0005-0000-0000-000037150000}"/>
    <cellStyle name="Currency0 14 2 3" xfId="5431" xr:uid="{00000000-0005-0000-0000-000038150000}"/>
    <cellStyle name="Currency0 14 2 3 2" xfId="5432" xr:uid="{00000000-0005-0000-0000-000039150000}"/>
    <cellStyle name="Currency0 14 2 3 3" xfId="5433" xr:uid="{00000000-0005-0000-0000-00003A150000}"/>
    <cellStyle name="Currency0 14 2 4" xfId="5434" xr:uid="{00000000-0005-0000-0000-00003B150000}"/>
    <cellStyle name="Currency0 14 2 5" xfId="5435" xr:uid="{00000000-0005-0000-0000-00003C150000}"/>
    <cellStyle name="Currency0 14 2 6" xfId="5436" xr:uid="{00000000-0005-0000-0000-00003D150000}"/>
    <cellStyle name="Currency0 14 3" xfId="5437" xr:uid="{00000000-0005-0000-0000-00003E150000}"/>
    <cellStyle name="Currency0 14 3 2" xfId="5438" xr:uid="{00000000-0005-0000-0000-00003F150000}"/>
    <cellStyle name="Currency0 14 3 3" xfId="5439" xr:uid="{00000000-0005-0000-0000-000040150000}"/>
    <cellStyle name="Currency0 14 4" xfId="5440" xr:uid="{00000000-0005-0000-0000-000041150000}"/>
    <cellStyle name="Currency0 14 4 2" xfId="5441" xr:uid="{00000000-0005-0000-0000-000042150000}"/>
    <cellStyle name="Currency0 14 4 3" xfId="5442" xr:uid="{00000000-0005-0000-0000-000043150000}"/>
    <cellStyle name="Currency0 14 5" xfId="5443" xr:uid="{00000000-0005-0000-0000-000044150000}"/>
    <cellStyle name="Currency0 14 5 2" xfId="5444" xr:uid="{00000000-0005-0000-0000-000045150000}"/>
    <cellStyle name="Currency0 14 5 3" xfId="5445" xr:uid="{00000000-0005-0000-0000-000046150000}"/>
    <cellStyle name="Currency0 14 6" xfId="5446" xr:uid="{00000000-0005-0000-0000-000047150000}"/>
    <cellStyle name="Currency0 14 7" xfId="5447" xr:uid="{00000000-0005-0000-0000-000048150000}"/>
    <cellStyle name="Currency0 14 8" xfId="5448" xr:uid="{00000000-0005-0000-0000-000049150000}"/>
    <cellStyle name="Currency0 15" xfId="5449" xr:uid="{00000000-0005-0000-0000-00004A150000}"/>
    <cellStyle name="Currency0 15 2" xfId="5450" xr:uid="{00000000-0005-0000-0000-00004B150000}"/>
    <cellStyle name="Currency0 15 2 2" xfId="5451" xr:uid="{00000000-0005-0000-0000-00004C150000}"/>
    <cellStyle name="Currency0 15 2 2 2" xfId="5452" xr:uid="{00000000-0005-0000-0000-00004D150000}"/>
    <cellStyle name="Currency0 15 2 2 3" xfId="5453" xr:uid="{00000000-0005-0000-0000-00004E150000}"/>
    <cellStyle name="Currency0 15 2 3" xfId="5454" xr:uid="{00000000-0005-0000-0000-00004F150000}"/>
    <cellStyle name="Currency0 15 2 3 2" xfId="5455" xr:uid="{00000000-0005-0000-0000-000050150000}"/>
    <cellStyle name="Currency0 15 2 3 3" xfId="5456" xr:uid="{00000000-0005-0000-0000-000051150000}"/>
    <cellStyle name="Currency0 15 2 4" xfId="5457" xr:uid="{00000000-0005-0000-0000-000052150000}"/>
    <cellStyle name="Currency0 15 2 5" xfId="5458" xr:uid="{00000000-0005-0000-0000-000053150000}"/>
    <cellStyle name="Currency0 15 2 6" xfId="5459" xr:uid="{00000000-0005-0000-0000-000054150000}"/>
    <cellStyle name="Currency0 15 3" xfId="5460" xr:uid="{00000000-0005-0000-0000-000055150000}"/>
    <cellStyle name="Currency0 15 3 2" xfId="5461" xr:uid="{00000000-0005-0000-0000-000056150000}"/>
    <cellStyle name="Currency0 15 3 3" xfId="5462" xr:uid="{00000000-0005-0000-0000-000057150000}"/>
    <cellStyle name="Currency0 15 4" xfId="5463" xr:uid="{00000000-0005-0000-0000-000058150000}"/>
    <cellStyle name="Currency0 15 4 2" xfId="5464" xr:uid="{00000000-0005-0000-0000-000059150000}"/>
    <cellStyle name="Currency0 15 4 3" xfId="5465" xr:uid="{00000000-0005-0000-0000-00005A150000}"/>
    <cellStyle name="Currency0 15 5" xfId="5466" xr:uid="{00000000-0005-0000-0000-00005B150000}"/>
    <cellStyle name="Currency0 15 5 2" xfId="5467" xr:uid="{00000000-0005-0000-0000-00005C150000}"/>
    <cellStyle name="Currency0 15 5 3" xfId="5468" xr:uid="{00000000-0005-0000-0000-00005D150000}"/>
    <cellStyle name="Currency0 15 6" xfId="5469" xr:uid="{00000000-0005-0000-0000-00005E150000}"/>
    <cellStyle name="Currency0 15 7" xfId="5470" xr:uid="{00000000-0005-0000-0000-00005F150000}"/>
    <cellStyle name="Currency0 15 8" xfId="5471" xr:uid="{00000000-0005-0000-0000-000060150000}"/>
    <cellStyle name="Currency0 16" xfId="5472" xr:uid="{00000000-0005-0000-0000-000061150000}"/>
    <cellStyle name="Currency0 16 2" xfId="5473" xr:uid="{00000000-0005-0000-0000-000062150000}"/>
    <cellStyle name="Currency0 16 2 2" xfId="5474" xr:uid="{00000000-0005-0000-0000-000063150000}"/>
    <cellStyle name="Currency0 16 2 3" xfId="5475" xr:uid="{00000000-0005-0000-0000-000064150000}"/>
    <cellStyle name="Currency0 16 3" xfId="5476" xr:uid="{00000000-0005-0000-0000-000065150000}"/>
    <cellStyle name="Currency0 16 3 2" xfId="5477" xr:uid="{00000000-0005-0000-0000-000066150000}"/>
    <cellStyle name="Currency0 16 3 3" xfId="5478" xr:uid="{00000000-0005-0000-0000-000067150000}"/>
    <cellStyle name="Currency0 16 4" xfId="5479" xr:uid="{00000000-0005-0000-0000-000068150000}"/>
    <cellStyle name="Currency0 16 5" xfId="5480" xr:uid="{00000000-0005-0000-0000-000069150000}"/>
    <cellStyle name="Currency0 16 6" xfId="5481" xr:uid="{00000000-0005-0000-0000-00006A150000}"/>
    <cellStyle name="Currency0 17" xfId="5482" xr:uid="{00000000-0005-0000-0000-00006B150000}"/>
    <cellStyle name="Currency0 17 2" xfId="5483" xr:uid="{00000000-0005-0000-0000-00006C150000}"/>
    <cellStyle name="Currency0 17 3" xfId="5484" xr:uid="{00000000-0005-0000-0000-00006D150000}"/>
    <cellStyle name="Currency0 18" xfId="5485" xr:uid="{00000000-0005-0000-0000-00006E150000}"/>
    <cellStyle name="Currency0 18 2" xfId="5486" xr:uid="{00000000-0005-0000-0000-00006F150000}"/>
    <cellStyle name="Currency0 18 3" xfId="5487" xr:uid="{00000000-0005-0000-0000-000070150000}"/>
    <cellStyle name="Currency0 19" xfId="5488" xr:uid="{00000000-0005-0000-0000-000071150000}"/>
    <cellStyle name="Currency0 19 2" xfId="5489" xr:uid="{00000000-0005-0000-0000-000072150000}"/>
    <cellStyle name="Currency0 19 3" xfId="5490" xr:uid="{00000000-0005-0000-0000-000073150000}"/>
    <cellStyle name="Currency0 2" xfId="5491" xr:uid="{00000000-0005-0000-0000-000074150000}"/>
    <cellStyle name="Currency0 2 10" xfId="5492" xr:uid="{00000000-0005-0000-0000-000075150000}"/>
    <cellStyle name="Currency0 2 11" xfId="5493" xr:uid="{00000000-0005-0000-0000-000076150000}"/>
    <cellStyle name="Currency0 2 12" xfId="5494" xr:uid="{00000000-0005-0000-0000-000077150000}"/>
    <cellStyle name="Currency0 2 2" xfId="5495" xr:uid="{00000000-0005-0000-0000-000078150000}"/>
    <cellStyle name="Currency0 2 2 10" xfId="5496" xr:uid="{00000000-0005-0000-0000-000079150000}"/>
    <cellStyle name="Currency0 2 2 2" xfId="5497" xr:uid="{00000000-0005-0000-0000-00007A150000}"/>
    <cellStyle name="Currency0 2 2 2 2" xfId="5498" xr:uid="{00000000-0005-0000-0000-00007B150000}"/>
    <cellStyle name="Currency0 2 2 2 2 2" xfId="5499" xr:uid="{00000000-0005-0000-0000-00007C150000}"/>
    <cellStyle name="Currency0 2 2 2 2 2 2" xfId="5500" xr:uid="{00000000-0005-0000-0000-00007D150000}"/>
    <cellStyle name="Currency0 2 2 2 2 2 3" xfId="5501" xr:uid="{00000000-0005-0000-0000-00007E150000}"/>
    <cellStyle name="Currency0 2 2 2 2 3" xfId="5502" xr:uid="{00000000-0005-0000-0000-00007F150000}"/>
    <cellStyle name="Currency0 2 2 2 2 3 2" xfId="5503" xr:uid="{00000000-0005-0000-0000-000080150000}"/>
    <cellStyle name="Currency0 2 2 2 2 3 3" xfId="5504" xr:uid="{00000000-0005-0000-0000-000081150000}"/>
    <cellStyle name="Currency0 2 2 2 2 4" xfId="5505" xr:uid="{00000000-0005-0000-0000-000082150000}"/>
    <cellStyle name="Currency0 2 2 2 2 5" xfId="5506" xr:uid="{00000000-0005-0000-0000-000083150000}"/>
    <cellStyle name="Currency0 2 2 2 2 6" xfId="5507" xr:uid="{00000000-0005-0000-0000-000084150000}"/>
    <cellStyle name="Currency0 2 2 2 3" xfId="5508" xr:uid="{00000000-0005-0000-0000-000085150000}"/>
    <cellStyle name="Currency0 2 2 2 3 2" xfId="5509" xr:uid="{00000000-0005-0000-0000-000086150000}"/>
    <cellStyle name="Currency0 2 2 2 3 3" xfId="5510" xr:uid="{00000000-0005-0000-0000-000087150000}"/>
    <cellStyle name="Currency0 2 2 2 4" xfId="5511" xr:uid="{00000000-0005-0000-0000-000088150000}"/>
    <cellStyle name="Currency0 2 2 2 4 2" xfId="5512" xr:uid="{00000000-0005-0000-0000-000089150000}"/>
    <cellStyle name="Currency0 2 2 2 4 3" xfId="5513" xr:uid="{00000000-0005-0000-0000-00008A150000}"/>
    <cellStyle name="Currency0 2 2 2 5" xfId="5514" xr:uid="{00000000-0005-0000-0000-00008B150000}"/>
    <cellStyle name="Currency0 2 2 2 5 2" xfId="5515" xr:uid="{00000000-0005-0000-0000-00008C150000}"/>
    <cellStyle name="Currency0 2 2 2 5 3" xfId="5516" xr:uid="{00000000-0005-0000-0000-00008D150000}"/>
    <cellStyle name="Currency0 2 2 2 6" xfId="5517" xr:uid="{00000000-0005-0000-0000-00008E150000}"/>
    <cellStyle name="Currency0 2 2 2 7" xfId="5518" xr:uid="{00000000-0005-0000-0000-00008F150000}"/>
    <cellStyle name="Currency0 2 2 2 8" xfId="5519" xr:uid="{00000000-0005-0000-0000-000090150000}"/>
    <cellStyle name="Currency0 2 2 3" xfId="5520" xr:uid="{00000000-0005-0000-0000-000091150000}"/>
    <cellStyle name="Currency0 2 2 3 2" xfId="5521" xr:uid="{00000000-0005-0000-0000-000092150000}"/>
    <cellStyle name="Currency0 2 2 3 2 2" xfId="5522" xr:uid="{00000000-0005-0000-0000-000093150000}"/>
    <cellStyle name="Currency0 2 2 3 2 2 2" xfId="5523" xr:uid="{00000000-0005-0000-0000-000094150000}"/>
    <cellStyle name="Currency0 2 2 3 2 2 3" xfId="5524" xr:uid="{00000000-0005-0000-0000-000095150000}"/>
    <cellStyle name="Currency0 2 2 3 2 3" xfId="5525" xr:uid="{00000000-0005-0000-0000-000096150000}"/>
    <cellStyle name="Currency0 2 2 3 2 3 2" xfId="5526" xr:uid="{00000000-0005-0000-0000-000097150000}"/>
    <cellStyle name="Currency0 2 2 3 2 3 3" xfId="5527" xr:uid="{00000000-0005-0000-0000-000098150000}"/>
    <cellStyle name="Currency0 2 2 3 2 4" xfId="5528" xr:uid="{00000000-0005-0000-0000-000099150000}"/>
    <cellStyle name="Currency0 2 2 3 2 5" xfId="5529" xr:uid="{00000000-0005-0000-0000-00009A150000}"/>
    <cellStyle name="Currency0 2 2 3 2 6" xfId="5530" xr:uid="{00000000-0005-0000-0000-00009B150000}"/>
    <cellStyle name="Currency0 2 2 3 3" xfId="5531" xr:uid="{00000000-0005-0000-0000-00009C150000}"/>
    <cellStyle name="Currency0 2 2 3 3 2" xfId="5532" xr:uid="{00000000-0005-0000-0000-00009D150000}"/>
    <cellStyle name="Currency0 2 2 3 3 3" xfId="5533" xr:uid="{00000000-0005-0000-0000-00009E150000}"/>
    <cellStyle name="Currency0 2 2 3 4" xfId="5534" xr:uid="{00000000-0005-0000-0000-00009F150000}"/>
    <cellStyle name="Currency0 2 2 3 4 2" xfId="5535" xr:uid="{00000000-0005-0000-0000-0000A0150000}"/>
    <cellStyle name="Currency0 2 2 3 4 3" xfId="5536" xr:uid="{00000000-0005-0000-0000-0000A1150000}"/>
    <cellStyle name="Currency0 2 2 3 5" xfId="5537" xr:uid="{00000000-0005-0000-0000-0000A2150000}"/>
    <cellStyle name="Currency0 2 2 3 5 2" xfId="5538" xr:uid="{00000000-0005-0000-0000-0000A3150000}"/>
    <cellStyle name="Currency0 2 2 3 5 3" xfId="5539" xr:uid="{00000000-0005-0000-0000-0000A4150000}"/>
    <cellStyle name="Currency0 2 2 3 6" xfId="5540" xr:uid="{00000000-0005-0000-0000-0000A5150000}"/>
    <cellStyle name="Currency0 2 2 3 7" xfId="5541" xr:uid="{00000000-0005-0000-0000-0000A6150000}"/>
    <cellStyle name="Currency0 2 2 3 8" xfId="5542" xr:uid="{00000000-0005-0000-0000-0000A7150000}"/>
    <cellStyle name="Currency0 2 2 4" xfId="5543" xr:uid="{00000000-0005-0000-0000-0000A8150000}"/>
    <cellStyle name="Currency0 2 2 4 2" xfId="5544" xr:uid="{00000000-0005-0000-0000-0000A9150000}"/>
    <cellStyle name="Currency0 2 2 4 2 2" xfId="5545" xr:uid="{00000000-0005-0000-0000-0000AA150000}"/>
    <cellStyle name="Currency0 2 2 4 2 3" xfId="5546" xr:uid="{00000000-0005-0000-0000-0000AB150000}"/>
    <cellStyle name="Currency0 2 2 4 3" xfId="5547" xr:uid="{00000000-0005-0000-0000-0000AC150000}"/>
    <cellStyle name="Currency0 2 2 4 3 2" xfId="5548" xr:uid="{00000000-0005-0000-0000-0000AD150000}"/>
    <cellStyle name="Currency0 2 2 4 3 3" xfId="5549" xr:uid="{00000000-0005-0000-0000-0000AE150000}"/>
    <cellStyle name="Currency0 2 2 4 4" xfId="5550" xr:uid="{00000000-0005-0000-0000-0000AF150000}"/>
    <cellStyle name="Currency0 2 2 4 5" xfId="5551" xr:uid="{00000000-0005-0000-0000-0000B0150000}"/>
    <cellStyle name="Currency0 2 2 4 6" xfId="5552" xr:uid="{00000000-0005-0000-0000-0000B1150000}"/>
    <cellStyle name="Currency0 2 2 5" xfId="5553" xr:uid="{00000000-0005-0000-0000-0000B2150000}"/>
    <cellStyle name="Currency0 2 2 5 2" xfId="5554" xr:uid="{00000000-0005-0000-0000-0000B3150000}"/>
    <cellStyle name="Currency0 2 2 5 3" xfId="5555" xr:uid="{00000000-0005-0000-0000-0000B4150000}"/>
    <cellStyle name="Currency0 2 2 6" xfId="5556" xr:uid="{00000000-0005-0000-0000-0000B5150000}"/>
    <cellStyle name="Currency0 2 2 6 2" xfId="5557" xr:uid="{00000000-0005-0000-0000-0000B6150000}"/>
    <cellStyle name="Currency0 2 2 6 3" xfId="5558" xr:uid="{00000000-0005-0000-0000-0000B7150000}"/>
    <cellStyle name="Currency0 2 2 7" xfId="5559" xr:uid="{00000000-0005-0000-0000-0000B8150000}"/>
    <cellStyle name="Currency0 2 2 7 2" xfId="5560" xr:uid="{00000000-0005-0000-0000-0000B9150000}"/>
    <cellStyle name="Currency0 2 2 7 3" xfId="5561" xr:uid="{00000000-0005-0000-0000-0000BA150000}"/>
    <cellStyle name="Currency0 2 2 8" xfId="5562" xr:uid="{00000000-0005-0000-0000-0000BB150000}"/>
    <cellStyle name="Currency0 2 2 9" xfId="5563" xr:uid="{00000000-0005-0000-0000-0000BC150000}"/>
    <cellStyle name="Currency0 2 3" xfId="5564" xr:uid="{00000000-0005-0000-0000-0000BD150000}"/>
    <cellStyle name="Currency0 2 3 2" xfId="5565" xr:uid="{00000000-0005-0000-0000-0000BE150000}"/>
    <cellStyle name="Currency0 2 3 2 2" xfId="5566" xr:uid="{00000000-0005-0000-0000-0000BF150000}"/>
    <cellStyle name="Currency0 2 3 2 2 2" xfId="5567" xr:uid="{00000000-0005-0000-0000-0000C0150000}"/>
    <cellStyle name="Currency0 2 3 2 2 3" xfId="5568" xr:uid="{00000000-0005-0000-0000-0000C1150000}"/>
    <cellStyle name="Currency0 2 3 2 3" xfId="5569" xr:uid="{00000000-0005-0000-0000-0000C2150000}"/>
    <cellStyle name="Currency0 2 3 2 3 2" xfId="5570" xr:uid="{00000000-0005-0000-0000-0000C3150000}"/>
    <cellStyle name="Currency0 2 3 2 3 3" xfId="5571" xr:uid="{00000000-0005-0000-0000-0000C4150000}"/>
    <cellStyle name="Currency0 2 3 2 4" xfId="5572" xr:uid="{00000000-0005-0000-0000-0000C5150000}"/>
    <cellStyle name="Currency0 2 3 2 5" xfId="5573" xr:uid="{00000000-0005-0000-0000-0000C6150000}"/>
    <cellStyle name="Currency0 2 3 2 6" xfId="5574" xr:uid="{00000000-0005-0000-0000-0000C7150000}"/>
    <cellStyle name="Currency0 2 3 3" xfId="5575" xr:uid="{00000000-0005-0000-0000-0000C8150000}"/>
    <cellStyle name="Currency0 2 3 3 2" xfId="5576" xr:uid="{00000000-0005-0000-0000-0000C9150000}"/>
    <cellStyle name="Currency0 2 3 3 3" xfId="5577" xr:uid="{00000000-0005-0000-0000-0000CA150000}"/>
    <cellStyle name="Currency0 2 3 4" xfId="5578" xr:uid="{00000000-0005-0000-0000-0000CB150000}"/>
    <cellStyle name="Currency0 2 3 4 2" xfId="5579" xr:uid="{00000000-0005-0000-0000-0000CC150000}"/>
    <cellStyle name="Currency0 2 3 4 3" xfId="5580" xr:uid="{00000000-0005-0000-0000-0000CD150000}"/>
    <cellStyle name="Currency0 2 3 5" xfId="5581" xr:uid="{00000000-0005-0000-0000-0000CE150000}"/>
    <cellStyle name="Currency0 2 3 5 2" xfId="5582" xr:uid="{00000000-0005-0000-0000-0000CF150000}"/>
    <cellStyle name="Currency0 2 3 5 3" xfId="5583" xr:uid="{00000000-0005-0000-0000-0000D0150000}"/>
    <cellStyle name="Currency0 2 3 6" xfId="5584" xr:uid="{00000000-0005-0000-0000-0000D1150000}"/>
    <cellStyle name="Currency0 2 3 7" xfId="5585" xr:uid="{00000000-0005-0000-0000-0000D2150000}"/>
    <cellStyle name="Currency0 2 3 8" xfId="5586" xr:uid="{00000000-0005-0000-0000-0000D3150000}"/>
    <cellStyle name="Currency0 2 4" xfId="5587" xr:uid="{00000000-0005-0000-0000-0000D4150000}"/>
    <cellStyle name="Currency0 2 4 2" xfId="5588" xr:uid="{00000000-0005-0000-0000-0000D5150000}"/>
    <cellStyle name="Currency0 2 4 2 2" xfId="5589" xr:uid="{00000000-0005-0000-0000-0000D6150000}"/>
    <cellStyle name="Currency0 2 4 2 2 2" xfId="5590" xr:uid="{00000000-0005-0000-0000-0000D7150000}"/>
    <cellStyle name="Currency0 2 4 2 2 3" xfId="5591" xr:uid="{00000000-0005-0000-0000-0000D8150000}"/>
    <cellStyle name="Currency0 2 4 2 3" xfId="5592" xr:uid="{00000000-0005-0000-0000-0000D9150000}"/>
    <cellStyle name="Currency0 2 4 2 3 2" xfId="5593" xr:uid="{00000000-0005-0000-0000-0000DA150000}"/>
    <cellStyle name="Currency0 2 4 2 3 3" xfId="5594" xr:uid="{00000000-0005-0000-0000-0000DB150000}"/>
    <cellStyle name="Currency0 2 4 2 4" xfId="5595" xr:uid="{00000000-0005-0000-0000-0000DC150000}"/>
    <cellStyle name="Currency0 2 4 2 5" xfId="5596" xr:uid="{00000000-0005-0000-0000-0000DD150000}"/>
    <cellStyle name="Currency0 2 4 2 6" xfId="5597" xr:uid="{00000000-0005-0000-0000-0000DE150000}"/>
    <cellStyle name="Currency0 2 4 3" xfId="5598" xr:uid="{00000000-0005-0000-0000-0000DF150000}"/>
    <cellStyle name="Currency0 2 4 3 2" xfId="5599" xr:uid="{00000000-0005-0000-0000-0000E0150000}"/>
    <cellStyle name="Currency0 2 4 3 3" xfId="5600" xr:uid="{00000000-0005-0000-0000-0000E1150000}"/>
    <cellStyle name="Currency0 2 4 4" xfId="5601" xr:uid="{00000000-0005-0000-0000-0000E2150000}"/>
    <cellStyle name="Currency0 2 4 4 2" xfId="5602" xr:uid="{00000000-0005-0000-0000-0000E3150000}"/>
    <cellStyle name="Currency0 2 4 4 3" xfId="5603" xr:uid="{00000000-0005-0000-0000-0000E4150000}"/>
    <cellStyle name="Currency0 2 4 5" xfId="5604" xr:uid="{00000000-0005-0000-0000-0000E5150000}"/>
    <cellStyle name="Currency0 2 4 5 2" xfId="5605" xr:uid="{00000000-0005-0000-0000-0000E6150000}"/>
    <cellStyle name="Currency0 2 4 5 3" xfId="5606" xr:uid="{00000000-0005-0000-0000-0000E7150000}"/>
    <cellStyle name="Currency0 2 4 6" xfId="5607" xr:uid="{00000000-0005-0000-0000-0000E8150000}"/>
    <cellStyle name="Currency0 2 4 7" xfId="5608" xr:uid="{00000000-0005-0000-0000-0000E9150000}"/>
    <cellStyle name="Currency0 2 4 8" xfId="5609" xr:uid="{00000000-0005-0000-0000-0000EA150000}"/>
    <cellStyle name="Currency0 2 5" xfId="5610" xr:uid="{00000000-0005-0000-0000-0000EB150000}"/>
    <cellStyle name="Currency0 2 5 2" xfId="5611" xr:uid="{00000000-0005-0000-0000-0000EC150000}"/>
    <cellStyle name="Currency0 2 5 2 2" xfId="5612" xr:uid="{00000000-0005-0000-0000-0000ED150000}"/>
    <cellStyle name="Currency0 2 5 2 2 2" xfId="5613" xr:uid="{00000000-0005-0000-0000-0000EE150000}"/>
    <cellStyle name="Currency0 2 5 2 2 3" xfId="5614" xr:uid="{00000000-0005-0000-0000-0000EF150000}"/>
    <cellStyle name="Currency0 2 5 2 3" xfId="5615" xr:uid="{00000000-0005-0000-0000-0000F0150000}"/>
    <cellStyle name="Currency0 2 5 2 3 2" xfId="5616" xr:uid="{00000000-0005-0000-0000-0000F1150000}"/>
    <cellStyle name="Currency0 2 5 2 3 3" xfId="5617" xr:uid="{00000000-0005-0000-0000-0000F2150000}"/>
    <cellStyle name="Currency0 2 5 2 4" xfId="5618" xr:uid="{00000000-0005-0000-0000-0000F3150000}"/>
    <cellStyle name="Currency0 2 5 2 5" xfId="5619" xr:uid="{00000000-0005-0000-0000-0000F4150000}"/>
    <cellStyle name="Currency0 2 5 2 6" xfId="5620" xr:uid="{00000000-0005-0000-0000-0000F5150000}"/>
    <cellStyle name="Currency0 2 5 3" xfId="5621" xr:uid="{00000000-0005-0000-0000-0000F6150000}"/>
    <cellStyle name="Currency0 2 5 3 2" xfId="5622" xr:uid="{00000000-0005-0000-0000-0000F7150000}"/>
    <cellStyle name="Currency0 2 5 3 3" xfId="5623" xr:uid="{00000000-0005-0000-0000-0000F8150000}"/>
    <cellStyle name="Currency0 2 5 4" xfId="5624" xr:uid="{00000000-0005-0000-0000-0000F9150000}"/>
    <cellStyle name="Currency0 2 5 4 2" xfId="5625" xr:uid="{00000000-0005-0000-0000-0000FA150000}"/>
    <cellStyle name="Currency0 2 5 4 3" xfId="5626" xr:uid="{00000000-0005-0000-0000-0000FB150000}"/>
    <cellStyle name="Currency0 2 5 5" xfId="5627" xr:uid="{00000000-0005-0000-0000-0000FC150000}"/>
    <cellStyle name="Currency0 2 5 5 2" xfId="5628" xr:uid="{00000000-0005-0000-0000-0000FD150000}"/>
    <cellStyle name="Currency0 2 5 5 3" xfId="5629" xr:uid="{00000000-0005-0000-0000-0000FE150000}"/>
    <cellStyle name="Currency0 2 5 6" xfId="5630" xr:uid="{00000000-0005-0000-0000-0000FF150000}"/>
    <cellStyle name="Currency0 2 5 7" xfId="5631" xr:uid="{00000000-0005-0000-0000-000000160000}"/>
    <cellStyle name="Currency0 2 5 8" xfId="5632" xr:uid="{00000000-0005-0000-0000-000001160000}"/>
    <cellStyle name="Currency0 2 6" xfId="5633" xr:uid="{00000000-0005-0000-0000-000002160000}"/>
    <cellStyle name="Currency0 2 6 2" xfId="5634" xr:uid="{00000000-0005-0000-0000-000003160000}"/>
    <cellStyle name="Currency0 2 6 2 2" xfId="5635" xr:uid="{00000000-0005-0000-0000-000004160000}"/>
    <cellStyle name="Currency0 2 6 2 3" xfId="5636" xr:uid="{00000000-0005-0000-0000-000005160000}"/>
    <cellStyle name="Currency0 2 6 3" xfId="5637" xr:uid="{00000000-0005-0000-0000-000006160000}"/>
    <cellStyle name="Currency0 2 6 3 2" xfId="5638" xr:uid="{00000000-0005-0000-0000-000007160000}"/>
    <cellStyle name="Currency0 2 6 3 3" xfId="5639" xr:uid="{00000000-0005-0000-0000-000008160000}"/>
    <cellStyle name="Currency0 2 6 4" xfId="5640" xr:uid="{00000000-0005-0000-0000-000009160000}"/>
    <cellStyle name="Currency0 2 6 5" xfId="5641" xr:uid="{00000000-0005-0000-0000-00000A160000}"/>
    <cellStyle name="Currency0 2 6 6" xfId="5642" xr:uid="{00000000-0005-0000-0000-00000B160000}"/>
    <cellStyle name="Currency0 2 7" xfId="5643" xr:uid="{00000000-0005-0000-0000-00000C160000}"/>
    <cellStyle name="Currency0 2 7 2" xfId="5644" xr:uid="{00000000-0005-0000-0000-00000D160000}"/>
    <cellStyle name="Currency0 2 7 3" xfId="5645" xr:uid="{00000000-0005-0000-0000-00000E160000}"/>
    <cellStyle name="Currency0 2 7 4" xfId="5646" xr:uid="{00000000-0005-0000-0000-00000F160000}"/>
    <cellStyle name="Currency0 2 8" xfId="5647" xr:uid="{00000000-0005-0000-0000-000010160000}"/>
    <cellStyle name="Currency0 2 8 2" xfId="5648" xr:uid="{00000000-0005-0000-0000-000011160000}"/>
    <cellStyle name="Currency0 2 8 3" xfId="5649" xr:uid="{00000000-0005-0000-0000-000012160000}"/>
    <cellStyle name="Currency0 2 9" xfId="5650" xr:uid="{00000000-0005-0000-0000-000013160000}"/>
    <cellStyle name="Currency0 2 9 2" xfId="5651" xr:uid="{00000000-0005-0000-0000-000014160000}"/>
    <cellStyle name="Currency0 2 9 3" xfId="5652" xr:uid="{00000000-0005-0000-0000-000015160000}"/>
    <cellStyle name="Currency0 20" xfId="5653" xr:uid="{00000000-0005-0000-0000-000016160000}"/>
    <cellStyle name="Currency0 21" xfId="5654" xr:uid="{00000000-0005-0000-0000-000017160000}"/>
    <cellStyle name="Currency0 22" xfId="5655" xr:uid="{00000000-0005-0000-0000-000018160000}"/>
    <cellStyle name="Currency0 3" xfId="5656" xr:uid="{00000000-0005-0000-0000-000019160000}"/>
    <cellStyle name="Currency0 3 10" xfId="5657" xr:uid="{00000000-0005-0000-0000-00001A160000}"/>
    <cellStyle name="Currency0 3 11" xfId="5658" xr:uid="{00000000-0005-0000-0000-00001B160000}"/>
    <cellStyle name="Currency0 3 12" xfId="5659" xr:uid="{00000000-0005-0000-0000-00001C160000}"/>
    <cellStyle name="Currency0 3 2" xfId="5660" xr:uid="{00000000-0005-0000-0000-00001D160000}"/>
    <cellStyle name="Currency0 3 2 10" xfId="5661" xr:uid="{00000000-0005-0000-0000-00001E160000}"/>
    <cellStyle name="Currency0 3 2 2" xfId="5662" xr:uid="{00000000-0005-0000-0000-00001F160000}"/>
    <cellStyle name="Currency0 3 2 2 2" xfId="5663" xr:uid="{00000000-0005-0000-0000-000020160000}"/>
    <cellStyle name="Currency0 3 2 2 2 2" xfId="5664" xr:uid="{00000000-0005-0000-0000-000021160000}"/>
    <cellStyle name="Currency0 3 2 2 2 2 2" xfId="5665" xr:uid="{00000000-0005-0000-0000-000022160000}"/>
    <cellStyle name="Currency0 3 2 2 2 2 3" xfId="5666" xr:uid="{00000000-0005-0000-0000-000023160000}"/>
    <cellStyle name="Currency0 3 2 2 2 3" xfId="5667" xr:uid="{00000000-0005-0000-0000-000024160000}"/>
    <cellStyle name="Currency0 3 2 2 2 3 2" xfId="5668" xr:uid="{00000000-0005-0000-0000-000025160000}"/>
    <cellStyle name="Currency0 3 2 2 2 3 3" xfId="5669" xr:uid="{00000000-0005-0000-0000-000026160000}"/>
    <cellStyle name="Currency0 3 2 2 2 4" xfId="5670" xr:uid="{00000000-0005-0000-0000-000027160000}"/>
    <cellStyle name="Currency0 3 2 2 2 5" xfId="5671" xr:uid="{00000000-0005-0000-0000-000028160000}"/>
    <cellStyle name="Currency0 3 2 2 2 6" xfId="5672" xr:uid="{00000000-0005-0000-0000-000029160000}"/>
    <cellStyle name="Currency0 3 2 2 3" xfId="5673" xr:uid="{00000000-0005-0000-0000-00002A160000}"/>
    <cellStyle name="Currency0 3 2 2 3 2" xfId="5674" xr:uid="{00000000-0005-0000-0000-00002B160000}"/>
    <cellStyle name="Currency0 3 2 2 3 3" xfId="5675" xr:uid="{00000000-0005-0000-0000-00002C160000}"/>
    <cellStyle name="Currency0 3 2 2 4" xfId="5676" xr:uid="{00000000-0005-0000-0000-00002D160000}"/>
    <cellStyle name="Currency0 3 2 2 4 2" xfId="5677" xr:uid="{00000000-0005-0000-0000-00002E160000}"/>
    <cellStyle name="Currency0 3 2 2 4 3" xfId="5678" xr:uid="{00000000-0005-0000-0000-00002F160000}"/>
    <cellStyle name="Currency0 3 2 2 5" xfId="5679" xr:uid="{00000000-0005-0000-0000-000030160000}"/>
    <cellStyle name="Currency0 3 2 2 5 2" xfId="5680" xr:uid="{00000000-0005-0000-0000-000031160000}"/>
    <cellStyle name="Currency0 3 2 2 5 3" xfId="5681" xr:uid="{00000000-0005-0000-0000-000032160000}"/>
    <cellStyle name="Currency0 3 2 2 6" xfId="5682" xr:uid="{00000000-0005-0000-0000-000033160000}"/>
    <cellStyle name="Currency0 3 2 2 7" xfId="5683" xr:uid="{00000000-0005-0000-0000-000034160000}"/>
    <cellStyle name="Currency0 3 2 2 8" xfId="5684" xr:uid="{00000000-0005-0000-0000-000035160000}"/>
    <cellStyle name="Currency0 3 2 3" xfId="5685" xr:uid="{00000000-0005-0000-0000-000036160000}"/>
    <cellStyle name="Currency0 3 2 3 2" xfId="5686" xr:uid="{00000000-0005-0000-0000-000037160000}"/>
    <cellStyle name="Currency0 3 2 3 2 2" xfId="5687" xr:uid="{00000000-0005-0000-0000-000038160000}"/>
    <cellStyle name="Currency0 3 2 3 2 2 2" xfId="5688" xr:uid="{00000000-0005-0000-0000-000039160000}"/>
    <cellStyle name="Currency0 3 2 3 2 2 3" xfId="5689" xr:uid="{00000000-0005-0000-0000-00003A160000}"/>
    <cellStyle name="Currency0 3 2 3 2 3" xfId="5690" xr:uid="{00000000-0005-0000-0000-00003B160000}"/>
    <cellStyle name="Currency0 3 2 3 2 3 2" xfId="5691" xr:uid="{00000000-0005-0000-0000-00003C160000}"/>
    <cellStyle name="Currency0 3 2 3 2 3 3" xfId="5692" xr:uid="{00000000-0005-0000-0000-00003D160000}"/>
    <cellStyle name="Currency0 3 2 3 2 4" xfId="5693" xr:uid="{00000000-0005-0000-0000-00003E160000}"/>
    <cellStyle name="Currency0 3 2 3 2 5" xfId="5694" xr:uid="{00000000-0005-0000-0000-00003F160000}"/>
    <cellStyle name="Currency0 3 2 3 2 6" xfId="5695" xr:uid="{00000000-0005-0000-0000-000040160000}"/>
    <cellStyle name="Currency0 3 2 3 3" xfId="5696" xr:uid="{00000000-0005-0000-0000-000041160000}"/>
    <cellStyle name="Currency0 3 2 3 3 2" xfId="5697" xr:uid="{00000000-0005-0000-0000-000042160000}"/>
    <cellStyle name="Currency0 3 2 3 3 3" xfId="5698" xr:uid="{00000000-0005-0000-0000-000043160000}"/>
    <cellStyle name="Currency0 3 2 3 4" xfId="5699" xr:uid="{00000000-0005-0000-0000-000044160000}"/>
    <cellStyle name="Currency0 3 2 3 4 2" xfId="5700" xr:uid="{00000000-0005-0000-0000-000045160000}"/>
    <cellStyle name="Currency0 3 2 3 4 3" xfId="5701" xr:uid="{00000000-0005-0000-0000-000046160000}"/>
    <cellStyle name="Currency0 3 2 3 5" xfId="5702" xr:uid="{00000000-0005-0000-0000-000047160000}"/>
    <cellStyle name="Currency0 3 2 3 5 2" xfId="5703" xr:uid="{00000000-0005-0000-0000-000048160000}"/>
    <cellStyle name="Currency0 3 2 3 5 3" xfId="5704" xr:uid="{00000000-0005-0000-0000-000049160000}"/>
    <cellStyle name="Currency0 3 2 3 6" xfId="5705" xr:uid="{00000000-0005-0000-0000-00004A160000}"/>
    <cellStyle name="Currency0 3 2 3 7" xfId="5706" xr:uid="{00000000-0005-0000-0000-00004B160000}"/>
    <cellStyle name="Currency0 3 2 3 8" xfId="5707" xr:uid="{00000000-0005-0000-0000-00004C160000}"/>
    <cellStyle name="Currency0 3 2 4" xfId="5708" xr:uid="{00000000-0005-0000-0000-00004D160000}"/>
    <cellStyle name="Currency0 3 2 4 2" xfId="5709" xr:uid="{00000000-0005-0000-0000-00004E160000}"/>
    <cellStyle name="Currency0 3 2 4 2 2" xfId="5710" xr:uid="{00000000-0005-0000-0000-00004F160000}"/>
    <cellStyle name="Currency0 3 2 4 2 3" xfId="5711" xr:uid="{00000000-0005-0000-0000-000050160000}"/>
    <cellStyle name="Currency0 3 2 4 3" xfId="5712" xr:uid="{00000000-0005-0000-0000-000051160000}"/>
    <cellStyle name="Currency0 3 2 4 3 2" xfId="5713" xr:uid="{00000000-0005-0000-0000-000052160000}"/>
    <cellStyle name="Currency0 3 2 4 3 3" xfId="5714" xr:uid="{00000000-0005-0000-0000-000053160000}"/>
    <cellStyle name="Currency0 3 2 4 4" xfId="5715" xr:uid="{00000000-0005-0000-0000-000054160000}"/>
    <cellStyle name="Currency0 3 2 4 5" xfId="5716" xr:uid="{00000000-0005-0000-0000-000055160000}"/>
    <cellStyle name="Currency0 3 2 4 6" xfId="5717" xr:uid="{00000000-0005-0000-0000-000056160000}"/>
    <cellStyle name="Currency0 3 2 5" xfId="5718" xr:uid="{00000000-0005-0000-0000-000057160000}"/>
    <cellStyle name="Currency0 3 2 5 2" xfId="5719" xr:uid="{00000000-0005-0000-0000-000058160000}"/>
    <cellStyle name="Currency0 3 2 5 3" xfId="5720" xr:uid="{00000000-0005-0000-0000-000059160000}"/>
    <cellStyle name="Currency0 3 2 6" xfId="5721" xr:uid="{00000000-0005-0000-0000-00005A160000}"/>
    <cellStyle name="Currency0 3 2 6 2" xfId="5722" xr:uid="{00000000-0005-0000-0000-00005B160000}"/>
    <cellStyle name="Currency0 3 2 6 3" xfId="5723" xr:uid="{00000000-0005-0000-0000-00005C160000}"/>
    <cellStyle name="Currency0 3 2 7" xfId="5724" xr:uid="{00000000-0005-0000-0000-00005D160000}"/>
    <cellStyle name="Currency0 3 2 7 2" xfId="5725" xr:uid="{00000000-0005-0000-0000-00005E160000}"/>
    <cellStyle name="Currency0 3 2 7 3" xfId="5726" xr:uid="{00000000-0005-0000-0000-00005F160000}"/>
    <cellStyle name="Currency0 3 2 8" xfId="5727" xr:uid="{00000000-0005-0000-0000-000060160000}"/>
    <cellStyle name="Currency0 3 2 9" xfId="5728" xr:uid="{00000000-0005-0000-0000-000061160000}"/>
    <cellStyle name="Currency0 3 3" xfId="5729" xr:uid="{00000000-0005-0000-0000-000062160000}"/>
    <cellStyle name="Currency0 3 3 2" xfId="5730" xr:uid="{00000000-0005-0000-0000-000063160000}"/>
    <cellStyle name="Currency0 3 3 2 2" xfId="5731" xr:uid="{00000000-0005-0000-0000-000064160000}"/>
    <cellStyle name="Currency0 3 3 2 2 2" xfId="5732" xr:uid="{00000000-0005-0000-0000-000065160000}"/>
    <cellStyle name="Currency0 3 3 2 2 3" xfId="5733" xr:uid="{00000000-0005-0000-0000-000066160000}"/>
    <cellStyle name="Currency0 3 3 2 3" xfId="5734" xr:uid="{00000000-0005-0000-0000-000067160000}"/>
    <cellStyle name="Currency0 3 3 2 3 2" xfId="5735" xr:uid="{00000000-0005-0000-0000-000068160000}"/>
    <cellStyle name="Currency0 3 3 2 3 3" xfId="5736" xr:uid="{00000000-0005-0000-0000-000069160000}"/>
    <cellStyle name="Currency0 3 3 2 4" xfId="5737" xr:uid="{00000000-0005-0000-0000-00006A160000}"/>
    <cellStyle name="Currency0 3 3 2 5" xfId="5738" xr:uid="{00000000-0005-0000-0000-00006B160000}"/>
    <cellStyle name="Currency0 3 3 2 6" xfId="5739" xr:uid="{00000000-0005-0000-0000-00006C160000}"/>
    <cellStyle name="Currency0 3 3 3" xfId="5740" xr:uid="{00000000-0005-0000-0000-00006D160000}"/>
    <cellStyle name="Currency0 3 3 3 2" xfId="5741" xr:uid="{00000000-0005-0000-0000-00006E160000}"/>
    <cellStyle name="Currency0 3 3 3 3" xfId="5742" xr:uid="{00000000-0005-0000-0000-00006F160000}"/>
    <cellStyle name="Currency0 3 3 4" xfId="5743" xr:uid="{00000000-0005-0000-0000-000070160000}"/>
    <cellStyle name="Currency0 3 3 4 2" xfId="5744" xr:uid="{00000000-0005-0000-0000-000071160000}"/>
    <cellStyle name="Currency0 3 3 4 3" xfId="5745" xr:uid="{00000000-0005-0000-0000-000072160000}"/>
    <cellStyle name="Currency0 3 3 5" xfId="5746" xr:uid="{00000000-0005-0000-0000-000073160000}"/>
    <cellStyle name="Currency0 3 3 5 2" xfId="5747" xr:uid="{00000000-0005-0000-0000-000074160000}"/>
    <cellStyle name="Currency0 3 3 5 3" xfId="5748" xr:uid="{00000000-0005-0000-0000-000075160000}"/>
    <cellStyle name="Currency0 3 3 6" xfId="5749" xr:uid="{00000000-0005-0000-0000-000076160000}"/>
    <cellStyle name="Currency0 3 3 7" xfId="5750" xr:uid="{00000000-0005-0000-0000-000077160000}"/>
    <cellStyle name="Currency0 3 3 8" xfId="5751" xr:uid="{00000000-0005-0000-0000-000078160000}"/>
    <cellStyle name="Currency0 3 4" xfId="5752" xr:uid="{00000000-0005-0000-0000-000079160000}"/>
    <cellStyle name="Currency0 3 4 2" xfId="5753" xr:uid="{00000000-0005-0000-0000-00007A160000}"/>
    <cellStyle name="Currency0 3 4 2 2" xfId="5754" xr:uid="{00000000-0005-0000-0000-00007B160000}"/>
    <cellStyle name="Currency0 3 4 2 2 2" xfId="5755" xr:uid="{00000000-0005-0000-0000-00007C160000}"/>
    <cellStyle name="Currency0 3 4 2 2 3" xfId="5756" xr:uid="{00000000-0005-0000-0000-00007D160000}"/>
    <cellStyle name="Currency0 3 4 2 3" xfId="5757" xr:uid="{00000000-0005-0000-0000-00007E160000}"/>
    <cellStyle name="Currency0 3 4 2 3 2" xfId="5758" xr:uid="{00000000-0005-0000-0000-00007F160000}"/>
    <cellStyle name="Currency0 3 4 2 3 3" xfId="5759" xr:uid="{00000000-0005-0000-0000-000080160000}"/>
    <cellStyle name="Currency0 3 4 2 4" xfId="5760" xr:uid="{00000000-0005-0000-0000-000081160000}"/>
    <cellStyle name="Currency0 3 4 2 5" xfId="5761" xr:uid="{00000000-0005-0000-0000-000082160000}"/>
    <cellStyle name="Currency0 3 4 2 6" xfId="5762" xr:uid="{00000000-0005-0000-0000-000083160000}"/>
    <cellStyle name="Currency0 3 4 3" xfId="5763" xr:uid="{00000000-0005-0000-0000-000084160000}"/>
    <cellStyle name="Currency0 3 4 3 2" xfId="5764" xr:uid="{00000000-0005-0000-0000-000085160000}"/>
    <cellStyle name="Currency0 3 4 3 3" xfId="5765" xr:uid="{00000000-0005-0000-0000-000086160000}"/>
    <cellStyle name="Currency0 3 4 4" xfId="5766" xr:uid="{00000000-0005-0000-0000-000087160000}"/>
    <cellStyle name="Currency0 3 4 4 2" xfId="5767" xr:uid="{00000000-0005-0000-0000-000088160000}"/>
    <cellStyle name="Currency0 3 4 4 3" xfId="5768" xr:uid="{00000000-0005-0000-0000-000089160000}"/>
    <cellStyle name="Currency0 3 4 5" xfId="5769" xr:uid="{00000000-0005-0000-0000-00008A160000}"/>
    <cellStyle name="Currency0 3 4 5 2" xfId="5770" xr:uid="{00000000-0005-0000-0000-00008B160000}"/>
    <cellStyle name="Currency0 3 4 5 3" xfId="5771" xr:uid="{00000000-0005-0000-0000-00008C160000}"/>
    <cellStyle name="Currency0 3 4 6" xfId="5772" xr:uid="{00000000-0005-0000-0000-00008D160000}"/>
    <cellStyle name="Currency0 3 4 7" xfId="5773" xr:uid="{00000000-0005-0000-0000-00008E160000}"/>
    <cellStyle name="Currency0 3 4 8" xfId="5774" xr:uid="{00000000-0005-0000-0000-00008F160000}"/>
    <cellStyle name="Currency0 3 5" xfId="5775" xr:uid="{00000000-0005-0000-0000-000090160000}"/>
    <cellStyle name="Currency0 3 5 2" xfId="5776" xr:uid="{00000000-0005-0000-0000-000091160000}"/>
    <cellStyle name="Currency0 3 5 2 2" xfId="5777" xr:uid="{00000000-0005-0000-0000-000092160000}"/>
    <cellStyle name="Currency0 3 5 2 2 2" xfId="5778" xr:uid="{00000000-0005-0000-0000-000093160000}"/>
    <cellStyle name="Currency0 3 5 2 2 3" xfId="5779" xr:uid="{00000000-0005-0000-0000-000094160000}"/>
    <cellStyle name="Currency0 3 5 2 3" xfId="5780" xr:uid="{00000000-0005-0000-0000-000095160000}"/>
    <cellStyle name="Currency0 3 5 2 3 2" xfId="5781" xr:uid="{00000000-0005-0000-0000-000096160000}"/>
    <cellStyle name="Currency0 3 5 2 3 3" xfId="5782" xr:uid="{00000000-0005-0000-0000-000097160000}"/>
    <cellStyle name="Currency0 3 5 2 4" xfId="5783" xr:uid="{00000000-0005-0000-0000-000098160000}"/>
    <cellStyle name="Currency0 3 5 2 5" xfId="5784" xr:uid="{00000000-0005-0000-0000-000099160000}"/>
    <cellStyle name="Currency0 3 5 2 6" xfId="5785" xr:uid="{00000000-0005-0000-0000-00009A160000}"/>
    <cellStyle name="Currency0 3 5 3" xfId="5786" xr:uid="{00000000-0005-0000-0000-00009B160000}"/>
    <cellStyle name="Currency0 3 5 3 2" xfId="5787" xr:uid="{00000000-0005-0000-0000-00009C160000}"/>
    <cellStyle name="Currency0 3 5 3 3" xfId="5788" xr:uid="{00000000-0005-0000-0000-00009D160000}"/>
    <cellStyle name="Currency0 3 5 4" xfId="5789" xr:uid="{00000000-0005-0000-0000-00009E160000}"/>
    <cellStyle name="Currency0 3 5 4 2" xfId="5790" xr:uid="{00000000-0005-0000-0000-00009F160000}"/>
    <cellStyle name="Currency0 3 5 4 3" xfId="5791" xr:uid="{00000000-0005-0000-0000-0000A0160000}"/>
    <cellStyle name="Currency0 3 5 5" xfId="5792" xr:uid="{00000000-0005-0000-0000-0000A1160000}"/>
    <cellStyle name="Currency0 3 5 5 2" xfId="5793" xr:uid="{00000000-0005-0000-0000-0000A2160000}"/>
    <cellStyle name="Currency0 3 5 5 3" xfId="5794" xr:uid="{00000000-0005-0000-0000-0000A3160000}"/>
    <cellStyle name="Currency0 3 5 6" xfId="5795" xr:uid="{00000000-0005-0000-0000-0000A4160000}"/>
    <cellStyle name="Currency0 3 5 7" xfId="5796" xr:uid="{00000000-0005-0000-0000-0000A5160000}"/>
    <cellStyle name="Currency0 3 5 8" xfId="5797" xr:uid="{00000000-0005-0000-0000-0000A6160000}"/>
    <cellStyle name="Currency0 3 6" xfId="5798" xr:uid="{00000000-0005-0000-0000-0000A7160000}"/>
    <cellStyle name="Currency0 3 6 2" xfId="5799" xr:uid="{00000000-0005-0000-0000-0000A8160000}"/>
    <cellStyle name="Currency0 3 6 2 2" xfId="5800" xr:uid="{00000000-0005-0000-0000-0000A9160000}"/>
    <cellStyle name="Currency0 3 6 2 3" xfId="5801" xr:uid="{00000000-0005-0000-0000-0000AA160000}"/>
    <cellStyle name="Currency0 3 6 3" xfId="5802" xr:uid="{00000000-0005-0000-0000-0000AB160000}"/>
    <cellStyle name="Currency0 3 6 3 2" xfId="5803" xr:uid="{00000000-0005-0000-0000-0000AC160000}"/>
    <cellStyle name="Currency0 3 6 3 3" xfId="5804" xr:uid="{00000000-0005-0000-0000-0000AD160000}"/>
    <cellStyle name="Currency0 3 6 4" xfId="5805" xr:uid="{00000000-0005-0000-0000-0000AE160000}"/>
    <cellStyle name="Currency0 3 6 5" xfId="5806" xr:uid="{00000000-0005-0000-0000-0000AF160000}"/>
    <cellStyle name="Currency0 3 6 6" xfId="5807" xr:uid="{00000000-0005-0000-0000-0000B0160000}"/>
    <cellStyle name="Currency0 3 7" xfId="5808" xr:uid="{00000000-0005-0000-0000-0000B1160000}"/>
    <cellStyle name="Currency0 3 7 2" xfId="5809" xr:uid="{00000000-0005-0000-0000-0000B2160000}"/>
    <cellStyle name="Currency0 3 7 3" xfId="5810" xr:uid="{00000000-0005-0000-0000-0000B3160000}"/>
    <cellStyle name="Currency0 3 7 4" xfId="5811" xr:uid="{00000000-0005-0000-0000-0000B4160000}"/>
    <cellStyle name="Currency0 3 8" xfId="5812" xr:uid="{00000000-0005-0000-0000-0000B5160000}"/>
    <cellStyle name="Currency0 3 8 2" xfId="5813" xr:uid="{00000000-0005-0000-0000-0000B6160000}"/>
    <cellStyle name="Currency0 3 8 3" xfId="5814" xr:uid="{00000000-0005-0000-0000-0000B7160000}"/>
    <cellStyle name="Currency0 3 9" xfId="5815" xr:uid="{00000000-0005-0000-0000-0000B8160000}"/>
    <cellStyle name="Currency0 3 9 2" xfId="5816" xr:uid="{00000000-0005-0000-0000-0000B9160000}"/>
    <cellStyle name="Currency0 3 9 3" xfId="5817" xr:uid="{00000000-0005-0000-0000-0000BA160000}"/>
    <cellStyle name="Currency0 4" xfId="5818" xr:uid="{00000000-0005-0000-0000-0000BB160000}"/>
    <cellStyle name="Currency0 4 10" xfId="5819" xr:uid="{00000000-0005-0000-0000-0000BC160000}"/>
    <cellStyle name="Currency0 4 11" xfId="5820" xr:uid="{00000000-0005-0000-0000-0000BD160000}"/>
    <cellStyle name="Currency0 4 12" xfId="5821" xr:uid="{00000000-0005-0000-0000-0000BE160000}"/>
    <cellStyle name="Currency0 4 2" xfId="5822" xr:uid="{00000000-0005-0000-0000-0000BF160000}"/>
    <cellStyle name="Currency0 4 2 10" xfId="5823" xr:uid="{00000000-0005-0000-0000-0000C0160000}"/>
    <cellStyle name="Currency0 4 2 2" xfId="5824" xr:uid="{00000000-0005-0000-0000-0000C1160000}"/>
    <cellStyle name="Currency0 4 2 2 2" xfId="5825" xr:uid="{00000000-0005-0000-0000-0000C2160000}"/>
    <cellStyle name="Currency0 4 2 2 2 2" xfId="5826" xr:uid="{00000000-0005-0000-0000-0000C3160000}"/>
    <cellStyle name="Currency0 4 2 2 2 2 2" xfId="5827" xr:uid="{00000000-0005-0000-0000-0000C4160000}"/>
    <cellStyle name="Currency0 4 2 2 2 2 3" xfId="5828" xr:uid="{00000000-0005-0000-0000-0000C5160000}"/>
    <cellStyle name="Currency0 4 2 2 2 3" xfId="5829" xr:uid="{00000000-0005-0000-0000-0000C6160000}"/>
    <cellStyle name="Currency0 4 2 2 2 3 2" xfId="5830" xr:uid="{00000000-0005-0000-0000-0000C7160000}"/>
    <cellStyle name="Currency0 4 2 2 2 3 3" xfId="5831" xr:uid="{00000000-0005-0000-0000-0000C8160000}"/>
    <cellStyle name="Currency0 4 2 2 2 4" xfId="5832" xr:uid="{00000000-0005-0000-0000-0000C9160000}"/>
    <cellStyle name="Currency0 4 2 2 2 5" xfId="5833" xr:uid="{00000000-0005-0000-0000-0000CA160000}"/>
    <cellStyle name="Currency0 4 2 2 2 6" xfId="5834" xr:uid="{00000000-0005-0000-0000-0000CB160000}"/>
    <cellStyle name="Currency0 4 2 2 3" xfId="5835" xr:uid="{00000000-0005-0000-0000-0000CC160000}"/>
    <cellStyle name="Currency0 4 2 2 3 2" xfId="5836" xr:uid="{00000000-0005-0000-0000-0000CD160000}"/>
    <cellStyle name="Currency0 4 2 2 3 3" xfId="5837" xr:uid="{00000000-0005-0000-0000-0000CE160000}"/>
    <cellStyle name="Currency0 4 2 2 4" xfId="5838" xr:uid="{00000000-0005-0000-0000-0000CF160000}"/>
    <cellStyle name="Currency0 4 2 2 4 2" xfId="5839" xr:uid="{00000000-0005-0000-0000-0000D0160000}"/>
    <cellStyle name="Currency0 4 2 2 4 3" xfId="5840" xr:uid="{00000000-0005-0000-0000-0000D1160000}"/>
    <cellStyle name="Currency0 4 2 2 5" xfId="5841" xr:uid="{00000000-0005-0000-0000-0000D2160000}"/>
    <cellStyle name="Currency0 4 2 2 5 2" xfId="5842" xr:uid="{00000000-0005-0000-0000-0000D3160000}"/>
    <cellStyle name="Currency0 4 2 2 5 3" xfId="5843" xr:uid="{00000000-0005-0000-0000-0000D4160000}"/>
    <cellStyle name="Currency0 4 2 2 6" xfId="5844" xr:uid="{00000000-0005-0000-0000-0000D5160000}"/>
    <cellStyle name="Currency0 4 2 2 7" xfId="5845" xr:uid="{00000000-0005-0000-0000-0000D6160000}"/>
    <cellStyle name="Currency0 4 2 2 8" xfId="5846" xr:uid="{00000000-0005-0000-0000-0000D7160000}"/>
    <cellStyle name="Currency0 4 2 3" xfId="5847" xr:uid="{00000000-0005-0000-0000-0000D8160000}"/>
    <cellStyle name="Currency0 4 2 3 2" xfId="5848" xr:uid="{00000000-0005-0000-0000-0000D9160000}"/>
    <cellStyle name="Currency0 4 2 3 2 2" xfId="5849" xr:uid="{00000000-0005-0000-0000-0000DA160000}"/>
    <cellStyle name="Currency0 4 2 3 2 2 2" xfId="5850" xr:uid="{00000000-0005-0000-0000-0000DB160000}"/>
    <cellStyle name="Currency0 4 2 3 2 2 3" xfId="5851" xr:uid="{00000000-0005-0000-0000-0000DC160000}"/>
    <cellStyle name="Currency0 4 2 3 2 3" xfId="5852" xr:uid="{00000000-0005-0000-0000-0000DD160000}"/>
    <cellStyle name="Currency0 4 2 3 2 3 2" xfId="5853" xr:uid="{00000000-0005-0000-0000-0000DE160000}"/>
    <cellStyle name="Currency0 4 2 3 2 3 3" xfId="5854" xr:uid="{00000000-0005-0000-0000-0000DF160000}"/>
    <cellStyle name="Currency0 4 2 3 2 4" xfId="5855" xr:uid="{00000000-0005-0000-0000-0000E0160000}"/>
    <cellStyle name="Currency0 4 2 3 2 5" xfId="5856" xr:uid="{00000000-0005-0000-0000-0000E1160000}"/>
    <cellStyle name="Currency0 4 2 3 2 6" xfId="5857" xr:uid="{00000000-0005-0000-0000-0000E2160000}"/>
    <cellStyle name="Currency0 4 2 3 3" xfId="5858" xr:uid="{00000000-0005-0000-0000-0000E3160000}"/>
    <cellStyle name="Currency0 4 2 3 3 2" xfId="5859" xr:uid="{00000000-0005-0000-0000-0000E4160000}"/>
    <cellStyle name="Currency0 4 2 3 3 3" xfId="5860" xr:uid="{00000000-0005-0000-0000-0000E5160000}"/>
    <cellStyle name="Currency0 4 2 3 4" xfId="5861" xr:uid="{00000000-0005-0000-0000-0000E6160000}"/>
    <cellStyle name="Currency0 4 2 3 4 2" xfId="5862" xr:uid="{00000000-0005-0000-0000-0000E7160000}"/>
    <cellStyle name="Currency0 4 2 3 4 3" xfId="5863" xr:uid="{00000000-0005-0000-0000-0000E8160000}"/>
    <cellStyle name="Currency0 4 2 3 5" xfId="5864" xr:uid="{00000000-0005-0000-0000-0000E9160000}"/>
    <cellStyle name="Currency0 4 2 3 5 2" xfId="5865" xr:uid="{00000000-0005-0000-0000-0000EA160000}"/>
    <cellStyle name="Currency0 4 2 3 5 3" xfId="5866" xr:uid="{00000000-0005-0000-0000-0000EB160000}"/>
    <cellStyle name="Currency0 4 2 3 6" xfId="5867" xr:uid="{00000000-0005-0000-0000-0000EC160000}"/>
    <cellStyle name="Currency0 4 2 3 7" xfId="5868" xr:uid="{00000000-0005-0000-0000-0000ED160000}"/>
    <cellStyle name="Currency0 4 2 3 8" xfId="5869" xr:uid="{00000000-0005-0000-0000-0000EE160000}"/>
    <cellStyle name="Currency0 4 2 4" xfId="5870" xr:uid="{00000000-0005-0000-0000-0000EF160000}"/>
    <cellStyle name="Currency0 4 2 4 2" xfId="5871" xr:uid="{00000000-0005-0000-0000-0000F0160000}"/>
    <cellStyle name="Currency0 4 2 4 2 2" xfId="5872" xr:uid="{00000000-0005-0000-0000-0000F1160000}"/>
    <cellStyle name="Currency0 4 2 4 2 3" xfId="5873" xr:uid="{00000000-0005-0000-0000-0000F2160000}"/>
    <cellStyle name="Currency0 4 2 4 3" xfId="5874" xr:uid="{00000000-0005-0000-0000-0000F3160000}"/>
    <cellStyle name="Currency0 4 2 4 3 2" xfId="5875" xr:uid="{00000000-0005-0000-0000-0000F4160000}"/>
    <cellStyle name="Currency0 4 2 4 3 3" xfId="5876" xr:uid="{00000000-0005-0000-0000-0000F5160000}"/>
    <cellStyle name="Currency0 4 2 4 4" xfId="5877" xr:uid="{00000000-0005-0000-0000-0000F6160000}"/>
    <cellStyle name="Currency0 4 2 4 5" xfId="5878" xr:uid="{00000000-0005-0000-0000-0000F7160000}"/>
    <cellStyle name="Currency0 4 2 4 6" xfId="5879" xr:uid="{00000000-0005-0000-0000-0000F8160000}"/>
    <cellStyle name="Currency0 4 2 5" xfId="5880" xr:uid="{00000000-0005-0000-0000-0000F9160000}"/>
    <cellStyle name="Currency0 4 2 5 2" xfId="5881" xr:uid="{00000000-0005-0000-0000-0000FA160000}"/>
    <cellStyle name="Currency0 4 2 5 3" xfId="5882" xr:uid="{00000000-0005-0000-0000-0000FB160000}"/>
    <cellStyle name="Currency0 4 2 6" xfId="5883" xr:uid="{00000000-0005-0000-0000-0000FC160000}"/>
    <cellStyle name="Currency0 4 2 6 2" xfId="5884" xr:uid="{00000000-0005-0000-0000-0000FD160000}"/>
    <cellStyle name="Currency0 4 2 6 3" xfId="5885" xr:uid="{00000000-0005-0000-0000-0000FE160000}"/>
    <cellStyle name="Currency0 4 2 7" xfId="5886" xr:uid="{00000000-0005-0000-0000-0000FF160000}"/>
    <cellStyle name="Currency0 4 2 7 2" xfId="5887" xr:uid="{00000000-0005-0000-0000-000000170000}"/>
    <cellStyle name="Currency0 4 2 7 3" xfId="5888" xr:uid="{00000000-0005-0000-0000-000001170000}"/>
    <cellStyle name="Currency0 4 2 8" xfId="5889" xr:uid="{00000000-0005-0000-0000-000002170000}"/>
    <cellStyle name="Currency0 4 2 9" xfId="5890" xr:uid="{00000000-0005-0000-0000-000003170000}"/>
    <cellStyle name="Currency0 4 3" xfId="5891" xr:uid="{00000000-0005-0000-0000-000004170000}"/>
    <cellStyle name="Currency0 4 3 2" xfId="5892" xr:uid="{00000000-0005-0000-0000-000005170000}"/>
    <cellStyle name="Currency0 4 3 2 2" xfId="5893" xr:uid="{00000000-0005-0000-0000-000006170000}"/>
    <cellStyle name="Currency0 4 3 2 2 2" xfId="5894" xr:uid="{00000000-0005-0000-0000-000007170000}"/>
    <cellStyle name="Currency0 4 3 2 2 3" xfId="5895" xr:uid="{00000000-0005-0000-0000-000008170000}"/>
    <cellStyle name="Currency0 4 3 2 3" xfId="5896" xr:uid="{00000000-0005-0000-0000-000009170000}"/>
    <cellStyle name="Currency0 4 3 2 3 2" xfId="5897" xr:uid="{00000000-0005-0000-0000-00000A170000}"/>
    <cellStyle name="Currency0 4 3 2 3 3" xfId="5898" xr:uid="{00000000-0005-0000-0000-00000B170000}"/>
    <cellStyle name="Currency0 4 3 2 4" xfId="5899" xr:uid="{00000000-0005-0000-0000-00000C170000}"/>
    <cellStyle name="Currency0 4 3 2 5" xfId="5900" xr:uid="{00000000-0005-0000-0000-00000D170000}"/>
    <cellStyle name="Currency0 4 3 2 6" xfId="5901" xr:uid="{00000000-0005-0000-0000-00000E170000}"/>
    <cellStyle name="Currency0 4 3 3" xfId="5902" xr:uid="{00000000-0005-0000-0000-00000F170000}"/>
    <cellStyle name="Currency0 4 3 3 2" xfId="5903" xr:uid="{00000000-0005-0000-0000-000010170000}"/>
    <cellStyle name="Currency0 4 3 3 3" xfId="5904" xr:uid="{00000000-0005-0000-0000-000011170000}"/>
    <cellStyle name="Currency0 4 3 4" xfId="5905" xr:uid="{00000000-0005-0000-0000-000012170000}"/>
    <cellStyle name="Currency0 4 3 4 2" xfId="5906" xr:uid="{00000000-0005-0000-0000-000013170000}"/>
    <cellStyle name="Currency0 4 3 4 3" xfId="5907" xr:uid="{00000000-0005-0000-0000-000014170000}"/>
    <cellStyle name="Currency0 4 3 5" xfId="5908" xr:uid="{00000000-0005-0000-0000-000015170000}"/>
    <cellStyle name="Currency0 4 3 5 2" xfId="5909" xr:uid="{00000000-0005-0000-0000-000016170000}"/>
    <cellStyle name="Currency0 4 3 5 3" xfId="5910" xr:uid="{00000000-0005-0000-0000-000017170000}"/>
    <cellStyle name="Currency0 4 3 6" xfId="5911" xr:uid="{00000000-0005-0000-0000-000018170000}"/>
    <cellStyle name="Currency0 4 3 7" xfId="5912" xr:uid="{00000000-0005-0000-0000-000019170000}"/>
    <cellStyle name="Currency0 4 3 8" xfId="5913" xr:uid="{00000000-0005-0000-0000-00001A170000}"/>
    <cellStyle name="Currency0 4 4" xfId="5914" xr:uid="{00000000-0005-0000-0000-00001B170000}"/>
    <cellStyle name="Currency0 4 4 2" xfId="5915" xr:uid="{00000000-0005-0000-0000-00001C170000}"/>
    <cellStyle name="Currency0 4 4 2 2" xfId="5916" xr:uid="{00000000-0005-0000-0000-00001D170000}"/>
    <cellStyle name="Currency0 4 4 2 2 2" xfId="5917" xr:uid="{00000000-0005-0000-0000-00001E170000}"/>
    <cellStyle name="Currency0 4 4 2 2 3" xfId="5918" xr:uid="{00000000-0005-0000-0000-00001F170000}"/>
    <cellStyle name="Currency0 4 4 2 3" xfId="5919" xr:uid="{00000000-0005-0000-0000-000020170000}"/>
    <cellStyle name="Currency0 4 4 2 3 2" xfId="5920" xr:uid="{00000000-0005-0000-0000-000021170000}"/>
    <cellStyle name="Currency0 4 4 2 3 3" xfId="5921" xr:uid="{00000000-0005-0000-0000-000022170000}"/>
    <cellStyle name="Currency0 4 4 2 4" xfId="5922" xr:uid="{00000000-0005-0000-0000-000023170000}"/>
    <cellStyle name="Currency0 4 4 2 5" xfId="5923" xr:uid="{00000000-0005-0000-0000-000024170000}"/>
    <cellStyle name="Currency0 4 4 2 6" xfId="5924" xr:uid="{00000000-0005-0000-0000-000025170000}"/>
    <cellStyle name="Currency0 4 4 3" xfId="5925" xr:uid="{00000000-0005-0000-0000-000026170000}"/>
    <cellStyle name="Currency0 4 4 3 2" xfId="5926" xr:uid="{00000000-0005-0000-0000-000027170000}"/>
    <cellStyle name="Currency0 4 4 3 3" xfId="5927" xr:uid="{00000000-0005-0000-0000-000028170000}"/>
    <cellStyle name="Currency0 4 4 4" xfId="5928" xr:uid="{00000000-0005-0000-0000-000029170000}"/>
    <cellStyle name="Currency0 4 4 4 2" xfId="5929" xr:uid="{00000000-0005-0000-0000-00002A170000}"/>
    <cellStyle name="Currency0 4 4 4 3" xfId="5930" xr:uid="{00000000-0005-0000-0000-00002B170000}"/>
    <cellStyle name="Currency0 4 4 5" xfId="5931" xr:uid="{00000000-0005-0000-0000-00002C170000}"/>
    <cellStyle name="Currency0 4 4 5 2" xfId="5932" xr:uid="{00000000-0005-0000-0000-00002D170000}"/>
    <cellStyle name="Currency0 4 4 5 3" xfId="5933" xr:uid="{00000000-0005-0000-0000-00002E170000}"/>
    <cellStyle name="Currency0 4 4 6" xfId="5934" xr:uid="{00000000-0005-0000-0000-00002F170000}"/>
    <cellStyle name="Currency0 4 4 7" xfId="5935" xr:uid="{00000000-0005-0000-0000-000030170000}"/>
    <cellStyle name="Currency0 4 4 8" xfId="5936" xr:uid="{00000000-0005-0000-0000-000031170000}"/>
    <cellStyle name="Currency0 4 5" xfId="5937" xr:uid="{00000000-0005-0000-0000-000032170000}"/>
    <cellStyle name="Currency0 4 5 2" xfId="5938" xr:uid="{00000000-0005-0000-0000-000033170000}"/>
    <cellStyle name="Currency0 4 5 2 2" xfId="5939" xr:uid="{00000000-0005-0000-0000-000034170000}"/>
    <cellStyle name="Currency0 4 5 2 2 2" xfId="5940" xr:uid="{00000000-0005-0000-0000-000035170000}"/>
    <cellStyle name="Currency0 4 5 2 2 3" xfId="5941" xr:uid="{00000000-0005-0000-0000-000036170000}"/>
    <cellStyle name="Currency0 4 5 2 3" xfId="5942" xr:uid="{00000000-0005-0000-0000-000037170000}"/>
    <cellStyle name="Currency0 4 5 2 3 2" xfId="5943" xr:uid="{00000000-0005-0000-0000-000038170000}"/>
    <cellStyle name="Currency0 4 5 2 3 3" xfId="5944" xr:uid="{00000000-0005-0000-0000-000039170000}"/>
    <cellStyle name="Currency0 4 5 2 4" xfId="5945" xr:uid="{00000000-0005-0000-0000-00003A170000}"/>
    <cellStyle name="Currency0 4 5 2 5" xfId="5946" xr:uid="{00000000-0005-0000-0000-00003B170000}"/>
    <cellStyle name="Currency0 4 5 2 6" xfId="5947" xr:uid="{00000000-0005-0000-0000-00003C170000}"/>
    <cellStyle name="Currency0 4 5 3" xfId="5948" xr:uid="{00000000-0005-0000-0000-00003D170000}"/>
    <cellStyle name="Currency0 4 5 3 2" xfId="5949" xr:uid="{00000000-0005-0000-0000-00003E170000}"/>
    <cellStyle name="Currency0 4 5 3 3" xfId="5950" xr:uid="{00000000-0005-0000-0000-00003F170000}"/>
    <cellStyle name="Currency0 4 5 4" xfId="5951" xr:uid="{00000000-0005-0000-0000-000040170000}"/>
    <cellStyle name="Currency0 4 5 4 2" xfId="5952" xr:uid="{00000000-0005-0000-0000-000041170000}"/>
    <cellStyle name="Currency0 4 5 4 3" xfId="5953" xr:uid="{00000000-0005-0000-0000-000042170000}"/>
    <cellStyle name="Currency0 4 5 5" xfId="5954" xr:uid="{00000000-0005-0000-0000-000043170000}"/>
    <cellStyle name="Currency0 4 5 5 2" xfId="5955" xr:uid="{00000000-0005-0000-0000-000044170000}"/>
    <cellStyle name="Currency0 4 5 5 3" xfId="5956" xr:uid="{00000000-0005-0000-0000-000045170000}"/>
    <cellStyle name="Currency0 4 5 6" xfId="5957" xr:uid="{00000000-0005-0000-0000-000046170000}"/>
    <cellStyle name="Currency0 4 5 7" xfId="5958" xr:uid="{00000000-0005-0000-0000-000047170000}"/>
    <cellStyle name="Currency0 4 5 8" xfId="5959" xr:uid="{00000000-0005-0000-0000-000048170000}"/>
    <cellStyle name="Currency0 4 6" xfId="5960" xr:uid="{00000000-0005-0000-0000-000049170000}"/>
    <cellStyle name="Currency0 4 6 2" xfId="5961" xr:uid="{00000000-0005-0000-0000-00004A170000}"/>
    <cellStyle name="Currency0 4 6 2 2" xfId="5962" xr:uid="{00000000-0005-0000-0000-00004B170000}"/>
    <cellStyle name="Currency0 4 6 2 3" xfId="5963" xr:uid="{00000000-0005-0000-0000-00004C170000}"/>
    <cellStyle name="Currency0 4 6 3" xfId="5964" xr:uid="{00000000-0005-0000-0000-00004D170000}"/>
    <cellStyle name="Currency0 4 6 3 2" xfId="5965" xr:uid="{00000000-0005-0000-0000-00004E170000}"/>
    <cellStyle name="Currency0 4 6 3 3" xfId="5966" xr:uid="{00000000-0005-0000-0000-00004F170000}"/>
    <cellStyle name="Currency0 4 6 4" xfId="5967" xr:uid="{00000000-0005-0000-0000-000050170000}"/>
    <cellStyle name="Currency0 4 6 5" xfId="5968" xr:uid="{00000000-0005-0000-0000-000051170000}"/>
    <cellStyle name="Currency0 4 6 6" xfId="5969" xr:uid="{00000000-0005-0000-0000-000052170000}"/>
    <cellStyle name="Currency0 4 7" xfId="5970" xr:uid="{00000000-0005-0000-0000-000053170000}"/>
    <cellStyle name="Currency0 4 7 2" xfId="5971" xr:uid="{00000000-0005-0000-0000-000054170000}"/>
    <cellStyle name="Currency0 4 7 3" xfId="5972" xr:uid="{00000000-0005-0000-0000-000055170000}"/>
    <cellStyle name="Currency0 4 7 4" xfId="5973" xr:uid="{00000000-0005-0000-0000-000056170000}"/>
    <cellStyle name="Currency0 4 8" xfId="5974" xr:uid="{00000000-0005-0000-0000-000057170000}"/>
    <cellStyle name="Currency0 4 8 2" xfId="5975" xr:uid="{00000000-0005-0000-0000-000058170000}"/>
    <cellStyle name="Currency0 4 8 3" xfId="5976" xr:uid="{00000000-0005-0000-0000-000059170000}"/>
    <cellStyle name="Currency0 4 9" xfId="5977" xr:uid="{00000000-0005-0000-0000-00005A170000}"/>
    <cellStyle name="Currency0 4 9 2" xfId="5978" xr:uid="{00000000-0005-0000-0000-00005B170000}"/>
    <cellStyle name="Currency0 4 9 3" xfId="5979" xr:uid="{00000000-0005-0000-0000-00005C170000}"/>
    <cellStyle name="Currency0 5" xfId="5980" xr:uid="{00000000-0005-0000-0000-00005D170000}"/>
    <cellStyle name="Currency0 5 10" xfId="5981" xr:uid="{00000000-0005-0000-0000-00005E170000}"/>
    <cellStyle name="Currency0 5 11" xfId="5982" xr:uid="{00000000-0005-0000-0000-00005F170000}"/>
    <cellStyle name="Currency0 5 12" xfId="5983" xr:uid="{00000000-0005-0000-0000-000060170000}"/>
    <cellStyle name="Currency0 5 2" xfId="5984" xr:uid="{00000000-0005-0000-0000-000061170000}"/>
    <cellStyle name="Currency0 5 2 10" xfId="5985" xr:uid="{00000000-0005-0000-0000-000062170000}"/>
    <cellStyle name="Currency0 5 2 2" xfId="5986" xr:uid="{00000000-0005-0000-0000-000063170000}"/>
    <cellStyle name="Currency0 5 2 2 2" xfId="5987" xr:uid="{00000000-0005-0000-0000-000064170000}"/>
    <cellStyle name="Currency0 5 2 2 2 2" xfId="5988" xr:uid="{00000000-0005-0000-0000-000065170000}"/>
    <cellStyle name="Currency0 5 2 2 2 2 2" xfId="5989" xr:uid="{00000000-0005-0000-0000-000066170000}"/>
    <cellStyle name="Currency0 5 2 2 2 2 3" xfId="5990" xr:uid="{00000000-0005-0000-0000-000067170000}"/>
    <cellStyle name="Currency0 5 2 2 2 3" xfId="5991" xr:uid="{00000000-0005-0000-0000-000068170000}"/>
    <cellStyle name="Currency0 5 2 2 2 3 2" xfId="5992" xr:uid="{00000000-0005-0000-0000-000069170000}"/>
    <cellStyle name="Currency0 5 2 2 2 3 3" xfId="5993" xr:uid="{00000000-0005-0000-0000-00006A170000}"/>
    <cellStyle name="Currency0 5 2 2 2 4" xfId="5994" xr:uid="{00000000-0005-0000-0000-00006B170000}"/>
    <cellStyle name="Currency0 5 2 2 2 5" xfId="5995" xr:uid="{00000000-0005-0000-0000-00006C170000}"/>
    <cellStyle name="Currency0 5 2 2 2 6" xfId="5996" xr:uid="{00000000-0005-0000-0000-00006D170000}"/>
    <cellStyle name="Currency0 5 2 2 3" xfId="5997" xr:uid="{00000000-0005-0000-0000-00006E170000}"/>
    <cellStyle name="Currency0 5 2 2 3 2" xfId="5998" xr:uid="{00000000-0005-0000-0000-00006F170000}"/>
    <cellStyle name="Currency0 5 2 2 3 3" xfId="5999" xr:uid="{00000000-0005-0000-0000-000070170000}"/>
    <cellStyle name="Currency0 5 2 2 4" xfId="6000" xr:uid="{00000000-0005-0000-0000-000071170000}"/>
    <cellStyle name="Currency0 5 2 2 4 2" xfId="6001" xr:uid="{00000000-0005-0000-0000-000072170000}"/>
    <cellStyle name="Currency0 5 2 2 4 3" xfId="6002" xr:uid="{00000000-0005-0000-0000-000073170000}"/>
    <cellStyle name="Currency0 5 2 2 5" xfId="6003" xr:uid="{00000000-0005-0000-0000-000074170000}"/>
    <cellStyle name="Currency0 5 2 2 5 2" xfId="6004" xr:uid="{00000000-0005-0000-0000-000075170000}"/>
    <cellStyle name="Currency0 5 2 2 5 3" xfId="6005" xr:uid="{00000000-0005-0000-0000-000076170000}"/>
    <cellStyle name="Currency0 5 2 2 6" xfId="6006" xr:uid="{00000000-0005-0000-0000-000077170000}"/>
    <cellStyle name="Currency0 5 2 2 7" xfId="6007" xr:uid="{00000000-0005-0000-0000-000078170000}"/>
    <cellStyle name="Currency0 5 2 2 8" xfId="6008" xr:uid="{00000000-0005-0000-0000-000079170000}"/>
    <cellStyle name="Currency0 5 2 3" xfId="6009" xr:uid="{00000000-0005-0000-0000-00007A170000}"/>
    <cellStyle name="Currency0 5 2 3 2" xfId="6010" xr:uid="{00000000-0005-0000-0000-00007B170000}"/>
    <cellStyle name="Currency0 5 2 3 2 2" xfId="6011" xr:uid="{00000000-0005-0000-0000-00007C170000}"/>
    <cellStyle name="Currency0 5 2 3 2 2 2" xfId="6012" xr:uid="{00000000-0005-0000-0000-00007D170000}"/>
    <cellStyle name="Currency0 5 2 3 2 2 3" xfId="6013" xr:uid="{00000000-0005-0000-0000-00007E170000}"/>
    <cellStyle name="Currency0 5 2 3 2 3" xfId="6014" xr:uid="{00000000-0005-0000-0000-00007F170000}"/>
    <cellStyle name="Currency0 5 2 3 2 3 2" xfId="6015" xr:uid="{00000000-0005-0000-0000-000080170000}"/>
    <cellStyle name="Currency0 5 2 3 2 3 3" xfId="6016" xr:uid="{00000000-0005-0000-0000-000081170000}"/>
    <cellStyle name="Currency0 5 2 3 2 4" xfId="6017" xr:uid="{00000000-0005-0000-0000-000082170000}"/>
    <cellStyle name="Currency0 5 2 3 2 5" xfId="6018" xr:uid="{00000000-0005-0000-0000-000083170000}"/>
    <cellStyle name="Currency0 5 2 3 2 6" xfId="6019" xr:uid="{00000000-0005-0000-0000-000084170000}"/>
    <cellStyle name="Currency0 5 2 3 3" xfId="6020" xr:uid="{00000000-0005-0000-0000-000085170000}"/>
    <cellStyle name="Currency0 5 2 3 3 2" xfId="6021" xr:uid="{00000000-0005-0000-0000-000086170000}"/>
    <cellStyle name="Currency0 5 2 3 3 3" xfId="6022" xr:uid="{00000000-0005-0000-0000-000087170000}"/>
    <cellStyle name="Currency0 5 2 3 4" xfId="6023" xr:uid="{00000000-0005-0000-0000-000088170000}"/>
    <cellStyle name="Currency0 5 2 3 4 2" xfId="6024" xr:uid="{00000000-0005-0000-0000-000089170000}"/>
    <cellStyle name="Currency0 5 2 3 4 3" xfId="6025" xr:uid="{00000000-0005-0000-0000-00008A170000}"/>
    <cellStyle name="Currency0 5 2 3 5" xfId="6026" xr:uid="{00000000-0005-0000-0000-00008B170000}"/>
    <cellStyle name="Currency0 5 2 3 5 2" xfId="6027" xr:uid="{00000000-0005-0000-0000-00008C170000}"/>
    <cellStyle name="Currency0 5 2 3 5 3" xfId="6028" xr:uid="{00000000-0005-0000-0000-00008D170000}"/>
    <cellStyle name="Currency0 5 2 3 6" xfId="6029" xr:uid="{00000000-0005-0000-0000-00008E170000}"/>
    <cellStyle name="Currency0 5 2 3 7" xfId="6030" xr:uid="{00000000-0005-0000-0000-00008F170000}"/>
    <cellStyle name="Currency0 5 2 3 8" xfId="6031" xr:uid="{00000000-0005-0000-0000-000090170000}"/>
    <cellStyle name="Currency0 5 2 4" xfId="6032" xr:uid="{00000000-0005-0000-0000-000091170000}"/>
    <cellStyle name="Currency0 5 2 4 2" xfId="6033" xr:uid="{00000000-0005-0000-0000-000092170000}"/>
    <cellStyle name="Currency0 5 2 4 2 2" xfId="6034" xr:uid="{00000000-0005-0000-0000-000093170000}"/>
    <cellStyle name="Currency0 5 2 4 2 3" xfId="6035" xr:uid="{00000000-0005-0000-0000-000094170000}"/>
    <cellStyle name="Currency0 5 2 4 3" xfId="6036" xr:uid="{00000000-0005-0000-0000-000095170000}"/>
    <cellStyle name="Currency0 5 2 4 3 2" xfId="6037" xr:uid="{00000000-0005-0000-0000-000096170000}"/>
    <cellStyle name="Currency0 5 2 4 3 3" xfId="6038" xr:uid="{00000000-0005-0000-0000-000097170000}"/>
    <cellStyle name="Currency0 5 2 4 4" xfId="6039" xr:uid="{00000000-0005-0000-0000-000098170000}"/>
    <cellStyle name="Currency0 5 2 4 5" xfId="6040" xr:uid="{00000000-0005-0000-0000-000099170000}"/>
    <cellStyle name="Currency0 5 2 4 6" xfId="6041" xr:uid="{00000000-0005-0000-0000-00009A170000}"/>
    <cellStyle name="Currency0 5 2 5" xfId="6042" xr:uid="{00000000-0005-0000-0000-00009B170000}"/>
    <cellStyle name="Currency0 5 2 5 2" xfId="6043" xr:uid="{00000000-0005-0000-0000-00009C170000}"/>
    <cellStyle name="Currency0 5 2 5 3" xfId="6044" xr:uid="{00000000-0005-0000-0000-00009D170000}"/>
    <cellStyle name="Currency0 5 2 6" xfId="6045" xr:uid="{00000000-0005-0000-0000-00009E170000}"/>
    <cellStyle name="Currency0 5 2 6 2" xfId="6046" xr:uid="{00000000-0005-0000-0000-00009F170000}"/>
    <cellStyle name="Currency0 5 2 6 3" xfId="6047" xr:uid="{00000000-0005-0000-0000-0000A0170000}"/>
    <cellStyle name="Currency0 5 2 7" xfId="6048" xr:uid="{00000000-0005-0000-0000-0000A1170000}"/>
    <cellStyle name="Currency0 5 2 7 2" xfId="6049" xr:uid="{00000000-0005-0000-0000-0000A2170000}"/>
    <cellStyle name="Currency0 5 2 7 3" xfId="6050" xr:uid="{00000000-0005-0000-0000-0000A3170000}"/>
    <cellStyle name="Currency0 5 2 8" xfId="6051" xr:uid="{00000000-0005-0000-0000-0000A4170000}"/>
    <cellStyle name="Currency0 5 2 9" xfId="6052" xr:uid="{00000000-0005-0000-0000-0000A5170000}"/>
    <cellStyle name="Currency0 5 3" xfId="6053" xr:uid="{00000000-0005-0000-0000-0000A6170000}"/>
    <cellStyle name="Currency0 5 3 2" xfId="6054" xr:uid="{00000000-0005-0000-0000-0000A7170000}"/>
    <cellStyle name="Currency0 5 3 2 2" xfId="6055" xr:uid="{00000000-0005-0000-0000-0000A8170000}"/>
    <cellStyle name="Currency0 5 3 2 2 2" xfId="6056" xr:uid="{00000000-0005-0000-0000-0000A9170000}"/>
    <cellStyle name="Currency0 5 3 2 2 3" xfId="6057" xr:uid="{00000000-0005-0000-0000-0000AA170000}"/>
    <cellStyle name="Currency0 5 3 2 3" xfId="6058" xr:uid="{00000000-0005-0000-0000-0000AB170000}"/>
    <cellStyle name="Currency0 5 3 2 3 2" xfId="6059" xr:uid="{00000000-0005-0000-0000-0000AC170000}"/>
    <cellStyle name="Currency0 5 3 2 3 3" xfId="6060" xr:uid="{00000000-0005-0000-0000-0000AD170000}"/>
    <cellStyle name="Currency0 5 3 2 4" xfId="6061" xr:uid="{00000000-0005-0000-0000-0000AE170000}"/>
    <cellStyle name="Currency0 5 3 2 5" xfId="6062" xr:uid="{00000000-0005-0000-0000-0000AF170000}"/>
    <cellStyle name="Currency0 5 3 2 6" xfId="6063" xr:uid="{00000000-0005-0000-0000-0000B0170000}"/>
    <cellStyle name="Currency0 5 3 3" xfId="6064" xr:uid="{00000000-0005-0000-0000-0000B1170000}"/>
    <cellStyle name="Currency0 5 3 3 2" xfId="6065" xr:uid="{00000000-0005-0000-0000-0000B2170000}"/>
    <cellStyle name="Currency0 5 3 3 3" xfId="6066" xr:uid="{00000000-0005-0000-0000-0000B3170000}"/>
    <cellStyle name="Currency0 5 3 4" xfId="6067" xr:uid="{00000000-0005-0000-0000-0000B4170000}"/>
    <cellStyle name="Currency0 5 3 4 2" xfId="6068" xr:uid="{00000000-0005-0000-0000-0000B5170000}"/>
    <cellStyle name="Currency0 5 3 4 3" xfId="6069" xr:uid="{00000000-0005-0000-0000-0000B6170000}"/>
    <cellStyle name="Currency0 5 3 5" xfId="6070" xr:uid="{00000000-0005-0000-0000-0000B7170000}"/>
    <cellStyle name="Currency0 5 3 5 2" xfId="6071" xr:uid="{00000000-0005-0000-0000-0000B8170000}"/>
    <cellStyle name="Currency0 5 3 5 3" xfId="6072" xr:uid="{00000000-0005-0000-0000-0000B9170000}"/>
    <cellStyle name="Currency0 5 3 6" xfId="6073" xr:uid="{00000000-0005-0000-0000-0000BA170000}"/>
    <cellStyle name="Currency0 5 3 7" xfId="6074" xr:uid="{00000000-0005-0000-0000-0000BB170000}"/>
    <cellStyle name="Currency0 5 3 8" xfId="6075" xr:uid="{00000000-0005-0000-0000-0000BC170000}"/>
    <cellStyle name="Currency0 5 4" xfId="6076" xr:uid="{00000000-0005-0000-0000-0000BD170000}"/>
    <cellStyle name="Currency0 5 4 2" xfId="6077" xr:uid="{00000000-0005-0000-0000-0000BE170000}"/>
    <cellStyle name="Currency0 5 4 2 2" xfId="6078" xr:uid="{00000000-0005-0000-0000-0000BF170000}"/>
    <cellStyle name="Currency0 5 4 2 2 2" xfId="6079" xr:uid="{00000000-0005-0000-0000-0000C0170000}"/>
    <cellStyle name="Currency0 5 4 2 2 3" xfId="6080" xr:uid="{00000000-0005-0000-0000-0000C1170000}"/>
    <cellStyle name="Currency0 5 4 2 3" xfId="6081" xr:uid="{00000000-0005-0000-0000-0000C2170000}"/>
    <cellStyle name="Currency0 5 4 2 3 2" xfId="6082" xr:uid="{00000000-0005-0000-0000-0000C3170000}"/>
    <cellStyle name="Currency0 5 4 2 3 3" xfId="6083" xr:uid="{00000000-0005-0000-0000-0000C4170000}"/>
    <cellStyle name="Currency0 5 4 2 4" xfId="6084" xr:uid="{00000000-0005-0000-0000-0000C5170000}"/>
    <cellStyle name="Currency0 5 4 2 5" xfId="6085" xr:uid="{00000000-0005-0000-0000-0000C6170000}"/>
    <cellStyle name="Currency0 5 4 2 6" xfId="6086" xr:uid="{00000000-0005-0000-0000-0000C7170000}"/>
    <cellStyle name="Currency0 5 4 3" xfId="6087" xr:uid="{00000000-0005-0000-0000-0000C8170000}"/>
    <cellStyle name="Currency0 5 4 3 2" xfId="6088" xr:uid="{00000000-0005-0000-0000-0000C9170000}"/>
    <cellStyle name="Currency0 5 4 3 3" xfId="6089" xr:uid="{00000000-0005-0000-0000-0000CA170000}"/>
    <cellStyle name="Currency0 5 4 4" xfId="6090" xr:uid="{00000000-0005-0000-0000-0000CB170000}"/>
    <cellStyle name="Currency0 5 4 4 2" xfId="6091" xr:uid="{00000000-0005-0000-0000-0000CC170000}"/>
    <cellStyle name="Currency0 5 4 4 3" xfId="6092" xr:uid="{00000000-0005-0000-0000-0000CD170000}"/>
    <cellStyle name="Currency0 5 4 5" xfId="6093" xr:uid="{00000000-0005-0000-0000-0000CE170000}"/>
    <cellStyle name="Currency0 5 4 5 2" xfId="6094" xr:uid="{00000000-0005-0000-0000-0000CF170000}"/>
    <cellStyle name="Currency0 5 4 5 3" xfId="6095" xr:uid="{00000000-0005-0000-0000-0000D0170000}"/>
    <cellStyle name="Currency0 5 4 6" xfId="6096" xr:uid="{00000000-0005-0000-0000-0000D1170000}"/>
    <cellStyle name="Currency0 5 4 7" xfId="6097" xr:uid="{00000000-0005-0000-0000-0000D2170000}"/>
    <cellStyle name="Currency0 5 4 8" xfId="6098" xr:uid="{00000000-0005-0000-0000-0000D3170000}"/>
    <cellStyle name="Currency0 5 5" xfId="6099" xr:uid="{00000000-0005-0000-0000-0000D4170000}"/>
    <cellStyle name="Currency0 5 5 2" xfId="6100" xr:uid="{00000000-0005-0000-0000-0000D5170000}"/>
    <cellStyle name="Currency0 5 5 2 2" xfId="6101" xr:uid="{00000000-0005-0000-0000-0000D6170000}"/>
    <cellStyle name="Currency0 5 5 2 2 2" xfId="6102" xr:uid="{00000000-0005-0000-0000-0000D7170000}"/>
    <cellStyle name="Currency0 5 5 2 2 3" xfId="6103" xr:uid="{00000000-0005-0000-0000-0000D8170000}"/>
    <cellStyle name="Currency0 5 5 2 3" xfId="6104" xr:uid="{00000000-0005-0000-0000-0000D9170000}"/>
    <cellStyle name="Currency0 5 5 2 3 2" xfId="6105" xr:uid="{00000000-0005-0000-0000-0000DA170000}"/>
    <cellStyle name="Currency0 5 5 2 3 3" xfId="6106" xr:uid="{00000000-0005-0000-0000-0000DB170000}"/>
    <cellStyle name="Currency0 5 5 2 4" xfId="6107" xr:uid="{00000000-0005-0000-0000-0000DC170000}"/>
    <cellStyle name="Currency0 5 5 2 5" xfId="6108" xr:uid="{00000000-0005-0000-0000-0000DD170000}"/>
    <cellStyle name="Currency0 5 5 2 6" xfId="6109" xr:uid="{00000000-0005-0000-0000-0000DE170000}"/>
    <cellStyle name="Currency0 5 5 3" xfId="6110" xr:uid="{00000000-0005-0000-0000-0000DF170000}"/>
    <cellStyle name="Currency0 5 5 3 2" xfId="6111" xr:uid="{00000000-0005-0000-0000-0000E0170000}"/>
    <cellStyle name="Currency0 5 5 3 3" xfId="6112" xr:uid="{00000000-0005-0000-0000-0000E1170000}"/>
    <cellStyle name="Currency0 5 5 4" xfId="6113" xr:uid="{00000000-0005-0000-0000-0000E2170000}"/>
    <cellStyle name="Currency0 5 5 4 2" xfId="6114" xr:uid="{00000000-0005-0000-0000-0000E3170000}"/>
    <cellStyle name="Currency0 5 5 4 3" xfId="6115" xr:uid="{00000000-0005-0000-0000-0000E4170000}"/>
    <cellStyle name="Currency0 5 5 5" xfId="6116" xr:uid="{00000000-0005-0000-0000-0000E5170000}"/>
    <cellStyle name="Currency0 5 5 5 2" xfId="6117" xr:uid="{00000000-0005-0000-0000-0000E6170000}"/>
    <cellStyle name="Currency0 5 5 5 3" xfId="6118" xr:uid="{00000000-0005-0000-0000-0000E7170000}"/>
    <cellStyle name="Currency0 5 5 6" xfId="6119" xr:uid="{00000000-0005-0000-0000-0000E8170000}"/>
    <cellStyle name="Currency0 5 5 7" xfId="6120" xr:uid="{00000000-0005-0000-0000-0000E9170000}"/>
    <cellStyle name="Currency0 5 5 8" xfId="6121" xr:uid="{00000000-0005-0000-0000-0000EA170000}"/>
    <cellStyle name="Currency0 5 6" xfId="6122" xr:uid="{00000000-0005-0000-0000-0000EB170000}"/>
    <cellStyle name="Currency0 5 6 2" xfId="6123" xr:uid="{00000000-0005-0000-0000-0000EC170000}"/>
    <cellStyle name="Currency0 5 6 2 2" xfId="6124" xr:uid="{00000000-0005-0000-0000-0000ED170000}"/>
    <cellStyle name="Currency0 5 6 2 3" xfId="6125" xr:uid="{00000000-0005-0000-0000-0000EE170000}"/>
    <cellStyle name="Currency0 5 6 3" xfId="6126" xr:uid="{00000000-0005-0000-0000-0000EF170000}"/>
    <cellStyle name="Currency0 5 6 3 2" xfId="6127" xr:uid="{00000000-0005-0000-0000-0000F0170000}"/>
    <cellStyle name="Currency0 5 6 3 3" xfId="6128" xr:uid="{00000000-0005-0000-0000-0000F1170000}"/>
    <cellStyle name="Currency0 5 6 4" xfId="6129" xr:uid="{00000000-0005-0000-0000-0000F2170000}"/>
    <cellStyle name="Currency0 5 6 5" xfId="6130" xr:uid="{00000000-0005-0000-0000-0000F3170000}"/>
    <cellStyle name="Currency0 5 6 6" xfId="6131" xr:uid="{00000000-0005-0000-0000-0000F4170000}"/>
    <cellStyle name="Currency0 5 7" xfId="6132" xr:uid="{00000000-0005-0000-0000-0000F5170000}"/>
    <cellStyle name="Currency0 5 7 2" xfId="6133" xr:uid="{00000000-0005-0000-0000-0000F6170000}"/>
    <cellStyle name="Currency0 5 7 3" xfId="6134" xr:uid="{00000000-0005-0000-0000-0000F7170000}"/>
    <cellStyle name="Currency0 5 7 4" xfId="6135" xr:uid="{00000000-0005-0000-0000-0000F8170000}"/>
    <cellStyle name="Currency0 5 8" xfId="6136" xr:uid="{00000000-0005-0000-0000-0000F9170000}"/>
    <cellStyle name="Currency0 5 8 2" xfId="6137" xr:uid="{00000000-0005-0000-0000-0000FA170000}"/>
    <cellStyle name="Currency0 5 8 3" xfId="6138" xr:uid="{00000000-0005-0000-0000-0000FB170000}"/>
    <cellStyle name="Currency0 5 9" xfId="6139" xr:uid="{00000000-0005-0000-0000-0000FC170000}"/>
    <cellStyle name="Currency0 5 9 2" xfId="6140" xr:uid="{00000000-0005-0000-0000-0000FD170000}"/>
    <cellStyle name="Currency0 5 9 3" xfId="6141" xr:uid="{00000000-0005-0000-0000-0000FE170000}"/>
    <cellStyle name="Currency0 6" xfId="6142" xr:uid="{00000000-0005-0000-0000-0000FF170000}"/>
    <cellStyle name="Currency0 6 10" xfId="6143" xr:uid="{00000000-0005-0000-0000-000000180000}"/>
    <cellStyle name="Currency0 6 11" xfId="6144" xr:uid="{00000000-0005-0000-0000-000001180000}"/>
    <cellStyle name="Currency0 6 12" xfId="6145" xr:uid="{00000000-0005-0000-0000-000002180000}"/>
    <cellStyle name="Currency0 6 2" xfId="6146" xr:uid="{00000000-0005-0000-0000-000003180000}"/>
    <cellStyle name="Currency0 6 2 10" xfId="6147" xr:uid="{00000000-0005-0000-0000-000004180000}"/>
    <cellStyle name="Currency0 6 2 2" xfId="6148" xr:uid="{00000000-0005-0000-0000-000005180000}"/>
    <cellStyle name="Currency0 6 2 2 2" xfId="6149" xr:uid="{00000000-0005-0000-0000-000006180000}"/>
    <cellStyle name="Currency0 6 2 2 2 2" xfId="6150" xr:uid="{00000000-0005-0000-0000-000007180000}"/>
    <cellStyle name="Currency0 6 2 2 2 2 2" xfId="6151" xr:uid="{00000000-0005-0000-0000-000008180000}"/>
    <cellStyle name="Currency0 6 2 2 2 2 3" xfId="6152" xr:uid="{00000000-0005-0000-0000-000009180000}"/>
    <cellStyle name="Currency0 6 2 2 2 3" xfId="6153" xr:uid="{00000000-0005-0000-0000-00000A180000}"/>
    <cellStyle name="Currency0 6 2 2 2 3 2" xfId="6154" xr:uid="{00000000-0005-0000-0000-00000B180000}"/>
    <cellStyle name="Currency0 6 2 2 2 3 3" xfId="6155" xr:uid="{00000000-0005-0000-0000-00000C180000}"/>
    <cellStyle name="Currency0 6 2 2 2 4" xfId="6156" xr:uid="{00000000-0005-0000-0000-00000D180000}"/>
    <cellStyle name="Currency0 6 2 2 2 5" xfId="6157" xr:uid="{00000000-0005-0000-0000-00000E180000}"/>
    <cellStyle name="Currency0 6 2 2 2 6" xfId="6158" xr:uid="{00000000-0005-0000-0000-00000F180000}"/>
    <cellStyle name="Currency0 6 2 2 3" xfId="6159" xr:uid="{00000000-0005-0000-0000-000010180000}"/>
    <cellStyle name="Currency0 6 2 2 3 2" xfId="6160" xr:uid="{00000000-0005-0000-0000-000011180000}"/>
    <cellStyle name="Currency0 6 2 2 3 3" xfId="6161" xr:uid="{00000000-0005-0000-0000-000012180000}"/>
    <cellStyle name="Currency0 6 2 2 4" xfId="6162" xr:uid="{00000000-0005-0000-0000-000013180000}"/>
    <cellStyle name="Currency0 6 2 2 4 2" xfId="6163" xr:uid="{00000000-0005-0000-0000-000014180000}"/>
    <cellStyle name="Currency0 6 2 2 4 3" xfId="6164" xr:uid="{00000000-0005-0000-0000-000015180000}"/>
    <cellStyle name="Currency0 6 2 2 5" xfId="6165" xr:uid="{00000000-0005-0000-0000-000016180000}"/>
    <cellStyle name="Currency0 6 2 2 5 2" xfId="6166" xr:uid="{00000000-0005-0000-0000-000017180000}"/>
    <cellStyle name="Currency0 6 2 2 5 3" xfId="6167" xr:uid="{00000000-0005-0000-0000-000018180000}"/>
    <cellStyle name="Currency0 6 2 2 6" xfId="6168" xr:uid="{00000000-0005-0000-0000-000019180000}"/>
    <cellStyle name="Currency0 6 2 2 7" xfId="6169" xr:uid="{00000000-0005-0000-0000-00001A180000}"/>
    <cellStyle name="Currency0 6 2 2 8" xfId="6170" xr:uid="{00000000-0005-0000-0000-00001B180000}"/>
    <cellStyle name="Currency0 6 2 3" xfId="6171" xr:uid="{00000000-0005-0000-0000-00001C180000}"/>
    <cellStyle name="Currency0 6 2 3 2" xfId="6172" xr:uid="{00000000-0005-0000-0000-00001D180000}"/>
    <cellStyle name="Currency0 6 2 3 2 2" xfId="6173" xr:uid="{00000000-0005-0000-0000-00001E180000}"/>
    <cellStyle name="Currency0 6 2 3 2 2 2" xfId="6174" xr:uid="{00000000-0005-0000-0000-00001F180000}"/>
    <cellStyle name="Currency0 6 2 3 2 2 3" xfId="6175" xr:uid="{00000000-0005-0000-0000-000020180000}"/>
    <cellStyle name="Currency0 6 2 3 2 3" xfId="6176" xr:uid="{00000000-0005-0000-0000-000021180000}"/>
    <cellStyle name="Currency0 6 2 3 2 3 2" xfId="6177" xr:uid="{00000000-0005-0000-0000-000022180000}"/>
    <cellStyle name="Currency0 6 2 3 2 3 3" xfId="6178" xr:uid="{00000000-0005-0000-0000-000023180000}"/>
    <cellStyle name="Currency0 6 2 3 2 4" xfId="6179" xr:uid="{00000000-0005-0000-0000-000024180000}"/>
    <cellStyle name="Currency0 6 2 3 2 5" xfId="6180" xr:uid="{00000000-0005-0000-0000-000025180000}"/>
    <cellStyle name="Currency0 6 2 3 2 6" xfId="6181" xr:uid="{00000000-0005-0000-0000-000026180000}"/>
    <cellStyle name="Currency0 6 2 3 3" xfId="6182" xr:uid="{00000000-0005-0000-0000-000027180000}"/>
    <cellStyle name="Currency0 6 2 3 3 2" xfId="6183" xr:uid="{00000000-0005-0000-0000-000028180000}"/>
    <cellStyle name="Currency0 6 2 3 3 3" xfId="6184" xr:uid="{00000000-0005-0000-0000-000029180000}"/>
    <cellStyle name="Currency0 6 2 3 4" xfId="6185" xr:uid="{00000000-0005-0000-0000-00002A180000}"/>
    <cellStyle name="Currency0 6 2 3 4 2" xfId="6186" xr:uid="{00000000-0005-0000-0000-00002B180000}"/>
    <cellStyle name="Currency0 6 2 3 4 3" xfId="6187" xr:uid="{00000000-0005-0000-0000-00002C180000}"/>
    <cellStyle name="Currency0 6 2 3 5" xfId="6188" xr:uid="{00000000-0005-0000-0000-00002D180000}"/>
    <cellStyle name="Currency0 6 2 3 5 2" xfId="6189" xr:uid="{00000000-0005-0000-0000-00002E180000}"/>
    <cellStyle name="Currency0 6 2 3 5 3" xfId="6190" xr:uid="{00000000-0005-0000-0000-00002F180000}"/>
    <cellStyle name="Currency0 6 2 3 6" xfId="6191" xr:uid="{00000000-0005-0000-0000-000030180000}"/>
    <cellStyle name="Currency0 6 2 3 7" xfId="6192" xr:uid="{00000000-0005-0000-0000-000031180000}"/>
    <cellStyle name="Currency0 6 2 3 8" xfId="6193" xr:uid="{00000000-0005-0000-0000-000032180000}"/>
    <cellStyle name="Currency0 6 2 4" xfId="6194" xr:uid="{00000000-0005-0000-0000-000033180000}"/>
    <cellStyle name="Currency0 6 2 4 2" xfId="6195" xr:uid="{00000000-0005-0000-0000-000034180000}"/>
    <cellStyle name="Currency0 6 2 4 2 2" xfId="6196" xr:uid="{00000000-0005-0000-0000-000035180000}"/>
    <cellStyle name="Currency0 6 2 4 2 3" xfId="6197" xr:uid="{00000000-0005-0000-0000-000036180000}"/>
    <cellStyle name="Currency0 6 2 4 3" xfId="6198" xr:uid="{00000000-0005-0000-0000-000037180000}"/>
    <cellStyle name="Currency0 6 2 4 3 2" xfId="6199" xr:uid="{00000000-0005-0000-0000-000038180000}"/>
    <cellStyle name="Currency0 6 2 4 3 3" xfId="6200" xr:uid="{00000000-0005-0000-0000-000039180000}"/>
    <cellStyle name="Currency0 6 2 4 4" xfId="6201" xr:uid="{00000000-0005-0000-0000-00003A180000}"/>
    <cellStyle name="Currency0 6 2 4 5" xfId="6202" xr:uid="{00000000-0005-0000-0000-00003B180000}"/>
    <cellStyle name="Currency0 6 2 4 6" xfId="6203" xr:uid="{00000000-0005-0000-0000-00003C180000}"/>
    <cellStyle name="Currency0 6 2 5" xfId="6204" xr:uid="{00000000-0005-0000-0000-00003D180000}"/>
    <cellStyle name="Currency0 6 2 5 2" xfId="6205" xr:uid="{00000000-0005-0000-0000-00003E180000}"/>
    <cellStyle name="Currency0 6 2 5 3" xfId="6206" xr:uid="{00000000-0005-0000-0000-00003F180000}"/>
    <cellStyle name="Currency0 6 2 6" xfId="6207" xr:uid="{00000000-0005-0000-0000-000040180000}"/>
    <cellStyle name="Currency0 6 2 6 2" xfId="6208" xr:uid="{00000000-0005-0000-0000-000041180000}"/>
    <cellStyle name="Currency0 6 2 6 3" xfId="6209" xr:uid="{00000000-0005-0000-0000-000042180000}"/>
    <cellStyle name="Currency0 6 2 7" xfId="6210" xr:uid="{00000000-0005-0000-0000-000043180000}"/>
    <cellStyle name="Currency0 6 2 7 2" xfId="6211" xr:uid="{00000000-0005-0000-0000-000044180000}"/>
    <cellStyle name="Currency0 6 2 7 3" xfId="6212" xr:uid="{00000000-0005-0000-0000-000045180000}"/>
    <cellStyle name="Currency0 6 2 8" xfId="6213" xr:uid="{00000000-0005-0000-0000-000046180000}"/>
    <cellStyle name="Currency0 6 2 9" xfId="6214" xr:uid="{00000000-0005-0000-0000-000047180000}"/>
    <cellStyle name="Currency0 6 3" xfId="6215" xr:uid="{00000000-0005-0000-0000-000048180000}"/>
    <cellStyle name="Currency0 6 3 2" xfId="6216" xr:uid="{00000000-0005-0000-0000-000049180000}"/>
    <cellStyle name="Currency0 6 3 2 2" xfId="6217" xr:uid="{00000000-0005-0000-0000-00004A180000}"/>
    <cellStyle name="Currency0 6 3 2 2 2" xfId="6218" xr:uid="{00000000-0005-0000-0000-00004B180000}"/>
    <cellStyle name="Currency0 6 3 2 2 3" xfId="6219" xr:uid="{00000000-0005-0000-0000-00004C180000}"/>
    <cellStyle name="Currency0 6 3 2 3" xfId="6220" xr:uid="{00000000-0005-0000-0000-00004D180000}"/>
    <cellStyle name="Currency0 6 3 2 3 2" xfId="6221" xr:uid="{00000000-0005-0000-0000-00004E180000}"/>
    <cellStyle name="Currency0 6 3 2 3 3" xfId="6222" xr:uid="{00000000-0005-0000-0000-00004F180000}"/>
    <cellStyle name="Currency0 6 3 2 4" xfId="6223" xr:uid="{00000000-0005-0000-0000-000050180000}"/>
    <cellStyle name="Currency0 6 3 2 5" xfId="6224" xr:uid="{00000000-0005-0000-0000-000051180000}"/>
    <cellStyle name="Currency0 6 3 2 6" xfId="6225" xr:uid="{00000000-0005-0000-0000-000052180000}"/>
    <cellStyle name="Currency0 6 3 3" xfId="6226" xr:uid="{00000000-0005-0000-0000-000053180000}"/>
    <cellStyle name="Currency0 6 3 3 2" xfId="6227" xr:uid="{00000000-0005-0000-0000-000054180000}"/>
    <cellStyle name="Currency0 6 3 3 3" xfId="6228" xr:uid="{00000000-0005-0000-0000-000055180000}"/>
    <cellStyle name="Currency0 6 3 4" xfId="6229" xr:uid="{00000000-0005-0000-0000-000056180000}"/>
    <cellStyle name="Currency0 6 3 4 2" xfId="6230" xr:uid="{00000000-0005-0000-0000-000057180000}"/>
    <cellStyle name="Currency0 6 3 4 3" xfId="6231" xr:uid="{00000000-0005-0000-0000-000058180000}"/>
    <cellStyle name="Currency0 6 3 5" xfId="6232" xr:uid="{00000000-0005-0000-0000-000059180000}"/>
    <cellStyle name="Currency0 6 3 5 2" xfId="6233" xr:uid="{00000000-0005-0000-0000-00005A180000}"/>
    <cellStyle name="Currency0 6 3 5 3" xfId="6234" xr:uid="{00000000-0005-0000-0000-00005B180000}"/>
    <cellStyle name="Currency0 6 3 6" xfId="6235" xr:uid="{00000000-0005-0000-0000-00005C180000}"/>
    <cellStyle name="Currency0 6 3 7" xfId="6236" xr:uid="{00000000-0005-0000-0000-00005D180000}"/>
    <cellStyle name="Currency0 6 3 8" xfId="6237" xr:uid="{00000000-0005-0000-0000-00005E180000}"/>
    <cellStyle name="Currency0 6 4" xfId="6238" xr:uid="{00000000-0005-0000-0000-00005F180000}"/>
    <cellStyle name="Currency0 6 4 2" xfId="6239" xr:uid="{00000000-0005-0000-0000-000060180000}"/>
    <cellStyle name="Currency0 6 4 2 2" xfId="6240" xr:uid="{00000000-0005-0000-0000-000061180000}"/>
    <cellStyle name="Currency0 6 4 2 2 2" xfId="6241" xr:uid="{00000000-0005-0000-0000-000062180000}"/>
    <cellStyle name="Currency0 6 4 2 2 3" xfId="6242" xr:uid="{00000000-0005-0000-0000-000063180000}"/>
    <cellStyle name="Currency0 6 4 2 3" xfId="6243" xr:uid="{00000000-0005-0000-0000-000064180000}"/>
    <cellStyle name="Currency0 6 4 2 3 2" xfId="6244" xr:uid="{00000000-0005-0000-0000-000065180000}"/>
    <cellStyle name="Currency0 6 4 2 3 3" xfId="6245" xr:uid="{00000000-0005-0000-0000-000066180000}"/>
    <cellStyle name="Currency0 6 4 2 4" xfId="6246" xr:uid="{00000000-0005-0000-0000-000067180000}"/>
    <cellStyle name="Currency0 6 4 2 5" xfId="6247" xr:uid="{00000000-0005-0000-0000-000068180000}"/>
    <cellStyle name="Currency0 6 4 2 6" xfId="6248" xr:uid="{00000000-0005-0000-0000-000069180000}"/>
    <cellStyle name="Currency0 6 4 3" xfId="6249" xr:uid="{00000000-0005-0000-0000-00006A180000}"/>
    <cellStyle name="Currency0 6 4 3 2" xfId="6250" xr:uid="{00000000-0005-0000-0000-00006B180000}"/>
    <cellStyle name="Currency0 6 4 3 3" xfId="6251" xr:uid="{00000000-0005-0000-0000-00006C180000}"/>
    <cellStyle name="Currency0 6 4 4" xfId="6252" xr:uid="{00000000-0005-0000-0000-00006D180000}"/>
    <cellStyle name="Currency0 6 4 4 2" xfId="6253" xr:uid="{00000000-0005-0000-0000-00006E180000}"/>
    <cellStyle name="Currency0 6 4 4 3" xfId="6254" xr:uid="{00000000-0005-0000-0000-00006F180000}"/>
    <cellStyle name="Currency0 6 4 5" xfId="6255" xr:uid="{00000000-0005-0000-0000-000070180000}"/>
    <cellStyle name="Currency0 6 4 5 2" xfId="6256" xr:uid="{00000000-0005-0000-0000-000071180000}"/>
    <cellStyle name="Currency0 6 4 5 3" xfId="6257" xr:uid="{00000000-0005-0000-0000-000072180000}"/>
    <cellStyle name="Currency0 6 4 6" xfId="6258" xr:uid="{00000000-0005-0000-0000-000073180000}"/>
    <cellStyle name="Currency0 6 4 7" xfId="6259" xr:uid="{00000000-0005-0000-0000-000074180000}"/>
    <cellStyle name="Currency0 6 4 8" xfId="6260" xr:uid="{00000000-0005-0000-0000-000075180000}"/>
    <cellStyle name="Currency0 6 5" xfId="6261" xr:uid="{00000000-0005-0000-0000-000076180000}"/>
    <cellStyle name="Currency0 6 5 2" xfId="6262" xr:uid="{00000000-0005-0000-0000-000077180000}"/>
    <cellStyle name="Currency0 6 5 2 2" xfId="6263" xr:uid="{00000000-0005-0000-0000-000078180000}"/>
    <cellStyle name="Currency0 6 5 2 2 2" xfId="6264" xr:uid="{00000000-0005-0000-0000-000079180000}"/>
    <cellStyle name="Currency0 6 5 2 2 3" xfId="6265" xr:uid="{00000000-0005-0000-0000-00007A180000}"/>
    <cellStyle name="Currency0 6 5 2 3" xfId="6266" xr:uid="{00000000-0005-0000-0000-00007B180000}"/>
    <cellStyle name="Currency0 6 5 2 3 2" xfId="6267" xr:uid="{00000000-0005-0000-0000-00007C180000}"/>
    <cellStyle name="Currency0 6 5 2 3 3" xfId="6268" xr:uid="{00000000-0005-0000-0000-00007D180000}"/>
    <cellStyle name="Currency0 6 5 2 4" xfId="6269" xr:uid="{00000000-0005-0000-0000-00007E180000}"/>
    <cellStyle name="Currency0 6 5 2 5" xfId="6270" xr:uid="{00000000-0005-0000-0000-00007F180000}"/>
    <cellStyle name="Currency0 6 5 2 6" xfId="6271" xr:uid="{00000000-0005-0000-0000-000080180000}"/>
    <cellStyle name="Currency0 6 5 3" xfId="6272" xr:uid="{00000000-0005-0000-0000-000081180000}"/>
    <cellStyle name="Currency0 6 5 3 2" xfId="6273" xr:uid="{00000000-0005-0000-0000-000082180000}"/>
    <cellStyle name="Currency0 6 5 3 3" xfId="6274" xr:uid="{00000000-0005-0000-0000-000083180000}"/>
    <cellStyle name="Currency0 6 5 4" xfId="6275" xr:uid="{00000000-0005-0000-0000-000084180000}"/>
    <cellStyle name="Currency0 6 5 4 2" xfId="6276" xr:uid="{00000000-0005-0000-0000-000085180000}"/>
    <cellStyle name="Currency0 6 5 4 3" xfId="6277" xr:uid="{00000000-0005-0000-0000-000086180000}"/>
    <cellStyle name="Currency0 6 5 5" xfId="6278" xr:uid="{00000000-0005-0000-0000-000087180000}"/>
    <cellStyle name="Currency0 6 5 5 2" xfId="6279" xr:uid="{00000000-0005-0000-0000-000088180000}"/>
    <cellStyle name="Currency0 6 5 5 3" xfId="6280" xr:uid="{00000000-0005-0000-0000-000089180000}"/>
    <cellStyle name="Currency0 6 5 6" xfId="6281" xr:uid="{00000000-0005-0000-0000-00008A180000}"/>
    <cellStyle name="Currency0 6 5 7" xfId="6282" xr:uid="{00000000-0005-0000-0000-00008B180000}"/>
    <cellStyle name="Currency0 6 5 8" xfId="6283" xr:uid="{00000000-0005-0000-0000-00008C180000}"/>
    <cellStyle name="Currency0 6 6" xfId="6284" xr:uid="{00000000-0005-0000-0000-00008D180000}"/>
    <cellStyle name="Currency0 6 6 2" xfId="6285" xr:uid="{00000000-0005-0000-0000-00008E180000}"/>
    <cellStyle name="Currency0 6 6 2 2" xfId="6286" xr:uid="{00000000-0005-0000-0000-00008F180000}"/>
    <cellStyle name="Currency0 6 6 2 3" xfId="6287" xr:uid="{00000000-0005-0000-0000-000090180000}"/>
    <cellStyle name="Currency0 6 6 3" xfId="6288" xr:uid="{00000000-0005-0000-0000-000091180000}"/>
    <cellStyle name="Currency0 6 6 3 2" xfId="6289" xr:uid="{00000000-0005-0000-0000-000092180000}"/>
    <cellStyle name="Currency0 6 6 3 3" xfId="6290" xr:uid="{00000000-0005-0000-0000-000093180000}"/>
    <cellStyle name="Currency0 6 6 4" xfId="6291" xr:uid="{00000000-0005-0000-0000-000094180000}"/>
    <cellStyle name="Currency0 6 6 5" xfId="6292" xr:uid="{00000000-0005-0000-0000-000095180000}"/>
    <cellStyle name="Currency0 6 6 6" xfId="6293" xr:uid="{00000000-0005-0000-0000-000096180000}"/>
    <cellStyle name="Currency0 6 7" xfId="6294" xr:uid="{00000000-0005-0000-0000-000097180000}"/>
    <cellStyle name="Currency0 6 7 2" xfId="6295" xr:uid="{00000000-0005-0000-0000-000098180000}"/>
    <cellStyle name="Currency0 6 7 3" xfId="6296" xr:uid="{00000000-0005-0000-0000-000099180000}"/>
    <cellStyle name="Currency0 6 7 4" xfId="6297" xr:uid="{00000000-0005-0000-0000-00009A180000}"/>
    <cellStyle name="Currency0 6 8" xfId="6298" xr:uid="{00000000-0005-0000-0000-00009B180000}"/>
    <cellStyle name="Currency0 6 8 2" xfId="6299" xr:uid="{00000000-0005-0000-0000-00009C180000}"/>
    <cellStyle name="Currency0 6 8 3" xfId="6300" xr:uid="{00000000-0005-0000-0000-00009D180000}"/>
    <cellStyle name="Currency0 6 9" xfId="6301" xr:uid="{00000000-0005-0000-0000-00009E180000}"/>
    <cellStyle name="Currency0 6 9 2" xfId="6302" xr:uid="{00000000-0005-0000-0000-00009F180000}"/>
    <cellStyle name="Currency0 6 9 3" xfId="6303" xr:uid="{00000000-0005-0000-0000-0000A0180000}"/>
    <cellStyle name="Currency0 7" xfId="6304" xr:uid="{00000000-0005-0000-0000-0000A1180000}"/>
    <cellStyle name="Currency0 7 10" xfId="6305" xr:uid="{00000000-0005-0000-0000-0000A2180000}"/>
    <cellStyle name="Currency0 7 11" xfId="6306" xr:uid="{00000000-0005-0000-0000-0000A3180000}"/>
    <cellStyle name="Currency0 7 12" xfId="6307" xr:uid="{00000000-0005-0000-0000-0000A4180000}"/>
    <cellStyle name="Currency0 7 2" xfId="6308" xr:uid="{00000000-0005-0000-0000-0000A5180000}"/>
    <cellStyle name="Currency0 7 2 10" xfId="6309" xr:uid="{00000000-0005-0000-0000-0000A6180000}"/>
    <cellStyle name="Currency0 7 2 2" xfId="6310" xr:uid="{00000000-0005-0000-0000-0000A7180000}"/>
    <cellStyle name="Currency0 7 2 2 2" xfId="6311" xr:uid="{00000000-0005-0000-0000-0000A8180000}"/>
    <cellStyle name="Currency0 7 2 2 2 2" xfId="6312" xr:uid="{00000000-0005-0000-0000-0000A9180000}"/>
    <cellStyle name="Currency0 7 2 2 2 2 2" xfId="6313" xr:uid="{00000000-0005-0000-0000-0000AA180000}"/>
    <cellStyle name="Currency0 7 2 2 2 2 3" xfId="6314" xr:uid="{00000000-0005-0000-0000-0000AB180000}"/>
    <cellStyle name="Currency0 7 2 2 2 3" xfId="6315" xr:uid="{00000000-0005-0000-0000-0000AC180000}"/>
    <cellStyle name="Currency0 7 2 2 2 3 2" xfId="6316" xr:uid="{00000000-0005-0000-0000-0000AD180000}"/>
    <cellStyle name="Currency0 7 2 2 2 3 3" xfId="6317" xr:uid="{00000000-0005-0000-0000-0000AE180000}"/>
    <cellStyle name="Currency0 7 2 2 2 4" xfId="6318" xr:uid="{00000000-0005-0000-0000-0000AF180000}"/>
    <cellStyle name="Currency0 7 2 2 2 5" xfId="6319" xr:uid="{00000000-0005-0000-0000-0000B0180000}"/>
    <cellStyle name="Currency0 7 2 2 2 6" xfId="6320" xr:uid="{00000000-0005-0000-0000-0000B1180000}"/>
    <cellStyle name="Currency0 7 2 2 3" xfId="6321" xr:uid="{00000000-0005-0000-0000-0000B2180000}"/>
    <cellStyle name="Currency0 7 2 2 3 2" xfId="6322" xr:uid="{00000000-0005-0000-0000-0000B3180000}"/>
    <cellStyle name="Currency0 7 2 2 3 3" xfId="6323" xr:uid="{00000000-0005-0000-0000-0000B4180000}"/>
    <cellStyle name="Currency0 7 2 2 4" xfId="6324" xr:uid="{00000000-0005-0000-0000-0000B5180000}"/>
    <cellStyle name="Currency0 7 2 2 4 2" xfId="6325" xr:uid="{00000000-0005-0000-0000-0000B6180000}"/>
    <cellStyle name="Currency0 7 2 2 4 3" xfId="6326" xr:uid="{00000000-0005-0000-0000-0000B7180000}"/>
    <cellStyle name="Currency0 7 2 2 5" xfId="6327" xr:uid="{00000000-0005-0000-0000-0000B8180000}"/>
    <cellStyle name="Currency0 7 2 2 5 2" xfId="6328" xr:uid="{00000000-0005-0000-0000-0000B9180000}"/>
    <cellStyle name="Currency0 7 2 2 5 3" xfId="6329" xr:uid="{00000000-0005-0000-0000-0000BA180000}"/>
    <cellStyle name="Currency0 7 2 2 6" xfId="6330" xr:uid="{00000000-0005-0000-0000-0000BB180000}"/>
    <cellStyle name="Currency0 7 2 2 7" xfId="6331" xr:uid="{00000000-0005-0000-0000-0000BC180000}"/>
    <cellStyle name="Currency0 7 2 2 8" xfId="6332" xr:uid="{00000000-0005-0000-0000-0000BD180000}"/>
    <cellStyle name="Currency0 7 2 3" xfId="6333" xr:uid="{00000000-0005-0000-0000-0000BE180000}"/>
    <cellStyle name="Currency0 7 2 3 2" xfId="6334" xr:uid="{00000000-0005-0000-0000-0000BF180000}"/>
    <cellStyle name="Currency0 7 2 3 2 2" xfId="6335" xr:uid="{00000000-0005-0000-0000-0000C0180000}"/>
    <cellStyle name="Currency0 7 2 3 2 2 2" xfId="6336" xr:uid="{00000000-0005-0000-0000-0000C1180000}"/>
    <cellStyle name="Currency0 7 2 3 2 2 3" xfId="6337" xr:uid="{00000000-0005-0000-0000-0000C2180000}"/>
    <cellStyle name="Currency0 7 2 3 2 3" xfId="6338" xr:uid="{00000000-0005-0000-0000-0000C3180000}"/>
    <cellStyle name="Currency0 7 2 3 2 3 2" xfId="6339" xr:uid="{00000000-0005-0000-0000-0000C4180000}"/>
    <cellStyle name="Currency0 7 2 3 2 3 3" xfId="6340" xr:uid="{00000000-0005-0000-0000-0000C5180000}"/>
    <cellStyle name="Currency0 7 2 3 2 4" xfId="6341" xr:uid="{00000000-0005-0000-0000-0000C6180000}"/>
    <cellStyle name="Currency0 7 2 3 2 5" xfId="6342" xr:uid="{00000000-0005-0000-0000-0000C7180000}"/>
    <cellStyle name="Currency0 7 2 3 2 6" xfId="6343" xr:uid="{00000000-0005-0000-0000-0000C8180000}"/>
    <cellStyle name="Currency0 7 2 3 3" xfId="6344" xr:uid="{00000000-0005-0000-0000-0000C9180000}"/>
    <cellStyle name="Currency0 7 2 3 3 2" xfId="6345" xr:uid="{00000000-0005-0000-0000-0000CA180000}"/>
    <cellStyle name="Currency0 7 2 3 3 3" xfId="6346" xr:uid="{00000000-0005-0000-0000-0000CB180000}"/>
    <cellStyle name="Currency0 7 2 3 4" xfId="6347" xr:uid="{00000000-0005-0000-0000-0000CC180000}"/>
    <cellStyle name="Currency0 7 2 3 4 2" xfId="6348" xr:uid="{00000000-0005-0000-0000-0000CD180000}"/>
    <cellStyle name="Currency0 7 2 3 4 3" xfId="6349" xr:uid="{00000000-0005-0000-0000-0000CE180000}"/>
    <cellStyle name="Currency0 7 2 3 5" xfId="6350" xr:uid="{00000000-0005-0000-0000-0000CF180000}"/>
    <cellStyle name="Currency0 7 2 3 5 2" xfId="6351" xr:uid="{00000000-0005-0000-0000-0000D0180000}"/>
    <cellStyle name="Currency0 7 2 3 5 3" xfId="6352" xr:uid="{00000000-0005-0000-0000-0000D1180000}"/>
    <cellStyle name="Currency0 7 2 3 6" xfId="6353" xr:uid="{00000000-0005-0000-0000-0000D2180000}"/>
    <cellStyle name="Currency0 7 2 3 7" xfId="6354" xr:uid="{00000000-0005-0000-0000-0000D3180000}"/>
    <cellStyle name="Currency0 7 2 3 8" xfId="6355" xr:uid="{00000000-0005-0000-0000-0000D4180000}"/>
    <cellStyle name="Currency0 7 2 4" xfId="6356" xr:uid="{00000000-0005-0000-0000-0000D5180000}"/>
    <cellStyle name="Currency0 7 2 4 2" xfId="6357" xr:uid="{00000000-0005-0000-0000-0000D6180000}"/>
    <cellStyle name="Currency0 7 2 4 2 2" xfId="6358" xr:uid="{00000000-0005-0000-0000-0000D7180000}"/>
    <cellStyle name="Currency0 7 2 4 2 3" xfId="6359" xr:uid="{00000000-0005-0000-0000-0000D8180000}"/>
    <cellStyle name="Currency0 7 2 4 3" xfId="6360" xr:uid="{00000000-0005-0000-0000-0000D9180000}"/>
    <cellStyle name="Currency0 7 2 4 3 2" xfId="6361" xr:uid="{00000000-0005-0000-0000-0000DA180000}"/>
    <cellStyle name="Currency0 7 2 4 3 3" xfId="6362" xr:uid="{00000000-0005-0000-0000-0000DB180000}"/>
    <cellStyle name="Currency0 7 2 4 4" xfId="6363" xr:uid="{00000000-0005-0000-0000-0000DC180000}"/>
    <cellStyle name="Currency0 7 2 4 5" xfId="6364" xr:uid="{00000000-0005-0000-0000-0000DD180000}"/>
    <cellStyle name="Currency0 7 2 4 6" xfId="6365" xr:uid="{00000000-0005-0000-0000-0000DE180000}"/>
    <cellStyle name="Currency0 7 2 5" xfId="6366" xr:uid="{00000000-0005-0000-0000-0000DF180000}"/>
    <cellStyle name="Currency0 7 2 5 2" xfId="6367" xr:uid="{00000000-0005-0000-0000-0000E0180000}"/>
    <cellStyle name="Currency0 7 2 5 3" xfId="6368" xr:uid="{00000000-0005-0000-0000-0000E1180000}"/>
    <cellStyle name="Currency0 7 2 6" xfId="6369" xr:uid="{00000000-0005-0000-0000-0000E2180000}"/>
    <cellStyle name="Currency0 7 2 6 2" xfId="6370" xr:uid="{00000000-0005-0000-0000-0000E3180000}"/>
    <cellStyle name="Currency0 7 2 6 3" xfId="6371" xr:uid="{00000000-0005-0000-0000-0000E4180000}"/>
    <cellStyle name="Currency0 7 2 7" xfId="6372" xr:uid="{00000000-0005-0000-0000-0000E5180000}"/>
    <cellStyle name="Currency0 7 2 7 2" xfId="6373" xr:uid="{00000000-0005-0000-0000-0000E6180000}"/>
    <cellStyle name="Currency0 7 2 7 3" xfId="6374" xr:uid="{00000000-0005-0000-0000-0000E7180000}"/>
    <cellStyle name="Currency0 7 2 8" xfId="6375" xr:uid="{00000000-0005-0000-0000-0000E8180000}"/>
    <cellStyle name="Currency0 7 2 9" xfId="6376" xr:uid="{00000000-0005-0000-0000-0000E9180000}"/>
    <cellStyle name="Currency0 7 3" xfId="6377" xr:uid="{00000000-0005-0000-0000-0000EA180000}"/>
    <cellStyle name="Currency0 7 3 2" xfId="6378" xr:uid="{00000000-0005-0000-0000-0000EB180000}"/>
    <cellStyle name="Currency0 7 3 2 2" xfId="6379" xr:uid="{00000000-0005-0000-0000-0000EC180000}"/>
    <cellStyle name="Currency0 7 3 2 2 2" xfId="6380" xr:uid="{00000000-0005-0000-0000-0000ED180000}"/>
    <cellStyle name="Currency0 7 3 2 2 3" xfId="6381" xr:uid="{00000000-0005-0000-0000-0000EE180000}"/>
    <cellStyle name="Currency0 7 3 2 3" xfId="6382" xr:uid="{00000000-0005-0000-0000-0000EF180000}"/>
    <cellStyle name="Currency0 7 3 2 3 2" xfId="6383" xr:uid="{00000000-0005-0000-0000-0000F0180000}"/>
    <cellStyle name="Currency0 7 3 2 3 3" xfId="6384" xr:uid="{00000000-0005-0000-0000-0000F1180000}"/>
    <cellStyle name="Currency0 7 3 2 4" xfId="6385" xr:uid="{00000000-0005-0000-0000-0000F2180000}"/>
    <cellStyle name="Currency0 7 3 2 5" xfId="6386" xr:uid="{00000000-0005-0000-0000-0000F3180000}"/>
    <cellStyle name="Currency0 7 3 2 6" xfId="6387" xr:uid="{00000000-0005-0000-0000-0000F4180000}"/>
    <cellStyle name="Currency0 7 3 3" xfId="6388" xr:uid="{00000000-0005-0000-0000-0000F5180000}"/>
    <cellStyle name="Currency0 7 3 3 2" xfId="6389" xr:uid="{00000000-0005-0000-0000-0000F6180000}"/>
    <cellStyle name="Currency0 7 3 3 3" xfId="6390" xr:uid="{00000000-0005-0000-0000-0000F7180000}"/>
    <cellStyle name="Currency0 7 3 4" xfId="6391" xr:uid="{00000000-0005-0000-0000-0000F8180000}"/>
    <cellStyle name="Currency0 7 3 4 2" xfId="6392" xr:uid="{00000000-0005-0000-0000-0000F9180000}"/>
    <cellStyle name="Currency0 7 3 4 3" xfId="6393" xr:uid="{00000000-0005-0000-0000-0000FA180000}"/>
    <cellStyle name="Currency0 7 3 5" xfId="6394" xr:uid="{00000000-0005-0000-0000-0000FB180000}"/>
    <cellStyle name="Currency0 7 3 5 2" xfId="6395" xr:uid="{00000000-0005-0000-0000-0000FC180000}"/>
    <cellStyle name="Currency0 7 3 5 3" xfId="6396" xr:uid="{00000000-0005-0000-0000-0000FD180000}"/>
    <cellStyle name="Currency0 7 3 6" xfId="6397" xr:uid="{00000000-0005-0000-0000-0000FE180000}"/>
    <cellStyle name="Currency0 7 3 7" xfId="6398" xr:uid="{00000000-0005-0000-0000-0000FF180000}"/>
    <cellStyle name="Currency0 7 3 8" xfId="6399" xr:uid="{00000000-0005-0000-0000-000000190000}"/>
    <cellStyle name="Currency0 7 4" xfId="6400" xr:uid="{00000000-0005-0000-0000-000001190000}"/>
    <cellStyle name="Currency0 7 4 2" xfId="6401" xr:uid="{00000000-0005-0000-0000-000002190000}"/>
    <cellStyle name="Currency0 7 4 2 2" xfId="6402" xr:uid="{00000000-0005-0000-0000-000003190000}"/>
    <cellStyle name="Currency0 7 4 2 2 2" xfId="6403" xr:uid="{00000000-0005-0000-0000-000004190000}"/>
    <cellStyle name="Currency0 7 4 2 2 3" xfId="6404" xr:uid="{00000000-0005-0000-0000-000005190000}"/>
    <cellStyle name="Currency0 7 4 2 3" xfId="6405" xr:uid="{00000000-0005-0000-0000-000006190000}"/>
    <cellStyle name="Currency0 7 4 2 3 2" xfId="6406" xr:uid="{00000000-0005-0000-0000-000007190000}"/>
    <cellStyle name="Currency0 7 4 2 3 3" xfId="6407" xr:uid="{00000000-0005-0000-0000-000008190000}"/>
    <cellStyle name="Currency0 7 4 2 4" xfId="6408" xr:uid="{00000000-0005-0000-0000-000009190000}"/>
    <cellStyle name="Currency0 7 4 2 5" xfId="6409" xr:uid="{00000000-0005-0000-0000-00000A190000}"/>
    <cellStyle name="Currency0 7 4 2 6" xfId="6410" xr:uid="{00000000-0005-0000-0000-00000B190000}"/>
    <cellStyle name="Currency0 7 4 3" xfId="6411" xr:uid="{00000000-0005-0000-0000-00000C190000}"/>
    <cellStyle name="Currency0 7 4 3 2" xfId="6412" xr:uid="{00000000-0005-0000-0000-00000D190000}"/>
    <cellStyle name="Currency0 7 4 3 3" xfId="6413" xr:uid="{00000000-0005-0000-0000-00000E190000}"/>
    <cellStyle name="Currency0 7 4 4" xfId="6414" xr:uid="{00000000-0005-0000-0000-00000F190000}"/>
    <cellStyle name="Currency0 7 4 4 2" xfId="6415" xr:uid="{00000000-0005-0000-0000-000010190000}"/>
    <cellStyle name="Currency0 7 4 4 3" xfId="6416" xr:uid="{00000000-0005-0000-0000-000011190000}"/>
    <cellStyle name="Currency0 7 4 5" xfId="6417" xr:uid="{00000000-0005-0000-0000-000012190000}"/>
    <cellStyle name="Currency0 7 4 5 2" xfId="6418" xr:uid="{00000000-0005-0000-0000-000013190000}"/>
    <cellStyle name="Currency0 7 4 5 3" xfId="6419" xr:uid="{00000000-0005-0000-0000-000014190000}"/>
    <cellStyle name="Currency0 7 4 6" xfId="6420" xr:uid="{00000000-0005-0000-0000-000015190000}"/>
    <cellStyle name="Currency0 7 4 7" xfId="6421" xr:uid="{00000000-0005-0000-0000-000016190000}"/>
    <cellStyle name="Currency0 7 4 8" xfId="6422" xr:uid="{00000000-0005-0000-0000-000017190000}"/>
    <cellStyle name="Currency0 7 5" xfId="6423" xr:uid="{00000000-0005-0000-0000-000018190000}"/>
    <cellStyle name="Currency0 7 5 2" xfId="6424" xr:uid="{00000000-0005-0000-0000-000019190000}"/>
    <cellStyle name="Currency0 7 5 2 2" xfId="6425" xr:uid="{00000000-0005-0000-0000-00001A190000}"/>
    <cellStyle name="Currency0 7 5 2 2 2" xfId="6426" xr:uid="{00000000-0005-0000-0000-00001B190000}"/>
    <cellStyle name="Currency0 7 5 2 2 3" xfId="6427" xr:uid="{00000000-0005-0000-0000-00001C190000}"/>
    <cellStyle name="Currency0 7 5 2 3" xfId="6428" xr:uid="{00000000-0005-0000-0000-00001D190000}"/>
    <cellStyle name="Currency0 7 5 2 3 2" xfId="6429" xr:uid="{00000000-0005-0000-0000-00001E190000}"/>
    <cellStyle name="Currency0 7 5 2 3 3" xfId="6430" xr:uid="{00000000-0005-0000-0000-00001F190000}"/>
    <cellStyle name="Currency0 7 5 2 4" xfId="6431" xr:uid="{00000000-0005-0000-0000-000020190000}"/>
    <cellStyle name="Currency0 7 5 2 5" xfId="6432" xr:uid="{00000000-0005-0000-0000-000021190000}"/>
    <cellStyle name="Currency0 7 5 2 6" xfId="6433" xr:uid="{00000000-0005-0000-0000-000022190000}"/>
    <cellStyle name="Currency0 7 5 3" xfId="6434" xr:uid="{00000000-0005-0000-0000-000023190000}"/>
    <cellStyle name="Currency0 7 5 3 2" xfId="6435" xr:uid="{00000000-0005-0000-0000-000024190000}"/>
    <cellStyle name="Currency0 7 5 3 3" xfId="6436" xr:uid="{00000000-0005-0000-0000-000025190000}"/>
    <cellStyle name="Currency0 7 5 4" xfId="6437" xr:uid="{00000000-0005-0000-0000-000026190000}"/>
    <cellStyle name="Currency0 7 5 4 2" xfId="6438" xr:uid="{00000000-0005-0000-0000-000027190000}"/>
    <cellStyle name="Currency0 7 5 4 3" xfId="6439" xr:uid="{00000000-0005-0000-0000-000028190000}"/>
    <cellStyle name="Currency0 7 5 5" xfId="6440" xr:uid="{00000000-0005-0000-0000-000029190000}"/>
    <cellStyle name="Currency0 7 5 5 2" xfId="6441" xr:uid="{00000000-0005-0000-0000-00002A190000}"/>
    <cellStyle name="Currency0 7 5 5 3" xfId="6442" xr:uid="{00000000-0005-0000-0000-00002B190000}"/>
    <cellStyle name="Currency0 7 5 6" xfId="6443" xr:uid="{00000000-0005-0000-0000-00002C190000}"/>
    <cellStyle name="Currency0 7 5 7" xfId="6444" xr:uid="{00000000-0005-0000-0000-00002D190000}"/>
    <cellStyle name="Currency0 7 5 8" xfId="6445" xr:uid="{00000000-0005-0000-0000-00002E190000}"/>
    <cellStyle name="Currency0 7 6" xfId="6446" xr:uid="{00000000-0005-0000-0000-00002F190000}"/>
    <cellStyle name="Currency0 7 6 2" xfId="6447" xr:uid="{00000000-0005-0000-0000-000030190000}"/>
    <cellStyle name="Currency0 7 6 2 2" xfId="6448" xr:uid="{00000000-0005-0000-0000-000031190000}"/>
    <cellStyle name="Currency0 7 6 2 3" xfId="6449" xr:uid="{00000000-0005-0000-0000-000032190000}"/>
    <cellStyle name="Currency0 7 6 3" xfId="6450" xr:uid="{00000000-0005-0000-0000-000033190000}"/>
    <cellStyle name="Currency0 7 6 3 2" xfId="6451" xr:uid="{00000000-0005-0000-0000-000034190000}"/>
    <cellStyle name="Currency0 7 6 3 3" xfId="6452" xr:uid="{00000000-0005-0000-0000-000035190000}"/>
    <cellStyle name="Currency0 7 6 4" xfId="6453" xr:uid="{00000000-0005-0000-0000-000036190000}"/>
    <cellStyle name="Currency0 7 6 5" xfId="6454" xr:uid="{00000000-0005-0000-0000-000037190000}"/>
    <cellStyle name="Currency0 7 6 6" xfId="6455" xr:uid="{00000000-0005-0000-0000-000038190000}"/>
    <cellStyle name="Currency0 7 7" xfId="6456" xr:uid="{00000000-0005-0000-0000-000039190000}"/>
    <cellStyle name="Currency0 7 7 2" xfId="6457" xr:uid="{00000000-0005-0000-0000-00003A190000}"/>
    <cellStyle name="Currency0 7 7 3" xfId="6458" xr:uid="{00000000-0005-0000-0000-00003B190000}"/>
    <cellStyle name="Currency0 7 7 4" xfId="6459" xr:uid="{00000000-0005-0000-0000-00003C190000}"/>
    <cellStyle name="Currency0 7 8" xfId="6460" xr:uid="{00000000-0005-0000-0000-00003D190000}"/>
    <cellStyle name="Currency0 7 8 2" xfId="6461" xr:uid="{00000000-0005-0000-0000-00003E190000}"/>
    <cellStyle name="Currency0 7 8 3" xfId="6462" xr:uid="{00000000-0005-0000-0000-00003F190000}"/>
    <cellStyle name="Currency0 7 9" xfId="6463" xr:uid="{00000000-0005-0000-0000-000040190000}"/>
    <cellStyle name="Currency0 7 9 2" xfId="6464" xr:uid="{00000000-0005-0000-0000-000041190000}"/>
    <cellStyle name="Currency0 7 9 3" xfId="6465" xr:uid="{00000000-0005-0000-0000-000042190000}"/>
    <cellStyle name="Currency0 8" xfId="6466" xr:uid="{00000000-0005-0000-0000-000043190000}"/>
    <cellStyle name="Currency0 8 10" xfId="6467" xr:uid="{00000000-0005-0000-0000-000044190000}"/>
    <cellStyle name="Currency0 8 11" xfId="6468" xr:uid="{00000000-0005-0000-0000-000045190000}"/>
    <cellStyle name="Currency0 8 12" xfId="6469" xr:uid="{00000000-0005-0000-0000-000046190000}"/>
    <cellStyle name="Currency0 8 2" xfId="6470" xr:uid="{00000000-0005-0000-0000-000047190000}"/>
    <cellStyle name="Currency0 8 2 10" xfId="6471" xr:uid="{00000000-0005-0000-0000-000048190000}"/>
    <cellStyle name="Currency0 8 2 2" xfId="6472" xr:uid="{00000000-0005-0000-0000-000049190000}"/>
    <cellStyle name="Currency0 8 2 2 2" xfId="6473" xr:uid="{00000000-0005-0000-0000-00004A190000}"/>
    <cellStyle name="Currency0 8 2 2 2 2" xfId="6474" xr:uid="{00000000-0005-0000-0000-00004B190000}"/>
    <cellStyle name="Currency0 8 2 2 2 2 2" xfId="6475" xr:uid="{00000000-0005-0000-0000-00004C190000}"/>
    <cellStyle name="Currency0 8 2 2 2 2 3" xfId="6476" xr:uid="{00000000-0005-0000-0000-00004D190000}"/>
    <cellStyle name="Currency0 8 2 2 2 3" xfId="6477" xr:uid="{00000000-0005-0000-0000-00004E190000}"/>
    <cellStyle name="Currency0 8 2 2 2 3 2" xfId="6478" xr:uid="{00000000-0005-0000-0000-00004F190000}"/>
    <cellStyle name="Currency0 8 2 2 2 3 3" xfId="6479" xr:uid="{00000000-0005-0000-0000-000050190000}"/>
    <cellStyle name="Currency0 8 2 2 2 4" xfId="6480" xr:uid="{00000000-0005-0000-0000-000051190000}"/>
    <cellStyle name="Currency0 8 2 2 2 5" xfId="6481" xr:uid="{00000000-0005-0000-0000-000052190000}"/>
    <cellStyle name="Currency0 8 2 2 2 6" xfId="6482" xr:uid="{00000000-0005-0000-0000-000053190000}"/>
    <cellStyle name="Currency0 8 2 2 3" xfId="6483" xr:uid="{00000000-0005-0000-0000-000054190000}"/>
    <cellStyle name="Currency0 8 2 2 3 2" xfId="6484" xr:uid="{00000000-0005-0000-0000-000055190000}"/>
    <cellStyle name="Currency0 8 2 2 3 3" xfId="6485" xr:uid="{00000000-0005-0000-0000-000056190000}"/>
    <cellStyle name="Currency0 8 2 2 4" xfId="6486" xr:uid="{00000000-0005-0000-0000-000057190000}"/>
    <cellStyle name="Currency0 8 2 2 4 2" xfId="6487" xr:uid="{00000000-0005-0000-0000-000058190000}"/>
    <cellStyle name="Currency0 8 2 2 4 3" xfId="6488" xr:uid="{00000000-0005-0000-0000-000059190000}"/>
    <cellStyle name="Currency0 8 2 2 5" xfId="6489" xr:uid="{00000000-0005-0000-0000-00005A190000}"/>
    <cellStyle name="Currency0 8 2 2 5 2" xfId="6490" xr:uid="{00000000-0005-0000-0000-00005B190000}"/>
    <cellStyle name="Currency0 8 2 2 5 3" xfId="6491" xr:uid="{00000000-0005-0000-0000-00005C190000}"/>
    <cellStyle name="Currency0 8 2 2 6" xfId="6492" xr:uid="{00000000-0005-0000-0000-00005D190000}"/>
    <cellStyle name="Currency0 8 2 2 7" xfId="6493" xr:uid="{00000000-0005-0000-0000-00005E190000}"/>
    <cellStyle name="Currency0 8 2 2 8" xfId="6494" xr:uid="{00000000-0005-0000-0000-00005F190000}"/>
    <cellStyle name="Currency0 8 2 3" xfId="6495" xr:uid="{00000000-0005-0000-0000-000060190000}"/>
    <cellStyle name="Currency0 8 2 3 2" xfId="6496" xr:uid="{00000000-0005-0000-0000-000061190000}"/>
    <cellStyle name="Currency0 8 2 3 2 2" xfId="6497" xr:uid="{00000000-0005-0000-0000-000062190000}"/>
    <cellStyle name="Currency0 8 2 3 2 2 2" xfId="6498" xr:uid="{00000000-0005-0000-0000-000063190000}"/>
    <cellStyle name="Currency0 8 2 3 2 2 3" xfId="6499" xr:uid="{00000000-0005-0000-0000-000064190000}"/>
    <cellStyle name="Currency0 8 2 3 2 3" xfId="6500" xr:uid="{00000000-0005-0000-0000-000065190000}"/>
    <cellStyle name="Currency0 8 2 3 2 3 2" xfId="6501" xr:uid="{00000000-0005-0000-0000-000066190000}"/>
    <cellStyle name="Currency0 8 2 3 2 3 3" xfId="6502" xr:uid="{00000000-0005-0000-0000-000067190000}"/>
    <cellStyle name="Currency0 8 2 3 2 4" xfId="6503" xr:uid="{00000000-0005-0000-0000-000068190000}"/>
    <cellStyle name="Currency0 8 2 3 2 5" xfId="6504" xr:uid="{00000000-0005-0000-0000-000069190000}"/>
    <cellStyle name="Currency0 8 2 3 2 6" xfId="6505" xr:uid="{00000000-0005-0000-0000-00006A190000}"/>
    <cellStyle name="Currency0 8 2 3 3" xfId="6506" xr:uid="{00000000-0005-0000-0000-00006B190000}"/>
    <cellStyle name="Currency0 8 2 3 3 2" xfId="6507" xr:uid="{00000000-0005-0000-0000-00006C190000}"/>
    <cellStyle name="Currency0 8 2 3 3 3" xfId="6508" xr:uid="{00000000-0005-0000-0000-00006D190000}"/>
    <cellStyle name="Currency0 8 2 3 4" xfId="6509" xr:uid="{00000000-0005-0000-0000-00006E190000}"/>
    <cellStyle name="Currency0 8 2 3 4 2" xfId="6510" xr:uid="{00000000-0005-0000-0000-00006F190000}"/>
    <cellStyle name="Currency0 8 2 3 4 3" xfId="6511" xr:uid="{00000000-0005-0000-0000-000070190000}"/>
    <cellStyle name="Currency0 8 2 3 5" xfId="6512" xr:uid="{00000000-0005-0000-0000-000071190000}"/>
    <cellStyle name="Currency0 8 2 3 5 2" xfId="6513" xr:uid="{00000000-0005-0000-0000-000072190000}"/>
    <cellStyle name="Currency0 8 2 3 5 3" xfId="6514" xr:uid="{00000000-0005-0000-0000-000073190000}"/>
    <cellStyle name="Currency0 8 2 3 6" xfId="6515" xr:uid="{00000000-0005-0000-0000-000074190000}"/>
    <cellStyle name="Currency0 8 2 3 7" xfId="6516" xr:uid="{00000000-0005-0000-0000-000075190000}"/>
    <cellStyle name="Currency0 8 2 3 8" xfId="6517" xr:uid="{00000000-0005-0000-0000-000076190000}"/>
    <cellStyle name="Currency0 8 2 4" xfId="6518" xr:uid="{00000000-0005-0000-0000-000077190000}"/>
    <cellStyle name="Currency0 8 2 4 2" xfId="6519" xr:uid="{00000000-0005-0000-0000-000078190000}"/>
    <cellStyle name="Currency0 8 2 4 2 2" xfId="6520" xr:uid="{00000000-0005-0000-0000-000079190000}"/>
    <cellStyle name="Currency0 8 2 4 2 3" xfId="6521" xr:uid="{00000000-0005-0000-0000-00007A190000}"/>
    <cellStyle name="Currency0 8 2 4 3" xfId="6522" xr:uid="{00000000-0005-0000-0000-00007B190000}"/>
    <cellStyle name="Currency0 8 2 4 3 2" xfId="6523" xr:uid="{00000000-0005-0000-0000-00007C190000}"/>
    <cellStyle name="Currency0 8 2 4 3 3" xfId="6524" xr:uid="{00000000-0005-0000-0000-00007D190000}"/>
    <cellStyle name="Currency0 8 2 4 4" xfId="6525" xr:uid="{00000000-0005-0000-0000-00007E190000}"/>
    <cellStyle name="Currency0 8 2 4 5" xfId="6526" xr:uid="{00000000-0005-0000-0000-00007F190000}"/>
    <cellStyle name="Currency0 8 2 4 6" xfId="6527" xr:uid="{00000000-0005-0000-0000-000080190000}"/>
    <cellStyle name="Currency0 8 2 5" xfId="6528" xr:uid="{00000000-0005-0000-0000-000081190000}"/>
    <cellStyle name="Currency0 8 2 5 2" xfId="6529" xr:uid="{00000000-0005-0000-0000-000082190000}"/>
    <cellStyle name="Currency0 8 2 5 3" xfId="6530" xr:uid="{00000000-0005-0000-0000-000083190000}"/>
    <cellStyle name="Currency0 8 2 6" xfId="6531" xr:uid="{00000000-0005-0000-0000-000084190000}"/>
    <cellStyle name="Currency0 8 2 6 2" xfId="6532" xr:uid="{00000000-0005-0000-0000-000085190000}"/>
    <cellStyle name="Currency0 8 2 6 3" xfId="6533" xr:uid="{00000000-0005-0000-0000-000086190000}"/>
    <cellStyle name="Currency0 8 2 7" xfId="6534" xr:uid="{00000000-0005-0000-0000-000087190000}"/>
    <cellStyle name="Currency0 8 2 7 2" xfId="6535" xr:uid="{00000000-0005-0000-0000-000088190000}"/>
    <cellStyle name="Currency0 8 2 7 3" xfId="6536" xr:uid="{00000000-0005-0000-0000-000089190000}"/>
    <cellStyle name="Currency0 8 2 8" xfId="6537" xr:uid="{00000000-0005-0000-0000-00008A190000}"/>
    <cellStyle name="Currency0 8 2 9" xfId="6538" xr:uid="{00000000-0005-0000-0000-00008B190000}"/>
    <cellStyle name="Currency0 8 3" xfId="6539" xr:uid="{00000000-0005-0000-0000-00008C190000}"/>
    <cellStyle name="Currency0 8 3 2" xfId="6540" xr:uid="{00000000-0005-0000-0000-00008D190000}"/>
    <cellStyle name="Currency0 8 3 2 2" xfId="6541" xr:uid="{00000000-0005-0000-0000-00008E190000}"/>
    <cellStyle name="Currency0 8 3 2 2 2" xfId="6542" xr:uid="{00000000-0005-0000-0000-00008F190000}"/>
    <cellStyle name="Currency0 8 3 2 2 3" xfId="6543" xr:uid="{00000000-0005-0000-0000-000090190000}"/>
    <cellStyle name="Currency0 8 3 2 3" xfId="6544" xr:uid="{00000000-0005-0000-0000-000091190000}"/>
    <cellStyle name="Currency0 8 3 2 3 2" xfId="6545" xr:uid="{00000000-0005-0000-0000-000092190000}"/>
    <cellStyle name="Currency0 8 3 2 3 3" xfId="6546" xr:uid="{00000000-0005-0000-0000-000093190000}"/>
    <cellStyle name="Currency0 8 3 2 4" xfId="6547" xr:uid="{00000000-0005-0000-0000-000094190000}"/>
    <cellStyle name="Currency0 8 3 2 5" xfId="6548" xr:uid="{00000000-0005-0000-0000-000095190000}"/>
    <cellStyle name="Currency0 8 3 2 6" xfId="6549" xr:uid="{00000000-0005-0000-0000-000096190000}"/>
    <cellStyle name="Currency0 8 3 3" xfId="6550" xr:uid="{00000000-0005-0000-0000-000097190000}"/>
    <cellStyle name="Currency0 8 3 3 2" xfId="6551" xr:uid="{00000000-0005-0000-0000-000098190000}"/>
    <cellStyle name="Currency0 8 3 3 3" xfId="6552" xr:uid="{00000000-0005-0000-0000-000099190000}"/>
    <cellStyle name="Currency0 8 3 4" xfId="6553" xr:uid="{00000000-0005-0000-0000-00009A190000}"/>
    <cellStyle name="Currency0 8 3 4 2" xfId="6554" xr:uid="{00000000-0005-0000-0000-00009B190000}"/>
    <cellStyle name="Currency0 8 3 4 3" xfId="6555" xr:uid="{00000000-0005-0000-0000-00009C190000}"/>
    <cellStyle name="Currency0 8 3 5" xfId="6556" xr:uid="{00000000-0005-0000-0000-00009D190000}"/>
    <cellStyle name="Currency0 8 3 5 2" xfId="6557" xr:uid="{00000000-0005-0000-0000-00009E190000}"/>
    <cellStyle name="Currency0 8 3 5 3" xfId="6558" xr:uid="{00000000-0005-0000-0000-00009F190000}"/>
    <cellStyle name="Currency0 8 3 6" xfId="6559" xr:uid="{00000000-0005-0000-0000-0000A0190000}"/>
    <cellStyle name="Currency0 8 3 7" xfId="6560" xr:uid="{00000000-0005-0000-0000-0000A1190000}"/>
    <cellStyle name="Currency0 8 3 8" xfId="6561" xr:uid="{00000000-0005-0000-0000-0000A2190000}"/>
    <cellStyle name="Currency0 8 4" xfId="6562" xr:uid="{00000000-0005-0000-0000-0000A3190000}"/>
    <cellStyle name="Currency0 8 4 2" xfId="6563" xr:uid="{00000000-0005-0000-0000-0000A4190000}"/>
    <cellStyle name="Currency0 8 4 2 2" xfId="6564" xr:uid="{00000000-0005-0000-0000-0000A5190000}"/>
    <cellStyle name="Currency0 8 4 2 2 2" xfId="6565" xr:uid="{00000000-0005-0000-0000-0000A6190000}"/>
    <cellStyle name="Currency0 8 4 2 2 3" xfId="6566" xr:uid="{00000000-0005-0000-0000-0000A7190000}"/>
    <cellStyle name="Currency0 8 4 2 3" xfId="6567" xr:uid="{00000000-0005-0000-0000-0000A8190000}"/>
    <cellStyle name="Currency0 8 4 2 3 2" xfId="6568" xr:uid="{00000000-0005-0000-0000-0000A9190000}"/>
    <cellStyle name="Currency0 8 4 2 3 3" xfId="6569" xr:uid="{00000000-0005-0000-0000-0000AA190000}"/>
    <cellStyle name="Currency0 8 4 2 4" xfId="6570" xr:uid="{00000000-0005-0000-0000-0000AB190000}"/>
    <cellStyle name="Currency0 8 4 2 5" xfId="6571" xr:uid="{00000000-0005-0000-0000-0000AC190000}"/>
    <cellStyle name="Currency0 8 4 2 6" xfId="6572" xr:uid="{00000000-0005-0000-0000-0000AD190000}"/>
    <cellStyle name="Currency0 8 4 3" xfId="6573" xr:uid="{00000000-0005-0000-0000-0000AE190000}"/>
    <cellStyle name="Currency0 8 4 3 2" xfId="6574" xr:uid="{00000000-0005-0000-0000-0000AF190000}"/>
    <cellStyle name="Currency0 8 4 3 3" xfId="6575" xr:uid="{00000000-0005-0000-0000-0000B0190000}"/>
    <cellStyle name="Currency0 8 4 4" xfId="6576" xr:uid="{00000000-0005-0000-0000-0000B1190000}"/>
    <cellStyle name="Currency0 8 4 4 2" xfId="6577" xr:uid="{00000000-0005-0000-0000-0000B2190000}"/>
    <cellStyle name="Currency0 8 4 4 3" xfId="6578" xr:uid="{00000000-0005-0000-0000-0000B3190000}"/>
    <cellStyle name="Currency0 8 4 5" xfId="6579" xr:uid="{00000000-0005-0000-0000-0000B4190000}"/>
    <cellStyle name="Currency0 8 4 5 2" xfId="6580" xr:uid="{00000000-0005-0000-0000-0000B5190000}"/>
    <cellStyle name="Currency0 8 4 5 3" xfId="6581" xr:uid="{00000000-0005-0000-0000-0000B6190000}"/>
    <cellStyle name="Currency0 8 4 6" xfId="6582" xr:uid="{00000000-0005-0000-0000-0000B7190000}"/>
    <cellStyle name="Currency0 8 4 7" xfId="6583" xr:uid="{00000000-0005-0000-0000-0000B8190000}"/>
    <cellStyle name="Currency0 8 4 8" xfId="6584" xr:uid="{00000000-0005-0000-0000-0000B9190000}"/>
    <cellStyle name="Currency0 8 5" xfId="6585" xr:uid="{00000000-0005-0000-0000-0000BA190000}"/>
    <cellStyle name="Currency0 8 5 2" xfId="6586" xr:uid="{00000000-0005-0000-0000-0000BB190000}"/>
    <cellStyle name="Currency0 8 5 2 2" xfId="6587" xr:uid="{00000000-0005-0000-0000-0000BC190000}"/>
    <cellStyle name="Currency0 8 5 2 2 2" xfId="6588" xr:uid="{00000000-0005-0000-0000-0000BD190000}"/>
    <cellStyle name="Currency0 8 5 2 2 3" xfId="6589" xr:uid="{00000000-0005-0000-0000-0000BE190000}"/>
    <cellStyle name="Currency0 8 5 2 3" xfId="6590" xr:uid="{00000000-0005-0000-0000-0000BF190000}"/>
    <cellStyle name="Currency0 8 5 2 3 2" xfId="6591" xr:uid="{00000000-0005-0000-0000-0000C0190000}"/>
    <cellStyle name="Currency0 8 5 2 3 3" xfId="6592" xr:uid="{00000000-0005-0000-0000-0000C1190000}"/>
    <cellStyle name="Currency0 8 5 2 4" xfId="6593" xr:uid="{00000000-0005-0000-0000-0000C2190000}"/>
    <cellStyle name="Currency0 8 5 2 5" xfId="6594" xr:uid="{00000000-0005-0000-0000-0000C3190000}"/>
    <cellStyle name="Currency0 8 5 2 6" xfId="6595" xr:uid="{00000000-0005-0000-0000-0000C4190000}"/>
    <cellStyle name="Currency0 8 5 3" xfId="6596" xr:uid="{00000000-0005-0000-0000-0000C5190000}"/>
    <cellStyle name="Currency0 8 5 3 2" xfId="6597" xr:uid="{00000000-0005-0000-0000-0000C6190000}"/>
    <cellStyle name="Currency0 8 5 3 3" xfId="6598" xr:uid="{00000000-0005-0000-0000-0000C7190000}"/>
    <cellStyle name="Currency0 8 5 4" xfId="6599" xr:uid="{00000000-0005-0000-0000-0000C8190000}"/>
    <cellStyle name="Currency0 8 5 4 2" xfId="6600" xr:uid="{00000000-0005-0000-0000-0000C9190000}"/>
    <cellStyle name="Currency0 8 5 4 3" xfId="6601" xr:uid="{00000000-0005-0000-0000-0000CA190000}"/>
    <cellStyle name="Currency0 8 5 5" xfId="6602" xr:uid="{00000000-0005-0000-0000-0000CB190000}"/>
    <cellStyle name="Currency0 8 5 5 2" xfId="6603" xr:uid="{00000000-0005-0000-0000-0000CC190000}"/>
    <cellStyle name="Currency0 8 5 5 3" xfId="6604" xr:uid="{00000000-0005-0000-0000-0000CD190000}"/>
    <cellStyle name="Currency0 8 5 6" xfId="6605" xr:uid="{00000000-0005-0000-0000-0000CE190000}"/>
    <cellStyle name="Currency0 8 5 7" xfId="6606" xr:uid="{00000000-0005-0000-0000-0000CF190000}"/>
    <cellStyle name="Currency0 8 5 8" xfId="6607" xr:uid="{00000000-0005-0000-0000-0000D0190000}"/>
    <cellStyle name="Currency0 8 6" xfId="6608" xr:uid="{00000000-0005-0000-0000-0000D1190000}"/>
    <cellStyle name="Currency0 8 6 2" xfId="6609" xr:uid="{00000000-0005-0000-0000-0000D2190000}"/>
    <cellStyle name="Currency0 8 6 2 2" xfId="6610" xr:uid="{00000000-0005-0000-0000-0000D3190000}"/>
    <cellStyle name="Currency0 8 6 2 3" xfId="6611" xr:uid="{00000000-0005-0000-0000-0000D4190000}"/>
    <cellStyle name="Currency0 8 6 3" xfId="6612" xr:uid="{00000000-0005-0000-0000-0000D5190000}"/>
    <cellStyle name="Currency0 8 6 3 2" xfId="6613" xr:uid="{00000000-0005-0000-0000-0000D6190000}"/>
    <cellStyle name="Currency0 8 6 3 3" xfId="6614" xr:uid="{00000000-0005-0000-0000-0000D7190000}"/>
    <cellStyle name="Currency0 8 6 4" xfId="6615" xr:uid="{00000000-0005-0000-0000-0000D8190000}"/>
    <cellStyle name="Currency0 8 6 5" xfId="6616" xr:uid="{00000000-0005-0000-0000-0000D9190000}"/>
    <cellStyle name="Currency0 8 6 6" xfId="6617" xr:uid="{00000000-0005-0000-0000-0000DA190000}"/>
    <cellStyle name="Currency0 8 7" xfId="6618" xr:uid="{00000000-0005-0000-0000-0000DB190000}"/>
    <cellStyle name="Currency0 8 7 2" xfId="6619" xr:uid="{00000000-0005-0000-0000-0000DC190000}"/>
    <cellStyle name="Currency0 8 7 3" xfId="6620" xr:uid="{00000000-0005-0000-0000-0000DD190000}"/>
    <cellStyle name="Currency0 8 7 4" xfId="6621" xr:uid="{00000000-0005-0000-0000-0000DE190000}"/>
    <cellStyle name="Currency0 8 8" xfId="6622" xr:uid="{00000000-0005-0000-0000-0000DF190000}"/>
    <cellStyle name="Currency0 8 8 2" xfId="6623" xr:uid="{00000000-0005-0000-0000-0000E0190000}"/>
    <cellStyle name="Currency0 8 8 3" xfId="6624" xr:uid="{00000000-0005-0000-0000-0000E1190000}"/>
    <cellStyle name="Currency0 8 9" xfId="6625" xr:uid="{00000000-0005-0000-0000-0000E2190000}"/>
    <cellStyle name="Currency0 8 9 2" xfId="6626" xr:uid="{00000000-0005-0000-0000-0000E3190000}"/>
    <cellStyle name="Currency0 8 9 3" xfId="6627" xr:uid="{00000000-0005-0000-0000-0000E4190000}"/>
    <cellStyle name="Currency0 9" xfId="6628" xr:uid="{00000000-0005-0000-0000-0000E5190000}"/>
    <cellStyle name="Currency0 9 10" xfId="6629" xr:uid="{00000000-0005-0000-0000-0000E6190000}"/>
    <cellStyle name="Currency0 9 11" xfId="6630" xr:uid="{00000000-0005-0000-0000-0000E7190000}"/>
    <cellStyle name="Currency0 9 12" xfId="6631" xr:uid="{00000000-0005-0000-0000-0000E8190000}"/>
    <cellStyle name="Currency0 9 2" xfId="6632" xr:uid="{00000000-0005-0000-0000-0000E9190000}"/>
    <cellStyle name="Currency0 9 2 10" xfId="6633" xr:uid="{00000000-0005-0000-0000-0000EA190000}"/>
    <cellStyle name="Currency0 9 2 2" xfId="6634" xr:uid="{00000000-0005-0000-0000-0000EB190000}"/>
    <cellStyle name="Currency0 9 2 2 2" xfId="6635" xr:uid="{00000000-0005-0000-0000-0000EC190000}"/>
    <cellStyle name="Currency0 9 2 2 2 2" xfId="6636" xr:uid="{00000000-0005-0000-0000-0000ED190000}"/>
    <cellStyle name="Currency0 9 2 2 2 2 2" xfId="6637" xr:uid="{00000000-0005-0000-0000-0000EE190000}"/>
    <cellStyle name="Currency0 9 2 2 2 2 3" xfId="6638" xr:uid="{00000000-0005-0000-0000-0000EF190000}"/>
    <cellStyle name="Currency0 9 2 2 2 3" xfId="6639" xr:uid="{00000000-0005-0000-0000-0000F0190000}"/>
    <cellStyle name="Currency0 9 2 2 2 3 2" xfId="6640" xr:uid="{00000000-0005-0000-0000-0000F1190000}"/>
    <cellStyle name="Currency0 9 2 2 2 3 3" xfId="6641" xr:uid="{00000000-0005-0000-0000-0000F2190000}"/>
    <cellStyle name="Currency0 9 2 2 2 4" xfId="6642" xr:uid="{00000000-0005-0000-0000-0000F3190000}"/>
    <cellStyle name="Currency0 9 2 2 2 5" xfId="6643" xr:uid="{00000000-0005-0000-0000-0000F4190000}"/>
    <cellStyle name="Currency0 9 2 2 2 6" xfId="6644" xr:uid="{00000000-0005-0000-0000-0000F5190000}"/>
    <cellStyle name="Currency0 9 2 2 3" xfId="6645" xr:uid="{00000000-0005-0000-0000-0000F6190000}"/>
    <cellStyle name="Currency0 9 2 2 3 2" xfId="6646" xr:uid="{00000000-0005-0000-0000-0000F7190000}"/>
    <cellStyle name="Currency0 9 2 2 3 3" xfId="6647" xr:uid="{00000000-0005-0000-0000-0000F8190000}"/>
    <cellStyle name="Currency0 9 2 2 4" xfId="6648" xr:uid="{00000000-0005-0000-0000-0000F9190000}"/>
    <cellStyle name="Currency0 9 2 2 4 2" xfId="6649" xr:uid="{00000000-0005-0000-0000-0000FA190000}"/>
    <cellStyle name="Currency0 9 2 2 4 3" xfId="6650" xr:uid="{00000000-0005-0000-0000-0000FB190000}"/>
    <cellStyle name="Currency0 9 2 2 5" xfId="6651" xr:uid="{00000000-0005-0000-0000-0000FC190000}"/>
    <cellStyle name="Currency0 9 2 2 5 2" xfId="6652" xr:uid="{00000000-0005-0000-0000-0000FD190000}"/>
    <cellStyle name="Currency0 9 2 2 5 3" xfId="6653" xr:uid="{00000000-0005-0000-0000-0000FE190000}"/>
    <cellStyle name="Currency0 9 2 2 6" xfId="6654" xr:uid="{00000000-0005-0000-0000-0000FF190000}"/>
    <cellStyle name="Currency0 9 2 2 7" xfId="6655" xr:uid="{00000000-0005-0000-0000-0000001A0000}"/>
    <cellStyle name="Currency0 9 2 2 8" xfId="6656" xr:uid="{00000000-0005-0000-0000-0000011A0000}"/>
    <cellStyle name="Currency0 9 2 3" xfId="6657" xr:uid="{00000000-0005-0000-0000-0000021A0000}"/>
    <cellStyle name="Currency0 9 2 3 2" xfId="6658" xr:uid="{00000000-0005-0000-0000-0000031A0000}"/>
    <cellStyle name="Currency0 9 2 3 2 2" xfId="6659" xr:uid="{00000000-0005-0000-0000-0000041A0000}"/>
    <cellStyle name="Currency0 9 2 3 2 2 2" xfId="6660" xr:uid="{00000000-0005-0000-0000-0000051A0000}"/>
    <cellStyle name="Currency0 9 2 3 2 2 3" xfId="6661" xr:uid="{00000000-0005-0000-0000-0000061A0000}"/>
    <cellStyle name="Currency0 9 2 3 2 3" xfId="6662" xr:uid="{00000000-0005-0000-0000-0000071A0000}"/>
    <cellStyle name="Currency0 9 2 3 2 3 2" xfId="6663" xr:uid="{00000000-0005-0000-0000-0000081A0000}"/>
    <cellStyle name="Currency0 9 2 3 2 3 3" xfId="6664" xr:uid="{00000000-0005-0000-0000-0000091A0000}"/>
    <cellStyle name="Currency0 9 2 3 2 4" xfId="6665" xr:uid="{00000000-0005-0000-0000-00000A1A0000}"/>
    <cellStyle name="Currency0 9 2 3 2 5" xfId="6666" xr:uid="{00000000-0005-0000-0000-00000B1A0000}"/>
    <cellStyle name="Currency0 9 2 3 2 6" xfId="6667" xr:uid="{00000000-0005-0000-0000-00000C1A0000}"/>
    <cellStyle name="Currency0 9 2 3 3" xfId="6668" xr:uid="{00000000-0005-0000-0000-00000D1A0000}"/>
    <cellStyle name="Currency0 9 2 3 3 2" xfId="6669" xr:uid="{00000000-0005-0000-0000-00000E1A0000}"/>
    <cellStyle name="Currency0 9 2 3 3 3" xfId="6670" xr:uid="{00000000-0005-0000-0000-00000F1A0000}"/>
    <cellStyle name="Currency0 9 2 3 4" xfId="6671" xr:uid="{00000000-0005-0000-0000-0000101A0000}"/>
    <cellStyle name="Currency0 9 2 3 4 2" xfId="6672" xr:uid="{00000000-0005-0000-0000-0000111A0000}"/>
    <cellStyle name="Currency0 9 2 3 4 3" xfId="6673" xr:uid="{00000000-0005-0000-0000-0000121A0000}"/>
    <cellStyle name="Currency0 9 2 3 5" xfId="6674" xr:uid="{00000000-0005-0000-0000-0000131A0000}"/>
    <cellStyle name="Currency0 9 2 3 5 2" xfId="6675" xr:uid="{00000000-0005-0000-0000-0000141A0000}"/>
    <cellStyle name="Currency0 9 2 3 5 3" xfId="6676" xr:uid="{00000000-0005-0000-0000-0000151A0000}"/>
    <cellStyle name="Currency0 9 2 3 6" xfId="6677" xr:uid="{00000000-0005-0000-0000-0000161A0000}"/>
    <cellStyle name="Currency0 9 2 3 7" xfId="6678" xr:uid="{00000000-0005-0000-0000-0000171A0000}"/>
    <cellStyle name="Currency0 9 2 3 8" xfId="6679" xr:uid="{00000000-0005-0000-0000-0000181A0000}"/>
    <cellStyle name="Currency0 9 2 4" xfId="6680" xr:uid="{00000000-0005-0000-0000-0000191A0000}"/>
    <cellStyle name="Currency0 9 2 4 2" xfId="6681" xr:uid="{00000000-0005-0000-0000-00001A1A0000}"/>
    <cellStyle name="Currency0 9 2 4 2 2" xfId="6682" xr:uid="{00000000-0005-0000-0000-00001B1A0000}"/>
    <cellStyle name="Currency0 9 2 4 2 3" xfId="6683" xr:uid="{00000000-0005-0000-0000-00001C1A0000}"/>
    <cellStyle name="Currency0 9 2 4 3" xfId="6684" xr:uid="{00000000-0005-0000-0000-00001D1A0000}"/>
    <cellStyle name="Currency0 9 2 4 3 2" xfId="6685" xr:uid="{00000000-0005-0000-0000-00001E1A0000}"/>
    <cellStyle name="Currency0 9 2 4 3 3" xfId="6686" xr:uid="{00000000-0005-0000-0000-00001F1A0000}"/>
    <cellStyle name="Currency0 9 2 4 4" xfId="6687" xr:uid="{00000000-0005-0000-0000-0000201A0000}"/>
    <cellStyle name="Currency0 9 2 4 5" xfId="6688" xr:uid="{00000000-0005-0000-0000-0000211A0000}"/>
    <cellStyle name="Currency0 9 2 4 6" xfId="6689" xr:uid="{00000000-0005-0000-0000-0000221A0000}"/>
    <cellStyle name="Currency0 9 2 5" xfId="6690" xr:uid="{00000000-0005-0000-0000-0000231A0000}"/>
    <cellStyle name="Currency0 9 2 5 2" xfId="6691" xr:uid="{00000000-0005-0000-0000-0000241A0000}"/>
    <cellStyle name="Currency0 9 2 5 3" xfId="6692" xr:uid="{00000000-0005-0000-0000-0000251A0000}"/>
    <cellStyle name="Currency0 9 2 6" xfId="6693" xr:uid="{00000000-0005-0000-0000-0000261A0000}"/>
    <cellStyle name="Currency0 9 2 6 2" xfId="6694" xr:uid="{00000000-0005-0000-0000-0000271A0000}"/>
    <cellStyle name="Currency0 9 2 6 3" xfId="6695" xr:uid="{00000000-0005-0000-0000-0000281A0000}"/>
    <cellStyle name="Currency0 9 2 7" xfId="6696" xr:uid="{00000000-0005-0000-0000-0000291A0000}"/>
    <cellStyle name="Currency0 9 2 7 2" xfId="6697" xr:uid="{00000000-0005-0000-0000-00002A1A0000}"/>
    <cellStyle name="Currency0 9 2 7 3" xfId="6698" xr:uid="{00000000-0005-0000-0000-00002B1A0000}"/>
    <cellStyle name="Currency0 9 2 8" xfId="6699" xr:uid="{00000000-0005-0000-0000-00002C1A0000}"/>
    <cellStyle name="Currency0 9 2 9" xfId="6700" xr:uid="{00000000-0005-0000-0000-00002D1A0000}"/>
    <cellStyle name="Currency0 9 3" xfId="6701" xr:uid="{00000000-0005-0000-0000-00002E1A0000}"/>
    <cellStyle name="Currency0 9 3 2" xfId="6702" xr:uid="{00000000-0005-0000-0000-00002F1A0000}"/>
    <cellStyle name="Currency0 9 3 2 2" xfId="6703" xr:uid="{00000000-0005-0000-0000-0000301A0000}"/>
    <cellStyle name="Currency0 9 3 2 2 2" xfId="6704" xr:uid="{00000000-0005-0000-0000-0000311A0000}"/>
    <cellStyle name="Currency0 9 3 2 2 3" xfId="6705" xr:uid="{00000000-0005-0000-0000-0000321A0000}"/>
    <cellStyle name="Currency0 9 3 2 3" xfId="6706" xr:uid="{00000000-0005-0000-0000-0000331A0000}"/>
    <cellStyle name="Currency0 9 3 2 3 2" xfId="6707" xr:uid="{00000000-0005-0000-0000-0000341A0000}"/>
    <cellStyle name="Currency0 9 3 2 3 3" xfId="6708" xr:uid="{00000000-0005-0000-0000-0000351A0000}"/>
    <cellStyle name="Currency0 9 3 2 4" xfId="6709" xr:uid="{00000000-0005-0000-0000-0000361A0000}"/>
    <cellStyle name="Currency0 9 3 2 5" xfId="6710" xr:uid="{00000000-0005-0000-0000-0000371A0000}"/>
    <cellStyle name="Currency0 9 3 2 6" xfId="6711" xr:uid="{00000000-0005-0000-0000-0000381A0000}"/>
    <cellStyle name="Currency0 9 3 3" xfId="6712" xr:uid="{00000000-0005-0000-0000-0000391A0000}"/>
    <cellStyle name="Currency0 9 3 3 2" xfId="6713" xr:uid="{00000000-0005-0000-0000-00003A1A0000}"/>
    <cellStyle name="Currency0 9 3 3 3" xfId="6714" xr:uid="{00000000-0005-0000-0000-00003B1A0000}"/>
    <cellStyle name="Currency0 9 3 4" xfId="6715" xr:uid="{00000000-0005-0000-0000-00003C1A0000}"/>
    <cellStyle name="Currency0 9 3 4 2" xfId="6716" xr:uid="{00000000-0005-0000-0000-00003D1A0000}"/>
    <cellStyle name="Currency0 9 3 4 3" xfId="6717" xr:uid="{00000000-0005-0000-0000-00003E1A0000}"/>
    <cellStyle name="Currency0 9 3 5" xfId="6718" xr:uid="{00000000-0005-0000-0000-00003F1A0000}"/>
    <cellStyle name="Currency0 9 3 5 2" xfId="6719" xr:uid="{00000000-0005-0000-0000-0000401A0000}"/>
    <cellStyle name="Currency0 9 3 5 3" xfId="6720" xr:uid="{00000000-0005-0000-0000-0000411A0000}"/>
    <cellStyle name="Currency0 9 3 6" xfId="6721" xr:uid="{00000000-0005-0000-0000-0000421A0000}"/>
    <cellStyle name="Currency0 9 3 7" xfId="6722" xr:uid="{00000000-0005-0000-0000-0000431A0000}"/>
    <cellStyle name="Currency0 9 3 8" xfId="6723" xr:uid="{00000000-0005-0000-0000-0000441A0000}"/>
    <cellStyle name="Currency0 9 4" xfId="6724" xr:uid="{00000000-0005-0000-0000-0000451A0000}"/>
    <cellStyle name="Currency0 9 4 2" xfId="6725" xr:uid="{00000000-0005-0000-0000-0000461A0000}"/>
    <cellStyle name="Currency0 9 4 2 2" xfId="6726" xr:uid="{00000000-0005-0000-0000-0000471A0000}"/>
    <cellStyle name="Currency0 9 4 2 2 2" xfId="6727" xr:uid="{00000000-0005-0000-0000-0000481A0000}"/>
    <cellStyle name="Currency0 9 4 2 2 3" xfId="6728" xr:uid="{00000000-0005-0000-0000-0000491A0000}"/>
    <cellStyle name="Currency0 9 4 2 3" xfId="6729" xr:uid="{00000000-0005-0000-0000-00004A1A0000}"/>
    <cellStyle name="Currency0 9 4 2 3 2" xfId="6730" xr:uid="{00000000-0005-0000-0000-00004B1A0000}"/>
    <cellStyle name="Currency0 9 4 2 3 3" xfId="6731" xr:uid="{00000000-0005-0000-0000-00004C1A0000}"/>
    <cellStyle name="Currency0 9 4 2 4" xfId="6732" xr:uid="{00000000-0005-0000-0000-00004D1A0000}"/>
    <cellStyle name="Currency0 9 4 2 5" xfId="6733" xr:uid="{00000000-0005-0000-0000-00004E1A0000}"/>
    <cellStyle name="Currency0 9 4 2 6" xfId="6734" xr:uid="{00000000-0005-0000-0000-00004F1A0000}"/>
    <cellStyle name="Currency0 9 4 3" xfId="6735" xr:uid="{00000000-0005-0000-0000-0000501A0000}"/>
    <cellStyle name="Currency0 9 4 3 2" xfId="6736" xr:uid="{00000000-0005-0000-0000-0000511A0000}"/>
    <cellStyle name="Currency0 9 4 3 3" xfId="6737" xr:uid="{00000000-0005-0000-0000-0000521A0000}"/>
    <cellStyle name="Currency0 9 4 4" xfId="6738" xr:uid="{00000000-0005-0000-0000-0000531A0000}"/>
    <cellStyle name="Currency0 9 4 4 2" xfId="6739" xr:uid="{00000000-0005-0000-0000-0000541A0000}"/>
    <cellStyle name="Currency0 9 4 4 3" xfId="6740" xr:uid="{00000000-0005-0000-0000-0000551A0000}"/>
    <cellStyle name="Currency0 9 4 5" xfId="6741" xr:uid="{00000000-0005-0000-0000-0000561A0000}"/>
    <cellStyle name="Currency0 9 4 5 2" xfId="6742" xr:uid="{00000000-0005-0000-0000-0000571A0000}"/>
    <cellStyle name="Currency0 9 4 5 3" xfId="6743" xr:uid="{00000000-0005-0000-0000-0000581A0000}"/>
    <cellStyle name="Currency0 9 4 6" xfId="6744" xr:uid="{00000000-0005-0000-0000-0000591A0000}"/>
    <cellStyle name="Currency0 9 4 7" xfId="6745" xr:uid="{00000000-0005-0000-0000-00005A1A0000}"/>
    <cellStyle name="Currency0 9 4 8" xfId="6746" xr:uid="{00000000-0005-0000-0000-00005B1A0000}"/>
    <cellStyle name="Currency0 9 5" xfId="6747" xr:uid="{00000000-0005-0000-0000-00005C1A0000}"/>
    <cellStyle name="Currency0 9 5 2" xfId="6748" xr:uid="{00000000-0005-0000-0000-00005D1A0000}"/>
    <cellStyle name="Currency0 9 5 2 2" xfId="6749" xr:uid="{00000000-0005-0000-0000-00005E1A0000}"/>
    <cellStyle name="Currency0 9 5 2 2 2" xfId="6750" xr:uid="{00000000-0005-0000-0000-00005F1A0000}"/>
    <cellStyle name="Currency0 9 5 2 2 3" xfId="6751" xr:uid="{00000000-0005-0000-0000-0000601A0000}"/>
    <cellStyle name="Currency0 9 5 2 3" xfId="6752" xr:uid="{00000000-0005-0000-0000-0000611A0000}"/>
    <cellStyle name="Currency0 9 5 2 3 2" xfId="6753" xr:uid="{00000000-0005-0000-0000-0000621A0000}"/>
    <cellStyle name="Currency0 9 5 2 3 3" xfId="6754" xr:uid="{00000000-0005-0000-0000-0000631A0000}"/>
    <cellStyle name="Currency0 9 5 2 4" xfId="6755" xr:uid="{00000000-0005-0000-0000-0000641A0000}"/>
    <cellStyle name="Currency0 9 5 2 5" xfId="6756" xr:uid="{00000000-0005-0000-0000-0000651A0000}"/>
    <cellStyle name="Currency0 9 5 2 6" xfId="6757" xr:uid="{00000000-0005-0000-0000-0000661A0000}"/>
    <cellStyle name="Currency0 9 5 3" xfId="6758" xr:uid="{00000000-0005-0000-0000-0000671A0000}"/>
    <cellStyle name="Currency0 9 5 3 2" xfId="6759" xr:uid="{00000000-0005-0000-0000-0000681A0000}"/>
    <cellStyle name="Currency0 9 5 3 3" xfId="6760" xr:uid="{00000000-0005-0000-0000-0000691A0000}"/>
    <cellStyle name="Currency0 9 5 4" xfId="6761" xr:uid="{00000000-0005-0000-0000-00006A1A0000}"/>
    <cellStyle name="Currency0 9 5 4 2" xfId="6762" xr:uid="{00000000-0005-0000-0000-00006B1A0000}"/>
    <cellStyle name="Currency0 9 5 4 3" xfId="6763" xr:uid="{00000000-0005-0000-0000-00006C1A0000}"/>
    <cellStyle name="Currency0 9 5 5" xfId="6764" xr:uid="{00000000-0005-0000-0000-00006D1A0000}"/>
    <cellStyle name="Currency0 9 5 5 2" xfId="6765" xr:uid="{00000000-0005-0000-0000-00006E1A0000}"/>
    <cellStyle name="Currency0 9 5 5 3" xfId="6766" xr:uid="{00000000-0005-0000-0000-00006F1A0000}"/>
    <cellStyle name="Currency0 9 5 6" xfId="6767" xr:uid="{00000000-0005-0000-0000-0000701A0000}"/>
    <cellStyle name="Currency0 9 5 7" xfId="6768" xr:uid="{00000000-0005-0000-0000-0000711A0000}"/>
    <cellStyle name="Currency0 9 5 8" xfId="6769" xr:uid="{00000000-0005-0000-0000-0000721A0000}"/>
    <cellStyle name="Currency0 9 6" xfId="6770" xr:uid="{00000000-0005-0000-0000-0000731A0000}"/>
    <cellStyle name="Currency0 9 6 2" xfId="6771" xr:uid="{00000000-0005-0000-0000-0000741A0000}"/>
    <cellStyle name="Currency0 9 6 2 2" xfId="6772" xr:uid="{00000000-0005-0000-0000-0000751A0000}"/>
    <cellStyle name="Currency0 9 6 2 3" xfId="6773" xr:uid="{00000000-0005-0000-0000-0000761A0000}"/>
    <cellStyle name="Currency0 9 6 3" xfId="6774" xr:uid="{00000000-0005-0000-0000-0000771A0000}"/>
    <cellStyle name="Currency0 9 6 3 2" xfId="6775" xr:uid="{00000000-0005-0000-0000-0000781A0000}"/>
    <cellStyle name="Currency0 9 6 3 3" xfId="6776" xr:uid="{00000000-0005-0000-0000-0000791A0000}"/>
    <cellStyle name="Currency0 9 6 4" xfId="6777" xr:uid="{00000000-0005-0000-0000-00007A1A0000}"/>
    <cellStyle name="Currency0 9 6 5" xfId="6778" xr:uid="{00000000-0005-0000-0000-00007B1A0000}"/>
    <cellStyle name="Currency0 9 6 6" xfId="6779" xr:uid="{00000000-0005-0000-0000-00007C1A0000}"/>
    <cellStyle name="Currency0 9 7" xfId="6780" xr:uid="{00000000-0005-0000-0000-00007D1A0000}"/>
    <cellStyle name="Currency0 9 7 2" xfId="6781" xr:uid="{00000000-0005-0000-0000-00007E1A0000}"/>
    <cellStyle name="Currency0 9 7 3" xfId="6782" xr:uid="{00000000-0005-0000-0000-00007F1A0000}"/>
    <cellStyle name="Currency0 9 8" xfId="6783" xr:uid="{00000000-0005-0000-0000-0000801A0000}"/>
    <cellStyle name="Currency0 9 8 2" xfId="6784" xr:uid="{00000000-0005-0000-0000-0000811A0000}"/>
    <cellStyle name="Currency0 9 8 3" xfId="6785" xr:uid="{00000000-0005-0000-0000-0000821A0000}"/>
    <cellStyle name="Currency0 9 9" xfId="6786" xr:uid="{00000000-0005-0000-0000-0000831A0000}"/>
    <cellStyle name="Currency0 9 9 2" xfId="6787" xr:uid="{00000000-0005-0000-0000-0000841A0000}"/>
    <cellStyle name="Currency0 9 9 3" xfId="6788" xr:uid="{00000000-0005-0000-0000-0000851A0000}"/>
    <cellStyle name="Date" xfId="6789" xr:uid="{00000000-0005-0000-0000-0000861A0000}"/>
    <cellStyle name="Date 10" xfId="6790" xr:uid="{00000000-0005-0000-0000-0000871A0000}"/>
    <cellStyle name="Date 10 10" xfId="6791" xr:uid="{00000000-0005-0000-0000-0000881A0000}"/>
    <cellStyle name="Date 10 11" xfId="6792" xr:uid="{00000000-0005-0000-0000-0000891A0000}"/>
    <cellStyle name="Date 10 12" xfId="6793" xr:uid="{00000000-0005-0000-0000-00008A1A0000}"/>
    <cellStyle name="Date 10 2" xfId="6794" xr:uid="{00000000-0005-0000-0000-00008B1A0000}"/>
    <cellStyle name="Date 10 2 10" xfId="6795" xr:uid="{00000000-0005-0000-0000-00008C1A0000}"/>
    <cellStyle name="Date 10 2 2" xfId="6796" xr:uid="{00000000-0005-0000-0000-00008D1A0000}"/>
    <cellStyle name="Date 10 2 2 2" xfId="6797" xr:uid="{00000000-0005-0000-0000-00008E1A0000}"/>
    <cellStyle name="Date 10 2 2 2 2" xfId="6798" xr:uid="{00000000-0005-0000-0000-00008F1A0000}"/>
    <cellStyle name="Date 10 2 2 2 2 2" xfId="6799" xr:uid="{00000000-0005-0000-0000-0000901A0000}"/>
    <cellStyle name="Date 10 2 2 2 2 3" xfId="6800" xr:uid="{00000000-0005-0000-0000-0000911A0000}"/>
    <cellStyle name="Date 10 2 2 2 3" xfId="6801" xr:uid="{00000000-0005-0000-0000-0000921A0000}"/>
    <cellStyle name="Date 10 2 2 2 3 2" xfId="6802" xr:uid="{00000000-0005-0000-0000-0000931A0000}"/>
    <cellStyle name="Date 10 2 2 2 3 3" xfId="6803" xr:uid="{00000000-0005-0000-0000-0000941A0000}"/>
    <cellStyle name="Date 10 2 2 2 4" xfId="6804" xr:uid="{00000000-0005-0000-0000-0000951A0000}"/>
    <cellStyle name="Date 10 2 2 2 5" xfId="6805" xr:uid="{00000000-0005-0000-0000-0000961A0000}"/>
    <cellStyle name="Date 10 2 2 2 6" xfId="6806" xr:uid="{00000000-0005-0000-0000-0000971A0000}"/>
    <cellStyle name="Date 10 2 2 3" xfId="6807" xr:uid="{00000000-0005-0000-0000-0000981A0000}"/>
    <cellStyle name="Date 10 2 2 3 2" xfId="6808" xr:uid="{00000000-0005-0000-0000-0000991A0000}"/>
    <cellStyle name="Date 10 2 2 3 3" xfId="6809" xr:uid="{00000000-0005-0000-0000-00009A1A0000}"/>
    <cellStyle name="Date 10 2 2 4" xfId="6810" xr:uid="{00000000-0005-0000-0000-00009B1A0000}"/>
    <cellStyle name="Date 10 2 2 4 2" xfId="6811" xr:uid="{00000000-0005-0000-0000-00009C1A0000}"/>
    <cellStyle name="Date 10 2 2 4 3" xfId="6812" xr:uid="{00000000-0005-0000-0000-00009D1A0000}"/>
    <cellStyle name="Date 10 2 2 5" xfId="6813" xr:uid="{00000000-0005-0000-0000-00009E1A0000}"/>
    <cellStyle name="Date 10 2 2 5 2" xfId="6814" xr:uid="{00000000-0005-0000-0000-00009F1A0000}"/>
    <cellStyle name="Date 10 2 2 5 3" xfId="6815" xr:uid="{00000000-0005-0000-0000-0000A01A0000}"/>
    <cellStyle name="Date 10 2 2 6" xfId="6816" xr:uid="{00000000-0005-0000-0000-0000A11A0000}"/>
    <cellStyle name="Date 10 2 2 7" xfId="6817" xr:uid="{00000000-0005-0000-0000-0000A21A0000}"/>
    <cellStyle name="Date 10 2 2 8" xfId="6818" xr:uid="{00000000-0005-0000-0000-0000A31A0000}"/>
    <cellStyle name="Date 10 2 3" xfId="6819" xr:uid="{00000000-0005-0000-0000-0000A41A0000}"/>
    <cellStyle name="Date 10 2 3 2" xfId="6820" xr:uid="{00000000-0005-0000-0000-0000A51A0000}"/>
    <cellStyle name="Date 10 2 3 2 2" xfId="6821" xr:uid="{00000000-0005-0000-0000-0000A61A0000}"/>
    <cellStyle name="Date 10 2 3 2 2 2" xfId="6822" xr:uid="{00000000-0005-0000-0000-0000A71A0000}"/>
    <cellStyle name="Date 10 2 3 2 2 3" xfId="6823" xr:uid="{00000000-0005-0000-0000-0000A81A0000}"/>
    <cellStyle name="Date 10 2 3 2 3" xfId="6824" xr:uid="{00000000-0005-0000-0000-0000A91A0000}"/>
    <cellStyle name="Date 10 2 3 2 3 2" xfId="6825" xr:uid="{00000000-0005-0000-0000-0000AA1A0000}"/>
    <cellStyle name="Date 10 2 3 2 3 3" xfId="6826" xr:uid="{00000000-0005-0000-0000-0000AB1A0000}"/>
    <cellStyle name="Date 10 2 3 2 4" xfId="6827" xr:uid="{00000000-0005-0000-0000-0000AC1A0000}"/>
    <cellStyle name="Date 10 2 3 2 5" xfId="6828" xr:uid="{00000000-0005-0000-0000-0000AD1A0000}"/>
    <cellStyle name="Date 10 2 3 2 6" xfId="6829" xr:uid="{00000000-0005-0000-0000-0000AE1A0000}"/>
    <cellStyle name="Date 10 2 3 3" xfId="6830" xr:uid="{00000000-0005-0000-0000-0000AF1A0000}"/>
    <cellStyle name="Date 10 2 3 3 2" xfId="6831" xr:uid="{00000000-0005-0000-0000-0000B01A0000}"/>
    <cellStyle name="Date 10 2 3 3 3" xfId="6832" xr:uid="{00000000-0005-0000-0000-0000B11A0000}"/>
    <cellStyle name="Date 10 2 3 4" xfId="6833" xr:uid="{00000000-0005-0000-0000-0000B21A0000}"/>
    <cellStyle name="Date 10 2 3 4 2" xfId="6834" xr:uid="{00000000-0005-0000-0000-0000B31A0000}"/>
    <cellStyle name="Date 10 2 3 4 3" xfId="6835" xr:uid="{00000000-0005-0000-0000-0000B41A0000}"/>
    <cellStyle name="Date 10 2 3 5" xfId="6836" xr:uid="{00000000-0005-0000-0000-0000B51A0000}"/>
    <cellStyle name="Date 10 2 3 5 2" xfId="6837" xr:uid="{00000000-0005-0000-0000-0000B61A0000}"/>
    <cellStyle name="Date 10 2 3 5 3" xfId="6838" xr:uid="{00000000-0005-0000-0000-0000B71A0000}"/>
    <cellStyle name="Date 10 2 3 6" xfId="6839" xr:uid="{00000000-0005-0000-0000-0000B81A0000}"/>
    <cellStyle name="Date 10 2 3 7" xfId="6840" xr:uid="{00000000-0005-0000-0000-0000B91A0000}"/>
    <cellStyle name="Date 10 2 3 8" xfId="6841" xr:uid="{00000000-0005-0000-0000-0000BA1A0000}"/>
    <cellStyle name="Date 10 2 4" xfId="6842" xr:uid="{00000000-0005-0000-0000-0000BB1A0000}"/>
    <cellStyle name="Date 10 2 4 2" xfId="6843" xr:uid="{00000000-0005-0000-0000-0000BC1A0000}"/>
    <cellStyle name="Date 10 2 4 2 2" xfId="6844" xr:uid="{00000000-0005-0000-0000-0000BD1A0000}"/>
    <cellStyle name="Date 10 2 4 2 3" xfId="6845" xr:uid="{00000000-0005-0000-0000-0000BE1A0000}"/>
    <cellStyle name="Date 10 2 4 3" xfId="6846" xr:uid="{00000000-0005-0000-0000-0000BF1A0000}"/>
    <cellStyle name="Date 10 2 4 3 2" xfId="6847" xr:uid="{00000000-0005-0000-0000-0000C01A0000}"/>
    <cellStyle name="Date 10 2 4 3 3" xfId="6848" xr:uid="{00000000-0005-0000-0000-0000C11A0000}"/>
    <cellStyle name="Date 10 2 4 4" xfId="6849" xr:uid="{00000000-0005-0000-0000-0000C21A0000}"/>
    <cellStyle name="Date 10 2 4 5" xfId="6850" xr:uid="{00000000-0005-0000-0000-0000C31A0000}"/>
    <cellStyle name="Date 10 2 4 6" xfId="6851" xr:uid="{00000000-0005-0000-0000-0000C41A0000}"/>
    <cellStyle name="Date 10 2 5" xfId="6852" xr:uid="{00000000-0005-0000-0000-0000C51A0000}"/>
    <cellStyle name="Date 10 2 5 2" xfId="6853" xr:uid="{00000000-0005-0000-0000-0000C61A0000}"/>
    <cellStyle name="Date 10 2 5 3" xfId="6854" xr:uid="{00000000-0005-0000-0000-0000C71A0000}"/>
    <cellStyle name="Date 10 2 6" xfId="6855" xr:uid="{00000000-0005-0000-0000-0000C81A0000}"/>
    <cellStyle name="Date 10 2 6 2" xfId="6856" xr:uid="{00000000-0005-0000-0000-0000C91A0000}"/>
    <cellStyle name="Date 10 2 6 3" xfId="6857" xr:uid="{00000000-0005-0000-0000-0000CA1A0000}"/>
    <cellStyle name="Date 10 2 7" xfId="6858" xr:uid="{00000000-0005-0000-0000-0000CB1A0000}"/>
    <cellStyle name="Date 10 2 7 2" xfId="6859" xr:uid="{00000000-0005-0000-0000-0000CC1A0000}"/>
    <cellStyle name="Date 10 2 7 3" xfId="6860" xr:uid="{00000000-0005-0000-0000-0000CD1A0000}"/>
    <cellStyle name="Date 10 2 8" xfId="6861" xr:uid="{00000000-0005-0000-0000-0000CE1A0000}"/>
    <cellStyle name="Date 10 2 9" xfId="6862" xr:uid="{00000000-0005-0000-0000-0000CF1A0000}"/>
    <cellStyle name="Date 10 3" xfId="6863" xr:uid="{00000000-0005-0000-0000-0000D01A0000}"/>
    <cellStyle name="Date 10 3 2" xfId="6864" xr:uid="{00000000-0005-0000-0000-0000D11A0000}"/>
    <cellStyle name="Date 10 3 2 2" xfId="6865" xr:uid="{00000000-0005-0000-0000-0000D21A0000}"/>
    <cellStyle name="Date 10 3 2 2 2" xfId="6866" xr:uid="{00000000-0005-0000-0000-0000D31A0000}"/>
    <cellStyle name="Date 10 3 2 2 3" xfId="6867" xr:uid="{00000000-0005-0000-0000-0000D41A0000}"/>
    <cellStyle name="Date 10 3 2 3" xfId="6868" xr:uid="{00000000-0005-0000-0000-0000D51A0000}"/>
    <cellStyle name="Date 10 3 2 3 2" xfId="6869" xr:uid="{00000000-0005-0000-0000-0000D61A0000}"/>
    <cellStyle name="Date 10 3 2 3 3" xfId="6870" xr:uid="{00000000-0005-0000-0000-0000D71A0000}"/>
    <cellStyle name="Date 10 3 2 4" xfId="6871" xr:uid="{00000000-0005-0000-0000-0000D81A0000}"/>
    <cellStyle name="Date 10 3 2 5" xfId="6872" xr:uid="{00000000-0005-0000-0000-0000D91A0000}"/>
    <cellStyle name="Date 10 3 2 6" xfId="6873" xr:uid="{00000000-0005-0000-0000-0000DA1A0000}"/>
    <cellStyle name="Date 10 3 3" xfId="6874" xr:uid="{00000000-0005-0000-0000-0000DB1A0000}"/>
    <cellStyle name="Date 10 3 3 2" xfId="6875" xr:uid="{00000000-0005-0000-0000-0000DC1A0000}"/>
    <cellStyle name="Date 10 3 3 3" xfId="6876" xr:uid="{00000000-0005-0000-0000-0000DD1A0000}"/>
    <cellStyle name="Date 10 3 4" xfId="6877" xr:uid="{00000000-0005-0000-0000-0000DE1A0000}"/>
    <cellStyle name="Date 10 3 4 2" xfId="6878" xr:uid="{00000000-0005-0000-0000-0000DF1A0000}"/>
    <cellStyle name="Date 10 3 4 3" xfId="6879" xr:uid="{00000000-0005-0000-0000-0000E01A0000}"/>
    <cellStyle name="Date 10 3 5" xfId="6880" xr:uid="{00000000-0005-0000-0000-0000E11A0000}"/>
    <cellStyle name="Date 10 3 5 2" xfId="6881" xr:uid="{00000000-0005-0000-0000-0000E21A0000}"/>
    <cellStyle name="Date 10 3 5 3" xfId="6882" xr:uid="{00000000-0005-0000-0000-0000E31A0000}"/>
    <cellStyle name="Date 10 3 6" xfId="6883" xr:uid="{00000000-0005-0000-0000-0000E41A0000}"/>
    <cellStyle name="Date 10 3 7" xfId="6884" xr:uid="{00000000-0005-0000-0000-0000E51A0000}"/>
    <cellStyle name="Date 10 3 8" xfId="6885" xr:uid="{00000000-0005-0000-0000-0000E61A0000}"/>
    <cellStyle name="Date 10 4" xfId="6886" xr:uid="{00000000-0005-0000-0000-0000E71A0000}"/>
    <cellStyle name="Date 10 4 2" xfId="6887" xr:uid="{00000000-0005-0000-0000-0000E81A0000}"/>
    <cellStyle name="Date 10 4 2 2" xfId="6888" xr:uid="{00000000-0005-0000-0000-0000E91A0000}"/>
    <cellStyle name="Date 10 4 2 2 2" xfId="6889" xr:uid="{00000000-0005-0000-0000-0000EA1A0000}"/>
    <cellStyle name="Date 10 4 2 2 3" xfId="6890" xr:uid="{00000000-0005-0000-0000-0000EB1A0000}"/>
    <cellStyle name="Date 10 4 2 3" xfId="6891" xr:uid="{00000000-0005-0000-0000-0000EC1A0000}"/>
    <cellStyle name="Date 10 4 2 3 2" xfId="6892" xr:uid="{00000000-0005-0000-0000-0000ED1A0000}"/>
    <cellStyle name="Date 10 4 2 3 3" xfId="6893" xr:uid="{00000000-0005-0000-0000-0000EE1A0000}"/>
    <cellStyle name="Date 10 4 2 4" xfId="6894" xr:uid="{00000000-0005-0000-0000-0000EF1A0000}"/>
    <cellStyle name="Date 10 4 2 5" xfId="6895" xr:uid="{00000000-0005-0000-0000-0000F01A0000}"/>
    <cellStyle name="Date 10 4 2 6" xfId="6896" xr:uid="{00000000-0005-0000-0000-0000F11A0000}"/>
    <cellStyle name="Date 10 4 3" xfId="6897" xr:uid="{00000000-0005-0000-0000-0000F21A0000}"/>
    <cellStyle name="Date 10 4 3 2" xfId="6898" xr:uid="{00000000-0005-0000-0000-0000F31A0000}"/>
    <cellStyle name="Date 10 4 3 3" xfId="6899" xr:uid="{00000000-0005-0000-0000-0000F41A0000}"/>
    <cellStyle name="Date 10 4 4" xfId="6900" xr:uid="{00000000-0005-0000-0000-0000F51A0000}"/>
    <cellStyle name="Date 10 4 4 2" xfId="6901" xr:uid="{00000000-0005-0000-0000-0000F61A0000}"/>
    <cellStyle name="Date 10 4 4 3" xfId="6902" xr:uid="{00000000-0005-0000-0000-0000F71A0000}"/>
    <cellStyle name="Date 10 4 5" xfId="6903" xr:uid="{00000000-0005-0000-0000-0000F81A0000}"/>
    <cellStyle name="Date 10 4 5 2" xfId="6904" xr:uid="{00000000-0005-0000-0000-0000F91A0000}"/>
    <cellStyle name="Date 10 4 5 3" xfId="6905" xr:uid="{00000000-0005-0000-0000-0000FA1A0000}"/>
    <cellStyle name="Date 10 4 6" xfId="6906" xr:uid="{00000000-0005-0000-0000-0000FB1A0000}"/>
    <cellStyle name="Date 10 4 7" xfId="6907" xr:uid="{00000000-0005-0000-0000-0000FC1A0000}"/>
    <cellStyle name="Date 10 4 8" xfId="6908" xr:uid="{00000000-0005-0000-0000-0000FD1A0000}"/>
    <cellStyle name="Date 10 5" xfId="6909" xr:uid="{00000000-0005-0000-0000-0000FE1A0000}"/>
    <cellStyle name="Date 10 5 2" xfId="6910" xr:uid="{00000000-0005-0000-0000-0000FF1A0000}"/>
    <cellStyle name="Date 10 5 2 2" xfId="6911" xr:uid="{00000000-0005-0000-0000-0000001B0000}"/>
    <cellStyle name="Date 10 5 2 2 2" xfId="6912" xr:uid="{00000000-0005-0000-0000-0000011B0000}"/>
    <cellStyle name="Date 10 5 2 2 3" xfId="6913" xr:uid="{00000000-0005-0000-0000-0000021B0000}"/>
    <cellStyle name="Date 10 5 2 3" xfId="6914" xr:uid="{00000000-0005-0000-0000-0000031B0000}"/>
    <cellStyle name="Date 10 5 2 3 2" xfId="6915" xr:uid="{00000000-0005-0000-0000-0000041B0000}"/>
    <cellStyle name="Date 10 5 2 3 3" xfId="6916" xr:uid="{00000000-0005-0000-0000-0000051B0000}"/>
    <cellStyle name="Date 10 5 2 4" xfId="6917" xr:uid="{00000000-0005-0000-0000-0000061B0000}"/>
    <cellStyle name="Date 10 5 2 5" xfId="6918" xr:uid="{00000000-0005-0000-0000-0000071B0000}"/>
    <cellStyle name="Date 10 5 2 6" xfId="6919" xr:uid="{00000000-0005-0000-0000-0000081B0000}"/>
    <cellStyle name="Date 10 5 3" xfId="6920" xr:uid="{00000000-0005-0000-0000-0000091B0000}"/>
    <cellStyle name="Date 10 5 3 2" xfId="6921" xr:uid="{00000000-0005-0000-0000-00000A1B0000}"/>
    <cellStyle name="Date 10 5 3 3" xfId="6922" xr:uid="{00000000-0005-0000-0000-00000B1B0000}"/>
    <cellStyle name="Date 10 5 4" xfId="6923" xr:uid="{00000000-0005-0000-0000-00000C1B0000}"/>
    <cellStyle name="Date 10 5 4 2" xfId="6924" xr:uid="{00000000-0005-0000-0000-00000D1B0000}"/>
    <cellStyle name="Date 10 5 4 3" xfId="6925" xr:uid="{00000000-0005-0000-0000-00000E1B0000}"/>
    <cellStyle name="Date 10 5 5" xfId="6926" xr:uid="{00000000-0005-0000-0000-00000F1B0000}"/>
    <cellStyle name="Date 10 5 5 2" xfId="6927" xr:uid="{00000000-0005-0000-0000-0000101B0000}"/>
    <cellStyle name="Date 10 5 5 3" xfId="6928" xr:uid="{00000000-0005-0000-0000-0000111B0000}"/>
    <cellStyle name="Date 10 5 6" xfId="6929" xr:uid="{00000000-0005-0000-0000-0000121B0000}"/>
    <cellStyle name="Date 10 5 7" xfId="6930" xr:uid="{00000000-0005-0000-0000-0000131B0000}"/>
    <cellStyle name="Date 10 5 8" xfId="6931" xr:uid="{00000000-0005-0000-0000-0000141B0000}"/>
    <cellStyle name="Date 10 6" xfId="6932" xr:uid="{00000000-0005-0000-0000-0000151B0000}"/>
    <cellStyle name="Date 10 6 2" xfId="6933" xr:uid="{00000000-0005-0000-0000-0000161B0000}"/>
    <cellStyle name="Date 10 6 2 2" xfId="6934" xr:uid="{00000000-0005-0000-0000-0000171B0000}"/>
    <cellStyle name="Date 10 6 2 3" xfId="6935" xr:uid="{00000000-0005-0000-0000-0000181B0000}"/>
    <cellStyle name="Date 10 6 3" xfId="6936" xr:uid="{00000000-0005-0000-0000-0000191B0000}"/>
    <cellStyle name="Date 10 6 3 2" xfId="6937" xr:uid="{00000000-0005-0000-0000-00001A1B0000}"/>
    <cellStyle name="Date 10 6 3 3" xfId="6938" xr:uid="{00000000-0005-0000-0000-00001B1B0000}"/>
    <cellStyle name="Date 10 6 4" xfId="6939" xr:uid="{00000000-0005-0000-0000-00001C1B0000}"/>
    <cellStyle name="Date 10 6 5" xfId="6940" xr:uid="{00000000-0005-0000-0000-00001D1B0000}"/>
    <cellStyle name="Date 10 6 6" xfId="6941" xr:uid="{00000000-0005-0000-0000-00001E1B0000}"/>
    <cellStyle name="Date 10 7" xfId="6942" xr:uid="{00000000-0005-0000-0000-00001F1B0000}"/>
    <cellStyle name="Date 10 7 2" xfId="6943" xr:uid="{00000000-0005-0000-0000-0000201B0000}"/>
    <cellStyle name="Date 10 7 3" xfId="6944" xr:uid="{00000000-0005-0000-0000-0000211B0000}"/>
    <cellStyle name="Date 10 8" xfId="6945" xr:uid="{00000000-0005-0000-0000-0000221B0000}"/>
    <cellStyle name="Date 10 8 2" xfId="6946" xr:uid="{00000000-0005-0000-0000-0000231B0000}"/>
    <cellStyle name="Date 10 8 3" xfId="6947" xr:uid="{00000000-0005-0000-0000-0000241B0000}"/>
    <cellStyle name="Date 10 9" xfId="6948" xr:uid="{00000000-0005-0000-0000-0000251B0000}"/>
    <cellStyle name="Date 10 9 2" xfId="6949" xr:uid="{00000000-0005-0000-0000-0000261B0000}"/>
    <cellStyle name="Date 10 9 3" xfId="6950" xr:uid="{00000000-0005-0000-0000-0000271B0000}"/>
    <cellStyle name="Date 11" xfId="6951" xr:uid="{00000000-0005-0000-0000-0000281B0000}"/>
    <cellStyle name="Date 11 10" xfId="6952" xr:uid="{00000000-0005-0000-0000-0000291B0000}"/>
    <cellStyle name="Date 11 11" xfId="6953" xr:uid="{00000000-0005-0000-0000-00002A1B0000}"/>
    <cellStyle name="Date 11 12" xfId="6954" xr:uid="{00000000-0005-0000-0000-00002B1B0000}"/>
    <cellStyle name="Date 11 2" xfId="6955" xr:uid="{00000000-0005-0000-0000-00002C1B0000}"/>
    <cellStyle name="Date 11 2 10" xfId="6956" xr:uid="{00000000-0005-0000-0000-00002D1B0000}"/>
    <cellStyle name="Date 11 2 2" xfId="6957" xr:uid="{00000000-0005-0000-0000-00002E1B0000}"/>
    <cellStyle name="Date 11 2 2 2" xfId="6958" xr:uid="{00000000-0005-0000-0000-00002F1B0000}"/>
    <cellStyle name="Date 11 2 2 2 2" xfId="6959" xr:uid="{00000000-0005-0000-0000-0000301B0000}"/>
    <cellStyle name="Date 11 2 2 2 2 2" xfId="6960" xr:uid="{00000000-0005-0000-0000-0000311B0000}"/>
    <cellStyle name="Date 11 2 2 2 2 3" xfId="6961" xr:uid="{00000000-0005-0000-0000-0000321B0000}"/>
    <cellStyle name="Date 11 2 2 2 3" xfId="6962" xr:uid="{00000000-0005-0000-0000-0000331B0000}"/>
    <cellStyle name="Date 11 2 2 2 3 2" xfId="6963" xr:uid="{00000000-0005-0000-0000-0000341B0000}"/>
    <cellStyle name="Date 11 2 2 2 3 3" xfId="6964" xr:uid="{00000000-0005-0000-0000-0000351B0000}"/>
    <cellStyle name="Date 11 2 2 2 4" xfId="6965" xr:uid="{00000000-0005-0000-0000-0000361B0000}"/>
    <cellStyle name="Date 11 2 2 2 5" xfId="6966" xr:uid="{00000000-0005-0000-0000-0000371B0000}"/>
    <cellStyle name="Date 11 2 2 2 6" xfId="6967" xr:uid="{00000000-0005-0000-0000-0000381B0000}"/>
    <cellStyle name="Date 11 2 2 3" xfId="6968" xr:uid="{00000000-0005-0000-0000-0000391B0000}"/>
    <cellStyle name="Date 11 2 2 3 2" xfId="6969" xr:uid="{00000000-0005-0000-0000-00003A1B0000}"/>
    <cellStyle name="Date 11 2 2 3 3" xfId="6970" xr:uid="{00000000-0005-0000-0000-00003B1B0000}"/>
    <cellStyle name="Date 11 2 2 4" xfId="6971" xr:uid="{00000000-0005-0000-0000-00003C1B0000}"/>
    <cellStyle name="Date 11 2 2 4 2" xfId="6972" xr:uid="{00000000-0005-0000-0000-00003D1B0000}"/>
    <cellStyle name="Date 11 2 2 4 3" xfId="6973" xr:uid="{00000000-0005-0000-0000-00003E1B0000}"/>
    <cellStyle name="Date 11 2 2 5" xfId="6974" xr:uid="{00000000-0005-0000-0000-00003F1B0000}"/>
    <cellStyle name="Date 11 2 2 5 2" xfId="6975" xr:uid="{00000000-0005-0000-0000-0000401B0000}"/>
    <cellStyle name="Date 11 2 2 5 3" xfId="6976" xr:uid="{00000000-0005-0000-0000-0000411B0000}"/>
    <cellStyle name="Date 11 2 2 6" xfId="6977" xr:uid="{00000000-0005-0000-0000-0000421B0000}"/>
    <cellStyle name="Date 11 2 2 7" xfId="6978" xr:uid="{00000000-0005-0000-0000-0000431B0000}"/>
    <cellStyle name="Date 11 2 2 8" xfId="6979" xr:uid="{00000000-0005-0000-0000-0000441B0000}"/>
    <cellStyle name="Date 11 2 3" xfId="6980" xr:uid="{00000000-0005-0000-0000-0000451B0000}"/>
    <cellStyle name="Date 11 2 3 2" xfId="6981" xr:uid="{00000000-0005-0000-0000-0000461B0000}"/>
    <cellStyle name="Date 11 2 3 2 2" xfId="6982" xr:uid="{00000000-0005-0000-0000-0000471B0000}"/>
    <cellStyle name="Date 11 2 3 2 2 2" xfId="6983" xr:uid="{00000000-0005-0000-0000-0000481B0000}"/>
    <cellStyle name="Date 11 2 3 2 2 3" xfId="6984" xr:uid="{00000000-0005-0000-0000-0000491B0000}"/>
    <cellStyle name="Date 11 2 3 2 3" xfId="6985" xr:uid="{00000000-0005-0000-0000-00004A1B0000}"/>
    <cellStyle name="Date 11 2 3 2 3 2" xfId="6986" xr:uid="{00000000-0005-0000-0000-00004B1B0000}"/>
    <cellStyle name="Date 11 2 3 2 3 3" xfId="6987" xr:uid="{00000000-0005-0000-0000-00004C1B0000}"/>
    <cellStyle name="Date 11 2 3 2 4" xfId="6988" xr:uid="{00000000-0005-0000-0000-00004D1B0000}"/>
    <cellStyle name="Date 11 2 3 2 5" xfId="6989" xr:uid="{00000000-0005-0000-0000-00004E1B0000}"/>
    <cellStyle name="Date 11 2 3 2 6" xfId="6990" xr:uid="{00000000-0005-0000-0000-00004F1B0000}"/>
    <cellStyle name="Date 11 2 3 3" xfId="6991" xr:uid="{00000000-0005-0000-0000-0000501B0000}"/>
    <cellStyle name="Date 11 2 3 3 2" xfId="6992" xr:uid="{00000000-0005-0000-0000-0000511B0000}"/>
    <cellStyle name="Date 11 2 3 3 3" xfId="6993" xr:uid="{00000000-0005-0000-0000-0000521B0000}"/>
    <cellStyle name="Date 11 2 3 4" xfId="6994" xr:uid="{00000000-0005-0000-0000-0000531B0000}"/>
    <cellStyle name="Date 11 2 3 4 2" xfId="6995" xr:uid="{00000000-0005-0000-0000-0000541B0000}"/>
    <cellStyle name="Date 11 2 3 4 3" xfId="6996" xr:uid="{00000000-0005-0000-0000-0000551B0000}"/>
    <cellStyle name="Date 11 2 3 5" xfId="6997" xr:uid="{00000000-0005-0000-0000-0000561B0000}"/>
    <cellStyle name="Date 11 2 3 5 2" xfId="6998" xr:uid="{00000000-0005-0000-0000-0000571B0000}"/>
    <cellStyle name="Date 11 2 3 5 3" xfId="6999" xr:uid="{00000000-0005-0000-0000-0000581B0000}"/>
    <cellStyle name="Date 11 2 3 6" xfId="7000" xr:uid="{00000000-0005-0000-0000-0000591B0000}"/>
    <cellStyle name="Date 11 2 3 7" xfId="7001" xr:uid="{00000000-0005-0000-0000-00005A1B0000}"/>
    <cellStyle name="Date 11 2 3 8" xfId="7002" xr:uid="{00000000-0005-0000-0000-00005B1B0000}"/>
    <cellStyle name="Date 11 2 4" xfId="7003" xr:uid="{00000000-0005-0000-0000-00005C1B0000}"/>
    <cellStyle name="Date 11 2 4 2" xfId="7004" xr:uid="{00000000-0005-0000-0000-00005D1B0000}"/>
    <cellStyle name="Date 11 2 4 2 2" xfId="7005" xr:uid="{00000000-0005-0000-0000-00005E1B0000}"/>
    <cellStyle name="Date 11 2 4 2 3" xfId="7006" xr:uid="{00000000-0005-0000-0000-00005F1B0000}"/>
    <cellStyle name="Date 11 2 4 3" xfId="7007" xr:uid="{00000000-0005-0000-0000-0000601B0000}"/>
    <cellStyle name="Date 11 2 4 3 2" xfId="7008" xr:uid="{00000000-0005-0000-0000-0000611B0000}"/>
    <cellStyle name="Date 11 2 4 3 3" xfId="7009" xr:uid="{00000000-0005-0000-0000-0000621B0000}"/>
    <cellStyle name="Date 11 2 4 4" xfId="7010" xr:uid="{00000000-0005-0000-0000-0000631B0000}"/>
    <cellStyle name="Date 11 2 4 5" xfId="7011" xr:uid="{00000000-0005-0000-0000-0000641B0000}"/>
    <cellStyle name="Date 11 2 4 6" xfId="7012" xr:uid="{00000000-0005-0000-0000-0000651B0000}"/>
    <cellStyle name="Date 11 2 5" xfId="7013" xr:uid="{00000000-0005-0000-0000-0000661B0000}"/>
    <cellStyle name="Date 11 2 5 2" xfId="7014" xr:uid="{00000000-0005-0000-0000-0000671B0000}"/>
    <cellStyle name="Date 11 2 5 3" xfId="7015" xr:uid="{00000000-0005-0000-0000-0000681B0000}"/>
    <cellStyle name="Date 11 2 6" xfId="7016" xr:uid="{00000000-0005-0000-0000-0000691B0000}"/>
    <cellStyle name="Date 11 2 6 2" xfId="7017" xr:uid="{00000000-0005-0000-0000-00006A1B0000}"/>
    <cellStyle name="Date 11 2 6 3" xfId="7018" xr:uid="{00000000-0005-0000-0000-00006B1B0000}"/>
    <cellStyle name="Date 11 2 7" xfId="7019" xr:uid="{00000000-0005-0000-0000-00006C1B0000}"/>
    <cellStyle name="Date 11 2 7 2" xfId="7020" xr:uid="{00000000-0005-0000-0000-00006D1B0000}"/>
    <cellStyle name="Date 11 2 7 3" xfId="7021" xr:uid="{00000000-0005-0000-0000-00006E1B0000}"/>
    <cellStyle name="Date 11 2 8" xfId="7022" xr:uid="{00000000-0005-0000-0000-00006F1B0000}"/>
    <cellStyle name="Date 11 2 9" xfId="7023" xr:uid="{00000000-0005-0000-0000-0000701B0000}"/>
    <cellStyle name="Date 11 3" xfId="7024" xr:uid="{00000000-0005-0000-0000-0000711B0000}"/>
    <cellStyle name="Date 11 3 2" xfId="7025" xr:uid="{00000000-0005-0000-0000-0000721B0000}"/>
    <cellStyle name="Date 11 3 2 2" xfId="7026" xr:uid="{00000000-0005-0000-0000-0000731B0000}"/>
    <cellStyle name="Date 11 3 2 2 2" xfId="7027" xr:uid="{00000000-0005-0000-0000-0000741B0000}"/>
    <cellStyle name="Date 11 3 2 2 3" xfId="7028" xr:uid="{00000000-0005-0000-0000-0000751B0000}"/>
    <cellStyle name="Date 11 3 2 3" xfId="7029" xr:uid="{00000000-0005-0000-0000-0000761B0000}"/>
    <cellStyle name="Date 11 3 2 3 2" xfId="7030" xr:uid="{00000000-0005-0000-0000-0000771B0000}"/>
    <cellStyle name="Date 11 3 2 3 3" xfId="7031" xr:uid="{00000000-0005-0000-0000-0000781B0000}"/>
    <cellStyle name="Date 11 3 2 4" xfId="7032" xr:uid="{00000000-0005-0000-0000-0000791B0000}"/>
    <cellStyle name="Date 11 3 2 5" xfId="7033" xr:uid="{00000000-0005-0000-0000-00007A1B0000}"/>
    <cellStyle name="Date 11 3 2 6" xfId="7034" xr:uid="{00000000-0005-0000-0000-00007B1B0000}"/>
    <cellStyle name="Date 11 3 3" xfId="7035" xr:uid="{00000000-0005-0000-0000-00007C1B0000}"/>
    <cellStyle name="Date 11 3 3 2" xfId="7036" xr:uid="{00000000-0005-0000-0000-00007D1B0000}"/>
    <cellStyle name="Date 11 3 3 3" xfId="7037" xr:uid="{00000000-0005-0000-0000-00007E1B0000}"/>
    <cellStyle name="Date 11 3 4" xfId="7038" xr:uid="{00000000-0005-0000-0000-00007F1B0000}"/>
    <cellStyle name="Date 11 3 4 2" xfId="7039" xr:uid="{00000000-0005-0000-0000-0000801B0000}"/>
    <cellStyle name="Date 11 3 4 3" xfId="7040" xr:uid="{00000000-0005-0000-0000-0000811B0000}"/>
    <cellStyle name="Date 11 3 5" xfId="7041" xr:uid="{00000000-0005-0000-0000-0000821B0000}"/>
    <cellStyle name="Date 11 3 5 2" xfId="7042" xr:uid="{00000000-0005-0000-0000-0000831B0000}"/>
    <cellStyle name="Date 11 3 5 3" xfId="7043" xr:uid="{00000000-0005-0000-0000-0000841B0000}"/>
    <cellStyle name="Date 11 3 6" xfId="7044" xr:uid="{00000000-0005-0000-0000-0000851B0000}"/>
    <cellStyle name="Date 11 3 7" xfId="7045" xr:uid="{00000000-0005-0000-0000-0000861B0000}"/>
    <cellStyle name="Date 11 3 8" xfId="7046" xr:uid="{00000000-0005-0000-0000-0000871B0000}"/>
    <cellStyle name="Date 11 4" xfId="7047" xr:uid="{00000000-0005-0000-0000-0000881B0000}"/>
    <cellStyle name="Date 11 4 2" xfId="7048" xr:uid="{00000000-0005-0000-0000-0000891B0000}"/>
    <cellStyle name="Date 11 4 2 2" xfId="7049" xr:uid="{00000000-0005-0000-0000-00008A1B0000}"/>
    <cellStyle name="Date 11 4 2 2 2" xfId="7050" xr:uid="{00000000-0005-0000-0000-00008B1B0000}"/>
    <cellStyle name="Date 11 4 2 2 3" xfId="7051" xr:uid="{00000000-0005-0000-0000-00008C1B0000}"/>
    <cellStyle name="Date 11 4 2 3" xfId="7052" xr:uid="{00000000-0005-0000-0000-00008D1B0000}"/>
    <cellStyle name="Date 11 4 2 3 2" xfId="7053" xr:uid="{00000000-0005-0000-0000-00008E1B0000}"/>
    <cellStyle name="Date 11 4 2 3 3" xfId="7054" xr:uid="{00000000-0005-0000-0000-00008F1B0000}"/>
    <cellStyle name="Date 11 4 2 4" xfId="7055" xr:uid="{00000000-0005-0000-0000-0000901B0000}"/>
    <cellStyle name="Date 11 4 2 5" xfId="7056" xr:uid="{00000000-0005-0000-0000-0000911B0000}"/>
    <cellStyle name="Date 11 4 2 6" xfId="7057" xr:uid="{00000000-0005-0000-0000-0000921B0000}"/>
    <cellStyle name="Date 11 4 3" xfId="7058" xr:uid="{00000000-0005-0000-0000-0000931B0000}"/>
    <cellStyle name="Date 11 4 3 2" xfId="7059" xr:uid="{00000000-0005-0000-0000-0000941B0000}"/>
    <cellStyle name="Date 11 4 3 3" xfId="7060" xr:uid="{00000000-0005-0000-0000-0000951B0000}"/>
    <cellStyle name="Date 11 4 4" xfId="7061" xr:uid="{00000000-0005-0000-0000-0000961B0000}"/>
    <cellStyle name="Date 11 4 4 2" xfId="7062" xr:uid="{00000000-0005-0000-0000-0000971B0000}"/>
    <cellStyle name="Date 11 4 4 3" xfId="7063" xr:uid="{00000000-0005-0000-0000-0000981B0000}"/>
    <cellStyle name="Date 11 4 5" xfId="7064" xr:uid="{00000000-0005-0000-0000-0000991B0000}"/>
    <cellStyle name="Date 11 4 5 2" xfId="7065" xr:uid="{00000000-0005-0000-0000-00009A1B0000}"/>
    <cellStyle name="Date 11 4 5 3" xfId="7066" xr:uid="{00000000-0005-0000-0000-00009B1B0000}"/>
    <cellStyle name="Date 11 4 6" xfId="7067" xr:uid="{00000000-0005-0000-0000-00009C1B0000}"/>
    <cellStyle name="Date 11 4 7" xfId="7068" xr:uid="{00000000-0005-0000-0000-00009D1B0000}"/>
    <cellStyle name="Date 11 4 8" xfId="7069" xr:uid="{00000000-0005-0000-0000-00009E1B0000}"/>
    <cellStyle name="Date 11 5" xfId="7070" xr:uid="{00000000-0005-0000-0000-00009F1B0000}"/>
    <cellStyle name="Date 11 5 2" xfId="7071" xr:uid="{00000000-0005-0000-0000-0000A01B0000}"/>
    <cellStyle name="Date 11 5 2 2" xfId="7072" xr:uid="{00000000-0005-0000-0000-0000A11B0000}"/>
    <cellStyle name="Date 11 5 2 2 2" xfId="7073" xr:uid="{00000000-0005-0000-0000-0000A21B0000}"/>
    <cellStyle name="Date 11 5 2 2 3" xfId="7074" xr:uid="{00000000-0005-0000-0000-0000A31B0000}"/>
    <cellStyle name="Date 11 5 2 3" xfId="7075" xr:uid="{00000000-0005-0000-0000-0000A41B0000}"/>
    <cellStyle name="Date 11 5 2 3 2" xfId="7076" xr:uid="{00000000-0005-0000-0000-0000A51B0000}"/>
    <cellStyle name="Date 11 5 2 3 3" xfId="7077" xr:uid="{00000000-0005-0000-0000-0000A61B0000}"/>
    <cellStyle name="Date 11 5 2 4" xfId="7078" xr:uid="{00000000-0005-0000-0000-0000A71B0000}"/>
    <cellStyle name="Date 11 5 2 5" xfId="7079" xr:uid="{00000000-0005-0000-0000-0000A81B0000}"/>
    <cellStyle name="Date 11 5 2 6" xfId="7080" xr:uid="{00000000-0005-0000-0000-0000A91B0000}"/>
    <cellStyle name="Date 11 5 3" xfId="7081" xr:uid="{00000000-0005-0000-0000-0000AA1B0000}"/>
    <cellStyle name="Date 11 5 3 2" xfId="7082" xr:uid="{00000000-0005-0000-0000-0000AB1B0000}"/>
    <cellStyle name="Date 11 5 3 3" xfId="7083" xr:uid="{00000000-0005-0000-0000-0000AC1B0000}"/>
    <cellStyle name="Date 11 5 4" xfId="7084" xr:uid="{00000000-0005-0000-0000-0000AD1B0000}"/>
    <cellStyle name="Date 11 5 4 2" xfId="7085" xr:uid="{00000000-0005-0000-0000-0000AE1B0000}"/>
    <cellStyle name="Date 11 5 4 3" xfId="7086" xr:uid="{00000000-0005-0000-0000-0000AF1B0000}"/>
    <cellStyle name="Date 11 5 5" xfId="7087" xr:uid="{00000000-0005-0000-0000-0000B01B0000}"/>
    <cellStyle name="Date 11 5 5 2" xfId="7088" xr:uid="{00000000-0005-0000-0000-0000B11B0000}"/>
    <cellStyle name="Date 11 5 5 3" xfId="7089" xr:uid="{00000000-0005-0000-0000-0000B21B0000}"/>
    <cellStyle name="Date 11 5 6" xfId="7090" xr:uid="{00000000-0005-0000-0000-0000B31B0000}"/>
    <cellStyle name="Date 11 5 7" xfId="7091" xr:uid="{00000000-0005-0000-0000-0000B41B0000}"/>
    <cellStyle name="Date 11 5 8" xfId="7092" xr:uid="{00000000-0005-0000-0000-0000B51B0000}"/>
    <cellStyle name="Date 11 6" xfId="7093" xr:uid="{00000000-0005-0000-0000-0000B61B0000}"/>
    <cellStyle name="Date 11 6 2" xfId="7094" xr:uid="{00000000-0005-0000-0000-0000B71B0000}"/>
    <cellStyle name="Date 11 6 2 2" xfId="7095" xr:uid="{00000000-0005-0000-0000-0000B81B0000}"/>
    <cellStyle name="Date 11 6 2 3" xfId="7096" xr:uid="{00000000-0005-0000-0000-0000B91B0000}"/>
    <cellStyle name="Date 11 6 3" xfId="7097" xr:uid="{00000000-0005-0000-0000-0000BA1B0000}"/>
    <cellStyle name="Date 11 6 3 2" xfId="7098" xr:uid="{00000000-0005-0000-0000-0000BB1B0000}"/>
    <cellStyle name="Date 11 6 3 3" xfId="7099" xr:uid="{00000000-0005-0000-0000-0000BC1B0000}"/>
    <cellStyle name="Date 11 6 4" xfId="7100" xr:uid="{00000000-0005-0000-0000-0000BD1B0000}"/>
    <cellStyle name="Date 11 6 5" xfId="7101" xr:uid="{00000000-0005-0000-0000-0000BE1B0000}"/>
    <cellStyle name="Date 11 6 6" xfId="7102" xr:uid="{00000000-0005-0000-0000-0000BF1B0000}"/>
    <cellStyle name="Date 11 7" xfId="7103" xr:uid="{00000000-0005-0000-0000-0000C01B0000}"/>
    <cellStyle name="Date 11 7 2" xfId="7104" xr:uid="{00000000-0005-0000-0000-0000C11B0000}"/>
    <cellStyle name="Date 11 7 3" xfId="7105" xr:uid="{00000000-0005-0000-0000-0000C21B0000}"/>
    <cellStyle name="Date 11 8" xfId="7106" xr:uid="{00000000-0005-0000-0000-0000C31B0000}"/>
    <cellStyle name="Date 11 8 2" xfId="7107" xr:uid="{00000000-0005-0000-0000-0000C41B0000}"/>
    <cellStyle name="Date 11 8 3" xfId="7108" xr:uid="{00000000-0005-0000-0000-0000C51B0000}"/>
    <cellStyle name="Date 11 9" xfId="7109" xr:uid="{00000000-0005-0000-0000-0000C61B0000}"/>
    <cellStyle name="Date 11 9 2" xfId="7110" xr:uid="{00000000-0005-0000-0000-0000C71B0000}"/>
    <cellStyle name="Date 11 9 3" xfId="7111" xr:uid="{00000000-0005-0000-0000-0000C81B0000}"/>
    <cellStyle name="Date 12" xfId="7112" xr:uid="{00000000-0005-0000-0000-0000C91B0000}"/>
    <cellStyle name="Date 12 10" xfId="7113" xr:uid="{00000000-0005-0000-0000-0000CA1B0000}"/>
    <cellStyle name="Date 12 2" xfId="7114" xr:uid="{00000000-0005-0000-0000-0000CB1B0000}"/>
    <cellStyle name="Date 12 2 2" xfId="7115" xr:uid="{00000000-0005-0000-0000-0000CC1B0000}"/>
    <cellStyle name="Date 12 2 2 2" xfId="7116" xr:uid="{00000000-0005-0000-0000-0000CD1B0000}"/>
    <cellStyle name="Date 12 2 2 2 2" xfId="7117" xr:uid="{00000000-0005-0000-0000-0000CE1B0000}"/>
    <cellStyle name="Date 12 2 2 2 3" xfId="7118" xr:uid="{00000000-0005-0000-0000-0000CF1B0000}"/>
    <cellStyle name="Date 12 2 2 3" xfId="7119" xr:uid="{00000000-0005-0000-0000-0000D01B0000}"/>
    <cellStyle name="Date 12 2 2 3 2" xfId="7120" xr:uid="{00000000-0005-0000-0000-0000D11B0000}"/>
    <cellStyle name="Date 12 2 2 3 3" xfId="7121" xr:uid="{00000000-0005-0000-0000-0000D21B0000}"/>
    <cellStyle name="Date 12 2 2 4" xfId="7122" xr:uid="{00000000-0005-0000-0000-0000D31B0000}"/>
    <cellStyle name="Date 12 2 2 5" xfId="7123" xr:uid="{00000000-0005-0000-0000-0000D41B0000}"/>
    <cellStyle name="Date 12 2 2 6" xfId="7124" xr:uid="{00000000-0005-0000-0000-0000D51B0000}"/>
    <cellStyle name="Date 12 2 3" xfId="7125" xr:uid="{00000000-0005-0000-0000-0000D61B0000}"/>
    <cellStyle name="Date 12 2 3 2" xfId="7126" xr:uid="{00000000-0005-0000-0000-0000D71B0000}"/>
    <cellStyle name="Date 12 2 3 3" xfId="7127" xr:uid="{00000000-0005-0000-0000-0000D81B0000}"/>
    <cellStyle name="Date 12 2 4" xfId="7128" xr:uid="{00000000-0005-0000-0000-0000D91B0000}"/>
    <cellStyle name="Date 12 2 4 2" xfId="7129" xr:uid="{00000000-0005-0000-0000-0000DA1B0000}"/>
    <cellStyle name="Date 12 2 4 3" xfId="7130" xr:uid="{00000000-0005-0000-0000-0000DB1B0000}"/>
    <cellStyle name="Date 12 2 5" xfId="7131" xr:uid="{00000000-0005-0000-0000-0000DC1B0000}"/>
    <cellStyle name="Date 12 2 5 2" xfId="7132" xr:uid="{00000000-0005-0000-0000-0000DD1B0000}"/>
    <cellStyle name="Date 12 2 5 3" xfId="7133" xr:uid="{00000000-0005-0000-0000-0000DE1B0000}"/>
    <cellStyle name="Date 12 2 6" xfId="7134" xr:uid="{00000000-0005-0000-0000-0000DF1B0000}"/>
    <cellStyle name="Date 12 2 7" xfId="7135" xr:uid="{00000000-0005-0000-0000-0000E01B0000}"/>
    <cellStyle name="Date 12 2 8" xfId="7136" xr:uid="{00000000-0005-0000-0000-0000E11B0000}"/>
    <cellStyle name="Date 12 3" xfId="7137" xr:uid="{00000000-0005-0000-0000-0000E21B0000}"/>
    <cellStyle name="Date 12 3 2" xfId="7138" xr:uid="{00000000-0005-0000-0000-0000E31B0000}"/>
    <cellStyle name="Date 12 3 2 2" xfId="7139" xr:uid="{00000000-0005-0000-0000-0000E41B0000}"/>
    <cellStyle name="Date 12 3 2 2 2" xfId="7140" xr:uid="{00000000-0005-0000-0000-0000E51B0000}"/>
    <cellStyle name="Date 12 3 2 2 3" xfId="7141" xr:uid="{00000000-0005-0000-0000-0000E61B0000}"/>
    <cellStyle name="Date 12 3 2 3" xfId="7142" xr:uid="{00000000-0005-0000-0000-0000E71B0000}"/>
    <cellStyle name="Date 12 3 2 3 2" xfId="7143" xr:uid="{00000000-0005-0000-0000-0000E81B0000}"/>
    <cellStyle name="Date 12 3 2 3 3" xfId="7144" xr:uid="{00000000-0005-0000-0000-0000E91B0000}"/>
    <cellStyle name="Date 12 3 2 4" xfId="7145" xr:uid="{00000000-0005-0000-0000-0000EA1B0000}"/>
    <cellStyle name="Date 12 3 2 5" xfId="7146" xr:uid="{00000000-0005-0000-0000-0000EB1B0000}"/>
    <cellStyle name="Date 12 3 2 6" xfId="7147" xr:uid="{00000000-0005-0000-0000-0000EC1B0000}"/>
    <cellStyle name="Date 12 3 3" xfId="7148" xr:uid="{00000000-0005-0000-0000-0000ED1B0000}"/>
    <cellStyle name="Date 12 3 3 2" xfId="7149" xr:uid="{00000000-0005-0000-0000-0000EE1B0000}"/>
    <cellStyle name="Date 12 3 3 3" xfId="7150" xr:uid="{00000000-0005-0000-0000-0000EF1B0000}"/>
    <cellStyle name="Date 12 3 4" xfId="7151" xr:uid="{00000000-0005-0000-0000-0000F01B0000}"/>
    <cellStyle name="Date 12 3 4 2" xfId="7152" xr:uid="{00000000-0005-0000-0000-0000F11B0000}"/>
    <cellStyle name="Date 12 3 4 3" xfId="7153" xr:uid="{00000000-0005-0000-0000-0000F21B0000}"/>
    <cellStyle name="Date 12 3 5" xfId="7154" xr:uid="{00000000-0005-0000-0000-0000F31B0000}"/>
    <cellStyle name="Date 12 3 5 2" xfId="7155" xr:uid="{00000000-0005-0000-0000-0000F41B0000}"/>
    <cellStyle name="Date 12 3 5 3" xfId="7156" xr:uid="{00000000-0005-0000-0000-0000F51B0000}"/>
    <cellStyle name="Date 12 3 6" xfId="7157" xr:uid="{00000000-0005-0000-0000-0000F61B0000}"/>
    <cellStyle name="Date 12 3 7" xfId="7158" xr:uid="{00000000-0005-0000-0000-0000F71B0000}"/>
    <cellStyle name="Date 12 3 8" xfId="7159" xr:uid="{00000000-0005-0000-0000-0000F81B0000}"/>
    <cellStyle name="Date 12 4" xfId="7160" xr:uid="{00000000-0005-0000-0000-0000F91B0000}"/>
    <cellStyle name="Date 12 4 2" xfId="7161" xr:uid="{00000000-0005-0000-0000-0000FA1B0000}"/>
    <cellStyle name="Date 12 4 2 2" xfId="7162" xr:uid="{00000000-0005-0000-0000-0000FB1B0000}"/>
    <cellStyle name="Date 12 4 2 3" xfId="7163" xr:uid="{00000000-0005-0000-0000-0000FC1B0000}"/>
    <cellStyle name="Date 12 4 3" xfId="7164" xr:uid="{00000000-0005-0000-0000-0000FD1B0000}"/>
    <cellStyle name="Date 12 4 3 2" xfId="7165" xr:uid="{00000000-0005-0000-0000-0000FE1B0000}"/>
    <cellStyle name="Date 12 4 3 3" xfId="7166" xr:uid="{00000000-0005-0000-0000-0000FF1B0000}"/>
    <cellStyle name="Date 12 4 4" xfId="7167" xr:uid="{00000000-0005-0000-0000-0000001C0000}"/>
    <cellStyle name="Date 12 4 5" xfId="7168" xr:uid="{00000000-0005-0000-0000-0000011C0000}"/>
    <cellStyle name="Date 12 4 6" xfId="7169" xr:uid="{00000000-0005-0000-0000-0000021C0000}"/>
    <cellStyle name="Date 12 5" xfId="7170" xr:uid="{00000000-0005-0000-0000-0000031C0000}"/>
    <cellStyle name="Date 12 5 2" xfId="7171" xr:uid="{00000000-0005-0000-0000-0000041C0000}"/>
    <cellStyle name="Date 12 5 3" xfId="7172" xr:uid="{00000000-0005-0000-0000-0000051C0000}"/>
    <cellStyle name="Date 12 6" xfId="7173" xr:uid="{00000000-0005-0000-0000-0000061C0000}"/>
    <cellStyle name="Date 12 6 2" xfId="7174" xr:uid="{00000000-0005-0000-0000-0000071C0000}"/>
    <cellStyle name="Date 12 6 3" xfId="7175" xr:uid="{00000000-0005-0000-0000-0000081C0000}"/>
    <cellStyle name="Date 12 7" xfId="7176" xr:uid="{00000000-0005-0000-0000-0000091C0000}"/>
    <cellStyle name="Date 12 7 2" xfId="7177" xr:uid="{00000000-0005-0000-0000-00000A1C0000}"/>
    <cellStyle name="Date 12 7 3" xfId="7178" xr:uid="{00000000-0005-0000-0000-00000B1C0000}"/>
    <cellStyle name="Date 12 8" xfId="7179" xr:uid="{00000000-0005-0000-0000-00000C1C0000}"/>
    <cellStyle name="Date 12 9" xfId="7180" xr:uid="{00000000-0005-0000-0000-00000D1C0000}"/>
    <cellStyle name="Date 13" xfId="7181" xr:uid="{00000000-0005-0000-0000-00000E1C0000}"/>
    <cellStyle name="Date 13 2" xfId="7182" xr:uid="{00000000-0005-0000-0000-00000F1C0000}"/>
    <cellStyle name="Date 13 2 2" xfId="7183" xr:uid="{00000000-0005-0000-0000-0000101C0000}"/>
    <cellStyle name="Date 13 2 2 2" xfId="7184" xr:uid="{00000000-0005-0000-0000-0000111C0000}"/>
    <cellStyle name="Date 13 2 2 3" xfId="7185" xr:uid="{00000000-0005-0000-0000-0000121C0000}"/>
    <cellStyle name="Date 13 2 3" xfId="7186" xr:uid="{00000000-0005-0000-0000-0000131C0000}"/>
    <cellStyle name="Date 13 2 3 2" xfId="7187" xr:uid="{00000000-0005-0000-0000-0000141C0000}"/>
    <cellStyle name="Date 13 2 3 3" xfId="7188" xr:uid="{00000000-0005-0000-0000-0000151C0000}"/>
    <cellStyle name="Date 13 2 4" xfId="7189" xr:uid="{00000000-0005-0000-0000-0000161C0000}"/>
    <cellStyle name="Date 13 2 5" xfId="7190" xr:uid="{00000000-0005-0000-0000-0000171C0000}"/>
    <cellStyle name="Date 13 2 6" xfId="7191" xr:uid="{00000000-0005-0000-0000-0000181C0000}"/>
    <cellStyle name="Date 13 3" xfId="7192" xr:uid="{00000000-0005-0000-0000-0000191C0000}"/>
    <cellStyle name="Date 13 3 2" xfId="7193" xr:uid="{00000000-0005-0000-0000-00001A1C0000}"/>
    <cellStyle name="Date 13 3 3" xfId="7194" xr:uid="{00000000-0005-0000-0000-00001B1C0000}"/>
    <cellStyle name="Date 13 4" xfId="7195" xr:uid="{00000000-0005-0000-0000-00001C1C0000}"/>
    <cellStyle name="Date 13 4 2" xfId="7196" xr:uid="{00000000-0005-0000-0000-00001D1C0000}"/>
    <cellStyle name="Date 13 4 3" xfId="7197" xr:uid="{00000000-0005-0000-0000-00001E1C0000}"/>
    <cellStyle name="Date 13 5" xfId="7198" xr:uid="{00000000-0005-0000-0000-00001F1C0000}"/>
    <cellStyle name="Date 13 5 2" xfId="7199" xr:uid="{00000000-0005-0000-0000-0000201C0000}"/>
    <cellStyle name="Date 13 5 3" xfId="7200" xr:uid="{00000000-0005-0000-0000-0000211C0000}"/>
    <cellStyle name="Date 13 6" xfId="7201" xr:uid="{00000000-0005-0000-0000-0000221C0000}"/>
    <cellStyle name="Date 13 7" xfId="7202" xr:uid="{00000000-0005-0000-0000-0000231C0000}"/>
    <cellStyle name="Date 13 8" xfId="7203" xr:uid="{00000000-0005-0000-0000-0000241C0000}"/>
    <cellStyle name="Date 14" xfId="7204" xr:uid="{00000000-0005-0000-0000-0000251C0000}"/>
    <cellStyle name="Date 14 2" xfId="7205" xr:uid="{00000000-0005-0000-0000-0000261C0000}"/>
    <cellStyle name="Date 14 2 2" xfId="7206" xr:uid="{00000000-0005-0000-0000-0000271C0000}"/>
    <cellStyle name="Date 14 2 2 2" xfId="7207" xr:uid="{00000000-0005-0000-0000-0000281C0000}"/>
    <cellStyle name="Date 14 2 2 3" xfId="7208" xr:uid="{00000000-0005-0000-0000-0000291C0000}"/>
    <cellStyle name="Date 14 2 3" xfId="7209" xr:uid="{00000000-0005-0000-0000-00002A1C0000}"/>
    <cellStyle name="Date 14 2 3 2" xfId="7210" xr:uid="{00000000-0005-0000-0000-00002B1C0000}"/>
    <cellStyle name="Date 14 2 3 3" xfId="7211" xr:uid="{00000000-0005-0000-0000-00002C1C0000}"/>
    <cellStyle name="Date 14 2 4" xfId="7212" xr:uid="{00000000-0005-0000-0000-00002D1C0000}"/>
    <cellStyle name="Date 14 2 5" xfId="7213" xr:uid="{00000000-0005-0000-0000-00002E1C0000}"/>
    <cellStyle name="Date 14 2 6" xfId="7214" xr:uid="{00000000-0005-0000-0000-00002F1C0000}"/>
    <cellStyle name="Date 14 3" xfId="7215" xr:uid="{00000000-0005-0000-0000-0000301C0000}"/>
    <cellStyle name="Date 14 3 2" xfId="7216" xr:uid="{00000000-0005-0000-0000-0000311C0000}"/>
    <cellStyle name="Date 14 3 3" xfId="7217" xr:uid="{00000000-0005-0000-0000-0000321C0000}"/>
    <cellStyle name="Date 14 4" xfId="7218" xr:uid="{00000000-0005-0000-0000-0000331C0000}"/>
    <cellStyle name="Date 14 4 2" xfId="7219" xr:uid="{00000000-0005-0000-0000-0000341C0000}"/>
    <cellStyle name="Date 14 4 3" xfId="7220" xr:uid="{00000000-0005-0000-0000-0000351C0000}"/>
    <cellStyle name="Date 14 5" xfId="7221" xr:uid="{00000000-0005-0000-0000-0000361C0000}"/>
    <cellStyle name="Date 14 5 2" xfId="7222" xr:uid="{00000000-0005-0000-0000-0000371C0000}"/>
    <cellStyle name="Date 14 5 3" xfId="7223" xr:uid="{00000000-0005-0000-0000-0000381C0000}"/>
    <cellStyle name="Date 14 6" xfId="7224" xr:uid="{00000000-0005-0000-0000-0000391C0000}"/>
    <cellStyle name="Date 14 7" xfId="7225" xr:uid="{00000000-0005-0000-0000-00003A1C0000}"/>
    <cellStyle name="Date 14 8" xfId="7226" xr:uid="{00000000-0005-0000-0000-00003B1C0000}"/>
    <cellStyle name="Date 15" xfId="7227" xr:uid="{00000000-0005-0000-0000-00003C1C0000}"/>
    <cellStyle name="Date 15 2" xfId="7228" xr:uid="{00000000-0005-0000-0000-00003D1C0000}"/>
    <cellStyle name="Date 15 2 2" xfId="7229" xr:uid="{00000000-0005-0000-0000-00003E1C0000}"/>
    <cellStyle name="Date 15 2 2 2" xfId="7230" xr:uid="{00000000-0005-0000-0000-00003F1C0000}"/>
    <cellStyle name="Date 15 2 2 3" xfId="7231" xr:uid="{00000000-0005-0000-0000-0000401C0000}"/>
    <cellStyle name="Date 15 2 3" xfId="7232" xr:uid="{00000000-0005-0000-0000-0000411C0000}"/>
    <cellStyle name="Date 15 2 3 2" xfId="7233" xr:uid="{00000000-0005-0000-0000-0000421C0000}"/>
    <cellStyle name="Date 15 2 3 3" xfId="7234" xr:uid="{00000000-0005-0000-0000-0000431C0000}"/>
    <cellStyle name="Date 15 2 4" xfId="7235" xr:uid="{00000000-0005-0000-0000-0000441C0000}"/>
    <cellStyle name="Date 15 2 5" xfId="7236" xr:uid="{00000000-0005-0000-0000-0000451C0000}"/>
    <cellStyle name="Date 15 2 6" xfId="7237" xr:uid="{00000000-0005-0000-0000-0000461C0000}"/>
    <cellStyle name="Date 15 3" xfId="7238" xr:uid="{00000000-0005-0000-0000-0000471C0000}"/>
    <cellStyle name="Date 15 3 2" xfId="7239" xr:uid="{00000000-0005-0000-0000-0000481C0000}"/>
    <cellStyle name="Date 15 3 3" xfId="7240" xr:uid="{00000000-0005-0000-0000-0000491C0000}"/>
    <cellStyle name="Date 15 4" xfId="7241" xr:uid="{00000000-0005-0000-0000-00004A1C0000}"/>
    <cellStyle name="Date 15 4 2" xfId="7242" xr:uid="{00000000-0005-0000-0000-00004B1C0000}"/>
    <cellStyle name="Date 15 4 3" xfId="7243" xr:uid="{00000000-0005-0000-0000-00004C1C0000}"/>
    <cellStyle name="Date 15 5" xfId="7244" xr:uid="{00000000-0005-0000-0000-00004D1C0000}"/>
    <cellStyle name="Date 15 5 2" xfId="7245" xr:uid="{00000000-0005-0000-0000-00004E1C0000}"/>
    <cellStyle name="Date 15 5 3" xfId="7246" xr:uid="{00000000-0005-0000-0000-00004F1C0000}"/>
    <cellStyle name="Date 15 6" xfId="7247" xr:uid="{00000000-0005-0000-0000-0000501C0000}"/>
    <cellStyle name="Date 15 7" xfId="7248" xr:uid="{00000000-0005-0000-0000-0000511C0000}"/>
    <cellStyle name="Date 15 8" xfId="7249" xr:uid="{00000000-0005-0000-0000-0000521C0000}"/>
    <cellStyle name="Date 16" xfId="7250" xr:uid="{00000000-0005-0000-0000-0000531C0000}"/>
    <cellStyle name="Date 16 2" xfId="7251" xr:uid="{00000000-0005-0000-0000-0000541C0000}"/>
    <cellStyle name="Date 16 2 2" xfId="7252" xr:uid="{00000000-0005-0000-0000-0000551C0000}"/>
    <cellStyle name="Date 16 2 3" xfId="7253" xr:uid="{00000000-0005-0000-0000-0000561C0000}"/>
    <cellStyle name="Date 16 3" xfId="7254" xr:uid="{00000000-0005-0000-0000-0000571C0000}"/>
    <cellStyle name="Date 16 3 2" xfId="7255" xr:uid="{00000000-0005-0000-0000-0000581C0000}"/>
    <cellStyle name="Date 16 3 3" xfId="7256" xr:uid="{00000000-0005-0000-0000-0000591C0000}"/>
    <cellStyle name="Date 16 4" xfId="7257" xr:uid="{00000000-0005-0000-0000-00005A1C0000}"/>
    <cellStyle name="Date 16 5" xfId="7258" xr:uid="{00000000-0005-0000-0000-00005B1C0000}"/>
    <cellStyle name="Date 16 6" xfId="7259" xr:uid="{00000000-0005-0000-0000-00005C1C0000}"/>
    <cellStyle name="Date 17" xfId="7260" xr:uid="{00000000-0005-0000-0000-00005D1C0000}"/>
    <cellStyle name="Date 17 2" xfId="7261" xr:uid="{00000000-0005-0000-0000-00005E1C0000}"/>
    <cellStyle name="Date 17 3" xfId="7262" xr:uid="{00000000-0005-0000-0000-00005F1C0000}"/>
    <cellStyle name="Date 18" xfId="7263" xr:uid="{00000000-0005-0000-0000-0000601C0000}"/>
    <cellStyle name="Date 18 2" xfId="7264" xr:uid="{00000000-0005-0000-0000-0000611C0000}"/>
    <cellStyle name="Date 18 3" xfId="7265" xr:uid="{00000000-0005-0000-0000-0000621C0000}"/>
    <cellStyle name="Date 19" xfId="7266" xr:uid="{00000000-0005-0000-0000-0000631C0000}"/>
    <cellStyle name="Date 19 2" xfId="7267" xr:uid="{00000000-0005-0000-0000-0000641C0000}"/>
    <cellStyle name="Date 19 3" xfId="7268" xr:uid="{00000000-0005-0000-0000-0000651C0000}"/>
    <cellStyle name="Date 2" xfId="7269" xr:uid="{00000000-0005-0000-0000-0000661C0000}"/>
    <cellStyle name="Date 2 10" xfId="7270" xr:uid="{00000000-0005-0000-0000-0000671C0000}"/>
    <cellStyle name="Date 2 11" xfId="7271" xr:uid="{00000000-0005-0000-0000-0000681C0000}"/>
    <cellStyle name="Date 2 12" xfId="7272" xr:uid="{00000000-0005-0000-0000-0000691C0000}"/>
    <cellStyle name="Date 2 2" xfId="7273" xr:uid="{00000000-0005-0000-0000-00006A1C0000}"/>
    <cellStyle name="Date 2 2 10" xfId="7274" xr:uid="{00000000-0005-0000-0000-00006B1C0000}"/>
    <cellStyle name="Date 2 2 2" xfId="7275" xr:uid="{00000000-0005-0000-0000-00006C1C0000}"/>
    <cellStyle name="Date 2 2 2 2" xfId="7276" xr:uid="{00000000-0005-0000-0000-00006D1C0000}"/>
    <cellStyle name="Date 2 2 2 2 2" xfId="7277" xr:uid="{00000000-0005-0000-0000-00006E1C0000}"/>
    <cellStyle name="Date 2 2 2 2 2 2" xfId="7278" xr:uid="{00000000-0005-0000-0000-00006F1C0000}"/>
    <cellStyle name="Date 2 2 2 2 2 3" xfId="7279" xr:uid="{00000000-0005-0000-0000-0000701C0000}"/>
    <cellStyle name="Date 2 2 2 2 3" xfId="7280" xr:uid="{00000000-0005-0000-0000-0000711C0000}"/>
    <cellStyle name="Date 2 2 2 2 3 2" xfId="7281" xr:uid="{00000000-0005-0000-0000-0000721C0000}"/>
    <cellStyle name="Date 2 2 2 2 3 3" xfId="7282" xr:uid="{00000000-0005-0000-0000-0000731C0000}"/>
    <cellStyle name="Date 2 2 2 2 4" xfId="7283" xr:uid="{00000000-0005-0000-0000-0000741C0000}"/>
    <cellStyle name="Date 2 2 2 2 5" xfId="7284" xr:uid="{00000000-0005-0000-0000-0000751C0000}"/>
    <cellStyle name="Date 2 2 2 2 6" xfId="7285" xr:uid="{00000000-0005-0000-0000-0000761C0000}"/>
    <cellStyle name="Date 2 2 2 3" xfId="7286" xr:uid="{00000000-0005-0000-0000-0000771C0000}"/>
    <cellStyle name="Date 2 2 2 3 2" xfId="7287" xr:uid="{00000000-0005-0000-0000-0000781C0000}"/>
    <cellStyle name="Date 2 2 2 3 3" xfId="7288" xr:uid="{00000000-0005-0000-0000-0000791C0000}"/>
    <cellStyle name="Date 2 2 2 4" xfId="7289" xr:uid="{00000000-0005-0000-0000-00007A1C0000}"/>
    <cellStyle name="Date 2 2 2 4 2" xfId="7290" xr:uid="{00000000-0005-0000-0000-00007B1C0000}"/>
    <cellStyle name="Date 2 2 2 4 3" xfId="7291" xr:uid="{00000000-0005-0000-0000-00007C1C0000}"/>
    <cellStyle name="Date 2 2 2 5" xfId="7292" xr:uid="{00000000-0005-0000-0000-00007D1C0000}"/>
    <cellStyle name="Date 2 2 2 5 2" xfId="7293" xr:uid="{00000000-0005-0000-0000-00007E1C0000}"/>
    <cellStyle name="Date 2 2 2 5 3" xfId="7294" xr:uid="{00000000-0005-0000-0000-00007F1C0000}"/>
    <cellStyle name="Date 2 2 2 6" xfId="7295" xr:uid="{00000000-0005-0000-0000-0000801C0000}"/>
    <cellStyle name="Date 2 2 2 7" xfId="7296" xr:uid="{00000000-0005-0000-0000-0000811C0000}"/>
    <cellStyle name="Date 2 2 2 8" xfId="7297" xr:uid="{00000000-0005-0000-0000-0000821C0000}"/>
    <cellStyle name="Date 2 2 3" xfId="7298" xr:uid="{00000000-0005-0000-0000-0000831C0000}"/>
    <cellStyle name="Date 2 2 3 2" xfId="7299" xr:uid="{00000000-0005-0000-0000-0000841C0000}"/>
    <cellStyle name="Date 2 2 3 2 2" xfId="7300" xr:uid="{00000000-0005-0000-0000-0000851C0000}"/>
    <cellStyle name="Date 2 2 3 2 2 2" xfId="7301" xr:uid="{00000000-0005-0000-0000-0000861C0000}"/>
    <cellStyle name="Date 2 2 3 2 2 3" xfId="7302" xr:uid="{00000000-0005-0000-0000-0000871C0000}"/>
    <cellStyle name="Date 2 2 3 2 3" xfId="7303" xr:uid="{00000000-0005-0000-0000-0000881C0000}"/>
    <cellStyle name="Date 2 2 3 2 3 2" xfId="7304" xr:uid="{00000000-0005-0000-0000-0000891C0000}"/>
    <cellStyle name="Date 2 2 3 2 3 3" xfId="7305" xr:uid="{00000000-0005-0000-0000-00008A1C0000}"/>
    <cellStyle name="Date 2 2 3 2 4" xfId="7306" xr:uid="{00000000-0005-0000-0000-00008B1C0000}"/>
    <cellStyle name="Date 2 2 3 2 5" xfId="7307" xr:uid="{00000000-0005-0000-0000-00008C1C0000}"/>
    <cellStyle name="Date 2 2 3 2 6" xfId="7308" xr:uid="{00000000-0005-0000-0000-00008D1C0000}"/>
    <cellStyle name="Date 2 2 3 3" xfId="7309" xr:uid="{00000000-0005-0000-0000-00008E1C0000}"/>
    <cellStyle name="Date 2 2 3 3 2" xfId="7310" xr:uid="{00000000-0005-0000-0000-00008F1C0000}"/>
    <cellStyle name="Date 2 2 3 3 3" xfId="7311" xr:uid="{00000000-0005-0000-0000-0000901C0000}"/>
    <cellStyle name="Date 2 2 3 4" xfId="7312" xr:uid="{00000000-0005-0000-0000-0000911C0000}"/>
    <cellStyle name="Date 2 2 3 4 2" xfId="7313" xr:uid="{00000000-0005-0000-0000-0000921C0000}"/>
    <cellStyle name="Date 2 2 3 4 3" xfId="7314" xr:uid="{00000000-0005-0000-0000-0000931C0000}"/>
    <cellStyle name="Date 2 2 3 5" xfId="7315" xr:uid="{00000000-0005-0000-0000-0000941C0000}"/>
    <cellStyle name="Date 2 2 3 5 2" xfId="7316" xr:uid="{00000000-0005-0000-0000-0000951C0000}"/>
    <cellStyle name="Date 2 2 3 5 3" xfId="7317" xr:uid="{00000000-0005-0000-0000-0000961C0000}"/>
    <cellStyle name="Date 2 2 3 6" xfId="7318" xr:uid="{00000000-0005-0000-0000-0000971C0000}"/>
    <cellStyle name="Date 2 2 3 7" xfId="7319" xr:uid="{00000000-0005-0000-0000-0000981C0000}"/>
    <cellStyle name="Date 2 2 3 8" xfId="7320" xr:uid="{00000000-0005-0000-0000-0000991C0000}"/>
    <cellStyle name="Date 2 2 4" xfId="7321" xr:uid="{00000000-0005-0000-0000-00009A1C0000}"/>
    <cellStyle name="Date 2 2 4 2" xfId="7322" xr:uid="{00000000-0005-0000-0000-00009B1C0000}"/>
    <cellStyle name="Date 2 2 4 2 2" xfId="7323" xr:uid="{00000000-0005-0000-0000-00009C1C0000}"/>
    <cellStyle name="Date 2 2 4 2 3" xfId="7324" xr:uid="{00000000-0005-0000-0000-00009D1C0000}"/>
    <cellStyle name="Date 2 2 4 3" xfId="7325" xr:uid="{00000000-0005-0000-0000-00009E1C0000}"/>
    <cellStyle name="Date 2 2 4 3 2" xfId="7326" xr:uid="{00000000-0005-0000-0000-00009F1C0000}"/>
    <cellStyle name="Date 2 2 4 3 3" xfId="7327" xr:uid="{00000000-0005-0000-0000-0000A01C0000}"/>
    <cellStyle name="Date 2 2 4 4" xfId="7328" xr:uid="{00000000-0005-0000-0000-0000A11C0000}"/>
    <cellStyle name="Date 2 2 4 5" xfId="7329" xr:uid="{00000000-0005-0000-0000-0000A21C0000}"/>
    <cellStyle name="Date 2 2 4 6" xfId="7330" xr:uid="{00000000-0005-0000-0000-0000A31C0000}"/>
    <cellStyle name="Date 2 2 5" xfId="7331" xr:uid="{00000000-0005-0000-0000-0000A41C0000}"/>
    <cellStyle name="Date 2 2 5 2" xfId="7332" xr:uid="{00000000-0005-0000-0000-0000A51C0000}"/>
    <cellStyle name="Date 2 2 5 3" xfId="7333" xr:uid="{00000000-0005-0000-0000-0000A61C0000}"/>
    <cellStyle name="Date 2 2 6" xfId="7334" xr:uid="{00000000-0005-0000-0000-0000A71C0000}"/>
    <cellStyle name="Date 2 2 6 2" xfId="7335" xr:uid="{00000000-0005-0000-0000-0000A81C0000}"/>
    <cellStyle name="Date 2 2 6 3" xfId="7336" xr:uid="{00000000-0005-0000-0000-0000A91C0000}"/>
    <cellStyle name="Date 2 2 7" xfId="7337" xr:uid="{00000000-0005-0000-0000-0000AA1C0000}"/>
    <cellStyle name="Date 2 2 7 2" xfId="7338" xr:uid="{00000000-0005-0000-0000-0000AB1C0000}"/>
    <cellStyle name="Date 2 2 7 3" xfId="7339" xr:uid="{00000000-0005-0000-0000-0000AC1C0000}"/>
    <cellStyle name="Date 2 2 8" xfId="7340" xr:uid="{00000000-0005-0000-0000-0000AD1C0000}"/>
    <cellStyle name="Date 2 2 9" xfId="7341" xr:uid="{00000000-0005-0000-0000-0000AE1C0000}"/>
    <cellStyle name="Date 2 3" xfId="7342" xr:uid="{00000000-0005-0000-0000-0000AF1C0000}"/>
    <cellStyle name="Date 2 3 2" xfId="7343" xr:uid="{00000000-0005-0000-0000-0000B01C0000}"/>
    <cellStyle name="Date 2 3 2 2" xfId="7344" xr:uid="{00000000-0005-0000-0000-0000B11C0000}"/>
    <cellStyle name="Date 2 3 2 2 2" xfId="7345" xr:uid="{00000000-0005-0000-0000-0000B21C0000}"/>
    <cellStyle name="Date 2 3 2 2 3" xfId="7346" xr:uid="{00000000-0005-0000-0000-0000B31C0000}"/>
    <cellStyle name="Date 2 3 2 3" xfId="7347" xr:uid="{00000000-0005-0000-0000-0000B41C0000}"/>
    <cellStyle name="Date 2 3 2 3 2" xfId="7348" xr:uid="{00000000-0005-0000-0000-0000B51C0000}"/>
    <cellStyle name="Date 2 3 2 3 3" xfId="7349" xr:uid="{00000000-0005-0000-0000-0000B61C0000}"/>
    <cellStyle name="Date 2 3 2 4" xfId="7350" xr:uid="{00000000-0005-0000-0000-0000B71C0000}"/>
    <cellStyle name="Date 2 3 2 5" xfId="7351" xr:uid="{00000000-0005-0000-0000-0000B81C0000}"/>
    <cellStyle name="Date 2 3 2 6" xfId="7352" xr:uid="{00000000-0005-0000-0000-0000B91C0000}"/>
    <cellStyle name="Date 2 3 3" xfId="7353" xr:uid="{00000000-0005-0000-0000-0000BA1C0000}"/>
    <cellStyle name="Date 2 3 3 2" xfId="7354" xr:uid="{00000000-0005-0000-0000-0000BB1C0000}"/>
    <cellStyle name="Date 2 3 3 3" xfId="7355" xr:uid="{00000000-0005-0000-0000-0000BC1C0000}"/>
    <cellStyle name="Date 2 3 4" xfId="7356" xr:uid="{00000000-0005-0000-0000-0000BD1C0000}"/>
    <cellStyle name="Date 2 3 4 2" xfId="7357" xr:uid="{00000000-0005-0000-0000-0000BE1C0000}"/>
    <cellStyle name="Date 2 3 4 3" xfId="7358" xr:uid="{00000000-0005-0000-0000-0000BF1C0000}"/>
    <cellStyle name="Date 2 3 5" xfId="7359" xr:uid="{00000000-0005-0000-0000-0000C01C0000}"/>
    <cellStyle name="Date 2 3 5 2" xfId="7360" xr:uid="{00000000-0005-0000-0000-0000C11C0000}"/>
    <cellStyle name="Date 2 3 5 3" xfId="7361" xr:uid="{00000000-0005-0000-0000-0000C21C0000}"/>
    <cellStyle name="Date 2 3 6" xfId="7362" xr:uid="{00000000-0005-0000-0000-0000C31C0000}"/>
    <cellStyle name="Date 2 3 7" xfId="7363" xr:uid="{00000000-0005-0000-0000-0000C41C0000}"/>
    <cellStyle name="Date 2 3 8" xfId="7364" xr:uid="{00000000-0005-0000-0000-0000C51C0000}"/>
    <cellStyle name="Date 2 4" xfId="7365" xr:uid="{00000000-0005-0000-0000-0000C61C0000}"/>
    <cellStyle name="Date 2 4 2" xfId="7366" xr:uid="{00000000-0005-0000-0000-0000C71C0000}"/>
    <cellStyle name="Date 2 4 2 2" xfId="7367" xr:uid="{00000000-0005-0000-0000-0000C81C0000}"/>
    <cellStyle name="Date 2 4 2 2 2" xfId="7368" xr:uid="{00000000-0005-0000-0000-0000C91C0000}"/>
    <cellStyle name="Date 2 4 2 2 3" xfId="7369" xr:uid="{00000000-0005-0000-0000-0000CA1C0000}"/>
    <cellStyle name="Date 2 4 2 3" xfId="7370" xr:uid="{00000000-0005-0000-0000-0000CB1C0000}"/>
    <cellStyle name="Date 2 4 2 3 2" xfId="7371" xr:uid="{00000000-0005-0000-0000-0000CC1C0000}"/>
    <cellStyle name="Date 2 4 2 3 3" xfId="7372" xr:uid="{00000000-0005-0000-0000-0000CD1C0000}"/>
    <cellStyle name="Date 2 4 2 4" xfId="7373" xr:uid="{00000000-0005-0000-0000-0000CE1C0000}"/>
    <cellStyle name="Date 2 4 2 5" xfId="7374" xr:uid="{00000000-0005-0000-0000-0000CF1C0000}"/>
    <cellStyle name="Date 2 4 2 6" xfId="7375" xr:uid="{00000000-0005-0000-0000-0000D01C0000}"/>
    <cellStyle name="Date 2 4 3" xfId="7376" xr:uid="{00000000-0005-0000-0000-0000D11C0000}"/>
    <cellStyle name="Date 2 4 3 2" xfId="7377" xr:uid="{00000000-0005-0000-0000-0000D21C0000}"/>
    <cellStyle name="Date 2 4 3 3" xfId="7378" xr:uid="{00000000-0005-0000-0000-0000D31C0000}"/>
    <cellStyle name="Date 2 4 4" xfId="7379" xr:uid="{00000000-0005-0000-0000-0000D41C0000}"/>
    <cellStyle name="Date 2 4 4 2" xfId="7380" xr:uid="{00000000-0005-0000-0000-0000D51C0000}"/>
    <cellStyle name="Date 2 4 4 3" xfId="7381" xr:uid="{00000000-0005-0000-0000-0000D61C0000}"/>
    <cellStyle name="Date 2 4 5" xfId="7382" xr:uid="{00000000-0005-0000-0000-0000D71C0000}"/>
    <cellStyle name="Date 2 4 5 2" xfId="7383" xr:uid="{00000000-0005-0000-0000-0000D81C0000}"/>
    <cellStyle name="Date 2 4 5 3" xfId="7384" xr:uid="{00000000-0005-0000-0000-0000D91C0000}"/>
    <cellStyle name="Date 2 4 6" xfId="7385" xr:uid="{00000000-0005-0000-0000-0000DA1C0000}"/>
    <cellStyle name="Date 2 4 7" xfId="7386" xr:uid="{00000000-0005-0000-0000-0000DB1C0000}"/>
    <cellStyle name="Date 2 4 8" xfId="7387" xr:uid="{00000000-0005-0000-0000-0000DC1C0000}"/>
    <cellStyle name="Date 2 5" xfId="7388" xr:uid="{00000000-0005-0000-0000-0000DD1C0000}"/>
    <cellStyle name="Date 2 5 2" xfId="7389" xr:uid="{00000000-0005-0000-0000-0000DE1C0000}"/>
    <cellStyle name="Date 2 5 2 2" xfId="7390" xr:uid="{00000000-0005-0000-0000-0000DF1C0000}"/>
    <cellStyle name="Date 2 5 2 2 2" xfId="7391" xr:uid="{00000000-0005-0000-0000-0000E01C0000}"/>
    <cellStyle name="Date 2 5 2 2 3" xfId="7392" xr:uid="{00000000-0005-0000-0000-0000E11C0000}"/>
    <cellStyle name="Date 2 5 2 3" xfId="7393" xr:uid="{00000000-0005-0000-0000-0000E21C0000}"/>
    <cellStyle name="Date 2 5 2 3 2" xfId="7394" xr:uid="{00000000-0005-0000-0000-0000E31C0000}"/>
    <cellStyle name="Date 2 5 2 3 3" xfId="7395" xr:uid="{00000000-0005-0000-0000-0000E41C0000}"/>
    <cellStyle name="Date 2 5 2 4" xfId="7396" xr:uid="{00000000-0005-0000-0000-0000E51C0000}"/>
    <cellStyle name="Date 2 5 2 5" xfId="7397" xr:uid="{00000000-0005-0000-0000-0000E61C0000}"/>
    <cellStyle name="Date 2 5 2 6" xfId="7398" xr:uid="{00000000-0005-0000-0000-0000E71C0000}"/>
    <cellStyle name="Date 2 5 3" xfId="7399" xr:uid="{00000000-0005-0000-0000-0000E81C0000}"/>
    <cellStyle name="Date 2 5 3 2" xfId="7400" xr:uid="{00000000-0005-0000-0000-0000E91C0000}"/>
    <cellStyle name="Date 2 5 3 3" xfId="7401" xr:uid="{00000000-0005-0000-0000-0000EA1C0000}"/>
    <cellStyle name="Date 2 5 4" xfId="7402" xr:uid="{00000000-0005-0000-0000-0000EB1C0000}"/>
    <cellStyle name="Date 2 5 4 2" xfId="7403" xr:uid="{00000000-0005-0000-0000-0000EC1C0000}"/>
    <cellStyle name="Date 2 5 4 3" xfId="7404" xr:uid="{00000000-0005-0000-0000-0000ED1C0000}"/>
    <cellStyle name="Date 2 5 5" xfId="7405" xr:uid="{00000000-0005-0000-0000-0000EE1C0000}"/>
    <cellStyle name="Date 2 5 5 2" xfId="7406" xr:uid="{00000000-0005-0000-0000-0000EF1C0000}"/>
    <cellStyle name="Date 2 5 5 3" xfId="7407" xr:uid="{00000000-0005-0000-0000-0000F01C0000}"/>
    <cellStyle name="Date 2 5 6" xfId="7408" xr:uid="{00000000-0005-0000-0000-0000F11C0000}"/>
    <cellStyle name="Date 2 5 7" xfId="7409" xr:uid="{00000000-0005-0000-0000-0000F21C0000}"/>
    <cellStyle name="Date 2 5 8" xfId="7410" xr:uid="{00000000-0005-0000-0000-0000F31C0000}"/>
    <cellStyle name="Date 2 6" xfId="7411" xr:uid="{00000000-0005-0000-0000-0000F41C0000}"/>
    <cellStyle name="Date 2 6 2" xfId="7412" xr:uid="{00000000-0005-0000-0000-0000F51C0000}"/>
    <cellStyle name="Date 2 6 2 2" xfId="7413" xr:uid="{00000000-0005-0000-0000-0000F61C0000}"/>
    <cellStyle name="Date 2 6 2 3" xfId="7414" xr:uid="{00000000-0005-0000-0000-0000F71C0000}"/>
    <cellStyle name="Date 2 6 3" xfId="7415" xr:uid="{00000000-0005-0000-0000-0000F81C0000}"/>
    <cellStyle name="Date 2 6 3 2" xfId="7416" xr:uid="{00000000-0005-0000-0000-0000F91C0000}"/>
    <cellStyle name="Date 2 6 3 3" xfId="7417" xr:uid="{00000000-0005-0000-0000-0000FA1C0000}"/>
    <cellStyle name="Date 2 6 4" xfId="7418" xr:uid="{00000000-0005-0000-0000-0000FB1C0000}"/>
    <cellStyle name="Date 2 6 5" xfId="7419" xr:uid="{00000000-0005-0000-0000-0000FC1C0000}"/>
    <cellStyle name="Date 2 6 6" xfId="7420" xr:uid="{00000000-0005-0000-0000-0000FD1C0000}"/>
    <cellStyle name="Date 2 7" xfId="7421" xr:uid="{00000000-0005-0000-0000-0000FE1C0000}"/>
    <cellStyle name="Date 2 7 2" xfId="7422" xr:uid="{00000000-0005-0000-0000-0000FF1C0000}"/>
    <cellStyle name="Date 2 7 3" xfId="7423" xr:uid="{00000000-0005-0000-0000-0000001D0000}"/>
    <cellStyle name="Date 2 7 4" xfId="7424" xr:uid="{00000000-0005-0000-0000-0000011D0000}"/>
    <cellStyle name="Date 2 8" xfId="7425" xr:uid="{00000000-0005-0000-0000-0000021D0000}"/>
    <cellStyle name="Date 2 8 2" xfId="7426" xr:uid="{00000000-0005-0000-0000-0000031D0000}"/>
    <cellStyle name="Date 2 8 3" xfId="7427" xr:uid="{00000000-0005-0000-0000-0000041D0000}"/>
    <cellStyle name="Date 2 9" xfId="7428" xr:uid="{00000000-0005-0000-0000-0000051D0000}"/>
    <cellStyle name="Date 2 9 2" xfId="7429" xr:uid="{00000000-0005-0000-0000-0000061D0000}"/>
    <cellStyle name="Date 2 9 3" xfId="7430" xr:uid="{00000000-0005-0000-0000-0000071D0000}"/>
    <cellStyle name="Date 20" xfId="7431" xr:uid="{00000000-0005-0000-0000-0000081D0000}"/>
    <cellStyle name="Date 21" xfId="7432" xr:uid="{00000000-0005-0000-0000-0000091D0000}"/>
    <cellStyle name="Date 22" xfId="7433" xr:uid="{00000000-0005-0000-0000-00000A1D0000}"/>
    <cellStyle name="Date 3" xfId="7434" xr:uid="{00000000-0005-0000-0000-00000B1D0000}"/>
    <cellStyle name="Date 3 10" xfId="7435" xr:uid="{00000000-0005-0000-0000-00000C1D0000}"/>
    <cellStyle name="Date 3 11" xfId="7436" xr:uid="{00000000-0005-0000-0000-00000D1D0000}"/>
    <cellStyle name="Date 3 12" xfId="7437" xr:uid="{00000000-0005-0000-0000-00000E1D0000}"/>
    <cellStyle name="Date 3 2" xfId="7438" xr:uid="{00000000-0005-0000-0000-00000F1D0000}"/>
    <cellStyle name="Date 3 2 10" xfId="7439" xr:uid="{00000000-0005-0000-0000-0000101D0000}"/>
    <cellStyle name="Date 3 2 2" xfId="7440" xr:uid="{00000000-0005-0000-0000-0000111D0000}"/>
    <cellStyle name="Date 3 2 2 2" xfId="7441" xr:uid="{00000000-0005-0000-0000-0000121D0000}"/>
    <cellStyle name="Date 3 2 2 2 2" xfId="7442" xr:uid="{00000000-0005-0000-0000-0000131D0000}"/>
    <cellStyle name="Date 3 2 2 2 2 2" xfId="7443" xr:uid="{00000000-0005-0000-0000-0000141D0000}"/>
    <cellStyle name="Date 3 2 2 2 2 3" xfId="7444" xr:uid="{00000000-0005-0000-0000-0000151D0000}"/>
    <cellStyle name="Date 3 2 2 2 3" xfId="7445" xr:uid="{00000000-0005-0000-0000-0000161D0000}"/>
    <cellStyle name="Date 3 2 2 2 3 2" xfId="7446" xr:uid="{00000000-0005-0000-0000-0000171D0000}"/>
    <cellStyle name="Date 3 2 2 2 3 3" xfId="7447" xr:uid="{00000000-0005-0000-0000-0000181D0000}"/>
    <cellStyle name="Date 3 2 2 2 4" xfId="7448" xr:uid="{00000000-0005-0000-0000-0000191D0000}"/>
    <cellStyle name="Date 3 2 2 2 5" xfId="7449" xr:uid="{00000000-0005-0000-0000-00001A1D0000}"/>
    <cellStyle name="Date 3 2 2 2 6" xfId="7450" xr:uid="{00000000-0005-0000-0000-00001B1D0000}"/>
    <cellStyle name="Date 3 2 2 3" xfId="7451" xr:uid="{00000000-0005-0000-0000-00001C1D0000}"/>
    <cellStyle name="Date 3 2 2 3 2" xfId="7452" xr:uid="{00000000-0005-0000-0000-00001D1D0000}"/>
    <cellStyle name="Date 3 2 2 3 3" xfId="7453" xr:uid="{00000000-0005-0000-0000-00001E1D0000}"/>
    <cellStyle name="Date 3 2 2 4" xfId="7454" xr:uid="{00000000-0005-0000-0000-00001F1D0000}"/>
    <cellStyle name="Date 3 2 2 4 2" xfId="7455" xr:uid="{00000000-0005-0000-0000-0000201D0000}"/>
    <cellStyle name="Date 3 2 2 4 3" xfId="7456" xr:uid="{00000000-0005-0000-0000-0000211D0000}"/>
    <cellStyle name="Date 3 2 2 5" xfId="7457" xr:uid="{00000000-0005-0000-0000-0000221D0000}"/>
    <cellStyle name="Date 3 2 2 5 2" xfId="7458" xr:uid="{00000000-0005-0000-0000-0000231D0000}"/>
    <cellStyle name="Date 3 2 2 5 3" xfId="7459" xr:uid="{00000000-0005-0000-0000-0000241D0000}"/>
    <cellStyle name="Date 3 2 2 6" xfId="7460" xr:uid="{00000000-0005-0000-0000-0000251D0000}"/>
    <cellStyle name="Date 3 2 2 7" xfId="7461" xr:uid="{00000000-0005-0000-0000-0000261D0000}"/>
    <cellStyle name="Date 3 2 2 8" xfId="7462" xr:uid="{00000000-0005-0000-0000-0000271D0000}"/>
    <cellStyle name="Date 3 2 3" xfId="7463" xr:uid="{00000000-0005-0000-0000-0000281D0000}"/>
    <cellStyle name="Date 3 2 3 2" xfId="7464" xr:uid="{00000000-0005-0000-0000-0000291D0000}"/>
    <cellStyle name="Date 3 2 3 2 2" xfId="7465" xr:uid="{00000000-0005-0000-0000-00002A1D0000}"/>
    <cellStyle name="Date 3 2 3 2 2 2" xfId="7466" xr:uid="{00000000-0005-0000-0000-00002B1D0000}"/>
    <cellStyle name="Date 3 2 3 2 2 3" xfId="7467" xr:uid="{00000000-0005-0000-0000-00002C1D0000}"/>
    <cellStyle name="Date 3 2 3 2 3" xfId="7468" xr:uid="{00000000-0005-0000-0000-00002D1D0000}"/>
    <cellStyle name="Date 3 2 3 2 3 2" xfId="7469" xr:uid="{00000000-0005-0000-0000-00002E1D0000}"/>
    <cellStyle name="Date 3 2 3 2 3 3" xfId="7470" xr:uid="{00000000-0005-0000-0000-00002F1D0000}"/>
    <cellStyle name="Date 3 2 3 2 4" xfId="7471" xr:uid="{00000000-0005-0000-0000-0000301D0000}"/>
    <cellStyle name="Date 3 2 3 2 5" xfId="7472" xr:uid="{00000000-0005-0000-0000-0000311D0000}"/>
    <cellStyle name="Date 3 2 3 2 6" xfId="7473" xr:uid="{00000000-0005-0000-0000-0000321D0000}"/>
    <cellStyle name="Date 3 2 3 3" xfId="7474" xr:uid="{00000000-0005-0000-0000-0000331D0000}"/>
    <cellStyle name="Date 3 2 3 3 2" xfId="7475" xr:uid="{00000000-0005-0000-0000-0000341D0000}"/>
    <cellStyle name="Date 3 2 3 3 3" xfId="7476" xr:uid="{00000000-0005-0000-0000-0000351D0000}"/>
    <cellStyle name="Date 3 2 3 4" xfId="7477" xr:uid="{00000000-0005-0000-0000-0000361D0000}"/>
    <cellStyle name="Date 3 2 3 4 2" xfId="7478" xr:uid="{00000000-0005-0000-0000-0000371D0000}"/>
    <cellStyle name="Date 3 2 3 4 3" xfId="7479" xr:uid="{00000000-0005-0000-0000-0000381D0000}"/>
    <cellStyle name="Date 3 2 3 5" xfId="7480" xr:uid="{00000000-0005-0000-0000-0000391D0000}"/>
    <cellStyle name="Date 3 2 3 5 2" xfId="7481" xr:uid="{00000000-0005-0000-0000-00003A1D0000}"/>
    <cellStyle name="Date 3 2 3 5 3" xfId="7482" xr:uid="{00000000-0005-0000-0000-00003B1D0000}"/>
    <cellStyle name="Date 3 2 3 6" xfId="7483" xr:uid="{00000000-0005-0000-0000-00003C1D0000}"/>
    <cellStyle name="Date 3 2 3 7" xfId="7484" xr:uid="{00000000-0005-0000-0000-00003D1D0000}"/>
    <cellStyle name="Date 3 2 3 8" xfId="7485" xr:uid="{00000000-0005-0000-0000-00003E1D0000}"/>
    <cellStyle name="Date 3 2 4" xfId="7486" xr:uid="{00000000-0005-0000-0000-00003F1D0000}"/>
    <cellStyle name="Date 3 2 4 2" xfId="7487" xr:uid="{00000000-0005-0000-0000-0000401D0000}"/>
    <cellStyle name="Date 3 2 4 2 2" xfId="7488" xr:uid="{00000000-0005-0000-0000-0000411D0000}"/>
    <cellStyle name="Date 3 2 4 2 3" xfId="7489" xr:uid="{00000000-0005-0000-0000-0000421D0000}"/>
    <cellStyle name="Date 3 2 4 3" xfId="7490" xr:uid="{00000000-0005-0000-0000-0000431D0000}"/>
    <cellStyle name="Date 3 2 4 3 2" xfId="7491" xr:uid="{00000000-0005-0000-0000-0000441D0000}"/>
    <cellStyle name="Date 3 2 4 3 3" xfId="7492" xr:uid="{00000000-0005-0000-0000-0000451D0000}"/>
    <cellStyle name="Date 3 2 4 4" xfId="7493" xr:uid="{00000000-0005-0000-0000-0000461D0000}"/>
    <cellStyle name="Date 3 2 4 5" xfId="7494" xr:uid="{00000000-0005-0000-0000-0000471D0000}"/>
    <cellStyle name="Date 3 2 4 6" xfId="7495" xr:uid="{00000000-0005-0000-0000-0000481D0000}"/>
    <cellStyle name="Date 3 2 5" xfId="7496" xr:uid="{00000000-0005-0000-0000-0000491D0000}"/>
    <cellStyle name="Date 3 2 5 2" xfId="7497" xr:uid="{00000000-0005-0000-0000-00004A1D0000}"/>
    <cellStyle name="Date 3 2 5 3" xfId="7498" xr:uid="{00000000-0005-0000-0000-00004B1D0000}"/>
    <cellStyle name="Date 3 2 6" xfId="7499" xr:uid="{00000000-0005-0000-0000-00004C1D0000}"/>
    <cellStyle name="Date 3 2 6 2" xfId="7500" xr:uid="{00000000-0005-0000-0000-00004D1D0000}"/>
    <cellStyle name="Date 3 2 6 3" xfId="7501" xr:uid="{00000000-0005-0000-0000-00004E1D0000}"/>
    <cellStyle name="Date 3 2 7" xfId="7502" xr:uid="{00000000-0005-0000-0000-00004F1D0000}"/>
    <cellStyle name="Date 3 2 7 2" xfId="7503" xr:uid="{00000000-0005-0000-0000-0000501D0000}"/>
    <cellStyle name="Date 3 2 7 3" xfId="7504" xr:uid="{00000000-0005-0000-0000-0000511D0000}"/>
    <cellStyle name="Date 3 2 8" xfId="7505" xr:uid="{00000000-0005-0000-0000-0000521D0000}"/>
    <cellStyle name="Date 3 2 9" xfId="7506" xr:uid="{00000000-0005-0000-0000-0000531D0000}"/>
    <cellStyle name="Date 3 3" xfId="7507" xr:uid="{00000000-0005-0000-0000-0000541D0000}"/>
    <cellStyle name="Date 3 3 2" xfId="7508" xr:uid="{00000000-0005-0000-0000-0000551D0000}"/>
    <cellStyle name="Date 3 3 2 2" xfId="7509" xr:uid="{00000000-0005-0000-0000-0000561D0000}"/>
    <cellStyle name="Date 3 3 2 2 2" xfId="7510" xr:uid="{00000000-0005-0000-0000-0000571D0000}"/>
    <cellStyle name="Date 3 3 2 2 3" xfId="7511" xr:uid="{00000000-0005-0000-0000-0000581D0000}"/>
    <cellStyle name="Date 3 3 2 3" xfId="7512" xr:uid="{00000000-0005-0000-0000-0000591D0000}"/>
    <cellStyle name="Date 3 3 2 3 2" xfId="7513" xr:uid="{00000000-0005-0000-0000-00005A1D0000}"/>
    <cellStyle name="Date 3 3 2 3 3" xfId="7514" xr:uid="{00000000-0005-0000-0000-00005B1D0000}"/>
    <cellStyle name="Date 3 3 2 4" xfId="7515" xr:uid="{00000000-0005-0000-0000-00005C1D0000}"/>
    <cellStyle name="Date 3 3 2 5" xfId="7516" xr:uid="{00000000-0005-0000-0000-00005D1D0000}"/>
    <cellStyle name="Date 3 3 2 6" xfId="7517" xr:uid="{00000000-0005-0000-0000-00005E1D0000}"/>
    <cellStyle name="Date 3 3 3" xfId="7518" xr:uid="{00000000-0005-0000-0000-00005F1D0000}"/>
    <cellStyle name="Date 3 3 3 2" xfId="7519" xr:uid="{00000000-0005-0000-0000-0000601D0000}"/>
    <cellStyle name="Date 3 3 3 3" xfId="7520" xr:uid="{00000000-0005-0000-0000-0000611D0000}"/>
    <cellStyle name="Date 3 3 4" xfId="7521" xr:uid="{00000000-0005-0000-0000-0000621D0000}"/>
    <cellStyle name="Date 3 3 4 2" xfId="7522" xr:uid="{00000000-0005-0000-0000-0000631D0000}"/>
    <cellStyle name="Date 3 3 4 3" xfId="7523" xr:uid="{00000000-0005-0000-0000-0000641D0000}"/>
    <cellStyle name="Date 3 3 5" xfId="7524" xr:uid="{00000000-0005-0000-0000-0000651D0000}"/>
    <cellStyle name="Date 3 3 5 2" xfId="7525" xr:uid="{00000000-0005-0000-0000-0000661D0000}"/>
    <cellStyle name="Date 3 3 5 3" xfId="7526" xr:uid="{00000000-0005-0000-0000-0000671D0000}"/>
    <cellStyle name="Date 3 3 6" xfId="7527" xr:uid="{00000000-0005-0000-0000-0000681D0000}"/>
    <cellStyle name="Date 3 3 7" xfId="7528" xr:uid="{00000000-0005-0000-0000-0000691D0000}"/>
    <cellStyle name="Date 3 3 8" xfId="7529" xr:uid="{00000000-0005-0000-0000-00006A1D0000}"/>
    <cellStyle name="Date 3 4" xfId="7530" xr:uid="{00000000-0005-0000-0000-00006B1D0000}"/>
    <cellStyle name="Date 3 4 2" xfId="7531" xr:uid="{00000000-0005-0000-0000-00006C1D0000}"/>
    <cellStyle name="Date 3 4 2 2" xfId="7532" xr:uid="{00000000-0005-0000-0000-00006D1D0000}"/>
    <cellStyle name="Date 3 4 2 2 2" xfId="7533" xr:uid="{00000000-0005-0000-0000-00006E1D0000}"/>
    <cellStyle name="Date 3 4 2 2 3" xfId="7534" xr:uid="{00000000-0005-0000-0000-00006F1D0000}"/>
    <cellStyle name="Date 3 4 2 3" xfId="7535" xr:uid="{00000000-0005-0000-0000-0000701D0000}"/>
    <cellStyle name="Date 3 4 2 3 2" xfId="7536" xr:uid="{00000000-0005-0000-0000-0000711D0000}"/>
    <cellStyle name="Date 3 4 2 3 3" xfId="7537" xr:uid="{00000000-0005-0000-0000-0000721D0000}"/>
    <cellStyle name="Date 3 4 2 4" xfId="7538" xr:uid="{00000000-0005-0000-0000-0000731D0000}"/>
    <cellStyle name="Date 3 4 2 5" xfId="7539" xr:uid="{00000000-0005-0000-0000-0000741D0000}"/>
    <cellStyle name="Date 3 4 2 6" xfId="7540" xr:uid="{00000000-0005-0000-0000-0000751D0000}"/>
    <cellStyle name="Date 3 4 3" xfId="7541" xr:uid="{00000000-0005-0000-0000-0000761D0000}"/>
    <cellStyle name="Date 3 4 3 2" xfId="7542" xr:uid="{00000000-0005-0000-0000-0000771D0000}"/>
    <cellStyle name="Date 3 4 3 3" xfId="7543" xr:uid="{00000000-0005-0000-0000-0000781D0000}"/>
    <cellStyle name="Date 3 4 4" xfId="7544" xr:uid="{00000000-0005-0000-0000-0000791D0000}"/>
    <cellStyle name="Date 3 4 4 2" xfId="7545" xr:uid="{00000000-0005-0000-0000-00007A1D0000}"/>
    <cellStyle name="Date 3 4 4 3" xfId="7546" xr:uid="{00000000-0005-0000-0000-00007B1D0000}"/>
    <cellStyle name="Date 3 4 5" xfId="7547" xr:uid="{00000000-0005-0000-0000-00007C1D0000}"/>
    <cellStyle name="Date 3 4 5 2" xfId="7548" xr:uid="{00000000-0005-0000-0000-00007D1D0000}"/>
    <cellStyle name="Date 3 4 5 3" xfId="7549" xr:uid="{00000000-0005-0000-0000-00007E1D0000}"/>
    <cellStyle name="Date 3 4 6" xfId="7550" xr:uid="{00000000-0005-0000-0000-00007F1D0000}"/>
    <cellStyle name="Date 3 4 7" xfId="7551" xr:uid="{00000000-0005-0000-0000-0000801D0000}"/>
    <cellStyle name="Date 3 4 8" xfId="7552" xr:uid="{00000000-0005-0000-0000-0000811D0000}"/>
    <cellStyle name="Date 3 5" xfId="7553" xr:uid="{00000000-0005-0000-0000-0000821D0000}"/>
    <cellStyle name="Date 3 5 2" xfId="7554" xr:uid="{00000000-0005-0000-0000-0000831D0000}"/>
    <cellStyle name="Date 3 5 2 2" xfId="7555" xr:uid="{00000000-0005-0000-0000-0000841D0000}"/>
    <cellStyle name="Date 3 5 2 2 2" xfId="7556" xr:uid="{00000000-0005-0000-0000-0000851D0000}"/>
    <cellStyle name="Date 3 5 2 2 3" xfId="7557" xr:uid="{00000000-0005-0000-0000-0000861D0000}"/>
    <cellStyle name="Date 3 5 2 3" xfId="7558" xr:uid="{00000000-0005-0000-0000-0000871D0000}"/>
    <cellStyle name="Date 3 5 2 3 2" xfId="7559" xr:uid="{00000000-0005-0000-0000-0000881D0000}"/>
    <cellStyle name="Date 3 5 2 3 3" xfId="7560" xr:uid="{00000000-0005-0000-0000-0000891D0000}"/>
    <cellStyle name="Date 3 5 2 4" xfId="7561" xr:uid="{00000000-0005-0000-0000-00008A1D0000}"/>
    <cellStyle name="Date 3 5 2 5" xfId="7562" xr:uid="{00000000-0005-0000-0000-00008B1D0000}"/>
    <cellStyle name="Date 3 5 2 6" xfId="7563" xr:uid="{00000000-0005-0000-0000-00008C1D0000}"/>
    <cellStyle name="Date 3 5 3" xfId="7564" xr:uid="{00000000-0005-0000-0000-00008D1D0000}"/>
    <cellStyle name="Date 3 5 3 2" xfId="7565" xr:uid="{00000000-0005-0000-0000-00008E1D0000}"/>
    <cellStyle name="Date 3 5 3 3" xfId="7566" xr:uid="{00000000-0005-0000-0000-00008F1D0000}"/>
    <cellStyle name="Date 3 5 4" xfId="7567" xr:uid="{00000000-0005-0000-0000-0000901D0000}"/>
    <cellStyle name="Date 3 5 4 2" xfId="7568" xr:uid="{00000000-0005-0000-0000-0000911D0000}"/>
    <cellStyle name="Date 3 5 4 3" xfId="7569" xr:uid="{00000000-0005-0000-0000-0000921D0000}"/>
    <cellStyle name="Date 3 5 5" xfId="7570" xr:uid="{00000000-0005-0000-0000-0000931D0000}"/>
    <cellStyle name="Date 3 5 5 2" xfId="7571" xr:uid="{00000000-0005-0000-0000-0000941D0000}"/>
    <cellStyle name="Date 3 5 5 3" xfId="7572" xr:uid="{00000000-0005-0000-0000-0000951D0000}"/>
    <cellStyle name="Date 3 5 6" xfId="7573" xr:uid="{00000000-0005-0000-0000-0000961D0000}"/>
    <cellStyle name="Date 3 5 7" xfId="7574" xr:uid="{00000000-0005-0000-0000-0000971D0000}"/>
    <cellStyle name="Date 3 5 8" xfId="7575" xr:uid="{00000000-0005-0000-0000-0000981D0000}"/>
    <cellStyle name="Date 3 6" xfId="7576" xr:uid="{00000000-0005-0000-0000-0000991D0000}"/>
    <cellStyle name="Date 3 6 2" xfId="7577" xr:uid="{00000000-0005-0000-0000-00009A1D0000}"/>
    <cellStyle name="Date 3 6 2 2" xfId="7578" xr:uid="{00000000-0005-0000-0000-00009B1D0000}"/>
    <cellStyle name="Date 3 6 2 3" xfId="7579" xr:uid="{00000000-0005-0000-0000-00009C1D0000}"/>
    <cellStyle name="Date 3 6 3" xfId="7580" xr:uid="{00000000-0005-0000-0000-00009D1D0000}"/>
    <cellStyle name="Date 3 6 3 2" xfId="7581" xr:uid="{00000000-0005-0000-0000-00009E1D0000}"/>
    <cellStyle name="Date 3 6 3 3" xfId="7582" xr:uid="{00000000-0005-0000-0000-00009F1D0000}"/>
    <cellStyle name="Date 3 6 4" xfId="7583" xr:uid="{00000000-0005-0000-0000-0000A01D0000}"/>
    <cellStyle name="Date 3 6 5" xfId="7584" xr:uid="{00000000-0005-0000-0000-0000A11D0000}"/>
    <cellStyle name="Date 3 6 6" xfId="7585" xr:uid="{00000000-0005-0000-0000-0000A21D0000}"/>
    <cellStyle name="Date 3 7" xfId="7586" xr:uid="{00000000-0005-0000-0000-0000A31D0000}"/>
    <cellStyle name="Date 3 7 2" xfId="7587" xr:uid="{00000000-0005-0000-0000-0000A41D0000}"/>
    <cellStyle name="Date 3 7 3" xfId="7588" xr:uid="{00000000-0005-0000-0000-0000A51D0000}"/>
    <cellStyle name="Date 3 7 4" xfId="7589" xr:uid="{00000000-0005-0000-0000-0000A61D0000}"/>
    <cellStyle name="Date 3 8" xfId="7590" xr:uid="{00000000-0005-0000-0000-0000A71D0000}"/>
    <cellStyle name="Date 3 8 2" xfId="7591" xr:uid="{00000000-0005-0000-0000-0000A81D0000}"/>
    <cellStyle name="Date 3 8 3" xfId="7592" xr:uid="{00000000-0005-0000-0000-0000A91D0000}"/>
    <cellStyle name="Date 3 9" xfId="7593" xr:uid="{00000000-0005-0000-0000-0000AA1D0000}"/>
    <cellStyle name="Date 3 9 2" xfId="7594" xr:uid="{00000000-0005-0000-0000-0000AB1D0000}"/>
    <cellStyle name="Date 3 9 3" xfId="7595" xr:uid="{00000000-0005-0000-0000-0000AC1D0000}"/>
    <cellStyle name="Date 4" xfId="7596" xr:uid="{00000000-0005-0000-0000-0000AD1D0000}"/>
    <cellStyle name="Date 4 10" xfId="7597" xr:uid="{00000000-0005-0000-0000-0000AE1D0000}"/>
    <cellStyle name="Date 4 11" xfId="7598" xr:uid="{00000000-0005-0000-0000-0000AF1D0000}"/>
    <cellStyle name="Date 4 12" xfId="7599" xr:uid="{00000000-0005-0000-0000-0000B01D0000}"/>
    <cellStyle name="Date 4 2" xfId="7600" xr:uid="{00000000-0005-0000-0000-0000B11D0000}"/>
    <cellStyle name="Date 4 2 10" xfId="7601" xr:uid="{00000000-0005-0000-0000-0000B21D0000}"/>
    <cellStyle name="Date 4 2 2" xfId="7602" xr:uid="{00000000-0005-0000-0000-0000B31D0000}"/>
    <cellStyle name="Date 4 2 2 2" xfId="7603" xr:uid="{00000000-0005-0000-0000-0000B41D0000}"/>
    <cellStyle name="Date 4 2 2 2 2" xfId="7604" xr:uid="{00000000-0005-0000-0000-0000B51D0000}"/>
    <cellStyle name="Date 4 2 2 2 2 2" xfId="7605" xr:uid="{00000000-0005-0000-0000-0000B61D0000}"/>
    <cellStyle name="Date 4 2 2 2 2 3" xfId="7606" xr:uid="{00000000-0005-0000-0000-0000B71D0000}"/>
    <cellStyle name="Date 4 2 2 2 3" xfId="7607" xr:uid="{00000000-0005-0000-0000-0000B81D0000}"/>
    <cellStyle name="Date 4 2 2 2 3 2" xfId="7608" xr:uid="{00000000-0005-0000-0000-0000B91D0000}"/>
    <cellStyle name="Date 4 2 2 2 3 3" xfId="7609" xr:uid="{00000000-0005-0000-0000-0000BA1D0000}"/>
    <cellStyle name="Date 4 2 2 2 4" xfId="7610" xr:uid="{00000000-0005-0000-0000-0000BB1D0000}"/>
    <cellStyle name="Date 4 2 2 2 5" xfId="7611" xr:uid="{00000000-0005-0000-0000-0000BC1D0000}"/>
    <cellStyle name="Date 4 2 2 2 6" xfId="7612" xr:uid="{00000000-0005-0000-0000-0000BD1D0000}"/>
    <cellStyle name="Date 4 2 2 3" xfId="7613" xr:uid="{00000000-0005-0000-0000-0000BE1D0000}"/>
    <cellStyle name="Date 4 2 2 3 2" xfId="7614" xr:uid="{00000000-0005-0000-0000-0000BF1D0000}"/>
    <cellStyle name="Date 4 2 2 3 3" xfId="7615" xr:uid="{00000000-0005-0000-0000-0000C01D0000}"/>
    <cellStyle name="Date 4 2 2 4" xfId="7616" xr:uid="{00000000-0005-0000-0000-0000C11D0000}"/>
    <cellStyle name="Date 4 2 2 4 2" xfId="7617" xr:uid="{00000000-0005-0000-0000-0000C21D0000}"/>
    <cellStyle name="Date 4 2 2 4 3" xfId="7618" xr:uid="{00000000-0005-0000-0000-0000C31D0000}"/>
    <cellStyle name="Date 4 2 2 5" xfId="7619" xr:uid="{00000000-0005-0000-0000-0000C41D0000}"/>
    <cellStyle name="Date 4 2 2 5 2" xfId="7620" xr:uid="{00000000-0005-0000-0000-0000C51D0000}"/>
    <cellStyle name="Date 4 2 2 5 3" xfId="7621" xr:uid="{00000000-0005-0000-0000-0000C61D0000}"/>
    <cellStyle name="Date 4 2 2 6" xfId="7622" xr:uid="{00000000-0005-0000-0000-0000C71D0000}"/>
    <cellStyle name="Date 4 2 2 7" xfId="7623" xr:uid="{00000000-0005-0000-0000-0000C81D0000}"/>
    <cellStyle name="Date 4 2 2 8" xfId="7624" xr:uid="{00000000-0005-0000-0000-0000C91D0000}"/>
    <cellStyle name="Date 4 2 3" xfId="7625" xr:uid="{00000000-0005-0000-0000-0000CA1D0000}"/>
    <cellStyle name="Date 4 2 3 2" xfId="7626" xr:uid="{00000000-0005-0000-0000-0000CB1D0000}"/>
    <cellStyle name="Date 4 2 3 2 2" xfId="7627" xr:uid="{00000000-0005-0000-0000-0000CC1D0000}"/>
    <cellStyle name="Date 4 2 3 2 2 2" xfId="7628" xr:uid="{00000000-0005-0000-0000-0000CD1D0000}"/>
    <cellStyle name="Date 4 2 3 2 2 3" xfId="7629" xr:uid="{00000000-0005-0000-0000-0000CE1D0000}"/>
    <cellStyle name="Date 4 2 3 2 3" xfId="7630" xr:uid="{00000000-0005-0000-0000-0000CF1D0000}"/>
    <cellStyle name="Date 4 2 3 2 3 2" xfId="7631" xr:uid="{00000000-0005-0000-0000-0000D01D0000}"/>
    <cellStyle name="Date 4 2 3 2 3 3" xfId="7632" xr:uid="{00000000-0005-0000-0000-0000D11D0000}"/>
    <cellStyle name="Date 4 2 3 2 4" xfId="7633" xr:uid="{00000000-0005-0000-0000-0000D21D0000}"/>
    <cellStyle name="Date 4 2 3 2 5" xfId="7634" xr:uid="{00000000-0005-0000-0000-0000D31D0000}"/>
    <cellStyle name="Date 4 2 3 2 6" xfId="7635" xr:uid="{00000000-0005-0000-0000-0000D41D0000}"/>
    <cellStyle name="Date 4 2 3 3" xfId="7636" xr:uid="{00000000-0005-0000-0000-0000D51D0000}"/>
    <cellStyle name="Date 4 2 3 3 2" xfId="7637" xr:uid="{00000000-0005-0000-0000-0000D61D0000}"/>
    <cellStyle name="Date 4 2 3 3 3" xfId="7638" xr:uid="{00000000-0005-0000-0000-0000D71D0000}"/>
    <cellStyle name="Date 4 2 3 4" xfId="7639" xr:uid="{00000000-0005-0000-0000-0000D81D0000}"/>
    <cellStyle name="Date 4 2 3 4 2" xfId="7640" xr:uid="{00000000-0005-0000-0000-0000D91D0000}"/>
    <cellStyle name="Date 4 2 3 4 3" xfId="7641" xr:uid="{00000000-0005-0000-0000-0000DA1D0000}"/>
    <cellStyle name="Date 4 2 3 5" xfId="7642" xr:uid="{00000000-0005-0000-0000-0000DB1D0000}"/>
    <cellStyle name="Date 4 2 3 5 2" xfId="7643" xr:uid="{00000000-0005-0000-0000-0000DC1D0000}"/>
    <cellStyle name="Date 4 2 3 5 3" xfId="7644" xr:uid="{00000000-0005-0000-0000-0000DD1D0000}"/>
    <cellStyle name="Date 4 2 3 6" xfId="7645" xr:uid="{00000000-0005-0000-0000-0000DE1D0000}"/>
    <cellStyle name="Date 4 2 3 7" xfId="7646" xr:uid="{00000000-0005-0000-0000-0000DF1D0000}"/>
    <cellStyle name="Date 4 2 3 8" xfId="7647" xr:uid="{00000000-0005-0000-0000-0000E01D0000}"/>
    <cellStyle name="Date 4 2 4" xfId="7648" xr:uid="{00000000-0005-0000-0000-0000E11D0000}"/>
    <cellStyle name="Date 4 2 4 2" xfId="7649" xr:uid="{00000000-0005-0000-0000-0000E21D0000}"/>
    <cellStyle name="Date 4 2 4 2 2" xfId="7650" xr:uid="{00000000-0005-0000-0000-0000E31D0000}"/>
    <cellStyle name="Date 4 2 4 2 3" xfId="7651" xr:uid="{00000000-0005-0000-0000-0000E41D0000}"/>
    <cellStyle name="Date 4 2 4 3" xfId="7652" xr:uid="{00000000-0005-0000-0000-0000E51D0000}"/>
    <cellStyle name="Date 4 2 4 3 2" xfId="7653" xr:uid="{00000000-0005-0000-0000-0000E61D0000}"/>
    <cellStyle name="Date 4 2 4 3 3" xfId="7654" xr:uid="{00000000-0005-0000-0000-0000E71D0000}"/>
    <cellStyle name="Date 4 2 4 4" xfId="7655" xr:uid="{00000000-0005-0000-0000-0000E81D0000}"/>
    <cellStyle name="Date 4 2 4 5" xfId="7656" xr:uid="{00000000-0005-0000-0000-0000E91D0000}"/>
    <cellStyle name="Date 4 2 4 6" xfId="7657" xr:uid="{00000000-0005-0000-0000-0000EA1D0000}"/>
    <cellStyle name="Date 4 2 5" xfId="7658" xr:uid="{00000000-0005-0000-0000-0000EB1D0000}"/>
    <cellStyle name="Date 4 2 5 2" xfId="7659" xr:uid="{00000000-0005-0000-0000-0000EC1D0000}"/>
    <cellStyle name="Date 4 2 5 3" xfId="7660" xr:uid="{00000000-0005-0000-0000-0000ED1D0000}"/>
    <cellStyle name="Date 4 2 6" xfId="7661" xr:uid="{00000000-0005-0000-0000-0000EE1D0000}"/>
    <cellStyle name="Date 4 2 6 2" xfId="7662" xr:uid="{00000000-0005-0000-0000-0000EF1D0000}"/>
    <cellStyle name="Date 4 2 6 3" xfId="7663" xr:uid="{00000000-0005-0000-0000-0000F01D0000}"/>
    <cellStyle name="Date 4 2 7" xfId="7664" xr:uid="{00000000-0005-0000-0000-0000F11D0000}"/>
    <cellStyle name="Date 4 2 7 2" xfId="7665" xr:uid="{00000000-0005-0000-0000-0000F21D0000}"/>
    <cellStyle name="Date 4 2 7 3" xfId="7666" xr:uid="{00000000-0005-0000-0000-0000F31D0000}"/>
    <cellStyle name="Date 4 2 8" xfId="7667" xr:uid="{00000000-0005-0000-0000-0000F41D0000}"/>
    <cellStyle name="Date 4 2 9" xfId="7668" xr:uid="{00000000-0005-0000-0000-0000F51D0000}"/>
    <cellStyle name="Date 4 3" xfId="7669" xr:uid="{00000000-0005-0000-0000-0000F61D0000}"/>
    <cellStyle name="Date 4 3 2" xfId="7670" xr:uid="{00000000-0005-0000-0000-0000F71D0000}"/>
    <cellStyle name="Date 4 3 2 2" xfId="7671" xr:uid="{00000000-0005-0000-0000-0000F81D0000}"/>
    <cellStyle name="Date 4 3 2 2 2" xfId="7672" xr:uid="{00000000-0005-0000-0000-0000F91D0000}"/>
    <cellStyle name="Date 4 3 2 2 3" xfId="7673" xr:uid="{00000000-0005-0000-0000-0000FA1D0000}"/>
    <cellStyle name="Date 4 3 2 3" xfId="7674" xr:uid="{00000000-0005-0000-0000-0000FB1D0000}"/>
    <cellStyle name="Date 4 3 2 3 2" xfId="7675" xr:uid="{00000000-0005-0000-0000-0000FC1D0000}"/>
    <cellStyle name="Date 4 3 2 3 3" xfId="7676" xr:uid="{00000000-0005-0000-0000-0000FD1D0000}"/>
    <cellStyle name="Date 4 3 2 4" xfId="7677" xr:uid="{00000000-0005-0000-0000-0000FE1D0000}"/>
    <cellStyle name="Date 4 3 2 5" xfId="7678" xr:uid="{00000000-0005-0000-0000-0000FF1D0000}"/>
    <cellStyle name="Date 4 3 2 6" xfId="7679" xr:uid="{00000000-0005-0000-0000-0000001E0000}"/>
    <cellStyle name="Date 4 3 3" xfId="7680" xr:uid="{00000000-0005-0000-0000-0000011E0000}"/>
    <cellStyle name="Date 4 3 3 2" xfId="7681" xr:uid="{00000000-0005-0000-0000-0000021E0000}"/>
    <cellStyle name="Date 4 3 3 3" xfId="7682" xr:uid="{00000000-0005-0000-0000-0000031E0000}"/>
    <cellStyle name="Date 4 3 4" xfId="7683" xr:uid="{00000000-0005-0000-0000-0000041E0000}"/>
    <cellStyle name="Date 4 3 4 2" xfId="7684" xr:uid="{00000000-0005-0000-0000-0000051E0000}"/>
    <cellStyle name="Date 4 3 4 3" xfId="7685" xr:uid="{00000000-0005-0000-0000-0000061E0000}"/>
    <cellStyle name="Date 4 3 5" xfId="7686" xr:uid="{00000000-0005-0000-0000-0000071E0000}"/>
    <cellStyle name="Date 4 3 5 2" xfId="7687" xr:uid="{00000000-0005-0000-0000-0000081E0000}"/>
    <cellStyle name="Date 4 3 5 3" xfId="7688" xr:uid="{00000000-0005-0000-0000-0000091E0000}"/>
    <cellStyle name="Date 4 3 6" xfId="7689" xr:uid="{00000000-0005-0000-0000-00000A1E0000}"/>
    <cellStyle name="Date 4 3 7" xfId="7690" xr:uid="{00000000-0005-0000-0000-00000B1E0000}"/>
    <cellStyle name="Date 4 3 8" xfId="7691" xr:uid="{00000000-0005-0000-0000-00000C1E0000}"/>
    <cellStyle name="Date 4 4" xfId="7692" xr:uid="{00000000-0005-0000-0000-00000D1E0000}"/>
    <cellStyle name="Date 4 4 2" xfId="7693" xr:uid="{00000000-0005-0000-0000-00000E1E0000}"/>
    <cellStyle name="Date 4 4 2 2" xfId="7694" xr:uid="{00000000-0005-0000-0000-00000F1E0000}"/>
    <cellStyle name="Date 4 4 2 2 2" xfId="7695" xr:uid="{00000000-0005-0000-0000-0000101E0000}"/>
    <cellStyle name="Date 4 4 2 2 3" xfId="7696" xr:uid="{00000000-0005-0000-0000-0000111E0000}"/>
    <cellStyle name="Date 4 4 2 3" xfId="7697" xr:uid="{00000000-0005-0000-0000-0000121E0000}"/>
    <cellStyle name="Date 4 4 2 3 2" xfId="7698" xr:uid="{00000000-0005-0000-0000-0000131E0000}"/>
    <cellStyle name="Date 4 4 2 3 3" xfId="7699" xr:uid="{00000000-0005-0000-0000-0000141E0000}"/>
    <cellStyle name="Date 4 4 2 4" xfId="7700" xr:uid="{00000000-0005-0000-0000-0000151E0000}"/>
    <cellStyle name="Date 4 4 2 5" xfId="7701" xr:uid="{00000000-0005-0000-0000-0000161E0000}"/>
    <cellStyle name="Date 4 4 2 6" xfId="7702" xr:uid="{00000000-0005-0000-0000-0000171E0000}"/>
    <cellStyle name="Date 4 4 3" xfId="7703" xr:uid="{00000000-0005-0000-0000-0000181E0000}"/>
    <cellStyle name="Date 4 4 3 2" xfId="7704" xr:uid="{00000000-0005-0000-0000-0000191E0000}"/>
    <cellStyle name="Date 4 4 3 3" xfId="7705" xr:uid="{00000000-0005-0000-0000-00001A1E0000}"/>
    <cellStyle name="Date 4 4 4" xfId="7706" xr:uid="{00000000-0005-0000-0000-00001B1E0000}"/>
    <cellStyle name="Date 4 4 4 2" xfId="7707" xr:uid="{00000000-0005-0000-0000-00001C1E0000}"/>
    <cellStyle name="Date 4 4 4 3" xfId="7708" xr:uid="{00000000-0005-0000-0000-00001D1E0000}"/>
    <cellStyle name="Date 4 4 5" xfId="7709" xr:uid="{00000000-0005-0000-0000-00001E1E0000}"/>
    <cellStyle name="Date 4 4 5 2" xfId="7710" xr:uid="{00000000-0005-0000-0000-00001F1E0000}"/>
    <cellStyle name="Date 4 4 5 3" xfId="7711" xr:uid="{00000000-0005-0000-0000-0000201E0000}"/>
    <cellStyle name="Date 4 4 6" xfId="7712" xr:uid="{00000000-0005-0000-0000-0000211E0000}"/>
    <cellStyle name="Date 4 4 7" xfId="7713" xr:uid="{00000000-0005-0000-0000-0000221E0000}"/>
    <cellStyle name="Date 4 4 8" xfId="7714" xr:uid="{00000000-0005-0000-0000-0000231E0000}"/>
    <cellStyle name="Date 4 5" xfId="7715" xr:uid="{00000000-0005-0000-0000-0000241E0000}"/>
    <cellStyle name="Date 4 5 2" xfId="7716" xr:uid="{00000000-0005-0000-0000-0000251E0000}"/>
    <cellStyle name="Date 4 5 2 2" xfId="7717" xr:uid="{00000000-0005-0000-0000-0000261E0000}"/>
    <cellStyle name="Date 4 5 2 2 2" xfId="7718" xr:uid="{00000000-0005-0000-0000-0000271E0000}"/>
    <cellStyle name="Date 4 5 2 2 3" xfId="7719" xr:uid="{00000000-0005-0000-0000-0000281E0000}"/>
    <cellStyle name="Date 4 5 2 3" xfId="7720" xr:uid="{00000000-0005-0000-0000-0000291E0000}"/>
    <cellStyle name="Date 4 5 2 3 2" xfId="7721" xr:uid="{00000000-0005-0000-0000-00002A1E0000}"/>
    <cellStyle name="Date 4 5 2 3 3" xfId="7722" xr:uid="{00000000-0005-0000-0000-00002B1E0000}"/>
    <cellStyle name="Date 4 5 2 4" xfId="7723" xr:uid="{00000000-0005-0000-0000-00002C1E0000}"/>
    <cellStyle name="Date 4 5 2 5" xfId="7724" xr:uid="{00000000-0005-0000-0000-00002D1E0000}"/>
    <cellStyle name="Date 4 5 2 6" xfId="7725" xr:uid="{00000000-0005-0000-0000-00002E1E0000}"/>
    <cellStyle name="Date 4 5 3" xfId="7726" xr:uid="{00000000-0005-0000-0000-00002F1E0000}"/>
    <cellStyle name="Date 4 5 3 2" xfId="7727" xr:uid="{00000000-0005-0000-0000-0000301E0000}"/>
    <cellStyle name="Date 4 5 3 3" xfId="7728" xr:uid="{00000000-0005-0000-0000-0000311E0000}"/>
    <cellStyle name="Date 4 5 4" xfId="7729" xr:uid="{00000000-0005-0000-0000-0000321E0000}"/>
    <cellStyle name="Date 4 5 4 2" xfId="7730" xr:uid="{00000000-0005-0000-0000-0000331E0000}"/>
    <cellStyle name="Date 4 5 4 3" xfId="7731" xr:uid="{00000000-0005-0000-0000-0000341E0000}"/>
    <cellStyle name="Date 4 5 5" xfId="7732" xr:uid="{00000000-0005-0000-0000-0000351E0000}"/>
    <cellStyle name="Date 4 5 5 2" xfId="7733" xr:uid="{00000000-0005-0000-0000-0000361E0000}"/>
    <cellStyle name="Date 4 5 5 3" xfId="7734" xr:uid="{00000000-0005-0000-0000-0000371E0000}"/>
    <cellStyle name="Date 4 5 6" xfId="7735" xr:uid="{00000000-0005-0000-0000-0000381E0000}"/>
    <cellStyle name="Date 4 5 7" xfId="7736" xr:uid="{00000000-0005-0000-0000-0000391E0000}"/>
    <cellStyle name="Date 4 5 8" xfId="7737" xr:uid="{00000000-0005-0000-0000-00003A1E0000}"/>
    <cellStyle name="Date 4 6" xfId="7738" xr:uid="{00000000-0005-0000-0000-00003B1E0000}"/>
    <cellStyle name="Date 4 6 2" xfId="7739" xr:uid="{00000000-0005-0000-0000-00003C1E0000}"/>
    <cellStyle name="Date 4 6 2 2" xfId="7740" xr:uid="{00000000-0005-0000-0000-00003D1E0000}"/>
    <cellStyle name="Date 4 6 2 3" xfId="7741" xr:uid="{00000000-0005-0000-0000-00003E1E0000}"/>
    <cellStyle name="Date 4 6 3" xfId="7742" xr:uid="{00000000-0005-0000-0000-00003F1E0000}"/>
    <cellStyle name="Date 4 6 3 2" xfId="7743" xr:uid="{00000000-0005-0000-0000-0000401E0000}"/>
    <cellStyle name="Date 4 6 3 3" xfId="7744" xr:uid="{00000000-0005-0000-0000-0000411E0000}"/>
    <cellStyle name="Date 4 6 4" xfId="7745" xr:uid="{00000000-0005-0000-0000-0000421E0000}"/>
    <cellStyle name="Date 4 6 5" xfId="7746" xr:uid="{00000000-0005-0000-0000-0000431E0000}"/>
    <cellStyle name="Date 4 6 6" xfId="7747" xr:uid="{00000000-0005-0000-0000-0000441E0000}"/>
    <cellStyle name="Date 4 7" xfId="7748" xr:uid="{00000000-0005-0000-0000-0000451E0000}"/>
    <cellStyle name="Date 4 7 2" xfId="7749" xr:uid="{00000000-0005-0000-0000-0000461E0000}"/>
    <cellStyle name="Date 4 7 3" xfId="7750" xr:uid="{00000000-0005-0000-0000-0000471E0000}"/>
    <cellStyle name="Date 4 7 4" xfId="7751" xr:uid="{00000000-0005-0000-0000-0000481E0000}"/>
    <cellStyle name="Date 4 8" xfId="7752" xr:uid="{00000000-0005-0000-0000-0000491E0000}"/>
    <cellStyle name="Date 4 8 2" xfId="7753" xr:uid="{00000000-0005-0000-0000-00004A1E0000}"/>
    <cellStyle name="Date 4 8 3" xfId="7754" xr:uid="{00000000-0005-0000-0000-00004B1E0000}"/>
    <cellStyle name="Date 4 9" xfId="7755" xr:uid="{00000000-0005-0000-0000-00004C1E0000}"/>
    <cellStyle name="Date 4 9 2" xfId="7756" xr:uid="{00000000-0005-0000-0000-00004D1E0000}"/>
    <cellStyle name="Date 4 9 3" xfId="7757" xr:uid="{00000000-0005-0000-0000-00004E1E0000}"/>
    <cellStyle name="Date 5" xfId="7758" xr:uid="{00000000-0005-0000-0000-00004F1E0000}"/>
    <cellStyle name="Date 5 10" xfId="7759" xr:uid="{00000000-0005-0000-0000-0000501E0000}"/>
    <cellStyle name="Date 5 11" xfId="7760" xr:uid="{00000000-0005-0000-0000-0000511E0000}"/>
    <cellStyle name="Date 5 12" xfId="7761" xr:uid="{00000000-0005-0000-0000-0000521E0000}"/>
    <cellStyle name="Date 5 2" xfId="7762" xr:uid="{00000000-0005-0000-0000-0000531E0000}"/>
    <cellStyle name="Date 5 2 10" xfId="7763" xr:uid="{00000000-0005-0000-0000-0000541E0000}"/>
    <cellStyle name="Date 5 2 2" xfId="7764" xr:uid="{00000000-0005-0000-0000-0000551E0000}"/>
    <cellStyle name="Date 5 2 2 2" xfId="7765" xr:uid="{00000000-0005-0000-0000-0000561E0000}"/>
    <cellStyle name="Date 5 2 2 2 2" xfId="7766" xr:uid="{00000000-0005-0000-0000-0000571E0000}"/>
    <cellStyle name="Date 5 2 2 2 2 2" xfId="7767" xr:uid="{00000000-0005-0000-0000-0000581E0000}"/>
    <cellStyle name="Date 5 2 2 2 2 3" xfId="7768" xr:uid="{00000000-0005-0000-0000-0000591E0000}"/>
    <cellStyle name="Date 5 2 2 2 3" xfId="7769" xr:uid="{00000000-0005-0000-0000-00005A1E0000}"/>
    <cellStyle name="Date 5 2 2 2 3 2" xfId="7770" xr:uid="{00000000-0005-0000-0000-00005B1E0000}"/>
    <cellStyle name="Date 5 2 2 2 3 3" xfId="7771" xr:uid="{00000000-0005-0000-0000-00005C1E0000}"/>
    <cellStyle name="Date 5 2 2 2 4" xfId="7772" xr:uid="{00000000-0005-0000-0000-00005D1E0000}"/>
    <cellStyle name="Date 5 2 2 2 5" xfId="7773" xr:uid="{00000000-0005-0000-0000-00005E1E0000}"/>
    <cellStyle name="Date 5 2 2 2 6" xfId="7774" xr:uid="{00000000-0005-0000-0000-00005F1E0000}"/>
    <cellStyle name="Date 5 2 2 3" xfId="7775" xr:uid="{00000000-0005-0000-0000-0000601E0000}"/>
    <cellStyle name="Date 5 2 2 3 2" xfId="7776" xr:uid="{00000000-0005-0000-0000-0000611E0000}"/>
    <cellStyle name="Date 5 2 2 3 3" xfId="7777" xr:uid="{00000000-0005-0000-0000-0000621E0000}"/>
    <cellStyle name="Date 5 2 2 4" xfId="7778" xr:uid="{00000000-0005-0000-0000-0000631E0000}"/>
    <cellStyle name="Date 5 2 2 4 2" xfId="7779" xr:uid="{00000000-0005-0000-0000-0000641E0000}"/>
    <cellStyle name="Date 5 2 2 4 3" xfId="7780" xr:uid="{00000000-0005-0000-0000-0000651E0000}"/>
    <cellStyle name="Date 5 2 2 5" xfId="7781" xr:uid="{00000000-0005-0000-0000-0000661E0000}"/>
    <cellStyle name="Date 5 2 2 5 2" xfId="7782" xr:uid="{00000000-0005-0000-0000-0000671E0000}"/>
    <cellStyle name="Date 5 2 2 5 3" xfId="7783" xr:uid="{00000000-0005-0000-0000-0000681E0000}"/>
    <cellStyle name="Date 5 2 2 6" xfId="7784" xr:uid="{00000000-0005-0000-0000-0000691E0000}"/>
    <cellStyle name="Date 5 2 2 7" xfId="7785" xr:uid="{00000000-0005-0000-0000-00006A1E0000}"/>
    <cellStyle name="Date 5 2 2 8" xfId="7786" xr:uid="{00000000-0005-0000-0000-00006B1E0000}"/>
    <cellStyle name="Date 5 2 3" xfId="7787" xr:uid="{00000000-0005-0000-0000-00006C1E0000}"/>
    <cellStyle name="Date 5 2 3 2" xfId="7788" xr:uid="{00000000-0005-0000-0000-00006D1E0000}"/>
    <cellStyle name="Date 5 2 3 2 2" xfId="7789" xr:uid="{00000000-0005-0000-0000-00006E1E0000}"/>
    <cellStyle name="Date 5 2 3 2 2 2" xfId="7790" xr:uid="{00000000-0005-0000-0000-00006F1E0000}"/>
    <cellStyle name="Date 5 2 3 2 2 3" xfId="7791" xr:uid="{00000000-0005-0000-0000-0000701E0000}"/>
    <cellStyle name="Date 5 2 3 2 3" xfId="7792" xr:uid="{00000000-0005-0000-0000-0000711E0000}"/>
    <cellStyle name="Date 5 2 3 2 3 2" xfId="7793" xr:uid="{00000000-0005-0000-0000-0000721E0000}"/>
    <cellStyle name="Date 5 2 3 2 3 3" xfId="7794" xr:uid="{00000000-0005-0000-0000-0000731E0000}"/>
    <cellStyle name="Date 5 2 3 2 4" xfId="7795" xr:uid="{00000000-0005-0000-0000-0000741E0000}"/>
    <cellStyle name="Date 5 2 3 2 5" xfId="7796" xr:uid="{00000000-0005-0000-0000-0000751E0000}"/>
    <cellStyle name="Date 5 2 3 2 6" xfId="7797" xr:uid="{00000000-0005-0000-0000-0000761E0000}"/>
    <cellStyle name="Date 5 2 3 3" xfId="7798" xr:uid="{00000000-0005-0000-0000-0000771E0000}"/>
    <cellStyle name="Date 5 2 3 3 2" xfId="7799" xr:uid="{00000000-0005-0000-0000-0000781E0000}"/>
    <cellStyle name="Date 5 2 3 3 3" xfId="7800" xr:uid="{00000000-0005-0000-0000-0000791E0000}"/>
    <cellStyle name="Date 5 2 3 4" xfId="7801" xr:uid="{00000000-0005-0000-0000-00007A1E0000}"/>
    <cellStyle name="Date 5 2 3 4 2" xfId="7802" xr:uid="{00000000-0005-0000-0000-00007B1E0000}"/>
    <cellStyle name="Date 5 2 3 4 3" xfId="7803" xr:uid="{00000000-0005-0000-0000-00007C1E0000}"/>
    <cellStyle name="Date 5 2 3 5" xfId="7804" xr:uid="{00000000-0005-0000-0000-00007D1E0000}"/>
    <cellStyle name="Date 5 2 3 5 2" xfId="7805" xr:uid="{00000000-0005-0000-0000-00007E1E0000}"/>
    <cellStyle name="Date 5 2 3 5 3" xfId="7806" xr:uid="{00000000-0005-0000-0000-00007F1E0000}"/>
    <cellStyle name="Date 5 2 3 6" xfId="7807" xr:uid="{00000000-0005-0000-0000-0000801E0000}"/>
    <cellStyle name="Date 5 2 3 7" xfId="7808" xr:uid="{00000000-0005-0000-0000-0000811E0000}"/>
    <cellStyle name="Date 5 2 3 8" xfId="7809" xr:uid="{00000000-0005-0000-0000-0000821E0000}"/>
    <cellStyle name="Date 5 2 4" xfId="7810" xr:uid="{00000000-0005-0000-0000-0000831E0000}"/>
    <cellStyle name="Date 5 2 4 2" xfId="7811" xr:uid="{00000000-0005-0000-0000-0000841E0000}"/>
    <cellStyle name="Date 5 2 4 2 2" xfId="7812" xr:uid="{00000000-0005-0000-0000-0000851E0000}"/>
    <cellStyle name="Date 5 2 4 2 3" xfId="7813" xr:uid="{00000000-0005-0000-0000-0000861E0000}"/>
    <cellStyle name="Date 5 2 4 3" xfId="7814" xr:uid="{00000000-0005-0000-0000-0000871E0000}"/>
    <cellStyle name="Date 5 2 4 3 2" xfId="7815" xr:uid="{00000000-0005-0000-0000-0000881E0000}"/>
    <cellStyle name="Date 5 2 4 3 3" xfId="7816" xr:uid="{00000000-0005-0000-0000-0000891E0000}"/>
    <cellStyle name="Date 5 2 4 4" xfId="7817" xr:uid="{00000000-0005-0000-0000-00008A1E0000}"/>
    <cellStyle name="Date 5 2 4 5" xfId="7818" xr:uid="{00000000-0005-0000-0000-00008B1E0000}"/>
    <cellStyle name="Date 5 2 4 6" xfId="7819" xr:uid="{00000000-0005-0000-0000-00008C1E0000}"/>
    <cellStyle name="Date 5 2 5" xfId="7820" xr:uid="{00000000-0005-0000-0000-00008D1E0000}"/>
    <cellStyle name="Date 5 2 5 2" xfId="7821" xr:uid="{00000000-0005-0000-0000-00008E1E0000}"/>
    <cellStyle name="Date 5 2 5 3" xfId="7822" xr:uid="{00000000-0005-0000-0000-00008F1E0000}"/>
    <cellStyle name="Date 5 2 6" xfId="7823" xr:uid="{00000000-0005-0000-0000-0000901E0000}"/>
    <cellStyle name="Date 5 2 6 2" xfId="7824" xr:uid="{00000000-0005-0000-0000-0000911E0000}"/>
    <cellStyle name="Date 5 2 6 3" xfId="7825" xr:uid="{00000000-0005-0000-0000-0000921E0000}"/>
    <cellStyle name="Date 5 2 7" xfId="7826" xr:uid="{00000000-0005-0000-0000-0000931E0000}"/>
    <cellStyle name="Date 5 2 7 2" xfId="7827" xr:uid="{00000000-0005-0000-0000-0000941E0000}"/>
    <cellStyle name="Date 5 2 7 3" xfId="7828" xr:uid="{00000000-0005-0000-0000-0000951E0000}"/>
    <cellStyle name="Date 5 2 8" xfId="7829" xr:uid="{00000000-0005-0000-0000-0000961E0000}"/>
    <cellStyle name="Date 5 2 9" xfId="7830" xr:uid="{00000000-0005-0000-0000-0000971E0000}"/>
    <cellStyle name="Date 5 3" xfId="7831" xr:uid="{00000000-0005-0000-0000-0000981E0000}"/>
    <cellStyle name="Date 5 3 2" xfId="7832" xr:uid="{00000000-0005-0000-0000-0000991E0000}"/>
    <cellStyle name="Date 5 3 2 2" xfId="7833" xr:uid="{00000000-0005-0000-0000-00009A1E0000}"/>
    <cellStyle name="Date 5 3 2 2 2" xfId="7834" xr:uid="{00000000-0005-0000-0000-00009B1E0000}"/>
    <cellStyle name="Date 5 3 2 2 3" xfId="7835" xr:uid="{00000000-0005-0000-0000-00009C1E0000}"/>
    <cellStyle name="Date 5 3 2 3" xfId="7836" xr:uid="{00000000-0005-0000-0000-00009D1E0000}"/>
    <cellStyle name="Date 5 3 2 3 2" xfId="7837" xr:uid="{00000000-0005-0000-0000-00009E1E0000}"/>
    <cellStyle name="Date 5 3 2 3 3" xfId="7838" xr:uid="{00000000-0005-0000-0000-00009F1E0000}"/>
    <cellStyle name="Date 5 3 2 4" xfId="7839" xr:uid="{00000000-0005-0000-0000-0000A01E0000}"/>
    <cellStyle name="Date 5 3 2 5" xfId="7840" xr:uid="{00000000-0005-0000-0000-0000A11E0000}"/>
    <cellStyle name="Date 5 3 2 6" xfId="7841" xr:uid="{00000000-0005-0000-0000-0000A21E0000}"/>
    <cellStyle name="Date 5 3 3" xfId="7842" xr:uid="{00000000-0005-0000-0000-0000A31E0000}"/>
    <cellStyle name="Date 5 3 3 2" xfId="7843" xr:uid="{00000000-0005-0000-0000-0000A41E0000}"/>
    <cellStyle name="Date 5 3 3 3" xfId="7844" xr:uid="{00000000-0005-0000-0000-0000A51E0000}"/>
    <cellStyle name="Date 5 3 4" xfId="7845" xr:uid="{00000000-0005-0000-0000-0000A61E0000}"/>
    <cellStyle name="Date 5 3 4 2" xfId="7846" xr:uid="{00000000-0005-0000-0000-0000A71E0000}"/>
    <cellStyle name="Date 5 3 4 3" xfId="7847" xr:uid="{00000000-0005-0000-0000-0000A81E0000}"/>
    <cellStyle name="Date 5 3 5" xfId="7848" xr:uid="{00000000-0005-0000-0000-0000A91E0000}"/>
    <cellStyle name="Date 5 3 5 2" xfId="7849" xr:uid="{00000000-0005-0000-0000-0000AA1E0000}"/>
    <cellStyle name="Date 5 3 5 3" xfId="7850" xr:uid="{00000000-0005-0000-0000-0000AB1E0000}"/>
    <cellStyle name="Date 5 3 6" xfId="7851" xr:uid="{00000000-0005-0000-0000-0000AC1E0000}"/>
    <cellStyle name="Date 5 3 7" xfId="7852" xr:uid="{00000000-0005-0000-0000-0000AD1E0000}"/>
    <cellStyle name="Date 5 3 8" xfId="7853" xr:uid="{00000000-0005-0000-0000-0000AE1E0000}"/>
    <cellStyle name="Date 5 4" xfId="7854" xr:uid="{00000000-0005-0000-0000-0000AF1E0000}"/>
    <cellStyle name="Date 5 4 2" xfId="7855" xr:uid="{00000000-0005-0000-0000-0000B01E0000}"/>
    <cellStyle name="Date 5 4 2 2" xfId="7856" xr:uid="{00000000-0005-0000-0000-0000B11E0000}"/>
    <cellStyle name="Date 5 4 2 2 2" xfId="7857" xr:uid="{00000000-0005-0000-0000-0000B21E0000}"/>
    <cellStyle name="Date 5 4 2 2 3" xfId="7858" xr:uid="{00000000-0005-0000-0000-0000B31E0000}"/>
    <cellStyle name="Date 5 4 2 3" xfId="7859" xr:uid="{00000000-0005-0000-0000-0000B41E0000}"/>
    <cellStyle name="Date 5 4 2 3 2" xfId="7860" xr:uid="{00000000-0005-0000-0000-0000B51E0000}"/>
    <cellStyle name="Date 5 4 2 3 3" xfId="7861" xr:uid="{00000000-0005-0000-0000-0000B61E0000}"/>
    <cellStyle name="Date 5 4 2 4" xfId="7862" xr:uid="{00000000-0005-0000-0000-0000B71E0000}"/>
    <cellStyle name="Date 5 4 2 5" xfId="7863" xr:uid="{00000000-0005-0000-0000-0000B81E0000}"/>
    <cellStyle name="Date 5 4 2 6" xfId="7864" xr:uid="{00000000-0005-0000-0000-0000B91E0000}"/>
    <cellStyle name="Date 5 4 3" xfId="7865" xr:uid="{00000000-0005-0000-0000-0000BA1E0000}"/>
    <cellStyle name="Date 5 4 3 2" xfId="7866" xr:uid="{00000000-0005-0000-0000-0000BB1E0000}"/>
    <cellStyle name="Date 5 4 3 3" xfId="7867" xr:uid="{00000000-0005-0000-0000-0000BC1E0000}"/>
    <cellStyle name="Date 5 4 4" xfId="7868" xr:uid="{00000000-0005-0000-0000-0000BD1E0000}"/>
    <cellStyle name="Date 5 4 4 2" xfId="7869" xr:uid="{00000000-0005-0000-0000-0000BE1E0000}"/>
    <cellStyle name="Date 5 4 4 3" xfId="7870" xr:uid="{00000000-0005-0000-0000-0000BF1E0000}"/>
    <cellStyle name="Date 5 4 5" xfId="7871" xr:uid="{00000000-0005-0000-0000-0000C01E0000}"/>
    <cellStyle name="Date 5 4 5 2" xfId="7872" xr:uid="{00000000-0005-0000-0000-0000C11E0000}"/>
    <cellStyle name="Date 5 4 5 3" xfId="7873" xr:uid="{00000000-0005-0000-0000-0000C21E0000}"/>
    <cellStyle name="Date 5 4 6" xfId="7874" xr:uid="{00000000-0005-0000-0000-0000C31E0000}"/>
    <cellStyle name="Date 5 4 7" xfId="7875" xr:uid="{00000000-0005-0000-0000-0000C41E0000}"/>
    <cellStyle name="Date 5 4 8" xfId="7876" xr:uid="{00000000-0005-0000-0000-0000C51E0000}"/>
    <cellStyle name="Date 5 5" xfId="7877" xr:uid="{00000000-0005-0000-0000-0000C61E0000}"/>
    <cellStyle name="Date 5 5 2" xfId="7878" xr:uid="{00000000-0005-0000-0000-0000C71E0000}"/>
    <cellStyle name="Date 5 5 2 2" xfId="7879" xr:uid="{00000000-0005-0000-0000-0000C81E0000}"/>
    <cellStyle name="Date 5 5 2 2 2" xfId="7880" xr:uid="{00000000-0005-0000-0000-0000C91E0000}"/>
    <cellStyle name="Date 5 5 2 2 3" xfId="7881" xr:uid="{00000000-0005-0000-0000-0000CA1E0000}"/>
    <cellStyle name="Date 5 5 2 3" xfId="7882" xr:uid="{00000000-0005-0000-0000-0000CB1E0000}"/>
    <cellStyle name="Date 5 5 2 3 2" xfId="7883" xr:uid="{00000000-0005-0000-0000-0000CC1E0000}"/>
    <cellStyle name="Date 5 5 2 3 3" xfId="7884" xr:uid="{00000000-0005-0000-0000-0000CD1E0000}"/>
    <cellStyle name="Date 5 5 2 4" xfId="7885" xr:uid="{00000000-0005-0000-0000-0000CE1E0000}"/>
    <cellStyle name="Date 5 5 2 5" xfId="7886" xr:uid="{00000000-0005-0000-0000-0000CF1E0000}"/>
    <cellStyle name="Date 5 5 2 6" xfId="7887" xr:uid="{00000000-0005-0000-0000-0000D01E0000}"/>
    <cellStyle name="Date 5 5 3" xfId="7888" xr:uid="{00000000-0005-0000-0000-0000D11E0000}"/>
    <cellStyle name="Date 5 5 3 2" xfId="7889" xr:uid="{00000000-0005-0000-0000-0000D21E0000}"/>
    <cellStyle name="Date 5 5 3 3" xfId="7890" xr:uid="{00000000-0005-0000-0000-0000D31E0000}"/>
    <cellStyle name="Date 5 5 4" xfId="7891" xr:uid="{00000000-0005-0000-0000-0000D41E0000}"/>
    <cellStyle name="Date 5 5 4 2" xfId="7892" xr:uid="{00000000-0005-0000-0000-0000D51E0000}"/>
    <cellStyle name="Date 5 5 4 3" xfId="7893" xr:uid="{00000000-0005-0000-0000-0000D61E0000}"/>
    <cellStyle name="Date 5 5 5" xfId="7894" xr:uid="{00000000-0005-0000-0000-0000D71E0000}"/>
    <cellStyle name="Date 5 5 5 2" xfId="7895" xr:uid="{00000000-0005-0000-0000-0000D81E0000}"/>
    <cellStyle name="Date 5 5 5 3" xfId="7896" xr:uid="{00000000-0005-0000-0000-0000D91E0000}"/>
    <cellStyle name="Date 5 5 6" xfId="7897" xr:uid="{00000000-0005-0000-0000-0000DA1E0000}"/>
    <cellStyle name="Date 5 5 7" xfId="7898" xr:uid="{00000000-0005-0000-0000-0000DB1E0000}"/>
    <cellStyle name="Date 5 5 8" xfId="7899" xr:uid="{00000000-0005-0000-0000-0000DC1E0000}"/>
    <cellStyle name="Date 5 6" xfId="7900" xr:uid="{00000000-0005-0000-0000-0000DD1E0000}"/>
    <cellStyle name="Date 5 6 2" xfId="7901" xr:uid="{00000000-0005-0000-0000-0000DE1E0000}"/>
    <cellStyle name="Date 5 6 2 2" xfId="7902" xr:uid="{00000000-0005-0000-0000-0000DF1E0000}"/>
    <cellStyle name="Date 5 6 2 3" xfId="7903" xr:uid="{00000000-0005-0000-0000-0000E01E0000}"/>
    <cellStyle name="Date 5 6 3" xfId="7904" xr:uid="{00000000-0005-0000-0000-0000E11E0000}"/>
    <cellStyle name="Date 5 6 3 2" xfId="7905" xr:uid="{00000000-0005-0000-0000-0000E21E0000}"/>
    <cellStyle name="Date 5 6 3 3" xfId="7906" xr:uid="{00000000-0005-0000-0000-0000E31E0000}"/>
    <cellStyle name="Date 5 6 4" xfId="7907" xr:uid="{00000000-0005-0000-0000-0000E41E0000}"/>
    <cellStyle name="Date 5 6 5" xfId="7908" xr:uid="{00000000-0005-0000-0000-0000E51E0000}"/>
    <cellStyle name="Date 5 6 6" xfId="7909" xr:uid="{00000000-0005-0000-0000-0000E61E0000}"/>
    <cellStyle name="Date 5 7" xfId="7910" xr:uid="{00000000-0005-0000-0000-0000E71E0000}"/>
    <cellStyle name="Date 5 7 2" xfId="7911" xr:uid="{00000000-0005-0000-0000-0000E81E0000}"/>
    <cellStyle name="Date 5 7 3" xfId="7912" xr:uid="{00000000-0005-0000-0000-0000E91E0000}"/>
    <cellStyle name="Date 5 7 4" xfId="7913" xr:uid="{00000000-0005-0000-0000-0000EA1E0000}"/>
    <cellStyle name="Date 5 8" xfId="7914" xr:uid="{00000000-0005-0000-0000-0000EB1E0000}"/>
    <cellStyle name="Date 5 8 2" xfId="7915" xr:uid="{00000000-0005-0000-0000-0000EC1E0000}"/>
    <cellStyle name="Date 5 8 3" xfId="7916" xr:uid="{00000000-0005-0000-0000-0000ED1E0000}"/>
    <cellStyle name="Date 5 9" xfId="7917" xr:uid="{00000000-0005-0000-0000-0000EE1E0000}"/>
    <cellStyle name="Date 5 9 2" xfId="7918" xr:uid="{00000000-0005-0000-0000-0000EF1E0000}"/>
    <cellStyle name="Date 5 9 3" xfId="7919" xr:uid="{00000000-0005-0000-0000-0000F01E0000}"/>
    <cellStyle name="Date 6" xfId="7920" xr:uid="{00000000-0005-0000-0000-0000F11E0000}"/>
    <cellStyle name="Date 6 10" xfId="7921" xr:uid="{00000000-0005-0000-0000-0000F21E0000}"/>
    <cellStyle name="Date 6 11" xfId="7922" xr:uid="{00000000-0005-0000-0000-0000F31E0000}"/>
    <cellStyle name="Date 6 12" xfId="7923" xr:uid="{00000000-0005-0000-0000-0000F41E0000}"/>
    <cellStyle name="Date 6 2" xfId="7924" xr:uid="{00000000-0005-0000-0000-0000F51E0000}"/>
    <cellStyle name="Date 6 2 10" xfId="7925" xr:uid="{00000000-0005-0000-0000-0000F61E0000}"/>
    <cellStyle name="Date 6 2 2" xfId="7926" xr:uid="{00000000-0005-0000-0000-0000F71E0000}"/>
    <cellStyle name="Date 6 2 2 2" xfId="7927" xr:uid="{00000000-0005-0000-0000-0000F81E0000}"/>
    <cellStyle name="Date 6 2 2 2 2" xfId="7928" xr:uid="{00000000-0005-0000-0000-0000F91E0000}"/>
    <cellStyle name="Date 6 2 2 2 2 2" xfId="7929" xr:uid="{00000000-0005-0000-0000-0000FA1E0000}"/>
    <cellStyle name="Date 6 2 2 2 2 3" xfId="7930" xr:uid="{00000000-0005-0000-0000-0000FB1E0000}"/>
    <cellStyle name="Date 6 2 2 2 3" xfId="7931" xr:uid="{00000000-0005-0000-0000-0000FC1E0000}"/>
    <cellStyle name="Date 6 2 2 2 3 2" xfId="7932" xr:uid="{00000000-0005-0000-0000-0000FD1E0000}"/>
    <cellStyle name="Date 6 2 2 2 3 3" xfId="7933" xr:uid="{00000000-0005-0000-0000-0000FE1E0000}"/>
    <cellStyle name="Date 6 2 2 2 4" xfId="7934" xr:uid="{00000000-0005-0000-0000-0000FF1E0000}"/>
    <cellStyle name="Date 6 2 2 2 5" xfId="7935" xr:uid="{00000000-0005-0000-0000-0000001F0000}"/>
    <cellStyle name="Date 6 2 2 2 6" xfId="7936" xr:uid="{00000000-0005-0000-0000-0000011F0000}"/>
    <cellStyle name="Date 6 2 2 3" xfId="7937" xr:uid="{00000000-0005-0000-0000-0000021F0000}"/>
    <cellStyle name="Date 6 2 2 3 2" xfId="7938" xr:uid="{00000000-0005-0000-0000-0000031F0000}"/>
    <cellStyle name="Date 6 2 2 3 3" xfId="7939" xr:uid="{00000000-0005-0000-0000-0000041F0000}"/>
    <cellStyle name="Date 6 2 2 4" xfId="7940" xr:uid="{00000000-0005-0000-0000-0000051F0000}"/>
    <cellStyle name="Date 6 2 2 4 2" xfId="7941" xr:uid="{00000000-0005-0000-0000-0000061F0000}"/>
    <cellStyle name="Date 6 2 2 4 3" xfId="7942" xr:uid="{00000000-0005-0000-0000-0000071F0000}"/>
    <cellStyle name="Date 6 2 2 5" xfId="7943" xr:uid="{00000000-0005-0000-0000-0000081F0000}"/>
    <cellStyle name="Date 6 2 2 5 2" xfId="7944" xr:uid="{00000000-0005-0000-0000-0000091F0000}"/>
    <cellStyle name="Date 6 2 2 5 3" xfId="7945" xr:uid="{00000000-0005-0000-0000-00000A1F0000}"/>
    <cellStyle name="Date 6 2 2 6" xfId="7946" xr:uid="{00000000-0005-0000-0000-00000B1F0000}"/>
    <cellStyle name="Date 6 2 2 7" xfId="7947" xr:uid="{00000000-0005-0000-0000-00000C1F0000}"/>
    <cellStyle name="Date 6 2 2 8" xfId="7948" xr:uid="{00000000-0005-0000-0000-00000D1F0000}"/>
    <cellStyle name="Date 6 2 3" xfId="7949" xr:uid="{00000000-0005-0000-0000-00000E1F0000}"/>
    <cellStyle name="Date 6 2 3 2" xfId="7950" xr:uid="{00000000-0005-0000-0000-00000F1F0000}"/>
    <cellStyle name="Date 6 2 3 2 2" xfId="7951" xr:uid="{00000000-0005-0000-0000-0000101F0000}"/>
    <cellStyle name="Date 6 2 3 2 2 2" xfId="7952" xr:uid="{00000000-0005-0000-0000-0000111F0000}"/>
    <cellStyle name="Date 6 2 3 2 2 3" xfId="7953" xr:uid="{00000000-0005-0000-0000-0000121F0000}"/>
    <cellStyle name="Date 6 2 3 2 3" xfId="7954" xr:uid="{00000000-0005-0000-0000-0000131F0000}"/>
    <cellStyle name="Date 6 2 3 2 3 2" xfId="7955" xr:uid="{00000000-0005-0000-0000-0000141F0000}"/>
    <cellStyle name="Date 6 2 3 2 3 3" xfId="7956" xr:uid="{00000000-0005-0000-0000-0000151F0000}"/>
    <cellStyle name="Date 6 2 3 2 4" xfId="7957" xr:uid="{00000000-0005-0000-0000-0000161F0000}"/>
    <cellStyle name="Date 6 2 3 2 5" xfId="7958" xr:uid="{00000000-0005-0000-0000-0000171F0000}"/>
    <cellStyle name="Date 6 2 3 2 6" xfId="7959" xr:uid="{00000000-0005-0000-0000-0000181F0000}"/>
    <cellStyle name="Date 6 2 3 3" xfId="7960" xr:uid="{00000000-0005-0000-0000-0000191F0000}"/>
    <cellStyle name="Date 6 2 3 3 2" xfId="7961" xr:uid="{00000000-0005-0000-0000-00001A1F0000}"/>
    <cellStyle name="Date 6 2 3 3 3" xfId="7962" xr:uid="{00000000-0005-0000-0000-00001B1F0000}"/>
    <cellStyle name="Date 6 2 3 4" xfId="7963" xr:uid="{00000000-0005-0000-0000-00001C1F0000}"/>
    <cellStyle name="Date 6 2 3 4 2" xfId="7964" xr:uid="{00000000-0005-0000-0000-00001D1F0000}"/>
    <cellStyle name="Date 6 2 3 4 3" xfId="7965" xr:uid="{00000000-0005-0000-0000-00001E1F0000}"/>
    <cellStyle name="Date 6 2 3 5" xfId="7966" xr:uid="{00000000-0005-0000-0000-00001F1F0000}"/>
    <cellStyle name="Date 6 2 3 5 2" xfId="7967" xr:uid="{00000000-0005-0000-0000-0000201F0000}"/>
    <cellStyle name="Date 6 2 3 5 3" xfId="7968" xr:uid="{00000000-0005-0000-0000-0000211F0000}"/>
    <cellStyle name="Date 6 2 3 6" xfId="7969" xr:uid="{00000000-0005-0000-0000-0000221F0000}"/>
    <cellStyle name="Date 6 2 3 7" xfId="7970" xr:uid="{00000000-0005-0000-0000-0000231F0000}"/>
    <cellStyle name="Date 6 2 3 8" xfId="7971" xr:uid="{00000000-0005-0000-0000-0000241F0000}"/>
    <cellStyle name="Date 6 2 4" xfId="7972" xr:uid="{00000000-0005-0000-0000-0000251F0000}"/>
    <cellStyle name="Date 6 2 4 2" xfId="7973" xr:uid="{00000000-0005-0000-0000-0000261F0000}"/>
    <cellStyle name="Date 6 2 4 2 2" xfId="7974" xr:uid="{00000000-0005-0000-0000-0000271F0000}"/>
    <cellStyle name="Date 6 2 4 2 3" xfId="7975" xr:uid="{00000000-0005-0000-0000-0000281F0000}"/>
    <cellStyle name="Date 6 2 4 3" xfId="7976" xr:uid="{00000000-0005-0000-0000-0000291F0000}"/>
    <cellStyle name="Date 6 2 4 3 2" xfId="7977" xr:uid="{00000000-0005-0000-0000-00002A1F0000}"/>
    <cellStyle name="Date 6 2 4 3 3" xfId="7978" xr:uid="{00000000-0005-0000-0000-00002B1F0000}"/>
    <cellStyle name="Date 6 2 4 4" xfId="7979" xr:uid="{00000000-0005-0000-0000-00002C1F0000}"/>
    <cellStyle name="Date 6 2 4 5" xfId="7980" xr:uid="{00000000-0005-0000-0000-00002D1F0000}"/>
    <cellStyle name="Date 6 2 4 6" xfId="7981" xr:uid="{00000000-0005-0000-0000-00002E1F0000}"/>
    <cellStyle name="Date 6 2 5" xfId="7982" xr:uid="{00000000-0005-0000-0000-00002F1F0000}"/>
    <cellStyle name="Date 6 2 5 2" xfId="7983" xr:uid="{00000000-0005-0000-0000-0000301F0000}"/>
    <cellStyle name="Date 6 2 5 3" xfId="7984" xr:uid="{00000000-0005-0000-0000-0000311F0000}"/>
    <cellStyle name="Date 6 2 6" xfId="7985" xr:uid="{00000000-0005-0000-0000-0000321F0000}"/>
    <cellStyle name="Date 6 2 6 2" xfId="7986" xr:uid="{00000000-0005-0000-0000-0000331F0000}"/>
    <cellStyle name="Date 6 2 6 3" xfId="7987" xr:uid="{00000000-0005-0000-0000-0000341F0000}"/>
    <cellStyle name="Date 6 2 7" xfId="7988" xr:uid="{00000000-0005-0000-0000-0000351F0000}"/>
    <cellStyle name="Date 6 2 7 2" xfId="7989" xr:uid="{00000000-0005-0000-0000-0000361F0000}"/>
    <cellStyle name="Date 6 2 7 3" xfId="7990" xr:uid="{00000000-0005-0000-0000-0000371F0000}"/>
    <cellStyle name="Date 6 2 8" xfId="7991" xr:uid="{00000000-0005-0000-0000-0000381F0000}"/>
    <cellStyle name="Date 6 2 9" xfId="7992" xr:uid="{00000000-0005-0000-0000-0000391F0000}"/>
    <cellStyle name="Date 6 3" xfId="7993" xr:uid="{00000000-0005-0000-0000-00003A1F0000}"/>
    <cellStyle name="Date 6 3 2" xfId="7994" xr:uid="{00000000-0005-0000-0000-00003B1F0000}"/>
    <cellStyle name="Date 6 3 2 2" xfId="7995" xr:uid="{00000000-0005-0000-0000-00003C1F0000}"/>
    <cellStyle name="Date 6 3 2 2 2" xfId="7996" xr:uid="{00000000-0005-0000-0000-00003D1F0000}"/>
    <cellStyle name="Date 6 3 2 2 3" xfId="7997" xr:uid="{00000000-0005-0000-0000-00003E1F0000}"/>
    <cellStyle name="Date 6 3 2 3" xfId="7998" xr:uid="{00000000-0005-0000-0000-00003F1F0000}"/>
    <cellStyle name="Date 6 3 2 3 2" xfId="7999" xr:uid="{00000000-0005-0000-0000-0000401F0000}"/>
    <cellStyle name="Date 6 3 2 3 3" xfId="8000" xr:uid="{00000000-0005-0000-0000-0000411F0000}"/>
    <cellStyle name="Date 6 3 2 4" xfId="8001" xr:uid="{00000000-0005-0000-0000-0000421F0000}"/>
    <cellStyle name="Date 6 3 2 5" xfId="8002" xr:uid="{00000000-0005-0000-0000-0000431F0000}"/>
    <cellStyle name="Date 6 3 2 6" xfId="8003" xr:uid="{00000000-0005-0000-0000-0000441F0000}"/>
    <cellStyle name="Date 6 3 3" xfId="8004" xr:uid="{00000000-0005-0000-0000-0000451F0000}"/>
    <cellStyle name="Date 6 3 3 2" xfId="8005" xr:uid="{00000000-0005-0000-0000-0000461F0000}"/>
    <cellStyle name="Date 6 3 3 3" xfId="8006" xr:uid="{00000000-0005-0000-0000-0000471F0000}"/>
    <cellStyle name="Date 6 3 4" xfId="8007" xr:uid="{00000000-0005-0000-0000-0000481F0000}"/>
    <cellStyle name="Date 6 3 4 2" xfId="8008" xr:uid="{00000000-0005-0000-0000-0000491F0000}"/>
    <cellStyle name="Date 6 3 4 3" xfId="8009" xr:uid="{00000000-0005-0000-0000-00004A1F0000}"/>
    <cellStyle name="Date 6 3 5" xfId="8010" xr:uid="{00000000-0005-0000-0000-00004B1F0000}"/>
    <cellStyle name="Date 6 3 5 2" xfId="8011" xr:uid="{00000000-0005-0000-0000-00004C1F0000}"/>
    <cellStyle name="Date 6 3 5 3" xfId="8012" xr:uid="{00000000-0005-0000-0000-00004D1F0000}"/>
    <cellStyle name="Date 6 3 6" xfId="8013" xr:uid="{00000000-0005-0000-0000-00004E1F0000}"/>
    <cellStyle name="Date 6 3 7" xfId="8014" xr:uid="{00000000-0005-0000-0000-00004F1F0000}"/>
    <cellStyle name="Date 6 3 8" xfId="8015" xr:uid="{00000000-0005-0000-0000-0000501F0000}"/>
    <cellStyle name="Date 6 4" xfId="8016" xr:uid="{00000000-0005-0000-0000-0000511F0000}"/>
    <cellStyle name="Date 6 4 2" xfId="8017" xr:uid="{00000000-0005-0000-0000-0000521F0000}"/>
    <cellStyle name="Date 6 4 2 2" xfId="8018" xr:uid="{00000000-0005-0000-0000-0000531F0000}"/>
    <cellStyle name="Date 6 4 2 2 2" xfId="8019" xr:uid="{00000000-0005-0000-0000-0000541F0000}"/>
    <cellStyle name="Date 6 4 2 2 3" xfId="8020" xr:uid="{00000000-0005-0000-0000-0000551F0000}"/>
    <cellStyle name="Date 6 4 2 3" xfId="8021" xr:uid="{00000000-0005-0000-0000-0000561F0000}"/>
    <cellStyle name="Date 6 4 2 3 2" xfId="8022" xr:uid="{00000000-0005-0000-0000-0000571F0000}"/>
    <cellStyle name="Date 6 4 2 3 3" xfId="8023" xr:uid="{00000000-0005-0000-0000-0000581F0000}"/>
    <cellStyle name="Date 6 4 2 4" xfId="8024" xr:uid="{00000000-0005-0000-0000-0000591F0000}"/>
    <cellStyle name="Date 6 4 2 5" xfId="8025" xr:uid="{00000000-0005-0000-0000-00005A1F0000}"/>
    <cellStyle name="Date 6 4 2 6" xfId="8026" xr:uid="{00000000-0005-0000-0000-00005B1F0000}"/>
    <cellStyle name="Date 6 4 3" xfId="8027" xr:uid="{00000000-0005-0000-0000-00005C1F0000}"/>
    <cellStyle name="Date 6 4 3 2" xfId="8028" xr:uid="{00000000-0005-0000-0000-00005D1F0000}"/>
    <cellStyle name="Date 6 4 3 3" xfId="8029" xr:uid="{00000000-0005-0000-0000-00005E1F0000}"/>
    <cellStyle name="Date 6 4 4" xfId="8030" xr:uid="{00000000-0005-0000-0000-00005F1F0000}"/>
    <cellStyle name="Date 6 4 4 2" xfId="8031" xr:uid="{00000000-0005-0000-0000-0000601F0000}"/>
    <cellStyle name="Date 6 4 4 3" xfId="8032" xr:uid="{00000000-0005-0000-0000-0000611F0000}"/>
    <cellStyle name="Date 6 4 5" xfId="8033" xr:uid="{00000000-0005-0000-0000-0000621F0000}"/>
    <cellStyle name="Date 6 4 5 2" xfId="8034" xr:uid="{00000000-0005-0000-0000-0000631F0000}"/>
    <cellStyle name="Date 6 4 5 3" xfId="8035" xr:uid="{00000000-0005-0000-0000-0000641F0000}"/>
    <cellStyle name="Date 6 4 6" xfId="8036" xr:uid="{00000000-0005-0000-0000-0000651F0000}"/>
    <cellStyle name="Date 6 4 7" xfId="8037" xr:uid="{00000000-0005-0000-0000-0000661F0000}"/>
    <cellStyle name="Date 6 4 8" xfId="8038" xr:uid="{00000000-0005-0000-0000-0000671F0000}"/>
    <cellStyle name="Date 6 5" xfId="8039" xr:uid="{00000000-0005-0000-0000-0000681F0000}"/>
    <cellStyle name="Date 6 5 2" xfId="8040" xr:uid="{00000000-0005-0000-0000-0000691F0000}"/>
    <cellStyle name="Date 6 5 2 2" xfId="8041" xr:uid="{00000000-0005-0000-0000-00006A1F0000}"/>
    <cellStyle name="Date 6 5 2 2 2" xfId="8042" xr:uid="{00000000-0005-0000-0000-00006B1F0000}"/>
    <cellStyle name="Date 6 5 2 2 3" xfId="8043" xr:uid="{00000000-0005-0000-0000-00006C1F0000}"/>
    <cellStyle name="Date 6 5 2 3" xfId="8044" xr:uid="{00000000-0005-0000-0000-00006D1F0000}"/>
    <cellStyle name="Date 6 5 2 3 2" xfId="8045" xr:uid="{00000000-0005-0000-0000-00006E1F0000}"/>
    <cellStyle name="Date 6 5 2 3 3" xfId="8046" xr:uid="{00000000-0005-0000-0000-00006F1F0000}"/>
    <cellStyle name="Date 6 5 2 4" xfId="8047" xr:uid="{00000000-0005-0000-0000-0000701F0000}"/>
    <cellStyle name="Date 6 5 2 5" xfId="8048" xr:uid="{00000000-0005-0000-0000-0000711F0000}"/>
    <cellStyle name="Date 6 5 2 6" xfId="8049" xr:uid="{00000000-0005-0000-0000-0000721F0000}"/>
    <cellStyle name="Date 6 5 3" xfId="8050" xr:uid="{00000000-0005-0000-0000-0000731F0000}"/>
    <cellStyle name="Date 6 5 3 2" xfId="8051" xr:uid="{00000000-0005-0000-0000-0000741F0000}"/>
    <cellStyle name="Date 6 5 3 3" xfId="8052" xr:uid="{00000000-0005-0000-0000-0000751F0000}"/>
    <cellStyle name="Date 6 5 4" xfId="8053" xr:uid="{00000000-0005-0000-0000-0000761F0000}"/>
    <cellStyle name="Date 6 5 4 2" xfId="8054" xr:uid="{00000000-0005-0000-0000-0000771F0000}"/>
    <cellStyle name="Date 6 5 4 3" xfId="8055" xr:uid="{00000000-0005-0000-0000-0000781F0000}"/>
    <cellStyle name="Date 6 5 5" xfId="8056" xr:uid="{00000000-0005-0000-0000-0000791F0000}"/>
    <cellStyle name="Date 6 5 5 2" xfId="8057" xr:uid="{00000000-0005-0000-0000-00007A1F0000}"/>
    <cellStyle name="Date 6 5 5 3" xfId="8058" xr:uid="{00000000-0005-0000-0000-00007B1F0000}"/>
    <cellStyle name="Date 6 5 6" xfId="8059" xr:uid="{00000000-0005-0000-0000-00007C1F0000}"/>
    <cellStyle name="Date 6 5 7" xfId="8060" xr:uid="{00000000-0005-0000-0000-00007D1F0000}"/>
    <cellStyle name="Date 6 5 8" xfId="8061" xr:uid="{00000000-0005-0000-0000-00007E1F0000}"/>
    <cellStyle name="Date 6 6" xfId="8062" xr:uid="{00000000-0005-0000-0000-00007F1F0000}"/>
    <cellStyle name="Date 6 6 2" xfId="8063" xr:uid="{00000000-0005-0000-0000-0000801F0000}"/>
    <cellStyle name="Date 6 6 2 2" xfId="8064" xr:uid="{00000000-0005-0000-0000-0000811F0000}"/>
    <cellStyle name="Date 6 6 2 3" xfId="8065" xr:uid="{00000000-0005-0000-0000-0000821F0000}"/>
    <cellStyle name="Date 6 6 3" xfId="8066" xr:uid="{00000000-0005-0000-0000-0000831F0000}"/>
    <cellStyle name="Date 6 6 3 2" xfId="8067" xr:uid="{00000000-0005-0000-0000-0000841F0000}"/>
    <cellStyle name="Date 6 6 3 3" xfId="8068" xr:uid="{00000000-0005-0000-0000-0000851F0000}"/>
    <cellStyle name="Date 6 6 4" xfId="8069" xr:uid="{00000000-0005-0000-0000-0000861F0000}"/>
    <cellStyle name="Date 6 6 5" xfId="8070" xr:uid="{00000000-0005-0000-0000-0000871F0000}"/>
    <cellStyle name="Date 6 6 6" xfId="8071" xr:uid="{00000000-0005-0000-0000-0000881F0000}"/>
    <cellStyle name="Date 6 7" xfId="8072" xr:uid="{00000000-0005-0000-0000-0000891F0000}"/>
    <cellStyle name="Date 6 7 2" xfId="8073" xr:uid="{00000000-0005-0000-0000-00008A1F0000}"/>
    <cellStyle name="Date 6 7 3" xfId="8074" xr:uid="{00000000-0005-0000-0000-00008B1F0000}"/>
    <cellStyle name="Date 6 7 4" xfId="8075" xr:uid="{00000000-0005-0000-0000-00008C1F0000}"/>
    <cellStyle name="Date 6 8" xfId="8076" xr:uid="{00000000-0005-0000-0000-00008D1F0000}"/>
    <cellStyle name="Date 6 8 2" xfId="8077" xr:uid="{00000000-0005-0000-0000-00008E1F0000}"/>
    <cellStyle name="Date 6 8 3" xfId="8078" xr:uid="{00000000-0005-0000-0000-00008F1F0000}"/>
    <cellStyle name="Date 6 9" xfId="8079" xr:uid="{00000000-0005-0000-0000-0000901F0000}"/>
    <cellStyle name="Date 6 9 2" xfId="8080" xr:uid="{00000000-0005-0000-0000-0000911F0000}"/>
    <cellStyle name="Date 6 9 3" xfId="8081" xr:uid="{00000000-0005-0000-0000-0000921F0000}"/>
    <cellStyle name="Date 7" xfId="8082" xr:uid="{00000000-0005-0000-0000-0000931F0000}"/>
    <cellStyle name="Date 7 10" xfId="8083" xr:uid="{00000000-0005-0000-0000-0000941F0000}"/>
    <cellStyle name="Date 7 11" xfId="8084" xr:uid="{00000000-0005-0000-0000-0000951F0000}"/>
    <cellStyle name="Date 7 12" xfId="8085" xr:uid="{00000000-0005-0000-0000-0000961F0000}"/>
    <cellStyle name="Date 7 2" xfId="8086" xr:uid="{00000000-0005-0000-0000-0000971F0000}"/>
    <cellStyle name="Date 7 2 10" xfId="8087" xr:uid="{00000000-0005-0000-0000-0000981F0000}"/>
    <cellStyle name="Date 7 2 2" xfId="8088" xr:uid="{00000000-0005-0000-0000-0000991F0000}"/>
    <cellStyle name="Date 7 2 2 2" xfId="8089" xr:uid="{00000000-0005-0000-0000-00009A1F0000}"/>
    <cellStyle name="Date 7 2 2 2 2" xfId="8090" xr:uid="{00000000-0005-0000-0000-00009B1F0000}"/>
    <cellStyle name="Date 7 2 2 2 2 2" xfId="8091" xr:uid="{00000000-0005-0000-0000-00009C1F0000}"/>
    <cellStyle name="Date 7 2 2 2 2 3" xfId="8092" xr:uid="{00000000-0005-0000-0000-00009D1F0000}"/>
    <cellStyle name="Date 7 2 2 2 3" xfId="8093" xr:uid="{00000000-0005-0000-0000-00009E1F0000}"/>
    <cellStyle name="Date 7 2 2 2 3 2" xfId="8094" xr:uid="{00000000-0005-0000-0000-00009F1F0000}"/>
    <cellStyle name="Date 7 2 2 2 3 3" xfId="8095" xr:uid="{00000000-0005-0000-0000-0000A01F0000}"/>
    <cellStyle name="Date 7 2 2 2 4" xfId="8096" xr:uid="{00000000-0005-0000-0000-0000A11F0000}"/>
    <cellStyle name="Date 7 2 2 2 5" xfId="8097" xr:uid="{00000000-0005-0000-0000-0000A21F0000}"/>
    <cellStyle name="Date 7 2 2 2 6" xfId="8098" xr:uid="{00000000-0005-0000-0000-0000A31F0000}"/>
    <cellStyle name="Date 7 2 2 3" xfId="8099" xr:uid="{00000000-0005-0000-0000-0000A41F0000}"/>
    <cellStyle name="Date 7 2 2 3 2" xfId="8100" xr:uid="{00000000-0005-0000-0000-0000A51F0000}"/>
    <cellStyle name="Date 7 2 2 3 3" xfId="8101" xr:uid="{00000000-0005-0000-0000-0000A61F0000}"/>
    <cellStyle name="Date 7 2 2 4" xfId="8102" xr:uid="{00000000-0005-0000-0000-0000A71F0000}"/>
    <cellStyle name="Date 7 2 2 4 2" xfId="8103" xr:uid="{00000000-0005-0000-0000-0000A81F0000}"/>
    <cellStyle name="Date 7 2 2 4 3" xfId="8104" xr:uid="{00000000-0005-0000-0000-0000A91F0000}"/>
    <cellStyle name="Date 7 2 2 5" xfId="8105" xr:uid="{00000000-0005-0000-0000-0000AA1F0000}"/>
    <cellStyle name="Date 7 2 2 5 2" xfId="8106" xr:uid="{00000000-0005-0000-0000-0000AB1F0000}"/>
    <cellStyle name="Date 7 2 2 5 3" xfId="8107" xr:uid="{00000000-0005-0000-0000-0000AC1F0000}"/>
    <cellStyle name="Date 7 2 2 6" xfId="8108" xr:uid="{00000000-0005-0000-0000-0000AD1F0000}"/>
    <cellStyle name="Date 7 2 2 7" xfId="8109" xr:uid="{00000000-0005-0000-0000-0000AE1F0000}"/>
    <cellStyle name="Date 7 2 2 8" xfId="8110" xr:uid="{00000000-0005-0000-0000-0000AF1F0000}"/>
    <cellStyle name="Date 7 2 3" xfId="8111" xr:uid="{00000000-0005-0000-0000-0000B01F0000}"/>
    <cellStyle name="Date 7 2 3 2" xfId="8112" xr:uid="{00000000-0005-0000-0000-0000B11F0000}"/>
    <cellStyle name="Date 7 2 3 2 2" xfId="8113" xr:uid="{00000000-0005-0000-0000-0000B21F0000}"/>
    <cellStyle name="Date 7 2 3 2 2 2" xfId="8114" xr:uid="{00000000-0005-0000-0000-0000B31F0000}"/>
    <cellStyle name="Date 7 2 3 2 2 3" xfId="8115" xr:uid="{00000000-0005-0000-0000-0000B41F0000}"/>
    <cellStyle name="Date 7 2 3 2 3" xfId="8116" xr:uid="{00000000-0005-0000-0000-0000B51F0000}"/>
    <cellStyle name="Date 7 2 3 2 3 2" xfId="8117" xr:uid="{00000000-0005-0000-0000-0000B61F0000}"/>
    <cellStyle name="Date 7 2 3 2 3 3" xfId="8118" xr:uid="{00000000-0005-0000-0000-0000B71F0000}"/>
    <cellStyle name="Date 7 2 3 2 4" xfId="8119" xr:uid="{00000000-0005-0000-0000-0000B81F0000}"/>
    <cellStyle name="Date 7 2 3 2 5" xfId="8120" xr:uid="{00000000-0005-0000-0000-0000B91F0000}"/>
    <cellStyle name="Date 7 2 3 2 6" xfId="8121" xr:uid="{00000000-0005-0000-0000-0000BA1F0000}"/>
    <cellStyle name="Date 7 2 3 3" xfId="8122" xr:uid="{00000000-0005-0000-0000-0000BB1F0000}"/>
    <cellStyle name="Date 7 2 3 3 2" xfId="8123" xr:uid="{00000000-0005-0000-0000-0000BC1F0000}"/>
    <cellStyle name="Date 7 2 3 3 3" xfId="8124" xr:uid="{00000000-0005-0000-0000-0000BD1F0000}"/>
    <cellStyle name="Date 7 2 3 4" xfId="8125" xr:uid="{00000000-0005-0000-0000-0000BE1F0000}"/>
    <cellStyle name="Date 7 2 3 4 2" xfId="8126" xr:uid="{00000000-0005-0000-0000-0000BF1F0000}"/>
    <cellStyle name="Date 7 2 3 4 3" xfId="8127" xr:uid="{00000000-0005-0000-0000-0000C01F0000}"/>
    <cellStyle name="Date 7 2 3 5" xfId="8128" xr:uid="{00000000-0005-0000-0000-0000C11F0000}"/>
    <cellStyle name="Date 7 2 3 5 2" xfId="8129" xr:uid="{00000000-0005-0000-0000-0000C21F0000}"/>
    <cellStyle name="Date 7 2 3 5 3" xfId="8130" xr:uid="{00000000-0005-0000-0000-0000C31F0000}"/>
    <cellStyle name="Date 7 2 3 6" xfId="8131" xr:uid="{00000000-0005-0000-0000-0000C41F0000}"/>
    <cellStyle name="Date 7 2 3 7" xfId="8132" xr:uid="{00000000-0005-0000-0000-0000C51F0000}"/>
    <cellStyle name="Date 7 2 3 8" xfId="8133" xr:uid="{00000000-0005-0000-0000-0000C61F0000}"/>
    <cellStyle name="Date 7 2 4" xfId="8134" xr:uid="{00000000-0005-0000-0000-0000C71F0000}"/>
    <cellStyle name="Date 7 2 4 2" xfId="8135" xr:uid="{00000000-0005-0000-0000-0000C81F0000}"/>
    <cellStyle name="Date 7 2 4 2 2" xfId="8136" xr:uid="{00000000-0005-0000-0000-0000C91F0000}"/>
    <cellStyle name="Date 7 2 4 2 3" xfId="8137" xr:uid="{00000000-0005-0000-0000-0000CA1F0000}"/>
    <cellStyle name="Date 7 2 4 3" xfId="8138" xr:uid="{00000000-0005-0000-0000-0000CB1F0000}"/>
    <cellStyle name="Date 7 2 4 3 2" xfId="8139" xr:uid="{00000000-0005-0000-0000-0000CC1F0000}"/>
    <cellStyle name="Date 7 2 4 3 3" xfId="8140" xr:uid="{00000000-0005-0000-0000-0000CD1F0000}"/>
    <cellStyle name="Date 7 2 4 4" xfId="8141" xr:uid="{00000000-0005-0000-0000-0000CE1F0000}"/>
    <cellStyle name="Date 7 2 4 5" xfId="8142" xr:uid="{00000000-0005-0000-0000-0000CF1F0000}"/>
    <cellStyle name="Date 7 2 4 6" xfId="8143" xr:uid="{00000000-0005-0000-0000-0000D01F0000}"/>
    <cellStyle name="Date 7 2 5" xfId="8144" xr:uid="{00000000-0005-0000-0000-0000D11F0000}"/>
    <cellStyle name="Date 7 2 5 2" xfId="8145" xr:uid="{00000000-0005-0000-0000-0000D21F0000}"/>
    <cellStyle name="Date 7 2 5 3" xfId="8146" xr:uid="{00000000-0005-0000-0000-0000D31F0000}"/>
    <cellStyle name="Date 7 2 6" xfId="8147" xr:uid="{00000000-0005-0000-0000-0000D41F0000}"/>
    <cellStyle name="Date 7 2 6 2" xfId="8148" xr:uid="{00000000-0005-0000-0000-0000D51F0000}"/>
    <cellStyle name="Date 7 2 6 3" xfId="8149" xr:uid="{00000000-0005-0000-0000-0000D61F0000}"/>
    <cellStyle name="Date 7 2 7" xfId="8150" xr:uid="{00000000-0005-0000-0000-0000D71F0000}"/>
    <cellStyle name="Date 7 2 7 2" xfId="8151" xr:uid="{00000000-0005-0000-0000-0000D81F0000}"/>
    <cellStyle name="Date 7 2 7 3" xfId="8152" xr:uid="{00000000-0005-0000-0000-0000D91F0000}"/>
    <cellStyle name="Date 7 2 8" xfId="8153" xr:uid="{00000000-0005-0000-0000-0000DA1F0000}"/>
    <cellStyle name="Date 7 2 9" xfId="8154" xr:uid="{00000000-0005-0000-0000-0000DB1F0000}"/>
    <cellStyle name="Date 7 3" xfId="8155" xr:uid="{00000000-0005-0000-0000-0000DC1F0000}"/>
    <cellStyle name="Date 7 3 2" xfId="8156" xr:uid="{00000000-0005-0000-0000-0000DD1F0000}"/>
    <cellStyle name="Date 7 3 2 2" xfId="8157" xr:uid="{00000000-0005-0000-0000-0000DE1F0000}"/>
    <cellStyle name="Date 7 3 2 2 2" xfId="8158" xr:uid="{00000000-0005-0000-0000-0000DF1F0000}"/>
    <cellStyle name="Date 7 3 2 2 3" xfId="8159" xr:uid="{00000000-0005-0000-0000-0000E01F0000}"/>
    <cellStyle name="Date 7 3 2 3" xfId="8160" xr:uid="{00000000-0005-0000-0000-0000E11F0000}"/>
    <cellStyle name="Date 7 3 2 3 2" xfId="8161" xr:uid="{00000000-0005-0000-0000-0000E21F0000}"/>
    <cellStyle name="Date 7 3 2 3 3" xfId="8162" xr:uid="{00000000-0005-0000-0000-0000E31F0000}"/>
    <cellStyle name="Date 7 3 2 4" xfId="8163" xr:uid="{00000000-0005-0000-0000-0000E41F0000}"/>
    <cellStyle name="Date 7 3 2 5" xfId="8164" xr:uid="{00000000-0005-0000-0000-0000E51F0000}"/>
    <cellStyle name="Date 7 3 2 6" xfId="8165" xr:uid="{00000000-0005-0000-0000-0000E61F0000}"/>
    <cellStyle name="Date 7 3 3" xfId="8166" xr:uid="{00000000-0005-0000-0000-0000E71F0000}"/>
    <cellStyle name="Date 7 3 3 2" xfId="8167" xr:uid="{00000000-0005-0000-0000-0000E81F0000}"/>
    <cellStyle name="Date 7 3 3 3" xfId="8168" xr:uid="{00000000-0005-0000-0000-0000E91F0000}"/>
    <cellStyle name="Date 7 3 4" xfId="8169" xr:uid="{00000000-0005-0000-0000-0000EA1F0000}"/>
    <cellStyle name="Date 7 3 4 2" xfId="8170" xr:uid="{00000000-0005-0000-0000-0000EB1F0000}"/>
    <cellStyle name="Date 7 3 4 3" xfId="8171" xr:uid="{00000000-0005-0000-0000-0000EC1F0000}"/>
    <cellStyle name="Date 7 3 5" xfId="8172" xr:uid="{00000000-0005-0000-0000-0000ED1F0000}"/>
    <cellStyle name="Date 7 3 5 2" xfId="8173" xr:uid="{00000000-0005-0000-0000-0000EE1F0000}"/>
    <cellStyle name="Date 7 3 5 3" xfId="8174" xr:uid="{00000000-0005-0000-0000-0000EF1F0000}"/>
    <cellStyle name="Date 7 3 6" xfId="8175" xr:uid="{00000000-0005-0000-0000-0000F01F0000}"/>
    <cellStyle name="Date 7 3 7" xfId="8176" xr:uid="{00000000-0005-0000-0000-0000F11F0000}"/>
    <cellStyle name="Date 7 3 8" xfId="8177" xr:uid="{00000000-0005-0000-0000-0000F21F0000}"/>
    <cellStyle name="Date 7 4" xfId="8178" xr:uid="{00000000-0005-0000-0000-0000F31F0000}"/>
    <cellStyle name="Date 7 4 2" xfId="8179" xr:uid="{00000000-0005-0000-0000-0000F41F0000}"/>
    <cellStyle name="Date 7 4 2 2" xfId="8180" xr:uid="{00000000-0005-0000-0000-0000F51F0000}"/>
    <cellStyle name="Date 7 4 2 2 2" xfId="8181" xr:uid="{00000000-0005-0000-0000-0000F61F0000}"/>
    <cellStyle name="Date 7 4 2 2 3" xfId="8182" xr:uid="{00000000-0005-0000-0000-0000F71F0000}"/>
    <cellStyle name="Date 7 4 2 3" xfId="8183" xr:uid="{00000000-0005-0000-0000-0000F81F0000}"/>
    <cellStyle name="Date 7 4 2 3 2" xfId="8184" xr:uid="{00000000-0005-0000-0000-0000F91F0000}"/>
    <cellStyle name="Date 7 4 2 3 3" xfId="8185" xr:uid="{00000000-0005-0000-0000-0000FA1F0000}"/>
    <cellStyle name="Date 7 4 2 4" xfId="8186" xr:uid="{00000000-0005-0000-0000-0000FB1F0000}"/>
    <cellStyle name="Date 7 4 2 5" xfId="8187" xr:uid="{00000000-0005-0000-0000-0000FC1F0000}"/>
    <cellStyle name="Date 7 4 2 6" xfId="8188" xr:uid="{00000000-0005-0000-0000-0000FD1F0000}"/>
    <cellStyle name="Date 7 4 3" xfId="8189" xr:uid="{00000000-0005-0000-0000-0000FE1F0000}"/>
    <cellStyle name="Date 7 4 3 2" xfId="8190" xr:uid="{00000000-0005-0000-0000-0000FF1F0000}"/>
    <cellStyle name="Date 7 4 3 3" xfId="8191" xr:uid="{00000000-0005-0000-0000-000000200000}"/>
    <cellStyle name="Date 7 4 4" xfId="8192" xr:uid="{00000000-0005-0000-0000-000001200000}"/>
    <cellStyle name="Date 7 4 4 2" xfId="8193" xr:uid="{00000000-0005-0000-0000-000002200000}"/>
    <cellStyle name="Date 7 4 4 3" xfId="8194" xr:uid="{00000000-0005-0000-0000-000003200000}"/>
    <cellStyle name="Date 7 4 5" xfId="8195" xr:uid="{00000000-0005-0000-0000-000004200000}"/>
    <cellStyle name="Date 7 4 5 2" xfId="8196" xr:uid="{00000000-0005-0000-0000-000005200000}"/>
    <cellStyle name="Date 7 4 5 3" xfId="8197" xr:uid="{00000000-0005-0000-0000-000006200000}"/>
    <cellStyle name="Date 7 4 6" xfId="8198" xr:uid="{00000000-0005-0000-0000-000007200000}"/>
    <cellStyle name="Date 7 4 7" xfId="8199" xr:uid="{00000000-0005-0000-0000-000008200000}"/>
    <cellStyle name="Date 7 4 8" xfId="8200" xr:uid="{00000000-0005-0000-0000-000009200000}"/>
    <cellStyle name="Date 7 5" xfId="8201" xr:uid="{00000000-0005-0000-0000-00000A200000}"/>
    <cellStyle name="Date 7 5 2" xfId="8202" xr:uid="{00000000-0005-0000-0000-00000B200000}"/>
    <cellStyle name="Date 7 5 2 2" xfId="8203" xr:uid="{00000000-0005-0000-0000-00000C200000}"/>
    <cellStyle name="Date 7 5 2 2 2" xfId="8204" xr:uid="{00000000-0005-0000-0000-00000D200000}"/>
    <cellStyle name="Date 7 5 2 2 3" xfId="8205" xr:uid="{00000000-0005-0000-0000-00000E200000}"/>
    <cellStyle name="Date 7 5 2 3" xfId="8206" xr:uid="{00000000-0005-0000-0000-00000F200000}"/>
    <cellStyle name="Date 7 5 2 3 2" xfId="8207" xr:uid="{00000000-0005-0000-0000-000010200000}"/>
    <cellStyle name="Date 7 5 2 3 3" xfId="8208" xr:uid="{00000000-0005-0000-0000-000011200000}"/>
    <cellStyle name="Date 7 5 2 4" xfId="8209" xr:uid="{00000000-0005-0000-0000-000012200000}"/>
    <cellStyle name="Date 7 5 2 5" xfId="8210" xr:uid="{00000000-0005-0000-0000-000013200000}"/>
    <cellStyle name="Date 7 5 2 6" xfId="8211" xr:uid="{00000000-0005-0000-0000-000014200000}"/>
    <cellStyle name="Date 7 5 3" xfId="8212" xr:uid="{00000000-0005-0000-0000-000015200000}"/>
    <cellStyle name="Date 7 5 3 2" xfId="8213" xr:uid="{00000000-0005-0000-0000-000016200000}"/>
    <cellStyle name="Date 7 5 3 3" xfId="8214" xr:uid="{00000000-0005-0000-0000-000017200000}"/>
    <cellStyle name="Date 7 5 4" xfId="8215" xr:uid="{00000000-0005-0000-0000-000018200000}"/>
    <cellStyle name="Date 7 5 4 2" xfId="8216" xr:uid="{00000000-0005-0000-0000-000019200000}"/>
    <cellStyle name="Date 7 5 4 3" xfId="8217" xr:uid="{00000000-0005-0000-0000-00001A200000}"/>
    <cellStyle name="Date 7 5 5" xfId="8218" xr:uid="{00000000-0005-0000-0000-00001B200000}"/>
    <cellStyle name="Date 7 5 5 2" xfId="8219" xr:uid="{00000000-0005-0000-0000-00001C200000}"/>
    <cellStyle name="Date 7 5 5 3" xfId="8220" xr:uid="{00000000-0005-0000-0000-00001D200000}"/>
    <cellStyle name="Date 7 5 6" xfId="8221" xr:uid="{00000000-0005-0000-0000-00001E200000}"/>
    <cellStyle name="Date 7 5 7" xfId="8222" xr:uid="{00000000-0005-0000-0000-00001F200000}"/>
    <cellStyle name="Date 7 5 8" xfId="8223" xr:uid="{00000000-0005-0000-0000-000020200000}"/>
    <cellStyle name="Date 7 6" xfId="8224" xr:uid="{00000000-0005-0000-0000-000021200000}"/>
    <cellStyle name="Date 7 6 2" xfId="8225" xr:uid="{00000000-0005-0000-0000-000022200000}"/>
    <cellStyle name="Date 7 6 2 2" xfId="8226" xr:uid="{00000000-0005-0000-0000-000023200000}"/>
    <cellStyle name="Date 7 6 2 3" xfId="8227" xr:uid="{00000000-0005-0000-0000-000024200000}"/>
    <cellStyle name="Date 7 6 3" xfId="8228" xr:uid="{00000000-0005-0000-0000-000025200000}"/>
    <cellStyle name="Date 7 6 3 2" xfId="8229" xr:uid="{00000000-0005-0000-0000-000026200000}"/>
    <cellStyle name="Date 7 6 3 3" xfId="8230" xr:uid="{00000000-0005-0000-0000-000027200000}"/>
    <cellStyle name="Date 7 6 4" xfId="8231" xr:uid="{00000000-0005-0000-0000-000028200000}"/>
    <cellStyle name="Date 7 6 5" xfId="8232" xr:uid="{00000000-0005-0000-0000-000029200000}"/>
    <cellStyle name="Date 7 6 6" xfId="8233" xr:uid="{00000000-0005-0000-0000-00002A200000}"/>
    <cellStyle name="Date 7 7" xfId="8234" xr:uid="{00000000-0005-0000-0000-00002B200000}"/>
    <cellStyle name="Date 7 7 2" xfId="8235" xr:uid="{00000000-0005-0000-0000-00002C200000}"/>
    <cellStyle name="Date 7 7 3" xfId="8236" xr:uid="{00000000-0005-0000-0000-00002D200000}"/>
    <cellStyle name="Date 7 7 4" xfId="8237" xr:uid="{00000000-0005-0000-0000-00002E200000}"/>
    <cellStyle name="Date 7 8" xfId="8238" xr:uid="{00000000-0005-0000-0000-00002F200000}"/>
    <cellStyle name="Date 7 8 2" xfId="8239" xr:uid="{00000000-0005-0000-0000-000030200000}"/>
    <cellStyle name="Date 7 8 3" xfId="8240" xr:uid="{00000000-0005-0000-0000-000031200000}"/>
    <cellStyle name="Date 7 9" xfId="8241" xr:uid="{00000000-0005-0000-0000-000032200000}"/>
    <cellStyle name="Date 7 9 2" xfId="8242" xr:uid="{00000000-0005-0000-0000-000033200000}"/>
    <cellStyle name="Date 7 9 3" xfId="8243" xr:uid="{00000000-0005-0000-0000-000034200000}"/>
    <cellStyle name="Date 8" xfId="8244" xr:uid="{00000000-0005-0000-0000-000035200000}"/>
    <cellStyle name="Date 8 10" xfId="8245" xr:uid="{00000000-0005-0000-0000-000036200000}"/>
    <cellStyle name="Date 8 11" xfId="8246" xr:uid="{00000000-0005-0000-0000-000037200000}"/>
    <cellStyle name="Date 8 12" xfId="8247" xr:uid="{00000000-0005-0000-0000-000038200000}"/>
    <cellStyle name="Date 8 2" xfId="8248" xr:uid="{00000000-0005-0000-0000-000039200000}"/>
    <cellStyle name="Date 8 2 10" xfId="8249" xr:uid="{00000000-0005-0000-0000-00003A200000}"/>
    <cellStyle name="Date 8 2 2" xfId="8250" xr:uid="{00000000-0005-0000-0000-00003B200000}"/>
    <cellStyle name="Date 8 2 2 2" xfId="8251" xr:uid="{00000000-0005-0000-0000-00003C200000}"/>
    <cellStyle name="Date 8 2 2 2 2" xfId="8252" xr:uid="{00000000-0005-0000-0000-00003D200000}"/>
    <cellStyle name="Date 8 2 2 2 2 2" xfId="8253" xr:uid="{00000000-0005-0000-0000-00003E200000}"/>
    <cellStyle name="Date 8 2 2 2 2 3" xfId="8254" xr:uid="{00000000-0005-0000-0000-00003F200000}"/>
    <cellStyle name="Date 8 2 2 2 3" xfId="8255" xr:uid="{00000000-0005-0000-0000-000040200000}"/>
    <cellStyle name="Date 8 2 2 2 3 2" xfId="8256" xr:uid="{00000000-0005-0000-0000-000041200000}"/>
    <cellStyle name="Date 8 2 2 2 3 3" xfId="8257" xr:uid="{00000000-0005-0000-0000-000042200000}"/>
    <cellStyle name="Date 8 2 2 2 4" xfId="8258" xr:uid="{00000000-0005-0000-0000-000043200000}"/>
    <cellStyle name="Date 8 2 2 2 5" xfId="8259" xr:uid="{00000000-0005-0000-0000-000044200000}"/>
    <cellStyle name="Date 8 2 2 2 6" xfId="8260" xr:uid="{00000000-0005-0000-0000-000045200000}"/>
    <cellStyle name="Date 8 2 2 3" xfId="8261" xr:uid="{00000000-0005-0000-0000-000046200000}"/>
    <cellStyle name="Date 8 2 2 3 2" xfId="8262" xr:uid="{00000000-0005-0000-0000-000047200000}"/>
    <cellStyle name="Date 8 2 2 3 3" xfId="8263" xr:uid="{00000000-0005-0000-0000-000048200000}"/>
    <cellStyle name="Date 8 2 2 4" xfId="8264" xr:uid="{00000000-0005-0000-0000-000049200000}"/>
    <cellStyle name="Date 8 2 2 4 2" xfId="8265" xr:uid="{00000000-0005-0000-0000-00004A200000}"/>
    <cellStyle name="Date 8 2 2 4 3" xfId="8266" xr:uid="{00000000-0005-0000-0000-00004B200000}"/>
    <cellStyle name="Date 8 2 2 5" xfId="8267" xr:uid="{00000000-0005-0000-0000-00004C200000}"/>
    <cellStyle name="Date 8 2 2 5 2" xfId="8268" xr:uid="{00000000-0005-0000-0000-00004D200000}"/>
    <cellStyle name="Date 8 2 2 5 3" xfId="8269" xr:uid="{00000000-0005-0000-0000-00004E200000}"/>
    <cellStyle name="Date 8 2 2 6" xfId="8270" xr:uid="{00000000-0005-0000-0000-00004F200000}"/>
    <cellStyle name="Date 8 2 2 7" xfId="8271" xr:uid="{00000000-0005-0000-0000-000050200000}"/>
    <cellStyle name="Date 8 2 2 8" xfId="8272" xr:uid="{00000000-0005-0000-0000-000051200000}"/>
    <cellStyle name="Date 8 2 3" xfId="8273" xr:uid="{00000000-0005-0000-0000-000052200000}"/>
    <cellStyle name="Date 8 2 3 2" xfId="8274" xr:uid="{00000000-0005-0000-0000-000053200000}"/>
    <cellStyle name="Date 8 2 3 2 2" xfId="8275" xr:uid="{00000000-0005-0000-0000-000054200000}"/>
    <cellStyle name="Date 8 2 3 2 2 2" xfId="8276" xr:uid="{00000000-0005-0000-0000-000055200000}"/>
    <cellStyle name="Date 8 2 3 2 2 3" xfId="8277" xr:uid="{00000000-0005-0000-0000-000056200000}"/>
    <cellStyle name="Date 8 2 3 2 3" xfId="8278" xr:uid="{00000000-0005-0000-0000-000057200000}"/>
    <cellStyle name="Date 8 2 3 2 3 2" xfId="8279" xr:uid="{00000000-0005-0000-0000-000058200000}"/>
    <cellStyle name="Date 8 2 3 2 3 3" xfId="8280" xr:uid="{00000000-0005-0000-0000-000059200000}"/>
    <cellStyle name="Date 8 2 3 2 4" xfId="8281" xr:uid="{00000000-0005-0000-0000-00005A200000}"/>
    <cellStyle name="Date 8 2 3 2 5" xfId="8282" xr:uid="{00000000-0005-0000-0000-00005B200000}"/>
    <cellStyle name="Date 8 2 3 2 6" xfId="8283" xr:uid="{00000000-0005-0000-0000-00005C200000}"/>
    <cellStyle name="Date 8 2 3 3" xfId="8284" xr:uid="{00000000-0005-0000-0000-00005D200000}"/>
    <cellStyle name="Date 8 2 3 3 2" xfId="8285" xr:uid="{00000000-0005-0000-0000-00005E200000}"/>
    <cellStyle name="Date 8 2 3 3 3" xfId="8286" xr:uid="{00000000-0005-0000-0000-00005F200000}"/>
    <cellStyle name="Date 8 2 3 4" xfId="8287" xr:uid="{00000000-0005-0000-0000-000060200000}"/>
    <cellStyle name="Date 8 2 3 4 2" xfId="8288" xr:uid="{00000000-0005-0000-0000-000061200000}"/>
    <cellStyle name="Date 8 2 3 4 3" xfId="8289" xr:uid="{00000000-0005-0000-0000-000062200000}"/>
    <cellStyle name="Date 8 2 3 5" xfId="8290" xr:uid="{00000000-0005-0000-0000-000063200000}"/>
    <cellStyle name="Date 8 2 3 5 2" xfId="8291" xr:uid="{00000000-0005-0000-0000-000064200000}"/>
    <cellStyle name="Date 8 2 3 5 3" xfId="8292" xr:uid="{00000000-0005-0000-0000-000065200000}"/>
    <cellStyle name="Date 8 2 3 6" xfId="8293" xr:uid="{00000000-0005-0000-0000-000066200000}"/>
    <cellStyle name="Date 8 2 3 7" xfId="8294" xr:uid="{00000000-0005-0000-0000-000067200000}"/>
    <cellStyle name="Date 8 2 3 8" xfId="8295" xr:uid="{00000000-0005-0000-0000-000068200000}"/>
    <cellStyle name="Date 8 2 4" xfId="8296" xr:uid="{00000000-0005-0000-0000-000069200000}"/>
    <cellStyle name="Date 8 2 4 2" xfId="8297" xr:uid="{00000000-0005-0000-0000-00006A200000}"/>
    <cellStyle name="Date 8 2 4 2 2" xfId="8298" xr:uid="{00000000-0005-0000-0000-00006B200000}"/>
    <cellStyle name="Date 8 2 4 2 3" xfId="8299" xr:uid="{00000000-0005-0000-0000-00006C200000}"/>
    <cellStyle name="Date 8 2 4 3" xfId="8300" xr:uid="{00000000-0005-0000-0000-00006D200000}"/>
    <cellStyle name="Date 8 2 4 3 2" xfId="8301" xr:uid="{00000000-0005-0000-0000-00006E200000}"/>
    <cellStyle name="Date 8 2 4 3 3" xfId="8302" xr:uid="{00000000-0005-0000-0000-00006F200000}"/>
    <cellStyle name="Date 8 2 4 4" xfId="8303" xr:uid="{00000000-0005-0000-0000-000070200000}"/>
    <cellStyle name="Date 8 2 4 5" xfId="8304" xr:uid="{00000000-0005-0000-0000-000071200000}"/>
    <cellStyle name="Date 8 2 4 6" xfId="8305" xr:uid="{00000000-0005-0000-0000-000072200000}"/>
    <cellStyle name="Date 8 2 5" xfId="8306" xr:uid="{00000000-0005-0000-0000-000073200000}"/>
    <cellStyle name="Date 8 2 5 2" xfId="8307" xr:uid="{00000000-0005-0000-0000-000074200000}"/>
    <cellStyle name="Date 8 2 5 3" xfId="8308" xr:uid="{00000000-0005-0000-0000-000075200000}"/>
    <cellStyle name="Date 8 2 6" xfId="8309" xr:uid="{00000000-0005-0000-0000-000076200000}"/>
    <cellStyle name="Date 8 2 6 2" xfId="8310" xr:uid="{00000000-0005-0000-0000-000077200000}"/>
    <cellStyle name="Date 8 2 6 3" xfId="8311" xr:uid="{00000000-0005-0000-0000-000078200000}"/>
    <cellStyle name="Date 8 2 7" xfId="8312" xr:uid="{00000000-0005-0000-0000-000079200000}"/>
    <cellStyle name="Date 8 2 7 2" xfId="8313" xr:uid="{00000000-0005-0000-0000-00007A200000}"/>
    <cellStyle name="Date 8 2 7 3" xfId="8314" xr:uid="{00000000-0005-0000-0000-00007B200000}"/>
    <cellStyle name="Date 8 2 8" xfId="8315" xr:uid="{00000000-0005-0000-0000-00007C200000}"/>
    <cellStyle name="Date 8 2 9" xfId="8316" xr:uid="{00000000-0005-0000-0000-00007D200000}"/>
    <cellStyle name="Date 8 3" xfId="8317" xr:uid="{00000000-0005-0000-0000-00007E200000}"/>
    <cellStyle name="Date 8 3 2" xfId="8318" xr:uid="{00000000-0005-0000-0000-00007F200000}"/>
    <cellStyle name="Date 8 3 2 2" xfId="8319" xr:uid="{00000000-0005-0000-0000-000080200000}"/>
    <cellStyle name="Date 8 3 2 2 2" xfId="8320" xr:uid="{00000000-0005-0000-0000-000081200000}"/>
    <cellStyle name="Date 8 3 2 2 3" xfId="8321" xr:uid="{00000000-0005-0000-0000-000082200000}"/>
    <cellStyle name="Date 8 3 2 3" xfId="8322" xr:uid="{00000000-0005-0000-0000-000083200000}"/>
    <cellStyle name="Date 8 3 2 3 2" xfId="8323" xr:uid="{00000000-0005-0000-0000-000084200000}"/>
    <cellStyle name="Date 8 3 2 3 3" xfId="8324" xr:uid="{00000000-0005-0000-0000-000085200000}"/>
    <cellStyle name="Date 8 3 2 4" xfId="8325" xr:uid="{00000000-0005-0000-0000-000086200000}"/>
    <cellStyle name="Date 8 3 2 5" xfId="8326" xr:uid="{00000000-0005-0000-0000-000087200000}"/>
    <cellStyle name="Date 8 3 2 6" xfId="8327" xr:uid="{00000000-0005-0000-0000-000088200000}"/>
    <cellStyle name="Date 8 3 3" xfId="8328" xr:uid="{00000000-0005-0000-0000-000089200000}"/>
    <cellStyle name="Date 8 3 3 2" xfId="8329" xr:uid="{00000000-0005-0000-0000-00008A200000}"/>
    <cellStyle name="Date 8 3 3 3" xfId="8330" xr:uid="{00000000-0005-0000-0000-00008B200000}"/>
    <cellStyle name="Date 8 3 4" xfId="8331" xr:uid="{00000000-0005-0000-0000-00008C200000}"/>
    <cellStyle name="Date 8 3 4 2" xfId="8332" xr:uid="{00000000-0005-0000-0000-00008D200000}"/>
    <cellStyle name="Date 8 3 4 3" xfId="8333" xr:uid="{00000000-0005-0000-0000-00008E200000}"/>
    <cellStyle name="Date 8 3 5" xfId="8334" xr:uid="{00000000-0005-0000-0000-00008F200000}"/>
    <cellStyle name="Date 8 3 5 2" xfId="8335" xr:uid="{00000000-0005-0000-0000-000090200000}"/>
    <cellStyle name="Date 8 3 5 3" xfId="8336" xr:uid="{00000000-0005-0000-0000-000091200000}"/>
    <cellStyle name="Date 8 3 6" xfId="8337" xr:uid="{00000000-0005-0000-0000-000092200000}"/>
    <cellStyle name="Date 8 3 7" xfId="8338" xr:uid="{00000000-0005-0000-0000-000093200000}"/>
    <cellStyle name="Date 8 3 8" xfId="8339" xr:uid="{00000000-0005-0000-0000-000094200000}"/>
    <cellStyle name="Date 8 4" xfId="8340" xr:uid="{00000000-0005-0000-0000-000095200000}"/>
    <cellStyle name="Date 8 4 2" xfId="8341" xr:uid="{00000000-0005-0000-0000-000096200000}"/>
    <cellStyle name="Date 8 4 2 2" xfId="8342" xr:uid="{00000000-0005-0000-0000-000097200000}"/>
    <cellStyle name="Date 8 4 2 2 2" xfId="8343" xr:uid="{00000000-0005-0000-0000-000098200000}"/>
    <cellStyle name="Date 8 4 2 2 3" xfId="8344" xr:uid="{00000000-0005-0000-0000-000099200000}"/>
    <cellStyle name="Date 8 4 2 3" xfId="8345" xr:uid="{00000000-0005-0000-0000-00009A200000}"/>
    <cellStyle name="Date 8 4 2 3 2" xfId="8346" xr:uid="{00000000-0005-0000-0000-00009B200000}"/>
    <cellStyle name="Date 8 4 2 3 3" xfId="8347" xr:uid="{00000000-0005-0000-0000-00009C200000}"/>
    <cellStyle name="Date 8 4 2 4" xfId="8348" xr:uid="{00000000-0005-0000-0000-00009D200000}"/>
    <cellStyle name="Date 8 4 2 5" xfId="8349" xr:uid="{00000000-0005-0000-0000-00009E200000}"/>
    <cellStyle name="Date 8 4 2 6" xfId="8350" xr:uid="{00000000-0005-0000-0000-00009F200000}"/>
    <cellStyle name="Date 8 4 3" xfId="8351" xr:uid="{00000000-0005-0000-0000-0000A0200000}"/>
    <cellStyle name="Date 8 4 3 2" xfId="8352" xr:uid="{00000000-0005-0000-0000-0000A1200000}"/>
    <cellStyle name="Date 8 4 3 3" xfId="8353" xr:uid="{00000000-0005-0000-0000-0000A2200000}"/>
    <cellStyle name="Date 8 4 4" xfId="8354" xr:uid="{00000000-0005-0000-0000-0000A3200000}"/>
    <cellStyle name="Date 8 4 4 2" xfId="8355" xr:uid="{00000000-0005-0000-0000-0000A4200000}"/>
    <cellStyle name="Date 8 4 4 3" xfId="8356" xr:uid="{00000000-0005-0000-0000-0000A5200000}"/>
    <cellStyle name="Date 8 4 5" xfId="8357" xr:uid="{00000000-0005-0000-0000-0000A6200000}"/>
    <cellStyle name="Date 8 4 5 2" xfId="8358" xr:uid="{00000000-0005-0000-0000-0000A7200000}"/>
    <cellStyle name="Date 8 4 5 3" xfId="8359" xr:uid="{00000000-0005-0000-0000-0000A8200000}"/>
    <cellStyle name="Date 8 4 6" xfId="8360" xr:uid="{00000000-0005-0000-0000-0000A9200000}"/>
    <cellStyle name="Date 8 4 7" xfId="8361" xr:uid="{00000000-0005-0000-0000-0000AA200000}"/>
    <cellStyle name="Date 8 4 8" xfId="8362" xr:uid="{00000000-0005-0000-0000-0000AB200000}"/>
    <cellStyle name="Date 8 5" xfId="8363" xr:uid="{00000000-0005-0000-0000-0000AC200000}"/>
    <cellStyle name="Date 8 5 2" xfId="8364" xr:uid="{00000000-0005-0000-0000-0000AD200000}"/>
    <cellStyle name="Date 8 5 2 2" xfId="8365" xr:uid="{00000000-0005-0000-0000-0000AE200000}"/>
    <cellStyle name="Date 8 5 2 2 2" xfId="8366" xr:uid="{00000000-0005-0000-0000-0000AF200000}"/>
    <cellStyle name="Date 8 5 2 2 3" xfId="8367" xr:uid="{00000000-0005-0000-0000-0000B0200000}"/>
    <cellStyle name="Date 8 5 2 3" xfId="8368" xr:uid="{00000000-0005-0000-0000-0000B1200000}"/>
    <cellStyle name="Date 8 5 2 3 2" xfId="8369" xr:uid="{00000000-0005-0000-0000-0000B2200000}"/>
    <cellStyle name="Date 8 5 2 3 3" xfId="8370" xr:uid="{00000000-0005-0000-0000-0000B3200000}"/>
    <cellStyle name="Date 8 5 2 4" xfId="8371" xr:uid="{00000000-0005-0000-0000-0000B4200000}"/>
    <cellStyle name="Date 8 5 2 5" xfId="8372" xr:uid="{00000000-0005-0000-0000-0000B5200000}"/>
    <cellStyle name="Date 8 5 2 6" xfId="8373" xr:uid="{00000000-0005-0000-0000-0000B6200000}"/>
    <cellStyle name="Date 8 5 3" xfId="8374" xr:uid="{00000000-0005-0000-0000-0000B7200000}"/>
    <cellStyle name="Date 8 5 3 2" xfId="8375" xr:uid="{00000000-0005-0000-0000-0000B8200000}"/>
    <cellStyle name="Date 8 5 3 3" xfId="8376" xr:uid="{00000000-0005-0000-0000-0000B9200000}"/>
    <cellStyle name="Date 8 5 4" xfId="8377" xr:uid="{00000000-0005-0000-0000-0000BA200000}"/>
    <cellStyle name="Date 8 5 4 2" xfId="8378" xr:uid="{00000000-0005-0000-0000-0000BB200000}"/>
    <cellStyle name="Date 8 5 4 3" xfId="8379" xr:uid="{00000000-0005-0000-0000-0000BC200000}"/>
    <cellStyle name="Date 8 5 5" xfId="8380" xr:uid="{00000000-0005-0000-0000-0000BD200000}"/>
    <cellStyle name="Date 8 5 5 2" xfId="8381" xr:uid="{00000000-0005-0000-0000-0000BE200000}"/>
    <cellStyle name="Date 8 5 5 3" xfId="8382" xr:uid="{00000000-0005-0000-0000-0000BF200000}"/>
    <cellStyle name="Date 8 5 6" xfId="8383" xr:uid="{00000000-0005-0000-0000-0000C0200000}"/>
    <cellStyle name="Date 8 5 7" xfId="8384" xr:uid="{00000000-0005-0000-0000-0000C1200000}"/>
    <cellStyle name="Date 8 5 8" xfId="8385" xr:uid="{00000000-0005-0000-0000-0000C2200000}"/>
    <cellStyle name="Date 8 6" xfId="8386" xr:uid="{00000000-0005-0000-0000-0000C3200000}"/>
    <cellStyle name="Date 8 6 2" xfId="8387" xr:uid="{00000000-0005-0000-0000-0000C4200000}"/>
    <cellStyle name="Date 8 6 2 2" xfId="8388" xr:uid="{00000000-0005-0000-0000-0000C5200000}"/>
    <cellStyle name="Date 8 6 2 3" xfId="8389" xr:uid="{00000000-0005-0000-0000-0000C6200000}"/>
    <cellStyle name="Date 8 6 3" xfId="8390" xr:uid="{00000000-0005-0000-0000-0000C7200000}"/>
    <cellStyle name="Date 8 6 3 2" xfId="8391" xr:uid="{00000000-0005-0000-0000-0000C8200000}"/>
    <cellStyle name="Date 8 6 3 3" xfId="8392" xr:uid="{00000000-0005-0000-0000-0000C9200000}"/>
    <cellStyle name="Date 8 6 4" xfId="8393" xr:uid="{00000000-0005-0000-0000-0000CA200000}"/>
    <cellStyle name="Date 8 6 5" xfId="8394" xr:uid="{00000000-0005-0000-0000-0000CB200000}"/>
    <cellStyle name="Date 8 6 6" xfId="8395" xr:uid="{00000000-0005-0000-0000-0000CC200000}"/>
    <cellStyle name="Date 8 7" xfId="8396" xr:uid="{00000000-0005-0000-0000-0000CD200000}"/>
    <cellStyle name="Date 8 7 2" xfId="8397" xr:uid="{00000000-0005-0000-0000-0000CE200000}"/>
    <cellStyle name="Date 8 7 3" xfId="8398" xr:uid="{00000000-0005-0000-0000-0000CF200000}"/>
    <cellStyle name="Date 8 7 4" xfId="8399" xr:uid="{00000000-0005-0000-0000-0000D0200000}"/>
    <cellStyle name="Date 8 8" xfId="8400" xr:uid="{00000000-0005-0000-0000-0000D1200000}"/>
    <cellStyle name="Date 8 8 2" xfId="8401" xr:uid="{00000000-0005-0000-0000-0000D2200000}"/>
    <cellStyle name="Date 8 8 3" xfId="8402" xr:uid="{00000000-0005-0000-0000-0000D3200000}"/>
    <cellStyle name="Date 8 9" xfId="8403" xr:uid="{00000000-0005-0000-0000-0000D4200000}"/>
    <cellStyle name="Date 8 9 2" xfId="8404" xr:uid="{00000000-0005-0000-0000-0000D5200000}"/>
    <cellStyle name="Date 8 9 3" xfId="8405" xr:uid="{00000000-0005-0000-0000-0000D6200000}"/>
    <cellStyle name="Date 9" xfId="8406" xr:uid="{00000000-0005-0000-0000-0000D7200000}"/>
    <cellStyle name="Date 9 10" xfId="8407" xr:uid="{00000000-0005-0000-0000-0000D8200000}"/>
    <cellStyle name="Date 9 11" xfId="8408" xr:uid="{00000000-0005-0000-0000-0000D9200000}"/>
    <cellStyle name="Date 9 12" xfId="8409" xr:uid="{00000000-0005-0000-0000-0000DA200000}"/>
    <cellStyle name="Date 9 2" xfId="8410" xr:uid="{00000000-0005-0000-0000-0000DB200000}"/>
    <cellStyle name="Date 9 2 10" xfId="8411" xr:uid="{00000000-0005-0000-0000-0000DC200000}"/>
    <cellStyle name="Date 9 2 2" xfId="8412" xr:uid="{00000000-0005-0000-0000-0000DD200000}"/>
    <cellStyle name="Date 9 2 2 2" xfId="8413" xr:uid="{00000000-0005-0000-0000-0000DE200000}"/>
    <cellStyle name="Date 9 2 2 2 2" xfId="8414" xr:uid="{00000000-0005-0000-0000-0000DF200000}"/>
    <cellStyle name="Date 9 2 2 2 2 2" xfId="8415" xr:uid="{00000000-0005-0000-0000-0000E0200000}"/>
    <cellStyle name="Date 9 2 2 2 2 3" xfId="8416" xr:uid="{00000000-0005-0000-0000-0000E1200000}"/>
    <cellStyle name="Date 9 2 2 2 3" xfId="8417" xr:uid="{00000000-0005-0000-0000-0000E2200000}"/>
    <cellStyle name="Date 9 2 2 2 3 2" xfId="8418" xr:uid="{00000000-0005-0000-0000-0000E3200000}"/>
    <cellStyle name="Date 9 2 2 2 3 3" xfId="8419" xr:uid="{00000000-0005-0000-0000-0000E4200000}"/>
    <cellStyle name="Date 9 2 2 2 4" xfId="8420" xr:uid="{00000000-0005-0000-0000-0000E5200000}"/>
    <cellStyle name="Date 9 2 2 2 5" xfId="8421" xr:uid="{00000000-0005-0000-0000-0000E6200000}"/>
    <cellStyle name="Date 9 2 2 2 6" xfId="8422" xr:uid="{00000000-0005-0000-0000-0000E7200000}"/>
    <cellStyle name="Date 9 2 2 3" xfId="8423" xr:uid="{00000000-0005-0000-0000-0000E8200000}"/>
    <cellStyle name="Date 9 2 2 3 2" xfId="8424" xr:uid="{00000000-0005-0000-0000-0000E9200000}"/>
    <cellStyle name="Date 9 2 2 3 3" xfId="8425" xr:uid="{00000000-0005-0000-0000-0000EA200000}"/>
    <cellStyle name="Date 9 2 2 4" xfId="8426" xr:uid="{00000000-0005-0000-0000-0000EB200000}"/>
    <cellStyle name="Date 9 2 2 4 2" xfId="8427" xr:uid="{00000000-0005-0000-0000-0000EC200000}"/>
    <cellStyle name="Date 9 2 2 4 3" xfId="8428" xr:uid="{00000000-0005-0000-0000-0000ED200000}"/>
    <cellStyle name="Date 9 2 2 5" xfId="8429" xr:uid="{00000000-0005-0000-0000-0000EE200000}"/>
    <cellStyle name="Date 9 2 2 5 2" xfId="8430" xr:uid="{00000000-0005-0000-0000-0000EF200000}"/>
    <cellStyle name="Date 9 2 2 5 3" xfId="8431" xr:uid="{00000000-0005-0000-0000-0000F0200000}"/>
    <cellStyle name="Date 9 2 2 6" xfId="8432" xr:uid="{00000000-0005-0000-0000-0000F1200000}"/>
    <cellStyle name="Date 9 2 2 7" xfId="8433" xr:uid="{00000000-0005-0000-0000-0000F2200000}"/>
    <cellStyle name="Date 9 2 2 8" xfId="8434" xr:uid="{00000000-0005-0000-0000-0000F3200000}"/>
    <cellStyle name="Date 9 2 3" xfId="8435" xr:uid="{00000000-0005-0000-0000-0000F4200000}"/>
    <cellStyle name="Date 9 2 3 2" xfId="8436" xr:uid="{00000000-0005-0000-0000-0000F5200000}"/>
    <cellStyle name="Date 9 2 3 2 2" xfId="8437" xr:uid="{00000000-0005-0000-0000-0000F6200000}"/>
    <cellStyle name="Date 9 2 3 2 2 2" xfId="8438" xr:uid="{00000000-0005-0000-0000-0000F7200000}"/>
    <cellStyle name="Date 9 2 3 2 2 3" xfId="8439" xr:uid="{00000000-0005-0000-0000-0000F8200000}"/>
    <cellStyle name="Date 9 2 3 2 3" xfId="8440" xr:uid="{00000000-0005-0000-0000-0000F9200000}"/>
    <cellStyle name="Date 9 2 3 2 3 2" xfId="8441" xr:uid="{00000000-0005-0000-0000-0000FA200000}"/>
    <cellStyle name="Date 9 2 3 2 3 3" xfId="8442" xr:uid="{00000000-0005-0000-0000-0000FB200000}"/>
    <cellStyle name="Date 9 2 3 2 4" xfId="8443" xr:uid="{00000000-0005-0000-0000-0000FC200000}"/>
    <cellStyle name="Date 9 2 3 2 5" xfId="8444" xr:uid="{00000000-0005-0000-0000-0000FD200000}"/>
    <cellStyle name="Date 9 2 3 2 6" xfId="8445" xr:uid="{00000000-0005-0000-0000-0000FE200000}"/>
    <cellStyle name="Date 9 2 3 3" xfId="8446" xr:uid="{00000000-0005-0000-0000-0000FF200000}"/>
    <cellStyle name="Date 9 2 3 3 2" xfId="8447" xr:uid="{00000000-0005-0000-0000-000000210000}"/>
    <cellStyle name="Date 9 2 3 3 3" xfId="8448" xr:uid="{00000000-0005-0000-0000-000001210000}"/>
    <cellStyle name="Date 9 2 3 4" xfId="8449" xr:uid="{00000000-0005-0000-0000-000002210000}"/>
    <cellStyle name="Date 9 2 3 4 2" xfId="8450" xr:uid="{00000000-0005-0000-0000-000003210000}"/>
    <cellStyle name="Date 9 2 3 4 3" xfId="8451" xr:uid="{00000000-0005-0000-0000-000004210000}"/>
    <cellStyle name="Date 9 2 3 5" xfId="8452" xr:uid="{00000000-0005-0000-0000-000005210000}"/>
    <cellStyle name="Date 9 2 3 5 2" xfId="8453" xr:uid="{00000000-0005-0000-0000-000006210000}"/>
    <cellStyle name="Date 9 2 3 5 3" xfId="8454" xr:uid="{00000000-0005-0000-0000-000007210000}"/>
    <cellStyle name="Date 9 2 3 6" xfId="8455" xr:uid="{00000000-0005-0000-0000-000008210000}"/>
    <cellStyle name="Date 9 2 3 7" xfId="8456" xr:uid="{00000000-0005-0000-0000-000009210000}"/>
    <cellStyle name="Date 9 2 3 8" xfId="8457" xr:uid="{00000000-0005-0000-0000-00000A210000}"/>
    <cellStyle name="Date 9 2 4" xfId="8458" xr:uid="{00000000-0005-0000-0000-00000B210000}"/>
    <cellStyle name="Date 9 2 4 2" xfId="8459" xr:uid="{00000000-0005-0000-0000-00000C210000}"/>
    <cellStyle name="Date 9 2 4 2 2" xfId="8460" xr:uid="{00000000-0005-0000-0000-00000D210000}"/>
    <cellStyle name="Date 9 2 4 2 3" xfId="8461" xr:uid="{00000000-0005-0000-0000-00000E210000}"/>
    <cellStyle name="Date 9 2 4 3" xfId="8462" xr:uid="{00000000-0005-0000-0000-00000F210000}"/>
    <cellStyle name="Date 9 2 4 3 2" xfId="8463" xr:uid="{00000000-0005-0000-0000-000010210000}"/>
    <cellStyle name="Date 9 2 4 3 3" xfId="8464" xr:uid="{00000000-0005-0000-0000-000011210000}"/>
    <cellStyle name="Date 9 2 4 4" xfId="8465" xr:uid="{00000000-0005-0000-0000-000012210000}"/>
    <cellStyle name="Date 9 2 4 5" xfId="8466" xr:uid="{00000000-0005-0000-0000-000013210000}"/>
    <cellStyle name="Date 9 2 4 6" xfId="8467" xr:uid="{00000000-0005-0000-0000-000014210000}"/>
    <cellStyle name="Date 9 2 5" xfId="8468" xr:uid="{00000000-0005-0000-0000-000015210000}"/>
    <cellStyle name="Date 9 2 5 2" xfId="8469" xr:uid="{00000000-0005-0000-0000-000016210000}"/>
    <cellStyle name="Date 9 2 5 3" xfId="8470" xr:uid="{00000000-0005-0000-0000-000017210000}"/>
    <cellStyle name="Date 9 2 6" xfId="8471" xr:uid="{00000000-0005-0000-0000-000018210000}"/>
    <cellStyle name="Date 9 2 6 2" xfId="8472" xr:uid="{00000000-0005-0000-0000-000019210000}"/>
    <cellStyle name="Date 9 2 6 3" xfId="8473" xr:uid="{00000000-0005-0000-0000-00001A210000}"/>
    <cellStyle name="Date 9 2 7" xfId="8474" xr:uid="{00000000-0005-0000-0000-00001B210000}"/>
    <cellStyle name="Date 9 2 7 2" xfId="8475" xr:uid="{00000000-0005-0000-0000-00001C210000}"/>
    <cellStyle name="Date 9 2 7 3" xfId="8476" xr:uid="{00000000-0005-0000-0000-00001D210000}"/>
    <cellStyle name="Date 9 2 8" xfId="8477" xr:uid="{00000000-0005-0000-0000-00001E210000}"/>
    <cellStyle name="Date 9 2 9" xfId="8478" xr:uid="{00000000-0005-0000-0000-00001F210000}"/>
    <cellStyle name="Date 9 3" xfId="8479" xr:uid="{00000000-0005-0000-0000-000020210000}"/>
    <cellStyle name="Date 9 3 2" xfId="8480" xr:uid="{00000000-0005-0000-0000-000021210000}"/>
    <cellStyle name="Date 9 3 2 2" xfId="8481" xr:uid="{00000000-0005-0000-0000-000022210000}"/>
    <cellStyle name="Date 9 3 2 2 2" xfId="8482" xr:uid="{00000000-0005-0000-0000-000023210000}"/>
    <cellStyle name="Date 9 3 2 2 3" xfId="8483" xr:uid="{00000000-0005-0000-0000-000024210000}"/>
    <cellStyle name="Date 9 3 2 3" xfId="8484" xr:uid="{00000000-0005-0000-0000-000025210000}"/>
    <cellStyle name="Date 9 3 2 3 2" xfId="8485" xr:uid="{00000000-0005-0000-0000-000026210000}"/>
    <cellStyle name="Date 9 3 2 3 3" xfId="8486" xr:uid="{00000000-0005-0000-0000-000027210000}"/>
    <cellStyle name="Date 9 3 2 4" xfId="8487" xr:uid="{00000000-0005-0000-0000-000028210000}"/>
    <cellStyle name="Date 9 3 2 5" xfId="8488" xr:uid="{00000000-0005-0000-0000-000029210000}"/>
    <cellStyle name="Date 9 3 2 6" xfId="8489" xr:uid="{00000000-0005-0000-0000-00002A210000}"/>
    <cellStyle name="Date 9 3 3" xfId="8490" xr:uid="{00000000-0005-0000-0000-00002B210000}"/>
    <cellStyle name="Date 9 3 3 2" xfId="8491" xr:uid="{00000000-0005-0000-0000-00002C210000}"/>
    <cellStyle name="Date 9 3 3 3" xfId="8492" xr:uid="{00000000-0005-0000-0000-00002D210000}"/>
    <cellStyle name="Date 9 3 4" xfId="8493" xr:uid="{00000000-0005-0000-0000-00002E210000}"/>
    <cellStyle name="Date 9 3 4 2" xfId="8494" xr:uid="{00000000-0005-0000-0000-00002F210000}"/>
    <cellStyle name="Date 9 3 4 3" xfId="8495" xr:uid="{00000000-0005-0000-0000-000030210000}"/>
    <cellStyle name="Date 9 3 5" xfId="8496" xr:uid="{00000000-0005-0000-0000-000031210000}"/>
    <cellStyle name="Date 9 3 5 2" xfId="8497" xr:uid="{00000000-0005-0000-0000-000032210000}"/>
    <cellStyle name="Date 9 3 5 3" xfId="8498" xr:uid="{00000000-0005-0000-0000-000033210000}"/>
    <cellStyle name="Date 9 3 6" xfId="8499" xr:uid="{00000000-0005-0000-0000-000034210000}"/>
    <cellStyle name="Date 9 3 7" xfId="8500" xr:uid="{00000000-0005-0000-0000-000035210000}"/>
    <cellStyle name="Date 9 3 8" xfId="8501" xr:uid="{00000000-0005-0000-0000-000036210000}"/>
    <cellStyle name="Date 9 4" xfId="8502" xr:uid="{00000000-0005-0000-0000-000037210000}"/>
    <cellStyle name="Date 9 4 2" xfId="8503" xr:uid="{00000000-0005-0000-0000-000038210000}"/>
    <cellStyle name="Date 9 4 2 2" xfId="8504" xr:uid="{00000000-0005-0000-0000-000039210000}"/>
    <cellStyle name="Date 9 4 2 2 2" xfId="8505" xr:uid="{00000000-0005-0000-0000-00003A210000}"/>
    <cellStyle name="Date 9 4 2 2 3" xfId="8506" xr:uid="{00000000-0005-0000-0000-00003B210000}"/>
    <cellStyle name="Date 9 4 2 3" xfId="8507" xr:uid="{00000000-0005-0000-0000-00003C210000}"/>
    <cellStyle name="Date 9 4 2 3 2" xfId="8508" xr:uid="{00000000-0005-0000-0000-00003D210000}"/>
    <cellStyle name="Date 9 4 2 3 3" xfId="8509" xr:uid="{00000000-0005-0000-0000-00003E210000}"/>
    <cellStyle name="Date 9 4 2 4" xfId="8510" xr:uid="{00000000-0005-0000-0000-00003F210000}"/>
    <cellStyle name="Date 9 4 2 5" xfId="8511" xr:uid="{00000000-0005-0000-0000-000040210000}"/>
    <cellStyle name="Date 9 4 2 6" xfId="8512" xr:uid="{00000000-0005-0000-0000-000041210000}"/>
    <cellStyle name="Date 9 4 3" xfId="8513" xr:uid="{00000000-0005-0000-0000-000042210000}"/>
    <cellStyle name="Date 9 4 3 2" xfId="8514" xr:uid="{00000000-0005-0000-0000-000043210000}"/>
    <cellStyle name="Date 9 4 3 3" xfId="8515" xr:uid="{00000000-0005-0000-0000-000044210000}"/>
    <cellStyle name="Date 9 4 4" xfId="8516" xr:uid="{00000000-0005-0000-0000-000045210000}"/>
    <cellStyle name="Date 9 4 4 2" xfId="8517" xr:uid="{00000000-0005-0000-0000-000046210000}"/>
    <cellStyle name="Date 9 4 4 3" xfId="8518" xr:uid="{00000000-0005-0000-0000-000047210000}"/>
    <cellStyle name="Date 9 4 5" xfId="8519" xr:uid="{00000000-0005-0000-0000-000048210000}"/>
    <cellStyle name="Date 9 4 5 2" xfId="8520" xr:uid="{00000000-0005-0000-0000-000049210000}"/>
    <cellStyle name="Date 9 4 5 3" xfId="8521" xr:uid="{00000000-0005-0000-0000-00004A210000}"/>
    <cellStyle name="Date 9 4 6" xfId="8522" xr:uid="{00000000-0005-0000-0000-00004B210000}"/>
    <cellStyle name="Date 9 4 7" xfId="8523" xr:uid="{00000000-0005-0000-0000-00004C210000}"/>
    <cellStyle name="Date 9 4 8" xfId="8524" xr:uid="{00000000-0005-0000-0000-00004D210000}"/>
    <cellStyle name="Date 9 5" xfId="8525" xr:uid="{00000000-0005-0000-0000-00004E210000}"/>
    <cellStyle name="Date 9 5 2" xfId="8526" xr:uid="{00000000-0005-0000-0000-00004F210000}"/>
    <cellStyle name="Date 9 5 2 2" xfId="8527" xr:uid="{00000000-0005-0000-0000-000050210000}"/>
    <cellStyle name="Date 9 5 2 2 2" xfId="8528" xr:uid="{00000000-0005-0000-0000-000051210000}"/>
    <cellStyle name="Date 9 5 2 2 3" xfId="8529" xr:uid="{00000000-0005-0000-0000-000052210000}"/>
    <cellStyle name="Date 9 5 2 3" xfId="8530" xr:uid="{00000000-0005-0000-0000-000053210000}"/>
    <cellStyle name="Date 9 5 2 3 2" xfId="8531" xr:uid="{00000000-0005-0000-0000-000054210000}"/>
    <cellStyle name="Date 9 5 2 3 3" xfId="8532" xr:uid="{00000000-0005-0000-0000-000055210000}"/>
    <cellStyle name="Date 9 5 2 4" xfId="8533" xr:uid="{00000000-0005-0000-0000-000056210000}"/>
    <cellStyle name="Date 9 5 2 5" xfId="8534" xr:uid="{00000000-0005-0000-0000-000057210000}"/>
    <cellStyle name="Date 9 5 2 6" xfId="8535" xr:uid="{00000000-0005-0000-0000-000058210000}"/>
    <cellStyle name="Date 9 5 3" xfId="8536" xr:uid="{00000000-0005-0000-0000-000059210000}"/>
    <cellStyle name="Date 9 5 3 2" xfId="8537" xr:uid="{00000000-0005-0000-0000-00005A210000}"/>
    <cellStyle name="Date 9 5 3 3" xfId="8538" xr:uid="{00000000-0005-0000-0000-00005B210000}"/>
    <cellStyle name="Date 9 5 4" xfId="8539" xr:uid="{00000000-0005-0000-0000-00005C210000}"/>
    <cellStyle name="Date 9 5 4 2" xfId="8540" xr:uid="{00000000-0005-0000-0000-00005D210000}"/>
    <cellStyle name="Date 9 5 4 3" xfId="8541" xr:uid="{00000000-0005-0000-0000-00005E210000}"/>
    <cellStyle name="Date 9 5 5" xfId="8542" xr:uid="{00000000-0005-0000-0000-00005F210000}"/>
    <cellStyle name="Date 9 5 5 2" xfId="8543" xr:uid="{00000000-0005-0000-0000-000060210000}"/>
    <cellStyle name="Date 9 5 5 3" xfId="8544" xr:uid="{00000000-0005-0000-0000-000061210000}"/>
    <cellStyle name="Date 9 5 6" xfId="8545" xr:uid="{00000000-0005-0000-0000-000062210000}"/>
    <cellStyle name="Date 9 5 7" xfId="8546" xr:uid="{00000000-0005-0000-0000-000063210000}"/>
    <cellStyle name="Date 9 5 8" xfId="8547" xr:uid="{00000000-0005-0000-0000-000064210000}"/>
    <cellStyle name="Date 9 6" xfId="8548" xr:uid="{00000000-0005-0000-0000-000065210000}"/>
    <cellStyle name="Date 9 6 2" xfId="8549" xr:uid="{00000000-0005-0000-0000-000066210000}"/>
    <cellStyle name="Date 9 6 2 2" xfId="8550" xr:uid="{00000000-0005-0000-0000-000067210000}"/>
    <cellStyle name="Date 9 6 2 3" xfId="8551" xr:uid="{00000000-0005-0000-0000-000068210000}"/>
    <cellStyle name="Date 9 6 3" xfId="8552" xr:uid="{00000000-0005-0000-0000-000069210000}"/>
    <cellStyle name="Date 9 6 3 2" xfId="8553" xr:uid="{00000000-0005-0000-0000-00006A210000}"/>
    <cellStyle name="Date 9 6 3 3" xfId="8554" xr:uid="{00000000-0005-0000-0000-00006B210000}"/>
    <cellStyle name="Date 9 6 4" xfId="8555" xr:uid="{00000000-0005-0000-0000-00006C210000}"/>
    <cellStyle name="Date 9 6 5" xfId="8556" xr:uid="{00000000-0005-0000-0000-00006D210000}"/>
    <cellStyle name="Date 9 6 6" xfId="8557" xr:uid="{00000000-0005-0000-0000-00006E210000}"/>
    <cellStyle name="Date 9 7" xfId="8558" xr:uid="{00000000-0005-0000-0000-00006F210000}"/>
    <cellStyle name="Date 9 7 2" xfId="8559" xr:uid="{00000000-0005-0000-0000-000070210000}"/>
    <cellStyle name="Date 9 7 3" xfId="8560" xr:uid="{00000000-0005-0000-0000-000071210000}"/>
    <cellStyle name="Date 9 8" xfId="8561" xr:uid="{00000000-0005-0000-0000-000072210000}"/>
    <cellStyle name="Date 9 8 2" xfId="8562" xr:uid="{00000000-0005-0000-0000-000073210000}"/>
    <cellStyle name="Date 9 8 3" xfId="8563" xr:uid="{00000000-0005-0000-0000-000074210000}"/>
    <cellStyle name="Date 9 9" xfId="8564" xr:uid="{00000000-0005-0000-0000-000075210000}"/>
    <cellStyle name="Date 9 9 2" xfId="8565" xr:uid="{00000000-0005-0000-0000-000076210000}"/>
    <cellStyle name="Date 9 9 3" xfId="8566" xr:uid="{00000000-0005-0000-0000-000077210000}"/>
    <cellStyle name="DateTime" xfId="8567" xr:uid="{00000000-0005-0000-0000-000078210000}"/>
    <cellStyle name="DateTime 10" xfId="8568" xr:uid="{00000000-0005-0000-0000-000079210000}"/>
    <cellStyle name="DateTime 10 10" xfId="8569" xr:uid="{00000000-0005-0000-0000-00007A210000}"/>
    <cellStyle name="DateTime 10 11" xfId="8570" xr:uid="{00000000-0005-0000-0000-00007B210000}"/>
    <cellStyle name="DateTime 10 12" xfId="8571" xr:uid="{00000000-0005-0000-0000-00007C210000}"/>
    <cellStyle name="DateTime 10 2" xfId="8572" xr:uid="{00000000-0005-0000-0000-00007D210000}"/>
    <cellStyle name="DateTime 10 2 10" xfId="8573" xr:uid="{00000000-0005-0000-0000-00007E210000}"/>
    <cellStyle name="DateTime 10 2 2" xfId="8574" xr:uid="{00000000-0005-0000-0000-00007F210000}"/>
    <cellStyle name="DateTime 10 2 2 2" xfId="8575" xr:uid="{00000000-0005-0000-0000-000080210000}"/>
    <cellStyle name="DateTime 10 2 2 2 2" xfId="8576" xr:uid="{00000000-0005-0000-0000-000081210000}"/>
    <cellStyle name="DateTime 10 2 2 2 2 2" xfId="8577" xr:uid="{00000000-0005-0000-0000-000082210000}"/>
    <cellStyle name="DateTime 10 2 2 2 2 3" xfId="8578" xr:uid="{00000000-0005-0000-0000-000083210000}"/>
    <cellStyle name="DateTime 10 2 2 2 3" xfId="8579" xr:uid="{00000000-0005-0000-0000-000084210000}"/>
    <cellStyle name="DateTime 10 2 2 2 3 2" xfId="8580" xr:uid="{00000000-0005-0000-0000-000085210000}"/>
    <cellStyle name="DateTime 10 2 2 2 3 3" xfId="8581" xr:uid="{00000000-0005-0000-0000-000086210000}"/>
    <cellStyle name="DateTime 10 2 2 2 4" xfId="8582" xr:uid="{00000000-0005-0000-0000-000087210000}"/>
    <cellStyle name="DateTime 10 2 2 2 5" xfId="8583" xr:uid="{00000000-0005-0000-0000-000088210000}"/>
    <cellStyle name="DateTime 10 2 2 2 6" xfId="8584" xr:uid="{00000000-0005-0000-0000-000089210000}"/>
    <cellStyle name="DateTime 10 2 2 3" xfId="8585" xr:uid="{00000000-0005-0000-0000-00008A210000}"/>
    <cellStyle name="DateTime 10 2 2 3 2" xfId="8586" xr:uid="{00000000-0005-0000-0000-00008B210000}"/>
    <cellStyle name="DateTime 10 2 2 3 3" xfId="8587" xr:uid="{00000000-0005-0000-0000-00008C210000}"/>
    <cellStyle name="DateTime 10 2 2 4" xfId="8588" xr:uid="{00000000-0005-0000-0000-00008D210000}"/>
    <cellStyle name="DateTime 10 2 2 4 2" xfId="8589" xr:uid="{00000000-0005-0000-0000-00008E210000}"/>
    <cellStyle name="DateTime 10 2 2 4 3" xfId="8590" xr:uid="{00000000-0005-0000-0000-00008F210000}"/>
    <cellStyle name="DateTime 10 2 2 5" xfId="8591" xr:uid="{00000000-0005-0000-0000-000090210000}"/>
    <cellStyle name="DateTime 10 2 2 5 2" xfId="8592" xr:uid="{00000000-0005-0000-0000-000091210000}"/>
    <cellStyle name="DateTime 10 2 2 5 3" xfId="8593" xr:uid="{00000000-0005-0000-0000-000092210000}"/>
    <cellStyle name="DateTime 10 2 2 6" xfId="8594" xr:uid="{00000000-0005-0000-0000-000093210000}"/>
    <cellStyle name="DateTime 10 2 2 7" xfId="8595" xr:uid="{00000000-0005-0000-0000-000094210000}"/>
    <cellStyle name="DateTime 10 2 2 8" xfId="8596" xr:uid="{00000000-0005-0000-0000-000095210000}"/>
    <cellStyle name="DateTime 10 2 3" xfId="8597" xr:uid="{00000000-0005-0000-0000-000096210000}"/>
    <cellStyle name="DateTime 10 2 3 2" xfId="8598" xr:uid="{00000000-0005-0000-0000-000097210000}"/>
    <cellStyle name="DateTime 10 2 3 2 2" xfId="8599" xr:uid="{00000000-0005-0000-0000-000098210000}"/>
    <cellStyle name="DateTime 10 2 3 2 2 2" xfId="8600" xr:uid="{00000000-0005-0000-0000-000099210000}"/>
    <cellStyle name="DateTime 10 2 3 2 2 3" xfId="8601" xr:uid="{00000000-0005-0000-0000-00009A210000}"/>
    <cellStyle name="DateTime 10 2 3 2 3" xfId="8602" xr:uid="{00000000-0005-0000-0000-00009B210000}"/>
    <cellStyle name="DateTime 10 2 3 2 3 2" xfId="8603" xr:uid="{00000000-0005-0000-0000-00009C210000}"/>
    <cellStyle name="DateTime 10 2 3 2 3 3" xfId="8604" xr:uid="{00000000-0005-0000-0000-00009D210000}"/>
    <cellStyle name="DateTime 10 2 3 2 4" xfId="8605" xr:uid="{00000000-0005-0000-0000-00009E210000}"/>
    <cellStyle name="DateTime 10 2 3 2 5" xfId="8606" xr:uid="{00000000-0005-0000-0000-00009F210000}"/>
    <cellStyle name="DateTime 10 2 3 2 6" xfId="8607" xr:uid="{00000000-0005-0000-0000-0000A0210000}"/>
    <cellStyle name="DateTime 10 2 3 3" xfId="8608" xr:uid="{00000000-0005-0000-0000-0000A1210000}"/>
    <cellStyle name="DateTime 10 2 3 3 2" xfId="8609" xr:uid="{00000000-0005-0000-0000-0000A2210000}"/>
    <cellStyle name="DateTime 10 2 3 3 3" xfId="8610" xr:uid="{00000000-0005-0000-0000-0000A3210000}"/>
    <cellStyle name="DateTime 10 2 3 4" xfId="8611" xr:uid="{00000000-0005-0000-0000-0000A4210000}"/>
    <cellStyle name="DateTime 10 2 3 4 2" xfId="8612" xr:uid="{00000000-0005-0000-0000-0000A5210000}"/>
    <cellStyle name="DateTime 10 2 3 4 3" xfId="8613" xr:uid="{00000000-0005-0000-0000-0000A6210000}"/>
    <cellStyle name="DateTime 10 2 3 5" xfId="8614" xr:uid="{00000000-0005-0000-0000-0000A7210000}"/>
    <cellStyle name="DateTime 10 2 3 5 2" xfId="8615" xr:uid="{00000000-0005-0000-0000-0000A8210000}"/>
    <cellStyle name="DateTime 10 2 3 5 3" xfId="8616" xr:uid="{00000000-0005-0000-0000-0000A9210000}"/>
    <cellStyle name="DateTime 10 2 3 6" xfId="8617" xr:uid="{00000000-0005-0000-0000-0000AA210000}"/>
    <cellStyle name="DateTime 10 2 3 7" xfId="8618" xr:uid="{00000000-0005-0000-0000-0000AB210000}"/>
    <cellStyle name="DateTime 10 2 3 8" xfId="8619" xr:uid="{00000000-0005-0000-0000-0000AC210000}"/>
    <cellStyle name="DateTime 10 2 4" xfId="8620" xr:uid="{00000000-0005-0000-0000-0000AD210000}"/>
    <cellStyle name="DateTime 10 2 4 2" xfId="8621" xr:uid="{00000000-0005-0000-0000-0000AE210000}"/>
    <cellStyle name="DateTime 10 2 4 2 2" xfId="8622" xr:uid="{00000000-0005-0000-0000-0000AF210000}"/>
    <cellStyle name="DateTime 10 2 4 2 3" xfId="8623" xr:uid="{00000000-0005-0000-0000-0000B0210000}"/>
    <cellStyle name="DateTime 10 2 4 3" xfId="8624" xr:uid="{00000000-0005-0000-0000-0000B1210000}"/>
    <cellStyle name="DateTime 10 2 4 3 2" xfId="8625" xr:uid="{00000000-0005-0000-0000-0000B2210000}"/>
    <cellStyle name="DateTime 10 2 4 3 3" xfId="8626" xr:uid="{00000000-0005-0000-0000-0000B3210000}"/>
    <cellStyle name="DateTime 10 2 4 4" xfId="8627" xr:uid="{00000000-0005-0000-0000-0000B4210000}"/>
    <cellStyle name="DateTime 10 2 4 5" xfId="8628" xr:uid="{00000000-0005-0000-0000-0000B5210000}"/>
    <cellStyle name="DateTime 10 2 4 6" xfId="8629" xr:uid="{00000000-0005-0000-0000-0000B6210000}"/>
    <cellStyle name="DateTime 10 2 5" xfId="8630" xr:uid="{00000000-0005-0000-0000-0000B7210000}"/>
    <cellStyle name="DateTime 10 2 5 2" xfId="8631" xr:uid="{00000000-0005-0000-0000-0000B8210000}"/>
    <cellStyle name="DateTime 10 2 5 3" xfId="8632" xr:uid="{00000000-0005-0000-0000-0000B9210000}"/>
    <cellStyle name="DateTime 10 2 6" xfId="8633" xr:uid="{00000000-0005-0000-0000-0000BA210000}"/>
    <cellStyle name="DateTime 10 2 6 2" xfId="8634" xr:uid="{00000000-0005-0000-0000-0000BB210000}"/>
    <cellStyle name="DateTime 10 2 6 3" xfId="8635" xr:uid="{00000000-0005-0000-0000-0000BC210000}"/>
    <cellStyle name="DateTime 10 2 7" xfId="8636" xr:uid="{00000000-0005-0000-0000-0000BD210000}"/>
    <cellStyle name="DateTime 10 2 7 2" xfId="8637" xr:uid="{00000000-0005-0000-0000-0000BE210000}"/>
    <cellStyle name="DateTime 10 2 7 3" xfId="8638" xr:uid="{00000000-0005-0000-0000-0000BF210000}"/>
    <cellStyle name="DateTime 10 2 8" xfId="8639" xr:uid="{00000000-0005-0000-0000-0000C0210000}"/>
    <cellStyle name="DateTime 10 2 9" xfId="8640" xr:uid="{00000000-0005-0000-0000-0000C1210000}"/>
    <cellStyle name="DateTime 10 3" xfId="8641" xr:uid="{00000000-0005-0000-0000-0000C2210000}"/>
    <cellStyle name="DateTime 10 3 2" xfId="8642" xr:uid="{00000000-0005-0000-0000-0000C3210000}"/>
    <cellStyle name="DateTime 10 3 2 2" xfId="8643" xr:uid="{00000000-0005-0000-0000-0000C4210000}"/>
    <cellStyle name="DateTime 10 3 2 2 2" xfId="8644" xr:uid="{00000000-0005-0000-0000-0000C5210000}"/>
    <cellStyle name="DateTime 10 3 2 2 3" xfId="8645" xr:uid="{00000000-0005-0000-0000-0000C6210000}"/>
    <cellStyle name="DateTime 10 3 2 3" xfId="8646" xr:uid="{00000000-0005-0000-0000-0000C7210000}"/>
    <cellStyle name="DateTime 10 3 2 3 2" xfId="8647" xr:uid="{00000000-0005-0000-0000-0000C8210000}"/>
    <cellStyle name="DateTime 10 3 2 3 3" xfId="8648" xr:uid="{00000000-0005-0000-0000-0000C9210000}"/>
    <cellStyle name="DateTime 10 3 2 4" xfId="8649" xr:uid="{00000000-0005-0000-0000-0000CA210000}"/>
    <cellStyle name="DateTime 10 3 2 5" xfId="8650" xr:uid="{00000000-0005-0000-0000-0000CB210000}"/>
    <cellStyle name="DateTime 10 3 2 6" xfId="8651" xr:uid="{00000000-0005-0000-0000-0000CC210000}"/>
    <cellStyle name="DateTime 10 3 3" xfId="8652" xr:uid="{00000000-0005-0000-0000-0000CD210000}"/>
    <cellStyle name="DateTime 10 3 3 2" xfId="8653" xr:uid="{00000000-0005-0000-0000-0000CE210000}"/>
    <cellStyle name="DateTime 10 3 3 3" xfId="8654" xr:uid="{00000000-0005-0000-0000-0000CF210000}"/>
    <cellStyle name="DateTime 10 3 4" xfId="8655" xr:uid="{00000000-0005-0000-0000-0000D0210000}"/>
    <cellStyle name="DateTime 10 3 4 2" xfId="8656" xr:uid="{00000000-0005-0000-0000-0000D1210000}"/>
    <cellStyle name="DateTime 10 3 4 3" xfId="8657" xr:uid="{00000000-0005-0000-0000-0000D2210000}"/>
    <cellStyle name="DateTime 10 3 5" xfId="8658" xr:uid="{00000000-0005-0000-0000-0000D3210000}"/>
    <cellStyle name="DateTime 10 3 5 2" xfId="8659" xr:uid="{00000000-0005-0000-0000-0000D4210000}"/>
    <cellStyle name="DateTime 10 3 5 3" xfId="8660" xr:uid="{00000000-0005-0000-0000-0000D5210000}"/>
    <cellStyle name="DateTime 10 3 6" xfId="8661" xr:uid="{00000000-0005-0000-0000-0000D6210000}"/>
    <cellStyle name="DateTime 10 3 7" xfId="8662" xr:uid="{00000000-0005-0000-0000-0000D7210000}"/>
    <cellStyle name="DateTime 10 3 8" xfId="8663" xr:uid="{00000000-0005-0000-0000-0000D8210000}"/>
    <cellStyle name="DateTime 10 4" xfId="8664" xr:uid="{00000000-0005-0000-0000-0000D9210000}"/>
    <cellStyle name="DateTime 10 4 2" xfId="8665" xr:uid="{00000000-0005-0000-0000-0000DA210000}"/>
    <cellStyle name="DateTime 10 4 2 2" xfId="8666" xr:uid="{00000000-0005-0000-0000-0000DB210000}"/>
    <cellStyle name="DateTime 10 4 2 2 2" xfId="8667" xr:uid="{00000000-0005-0000-0000-0000DC210000}"/>
    <cellStyle name="DateTime 10 4 2 2 3" xfId="8668" xr:uid="{00000000-0005-0000-0000-0000DD210000}"/>
    <cellStyle name="DateTime 10 4 2 3" xfId="8669" xr:uid="{00000000-0005-0000-0000-0000DE210000}"/>
    <cellStyle name="DateTime 10 4 2 3 2" xfId="8670" xr:uid="{00000000-0005-0000-0000-0000DF210000}"/>
    <cellStyle name="DateTime 10 4 2 3 3" xfId="8671" xr:uid="{00000000-0005-0000-0000-0000E0210000}"/>
    <cellStyle name="DateTime 10 4 2 4" xfId="8672" xr:uid="{00000000-0005-0000-0000-0000E1210000}"/>
    <cellStyle name="DateTime 10 4 2 5" xfId="8673" xr:uid="{00000000-0005-0000-0000-0000E2210000}"/>
    <cellStyle name="DateTime 10 4 2 6" xfId="8674" xr:uid="{00000000-0005-0000-0000-0000E3210000}"/>
    <cellStyle name="DateTime 10 4 3" xfId="8675" xr:uid="{00000000-0005-0000-0000-0000E4210000}"/>
    <cellStyle name="DateTime 10 4 3 2" xfId="8676" xr:uid="{00000000-0005-0000-0000-0000E5210000}"/>
    <cellStyle name="DateTime 10 4 3 3" xfId="8677" xr:uid="{00000000-0005-0000-0000-0000E6210000}"/>
    <cellStyle name="DateTime 10 4 4" xfId="8678" xr:uid="{00000000-0005-0000-0000-0000E7210000}"/>
    <cellStyle name="DateTime 10 4 4 2" xfId="8679" xr:uid="{00000000-0005-0000-0000-0000E8210000}"/>
    <cellStyle name="DateTime 10 4 4 3" xfId="8680" xr:uid="{00000000-0005-0000-0000-0000E9210000}"/>
    <cellStyle name="DateTime 10 4 5" xfId="8681" xr:uid="{00000000-0005-0000-0000-0000EA210000}"/>
    <cellStyle name="DateTime 10 4 5 2" xfId="8682" xr:uid="{00000000-0005-0000-0000-0000EB210000}"/>
    <cellStyle name="DateTime 10 4 5 3" xfId="8683" xr:uid="{00000000-0005-0000-0000-0000EC210000}"/>
    <cellStyle name="DateTime 10 4 6" xfId="8684" xr:uid="{00000000-0005-0000-0000-0000ED210000}"/>
    <cellStyle name="DateTime 10 4 7" xfId="8685" xr:uid="{00000000-0005-0000-0000-0000EE210000}"/>
    <cellStyle name="DateTime 10 4 8" xfId="8686" xr:uid="{00000000-0005-0000-0000-0000EF210000}"/>
    <cellStyle name="DateTime 10 5" xfId="8687" xr:uid="{00000000-0005-0000-0000-0000F0210000}"/>
    <cellStyle name="DateTime 10 5 2" xfId="8688" xr:uid="{00000000-0005-0000-0000-0000F1210000}"/>
    <cellStyle name="DateTime 10 5 2 2" xfId="8689" xr:uid="{00000000-0005-0000-0000-0000F2210000}"/>
    <cellStyle name="DateTime 10 5 2 2 2" xfId="8690" xr:uid="{00000000-0005-0000-0000-0000F3210000}"/>
    <cellStyle name="DateTime 10 5 2 2 3" xfId="8691" xr:uid="{00000000-0005-0000-0000-0000F4210000}"/>
    <cellStyle name="DateTime 10 5 2 3" xfId="8692" xr:uid="{00000000-0005-0000-0000-0000F5210000}"/>
    <cellStyle name="DateTime 10 5 2 3 2" xfId="8693" xr:uid="{00000000-0005-0000-0000-0000F6210000}"/>
    <cellStyle name="DateTime 10 5 2 3 3" xfId="8694" xr:uid="{00000000-0005-0000-0000-0000F7210000}"/>
    <cellStyle name="DateTime 10 5 2 4" xfId="8695" xr:uid="{00000000-0005-0000-0000-0000F8210000}"/>
    <cellStyle name="DateTime 10 5 2 5" xfId="8696" xr:uid="{00000000-0005-0000-0000-0000F9210000}"/>
    <cellStyle name="DateTime 10 5 2 6" xfId="8697" xr:uid="{00000000-0005-0000-0000-0000FA210000}"/>
    <cellStyle name="DateTime 10 5 3" xfId="8698" xr:uid="{00000000-0005-0000-0000-0000FB210000}"/>
    <cellStyle name="DateTime 10 5 3 2" xfId="8699" xr:uid="{00000000-0005-0000-0000-0000FC210000}"/>
    <cellStyle name="DateTime 10 5 3 3" xfId="8700" xr:uid="{00000000-0005-0000-0000-0000FD210000}"/>
    <cellStyle name="DateTime 10 5 4" xfId="8701" xr:uid="{00000000-0005-0000-0000-0000FE210000}"/>
    <cellStyle name="DateTime 10 5 4 2" xfId="8702" xr:uid="{00000000-0005-0000-0000-0000FF210000}"/>
    <cellStyle name="DateTime 10 5 4 3" xfId="8703" xr:uid="{00000000-0005-0000-0000-000000220000}"/>
    <cellStyle name="DateTime 10 5 5" xfId="8704" xr:uid="{00000000-0005-0000-0000-000001220000}"/>
    <cellStyle name="DateTime 10 5 5 2" xfId="8705" xr:uid="{00000000-0005-0000-0000-000002220000}"/>
    <cellStyle name="DateTime 10 5 5 3" xfId="8706" xr:uid="{00000000-0005-0000-0000-000003220000}"/>
    <cellStyle name="DateTime 10 5 6" xfId="8707" xr:uid="{00000000-0005-0000-0000-000004220000}"/>
    <cellStyle name="DateTime 10 5 7" xfId="8708" xr:uid="{00000000-0005-0000-0000-000005220000}"/>
    <cellStyle name="DateTime 10 5 8" xfId="8709" xr:uid="{00000000-0005-0000-0000-000006220000}"/>
    <cellStyle name="DateTime 10 6" xfId="8710" xr:uid="{00000000-0005-0000-0000-000007220000}"/>
    <cellStyle name="DateTime 10 6 2" xfId="8711" xr:uid="{00000000-0005-0000-0000-000008220000}"/>
    <cellStyle name="DateTime 10 6 2 2" xfId="8712" xr:uid="{00000000-0005-0000-0000-000009220000}"/>
    <cellStyle name="DateTime 10 6 2 3" xfId="8713" xr:uid="{00000000-0005-0000-0000-00000A220000}"/>
    <cellStyle name="DateTime 10 6 3" xfId="8714" xr:uid="{00000000-0005-0000-0000-00000B220000}"/>
    <cellStyle name="DateTime 10 6 3 2" xfId="8715" xr:uid="{00000000-0005-0000-0000-00000C220000}"/>
    <cellStyle name="DateTime 10 6 3 3" xfId="8716" xr:uid="{00000000-0005-0000-0000-00000D220000}"/>
    <cellStyle name="DateTime 10 6 4" xfId="8717" xr:uid="{00000000-0005-0000-0000-00000E220000}"/>
    <cellStyle name="DateTime 10 6 5" xfId="8718" xr:uid="{00000000-0005-0000-0000-00000F220000}"/>
    <cellStyle name="DateTime 10 6 6" xfId="8719" xr:uid="{00000000-0005-0000-0000-000010220000}"/>
    <cellStyle name="DateTime 10 7" xfId="8720" xr:uid="{00000000-0005-0000-0000-000011220000}"/>
    <cellStyle name="DateTime 10 7 2" xfId="8721" xr:uid="{00000000-0005-0000-0000-000012220000}"/>
    <cellStyle name="DateTime 10 7 3" xfId="8722" xr:uid="{00000000-0005-0000-0000-000013220000}"/>
    <cellStyle name="DateTime 10 8" xfId="8723" xr:uid="{00000000-0005-0000-0000-000014220000}"/>
    <cellStyle name="DateTime 10 8 2" xfId="8724" xr:uid="{00000000-0005-0000-0000-000015220000}"/>
    <cellStyle name="DateTime 10 8 3" xfId="8725" xr:uid="{00000000-0005-0000-0000-000016220000}"/>
    <cellStyle name="DateTime 10 9" xfId="8726" xr:uid="{00000000-0005-0000-0000-000017220000}"/>
    <cellStyle name="DateTime 10 9 2" xfId="8727" xr:uid="{00000000-0005-0000-0000-000018220000}"/>
    <cellStyle name="DateTime 10 9 3" xfId="8728" xr:uid="{00000000-0005-0000-0000-000019220000}"/>
    <cellStyle name="DateTime 11" xfId="8729" xr:uid="{00000000-0005-0000-0000-00001A220000}"/>
    <cellStyle name="DateTime 11 10" xfId="8730" xr:uid="{00000000-0005-0000-0000-00001B220000}"/>
    <cellStyle name="DateTime 11 11" xfId="8731" xr:uid="{00000000-0005-0000-0000-00001C220000}"/>
    <cellStyle name="DateTime 11 12" xfId="8732" xr:uid="{00000000-0005-0000-0000-00001D220000}"/>
    <cellStyle name="DateTime 11 2" xfId="8733" xr:uid="{00000000-0005-0000-0000-00001E220000}"/>
    <cellStyle name="DateTime 11 2 10" xfId="8734" xr:uid="{00000000-0005-0000-0000-00001F220000}"/>
    <cellStyle name="DateTime 11 2 2" xfId="8735" xr:uid="{00000000-0005-0000-0000-000020220000}"/>
    <cellStyle name="DateTime 11 2 2 2" xfId="8736" xr:uid="{00000000-0005-0000-0000-000021220000}"/>
    <cellStyle name="DateTime 11 2 2 2 2" xfId="8737" xr:uid="{00000000-0005-0000-0000-000022220000}"/>
    <cellStyle name="DateTime 11 2 2 2 2 2" xfId="8738" xr:uid="{00000000-0005-0000-0000-000023220000}"/>
    <cellStyle name="DateTime 11 2 2 2 2 3" xfId="8739" xr:uid="{00000000-0005-0000-0000-000024220000}"/>
    <cellStyle name="DateTime 11 2 2 2 3" xfId="8740" xr:uid="{00000000-0005-0000-0000-000025220000}"/>
    <cellStyle name="DateTime 11 2 2 2 3 2" xfId="8741" xr:uid="{00000000-0005-0000-0000-000026220000}"/>
    <cellStyle name="DateTime 11 2 2 2 3 3" xfId="8742" xr:uid="{00000000-0005-0000-0000-000027220000}"/>
    <cellStyle name="DateTime 11 2 2 2 4" xfId="8743" xr:uid="{00000000-0005-0000-0000-000028220000}"/>
    <cellStyle name="DateTime 11 2 2 2 5" xfId="8744" xr:uid="{00000000-0005-0000-0000-000029220000}"/>
    <cellStyle name="DateTime 11 2 2 2 6" xfId="8745" xr:uid="{00000000-0005-0000-0000-00002A220000}"/>
    <cellStyle name="DateTime 11 2 2 3" xfId="8746" xr:uid="{00000000-0005-0000-0000-00002B220000}"/>
    <cellStyle name="DateTime 11 2 2 3 2" xfId="8747" xr:uid="{00000000-0005-0000-0000-00002C220000}"/>
    <cellStyle name="DateTime 11 2 2 3 3" xfId="8748" xr:uid="{00000000-0005-0000-0000-00002D220000}"/>
    <cellStyle name="DateTime 11 2 2 4" xfId="8749" xr:uid="{00000000-0005-0000-0000-00002E220000}"/>
    <cellStyle name="DateTime 11 2 2 4 2" xfId="8750" xr:uid="{00000000-0005-0000-0000-00002F220000}"/>
    <cellStyle name="DateTime 11 2 2 4 3" xfId="8751" xr:uid="{00000000-0005-0000-0000-000030220000}"/>
    <cellStyle name="DateTime 11 2 2 5" xfId="8752" xr:uid="{00000000-0005-0000-0000-000031220000}"/>
    <cellStyle name="DateTime 11 2 2 5 2" xfId="8753" xr:uid="{00000000-0005-0000-0000-000032220000}"/>
    <cellStyle name="DateTime 11 2 2 5 3" xfId="8754" xr:uid="{00000000-0005-0000-0000-000033220000}"/>
    <cellStyle name="DateTime 11 2 2 6" xfId="8755" xr:uid="{00000000-0005-0000-0000-000034220000}"/>
    <cellStyle name="DateTime 11 2 2 7" xfId="8756" xr:uid="{00000000-0005-0000-0000-000035220000}"/>
    <cellStyle name="DateTime 11 2 2 8" xfId="8757" xr:uid="{00000000-0005-0000-0000-000036220000}"/>
    <cellStyle name="DateTime 11 2 3" xfId="8758" xr:uid="{00000000-0005-0000-0000-000037220000}"/>
    <cellStyle name="DateTime 11 2 3 2" xfId="8759" xr:uid="{00000000-0005-0000-0000-000038220000}"/>
    <cellStyle name="DateTime 11 2 3 2 2" xfId="8760" xr:uid="{00000000-0005-0000-0000-000039220000}"/>
    <cellStyle name="DateTime 11 2 3 2 2 2" xfId="8761" xr:uid="{00000000-0005-0000-0000-00003A220000}"/>
    <cellStyle name="DateTime 11 2 3 2 2 3" xfId="8762" xr:uid="{00000000-0005-0000-0000-00003B220000}"/>
    <cellStyle name="DateTime 11 2 3 2 3" xfId="8763" xr:uid="{00000000-0005-0000-0000-00003C220000}"/>
    <cellStyle name="DateTime 11 2 3 2 3 2" xfId="8764" xr:uid="{00000000-0005-0000-0000-00003D220000}"/>
    <cellStyle name="DateTime 11 2 3 2 3 3" xfId="8765" xr:uid="{00000000-0005-0000-0000-00003E220000}"/>
    <cellStyle name="DateTime 11 2 3 2 4" xfId="8766" xr:uid="{00000000-0005-0000-0000-00003F220000}"/>
    <cellStyle name="DateTime 11 2 3 2 5" xfId="8767" xr:uid="{00000000-0005-0000-0000-000040220000}"/>
    <cellStyle name="DateTime 11 2 3 2 6" xfId="8768" xr:uid="{00000000-0005-0000-0000-000041220000}"/>
    <cellStyle name="DateTime 11 2 3 3" xfId="8769" xr:uid="{00000000-0005-0000-0000-000042220000}"/>
    <cellStyle name="DateTime 11 2 3 3 2" xfId="8770" xr:uid="{00000000-0005-0000-0000-000043220000}"/>
    <cellStyle name="DateTime 11 2 3 3 3" xfId="8771" xr:uid="{00000000-0005-0000-0000-000044220000}"/>
    <cellStyle name="DateTime 11 2 3 4" xfId="8772" xr:uid="{00000000-0005-0000-0000-000045220000}"/>
    <cellStyle name="DateTime 11 2 3 4 2" xfId="8773" xr:uid="{00000000-0005-0000-0000-000046220000}"/>
    <cellStyle name="DateTime 11 2 3 4 3" xfId="8774" xr:uid="{00000000-0005-0000-0000-000047220000}"/>
    <cellStyle name="DateTime 11 2 3 5" xfId="8775" xr:uid="{00000000-0005-0000-0000-000048220000}"/>
    <cellStyle name="DateTime 11 2 3 5 2" xfId="8776" xr:uid="{00000000-0005-0000-0000-000049220000}"/>
    <cellStyle name="DateTime 11 2 3 5 3" xfId="8777" xr:uid="{00000000-0005-0000-0000-00004A220000}"/>
    <cellStyle name="DateTime 11 2 3 6" xfId="8778" xr:uid="{00000000-0005-0000-0000-00004B220000}"/>
    <cellStyle name="DateTime 11 2 3 7" xfId="8779" xr:uid="{00000000-0005-0000-0000-00004C220000}"/>
    <cellStyle name="DateTime 11 2 3 8" xfId="8780" xr:uid="{00000000-0005-0000-0000-00004D220000}"/>
    <cellStyle name="DateTime 11 2 4" xfId="8781" xr:uid="{00000000-0005-0000-0000-00004E220000}"/>
    <cellStyle name="DateTime 11 2 4 2" xfId="8782" xr:uid="{00000000-0005-0000-0000-00004F220000}"/>
    <cellStyle name="DateTime 11 2 4 2 2" xfId="8783" xr:uid="{00000000-0005-0000-0000-000050220000}"/>
    <cellStyle name="DateTime 11 2 4 2 3" xfId="8784" xr:uid="{00000000-0005-0000-0000-000051220000}"/>
    <cellStyle name="DateTime 11 2 4 3" xfId="8785" xr:uid="{00000000-0005-0000-0000-000052220000}"/>
    <cellStyle name="DateTime 11 2 4 3 2" xfId="8786" xr:uid="{00000000-0005-0000-0000-000053220000}"/>
    <cellStyle name="DateTime 11 2 4 3 3" xfId="8787" xr:uid="{00000000-0005-0000-0000-000054220000}"/>
    <cellStyle name="DateTime 11 2 4 4" xfId="8788" xr:uid="{00000000-0005-0000-0000-000055220000}"/>
    <cellStyle name="DateTime 11 2 4 5" xfId="8789" xr:uid="{00000000-0005-0000-0000-000056220000}"/>
    <cellStyle name="DateTime 11 2 4 6" xfId="8790" xr:uid="{00000000-0005-0000-0000-000057220000}"/>
    <cellStyle name="DateTime 11 2 5" xfId="8791" xr:uid="{00000000-0005-0000-0000-000058220000}"/>
    <cellStyle name="DateTime 11 2 5 2" xfId="8792" xr:uid="{00000000-0005-0000-0000-000059220000}"/>
    <cellStyle name="DateTime 11 2 5 3" xfId="8793" xr:uid="{00000000-0005-0000-0000-00005A220000}"/>
    <cellStyle name="DateTime 11 2 6" xfId="8794" xr:uid="{00000000-0005-0000-0000-00005B220000}"/>
    <cellStyle name="DateTime 11 2 6 2" xfId="8795" xr:uid="{00000000-0005-0000-0000-00005C220000}"/>
    <cellStyle name="DateTime 11 2 6 3" xfId="8796" xr:uid="{00000000-0005-0000-0000-00005D220000}"/>
    <cellStyle name="DateTime 11 2 7" xfId="8797" xr:uid="{00000000-0005-0000-0000-00005E220000}"/>
    <cellStyle name="DateTime 11 2 7 2" xfId="8798" xr:uid="{00000000-0005-0000-0000-00005F220000}"/>
    <cellStyle name="DateTime 11 2 7 3" xfId="8799" xr:uid="{00000000-0005-0000-0000-000060220000}"/>
    <cellStyle name="DateTime 11 2 8" xfId="8800" xr:uid="{00000000-0005-0000-0000-000061220000}"/>
    <cellStyle name="DateTime 11 2 9" xfId="8801" xr:uid="{00000000-0005-0000-0000-000062220000}"/>
    <cellStyle name="DateTime 11 3" xfId="8802" xr:uid="{00000000-0005-0000-0000-000063220000}"/>
    <cellStyle name="DateTime 11 3 2" xfId="8803" xr:uid="{00000000-0005-0000-0000-000064220000}"/>
    <cellStyle name="DateTime 11 3 2 2" xfId="8804" xr:uid="{00000000-0005-0000-0000-000065220000}"/>
    <cellStyle name="DateTime 11 3 2 2 2" xfId="8805" xr:uid="{00000000-0005-0000-0000-000066220000}"/>
    <cellStyle name="DateTime 11 3 2 2 3" xfId="8806" xr:uid="{00000000-0005-0000-0000-000067220000}"/>
    <cellStyle name="DateTime 11 3 2 3" xfId="8807" xr:uid="{00000000-0005-0000-0000-000068220000}"/>
    <cellStyle name="DateTime 11 3 2 3 2" xfId="8808" xr:uid="{00000000-0005-0000-0000-000069220000}"/>
    <cellStyle name="DateTime 11 3 2 3 3" xfId="8809" xr:uid="{00000000-0005-0000-0000-00006A220000}"/>
    <cellStyle name="DateTime 11 3 2 4" xfId="8810" xr:uid="{00000000-0005-0000-0000-00006B220000}"/>
    <cellStyle name="DateTime 11 3 2 5" xfId="8811" xr:uid="{00000000-0005-0000-0000-00006C220000}"/>
    <cellStyle name="DateTime 11 3 2 6" xfId="8812" xr:uid="{00000000-0005-0000-0000-00006D220000}"/>
    <cellStyle name="DateTime 11 3 3" xfId="8813" xr:uid="{00000000-0005-0000-0000-00006E220000}"/>
    <cellStyle name="DateTime 11 3 3 2" xfId="8814" xr:uid="{00000000-0005-0000-0000-00006F220000}"/>
    <cellStyle name="DateTime 11 3 3 3" xfId="8815" xr:uid="{00000000-0005-0000-0000-000070220000}"/>
    <cellStyle name="DateTime 11 3 4" xfId="8816" xr:uid="{00000000-0005-0000-0000-000071220000}"/>
    <cellStyle name="DateTime 11 3 4 2" xfId="8817" xr:uid="{00000000-0005-0000-0000-000072220000}"/>
    <cellStyle name="DateTime 11 3 4 3" xfId="8818" xr:uid="{00000000-0005-0000-0000-000073220000}"/>
    <cellStyle name="DateTime 11 3 5" xfId="8819" xr:uid="{00000000-0005-0000-0000-000074220000}"/>
    <cellStyle name="DateTime 11 3 5 2" xfId="8820" xr:uid="{00000000-0005-0000-0000-000075220000}"/>
    <cellStyle name="DateTime 11 3 5 3" xfId="8821" xr:uid="{00000000-0005-0000-0000-000076220000}"/>
    <cellStyle name="DateTime 11 3 6" xfId="8822" xr:uid="{00000000-0005-0000-0000-000077220000}"/>
    <cellStyle name="DateTime 11 3 7" xfId="8823" xr:uid="{00000000-0005-0000-0000-000078220000}"/>
    <cellStyle name="DateTime 11 3 8" xfId="8824" xr:uid="{00000000-0005-0000-0000-000079220000}"/>
    <cellStyle name="DateTime 11 4" xfId="8825" xr:uid="{00000000-0005-0000-0000-00007A220000}"/>
    <cellStyle name="DateTime 11 4 2" xfId="8826" xr:uid="{00000000-0005-0000-0000-00007B220000}"/>
    <cellStyle name="DateTime 11 4 2 2" xfId="8827" xr:uid="{00000000-0005-0000-0000-00007C220000}"/>
    <cellStyle name="DateTime 11 4 2 2 2" xfId="8828" xr:uid="{00000000-0005-0000-0000-00007D220000}"/>
    <cellStyle name="DateTime 11 4 2 2 3" xfId="8829" xr:uid="{00000000-0005-0000-0000-00007E220000}"/>
    <cellStyle name="DateTime 11 4 2 3" xfId="8830" xr:uid="{00000000-0005-0000-0000-00007F220000}"/>
    <cellStyle name="DateTime 11 4 2 3 2" xfId="8831" xr:uid="{00000000-0005-0000-0000-000080220000}"/>
    <cellStyle name="DateTime 11 4 2 3 3" xfId="8832" xr:uid="{00000000-0005-0000-0000-000081220000}"/>
    <cellStyle name="DateTime 11 4 2 4" xfId="8833" xr:uid="{00000000-0005-0000-0000-000082220000}"/>
    <cellStyle name="DateTime 11 4 2 5" xfId="8834" xr:uid="{00000000-0005-0000-0000-000083220000}"/>
    <cellStyle name="DateTime 11 4 2 6" xfId="8835" xr:uid="{00000000-0005-0000-0000-000084220000}"/>
    <cellStyle name="DateTime 11 4 3" xfId="8836" xr:uid="{00000000-0005-0000-0000-000085220000}"/>
    <cellStyle name="DateTime 11 4 3 2" xfId="8837" xr:uid="{00000000-0005-0000-0000-000086220000}"/>
    <cellStyle name="DateTime 11 4 3 3" xfId="8838" xr:uid="{00000000-0005-0000-0000-000087220000}"/>
    <cellStyle name="DateTime 11 4 4" xfId="8839" xr:uid="{00000000-0005-0000-0000-000088220000}"/>
    <cellStyle name="DateTime 11 4 4 2" xfId="8840" xr:uid="{00000000-0005-0000-0000-000089220000}"/>
    <cellStyle name="DateTime 11 4 4 3" xfId="8841" xr:uid="{00000000-0005-0000-0000-00008A220000}"/>
    <cellStyle name="DateTime 11 4 5" xfId="8842" xr:uid="{00000000-0005-0000-0000-00008B220000}"/>
    <cellStyle name="DateTime 11 4 5 2" xfId="8843" xr:uid="{00000000-0005-0000-0000-00008C220000}"/>
    <cellStyle name="DateTime 11 4 5 3" xfId="8844" xr:uid="{00000000-0005-0000-0000-00008D220000}"/>
    <cellStyle name="DateTime 11 4 6" xfId="8845" xr:uid="{00000000-0005-0000-0000-00008E220000}"/>
    <cellStyle name="DateTime 11 4 7" xfId="8846" xr:uid="{00000000-0005-0000-0000-00008F220000}"/>
    <cellStyle name="DateTime 11 4 8" xfId="8847" xr:uid="{00000000-0005-0000-0000-000090220000}"/>
    <cellStyle name="DateTime 11 5" xfId="8848" xr:uid="{00000000-0005-0000-0000-000091220000}"/>
    <cellStyle name="DateTime 11 5 2" xfId="8849" xr:uid="{00000000-0005-0000-0000-000092220000}"/>
    <cellStyle name="DateTime 11 5 2 2" xfId="8850" xr:uid="{00000000-0005-0000-0000-000093220000}"/>
    <cellStyle name="DateTime 11 5 2 2 2" xfId="8851" xr:uid="{00000000-0005-0000-0000-000094220000}"/>
    <cellStyle name="DateTime 11 5 2 2 3" xfId="8852" xr:uid="{00000000-0005-0000-0000-000095220000}"/>
    <cellStyle name="DateTime 11 5 2 3" xfId="8853" xr:uid="{00000000-0005-0000-0000-000096220000}"/>
    <cellStyle name="DateTime 11 5 2 3 2" xfId="8854" xr:uid="{00000000-0005-0000-0000-000097220000}"/>
    <cellStyle name="DateTime 11 5 2 3 3" xfId="8855" xr:uid="{00000000-0005-0000-0000-000098220000}"/>
    <cellStyle name="DateTime 11 5 2 4" xfId="8856" xr:uid="{00000000-0005-0000-0000-000099220000}"/>
    <cellStyle name="DateTime 11 5 2 5" xfId="8857" xr:uid="{00000000-0005-0000-0000-00009A220000}"/>
    <cellStyle name="DateTime 11 5 2 6" xfId="8858" xr:uid="{00000000-0005-0000-0000-00009B220000}"/>
    <cellStyle name="DateTime 11 5 3" xfId="8859" xr:uid="{00000000-0005-0000-0000-00009C220000}"/>
    <cellStyle name="DateTime 11 5 3 2" xfId="8860" xr:uid="{00000000-0005-0000-0000-00009D220000}"/>
    <cellStyle name="DateTime 11 5 3 3" xfId="8861" xr:uid="{00000000-0005-0000-0000-00009E220000}"/>
    <cellStyle name="DateTime 11 5 4" xfId="8862" xr:uid="{00000000-0005-0000-0000-00009F220000}"/>
    <cellStyle name="DateTime 11 5 4 2" xfId="8863" xr:uid="{00000000-0005-0000-0000-0000A0220000}"/>
    <cellStyle name="DateTime 11 5 4 3" xfId="8864" xr:uid="{00000000-0005-0000-0000-0000A1220000}"/>
    <cellStyle name="DateTime 11 5 5" xfId="8865" xr:uid="{00000000-0005-0000-0000-0000A2220000}"/>
    <cellStyle name="DateTime 11 5 5 2" xfId="8866" xr:uid="{00000000-0005-0000-0000-0000A3220000}"/>
    <cellStyle name="DateTime 11 5 5 3" xfId="8867" xr:uid="{00000000-0005-0000-0000-0000A4220000}"/>
    <cellStyle name="DateTime 11 5 6" xfId="8868" xr:uid="{00000000-0005-0000-0000-0000A5220000}"/>
    <cellStyle name="DateTime 11 5 7" xfId="8869" xr:uid="{00000000-0005-0000-0000-0000A6220000}"/>
    <cellStyle name="DateTime 11 5 8" xfId="8870" xr:uid="{00000000-0005-0000-0000-0000A7220000}"/>
    <cellStyle name="DateTime 11 6" xfId="8871" xr:uid="{00000000-0005-0000-0000-0000A8220000}"/>
    <cellStyle name="DateTime 11 6 2" xfId="8872" xr:uid="{00000000-0005-0000-0000-0000A9220000}"/>
    <cellStyle name="DateTime 11 6 2 2" xfId="8873" xr:uid="{00000000-0005-0000-0000-0000AA220000}"/>
    <cellStyle name="DateTime 11 6 2 3" xfId="8874" xr:uid="{00000000-0005-0000-0000-0000AB220000}"/>
    <cellStyle name="DateTime 11 6 3" xfId="8875" xr:uid="{00000000-0005-0000-0000-0000AC220000}"/>
    <cellStyle name="DateTime 11 6 3 2" xfId="8876" xr:uid="{00000000-0005-0000-0000-0000AD220000}"/>
    <cellStyle name="DateTime 11 6 3 3" xfId="8877" xr:uid="{00000000-0005-0000-0000-0000AE220000}"/>
    <cellStyle name="DateTime 11 6 4" xfId="8878" xr:uid="{00000000-0005-0000-0000-0000AF220000}"/>
    <cellStyle name="DateTime 11 6 5" xfId="8879" xr:uid="{00000000-0005-0000-0000-0000B0220000}"/>
    <cellStyle name="DateTime 11 6 6" xfId="8880" xr:uid="{00000000-0005-0000-0000-0000B1220000}"/>
    <cellStyle name="DateTime 11 7" xfId="8881" xr:uid="{00000000-0005-0000-0000-0000B2220000}"/>
    <cellStyle name="DateTime 11 7 2" xfId="8882" xr:uid="{00000000-0005-0000-0000-0000B3220000}"/>
    <cellStyle name="DateTime 11 7 3" xfId="8883" xr:uid="{00000000-0005-0000-0000-0000B4220000}"/>
    <cellStyle name="DateTime 11 8" xfId="8884" xr:uid="{00000000-0005-0000-0000-0000B5220000}"/>
    <cellStyle name="DateTime 11 8 2" xfId="8885" xr:uid="{00000000-0005-0000-0000-0000B6220000}"/>
    <cellStyle name="DateTime 11 8 3" xfId="8886" xr:uid="{00000000-0005-0000-0000-0000B7220000}"/>
    <cellStyle name="DateTime 11 9" xfId="8887" xr:uid="{00000000-0005-0000-0000-0000B8220000}"/>
    <cellStyle name="DateTime 11 9 2" xfId="8888" xr:uid="{00000000-0005-0000-0000-0000B9220000}"/>
    <cellStyle name="DateTime 11 9 3" xfId="8889" xr:uid="{00000000-0005-0000-0000-0000BA220000}"/>
    <cellStyle name="DateTime 12" xfId="8890" xr:uid="{00000000-0005-0000-0000-0000BB220000}"/>
    <cellStyle name="DateTime 12 10" xfId="8891" xr:uid="{00000000-0005-0000-0000-0000BC220000}"/>
    <cellStyle name="DateTime 12 2" xfId="8892" xr:uid="{00000000-0005-0000-0000-0000BD220000}"/>
    <cellStyle name="DateTime 12 2 2" xfId="8893" xr:uid="{00000000-0005-0000-0000-0000BE220000}"/>
    <cellStyle name="DateTime 12 2 2 2" xfId="8894" xr:uid="{00000000-0005-0000-0000-0000BF220000}"/>
    <cellStyle name="DateTime 12 2 2 2 2" xfId="8895" xr:uid="{00000000-0005-0000-0000-0000C0220000}"/>
    <cellStyle name="DateTime 12 2 2 2 3" xfId="8896" xr:uid="{00000000-0005-0000-0000-0000C1220000}"/>
    <cellStyle name="DateTime 12 2 2 3" xfId="8897" xr:uid="{00000000-0005-0000-0000-0000C2220000}"/>
    <cellStyle name="DateTime 12 2 2 3 2" xfId="8898" xr:uid="{00000000-0005-0000-0000-0000C3220000}"/>
    <cellStyle name="DateTime 12 2 2 3 3" xfId="8899" xr:uid="{00000000-0005-0000-0000-0000C4220000}"/>
    <cellStyle name="DateTime 12 2 2 4" xfId="8900" xr:uid="{00000000-0005-0000-0000-0000C5220000}"/>
    <cellStyle name="DateTime 12 2 2 5" xfId="8901" xr:uid="{00000000-0005-0000-0000-0000C6220000}"/>
    <cellStyle name="DateTime 12 2 2 6" xfId="8902" xr:uid="{00000000-0005-0000-0000-0000C7220000}"/>
    <cellStyle name="DateTime 12 2 3" xfId="8903" xr:uid="{00000000-0005-0000-0000-0000C8220000}"/>
    <cellStyle name="DateTime 12 2 3 2" xfId="8904" xr:uid="{00000000-0005-0000-0000-0000C9220000}"/>
    <cellStyle name="DateTime 12 2 3 3" xfId="8905" xr:uid="{00000000-0005-0000-0000-0000CA220000}"/>
    <cellStyle name="DateTime 12 2 4" xfId="8906" xr:uid="{00000000-0005-0000-0000-0000CB220000}"/>
    <cellStyle name="DateTime 12 2 4 2" xfId="8907" xr:uid="{00000000-0005-0000-0000-0000CC220000}"/>
    <cellStyle name="DateTime 12 2 4 3" xfId="8908" xr:uid="{00000000-0005-0000-0000-0000CD220000}"/>
    <cellStyle name="DateTime 12 2 5" xfId="8909" xr:uid="{00000000-0005-0000-0000-0000CE220000}"/>
    <cellStyle name="DateTime 12 2 5 2" xfId="8910" xr:uid="{00000000-0005-0000-0000-0000CF220000}"/>
    <cellStyle name="DateTime 12 2 5 3" xfId="8911" xr:uid="{00000000-0005-0000-0000-0000D0220000}"/>
    <cellStyle name="DateTime 12 2 6" xfId="8912" xr:uid="{00000000-0005-0000-0000-0000D1220000}"/>
    <cellStyle name="DateTime 12 2 7" xfId="8913" xr:uid="{00000000-0005-0000-0000-0000D2220000}"/>
    <cellStyle name="DateTime 12 2 8" xfId="8914" xr:uid="{00000000-0005-0000-0000-0000D3220000}"/>
    <cellStyle name="DateTime 12 3" xfId="8915" xr:uid="{00000000-0005-0000-0000-0000D4220000}"/>
    <cellStyle name="DateTime 12 3 2" xfId="8916" xr:uid="{00000000-0005-0000-0000-0000D5220000}"/>
    <cellStyle name="DateTime 12 3 2 2" xfId="8917" xr:uid="{00000000-0005-0000-0000-0000D6220000}"/>
    <cellStyle name="DateTime 12 3 2 2 2" xfId="8918" xr:uid="{00000000-0005-0000-0000-0000D7220000}"/>
    <cellStyle name="DateTime 12 3 2 2 3" xfId="8919" xr:uid="{00000000-0005-0000-0000-0000D8220000}"/>
    <cellStyle name="DateTime 12 3 2 3" xfId="8920" xr:uid="{00000000-0005-0000-0000-0000D9220000}"/>
    <cellStyle name="DateTime 12 3 2 3 2" xfId="8921" xr:uid="{00000000-0005-0000-0000-0000DA220000}"/>
    <cellStyle name="DateTime 12 3 2 3 3" xfId="8922" xr:uid="{00000000-0005-0000-0000-0000DB220000}"/>
    <cellStyle name="DateTime 12 3 2 4" xfId="8923" xr:uid="{00000000-0005-0000-0000-0000DC220000}"/>
    <cellStyle name="DateTime 12 3 2 5" xfId="8924" xr:uid="{00000000-0005-0000-0000-0000DD220000}"/>
    <cellStyle name="DateTime 12 3 2 6" xfId="8925" xr:uid="{00000000-0005-0000-0000-0000DE220000}"/>
    <cellStyle name="DateTime 12 3 3" xfId="8926" xr:uid="{00000000-0005-0000-0000-0000DF220000}"/>
    <cellStyle name="DateTime 12 3 3 2" xfId="8927" xr:uid="{00000000-0005-0000-0000-0000E0220000}"/>
    <cellStyle name="DateTime 12 3 3 3" xfId="8928" xr:uid="{00000000-0005-0000-0000-0000E1220000}"/>
    <cellStyle name="DateTime 12 3 4" xfId="8929" xr:uid="{00000000-0005-0000-0000-0000E2220000}"/>
    <cellStyle name="DateTime 12 3 4 2" xfId="8930" xr:uid="{00000000-0005-0000-0000-0000E3220000}"/>
    <cellStyle name="DateTime 12 3 4 3" xfId="8931" xr:uid="{00000000-0005-0000-0000-0000E4220000}"/>
    <cellStyle name="DateTime 12 3 5" xfId="8932" xr:uid="{00000000-0005-0000-0000-0000E5220000}"/>
    <cellStyle name="DateTime 12 3 5 2" xfId="8933" xr:uid="{00000000-0005-0000-0000-0000E6220000}"/>
    <cellStyle name="DateTime 12 3 5 3" xfId="8934" xr:uid="{00000000-0005-0000-0000-0000E7220000}"/>
    <cellStyle name="DateTime 12 3 6" xfId="8935" xr:uid="{00000000-0005-0000-0000-0000E8220000}"/>
    <cellStyle name="DateTime 12 3 7" xfId="8936" xr:uid="{00000000-0005-0000-0000-0000E9220000}"/>
    <cellStyle name="DateTime 12 3 8" xfId="8937" xr:uid="{00000000-0005-0000-0000-0000EA220000}"/>
    <cellStyle name="DateTime 12 4" xfId="8938" xr:uid="{00000000-0005-0000-0000-0000EB220000}"/>
    <cellStyle name="DateTime 12 4 2" xfId="8939" xr:uid="{00000000-0005-0000-0000-0000EC220000}"/>
    <cellStyle name="DateTime 12 4 2 2" xfId="8940" xr:uid="{00000000-0005-0000-0000-0000ED220000}"/>
    <cellStyle name="DateTime 12 4 2 3" xfId="8941" xr:uid="{00000000-0005-0000-0000-0000EE220000}"/>
    <cellStyle name="DateTime 12 4 3" xfId="8942" xr:uid="{00000000-0005-0000-0000-0000EF220000}"/>
    <cellStyle name="DateTime 12 4 3 2" xfId="8943" xr:uid="{00000000-0005-0000-0000-0000F0220000}"/>
    <cellStyle name="DateTime 12 4 3 3" xfId="8944" xr:uid="{00000000-0005-0000-0000-0000F1220000}"/>
    <cellStyle name="DateTime 12 4 4" xfId="8945" xr:uid="{00000000-0005-0000-0000-0000F2220000}"/>
    <cellStyle name="DateTime 12 4 5" xfId="8946" xr:uid="{00000000-0005-0000-0000-0000F3220000}"/>
    <cellStyle name="DateTime 12 4 6" xfId="8947" xr:uid="{00000000-0005-0000-0000-0000F4220000}"/>
    <cellStyle name="DateTime 12 5" xfId="8948" xr:uid="{00000000-0005-0000-0000-0000F5220000}"/>
    <cellStyle name="DateTime 12 5 2" xfId="8949" xr:uid="{00000000-0005-0000-0000-0000F6220000}"/>
    <cellStyle name="DateTime 12 5 3" xfId="8950" xr:uid="{00000000-0005-0000-0000-0000F7220000}"/>
    <cellStyle name="DateTime 12 6" xfId="8951" xr:uid="{00000000-0005-0000-0000-0000F8220000}"/>
    <cellStyle name="DateTime 12 6 2" xfId="8952" xr:uid="{00000000-0005-0000-0000-0000F9220000}"/>
    <cellStyle name="DateTime 12 6 3" xfId="8953" xr:uid="{00000000-0005-0000-0000-0000FA220000}"/>
    <cellStyle name="DateTime 12 7" xfId="8954" xr:uid="{00000000-0005-0000-0000-0000FB220000}"/>
    <cellStyle name="DateTime 12 7 2" xfId="8955" xr:uid="{00000000-0005-0000-0000-0000FC220000}"/>
    <cellStyle name="DateTime 12 7 3" xfId="8956" xr:uid="{00000000-0005-0000-0000-0000FD220000}"/>
    <cellStyle name="DateTime 12 8" xfId="8957" xr:uid="{00000000-0005-0000-0000-0000FE220000}"/>
    <cellStyle name="DateTime 12 9" xfId="8958" xr:uid="{00000000-0005-0000-0000-0000FF220000}"/>
    <cellStyle name="DateTime 13" xfId="8959" xr:uid="{00000000-0005-0000-0000-000000230000}"/>
    <cellStyle name="DateTime 13 2" xfId="8960" xr:uid="{00000000-0005-0000-0000-000001230000}"/>
    <cellStyle name="DateTime 13 2 2" xfId="8961" xr:uid="{00000000-0005-0000-0000-000002230000}"/>
    <cellStyle name="DateTime 13 2 2 2" xfId="8962" xr:uid="{00000000-0005-0000-0000-000003230000}"/>
    <cellStyle name="DateTime 13 2 2 3" xfId="8963" xr:uid="{00000000-0005-0000-0000-000004230000}"/>
    <cellStyle name="DateTime 13 2 3" xfId="8964" xr:uid="{00000000-0005-0000-0000-000005230000}"/>
    <cellStyle name="DateTime 13 2 3 2" xfId="8965" xr:uid="{00000000-0005-0000-0000-000006230000}"/>
    <cellStyle name="DateTime 13 2 3 3" xfId="8966" xr:uid="{00000000-0005-0000-0000-000007230000}"/>
    <cellStyle name="DateTime 13 2 4" xfId="8967" xr:uid="{00000000-0005-0000-0000-000008230000}"/>
    <cellStyle name="DateTime 13 2 5" xfId="8968" xr:uid="{00000000-0005-0000-0000-000009230000}"/>
    <cellStyle name="DateTime 13 2 6" xfId="8969" xr:uid="{00000000-0005-0000-0000-00000A230000}"/>
    <cellStyle name="DateTime 13 3" xfId="8970" xr:uid="{00000000-0005-0000-0000-00000B230000}"/>
    <cellStyle name="DateTime 13 3 2" xfId="8971" xr:uid="{00000000-0005-0000-0000-00000C230000}"/>
    <cellStyle name="DateTime 13 3 3" xfId="8972" xr:uid="{00000000-0005-0000-0000-00000D230000}"/>
    <cellStyle name="DateTime 13 4" xfId="8973" xr:uid="{00000000-0005-0000-0000-00000E230000}"/>
    <cellStyle name="DateTime 13 4 2" xfId="8974" xr:uid="{00000000-0005-0000-0000-00000F230000}"/>
    <cellStyle name="DateTime 13 4 3" xfId="8975" xr:uid="{00000000-0005-0000-0000-000010230000}"/>
    <cellStyle name="DateTime 13 5" xfId="8976" xr:uid="{00000000-0005-0000-0000-000011230000}"/>
    <cellStyle name="DateTime 13 5 2" xfId="8977" xr:uid="{00000000-0005-0000-0000-000012230000}"/>
    <cellStyle name="DateTime 13 5 3" xfId="8978" xr:uid="{00000000-0005-0000-0000-000013230000}"/>
    <cellStyle name="DateTime 13 6" xfId="8979" xr:uid="{00000000-0005-0000-0000-000014230000}"/>
    <cellStyle name="DateTime 13 7" xfId="8980" xr:uid="{00000000-0005-0000-0000-000015230000}"/>
    <cellStyle name="DateTime 13 8" xfId="8981" xr:uid="{00000000-0005-0000-0000-000016230000}"/>
    <cellStyle name="DateTime 14" xfId="8982" xr:uid="{00000000-0005-0000-0000-000017230000}"/>
    <cellStyle name="DateTime 14 2" xfId="8983" xr:uid="{00000000-0005-0000-0000-000018230000}"/>
    <cellStyle name="DateTime 14 2 2" xfId="8984" xr:uid="{00000000-0005-0000-0000-000019230000}"/>
    <cellStyle name="DateTime 14 2 2 2" xfId="8985" xr:uid="{00000000-0005-0000-0000-00001A230000}"/>
    <cellStyle name="DateTime 14 2 2 3" xfId="8986" xr:uid="{00000000-0005-0000-0000-00001B230000}"/>
    <cellStyle name="DateTime 14 2 3" xfId="8987" xr:uid="{00000000-0005-0000-0000-00001C230000}"/>
    <cellStyle name="DateTime 14 2 3 2" xfId="8988" xr:uid="{00000000-0005-0000-0000-00001D230000}"/>
    <cellStyle name="DateTime 14 2 3 3" xfId="8989" xr:uid="{00000000-0005-0000-0000-00001E230000}"/>
    <cellStyle name="DateTime 14 2 4" xfId="8990" xr:uid="{00000000-0005-0000-0000-00001F230000}"/>
    <cellStyle name="DateTime 14 2 5" xfId="8991" xr:uid="{00000000-0005-0000-0000-000020230000}"/>
    <cellStyle name="DateTime 14 2 6" xfId="8992" xr:uid="{00000000-0005-0000-0000-000021230000}"/>
    <cellStyle name="DateTime 14 3" xfId="8993" xr:uid="{00000000-0005-0000-0000-000022230000}"/>
    <cellStyle name="DateTime 14 3 2" xfId="8994" xr:uid="{00000000-0005-0000-0000-000023230000}"/>
    <cellStyle name="DateTime 14 3 3" xfId="8995" xr:uid="{00000000-0005-0000-0000-000024230000}"/>
    <cellStyle name="DateTime 14 4" xfId="8996" xr:uid="{00000000-0005-0000-0000-000025230000}"/>
    <cellStyle name="DateTime 14 4 2" xfId="8997" xr:uid="{00000000-0005-0000-0000-000026230000}"/>
    <cellStyle name="DateTime 14 4 3" xfId="8998" xr:uid="{00000000-0005-0000-0000-000027230000}"/>
    <cellStyle name="DateTime 14 5" xfId="8999" xr:uid="{00000000-0005-0000-0000-000028230000}"/>
    <cellStyle name="DateTime 14 5 2" xfId="9000" xr:uid="{00000000-0005-0000-0000-000029230000}"/>
    <cellStyle name="DateTime 14 5 3" xfId="9001" xr:uid="{00000000-0005-0000-0000-00002A230000}"/>
    <cellStyle name="DateTime 14 6" xfId="9002" xr:uid="{00000000-0005-0000-0000-00002B230000}"/>
    <cellStyle name="DateTime 14 7" xfId="9003" xr:uid="{00000000-0005-0000-0000-00002C230000}"/>
    <cellStyle name="DateTime 14 8" xfId="9004" xr:uid="{00000000-0005-0000-0000-00002D230000}"/>
    <cellStyle name="DateTime 15" xfId="9005" xr:uid="{00000000-0005-0000-0000-00002E230000}"/>
    <cellStyle name="DateTime 15 2" xfId="9006" xr:uid="{00000000-0005-0000-0000-00002F230000}"/>
    <cellStyle name="DateTime 15 2 2" xfId="9007" xr:uid="{00000000-0005-0000-0000-000030230000}"/>
    <cellStyle name="DateTime 15 2 2 2" xfId="9008" xr:uid="{00000000-0005-0000-0000-000031230000}"/>
    <cellStyle name="DateTime 15 2 2 3" xfId="9009" xr:uid="{00000000-0005-0000-0000-000032230000}"/>
    <cellStyle name="DateTime 15 2 3" xfId="9010" xr:uid="{00000000-0005-0000-0000-000033230000}"/>
    <cellStyle name="DateTime 15 2 3 2" xfId="9011" xr:uid="{00000000-0005-0000-0000-000034230000}"/>
    <cellStyle name="DateTime 15 2 3 3" xfId="9012" xr:uid="{00000000-0005-0000-0000-000035230000}"/>
    <cellStyle name="DateTime 15 2 4" xfId="9013" xr:uid="{00000000-0005-0000-0000-000036230000}"/>
    <cellStyle name="DateTime 15 2 5" xfId="9014" xr:uid="{00000000-0005-0000-0000-000037230000}"/>
    <cellStyle name="DateTime 15 2 6" xfId="9015" xr:uid="{00000000-0005-0000-0000-000038230000}"/>
    <cellStyle name="DateTime 15 3" xfId="9016" xr:uid="{00000000-0005-0000-0000-000039230000}"/>
    <cellStyle name="DateTime 15 3 2" xfId="9017" xr:uid="{00000000-0005-0000-0000-00003A230000}"/>
    <cellStyle name="DateTime 15 3 3" xfId="9018" xr:uid="{00000000-0005-0000-0000-00003B230000}"/>
    <cellStyle name="DateTime 15 4" xfId="9019" xr:uid="{00000000-0005-0000-0000-00003C230000}"/>
    <cellStyle name="DateTime 15 4 2" xfId="9020" xr:uid="{00000000-0005-0000-0000-00003D230000}"/>
    <cellStyle name="DateTime 15 4 3" xfId="9021" xr:uid="{00000000-0005-0000-0000-00003E230000}"/>
    <cellStyle name="DateTime 15 5" xfId="9022" xr:uid="{00000000-0005-0000-0000-00003F230000}"/>
    <cellStyle name="DateTime 15 5 2" xfId="9023" xr:uid="{00000000-0005-0000-0000-000040230000}"/>
    <cellStyle name="DateTime 15 5 3" xfId="9024" xr:uid="{00000000-0005-0000-0000-000041230000}"/>
    <cellStyle name="DateTime 15 6" xfId="9025" xr:uid="{00000000-0005-0000-0000-000042230000}"/>
    <cellStyle name="DateTime 15 7" xfId="9026" xr:uid="{00000000-0005-0000-0000-000043230000}"/>
    <cellStyle name="DateTime 15 8" xfId="9027" xr:uid="{00000000-0005-0000-0000-000044230000}"/>
    <cellStyle name="DateTime 16" xfId="9028" xr:uid="{00000000-0005-0000-0000-000045230000}"/>
    <cellStyle name="DateTime 16 2" xfId="9029" xr:uid="{00000000-0005-0000-0000-000046230000}"/>
    <cellStyle name="DateTime 16 2 2" xfId="9030" xr:uid="{00000000-0005-0000-0000-000047230000}"/>
    <cellStyle name="DateTime 16 2 3" xfId="9031" xr:uid="{00000000-0005-0000-0000-000048230000}"/>
    <cellStyle name="DateTime 16 3" xfId="9032" xr:uid="{00000000-0005-0000-0000-000049230000}"/>
    <cellStyle name="DateTime 16 3 2" xfId="9033" xr:uid="{00000000-0005-0000-0000-00004A230000}"/>
    <cellStyle name="DateTime 16 3 3" xfId="9034" xr:uid="{00000000-0005-0000-0000-00004B230000}"/>
    <cellStyle name="DateTime 16 4" xfId="9035" xr:uid="{00000000-0005-0000-0000-00004C230000}"/>
    <cellStyle name="DateTime 16 5" xfId="9036" xr:uid="{00000000-0005-0000-0000-00004D230000}"/>
    <cellStyle name="DateTime 16 6" xfId="9037" xr:uid="{00000000-0005-0000-0000-00004E230000}"/>
    <cellStyle name="DateTime 17" xfId="9038" xr:uid="{00000000-0005-0000-0000-00004F230000}"/>
    <cellStyle name="DateTime 17 2" xfId="9039" xr:uid="{00000000-0005-0000-0000-000050230000}"/>
    <cellStyle name="DateTime 17 3" xfId="9040" xr:uid="{00000000-0005-0000-0000-000051230000}"/>
    <cellStyle name="DateTime 18" xfId="9041" xr:uid="{00000000-0005-0000-0000-000052230000}"/>
    <cellStyle name="DateTime 18 2" xfId="9042" xr:uid="{00000000-0005-0000-0000-000053230000}"/>
    <cellStyle name="DateTime 18 3" xfId="9043" xr:uid="{00000000-0005-0000-0000-000054230000}"/>
    <cellStyle name="DateTime 19" xfId="9044" xr:uid="{00000000-0005-0000-0000-000055230000}"/>
    <cellStyle name="DateTime 19 2" xfId="9045" xr:uid="{00000000-0005-0000-0000-000056230000}"/>
    <cellStyle name="DateTime 19 3" xfId="9046" xr:uid="{00000000-0005-0000-0000-000057230000}"/>
    <cellStyle name="DateTime 2" xfId="9047" xr:uid="{00000000-0005-0000-0000-000058230000}"/>
    <cellStyle name="DateTime 2 10" xfId="9048" xr:uid="{00000000-0005-0000-0000-000059230000}"/>
    <cellStyle name="DateTime 2 11" xfId="9049" xr:uid="{00000000-0005-0000-0000-00005A230000}"/>
    <cellStyle name="DateTime 2 12" xfId="9050" xr:uid="{00000000-0005-0000-0000-00005B230000}"/>
    <cellStyle name="DateTime 2 2" xfId="9051" xr:uid="{00000000-0005-0000-0000-00005C230000}"/>
    <cellStyle name="DateTime 2 2 10" xfId="9052" xr:uid="{00000000-0005-0000-0000-00005D230000}"/>
    <cellStyle name="DateTime 2 2 2" xfId="9053" xr:uid="{00000000-0005-0000-0000-00005E230000}"/>
    <cellStyle name="DateTime 2 2 2 2" xfId="9054" xr:uid="{00000000-0005-0000-0000-00005F230000}"/>
    <cellStyle name="DateTime 2 2 2 2 2" xfId="9055" xr:uid="{00000000-0005-0000-0000-000060230000}"/>
    <cellStyle name="DateTime 2 2 2 2 2 2" xfId="9056" xr:uid="{00000000-0005-0000-0000-000061230000}"/>
    <cellStyle name="DateTime 2 2 2 2 2 3" xfId="9057" xr:uid="{00000000-0005-0000-0000-000062230000}"/>
    <cellStyle name="DateTime 2 2 2 2 3" xfId="9058" xr:uid="{00000000-0005-0000-0000-000063230000}"/>
    <cellStyle name="DateTime 2 2 2 2 3 2" xfId="9059" xr:uid="{00000000-0005-0000-0000-000064230000}"/>
    <cellStyle name="DateTime 2 2 2 2 3 3" xfId="9060" xr:uid="{00000000-0005-0000-0000-000065230000}"/>
    <cellStyle name="DateTime 2 2 2 2 4" xfId="9061" xr:uid="{00000000-0005-0000-0000-000066230000}"/>
    <cellStyle name="DateTime 2 2 2 2 5" xfId="9062" xr:uid="{00000000-0005-0000-0000-000067230000}"/>
    <cellStyle name="DateTime 2 2 2 2 6" xfId="9063" xr:uid="{00000000-0005-0000-0000-000068230000}"/>
    <cellStyle name="DateTime 2 2 2 3" xfId="9064" xr:uid="{00000000-0005-0000-0000-000069230000}"/>
    <cellStyle name="DateTime 2 2 2 3 2" xfId="9065" xr:uid="{00000000-0005-0000-0000-00006A230000}"/>
    <cellStyle name="DateTime 2 2 2 3 3" xfId="9066" xr:uid="{00000000-0005-0000-0000-00006B230000}"/>
    <cellStyle name="DateTime 2 2 2 4" xfId="9067" xr:uid="{00000000-0005-0000-0000-00006C230000}"/>
    <cellStyle name="DateTime 2 2 2 4 2" xfId="9068" xr:uid="{00000000-0005-0000-0000-00006D230000}"/>
    <cellStyle name="DateTime 2 2 2 4 3" xfId="9069" xr:uid="{00000000-0005-0000-0000-00006E230000}"/>
    <cellStyle name="DateTime 2 2 2 5" xfId="9070" xr:uid="{00000000-0005-0000-0000-00006F230000}"/>
    <cellStyle name="DateTime 2 2 2 5 2" xfId="9071" xr:uid="{00000000-0005-0000-0000-000070230000}"/>
    <cellStyle name="DateTime 2 2 2 5 3" xfId="9072" xr:uid="{00000000-0005-0000-0000-000071230000}"/>
    <cellStyle name="DateTime 2 2 2 6" xfId="9073" xr:uid="{00000000-0005-0000-0000-000072230000}"/>
    <cellStyle name="DateTime 2 2 2 7" xfId="9074" xr:uid="{00000000-0005-0000-0000-000073230000}"/>
    <cellStyle name="DateTime 2 2 2 8" xfId="9075" xr:uid="{00000000-0005-0000-0000-000074230000}"/>
    <cellStyle name="DateTime 2 2 3" xfId="9076" xr:uid="{00000000-0005-0000-0000-000075230000}"/>
    <cellStyle name="DateTime 2 2 3 2" xfId="9077" xr:uid="{00000000-0005-0000-0000-000076230000}"/>
    <cellStyle name="DateTime 2 2 3 2 2" xfId="9078" xr:uid="{00000000-0005-0000-0000-000077230000}"/>
    <cellStyle name="DateTime 2 2 3 2 2 2" xfId="9079" xr:uid="{00000000-0005-0000-0000-000078230000}"/>
    <cellStyle name="DateTime 2 2 3 2 2 3" xfId="9080" xr:uid="{00000000-0005-0000-0000-000079230000}"/>
    <cellStyle name="DateTime 2 2 3 2 3" xfId="9081" xr:uid="{00000000-0005-0000-0000-00007A230000}"/>
    <cellStyle name="DateTime 2 2 3 2 3 2" xfId="9082" xr:uid="{00000000-0005-0000-0000-00007B230000}"/>
    <cellStyle name="DateTime 2 2 3 2 3 3" xfId="9083" xr:uid="{00000000-0005-0000-0000-00007C230000}"/>
    <cellStyle name="DateTime 2 2 3 2 4" xfId="9084" xr:uid="{00000000-0005-0000-0000-00007D230000}"/>
    <cellStyle name="DateTime 2 2 3 2 5" xfId="9085" xr:uid="{00000000-0005-0000-0000-00007E230000}"/>
    <cellStyle name="DateTime 2 2 3 2 6" xfId="9086" xr:uid="{00000000-0005-0000-0000-00007F230000}"/>
    <cellStyle name="DateTime 2 2 3 3" xfId="9087" xr:uid="{00000000-0005-0000-0000-000080230000}"/>
    <cellStyle name="DateTime 2 2 3 3 2" xfId="9088" xr:uid="{00000000-0005-0000-0000-000081230000}"/>
    <cellStyle name="DateTime 2 2 3 3 3" xfId="9089" xr:uid="{00000000-0005-0000-0000-000082230000}"/>
    <cellStyle name="DateTime 2 2 3 4" xfId="9090" xr:uid="{00000000-0005-0000-0000-000083230000}"/>
    <cellStyle name="DateTime 2 2 3 4 2" xfId="9091" xr:uid="{00000000-0005-0000-0000-000084230000}"/>
    <cellStyle name="DateTime 2 2 3 4 3" xfId="9092" xr:uid="{00000000-0005-0000-0000-000085230000}"/>
    <cellStyle name="DateTime 2 2 3 5" xfId="9093" xr:uid="{00000000-0005-0000-0000-000086230000}"/>
    <cellStyle name="DateTime 2 2 3 5 2" xfId="9094" xr:uid="{00000000-0005-0000-0000-000087230000}"/>
    <cellStyle name="DateTime 2 2 3 5 3" xfId="9095" xr:uid="{00000000-0005-0000-0000-000088230000}"/>
    <cellStyle name="DateTime 2 2 3 6" xfId="9096" xr:uid="{00000000-0005-0000-0000-000089230000}"/>
    <cellStyle name="DateTime 2 2 3 7" xfId="9097" xr:uid="{00000000-0005-0000-0000-00008A230000}"/>
    <cellStyle name="DateTime 2 2 3 8" xfId="9098" xr:uid="{00000000-0005-0000-0000-00008B230000}"/>
    <cellStyle name="DateTime 2 2 4" xfId="9099" xr:uid="{00000000-0005-0000-0000-00008C230000}"/>
    <cellStyle name="DateTime 2 2 4 2" xfId="9100" xr:uid="{00000000-0005-0000-0000-00008D230000}"/>
    <cellStyle name="DateTime 2 2 4 2 2" xfId="9101" xr:uid="{00000000-0005-0000-0000-00008E230000}"/>
    <cellStyle name="DateTime 2 2 4 2 3" xfId="9102" xr:uid="{00000000-0005-0000-0000-00008F230000}"/>
    <cellStyle name="DateTime 2 2 4 3" xfId="9103" xr:uid="{00000000-0005-0000-0000-000090230000}"/>
    <cellStyle name="DateTime 2 2 4 3 2" xfId="9104" xr:uid="{00000000-0005-0000-0000-000091230000}"/>
    <cellStyle name="DateTime 2 2 4 3 3" xfId="9105" xr:uid="{00000000-0005-0000-0000-000092230000}"/>
    <cellStyle name="DateTime 2 2 4 4" xfId="9106" xr:uid="{00000000-0005-0000-0000-000093230000}"/>
    <cellStyle name="DateTime 2 2 4 5" xfId="9107" xr:uid="{00000000-0005-0000-0000-000094230000}"/>
    <cellStyle name="DateTime 2 2 4 6" xfId="9108" xr:uid="{00000000-0005-0000-0000-000095230000}"/>
    <cellStyle name="DateTime 2 2 5" xfId="9109" xr:uid="{00000000-0005-0000-0000-000096230000}"/>
    <cellStyle name="DateTime 2 2 5 2" xfId="9110" xr:uid="{00000000-0005-0000-0000-000097230000}"/>
    <cellStyle name="DateTime 2 2 5 3" xfId="9111" xr:uid="{00000000-0005-0000-0000-000098230000}"/>
    <cellStyle name="DateTime 2 2 6" xfId="9112" xr:uid="{00000000-0005-0000-0000-000099230000}"/>
    <cellStyle name="DateTime 2 2 6 2" xfId="9113" xr:uid="{00000000-0005-0000-0000-00009A230000}"/>
    <cellStyle name="DateTime 2 2 6 3" xfId="9114" xr:uid="{00000000-0005-0000-0000-00009B230000}"/>
    <cellStyle name="DateTime 2 2 7" xfId="9115" xr:uid="{00000000-0005-0000-0000-00009C230000}"/>
    <cellStyle name="DateTime 2 2 7 2" xfId="9116" xr:uid="{00000000-0005-0000-0000-00009D230000}"/>
    <cellStyle name="DateTime 2 2 7 3" xfId="9117" xr:uid="{00000000-0005-0000-0000-00009E230000}"/>
    <cellStyle name="DateTime 2 2 8" xfId="9118" xr:uid="{00000000-0005-0000-0000-00009F230000}"/>
    <cellStyle name="DateTime 2 2 9" xfId="9119" xr:uid="{00000000-0005-0000-0000-0000A0230000}"/>
    <cellStyle name="DateTime 2 3" xfId="9120" xr:uid="{00000000-0005-0000-0000-0000A1230000}"/>
    <cellStyle name="DateTime 2 3 2" xfId="9121" xr:uid="{00000000-0005-0000-0000-0000A2230000}"/>
    <cellStyle name="DateTime 2 3 2 2" xfId="9122" xr:uid="{00000000-0005-0000-0000-0000A3230000}"/>
    <cellStyle name="DateTime 2 3 2 2 2" xfId="9123" xr:uid="{00000000-0005-0000-0000-0000A4230000}"/>
    <cellStyle name="DateTime 2 3 2 2 3" xfId="9124" xr:uid="{00000000-0005-0000-0000-0000A5230000}"/>
    <cellStyle name="DateTime 2 3 2 3" xfId="9125" xr:uid="{00000000-0005-0000-0000-0000A6230000}"/>
    <cellStyle name="DateTime 2 3 2 3 2" xfId="9126" xr:uid="{00000000-0005-0000-0000-0000A7230000}"/>
    <cellStyle name="DateTime 2 3 2 3 3" xfId="9127" xr:uid="{00000000-0005-0000-0000-0000A8230000}"/>
    <cellStyle name="DateTime 2 3 2 4" xfId="9128" xr:uid="{00000000-0005-0000-0000-0000A9230000}"/>
    <cellStyle name="DateTime 2 3 2 5" xfId="9129" xr:uid="{00000000-0005-0000-0000-0000AA230000}"/>
    <cellStyle name="DateTime 2 3 2 6" xfId="9130" xr:uid="{00000000-0005-0000-0000-0000AB230000}"/>
    <cellStyle name="DateTime 2 3 3" xfId="9131" xr:uid="{00000000-0005-0000-0000-0000AC230000}"/>
    <cellStyle name="DateTime 2 3 3 2" xfId="9132" xr:uid="{00000000-0005-0000-0000-0000AD230000}"/>
    <cellStyle name="DateTime 2 3 3 3" xfId="9133" xr:uid="{00000000-0005-0000-0000-0000AE230000}"/>
    <cellStyle name="DateTime 2 3 4" xfId="9134" xr:uid="{00000000-0005-0000-0000-0000AF230000}"/>
    <cellStyle name="DateTime 2 3 4 2" xfId="9135" xr:uid="{00000000-0005-0000-0000-0000B0230000}"/>
    <cellStyle name="DateTime 2 3 4 3" xfId="9136" xr:uid="{00000000-0005-0000-0000-0000B1230000}"/>
    <cellStyle name="DateTime 2 3 5" xfId="9137" xr:uid="{00000000-0005-0000-0000-0000B2230000}"/>
    <cellStyle name="DateTime 2 3 5 2" xfId="9138" xr:uid="{00000000-0005-0000-0000-0000B3230000}"/>
    <cellStyle name="DateTime 2 3 5 3" xfId="9139" xr:uid="{00000000-0005-0000-0000-0000B4230000}"/>
    <cellStyle name="DateTime 2 3 6" xfId="9140" xr:uid="{00000000-0005-0000-0000-0000B5230000}"/>
    <cellStyle name="DateTime 2 3 7" xfId="9141" xr:uid="{00000000-0005-0000-0000-0000B6230000}"/>
    <cellStyle name="DateTime 2 3 8" xfId="9142" xr:uid="{00000000-0005-0000-0000-0000B7230000}"/>
    <cellStyle name="DateTime 2 4" xfId="9143" xr:uid="{00000000-0005-0000-0000-0000B8230000}"/>
    <cellStyle name="DateTime 2 4 2" xfId="9144" xr:uid="{00000000-0005-0000-0000-0000B9230000}"/>
    <cellStyle name="DateTime 2 4 2 2" xfId="9145" xr:uid="{00000000-0005-0000-0000-0000BA230000}"/>
    <cellStyle name="DateTime 2 4 2 2 2" xfId="9146" xr:uid="{00000000-0005-0000-0000-0000BB230000}"/>
    <cellStyle name="DateTime 2 4 2 2 3" xfId="9147" xr:uid="{00000000-0005-0000-0000-0000BC230000}"/>
    <cellStyle name="DateTime 2 4 2 3" xfId="9148" xr:uid="{00000000-0005-0000-0000-0000BD230000}"/>
    <cellStyle name="DateTime 2 4 2 3 2" xfId="9149" xr:uid="{00000000-0005-0000-0000-0000BE230000}"/>
    <cellStyle name="DateTime 2 4 2 3 3" xfId="9150" xr:uid="{00000000-0005-0000-0000-0000BF230000}"/>
    <cellStyle name="DateTime 2 4 2 4" xfId="9151" xr:uid="{00000000-0005-0000-0000-0000C0230000}"/>
    <cellStyle name="DateTime 2 4 2 5" xfId="9152" xr:uid="{00000000-0005-0000-0000-0000C1230000}"/>
    <cellStyle name="DateTime 2 4 2 6" xfId="9153" xr:uid="{00000000-0005-0000-0000-0000C2230000}"/>
    <cellStyle name="DateTime 2 4 3" xfId="9154" xr:uid="{00000000-0005-0000-0000-0000C3230000}"/>
    <cellStyle name="DateTime 2 4 3 2" xfId="9155" xr:uid="{00000000-0005-0000-0000-0000C4230000}"/>
    <cellStyle name="DateTime 2 4 3 3" xfId="9156" xr:uid="{00000000-0005-0000-0000-0000C5230000}"/>
    <cellStyle name="DateTime 2 4 4" xfId="9157" xr:uid="{00000000-0005-0000-0000-0000C6230000}"/>
    <cellStyle name="DateTime 2 4 4 2" xfId="9158" xr:uid="{00000000-0005-0000-0000-0000C7230000}"/>
    <cellStyle name="DateTime 2 4 4 3" xfId="9159" xr:uid="{00000000-0005-0000-0000-0000C8230000}"/>
    <cellStyle name="DateTime 2 4 5" xfId="9160" xr:uid="{00000000-0005-0000-0000-0000C9230000}"/>
    <cellStyle name="DateTime 2 4 5 2" xfId="9161" xr:uid="{00000000-0005-0000-0000-0000CA230000}"/>
    <cellStyle name="DateTime 2 4 5 3" xfId="9162" xr:uid="{00000000-0005-0000-0000-0000CB230000}"/>
    <cellStyle name="DateTime 2 4 6" xfId="9163" xr:uid="{00000000-0005-0000-0000-0000CC230000}"/>
    <cellStyle name="DateTime 2 4 7" xfId="9164" xr:uid="{00000000-0005-0000-0000-0000CD230000}"/>
    <cellStyle name="DateTime 2 4 8" xfId="9165" xr:uid="{00000000-0005-0000-0000-0000CE230000}"/>
    <cellStyle name="DateTime 2 5" xfId="9166" xr:uid="{00000000-0005-0000-0000-0000CF230000}"/>
    <cellStyle name="DateTime 2 5 2" xfId="9167" xr:uid="{00000000-0005-0000-0000-0000D0230000}"/>
    <cellStyle name="DateTime 2 5 2 2" xfId="9168" xr:uid="{00000000-0005-0000-0000-0000D1230000}"/>
    <cellStyle name="DateTime 2 5 2 2 2" xfId="9169" xr:uid="{00000000-0005-0000-0000-0000D2230000}"/>
    <cellStyle name="DateTime 2 5 2 2 3" xfId="9170" xr:uid="{00000000-0005-0000-0000-0000D3230000}"/>
    <cellStyle name="DateTime 2 5 2 3" xfId="9171" xr:uid="{00000000-0005-0000-0000-0000D4230000}"/>
    <cellStyle name="DateTime 2 5 2 3 2" xfId="9172" xr:uid="{00000000-0005-0000-0000-0000D5230000}"/>
    <cellStyle name="DateTime 2 5 2 3 3" xfId="9173" xr:uid="{00000000-0005-0000-0000-0000D6230000}"/>
    <cellStyle name="DateTime 2 5 2 4" xfId="9174" xr:uid="{00000000-0005-0000-0000-0000D7230000}"/>
    <cellStyle name="DateTime 2 5 2 5" xfId="9175" xr:uid="{00000000-0005-0000-0000-0000D8230000}"/>
    <cellStyle name="DateTime 2 5 2 6" xfId="9176" xr:uid="{00000000-0005-0000-0000-0000D9230000}"/>
    <cellStyle name="DateTime 2 5 3" xfId="9177" xr:uid="{00000000-0005-0000-0000-0000DA230000}"/>
    <cellStyle name="DateTime 2 5 3 2" xfId="9178" xr:uid="{00000000-0005-0000-0000-0000DB230000}"/>
    <cellStyle name="DateTime 2 5 3 3" xfId="9179" xr:uid="{00000000-0005-0000-0000-0000DC230000}"/>
    <cellStyle name="DateTime 2 5 4" xfId="9180" xr:uid="{00000000-0005-0000-0000-0000DD230000}"/>
    <cellStyle name="DateTime 2 5 4 2" xfId="9181" xr:uid="{00000000-0005-0000-0000-0000DE230000}"/>
    <cellStyle name="DateTime 2 5 4 3" xfId="9182" xr:uid="{00000000-0005-0000-0000-0000DF230000}"/>
    <cellStyle name="DateTime 2 5 5" xfId="9183" xr:uid="{00000000-0005-0000-0000-0000E0230000}"/>
    <cellStyle name="DateTime 2 5 5 2" xfId="9184" xr:uid="{00000000-0005-0000-0000-0000E1230000}"/>
    <cellStyle name="DateTime 2 5 5 3" xfId="9185" xr:uid="{00000000-0005-0000-0000-0000E2230000}"/>
    <cellStyle name="DateTime 2 5 6" xfId="9186" xr:uid="{00000000-0005-0000-0000-0000E3230000}"/>
    <cellStyle name="DateTime 2 5 7" xfId="9187" xr:uid="{00000000-0005-0000-0000-0000E4230000}"/>
    <cellStyle name="DateTime 2 5 8" xfId="9188" xr:uid="{00000000-0005-0000-0000-0000E5230000}"/>
    <cellStyle name="DateTime 2 6" xfId="9189" xr:uid="{00000000-0005-0000-0000-0000E6230000}"/>
    <cellStyle name="DateTime 2 6 2" xfId="9190" xr:uid="{00000000-0005-0000-0000-0000E7230000}"/>
    <cellStyle name="DateTime 2 6 2 2" xfId="9191" xr:uid="{00000000-0005-0000-0000-0000E8230000}"/>
    <cellStyle name="DateTime 2 6 2 3" xfId="9192" xr:uid="{00000000-0005-0000-0000-0000E9230000}"/>
    <cellStyle name="DateTime 2 6 3" xfId="9193" xr:uid="{00000000-0005-0000-0000-0000EA230000}"/>
    <cellStyle name="DateTime 2 6 3 2" xfId="9194" xr:uid="{00000000-0005-0000-0000-0000EB230000}"/>
    <cellStyle name="DateTime 2 6 3 3" xfId="9195" xr:uid="{00000000-0005-0000-0000-0000EC230000}"/>
    <cellStyle name="DateTime 2 6 4" xfId="9196" xr:uid="{00000000-0005-0000-0000-0000ED230000}"/>
    <cellStyle name="DateTime 2 6 5" xfId="9197" xr:uid="{00000000-0005-0000-0000-0000EE230000}"/>
    <cellStyle name="DateTime 2 6 6" xfId="9198" xr:uid="{00000000-0005-0000-0000-0000EF230000}"/>
    <cellStyle name="DateTime 2 7" xfId="9199" xr:uid="{00000000-0005-0000-0000-0000F0230000}"/>
    <cellStyle name="DateTime 2 7 2" xfId="9200" xr:uid="{00000000-0005-0000-0000-0000F1230000}"/>
    <cellStyle name="DateTime 2 7 3" xfId="9201" xr:uid="{00000000-0005-0000-0000-0000F2230000}"/>
    <cellStyle name="DateTime 2 8" xfId="9202" xr:uid="{00000000-0005-0000-0000-0000F3230000}"/>
    <cellStyle name="DateTime 2 8 2" xfId="9203" xr:uid="{00000000-0005-0000-0000-0000F4230000}"/>
    <cellStyle name="DateTime 2 8 3" xfId="9204" xr:uid="{00000000-0005-0000-0000-0000F5230000}"/>
    <cellStyle name="DateTime 2 9" xfId="9205" xr:uid="{00000000-0005-0000-0000-0000F6230000}"/>
    <cellStyle name="DateTime 2 9 2" xfId="9206" xr:uid="{00000000-0005-0000-0000-0000F7230000}"/>
    <cellStyle name="DateTime 2 9 3" xfId="9207" xr:uid="{00000000-0005-0000-0000-0000F8230000}"/>
    <cellStyle name="DateTime 20" xfId="9208" xr:uid="{00000000-0005-0000-0000-0000F9230000}"/>
    <cellStyle name="DateTime 21" xfId="9209" xr:uid="{00000000-0005-0000-0000-0000FA230000}"/>
    <cellStyle name="DateTime 22" xfId="9210" xr:uid="{00000000-0005-0000-0000-0000FB230000}"/>
    <cellStyle name="DateTime 3" xfId="9211" xr:uid="{00000000-0005-0000-0000-0000FC230000}"/>
    <cellStyle name="DateTime 3 10" xfId="9212" xr:uid="{00000000-0005-0000-0000-0000FD230000}"/>
    <cellStyle name="DateTime 3 11" xfId="9213" xr:uid="{00000000-0005-0000-0000-0000FE230000}"/>
    <cellStyle name="DateTime 3 12" xfId="9214" xr:uid="{00000000-0005-0000-0000-0000FF230000}"/>
    <cellStyle name="DateTime 3 2" xfId="9215" xr:uid="{00000000-0005-0000-0000-000000240000}"/>
    <cellStyle name="DateTime 3 2 10" xfId="9216" xr:uid="{00000000-0005-0000-0000-000001240000}"/>
    <cellStyle name="DateTime 3 2 2" xfId="9217" xr:uid="{00000000-0005-0000-0000-000002240000}"/>
    <cellStyle name="DateTime 3 2 2 2" xfId="9218" xr:uid="{00000000-0005-0000-0000-000003240000}"/>
    <cellStyle name="DateTime 3 2 2 2 2" xfId="9219" xr:uid="{00000000-0005-0000-0000-000004240000}"/>
    <cellStyle name="DateTime 3 2 2 2 2 2" xfId="9220" xr:uid="{00000000-0005-0000-0000-000005240000}"/>
    <cellStyle name="DateTime 3 2 2 2 2 3" xfId="9221" xr:uid="{00000000-0005-0000-0000-000006240000}"/>
    <cellStyle name="DateTime 3 2 2 2 3" xfId="9222" xr:uid="{00000000-0005-0000-0000-000007240000}"/>
    <cellStyle name="DateTime 3 2 2 2 3 2" xfId="9223" xr:uid="{00000000-0005-0000-0000-000008240000}"/>
    <cellStyle name="DateTime 3 2 2 2 3 3" xfId="9224" xr:uid="{00000000-0005-0000-0000-000009240000}"/>
    <cellStyle name="DateTime 3 2 2 2 4" xfId="9225" xr:uid="{00000000-0005-0000-0000-00000A240000}"/>
    <cellStyle name="DateTime 3 2 2 2 5" xfId="9226" xr:uid="{00000000-0005-0000-0000-00000B240000}"/>
    <cellStyle name="DateTime 3 2 2 2 6" xfId="9227" xr:uid="{00000000-0005-0000-0000-00000C240000}"/>
    <cellStyle name="DateTime 3 2 2 3" xfId="9228" xr:uid="{00000000-0005-0000-0000-00000D240000}"/>
    <cellStyle name="DateTime 3 2 2 3 2" xfId="9229" xr:uid="{00000000-0005-0000-0000-00000E240000}"/>
    <cellStyle name="DateTime 3 2 2 3 3" xfId="9230" xr:uid="{00000000-0005-0000-0000-00000F240000}"/>
    <cellStyle name="DateTime 3 2 2 4" xfId="9231" xr:uid="{00000000-0005-0000-0000-000010240000}"/>
    <cellStyle name="DateTime 3 2 2 4 2" xfId="9232" xr:uid="{00000000-0005-0000-0000-000011240000}"/>
    <cellStyle name="DateTime 3 2 2 4 3" xfId="9233" xr:uid="{00000000-0005-0000-0000-000012240000}"/>
    <cellStyle name="DateTime 3 2 2 5" xfId="9234" xr:uid="{00000000-0005-0000-0000-000013240000}"/>
    <cellStyle name="DateTime 3 2 2 5 2" xfId="9235" xr:uid="{00000000-0005-0000-0000-000014240000}"/>
    <cellStyle name="DateTime 3 2 2 5 3" xfId="9236" xr:uid="{00000000-0005-0000-0000-000015240000}"/>
    <cellStyle name="DateTime 3 2 2 6" xfId="9237" xr:uid="{00000000-0005-0000-0000-000016240000}"/>
    <cellStyle name="DateTime 3 2 2 7" xfId="9238" xr:uid="{00000000-0005-0000-0000-000017240000}"/>
    <cellStyle name="DateTime 3 2 2 8" xfId="9239" xr:uid="{00000000-0005-0000-0000-000018240000}"/>
    <cellStyle name="DateTime 3 2 3" xfId="9240" xr:uid="{00000000-0005-0000-0000-000019240000}"/>
    <cellStyle name="DateTime 3 2 3 2" xfId="9241" xr:uid="{00000000-0005-0000-0000-00001A240000}"/>
    <cellStyle name="DateTime 3 2 3 2 2" xfId="9242" xr:uid="{00000000-0005-0000-0000-00001B240000}"/>
    <cellStyle name="DateTime 3 2 3 2 2 2" xfId="9243" xr:uid="{00000000-0005-0000-0000-00001C240000}"/>
    <cellStyle name="DateTime 3 2 3 2 2 3" xfId="9244" xr:uid="{00000000-0005-0000-0000-00001D240000}"/>
    <cellStyle name="DateTime 3 2 3 2 3" xfId="9245" xr:uid="{00000000-0005-0000-0000-00001E240000}"/>
    <cellStyle name="DateTime 3 2 3 2 3 2" xfId="9246" xr:uid="{00000000-0005-0000-0000-00001F240000}"/>
    <cellStyle name="DateTime 3 2 3 2 3 3" xfId="9247" xr:uid="{00000000-0005-0000-0000-000020240000}"/>
    <cellStyle name="DateTime 3 2 3 2 4" xfId="9248" xr:uid="{00000000-0005-0000-0000-000021240000}"/>
    <cellStyle name="DateTime 3 2 3 2 5" xfId="9249" xr:uid="{00000000-0005-0000-0000-000022240000}"/>
    <cellStyle name="DateTime 3 2 3 2 6" xfId="9250" xr:uid="{00000000-0005-0000-0000-000023240000}"/>
    <cellStyle name="DateTime 3 2 3 3" xfId="9251" xr:uid="{00000000-0005-0000-0000-000024240000}"/>
    <cellStyle name="DateTime 3 2 3 3 2" xfId="9252" xr:uid="{00000000-0005-0000-0000-000025240000}"/>
    <cellStyle name="DateTime 3 2 3 3 3" xfId="9253" xr:uid="{00000000-0005-0000-0000-000026240000}"/>
    <cellStyle name="DateTime 3 2 3 4" xfId="9254" xr:uid="{00000000-0005-0000-0000-000027240000}"/>
    <cellStyle name="DateTime 3 2 3 4 2" xfId="9255" xr:uid="{00000000-0005-0000-0000-000028240000}"/>
    <cellStyle name="DateTime 3 2 3 4 3" xfId="9256" xr:uid="{00000000-0005-0000-0000-000029240000}"/>
    <cellStyle name="DateTime 3 2 3 5" xfId="9257" xr:uid="{00000000-0005-0000-0000-00002A240000}"/>
    <cellStyle name="DateTime 3 2 3 5 2" xfId="9258" xr:uid="{00000000-0005-0000-0000-00002B240000}"/>
    <cellStyle name="DateTime 3 2 3 5 3" xfId="9259" xr:uid="{00000000-0005-0000-0000-00002C240000}"/>
    <cellStyle name="DateTime 3 2 3 6" xfId="9260" xr:uid="{00000000-0005-0000-0000-00002D240000}"/>
    <cellStyle name="DateTime 3 2 3 7" xfId="9261" xr:uid="{00000000-0005-0000-0000-00002E240000}"/>
    <cellStyle name="DateTime 3 2 3 8" xfId="9262" xr:uid="{00000000-0005-0000-0000-00002F240000}"/>
    <cellStyle name="DateTime 3 2 4" xfId="9263" xr:uid="{00000000-0005-0000-0000-000030240000}"/>
    <cellStyle name="DateTime 3 2 4 2" xfId="9264" xr:uid="{00000000-0005-0000-0000-000031240000}"/>
    <cellStyle name="DateTime 3 2 4 2 2" xfId="9265" xr:uid="{00000000-0005-0000-0000-000032240000}"/>
    <cellStyle name="DateTime 3 2 4 2 3" xfId="9266" xr:uid="{00000000-0005-0000-0000-000033240000}"/>
    <cellStyle name="DateTime 3 2 4 3" xfId="9267" xr:uid="{00000000-0005-0000-0000-000034240000}"/>
    <cellStyle name="DateTime 3 2 4 3 2" xfId="9268" xr:uid="{00000000-0005-0000-0000-000035240000}"/>
    <cellStyle name="DateTime 3 2 4 3 3" xfId="9269" xr:uid="{00000000-0005-0000-0000-000036240000}"/>
    <cellStyle name="DateTime 3 2 4 4" xfId="9270" xr:uid="{00000000-0005-0000-0000-000037240000}"/>
    <cellStyle name="DateTime 3 2 4 5" xfId="9271" xr:uid="{00000000-0005-0000-0000-000038240000}"/>
    <cellStyle name="DateTime 3 2 4 6" xfId="9272" xr:uid="{00000000-0005-0000-0000-000039240000}"/>
    <cellStyle name="DateTime 3 2 5" xfId="9273" xr:uid="{00000000-0005-0000-0000-00003A240000}"/>
    <cellStyle name="DateTime 3 2 5 2" xfId="9274" xr:uid="{00000000-0005-0000-0000-00003B240000}"/>
    <cellStyle name="DateTime 3 2 5 3" xfId="9275" xr:uid="{00000000-0005-0000-0000-00003C240000}"/>
    <cellStyle name="DateTime 3 2 6" xfId="9276" xr:uid="{00000000-0005-0000-0000-00003D240000}"/>
    <cellStyle name="DateTime 3 2 6 2" xfId="9277" xr:uid="{00000000-0005-0000-0000-00003E240000}"/>
    <cellStyle name="DateTime 3 2 6 3" xfId="9278" xr:uid="{00000000-0005-0000-0000-00003F240000}"/>
    <cellStyle name="DateTime 3 2 7" xfId="9279" xr:uid="{00000000-0005-0000-0000-000040240000}"/>
    <cellStyle name="DateTime 3 2 7 2" xfId="9280" xr:uid="{00000000-0005-0000-0000-000041240000}"/>
    <cellStyle name="DateTime 3 2 7 3" xfId="9281" xr:uid="{00000000-0005-0000-0000-000042240000}"/>
    <cellStyle name="DateTime 3 2 8" xfId="9282" xr:uid="{00000000-0005-0000-0000-000043240000}"/>
    <cellStyle name="DateTime 3 2 9" xfId="9283" xr:uid="{00000000-0005-0000-0000-000044240000}"/>
    <cellStyle name="DateTime 3 3" xfId="9284" xr:uid="{00000000-0005-0000-0000-000045240000}"/>
    <cellStyle name="DateTime 3 3 2" xfId="9285" xr:uid="{00000000-0005-0000-0000-000046240000}"/>
    <cellStyle name="DateTime 3 3 2 2" xfId="9286" xr:uid="{00000000-0005-0000-0000-000047240000}"/>
    <cellStyle name="DateTime 3 3 2 2 2" xfId="9287" xr:uid="{00000000-0005-0000-0000-000048240000}"/>
    <cellStyle name="DateTime 3 3 2 2 3" xfId="9288" xr:uid="{00000000-0005-0000-0000-000049240000}"/>
    <cellStyle name="DateTime 3 3 2 3" xfId="9289" xr:uid="{00000000-0005-0000-0000-00004A240000}"/>
    <cellStyle name="DateTime 3 3 2 3 2" xfId="9290" xr:uid="{00000000-0005-0000-0000-00004B240000}"/>
    <cellStyle name="DateTime 3 3 2 3 3" xfId="9291" xr:uid="{00000000-0005-0000-0000-00004C240000}"/>
    <cellStyle name="DateTime 3 3 2 4" xfId="9292" xr:uid="{00000000-0005-0000-0000-00004D240000}"/>
    <cellStyle name="DateTime 3 3 2 5" xfId="9293" xr:uid="{00000000-0005-0000-0000-00004E240000}"/>
    <cellStyle name="DateTime 3 3 2 6" xfId="9294" xr:uid="{00000000-0005-0000-0000-00004F240000}"/>
    <cellStyle name="DateTime 3 3 3" xfId="9295" xr:uid="{00000000-0005-0000-0000-000050240000}"/>
    <cellStyle name="DateTime 3 3 3 2" xfId="9296" xr:uid="{00000000-0005-0000-0000-000051240000}"/>
    <cellStyle name="DateTime 3 3 3 3" xfId="9297" xr:uid="{00000000-0005-0000-0000-000052240000}"/>
    <cellStyle name="DateTime 3 3 4" xfId="9298" xr:uid="{00000000-0005-0000-0000-000053240000}"/>
    <cellStyle name="DateTime 3 3 4 2" xfId="9299" xr:uid="{00000000-0005-0000-0000-000054240000}"/>
    <cellStyle name="DateTime 3 3 4 3" xfId="9300" xr:uid="{00000000-0005-0000-0000-000055240000}"/>
    <cellStyle name="DateTime 3 3 5" xfId="9301" xr:uid="{00000000-0005-0000-0000-000056240000}"/>
    <cellStyle name="DateTime 3 3 5 2" xfId="9302" xr:uid="{00000000-0005-0000-0000-000057240000}"/>
    <cellStyle name="DateTime 3 3 5 3" xfId="9303" xr:uid="{00000000-0005-0000-0000-000058240000}"/>
    <cellStyle name="DateTime 3 3 6" xfId="9304" xr:uid="{00000000-0005-0000-0000-000059240000}"/>
    <cellStyle name="DateTime 3 3 7" xfId="9305" xr:uid="{00000000-0005-0000-0000-00005A240000}"/>
    <cellStyle name="DateTime 3 3 8" xfId="9306" xr:uid="{00000000-0005-0000-0000-00005B240000}"/>
    <cellStyle name="DateTime 3 4" xfId="9307" xr:uid="{00000000-0005-0000-0000-00005C240000}"/>
    <cellStyle name="DateTime 3 4 2" xfId="9308" xr:uid="{00000000-0005-0000-0000-00005D240000}"/>
    <cellStyle name="DateTime 3 4 2 2" xfId="9309" xr:uid="{00000000-0005-0000-0000-00005E240000}"/>
    <cellStyle name="DateTime 3 4 2 2 2" xfId="9310" xr:uid="{00000000-0005-0000-0000-00005F240000}"/>
    <cellStyle name="DateTime 3 4 2 2 3" xfId="9311" xr:uid="{00000000-0005-0000-0000-000060240000}"/>
    <cellStyle name="DateTime 3 4 2 3" xfId="9312" xr:uid="{00000000-0005-0000-0000-000061240000}"/>
    <cellStyle name="DateTime 3 4 2 3 2" xfId="9313" xr:uid="{00000000-0005-0000-0000-000062240000}"/>
    <cellStyle name="DateTime 3 4 2 3 3" xfId="9314" xr:uid="{00000000-0005-0000-0000-000063240000}"/>
    <cellStyle name="DateTime 3 4 2 4" xfId="9315" xr:uid="{00000000-0005-0000-0000-000064240000}"/>
    <cellStyle name="DateTime 3 4 2 5" xfId="9316" xr:uid="{00000000-0005-0000-0000-000065240000}"/>
    <cellStyle name="DateTime 3 4 2 6" xfId="9317" xr:uid="{00000000-0005-0000-0000-000066240000}"/>
    <cellStyle name="DateTime 3 4 3" xfId="9318" xr:uid="{00000000-0005-0000-0000-000067240000}"/>
    <cellStyle name="DateTime 3 4 3 2" xfId="9319" xr:uid="{00000000-0005-0000-0000-000068240000}"/>
    <cellStyle name="DateTime 3 4 3 3" xfId="9320" xr:uid="{00000000-0005-0000-0000-000069240000}"/>
    <cellStyle name="DateTime 3 4 4" xfId="9321" xr:uid="{00000000-0005-0000-0000-00006A240000}"/>
    <cellStyle name="DateTime 3 4 4 2" xfId="9322" xr:uid="{00000000-0005-0000-0000-00006B240000}"/>
    <cellStyle name="DateTime 3 4 4 3" xfId="9323" xr:uid="{00000000-0005-0000-0000-00006C240000}"/>
    <cellStyle name="DateTime 3 4 5" xfId="9324" xr:uid="{00000000-0005-0000-0000-00006D240000}"/>
    <cellStyle name="DateTime 3 4 5 2" xfId="9325" xr:uid="{00000000-0005-0000-0000-00006E240000}"/>
    <cellStyle name="DateTime 3 4 5 3" xfId="9326" xr:uid="{00000000-0005-0000-0000-00006F240000}"/>
    <cellStyle name="DateTime 3 4 6" xfId="9327" xr:uid="{00000000-0005-0000-0000-000070240000}"/>
    <cellStyle name="DateTime 3 4 7" xfId="9328" xr:uid="{00000000-0005-0000-0000-000071240000}"/>
    <cellStyle name="DateTime 3 4 8" xfId="9329" xr:uid="{00000000-0005-0000-0000-000072240000}"/>
    <cellStyle name="DateTime 3 5" xfId="9330" xr:uid="{00000000-0005-0000-0000-000073240000}"/>
    <cellStyle name="DateTime 3 5 2" xfId="9331" xr:uid="{00000000-0005-0000-0000-000074240000}"/>
    <cellStyle name="DateTime 3 5 2 2" xfId="9332" xr:uid="{00000000-0005-0000-0000-000075240000}"/>
    <cellStyle name="DateTime 3 5 2 2 2" xfId="9333" xr:uid="{00000000-0005-0000-0000-000076240000}"/>
    <cellStyle name="DateTime 3 5 2 2 3" xfId="9334" xr:uid="{00000000-0005-0000-0000-000077240000}"/>
    <cellStyle name="DateTime 3 5 2 3" xfId="9335" xr:uid="{00000000-0005-0000-0000-000078240000}"/>
    <cellStyle name="DateTime 3 5 2 3 2" xfId="9336" xr:uid="{00000000-0005-0000-0000-000079240000}"/>
    <cellStyle name="DateTime 3 5 2 3 3" xfId="9337" xr:uid="{00000000-0005-0000-0000-00007A240000}"/>
    <cellStyle name="DateTime 3 5 2 4" xfId="9338" xr:uid="{00000000-0005-0000-0000-00007B240000}"/>
    <cellStyle name="DateTime 3 5 2 5" xfId="9339" xr:uid="{00000000-0005-0000-0000-00007C240000}"/>
    <cellStyle name="DateTime 3 5 2 6" xfId="9340" xr:uid="{00000000-0005-0000-0000-00007D240000}"/>
    <cellStyle name="DateTime 3 5 3" xfId="9341" xr:uid="{00000000-0005-0000-0000-00007E240000}"/>
    <cellStyle name="DateTime 3 5 3 2" xfId="9342" xr:uid="{00000000-0005-0000-0000-00007F240000}"/>
    <cellStyle name="DateTime 3 5 3 3" xfId="9343" xr:uid="{00000000-0005-0000-0000-000080240000}"/>
    <cellStyle name="DateTime 3 5 4" xfId="9344" xr:uid="{00000000-0005-0000-0000-000081240000}"/>
    <cellStyle name="DateTime 3 5 4 2" xfId="9345" xr:uid="{00000000-0005-0000-0000-000082240000}"/>
    <cellStyle name="DateTime 3 5 4 3" xfId="9346" xr:uid="{00000000-0005-0000-0000-000083240000}"/>
    <cellStyle name="DateTime 3 5 5" xfId="9347" xr:uid="{00000000-0005-0000-0000-000084240000}"/>
    <cellStyle name="DateTime 3 5 5 2" xfId="9348" xr:uid="{00000000-0005-0000-0000-000085240000}"/>
    <cellStyle name="DateTime 3 5 5 3" xfId="9349" xr:uid="{00000000-0005-0000-0000-000086240000}"/>
    <cellStyle name="DateTime 3 5 6" xfId="9350" xr:uid="{00000000-0005-0000-0000-000087240000}"/>
    <cellStyle name="DateTime 3 5 7" xfId="9351" xr:uid="{00000000-0005-0000-0000-000088240000}"/>
    <cellStyle name="DateTime 3 5 8" xfId="9352" xr:uid="{00000000-0005-0000-0000-000089240000}"/>
    <cellStyle name="DateTime 3 6" xfId="9353" xr:uid="{00000000-0005-0000-0000-00008A240000}"/>
    <cellStyle name="DateTime 3 6 2" xfId="9354" xr:uid="{00000000-0005-0000-0000-00008B240000}"/>
    <cellStyle name="DateTime 3 6 2 2" xfId="9355" xr:uid="{00000000-0005-0000-0000-00008C240000}"/>
    <cellStyle name="DateTime 3 6 2 3" xfId="9356" xr:uid="{00000000-0005-0000-0000-00008D240000}"/>
    <cellStyle name="DateTime 3 6 3" xfId="9357" xr:uid="{00000000-0005-0000-0000-00008E240000}"/>
    <cellStyle name="DateTime 3 6 3 2" xfId="9358" xr:uid="{00000000-0005-0000-0000-00008F240000}"/>
    <cellStyle name="DateTime 3 6 3 3" xfId="9359" xr:uid="{00000000-0005-0000-0000-000090240000}"/>
    <cellStyle name="DateTime 3 6 4" xfId="9360" xr:uid="{00000000-0005-0000-0000-000091240000}"/>
    <cellStyle name="DateTime 3 6 5" xfId="9361" xr:uid="{00000000-0005-0000-0000-000092240000}"/>
    <cellStyle name="DateTime 3 6 6" xfId="9362" xr:uid="{00000000-0005-0000-0000-000093240000}"/>
    <cellStyle name="DateTime 3 7" xfId="9363" xr:uid="{00000000-0005-0000-0000-000094240000}"/>
    <cellStyle name="DateTime 3 7 2" xfId="9364" xr:uid="{00000000-0005-0000-0000-000095240000}"/>
    <cellStyle name="DateTime 3 7 3" xfId="9365" xr:uid="{00000000-0005-0000-0000-000096240000}"/>
    <cellStyle name="DateTime 3 8" xfId="9366" xr:uid="{00000000-0005-0000-0000-000097240000}"/>
    <cellStyle name="DateTime 3 8 2" xfId="9367" xr:uid="{00000000-0005-0000-0000-000098240000}"/>
    <cellStyle name="DateTime 3 8 3" xfId="9368" xr:uid="{00000000-0005-0000-0000-000099240000}"/>
    <cellStyle name="DateTime 3 9" xfId="9369" xr:uid="{00000000-0005-0000-0000-00009A240000}"/>
    <cellStyle name="DateTime 3 9 2" xfId="9370" xr:uid="{00000000-0005-0000-0000-00009B240000}"/>
    <cellStyle name="DateTime 3 9 3" xfId="9371" xr:uid="{00000000-0005-0000-0000-00009C240000}"/>
    <cellStyle name="DateTime 4" xfId="9372" xr:uid="{00000000-0005-0000-0000-00009D240000}"/>
    <cellStyle name="DateTime 4 10" xfId="9373" xr:uid="{00000000-0005-0000-0000-00009E240000}"/>
    <cellStyle name="DateTime 4 11" xfId="9374" xr:uid="{00000000-0005-0000-0000-00009F240000}"/>
    <cellStyle name="DateTime 4 12" xfId="9375" xr:uid="{00000000-0005-0000-0000-0000A0240000}"/>
    <cellStyle name="DateTime 4 2" xfId="9376" xr:uid="{00000000-0005-0000-0000-0000A1240000}"/>
    <cellStyle name="DateTime 4 2 10" xfId="9377" xr:uid="{00000000-0005-0000-0000-0000A2240000}"/>
    <cellStyle name="DateTime 4 2 2" xfId="9378" xr:uid="{00000000-0005-0000-0000-0000A3240000}"/>
    <cellStyle name="DateTime 4 2 2 2" xfId="9379" xr:uid="{00000000-0005-0000-0000-0000A4240000}"/>
    <cellStyle name="DateTime 4 2 2 2 2" xfId="9380" xr:uid="{00000000-0005-0000-0000-0000A5240000}"/>
    <cellStyle name="DateTime 4 2 2 2 2 2" xfId="9381" xr:uid="{00000000-0005-0000-0000-0000A6240000}"/>
    <cellStyle name="DateTime 4 2 2 2 2 3" xfId="9382" xr:uid="{00000000-0005-0000-0000-0000A7240000}"/>
    <cellStyle name="DateTime 4 2 2 2 3" xfId="9383" xr:uid="{00000000-0005-0000-0000-0000A8240000}"/>
    <cellStyle name="DateTime 4 2 2 2 3 2" xfId="9384" xr:uid="{00000000-0005-0000-0000-0000A9240000}"/>
    <cellStyle name="DateTime 4 2 2 2 3 3" xfId="9385" xr:uid="{00000000-0005-0000-0000-0000AA240000}"/>
    <cellStyle name="DateTime 4 2 2 2 4" xfId="9386" xr:uid="{00000000-0005-0000-0000-0000AB240000}"/>
    <cellStyle name="DateTime 4 2 2 2 5" xfId="9387" xr:uid="{00000000-0005-0000-0000-0000AC240000}"/>
    <cellStyle name="DateTime 4 2 2 2 6" xfId="9388" xr:uid="{00000000-0005-0000-0000-0000AD240000}"/>
    <cellStyle name="DateTime 4 2 2 3" xfId="9389" xr:uid="{00000000-0005-0000-0000-0000AE240000}"/>
    <cellStyle name="DateTime 4 2 2 3 2" xfId="9390" xr:uid="{00000000-0005-0000-0000-0000AF240000}"/>
    <cellStyle name="DateTime 4 2 2 3 3" xfId="9391" xr:uid="{00000000-0005-0000-0000-0000B0240000}"/>
    <cellStyle name="DateTime 4 2 2 4" xfId="9392" xr:uid="{00000000-0005-0000-0000-0000B1240000}"/>
    <cellStyle name="DateTime 4 2 2 4 2" xfId="9393" xr:uid="{00000000-0005-0000-0000-0000B2240000}"/>
    <cellStyle name="DateTime 4 2 2 4 3" xfId="9394" xr:uid="{00000000-0005-0000-0000-0000B3240000}"/>
    <cellStyle name="DateTime 4 2 2 5" xfId="9395" xr:uid="{00000000-0005-0000-0000-0000B4240000}"/>
    <cellStyle name="DateTime 4 2 2 5 2" xfId="9396" xr:uid="{00000000-0005-0000-0000-0000B5240000}"/>
    <cellStyle name="DateTime 4 2 2 5 3" xfId="9397" xr:uid="{00000000-0005-0000-0000-0000B6240000}"/>
    <cellStyle name="DateTime 4 2 2 6" xfId="9398" xr:uid="{00000000-0005-0000-0000-0000B7240000}"/>
    <cellStyle name="DateTime 4 2 2 7" xfId="9399" xr:uid="{00000000-0005-0000-0000-0000B8240000}"/>
    <cellStyle name="DateTime 4 2 2 8" xfId="9400" xr:uid="{00000000-0005-0000-0000-0000B9240000}"/>
    <cellStyle name="DateTime 4 2 3" xfId="9401" xr:uid="{00000000-0005-0000-0000-0000BA240000}"/>
    <cellStyle name="DateTime 4 2 3 2" xfId="9402" xr:uid="{00000000-0005-0000-0000-0000BB240000}"/>
    <cellStyle name="DateTime 4 2 3 2 2" xfId="9403" xr:uid="{00000000-0005-0000-0000-0000BC240000}"/>
    <cellStyle name="DateTime 4 2 3 2 2 2" xfId="9404" xr:uid="{00000000-0005-0000-0000-0000BD240000}"/>
    <cellStyle name="DateTime 4 2 3 2 2 3" xfId="9405" xr:uid="{00000000-0005-0000-0000-0000BE240000}"/>
    <cellStyle name="DateTime 4 2 3 2 3" xfId="9406" xr:uid="{00000000-0005-0000-0000-0000BF240000}"/>
    <cellStyle name="DateTime 4 2 3 2 3 2" xfId="9407" xr:uid="{00000000-0005-0000-0000-0000C0240000}"/>
    <cellStyle name="DateTime 4 2 3 2 3 3" xfId="9408" xr:uid="{00000000-0005-0000-0000-0000C1240000}"/>
    <cellStyle name="DateTime 4 2 3 2 4" xfId="9409" xr:uid="{00000000-0005-0000-0000-0000C2240000}"/>
    <cellStyle name="DateTime 4 2 3 2 5" xfId="9410" xr:uid="{00000000-0005-0000-0000-0000C3240000}"/>
    <cellStyle name="DateTime 4 2 3 2 6" xfId="9411" xr:uid="{00000000-0005-0000-0000-0000C4240000}"/>
    <cellStyle name="DateTime 4 2 3 3" xfId="9412" xr:uid="{00000000-0005-0000-0000-0000C5240000}"/>
    <cellStyle name="DateTime 4 2 3 3 2" xfId="9413" xr:uid="{00000000-0005-0000-0000-0000C6240000}"/>
    <cellStyle name="DateTime 4 2 3 3 3" xfId="9414" xr:uid="{00000000-0005-0000-0000-0000C7240000}"/>
    <cellStyle name="DateTime 4 2 3 4" xfId="9415" xr:uid="{00000000-0005-0000-0000-0000C8240000}"/>
    <cellStyle name="DateTime 4 2 3 4 2" xfId="9416" xr:uid="{00000000-0005-0000-0000-0000C9240000}"/>
    <cellStyle name="DateTime 4 2 3 4 3" xfId="9417" xr:uid="{00000000-0005-0000-0000-0000CA240000}"/>
    <cellStyle name="DateTime 4 2 3 5" xfId="9418" xr:uid="{00000000-0005-0000-0000-0000CB240000}"/>
    <cellStyle name="DateTime 4 2 3 5 2" xfId="9419" xr:uid="{00000000-0005-0000-0000-0000CC240000}"/>
    <cellStyle name="DateTime 4 2 3 5 3" xfId="9420" xr:uid="{00000000-0005-0000-0000-0000CD240000}"/>
    <cellStyle name="DateTime 4 2 3 6" xfId="9421" xr:uid="{00000000-0005-0000-0000-0000CE240000}"/>
    <cellStyle name="DateTime 4 2 3 7" xfId="9422" xr:uid="{00000000-0005-0000-0000-0000CF240000}"/>
    <cellStyle name="DateTime 4 2 3 8" xfId="9423" xr:uid="{00000000-0005-0000-0000-0000D0240000}"/>
    <cellStyle name="DateTime 4 2 4" xfId="9424" xr:uid="{00000000-0005-0000-0000-0000D1240000}"/>
    <cellStyle name="DateTime 4 2 4 2" xfId="9425" xr:uid="{00000000-0005-0000-0000-0000D2240000}"/>
    <cellStyle name="DateTime 4 2 4 2 2" xfId="9426" xr:uid="{00000000-0005-0000-0000-0000D3240000}"/>
    <cellStyle name="DateTime 4 2 4 2 3" xfId="9427" xr:uid="{00000000-0005-0000-0000-0000D4240000}"/>
    <cellStyle name="DateTime 4 2 4 3" xfId="9428" xr:uid="{00000000-0005-0000-0000-0000D5240000}"/>
    <cellStyle name="DateTime 4 2 4 3 2" xfId="9429" xr:uid="{00000000-0005-0000-0000-0000D6240000}"/>
    <cellStyle name="DateTime 4 2 4 3 3" xfId="9430" xr:uid="{00000000-0005-0000-0000-0000D7240000}"/>
    <cellStyle name="DateTime 4 2 4 4" xfId="9431" xr:uid="{00000000-0005-0000-0000-0000D8240000}"/>
    <cellStyle name="DateTime 4 2 4 5" xfId="9432" xr:uid="{00000000-0005-0000-0000-0000D9240000}"/>
    <cellStyle name="DateTime 4 2 4 6" xfId="9433" xr:uid="{00000000-0005-0000-0000-0000DA240000}"/>
    <cellStyle name="DateTime 4 2 5" xfId="9434" xr:uid="{00000000-0005-0000-0000-0000DB240000}"/>
    <cellStyle name="DateTime 4 2 5 2" xfId="9435" xr:uid="{00000000-0005-0000-0000-0000DC240000}"/>
    <cellStyle name="DateTime 4 2 5 3" xfId="9436" xr:uid="{00000000-0005-0000-0000-0000DD240000}"/>
    <cellStyle name="DateTime 4 2 6" xfId="9437" xr:uid="{00000000-0005-0000-0000-0000DE240000}"/>
    <cellStyle name="DateTime 4 2 6 2" xfId="9438" xr:uid="{00000000-0005-0000-0000-0000DF240000}"/>
    <cellStyle name="DateTime 4 2 6 3" xfId="9439" xr:uid="{00000000-0005-0000-0000-0000E0240000}"/>
    <cellStyle name="DateTime 4 2 7" xfId="9440" xr:uid="{00000000-0005-0000-0000-0000E1240000}"/>
    <cellStyle name="DateTime 4 2 7 2" xfId="9441" xr:uid="{00000000-0005-0000-0000-0000E2240000}"/>
    <cellStyle name="DateTime 4 2 7 3" xfId="9442" xr:uid="{00000000-0005-0000-0000-0000E3240000}"/>
    <cellStyle name="DateTime 4 2 8" xfId="9443" xr:uid="{00000000-0005-0000-0000-0000E4240000}"/>
    <cellStyle name="DateTime 4 2 9" xfId="9444" xr:uid="{00000000-0005-0000-0000-0000E5240000}"/>
    <cellStyle name="DateTime 4 3" xfId="9445" xr:uid="{00000000-0005-0000-0000-0000E6240000}"/>
    <cellStyle name="DateTime 4 3 2" xfId="9446" xr:uid="{00000000-0005-0000-0000-0000E7240000}"/>
    <cellStyle name="DateTime 4 3 2 2" xfId="9447" xr:uid="{00000000-0005-0000-0000-0000E8240000}"/>
    <cellStyle name="DateTime 4 3 2 2 2" xfId="9448" xr:uid="{00000000-0005-0000-0000-0000E9240000}"/>
    <cellStyle name="DateTime 4 3 2 2 3" xfId="9449" xr:uid="{00000000-0005-0000-0000-0000EA240000}"/>
    <cellStyle name="DateTime 4 3 2 3" xfId="9450" xr:uid="{00000000-0005-0000-0000-0000EB240000}"/>
    <cellStyle name="DateTime 4 3 2 3 2" xfId="9451" xr:uid="{00000000-0005-0000-0000-0000EC240000}"/>
    <cellStyle name="DateTime 4 3 2 3 3" xfId="9452" xr:uid="{00000000-0005-0000-0000-0000ED240000}"/>
    <cellStyle name="DateTime 4 3 2 4" xfId="9453" xr:uid="{00000000-0005-0000-0000-0000EE240000}"/>
    <cellStyle name="DateTime 4 3 2 5" xfId="9454" xr:uid="{00000000-0005-0000-0000-0000EF240000}"/>
    <cellStyle name="DateTime 4 3 2 6" xfId="9455" xr:uid="{00000000-0005-0000-0000-0000F0240000}"/>
    <cellStyle name="DateTime 4 3 3" xfId="9456" xr:uid="{00000000-0005-0000-0000-0000F1240000}"/>
    <cellStyle name="DateTime 4 3 3 2" xfId="9457" xr:uid="{00000000-0005-0000-0000-0000F2240000}"/>
    <cellStyle name="DateTime 4 3 3 3" xfId="9458" xr:uid="{00000000-0005-0000-0000-0000F3240000}"/>
    <cellStyle name="DateTime 4 3 4" xfId="9459" xr:uid="{00000000-0005-0000-0000-0000F4240000}"/>
    <cellStyle name="DateTime 4 3 4 2" xfId="9460" xr:uid="{00000000-0005-0000-0000-0000F5240000}"/>
    <cellStyle name="DateTime 4 3 4 3" xfId="9461" xr:uid="{00000000-0005-0000-0000-0000F6240000}"/>
    <cellStyle name="DateTime 4 3 5" xfId="9462" xr:uid="{00000000-0005-0000-0000-0000F7240000}"/>
    <cellStyle name="DateTime 4 3 5 2" xfId="9463" xr:uid="{00000000-0005-0000-0000-0000F8240000}"/>
    <cellStyle name="DateTime 4 3 5 3" xfId="9464" xr:uid="{00000000-0005-0000-0000-0000F9240000}"/>
    <cellStyle name="DateTime 4 3 6" xfId="9465" xr:uid="{00000000-0005-0000-0000-0000FA240000}"/>
    <cellStyle name="DateTime 4 3 7" xfId="9466" xr:uid="{00000000-0005-0000-0000-0000FB240000}"/>
    <cellStyle name="DateTime 4 3 8" xfId="9467" xr:uid="{00000000-0005-0000-0000-0000FC240000}"/>
    <cellStyle name="DateTime 4 4" xfId="9468" xr:uid="{00000000-0005-0000-0000-0000FD240000}"/>
    <cellStyle name="DateTime 4 4 2" xfId="9469" xr:uid="{00000000-0005-0000-0000-0000FE240000}"/>
    <cellStyle name="DateTime 4 4 2 2" xfId="9470" xr:uid="{00000000-0005-0000-0000-0000FF240000}"/>
    <cellStyle name="DateTime 4 4 2 2 2" xfId="9471" xr:uid="{00000000-0005-0000-0000-000000250000}"/>
    <cellStyle name="DateTime 4 4 2 2 3" xfId="9472" xr:uid="{00000000-0005-0000-0000-000001250000}"/>
    <cellStyle name="DateTime 4 4 2 3" xfId="9473" xr:uid="{00000000-0005-0000-0000-000002250000}"/>
    <cellStyle name="DateTime 4 4 2 3 2" xfId="9474" xr:uid="{00000000-0005-0000-0000-000003250000}"/>
    <cellStyle name="DateTime 4 4 2 3 3" xfId="9475" xr:uid="{00000000-0005-0000-0000-000004250000}"/>
    <cellStyle name="DateTime 4 4 2 4" xfId="9476" xr:uid="{00000000-0005-0000-0000-000005250000}"/>
    <cellStyle name="DateTime 4 4 2 5" xfId="9477" xr:uid="{00000000-0005-0000-0000-000006250000}"/>
    <cellStyle name="DateTime 4 4 2 6" xfId="9478" xr:uid="{00000000-0005-0000-0000-000007250000}"/>
    <cellStyle name="DateTime 4 4 3" xfId="9479" xr:uid="{00000000-0005-0000-0000-000008250000}"/>
    <cellStyle name="DateTime 4 4 3 2" xfId="9480" xr:uid="{00000000-0005-0000-0000-000009250000}"/>
    <cellStyle name="DateTime 4 4 3 3" xfId="9481" xr:uid="{00000000-0005-0000-0000-00000A250000}"/>
    <cellStyle name="DateTime 4 4 4" xfId="9482" xr:uid="{00000000-0005-0000-0000-00000B250000}"/>
    <cellStyle name="DateTime 4 4 4 2" xfId="9483" xr:uid="{00000000-0005-0000-0000-00000C250000}"/>
    <cellStyle name="DateTime 4 4 4 3" xfId="9484" xr:uid="{00000000-0005-0000-0000-00000D250000}"/>
    <cellStyle name="DateTime 4 4 5" xfId="9485" xr:uid="{00000000-0005-0000-0000-00000E250000}"/>
    <cellStyle name="DateTime 4 4 5 2" xfId="9486" xr:uid="{00000000-0005-0000-0000-00000F250000}"/>
    <cellStyle name="DateTime 4 4 5 3" xfId="9487" xr:uid="{00000000-0005-0000-0000-000010250000}"/>
    <cellStyle name="DateTime 4 4 6" xfId="9488" xr:uid="{00000000-0005-0000-0000-000011250000}"/>
    <cellStyle name="DateTime 4 4 7" xfId="9489" xr:uid="{00000000-0005-0000-0000-000012250000}"/>
    <cellStyle name="DateTime 4 4 8" xfId="9490" xr:uid="{00000000-0005-0000-0000-000013250000}"/>
    <cellStyle name="DateTime 4 5" xfId="9491" xr:uid="{00000000-0005-0000-0000-000014250000}"/>
    <cellStyle name="DateTime 4 5 2" xfId="9492" xr:uid="{00000000-0005-0000-0000-000015250000}"/>
    <cellStyle name="DateTime 4 5 2 2" xfId="9493" xr:uid="{00000000-0005-0000-0000-000016250000}"/>
    <cellStyle name="DateTime 4 5 2 2 2" xfId="9494" xr:uid="{00000000-0005-0000-0000-000017250000}"/>
    <cellStyle name="DateTime 4 5 2 2 3" xfId="9495" xr:uid="{00000000-0005-0000-0000-000018250000}"/>
    <cellStyle name="DateTime 4 5 2 3" xfId="9496" xr:uid="{00000000-0005-0000-0000-000019250000}"/>
    <cellStyle name="DateTime 4 5 2 3 2" xfId="9497" xr:uid="{00000000-0005-0000-0000-00001A250000}"/>
    <cellStyle name="DateTime 4 5 2 3 3" xfId="9498" xr:uid="{00000000-0005-0000-0000-00001B250000}"/>
    <cellStyle name="DateTime 4 5 2 4" xfId="9499" xr:uid="{00000000-0005-0000-0000-00001C250000}"/>
    <cellStyle name="DateTime 4 5 2 5" xfId="9500" xr:uid="{00000000-0005-0000-0000-00001D250000}"/>
    <cellStyle name="DateTime 4 5 2 6" xfId="9501" xr:uid="{00000000-0005-0000-0000-00001E250000}"/>
    <cellStyle name="DateTime 4 5 3" xfId="9502" xr:uid="{00000000-0005-0000-0000-00001F250000}"/>
    <cellStyle name="DateTime 4 5 3 2" xfId="9503" xr:uid="{00000000-0005-0000-0000-000020250000}"/>
    <cellStyle name="DateTime 4 5 3 3" xfId="9504" xr:uid="{00000000-0005-0000-0000-000021250000}"/>
    <cellStyle name="DateTime 4 5 4" xfId="9505" xr:uid="{00000000-0005-0000-0000-000022250000}"/>
    <cellStyle name="DateTime 4 5 4 2" xfId="9506" xr:uid="{00000000-0005-0000-0000-000023250000}"/>
    <cellStyle name="DateTime 4 5 4 3" xfId="9507" xr:uid="{00000000-0005-0000-0000-000024250000}"/>
    <cellStyle name="DateTime 4 5 5" xfId="9508" xr:uid="{00000000-0005-0000-0000-000025250000}"/>
    <cellStyle name="DateTime 4 5 5 2" xfId="9509" xr:uid="{00000000-0005-0000-0000-000026250000}"/>
    <cellStyle name="DateTime 4 5 5 3" xfId="9510" xr:uid="{00000000-0005-0000-0000-000027250000}"/>
    <cellStyle name="DateTime 4 5 6" xfId="9511" xr:uid="{00000000-0005-0000-0000-000028250000}"/>
    <cellStyle name="DateTime 4 5 7" xfId="9512" xr:uid="{00000000-0005-0000-0000-000029250000}"/>
    <cellStyle name="DateTime 4 5 8" xfId="9513" xr:uid="{00000000-0005-0000-0000-00002A250000}"/>
    <cellStyle name="DateTime 4 6" xfId="9514" xr:uid="{00000000-0005-0000-0000-00002B250000}"/>
    <cellStyle name="DateTime 4 6 2" xfId="9515" xr:uid="{00000000-0005-0000-0000-00002C250000}"/>
    <cellStyle name="DateTime 4 6 2 2" xfId="9516" xr:uid="{00000000-0005-0000-0000-00002D250000}"/>
    <cellStyle name="DateTime 4 6 2 3" xfId="9517" xr:uid="{00000000-0005-0000-0000-00002E250000}"/>
    <cellStyle name="DateTime 4 6 3" xfId="9518" xr:uid="{00000000-0005-0000-0000-00002F250000}"/>
    <cellStyle name="DateTime 4 6 3 2" xfId="9519" xr:uid="{00000000-0005-0000-0000-000030250000}"/>
    <cellStyle name="DateTime 4 6 3 3" xfId="9520" xr:uid="{00000000-0005-0000-0000-000031250000}"/>
    <cellStyle name="DateTime 4 6 4" xfId="9521" xr:uid="{00000000-0005-0000-0000-000032250000}"/>
    <cellStyle name="DateTime 4 6 5" xfId="9522" xr:uid="{00000000-0005-0000-0000-000033250000}"/>
    <cellStyle name="DateTime 4 6 6" xfId="9523" xr:uid="{00000000-0005-0000-0000-000034250000}"/>
    <cellStyle name="DateTime 4 7" xfId="9524" xr:uid="{00000000-0005-0000-0000-000035250000}"/>
    <cellStyle name="DateTime 4 7 2" xfId="9525" xr:uid="{00000000-0005-0000-0000-000036250000}"/>
    <cellStyle name="DateTime 4 7 3" xfId="9526" xr:uid="{00000000-0005-0000-0000-000037250000}"/>
    <cellStyle name="DateTime 4 8" xfId="9527" xr:uid="{00000000-0005-0000-0000-000038250000}"/>
    <cellStyle name="DateTime 4 8 2" xfId="9528" xr:uid="{00000000-0005-0000-0000-000039250000}"/>
    <cellStyle name="DateTime 4 8 3" xfId="9529" xr:uid="{00000000-0005-0000-0000-00003A250000}"/>
    <cellStyle name="DateTime 4 9" xfId="9530" xr:uid="{00000000-0005-0000-0000-00003B250000}"/>
    <cellStyle name="DateTime 4 9 2" xfId="9531" xr:uid="{00000000-0005-0000-0000-00003C250000}"/>
    <cellStyle name="DateTime 4 9 3" xfId="9532" xr:uid="{00000000-0005-0000-0000-00003D250000}"/>
    <cellStyle name="DateTime 5" xfId="9533" xr:uid="{00000000-0005-0000-0000-00003E250000}"/>
    <cellStyle name="DateTime 5 10" xfId="9534" xr:uid="{00000000-0005-0000-0000-00003F250000}"/>
    <cellStyle name="DateTime 5 11" xfId="9535" xr:uid="{00000000-0005-0000-0000-000040250000}"/>
    <cellStyle name="DateTime 5 12" xfId="9536" xr:uid="{00000000-0005-0000-0000-000041250000}"/>
    <cellStyle name="DateTime 5 2" xfId="9537" xr:uid="{00000000-0005-0000-0000-000042250000}"/>
    <cellStyle name="DateTime 5 2 10" xfId="9538" xr:uid="{00000000-0005-0000-0000-000043250000}"/>
    <cellStyle name="DateTime 5 2 2" xfId="9539" xr:uid="{00000000-0005-0000-0000-000044250000}"/>
    <cellStyle name="DateTime 5 2 2 2" xfId="9540" xr:uid="{00000000-0005-0000-0000-000045250000}"/>
    <cellStyle name="DateTime 5 2 2 2 2" xfId="9541" xr:uid="{00000000-0005-0000-0000-000046250000}"/>
    <cellStyle name="DateTime 5 2 2 2 2 2" xfId="9542" xr:uid="{00000000-0005-0000-0000-000047250000}"/>
    <cellStyle name="DateTime 5 2 2 2 2 3" xfId="9543" xr:uid="{00000000-0005-0000-0000-000048250000}"/>
    <cellStyle name="DateTime 5 2 2 2 3" xfId="9544" xr:uid="{00000000-0005-0000-0000-000049250000}"/>
    <cellStyle name="DateTime 5 2 2 2 3 2" xfId="9545" xr:uid="{00000000-0005-0000-0000-00004A250000}"/>
    <cellStyle name="DateTime 5 2 2 2 3 3" xfId="9546" xr:uid="{00000000-0005-0000-0000-00004B250000}"/>
    <cellStyle name="DateTime 5 2 2 2 4" xfId="9547" xr:uid="{00000000-0005-0000-0000-00004C250000}"/>
    <cellStyle name="DateTime 5 2 2 2 5" xfId="9548" xr:uid="{00000000-0005-0000-0000-00004D250000}"/>
    <cellStyle name="DateTime 5 2 2 2 6" xfId="9549" xr:uid="{00000000-0005-0000-0000-00004E250000}"/>
    <cellStyle name="DateTime 5 2 2 3" xfId="9550" xr:uid="{00000000-0005-0000-0000-00004F250000}"/>
    <cellStyle name="DateTime 5 2 2 3 2" xfId="9551" xr:uid="{00000000-0005-0000-0000-000050250000}"/>
    <cellStyle name="DateTime 5 2 2 3 3" xfId="9552" xr:uid="{00000000-0005-0000-0000-000051250000}"/>
    <cellStyle name="DateTime 5 2 2 4" xfId="9553" xr:uid="{00000000-0005-0000-0000-000052250000}"/>
    <cellStyle name="DateTime 5 2 2 4 2" xfId="9554" xr:uid="{00000000-0005-0000-0000-000053250000}"/>
    <cellStyle name="DateTime 5 2 2 4 3" xfId="9555" xr:uid="{00000000-0005-0000-0000-000054250000}"/>
    <cellStyle name="DateTime 5 2 2 5" xfId="9556" xr:uid="{00000000-0005-0000-0000-000055250000}"/>
    <cellStyle name="DateTime 5 2 2 5 2" xfId="9557" xr:uid="{00000000-0005-0000-0000-000056250000}"/>
    <cellStyle name="DateTime 5 2 2 5 3" xfId="9558" xr:uid="{00000000-0005-0000-0000-000057250000}"/>
    <cellStyle name="DateTime 5 2 2 6" xfId="9559" xr:uid="{00000000-0005-0000-0000-000058250000}"/>
    <cellStyle name="DateTime 5 2 2 7" xfId="9560" xr:uid="{00000000-0005-0000-0000-000059250000}"/>
    <cellStyle name="DateTime 5 2 2 8" xfId="9561" xr:uid="{00000000-0005-0000-0000-00005A250000}"/>
    <cellStyle name="DateTime 5 2 3" xfId="9562" xr:uid="{00000000-0005-0000-0000-00005B250000}"/>
    <cellStyle name="DateTime 5 2 3 2" xfId="9563" xr:uid="{00000000-0005-0000-0000-00005C250000}"/>
    <cellStyle name="DateTime 5 2 3 2 2" xfId="9564" xr:uid="{00000000-0005-0000-0000-00005D250000}"/>
    <cellStyle name="DateTime 5 2 3 2 2 2" xfId="9565" xr:uid="{00000000-0005-0000-0000-00005E250000}"/>
    <cellStyle name="DateTime 5 2 3 2 2 3" xfId="9566" xr:uid="{00000000-0005-0000-0000-00005F250000}"/>
    <cellStyle name="DateTime 5 2 3 2 3" xfId="9567" xr:uid="{00000000-0005-0000-0000-000060250000}"/>
    <cellStyle name="DateTime 5 2 3 2 3 2" xfId="9568" xr:uid="{00000000-0005-0000-0000-000061250000}"/>
    <cellStyle name="DateTime 5 2 3 2 3 3" xfId="9569" xr:uid="{00000000-0005-0000-0000-000062250000}"/>
    <cellStyle name="DateTime 5 2 3 2 4" xfId="9570" xr:uid="{00000000-0005-0000-0000-000063250000}"/>
    <cellStyle name="DateTime 5 2 3 2 5" xfId="9571" xr:uid="{00000000-0005-0000-0000-000064250000}"/>
    <cellStyle name="DateTime 5 2 3 2 6" xfId="9572" xr:uid="{00000000-0005-0000-0000-000065250000}"/>
    <cellStyle name="DateTime 5 2 3 3" xfId="9573" xr:uid="{00000000-0005-0000-0000-000066250000}"/>
    <cellStyle name="DateTime 5 2 3 3 2" xfId="9574" xr:uid="{00000000-0005-0000-0000-000067250000}"/>
    <cellStyle name="DateTime 5 2 3 3 3" xfId="9575" xr:uid="{00000000-0005-0000-0000-000068250000}"/>
    <cellStyle name="DateTime 5 2 3 4" xfId="9576" xr:uid="{00000000-0005-0000-0000-000069250000}"/>
    <cellStyle name="DateTime 5 2 3 4 2" xfId="9577" xr:uid="{00000000-0005-0000-0000-00006A250000}"/>
    <cellStyle name="DateTime 5 2 3 4 3" xfId="9578" xr:uid="{00000000-0005-0000-0000-00006B250000}"/>
    <cellStyle name="DateTime 5 2 3 5" xfId="9579" xr:uid="{00000000-0005-0000-0000-00006C250000}"/>
    <cellStyle name="DateTime 5 2 3 5 2" xfId="9580" xr:uid="{00000000-0005-0000-0000-00006D250000}"/>
    <cellStyle name="DateTime 5 2 3 5 3" xfId="9581" xr:uid="{00000000-0005-0000-0000-00006E250000}"/>
    <cellStyle name="DateTime 5 2 3 6" xfId="9582" xr:uid="{00000000-0005-0000-0000-00006F250000}"/>
    <cellStyle name="DateTime 5 2 3 7" xfId="9583" xr:uid="{00000000-0005-0000-0000-000070250000}"/>
    <cellStyle name="DateTime 5 2 3 8" xfId="9584" xr:uid="{00000000-0005-0000-0000-000071250000}"/>
    <cellStyle name="DateTime 5 2 4" xfId="9585" xr:uid="{00000000-0005-0000-0000-000072250000}"/>
    <cellStyle name="DateTime 5 2 4 2" xfId="9586" xr:uid="{00000000-0005-0000-0000-000073250000}"/>
    <cellStyle name="DateTime 5 2 4 2 2" xfId="9587" xr:uid="{00000000-0005-0000-0000-000074250000}"/>
    <cellStyle name="DateTime 5 2 4 2 3" xfId="9588" xr:uid="{00000000-0005-0000-0000-000075250000}"/>
    <cellStyle name="DateTime 5 2 4 3" xfId="9589" xr:uid="{00000000-0005-0000-0000-000076250000}"/>
    <cellStyle name="DateTime 5 2 4 3 2" xfId="9590" xr:uid="{00000000-0005-0000-0000-000077250000}"/>
    <cellStyle name="DateTime 5 2 4 3 3" xfId="9591" xr:uid="{00000000-0005-0000-0000-000078250000}"/>
    <cellStyle name="DateTime 5 2 4 4" xfId="9592" xr:uid="{00000000-0005-0000-0000-000079250000}"/>
    <cellStyle name="DateTime 5 2 4 5" xfId="9593" xr:uid="{00000000-0005-0000-0000-00007A250000}"/>
    <cellStyle name="DateTime 5 2 4 6" xfId="9594" xr:uid="{00000000-0005-0000-0000-00007B250000}"/>
    <cellStyle name="DateTime 5 2 5" xfId="9595" xr:uid="{00000000-0005-0000-0000-00007C250000}"/>
    <cellStyle name="DateTime 5 2 5 2" xfId="9596" xr:uid="{00000000-0005-0000-0000-00007D250000}"/>
    <cellStyle name="DateTime 5 2 5 3" xfId="9597" xr:uid="{00000000-0005-0000-0000-00007E250000}"/>
    <cellStyle name="DateTime 5 2 6" xfId="9598" xr:uid="{00000000-0005-0000-0000-00007F250000}"/>
    <cellStyle name="DateTime 5 2 6 2" xfId="9599" xr:uid="{00000000-0005-0000-0000-000080250000}"/>
    <cellStyle name="DateTime 5 2 6 3" xfId="9600" xr:uid="{00000000-0005-0000-0000-000081250000}"/>
    <cellStyle name="DateTime 5 2 7" xfId="9601" xr:uid="{00000000-0005-0000-0000-000082250000}"/>
    <cellStyle name="DateTime 5 2 7 2" xfId="9602" xr:uid="{00000000-0005-0000-0000-000083250000}"/>
    <cellStyle name="DateTime 5 2 7 3" xfId="9603" xr:uid="{00000000-0005-0000-0000-000084250000}"/>
    <cellStyle name="DateTime 5 2 8" xfId="9604" xr:uid="{00000000-0005-0000-0000-000085250000}"/>
    <cellStyle name="DateTime 5 2 9" xfId="9605" xr:uid="{00000000-0005-0000-0000-000086250000}"/>
    <cellStyle name="DateTime 5 3" xfId="9606" xr:uid="{00000000-0005-0000-0000-000087250000}"/>
    <cellStyle name="DateTime 5 3 2" xfId="9607" xr:uid="{00000000-0005-0000-0000-000088250000}"/>
    <cellStyle name="DateTime 5 3 2 2" xfId="9608" xr:uid="{00000000-0005-0000-0000-000089250000}"/>
    <cellStyle name="DateTime 5 3 2 2 2" xfId="9609" xr:uid="{00000000-0005-0000-0000-00008A250000}"/>
    <cellStyle name="DateTime 5 3 2 2 3" xfId="9610" xr:uid="{00000000-0005-0000-0000-00008B250000}"/>
    <cellStyle name="DateTime 5 3 2 3" xfId="9611" xr:uid="{00000000-0005-0000-0000-00008C250000}"/>
    <cellStyle name="DateTime 5 3 2 3 2" xfId="9612" xr:uid="{00000000-0005-0000-0000-00008D250000}"/>
    <cellStyle name="DateTime 5 3 2 3 3" xfId="9613" xr:uid="{00000000-0005-0000-0000-00008E250000}"/>
    <cellStyle name="DateTime 5 3 2 4" xfId="9614" xr:uid="{00000000-0005-0000-0000-00008F250000}"/>
    <cellStyle name="DateTime 5 3 2 5" xfId="9615" xr:uid="{00000000-0005-0000-0000-000090250000}"/>
    <cellStyle name="DateTime 5 3 2 6" xfId="9616" xr:uid="{00000000-0005-0000-0000-000091250000}"/>
    <cellStyle name="DateTime 5 3 3" xfId="9617" xr:uid="{00000000-0005-0000-0000-000092250000}"/>
    <cellStyle name="DateTime 5 3 3 2" xfId="9618" xr:uid="{00000000-0005-0000-0000-000093250000}"/>
    <cellStyle name="DateTime 5 3 3 3" xfId="9619" xr:uid="{00000000-0005-0000-0000-000094250000}"/>
    <cellStyle name="DateTime 5 3 4" xfId="9620" xr:uid="{00000000-0005-0000-0000-000095250000}"/>
    <cellStyle name="DateTime 5 3 4 2" xfId="9621" xr:uid="{00000000-0005-0000-0000-000096250000}"/>
    <cellStyle name="DateTime 5 3 4 3" xfId="9622" xr:uid="{00000000-0005-0000-0000-000097250000}"/>
    <cellStyle name="DateTime 5 3 5" xfId="9623" xr:uid="{00000000-0005-0000-0000-000098250000}"/>
    <cellStyle name="DateTime 5 3 5 2" xfId="9624" xr:uid="{00000000-0005-0000-0000-000099250000}"/>
    <cellStyle name="DateTime 5 3 5 3" xfId="9625" xr:uid="{00000000-0005-0000-0000-00009A250000}"/>
    <cellStyle name="DateTime 5 3 6" xfId="9626" xr:uid="{00000000-0005-0000-0000-00009B250000}"/>
    <cellStyle name="DateTime 5 3 7" xfId="9627" xr:uid="{00000000-0005-0000-0000-00009C250000}"/>
    <cellStyle name="DateTime 5 3 8" xfId="9628" xr:uid="{00000000-0005-0000-0000-00009D250000}"/>
    <cellStyle name="DateTime 5 4" xfId="9629" xr:uid="{00000000-0005-0000-0000-00009E250000}"/>
    <cellStyle name="DateTime 5 4 2" xfId="9630" xr:uid="{00000000-0005-0000-0000-00009F250000}"/>
    <cellStyle name="DateTime 5 4 2 2" xfId="9631" xr:uid="{00000000-0005-0000-0000-0000A0250000}"/>
    <cellStyle name="DateTime 5 4 2 2 2" xfId="9632" xr:uid="{00000000-0005-0000-0000-0000A1250000}"/>
    <cellStyle name="DateTime 5 4 2 2 3" xfId="9633" xr:uid="{00000000-0005-0000-0000-0000A2250000}"/>
    <cellStyle name="DateTime 5 4 2 3" xfId="9634" xr:uid="{00000000-0005-0000-0000-0000A3250000}"/>
    <cellStyle name="DateTime 5 4 2 3 2" xfId="9635" xr:uid="{00000000-0005-0000-0000-0000A4250000}"/>
    <cellStyle name="DateTime 5 4 2 3 3" xfId="9636" xr:uid="{00000000-0005-0000-0000-0000A5250000}"/>
    <cellStyle name="DateTime 5 4 2 4" xfId="9637" xr:uid="{00000000-0005-0000-0000-0000A6250000}"/>
    <cellStyle name="DateTime 5 4 2 5" xfId="9638" xr:uid="{00000000-0005-0000-0000-0000A7250000}"/>
    <cellStyle name="DateTime 5 4 2 6" xfId="9639" xr:uid="{00000000-0005-0000-0000-0000A8250000}"/>
    <cellStyle name="DateTime 5 4 3" xfId="9640" xr:uid="{00000000-0005-0000-0000-0000A9250000}"/>
    <cellStyle name="DateTime 5 4 3 2" xfId="9641" xr:uid="{00000000-0005-0000-0000-0000AA250000}"/>
    <cellStyle name="DateTime 5 4 3 3" xfId="9642" xr:uid="{00000000-0005-0000-0000-0000AB250000}"/>
    <cellStyle name="DateTime 5 4 4" xfId="9643" xr:uid="{00000000-0005-0000-0000-0000AC250000}"/>
    <cellStyle name="DateTime 5 4 4 2" xfId="9644" xr:uid="{00000000-0005-0000-0000-0000AD250000}"/>
    <cellStyle name="DateTime 5 4 4 3" xfId="9645" xr:uid="{00000000-0005-0000-0000-0000AE250000}"/>
    <cellStyle name="DateTime 5 4 5" xfId="9646" xr:uid="{00000000-0005-0000-0000-0000AF250000}"/>
    <cellStyle name="DateTime 5 4 5 2" xfId="9647" xr:uid="{00000000-0005-0000-0000-0000B0250000}"/>
    <cellStyle name="DateTime 5 4 5 3" xfId="9648" xr:uid="{00000000-0005-0000-0000-0000B1250000}"/>
    <cellStyle name="DateTime 5 4 6" xfId="9649" xr:uid="{00000000-0005-0000-0000-0000B2250000}"/>
    <cellStyle name="DateTime 5 4 7" xfId="9650" xr:uid="{00000000-0005-0000-0000-0000B3250000}"/>
    <cellStyle name="DateTime 5 4 8" xfId="9651" xr:uid="{00000000-0005-0000-0000-0000B4250000}"/>
    <cellStyle name="DateTime 5 5" xfId="9652" xr:uid="{00000000-0005-0000-0000-0000B5250000}"/>
    <cellStyle name="DateTime 5 5 2" xfId="9653" xr:uid="{00000000-0005-0000-0000-0000B6250000}"/>
    <cellStyle name="DateTime 5 5 2 2" xfId="9654" xr:uid="{00000000-0005-0000-0000-0000B7250000}"/>
    <cellStyle name="DateTime 5 5 2 2 2" xfId="9655" xr:uid="{00000000-0005-0000-0000-0000B8250000}"/>
    <cellStyle name="DateTime 5 5 2 2 3" xfId="9656" xr:uid="{00000000-0005-0000-0000-0000B9250000}"/>
    <cellStyle name="DateTime 5 5 2 3" xfId="9657" xr:uid="{00000000-0005-0000-0000-0000BA250000}"/>
    <cellStyle name="DateTime 5 5 2 3 2" xfId="9658" xr:uid="{00000000-0005-0000-0000-0000BB250000}"/>
    <cellStyle name="DateTime 5 5 2 3 3" xfId="9659" xr:uid="{00000000-0005-0000-0000-0000BC250000}"/>
    <cellStyle name="DateTime 5 5 2 4" xfId="9660" xr:uid="{00000000-0005-0000-0000-0000BD250000}"/>
    <cellStyle name="DateTime 5 5 2 5" xfId="9661" xr:uid="{00000000-0005-0000-0000-0000BE250000}"/>
    <cellStyle name="DateTime 5 5 2 6" xfId="9662" xr:uid="{00000000-0005-0000-0000-0000BF250000}"/>
    <cellStyle name="DateTime 5 5 3" xfId="9663" xr:uid="{00000000-0005-0000-0000-0000C0250000}"/>
    <cellStyle name="DateTime 5 5 3 2" xfId="9664" xr:uid="{00000000-0005-0000-0000-0000C1250000}"/>
    <cellStyle name="DateTime 5 5 3 3" xfId="9665" xr:uid="{00000000-0005-0000-0000-0000C2250000}"/>
    <cellStyle name="DateTime 5 5 4" xfId="9666" xr:uid="{00000000-0005-0000-0000-0000C3250000}"/>
    <cellStyle name="DateTime 5 5 4 2" xfId="9667" xr:uid="{00000000-0005-0000-0000-0000C4250000}"/>
    <cellStyle name="DateTime 5 5 4 3" xfId="9668" xr:uid="{00000000-0005-0000-0000-0000C5250000}"/>
    <cellStyle name="DateTime 5 5 5" xfId="9669" xr:uid="{00000000-0005-0000-0000-0000C6250000}"/>
    <cellStyle name="DateTime 5 5 5 2" xfId="9670" xr:uid="{00000000-0005-0000-0000-0000C7250000}"/>
    <cellStyle name="DateTime 5 5 5 3" xfId="9671" xr:uid="{00000000-0005-0000-0000-0000C8250000}"/>
    <cellStyle name="DateTime 5 5 6" xfId="9672" xr:uid="{00000000-0005-0000-0000-0000C9250000}"/>
    <cellStyle name="DateTime 5 5 7" xfId="9673" xr:uid="{00000000-0005-0000-0000-0000CA250000}"/>
    <cellStyle name="DateTime 5 5 8" xfId="9674" xr:uid="{00000000-0005-0000-0000-0000CB250000}"/>
    <cellStyle name="DateTime 5 6" xfId="9675" xr:uid="{00000000-0005-0000-0000-0000CC250000}"/>
    <cellStyle name="DateTime 5 6 2" xfId="9676" xr:uid="{00000000-0005-0000-0000-0000CD250000}"/>
    <cellStyle name="DateTime 5 6 2 2" xfId="9677" xr:uid="{00000000-0005-0000-0000-0000CE250000}"/>
    <cellStyle name="DateTime 5 6 2 3" xfId="9678" xr:uid="{00000000-0005-0000-0000-0000CF250000}"/>
    <cellStyle name="DateTime 5 6 3" xfId="9679" xr:uid="{00000000-0005-0000-0000-0000D0250000}"/>
    <cellStyle name="DateTime 5 6 3 2" xfId="9680" xr:uid="{00000000-0005-0000-0000-0000D1250000}"/>
    <cellStyle name="DateTime 5 6 3 3" xfId="9681" xr:uid="{00000000-0005-0000-0000-0000D2250000}"/>
    <cellStyle name="DateTime 5 6 4" xfId="9682" xr:uid="{00000000-0005-0000-0000-0000D3250000}"/>
    <cellStyle name="DateTime 5 6 5" xfId="9683" xr:uid="{00000000-0005-0000-0000-0000D4250000}"/>
    <cellStyle name="DateTime 5 6 6" xfId="9684" xr:uid="{00000000-0005-0000-0000-0000D5250000}"/>
    <cellStyle name="DateTime 5 7" xfId="9685" xr:uid="{00000000-0005-0000-0000-0000D6250000}"/>
    <cellStyle name="DateTime 5 7 2" xfId="9686" xr:uid="{00000000-0005-0000-0000-0000D7250000}"/>
    <cellStyle name="DateTime 5 7 3" xfId="9687" xr:uid="{00000000-0005-0000-0000-0000D8250000}"/>
    <cellStyle name="DateTime 5 8" xfId="9688" xr:uid="{00000000-0005-0000-0000-0000D9250000}"/>
    <cellStyle name="DateTime 5 8 2" xfId="9689" xr:uid="{00000000-0005-0000-0000-0000DA250000}"/>
    <cellStyle name="DateTime 5 8 3" xfId="9690" xr:uid="{00000000-0005-0000-0000-0000DB250000}"/>
    <cellStyle name="DateTime 5 9" xfId="9691" xr:uid="{00000000-0005-0000-0000-0000DC250000}"/>
    <cellStyle name="DateTime 5 9 2" xfId="9692" xr:uid="{00000000-0005-0000-0000-0000DD250000}"/>
    <cellStyle name="DateTime 5 9 3" xfId="9693" xr:uid="{00000000-0005-0000-0000-0000DE250000}"/>
    <cellStyle name="DateTime 6" xfId="9694" xr:uid="{00000000-0005-0000-0000-0000DF250000}"/>
    <cellStyle name="DateTime 6 10" xfId="9695" xr:uid="{00000000-0005-0000-0000-0000E0250000}"/>
    <cellStyle name="DateTime 6 11" xfId="9696" xr:uid="{00000000-0005-0000-0000-0000E1250000}"/>
    <cellStyle name="DateTime 6 12" xfId="9697" xr:uid="{00000000-0005-0000-0000-0000E2250000}"/>
    <cellStyle name="DateTime 6 2" xfId="9698" xr:uid="{00000000-0005-0000-0000-0000E3250000}"/>
    <cellStyle name="DateTime 6 2 10" xfId="9699" xr:uid="{00000000-0005-0000-0000-0000E4250000}"/>
    <cellStyle name="DateTime 6 2 2" xfId="9700" xr:uid="{00000000-0005-0000-0000-0000E5250000}"/>
    <cellStyle name="DateTime 6 2 2 2" xfId="9701" xr:uid="{00000000-0005-0000-0000-0000E6250000}"/>
    <cellStyle name="DateTime 6 2 2 2 2" xfId="9702" xr:uid="{00000000-0005-0000-0000-0000E7250000}"/>
    <cellStyle name="DateTime 6 2 2 2 2 2" xfId="9703" xr:uid="{00000000-0005-0000-0000-0000E8250000}"/>
    <cellStyle name="DateTime 6 2 2 2 2 3" xfId="9704" xr:uid="{00000000-0005-0000-0000-0000E9250000}"/>
    <cellStyle name="DateTime 6 2 2 2 3" xfId="9705" xr:uid="{00000000-0005-0000-0000-0000EA250000}"/>
    <cellStyle name="DateTime 6 2 2 2 3 2" xfId="9706" xr:uid="{00000000-0005-0000-0000-0000EB250000}"/>
    <cellStyle name="DateTime 6 2 2 2 3 3" xfId="9707" xr:uid="{00000000-0005-0000-0000-0000EC250000}"/>
    <cellStyle name="DateTime 6 2 2 2 4" xfId="9708" xr:uid="{00000000-0005-0000-0000-0000ED250000}"/>
    <cellStyle name="DateTime 6 2 2 2 5" xfId="9709" xr:uid="{00000000-0005-0000-0000-0000EE250000}"/>
    <cellStyle name="DateTime 6 2 2 2 6" xfId="9710" xr:uid="{00000000-0005-0000-0000-0000EF250000}"/>
    <cellStyle name="DateTime 6 2 2 3" xfId="9711" xr:uid="{00000000-0005-0000-0000-0000F0250000}"/>
    <cellStyle name="DateTime 6 2 2 3 2" xfId="9712" xr:uid="{00000000-0005-0000-0000-0000F1250000}"/>
    <cellStyle name="DateTime 6 2 2 3 3" xfId="9713" xr:uid="{00000000-0005-0000-0000-0000F2250000}"/>
    <cellStyle name="DateTime 6 2 2 4" xfId="9714" xr:uid="{00000000-0005-0000-0000-0000F3250000}"/>
    <cellStyle name="DateTime 6 2 2 4 2" xfId="9715" xr:uid="{00000000-0005-0000-0000-0000F4250000}"/>
    <cellStyle name="DateTime 6 2 2 4 3" xfId="9716" xr:uid="{00000000-0005-0000-0000-0000F5250000}"/>
    <cellStyle name="DateTime 6 2 2 5" xfId="9717" xr:uid="{00000000-0005-0000-0000-0000F6250000}"/>
    <cellStyle name="DateTime 6 2 2 5 2" xfId="9718" xr:uid="{00000000-0005-0000-0000-0000F7250000}"/>
    <cellStyle name="DateTime 6 2 2 5 3" xfId="9719" xr:uid="{00000000-0005-0000-0000-0000F8250000}"/>
    <cellStyle name="DateTime 6 2 2 6" xfId="9720" xr:uid="{00000000-0005-0000-0000-0000F9250000}"/>
    <cellStyle name="DateTime 6 2 2 7" xfId="9721" xr:uid="{00000000-0005-0000-0000-0000FA250000}"/>
    <cellStyle name="DateTime 6 2 2 8" xfId="9722" xr:uid="{00000000-0005-0000-0000-0000FB250000}"/>
    <cellStyle name="DateTime 6 2 3" xfId="9723" xr:uid="{00000000-0005-0000-0000-0000FC250000}"/>
    <cellStyle name="DateTime 6 2 3 2" xfId="9724" xr:uid="{00000000-0005-0000-0000-0000FD250000}"/>
    <cellStyle name="DateTime 6 2 3 2 2" xfId="9725" xr:uid="{00000000-0005-0000-0000-0000FE250000}"/>
    <cellStyle name="DateTime 6 2 3 2 2 2" xfId="9726" xr:uid="{00000000-0005-0000-0000-0000FF250000}"/>
    <cellStyle name="DateTime 6 2 3 2 2 3" xfId="9727" xr:uid="{00000000-0005-0000-0000-000000260000}"/>
    <cellStyle name="DateTime 6 2 3 2 3" xfId="9728" xr:uid="{00000000-0005-0000-0000-000001260000}"/>
    <cellStyle name="DateTime 6 2 3 2 3 2" xfId="9729" xr:uid="{00000000-0005-0000-0000-000002260000}"/>
    <cellStyle name="DateTime 6 2 3 2 3 3" xfId="9730" xr:uid="{00000000-0005-0000-0000-000003260000}"/>
    <cellStyle name="DateTime 6 2 3 2 4" xfId="9731" xr:uid="{00000000-0005-0000-0000-000004260000}"/>
    <cellStyle name="DateTime 6 2 3 2 5" xfId="9732" xr:uid="{00000000-0005-0000-0000-000005260000}"/>
    <cellStyle name="DateTime 6 2 3 2 6" xfId="9733" xr:uid="{00000000-0005-0000-0000-000006260000}"/>
    <cellStyle name="DateTime 6 2 3 3" xfId="9734" xr:uid="{00000000-0005-0000-0000-000007260000}"/>
    <cellStyle name="DateTime 6 2 3 3 2" xfId="9735" xr:uid="{00000000-0005-0000-0000-000008260000}"/>
    <cellStyle name="DateTime 6 2 3 3 3" xfId="9736" xr:uid="{00000000-0005-0000-0000-000009260000}"/>
    <cellStyle name="DateTime 6 2 3 4" xfId="9737" xr:uid="{00000000-0005-0000-0000-00000A260000}"/>
    <cellStyle name="DateTime 6 2 3 4 2" xfId="9738" xr:uid="{00000000-0005-0000-0000-00000B260000}"/>
    <cellStyle name="DateTime 6 2 3 4 3" xfId="9739" xr:uid="{00000000-0005-0000-0000-00000C260000}"/>
    <cellStyle name="DateTime 6 2 3 5" xfId="9740" xr:uid="{00000000-0005-0000-0000-00000D260000}"/>
    <cellStyle name="DateTime 6 2 3 5 2" xfId="9741" xr:uid="{00000000-0005-0000-0000-00000E260000}"/>
    <cellStyle name="DateTime 6 2 3 5 3" xfId="9742" xr:uid="{00000000-0005-0000-0000-00000F260000}"/>
    <cellStyle name="DateTime 6 2 3 6" xfId="9743" xr:uid="{00000000-0005-0000-0000-000010260000}"/>
    <cellStyle name="DateTime 6 2 3 7" xfId="9744" xr:uid="{00000000-0005-0000-0000-000011260000}"/>
    <cellStyle name="DateTime 6 2 3 8" xfId="9745" xr:uid="{00000000-0005-0000-0000-000012260000}"/>
    <cellStyle name="DateTime 6 2 4" xfId="9746" xr:uid="{00000000-0005-0000-0000-000013260000}"/>
    <cellStyle name="DateTime 6 2 4 2" xfId="9747" xr:uid="{00000000-0005-0000-0000-000014260000}"/>
    <cellStyle name="DateTime 6 2 4 2 2" xfId="9748" xr:uid="{00000000-0005-0000-0000-000015260000}"/>
    <cellStyle name="DateTime 6 2 4 2 3" xfId="9749" xr:uid="{00000000-0005-0000-0000-000016260000}"/>
    <cellStyle name="DateTime 6 2 4 3" xfId="9750" xr:uid="{00000000-0005-0000-0000-000017260000}"/>
    <cellStyle name="DateTime 6 2 4 3 2" xfId="9751" xr:uid="{00000000-0005-0000-0000-000018260000}"/>
    <cellStyle name="DateTime 6 2 4 3 3" xfId="9752" xr:uid="{00000000-0005-0000-0000-000019260000}"/>
    <cellStyle name="DateTime 6 2 4 4" xfId="9753" xr:uid="{00000000-0005-0000-0000-00001A260000}"/>
    <cellStyle name="DateTime 6 2 4 5" xfId="9754" xr:uid="{00000000-0005-0000-0000-00001B260000}"/>
    <cellStyle name="DateTime 6 2 4 6" xfId="9755" xr:uid="{00000000-0005-0000-0000-00001C260000}"/>
    <cellStyle name="DateTime 6 2 5" xfId="9756" xr:uid="{00000000-0005-0000-0000-00001D260000}"/>
    <cellStyle name="DateTime 6 2 5 2" xfId="9757" xr:uid="{00000000-0005-0000-0000-00001E260000}"/>
    <cellStyle name="DateTime 6 2 5 3" xfId="9758" xr:uid="{00000000-0005-0000-0000-00001F260000}"/>
    <cellStyle name="DateTime 6 2 6" xfId="9759" xr:uid="{00000000-0005-0000-0000-000020260000}"/>
    <cellStyle name="DateTime 6 2 6 2" xfId="9760" xr:uid="{00000000-0005-0000-0000-000021260000}"/>
    <cellStyle name="DateTime 6 2 6 3" xfId="9761" xr:uid="{00000000-0005-0000-0000-000022260000}"/>
    <cellStyle name="DateTime 6 2 7" xfId="9762" xr:uid="{00000000-0005-0000-0000-000023260000}"/>
    <cellStyle name="DateTime 6 2 7 2" xfId="9763" xr:uid="{00000000-0005-0000-0000-000024260000}"/>
    <cellStyle name="DateTime 6 2 7 3" xfId="9764" xr:uid="{00000000-0005-0000-0000-000025260000}"/>
    <cellStyle name="DateTime 6 2 8" xfId="9765" xr:uid="{00000000-0005-0000-0000-000026260000}"/>
    <cellStyle name="DateTime 6 2 9" xfId="9766" xr:uid="{00000000-0005-0000-0000-000027260000}"/>
    <cellStyle name="DateTime 6 3" xfId="9767" xr:uid="{00000000-0005-0000-0000-000028260000}"/>
    <cellStyle name="DateTime 6 3 2" xfId="9768" xr:uid="{00000000-0005-0000-0000-000029260000}"/>
    <cellStyle name="DateTime 6 3 2 2" xfId="9769" xr:uid="{00000000-0005-0000-0000-00002A260000}"/>
    <cellStyle name="DateTime 6 3 2 2 2" xfId="9770" xr:uid="{00000000-0005-0000-0000-00002B260000}"/>
    <cellStyle name="DateTime 6 3 2 2 3" xfId="9771" xr:uid="{00000000-0005-0000-0000-00002C260000}"/>
    <cellStyle name="DateTime 6 3 2 3" xfId="9772" xr:uid="{00000000-0005-0000-0000-00002D260000}"/>
    <cellStyle name="DateTime 6 3 2 3 2" xfId="9773" xr:uid="{00000000-0005-0000-0000-00002E260000}"/>
    <cellStyle name="DateTime 6 3 2 3 3" xfId="9774" xr:uid="{00000000-0005-0000-0000-00002F260000}"/>
    <cellStyle name="DateTime 6 3 2 4" xfId="9775" xr:uid="{00000000-0005-0000-0000-000030260000}"/>
    <cellStyle name="DateTime 6 3 2 5" xfId="9776" xr:uid="{00000000-0005-0000-0000-000031260000}"/>
    <cellStyle name="DateTime 6 3 2 6" xfId="9777" xr:uid="{00000000-0005-0000-0000-000032260000}"/>
    <cellStyle name="DateTime 6 3 3" xfId="9778" xr:uid="{00000000-0005-0000-0000-000033260000}"/>
    <cellStyle name="DateTime 6 3 3 2" xfId="9779" xr:uid="{00000000-0005-0000-0000-000034260000}"/>
    <cellStyle name="DateTime 6 3 3 3" xfId="9780" xr:uid="{00000000-0005-0000-0000-000035260000}"/>
    <cellStyle name="DateTime 6 3 4" xfId="9781" xr:uid="{00000000-0005-0000-0000-000036260000}"/>
    <cellStyle name="DateTime 6 3 4 2" xfId="9782" xr:uid="{00000000-0005-0000-0000-000037260000}"/>
    <cellStyle name="DateTime 6 3 4 3" xfId="9783" xr:uid="{00000000-0005-0000-0000-000038260000}"/>
    <cellStyle name="DateTime 6 3 5" xfId="9784" xr:uid="{00000000-0005-0000-0000-000039260000}"/>
    <cellStyle name="DateTime 6 3 5 2" xfId="9785" xr:uid="{00000000-0005-0000-0000-00003A260000}"/>
    <cellStyle name="DateTime 6 3 5 3" xfId="9786" xr:uid="{00000000-0005-0000-0000-00003B260000}"/>
    <cellStyle name="DateTime 6 3 6" xfId="9787" xr:uid="{00000000-0005-0000-0000-00003C260000}"/>
    <cellStyle name="DateTime 6 3 7" xfId="9788" xr:uid="{00000000-0005-0000-0000-00003D260000}"/>
    <cellStyle name="DateTime 6 3 8" xfId="9789" xr:uid="{00000000-0005-0000-0000-00003E260000}"/>
    <cellStyle name="DateTime 6 4" xfId="9790" xr:uid="{00000000-0005-0000-0000-00003F260000}"/>
    <cellStyle name="DateTime 6 4 2" xfId="9791" xr:uid="{00000000-0005-0000-0000-000040260000}"/>
    <cellStyle name="DateTime 6 4 2 2" xfId="9792" xr:uid="{00000000-0005-0000-0000-000041260000}"/>
    <cellStyle name="DateTime 6 4 2 2 2" xfId="9793" xr:uid="{00000000-0005-0000-0000-000042260000}"/>
    <cellStyle name="DateTime 6 4 2 2 3" xfId="9794" xr:uid="{00000000-0005-0000-0000-000043260000}"/>
    <cellStyle name="DateTime 6 4 2 3" xfId="9795" xr:uid="{00000000-0005-0000-0000-000044260000}"/>
    <cellStyle name="DateTime 6 4 2 3 2" xfId="9796" xr:uid="{00000000-0005-0000-0000-000045260000}"/>
    <cellStyle name="DateTime 6 4 2 3 3" xfId="9797" xr:uid="{00000000-0005-0000-0000-000046260000}"/>
    <cellStyle name="DateTime 6 4 2 4" xfId="9798" xr:uid="{00000000-0005-0000-0000-000047260000}"/>
    <cellStyle name="DateTime 6 4 2 5" xfId="9799" xr:uid="{00000000-0005-0000-0000-000048260000}"/>
    <cellStyle name="DateTime 6 4 2 6" xfId="9800" xr:uid="{00000000-0005-0000-0000-000049260000}"/>
    <cellStyle name="DateTime 6 4 3" xfId="9801" xr:uid="{00000000-0005-0000-0000-00004A260000}"/>
    <cellStyle name="DateTime 6 4 3 2" xfId="9802" xr:uid="{00000000-0005-0000-0000-00004B260000}"/>
    <cellStyle name="DateTime 6 4 3 3" xfId="9803" xr:uid="{00000000-0005-0000-0000-00004C260000}"/>
    <cellStyle name="DateTime 6 4 4" xfId="9804" xr:uid="{00000000-0005-0000-0000-00004D260000}"/>
    <cellStyle name="DateTime 6 4 4 2" xfId="9805" xr:uid="{00000000-0005-0000-0000-00004E260000}"/>
    <cellStyle name="DateTime 6 4 4 3" xfId="9806" xr:uid="{00000000-0005-0000-0000-00004F260000}"/>
    <cellStyle name="DateTime 6 4 5" xfId="9807" xr:uid="{00000000-0005-0000-0000-000050260000}"/>
    <cellStyle name="DateTime 6 4 5 2" xfId="9808" xr:uid="{00000000-0005-0000-0000-000051260000}"/>
    <cellStyle name="DateTime 6 4 5 3" xfId="9809" xr:uid="{00000000-0005-0000-0000-000052260000}"/>
    <cellStyle name="DateTime 6 4 6" xfId="9810" xr:uid="{00000000-0005-0000-0000-000053260000}"/>
    <cellStyle name="DateTime 6 4 7" xfId="9811" xr:uid="{00000000-0005-0000-0000-000054260000}"/>
    <cellStyle name="DateTime 6 4 8" xfId="9812" xr:uid="{00000000-0005-0000-0000-000055260000}"/>
    <cellStyle name="DateTime 6 5" xfId="9813" xr:uid="{00000000-0005-0000-0000-000056260000}"/>
    <cellStyle name="DateTime 6 5 2" xfId="9814" xr:uid="{00000000-0005-0000-0000-000057260000}"/>
    <cellStyle name="DateTime 6 5 2 2" xfId="9815" xr:uid="{00000000-0005-0000-0000-000058260000}"/>
    <cellStyle name="DateTime 6 5 2 2 2" xfId="9816" xr:uid="{00000000-0005-0000-0000-000059260000}"/>
    <cellStyle name="DateTime 6 5 2 2 3" xfId="9817" xr:uid="{00000000-0005-0000-0000-00005A260000}"/>
    <cellStyle name="DateTime 6 5 2 3" xfId="9818" xr:uid="{00000000-0005-0000-0000-00005B260000}"/>
    <cellStyle name="DateTime 6 5 2 3 2" xfId="9819" xr:uid="{00000000-0005-0000-0000-00005C260000}"/>
    <cellStyle name="DateTime 6 5 2 3 3" xfId="9820" xr:uid="{00000000-0005-0000-0000-00005D260000}"/>
    <cellStyle name="DateTime 6 5 2 4" xfId="9821" xr:uid="{00000000-0005-0000-0000-00005E260000}"/>
    <cellStyle name="DateTime 6 5 2 5" xfId="9822" xr:uid="{00000000-0005-0000-0000-00005F260000}"/>
    <cellStyle name="DateTime 6 5 2 6" xfId="9823" xr:uid="{00000000-0005-0000-0000-000060260000}"/>
    <cellStyle name="DateTime 6 5 3" xfId="9824" xr:uid="{00000000-0005-0000-0000-000061260000}"/>
    <cellStyle name="DateTime 6 5 3 2" xfId="9825" xr:uid="{00000000-0005-0000-0000-000062260000}"/>
    <cellStyle name="DateTime 6 5 3 3" xfId="9826" xr:uid="{00000000-0005-0000-0000-000063260000}"/>
    <cellStyle name="DateTime 6 5 4" xfId="9827" xr:uid="{00000000-0005-0000-0000-000064260000}"/>
    <cellStyle name="DateTime 6 5 4 2" xfId="9828" xr:uid="{00000000-0005-0000-0000-000065260000}"/>
    <cellStyle name="DateTime 6 5 4 3" xfId="9829" xr:uid="{00000000-0005-0000-0000-000066260000}"/>
    <cellStyle name="DateTime 6 5 5" xfId="9830" xr:uid="{00000000-0005-0000-0000-000067260000}"/>
    <cellStyle name="DateTime 6 5 5 2" xfId="9831" xr:uid="{00000000-0005-0000-0000-000068260000}"/>
    <cellStyle name="DateTime 6 5 5 3" xfId="9832" xr:uid="{00000000-0005-0000-0000-000069260000}"/>
    <cellStyle name="DateTime 6 5 6" xfId="9833" xr:uid="{00000000-0005-0000-0000-00006A260000}"/>
    <cellStyle name="DateTime 6 5 7" xfId="9834" xr:uid="{00000000-0005-0000-0000-00006B260000}"/>
    <cellStyle name="DateTime 6 5 8" xfId="9835" xr:uid="{00000000-0005-0000-0000-00006C260000}"/>
    <cellStyle name="DateTime 6 6" xfId="9836" xr:uid="{00000000-0005-0000-0000-00006D260000}"/>
    <cellStyle name="DateTime 6 6 2" xfId="9837" xr:uid="{00000000-0005-0000-0000-00006E260000}"/>
    <cellStyle name="DateTime 6 6 2 2" xfId="9838" xr:uid="{00000000-0005-0000-0000-00006F260000}"/>
    <cellStyle name="DateTime 6 6 2 3" xfId="9839" xr:uid="{00000000-0005-0000-0000-000070260000}"/>
    <cellStyle name="DateTime 6 6 3" xfId="9840" xr:uid="{00000000-0005-0000-0000-000071260000}"/>
    <cellStyle name="DateTime 6 6 3 2" xfId="9841" xr:uid="{00000000-0005-0000-0000-000072260000}"/>
    <cellStyle name="DateTime 6 6 3 3" xfId="9842" xr:uid="{00000000-0005-0000-0000-000073260000}"/>
    <cellStyle name="DateTime 6 6 4" xfId="9843" xr:uid="{00000000-0005-0000-0000-000074260000}"/>
    <cellStyle name="DateTime 6 6 5" xfId="9844" xr:uid="{00000000-0005-0000-0000-000075260000}"/>
    <cellStyle name="DateTime 6 6 6" xfId="9845" xr:uid="{00000000-0005-0000-0000-000076260000}"/>
    <cellStyle name="DateTime 6 7" xfId="9846" xr:uid="{00000000-0005-0000-0000-000077260000}"/>
    <cellStyle name="DateTime 6 7 2" xfId="9847" xr:uid="{00000000-0005-0000-0000-000078260000}"/>
    <cellStyle name="DateTime 6 7 3" xfId="9848" xr:uid="{00000000-0005-0000-0000-000079260000}"/>
    <cellStyle name="DateTime 6 8" xfId="9849" xr:uid="{00000000-0005-0000-0000-00007A260000}"/>
    <cellStyle name="DateTime 6 8 2" xfId="9850" xr:uid="{00000000-0005-0000-0000-00007B260000}"/>
    <cellStyle name="DateTime 6 8 3" xfId="9851" xr:uid="{00000000-0005-0000-0000-00007C260000}"/>
    <cellStyle name="DateTime 6 9" xfId="9852" xr:uid="{00000000-0005-0000-0000-00007D260000}"/>
    <cellStyle name="DateTime 6 9 2" xfId="9853" xr:uid="{00000000-0005-0000-0000-00007E260000}"/>
    <cellStyle name="DateTime 6 9 3" xfId="9854" xr:uid="{00000000-0005-0000-0000-00007F260000}"/>
    <cellStyle name="DateTime 7" xfId="9855" xr:uid="{00000000-0005-0000-0000-000080260000}"/>
    <cellStyle name="DateTime 7 10" xfId="9856" xr:uid="{00000000-0005-0000-0000-000081260000}"/>
    <cellStyle name="DateTime 7 11" xfId="9857" xr:uid="{00000000-0005-0000-0000-000082260000}"/>
    <cellStyle name="DateTime 7 12" xfId="9858" xr:uid="{00000000-0005-0000-0000-000083260000}"/>
    <cellStyle name="DateTime 7 2" xfId="9859" xr:uid="{00000000-0005-0000-0000-000084260000}"/>
    <cellStyle name="DateTime 7 2 10" xfId="9860" xr:uid="{00000000-0005-0000-0000-000085260000}"/>
    <cellStyle name="DateTime 7 2 2" xfId="9861" xr:uid="{00000000-0005-0000-0000-000086260000}"/>
    <cellStyle name="DateTime 7 2 2 2" xfId="9862" xr:uid="{00000000-0005-0000-0000-000087260000}"/>
    <cellStyle name="DateTime 7 2 2 2 2" xfId="9863" xr:uid="{00000000-0005-0000-0000-000088260000}"/>
    <cellStyle name="DateTime 7 2 2 2 2 2" xfId="9864" xr:uid="{00000000-0005-0000-0000-000089260000}"/>
    <cellStyle name="DateTime 7 2 2 2 2 3" xfId="9865" xr:uid="{00000000-0005-0000-0000-00008A260000}"/>
    <cellStyle name="DateTime 7 2 2 2 3" xfId="9866" xr:uid="{00000000-0005-0000-0000-00008B260000}"/>
    <cellStyle name="DateTime 7 2 2 2 3 2" xfId="9867" xr:uid="{00000000-0005-0000-0000-00008C260000}"/>
    <cellStyle name="DateTime 7 2 2 2 3 3" xfId="9868" xr:uid="{00000000-0005-0000-0000-00008D260000}"/>
    <cellStyle name="DateTime 7 2 2 2 4" xfId="9869" xr:uid="{00000000-0005-0000-0000-00008E260000}"/>
    <cellStyle name="DateTime 7 2 2 2 5" xfId="9870" xr:uid="{00000000-0005-0000-0000-00008F260000}"/>
    <cellStyle name="DateTime 7 2 2 2 6" xfId="9871" xr:uid="{00000000-0005-0000-0000-000090260000}"/>
    <cellStyle name="DateTime 7 2 2 3" xfId="9872" xr:uid="{00000000-0005-0000-0000-000091260000}"/>
    <cellStyle name="DateTime 7 2 2 3 2" xfId="9873" xr:uid="{00000000-0005-0000-0000-000092260000}"/>
    <cellStyle name="DateTime 7 2 2 3 3" xfId="9874" xr:uid="{00000000-0005-0000-0000-000093260000}"/>
    <cellStyle name="DateTime 7 2 2 4" xfId="9875" xr:uid="{00000000-0005-0000-0000-000094260000}"/>
    <cellStyle name="DateTime 7 2 2 4 2" xfId="9876" xr:uid="{00000000-0005-0000-0000-000095260000}"/>
    <cellStyle name="DateTime 7 2 2 4 3" xfId="9877" xr:uid="{00000000-0005-0000-0000-000096260000}"/>
    <cellStyle name="DateTime 7 2 2 5" xfId="9878" xr:uid="{00000000-0005-0000-0000-000097260000}"/>
    <cellStyle name="DateTime 7 2 2 5 2" xfId="9879" xr:uid="{00000000-0005-0000-0000-000098260000}"/>
    <cellStyle name="DateTime 7 2 2 5 3" xfId="9880" xr:uid="{00000000-0005-0000-0000-000099260000}"/>
    <cellStyle name="DateTime 7 2 2 6" xfId="9881" xr:uid="{00000000-0005-0000-0000-00009A260000}"/>
    <cellStyle name="DateTime 7 2 2 7" xfId="9882" xr:uid="{00000000-0005-0000-0000-00009B260000}"/>
    <cellStyle name="DateTime 7 2 2 8" xfId="9883" xr:uid="{00000000-0005-0000-0000-00009C260000}"/>
    <cellStyle name="DateTime 7 2 3" xfId="9884" xr:uid="{00000000-0005-0000-0000-00009D260000}"/>
    <cellStyle name="DateTime 7 2 3 2" xfId="9885" xr:uid="{00000000-0005-0000-0000-00009E260000}"/>
    <cellStyle name="DateTime 7 2 3 2 2" xfId="9886" xr:uid="{00000000-0005-0000-0000-00009F260000}"/>
    <cellStyle name="DateTime 7 2 3 2 2 2" xfId="9887" xr:uid="{00000000-0005-0000-0000-0000A0260000}"/>
    <cellStyle name="DateTime 7 2 3 2 2 3" xfId="9888" xr:uid="{00000000-0005-0000-0000-0000A1260000}"/>
    <cellStyle name="DateTime 7 2 3 2 3" xfId="9889" xr:uid="{00000000-0005-0000-0000-0000A2260000}"/>
    <cellStyle name="DateTime 7 2 3 2 3 2" xfId="9890" xr:uid="{00000000-0005-0000-0000-0000A3260000}"/>
    <cellStyle name="DateTime 7 2 3 2 3 3" xfId="9891" xr:uid="{00000000-0005-0000-0000-0000A4260000}"/>
    <cellStyle name="DateTime 7 2 3 2 4" xfId="9892" xr:uid="{00000000-0005-0000-0000-0000A5260000}"/>
    <cellStyle name="DateTime 7 2 3 2 5" xfId="9893" xr:uid="{00000000-0005-0000-0000-0000A6260000}"/>
    <cellStyle name="DateTime 7 2 3 2 6" xfId="9894" xr:uid="{00000000-0005-0000-0000-0000A7260000}"/>
    <cellStyle name="DateTime 7 2 3 3" xfId="9895" xr:uid="{00000000-0005-0000-0000-0000A8260000}"/>
    <cellStyle name="DateTime 7 2 3 3 2" xfId="9896" xr:uid="{00000000-0005-0000-0000-0000A9260000}"/>
    <cellStyle name="DateTime 7 2 3 3 3" xfId="9897" xr:uid="{00000000-0005-0000-0000-0000AA260000}"/>
    <cellStyle name="DateTime 7 2 3 4" xfId="9898" xr:uid="{00000000-0005-0000-0000-0000AB260000}"/>
    <cellStyle name="DateTime 7 2 3 4 2" xfId="9899" xr:uid="{00000000-0005-0000-0000-0000AC260000}"/>
    <cellStyle name="DateTime 7 2 3 4 3" xfId="9900" xr:uid="{00000000-0005-0000-0000-0000AD260000}"/>
    <cellStyle name="DateTime 7 2 3 5" xfId="9901" xr:uid="{00000000-0005-0000-0000-0000AE260000}"/>
    <cellStyle name="DateTime 7 2 3 5 2" xfId="9902" xr:uid="{00000000-0005-0000-0000-0000AF260000}"/>
    <cellStyle name="DateTime 7 2 3 5 3" xfId="9903" xr:uid="{00000000-0005-0000-0000-0000B0260000}"/>
    <cellStyle name="DateTime 7 2 3 6" xfId="9904" xr:uid="{00000000-0005-0000-0000-0000B1260000}"/>
    <cellStyle name="DateTime 7 2 3 7" xfId="9905" xr:uid="{00000000-0005-0000-0000-0000B2260000}"/>
    <cellStyle name="DateTime 7 2 3 8" xfId="9906" xr:uid="{00000000-0005-0000-0000-0000B3260000}"/>
    <cellStyle name="DateTime 7 2 4" xfId="9907" xr:uid="{00000000-0005-0000-0000-0000B4260000}"/>
    <cellStyle name="DateTime 7 2 4 2" xfId="9908" xr:uid="{00000000-0005-0000-0000-0000B5260000}"/>
    <cellStyle name="DateTime 7 2 4 2 2" xfId="9909" xr:uid="{00000000-0005-0000-0000-0000B6260000}"/>
    <cellStyle name="DateTime 7 2 4 2 3" xfId="9910" xr:uid="{00000000-0005-0000-0000-0000B7260000}"/>
    <cellStyle name="DateTime 7 2 4 3" xfId="9911" xr:uid="{00000000-0005-0000-0000-0000B8260000}"/>
    <cellStyle name="DateTime 7 2 4 3 2" xfId="9912" xr:uid="{00000000-0005-0000-0000-0000B9260000}"/>
    <cellStyle name="DateTime 7 2 4 3 3" xfId="9913" xr:uid="{00000000-0005-0000-0000-0000BA260000}"/>
    <cellStyle name="DateTime 7 2 4 4" xfId="9914" xr:uid="{00000000-0005-0000-0000-0000BB260000}"/>
    <cellStyle name="DateTime 7 2 4 5" xfId="9915" xr:uid="{00000000-0005-0000-0000-0000BC260000}"/>
    <cellStyle name="DateTime 7 2 4 6" xfId="9916" xr:uid="{00000000-0005-0000-0000-0000BD260000}"/>
    <cellStyle name="DateTime 7 2 5" xfId="9917" xr:uid="{00000000-0005-0000-0000-0000BE260000}"/>
    <cellStyle name="DateTime 7 2 5 2" xfId="9918" xr:uid="{00000000-0005-0000-0000-0000BF260000}"/>
    <cellStyle name="DateTime 7 2 5 3" xfId="9919" xr:uid="{00000000-0005-0000-0000-0000C0260000}"/>
    <cellStyle name="DateTime 7 2 6" xfId="9920" xr:uid="{00000000-0005-0000-0000-0000C1260000}"/>
    <cellStyle name="DateTime 7 2 6 2" xfId="9921" xr:uid="{00000000-0005-0000-0000-0000C2260000}"/>
    <cellStyle name="DateTime 7 2 6 3" xfId="9922" xr:uid="{00000000-0005-0000-0000-0000C3260000}"/>
    <cellStyle name="DateTime 7 2 7" xfId="9923" xr:uid="{00000000-0005-0000-0000-0000C4260000}"/>
    <cellStyle name="DateTime 7 2 7 2" xfId="9924" xr:uid="{00000000-0005-0000-0000-0000C5260000}"/>
    <cellStyle name="DateTime 7 2 7 3" xfId="9925" xr:uid="{00000000-0005-0000-0000-0000C6260000}"/>
    <cellStyle name="DateTime 7 2 8" xfId="9926" xr:uid="{00000000-0005-0000-0000-0000C7260000}"/>
    <cellStyle name="DateTime 7 2 9" xfId="9927" xr:uid="{00000000-0005-0000-0000-0000C8260000}"/>
    <cellStyle name="DateTime 7 3" xfId="9928" xr:uid="{00000000-0005-0000-0000-0000C9260000}"/>
    <cellStyle name="DateTime 7 3 2" xfId="9929" xr:uid="{00000000-0005-0000-0000-0000CA260000}"/>
    <cellStyle name="DateTime 7 3 2 2" xfId="9930" xr:uid="{00000000-0005-0000-0000-0000CB260000}"/>
    <cellStyle name="DateTime 7 3 2 2 2" xfId="9931" xr:uid="{00000000-0005-0000-0000-0000CC260000}"/>
    <cellStyle name="DateTime 7 3 2 2 3" xfId="9932" xr:uid="{00000000-0005-0000-0000-0000CD260000}"/>
    <cellStyle name="DateTime 7 3 2 3" xfId="9933" xr:uid="{00000000-0005-0000-0000-0000CE260000}"/>
    <cellStyle name="DateTime 7 3 2 3 2" xfId="9934" xr:uid="{00000000-0005-0000-0000-0000CF260000}"/>
    <cellStyle name="DateTime 7 3 2 3 3" xfId="9935" xr:uid="{00000000-0005-0000-0000-0000D0260000}"/>
    <cellStyle name="DateTime 7 3 2 4" xfId="9936" xr:uid="{00000000-0005-0000-0000-0000D1260000}"/>
    <cellStyle name="DateTime 7 3 2 5" xfId="9937" xr:uid="{00000000-0005-0000-0000-0000D2260000}"/>
    <cellStyle name="DateTime 7 3 2 6" xfId="9938" xr:uid="{00000000-0005-0000-0000-0000D3260000}"/>
    <cellStyle name="DateTime 7 3 3" xfId="9939" xr:uid="{00000000-0005-0000-0000-0000D4260000}"/>
    <cellStyle name="DateTime 7 3 3 2" xfId="9940" xr:uid="{00000000-0005-0000-0000-0000D5260000}"/>
    <cellStyle name="DateTime 7 3 3 3" xfId="9941" xr:uid="{00000000-0005-0000-0000-0000D6260000}"/>
    <cellStyle name="DateTime 7 3 4" xfId="9942" xr:uid="{00000000-0005-0000-0000-0000D7260000}"/>
    <cellStyle name="DateTime 7 3 4 2" xfId="9943" xr:uid="{00000000-0005-0000-0000-0000D8260000}"/>
    <cellStyle name="DateTime 7 3 4 3" xfId="9944" xr:uid="{00000000-0005-0000-0000-0000D9260000}"/>
    <cellStyle name="DateTime 7 3 5" xfId="9945" xr:uid="{00000000-0005-0000-0000-0000DA260000}"/>
    <cellStyle name="DateTime 7 3 5 2" xfId="9946" xr:uid="{00000000-0005-0000-0000-0000DB260000}"/>
    <cellStyle name="DateTime 7 3 5 3" xfId="9947" xr:uid="{00000000-0005-0000-0000-0000DC260000}"/>
    <cellStyle name="DateTime 7 3 6" xfId="9948" xr:uid="{00000000-0005-0000-0000-0000DD260000}"/>
    <cellStyle name="DateTime 7 3 7" xfId="9949" xr:uid="{00000000-0005-0000-0000-0000DE260000}"/>
    <cellStyle name="DateTime 7 3 8" xfId="9950" xr:uid="{00000000-0005-0000-0000-0000DF260000}"/>
    <cellStyle name="DateTime 7 4" xfId="9951" xr:uid="{00000000-0005-0000-0000-0000E0260000}"/>
    <cellStyle name="DateTime 7 4 2" xfId="9952" xr:uid="{00000000-0005-0000-0000-0000E1260000}"/>
    <cellStyle name="DateTime 7 4 2 2" xfId="9953" xr:uid="{00000000-0005-0000-0000-0000E2260000}"/>
    <cellStyle name="DateTime 7 4 2 2 2" xfId="9954" xr:uid="{00000000-0005-0000-0000-0000E3260000}"/>
    <cellStyle name="DateTime 7 4 2 2 3" xfId="9955" xr:uid="{00000000-0005-0000-0000-0000E4260000}"/>
    <cellStyle name="DateTime 7 4 2 3" xfId="9956" xr:uid="{00000000-0005-0000-0000-0000E5260000}"/>
    <cellStyle name="DateTime 7 4 2 3 2" xfId="9957" xr:uid="{00000000-0005-0000-0000-0000E6260000}"/>
    <cellStyle name="DateTime 7 4 2 3 3" xfId="9958" xr:uid="{00000000-0005-0000-0000-0000E7260000}"/>
    <cellStyle name="DateTime 7 4 2 4" xfId="9959" xr:uid="{00000000-0005-0000-0000-0000E8260000}"/>
    <cellStyle name="DateTime 7 4 2 5" xfId="9960" xr:uid="{00000000-0005-0000-0000-0000E9260000}"/>
    <cellStyle name="DateTime 7 4 2 6" xfId="9961" xr:uid="{00000000-0005-0000-0000-0000EA260000}"/>
    <cellStyle name="DateTime 7 4 3" xfId="9962" xr:uid="{00000000-0005-0000-0000-0000EB260000}"/>
    <cellStyle name="DateTime 7 4 3 2" xfId="9963" xr:uid="{00000000-0005-0000-0000-0000EC260000}"/>
    <cellStyle name="DateTime 7 4 3 3" xfId="9964" xr:uid="{00000000-0005-0000-0000-0000ED260000}"/>
    <cellStyle name="DateTime 7 4 4" xfId="9965" xr:uid="{00000000-0005-0000-0000-0000EE260000}"/>
    <cellStyle name="DateTime 7 4 4 2" xfId="9966" xr:uid="{00000000-0005-0000-0000-0000EF260000}"/>
    <cellStyle name="DateTime 7 4 4 3" xfId="9967" xr:uid="{00000000-0005-0000-0000-0000F0260000}"/>
    <cellStyle name="DateTime 7 4 5" xfId="9968" xr:uid="{00000000-0005-0000-0000-0000F1260000}"/>
    <cellStyle name="DateTime 7 4 5 2" xfId="9969" xr:uid="{00000000-0005-0000-0000-0000F2260000}"/>
    <cellStyle name="DateTime 7 4 5 3" xfId="9970" xr:uid="{00000000-0005-0000-0000-0000F3260000}"/>
    <cellStyle name="DateTime 7 4 6" xfId="9971" xr:uid="{00000000-0005-0000-0000-0000F4260000}"/>
    <cellStyle name="DateTime 7 4 7" xfId="9972" xr:uid="{00000000-0005-0000-0000-0000F5260000}"/>
    <cellStyle name="DateTime 7 4 8" xfId="9973" xr:uid="{00000000-0005-0000-0000-0000F6260000}"/>
    <cellStyle name="DateTime 7 5" xfId="9974" xr:uid="{00000000-0005-0000-0000-0000F7260000}"/>
    <cellStyle name="DateTime 7 5 2" xfId="9975" xr:uid="{00000000-0005-0000-0000-0000F8260000}"/>
    <cellStyle name="DateTime 7 5 2 2" xfId="9976" xr:uid="{00000000-0005-0000-0000-0000F9260000}"/>
    <cellStyle name="DateTime 7 5 2 2 2" xfId="9977" xr:uid="{00000000-0005-0000-0000-0000FA260000}"/>
    <cellStyle name="DateTime 7 5 2 2 3" xfId="9978" xr:uid="{00000000-0005-0000-0000-0000FB260000}"/>
    <cellStyle name="DateTime 7 5 2 3" xfId="9979" xr:uid="{00000000-0005-0000-0000-0000FC260000}"/>
    <cellStyle name="DateTime 7 5 2 3 2" xfId="9980" xr:uid="{00000000-0005-0000-0000-0000FD260000}"/>
    <cellStyle name="DateTime 7 5 2 3 3" xfId="9981" xr:uid="{00000000-0005-0000-0000-0000FE260000}"/>
    <cellStyle name="DateTime 7 5 2 4" xfId="9982" xr:uid="{00000000-0005-0000-0000-0000FF260000}"/>
    <cellStyle name="DateTime 7 5 2 5" xfId="9983" xr:uid="{00000000-0005-0000-0000-000000270000}"/>
    <cellStyle name="DateTime 7 5 2 6" xfId="9984" xr:uid="{00000000-0005-0000-0000-000001270000}"/>
    <cellStyle name="DateTime 7 5 3" xfId="9985" xr:uid="{00000000-0005-0000-0000-000002270000}"/>
    <cellStyle name="DateTime 7 5 3 2" xfId="9986" xr:uid="{00000000-0005-0000-0000-000003270000}"/>
    <cellStyle name="DateTime 7 5 3 3" xfId="9987" xr:uid="{00000000-0005-0000-0000-000004270000}"/>
    <cellStyle name="DateTime 7 5 4" xfId="9988" xr:uid="{00000000-0005-0000-0000-000005270000}"/>
    <cellStyle name="DateTime 7 5 4 2" xfId="9989" xr:uid="{00000000-0005-0000-0000-000006270000}"/>
    <cellStyle name="DateTime 7 5 4 3" xfId="9990" xr:uid="{00000000-0005-0000-0000-000007270000}"/>
    <cellStyle name="DateTime 7 5 5" xfId="9991" xr:uid="{00000000-0005-0000-0000-000008270000}"/>
    <cellStyle name="DateTime 7 5 5 2" xfId="9992" xr:uid="{00000000-0005-0000-0000-000009270000}"/>
    <cellStyle name="DateTime 7 5 5 3" xfId="9993" xr:uid="{00000000-0005-0000-0000-00000A270000}"/>
    <cellStyle name="DateTime 7 5 6" xfId="9994" xr:uid="{00000000-0005-0000-0000-00000B270000}"/>
    <cellStyle name="DateTime 7 5 7" xfId="9995" xr:uid="{00000000-0005-0000-0000-00000C270000}"/>
    <cellStyle name="DateTime 7 5 8" xfId="9996" xr:uid="{00000000-0005-0000-0000-00000D270000}"/>
    <cellStyle name="DateTime 7 6" xfId="9997" xr:uid="{00000000-0005-0000-0000-00000E270000}"/>
    <cellStyle name="DateTime 7 6 2" xfId="9998" xr:uid="{00000000-0005-0000-0000-00000F270000}"/>
    <cellStyle name="DateTime 7 6 2 2" xfId="9999" xr:uid="{00000000-0005-0000-0000-000010270000}"/>
    <cellStyle name="DateTime 7 6 2 3" xfId="10000" xr:uid="{00000000-0005-0000-0000-000011270000}"/>
    <cellStyle name="DateTime 7 6 3" xfId="10001" xr:uid="{00000000-0005-0000-0000-000012270000}"/>
    <cellStyle name="DateTime 7 6 3 2" xfId="10002" xr:uid="{00000000-0005-0000-0000-000013270000}"/>
    <cellStyle name="DateTime 7 6 3 3" xfId="10003" xr:uid="{00000000-0005-0000-0000-000014270000}"/>
    <cellStyle name="DateTime 7 6 4" xfId="10004" xr:uid="{00000000-0005-0000-0000-000015270000}"/>
    <cellStyle name="DateTime 7 6 5" xfId="10005" xr:uid="{00000000-0005-0000-0000-000016270000}"/>
    <cellStyle name="DateTime 7 6 6" xfId="10006" xr:uid="{00000000-0005-0000-0000-000017270000}"/>
    <cellStyle name="DateTime 7 7" xfId="10007" xr:uid="{00000000-0005-0000-0000-000018270000}"/>
    <cellStyle name="DateTime 7 7 2" xfId="10008" xr:uid="{00000000-0005-0000-0000-000019270000}"/>
    <cellStyle name="DateTime 7 7 3" xfId="10009" xr:uid="{00000000-0005-0000-0000-00001A270000}"/>
    <cellStyle name="DateTime 7 8" xfId="10010" xr:uid="{00000000-0005-0000-0000-00001B270000}"/>
    <cellStyle name="DateTime 7 8 2" xfId="10011" xr:uid="{00000000-0005-0000-0000-00001C270000}"/>
    <cellStyle name="DateTime 7 8 3" xfId="10012" xr:uid="{00000000-0005-0000-0000-00001D270000}"/>
    <cellStyle name="DateTime 7 9" xfId="10013" xr:uid="{00000000-0005-0000-0000-00001E270000}"/>
    <cellStyle name="DateTime 7 9 2" xfId="10014" xr:uid="{00000000-0005-0000-0000-00001F270000}"/>
    <cellStyle name="DateTime 7 9 3" xfId="10015" xr:uid="{00000000-0005-0000-0000-000020270000}"/>
    <cellStyle name="DateTime 8" xfId="10016" xr:uid="{00000000-0005-0000-0000-000021270000}"/>
    <cellStyle name="DateTime 8 10" xfId="10017" xr:uid="{00000000-0005-0000-0000-000022270000}"/>
    <cellStyle name="DateTime 8 11" xfId="10018" xr:uid="{00000000-0005-0000-0000-000023270000}"/>
    <cellStyle name="DateTime 8 12" xfId="10019" xr:uid="{00000000-0005-0000-0000-000024270000}"/>
    <cellStyle name="DateTime 8 2" xfId="10020" xr:uid="{00000000-0005-0000-0000-000025270000}"/>
    <cellStyle name="DateTime 8 2 10" xfId="10021" xr:uid="{00000000-0005-0000-0000-000026270000}"/>
    <cellStyle name="DateTime 8 2 2" xfId="10022" xr:uid="{00000000-0005-0000-0000-000027270000}"/>
    <cellStyle name="DateTime 8 2 2 2" xfId="10023" xr:uid="{00000000-0005-0000-0000-000028270000}"/>
    <cellStyle name="DateTime 8 2 2 2 2" xfId="10024" xr:uid="{00000000-0005-0000-0000-000029270000}"/>
    <cellStyle name="DateTime 8 2 2 2 2 2" xfId="10025" xr:uid="{00000000-0005-0000-0000-00002A270000}"/>
    <cellStyle name="DateTime 8 2 2 2 2 3" xfId="10026" xr:uid="{00000000-0005-0000-0000-00002B270000}"/>
    <cellStyle name="DateTime 8 2 2 2 3" xfId="10027" xr:uid="{00000000-0005-0000-0000-00002C270000}"/>
    <cellStyle name="DateTime 8 2 2 2 3 2" xfId="10028" xr:uid="{00000000-0005-0000-0000-00002D270000}"/>
    <cellStyle name="DateTime 8 2 2 2 3 3" xfId="10029" xr:uid="{00000000-0005-0000-0000-00002E270000}"/>
    <cellStyle name="DateTime 8 2 2 2 4" xfId="10030" xr:uid="{00000000-0005-0000-0000-00002F270000}"/>
    <cellStyle name="DateTime 8 2 2 2 5" xfId="10031" xr:uid="{00000000-0005-0000-0000-000030270000}"/>
    <cellStyle name="DateTime 8 2 2 2 6" xfId="10032" xr:uid="{00000000-0005-0000-0000-000031270000}"/>
    <cellStyle name="DateTime 8 2 2 3" xfId="10033" xr:uid="{00000000-0005-0000-0000-000032270000}"/>
    <cellStyle name="DateTime 8 2 2 3 2" xfId="10034" xr:uid="{00000000-0005-0000-0000-000033270000}"/>
    <cellStyle name="DateTime 8 2 2 3 3" xfId="10035" xr:uid="{00000000-0005-0000-0000-000034270000}"/>
    <cellStyle name="DateTime 8 2 2 4" xfId="10036" xr:uid="{00000000-0005-0000-0000-000035270000}"/>
    <cellStyle name="DateTime 8 2 2 4 2" xfId="10037" xr:uid="{00000000-0005-0000-0000-000036270000}"/>
    <cellStyle name="DateTime 8 2 2 4 3" xfId="10038" xr:uid="{00000000-0005-0000-0000-000037270000}"/>
    <cellStyle name="DateTime 8 2 2 5" xfId="10039" xr:uid="{00000000-0005-0000-0000-000038270000}"/>
    <cellStyle name="DateTime 8 2 2 5 2" xfId="10040" xr:uid="{00000000-0005-0000-0000-000039270000}"/>
    <cellStyle name="DateTime 8 2 2 5 3" xfId="10041" xr:uid="{00000000-0005-0000-0000-00003A270000}"/>
    <cellStyle name="DateTime 8 2 2 6" xfId="10042" xr:uid="{00000000-0005-0000-0000-00003B270000}"/>
    <cellStyle name="DateTime 8 2 2 7" xfId="10043" xr:uid="{00000000-0005-0000-0000-00003C270000}"/>
    <cellStyle name="DateTime 8 2 2 8" xfId="10044" xr:uid="{00000000-0005-0000-0000-00003D270000}"/>
    <cellStyle name="DateTime 8 2 3" xfId="10045" xr:uid="{00000000-0005-0000-0000-00003E270000}"/>
    <cellStyle name="DateTime 8 2 3 2" xfId="10046" xr:uid="{00000000-0005-0000-0000-00003F270000}"/>
    <cellStyle name="DateTime 8 2 3 2 2" xfId="10047" xr:uid="{00000000-0005-0000-0000-000040270000}"/>
    <cellStyle name="DateTime 8 2 3 2 2 2" xfId="10048" xr:uid="{00000000-0005-0000-0000-000041270000}"/>
    <cellStyle name="DateTime 8 2 3 2 2 3" xfId="10049" xr:uid="{00000000-0005-0000-0000-000042270000}"/>
    <cellStyle name="DateTime 8 2 3 2 3" xfId="10050" xr:uid="{00000000-0005-0000-0000-000043270000}"/>
    <cellStyle name="DateTime 8 2 3 2 3 2" xfId="10051" xr:uid="{00000000-0005-0000-0000-000044270000}"/>
    <cellStyle name="DateTime 8 2 3 2 3 3" xfId="10052" xr:uid="{00000000-0005-0000-0000-000045270000}"/>
    <cellStyle name="DateTime 8 2 3 2 4" xfId="10053" xr:uid="{00000000-0005-0000-0000-000046270000}"/>
    <cellStyle name="DateTime 8 2 3 2 5" xfId="10054" xr:uid="{00000000-0005-0000-0000-000047270000}"/>
    <cellStyle name="DateTime 8 2 3 2 6" xfId="10055" xr:uid="{00000000-0005-0000-0000-000048270000}"/>
    <cellStyle name="DateTime 8 2 3 3" xfId="10056" xr:uid="{00000000-0005-0000-0000-000049270000}"/>
    <cellStyle name="DateTime 8 2 3 3 2" xfId="10057" xr:uid="{00000000-0005-0000-0000-00004A270000}"/>
    <cellStyle name="DateTime 8 2 3 3 3" xfId="10058" xr:uid="{00000000-0005-0000-0000-00004B270000}"/>
    <cellStyle name="DateTime 8 2 3 4" xfId="10059" xr:uid="{00000000-0005-0000-0000-00004C270000}"/>
    <cellStyle name="DateTime 8 2 3 4 2" xfId="10060" xr:uid="{00000000-0005-0000-0000-00004D270000}"/>
    <cellStyle name="DateTime 8 2 3 4 3" xfId="10061" xr:uid="{00000000-0005-0000-0000-00004E270000}"/>
    <cellStyle name="DateTime 8 2 3 5" xfId="10062" xr:uid="{00000000-0005-0000-0000-00004F270000}"/>
    <cellStyle name="DateTime 8 2 3 5 2" xfId="10063" xr:uid="{00000000-0005-0000-0000-000050270000}"/>
    <cellStyle name="DateTime 8 2 3 5 3" xfId="10064" xr:uid="{00000000-0005-0000-0000-000051270000}"/>
    <cellStyle name="DateTime 8 2 3 6" xfId="10065" xr:uid="{00000000-0005-0000-0000-000052270000}"/>
    <cellStyle name="DateTime 8 2 3 7" xfId="10066" xr:uid="{00000000-0005-0000-0000-000053270000}"/>
    <cellStyle name="DateTime 8 2 3 8" xfId="10067" xr:uid="{00000000-0005-0000-0000-000054270000}"/>
    <cellStyle name="DateTime 8 2 4" xfId="10068" xr:uid="{00000000-0005-0000-0000-000055270000}"/>
    <cellStyle name="DateTime 8 2 4 2" xfId="10069" xr:uid="{00000000-0005-0000-0000-000056270000}"/>
    <cellStyle name="DateTime 8 2 4 2 2" xfId="10070" xr:uid="{00000000-0005-0000-0000-000057270000}"/>
    <cellStyle name="DateTime 8 2 4 2 3" xfId="10071" xr:uid="{00000000-0005-0000-0000-000058270000}"/>
    <cellStyle name="DateTime 8 2 4 3" xfId="10072" xr:uid="{00000000-0005-0000-0000-000059270000}"/>
    <cellStyle name="DateTime 8 2 4 3 2" xfId="10073" xr:uid="{00000000-0005-0000-0000-00005A270000}"/>
    <cellStyle name="DateTime 8 2 4 3 3" xfId="10074" xr:uid="{00000000-0005-0000-0000-00005B270000}"/>
    <cellStyle name="DateTime 8 2 4 4" xfId="10075" xr:uid="{00000000-0005-0000-0000-00005C270000}"/>
    <cellStyle name="DateTime 8 2 4 5" xfId="10076" xr:uid="{00000000-0005-0000-0000-00005D270000}"/>
    <cellStyle name="DateTime 8 2 4 6" xfId="10077" xr:uid="{00000000-0005-0000-0000-00005E270000}"/>
    <cellStyle name="DateTime 8 2 5" xfId="10078" xr:uid="{00000000-0005-0000-0000-00005F270000}"/>
    <cellStyle name="DateTime 8 2 5 2" xfId="10079" xr:uid="{00000000-0005-0000-0000-000060270000}"/>
    <cellStyle name="DateTime 8 2 5 3" xfId="10080" xr:uid="{00000000-0005-0000-0000-000061270000}"/>
    <cellStyle name="DateTime 8 2 6" xfId="10081" xr:uid="{00000000-0005-0000-0000-000062270000}"/>
    <cellStyle name="DateTime 8 2 6 2" xfId="10082" xr:uid="{00000000-0005-0000-0000-000063270000}"/>
    <cellStyle name="DateTime 8 2 6 3" xfId="10083" xr:uid="{00000000-0005-0000-0000-000064270000}"/>
    <cellStyle name="DateTime 8 2 7" xfId="10084" xr:uid="{00000000-0005-0000-0000-000065270000}"/>
    <cellStyle name="DateTime 8 2 7 2" xfId="10085" xr:uid="{00000000-0005-0000-0000-000066270000}"/>
    <cellStyle name="DateTime 8 2 7 3" xfId="10086" xr:uid="{00000000-0005-0000-0000-000067270000}"/>
    <cellStyle name="DateTime 8 2 8" xfId="10087" xr:uid="{00000000-0005-0000-0000-000068270000}"/>
    <cellStyle name="DateTime 8 2 9" xfId="10088" xr:uid="{00000000-0005-0000-0000-000069270000}"/>
    <cellStyle name="DateTime 8 3" xfId="10089" xr:uid="{00000000-0005-0000-0000-00006A270000}"/>
    <cellStyle name="DateTime 8 3 2" xfId="10090" xr:uid="{00000000-0005-0000-0000-00006B270000}"/>
    <cellStyle name="DateTime 8 3 2 2" xfId="10091" xr:uid="{00000000-0005-0000-0000-00006C270000}"/>
    <cellStyle name="DateTime 8 3 2 2 2" xfId="10092" xr:uid="{00000000-0005-0000-0000-00006D270000}"/>
    <cellStyle name="DateTime 8 3 2 2 3" xfId="10093" xr:uid="{00000000-0005-0000-0000-00006E270000}"/>
    <cellStyle name="DateTime 8 3 2 3" xfId="10094" xr:uid="{00000000-0005-0000-0000-00006F270000}"/>
    <cellStyle name="DateTime 8 3 2 3 2" xfId="10095" xr:uid="{00000000-0005-0000-0000-000070270000}"/>
    <cellStyle name="DateTime 8 3 2 3 3" xfId="10096" xr:uid="{00000000-0005-0000-0000-000071270000}"/>
    <cellStyle name="DateTime 8 3 2 4" xfId="10097" xr:uid="{00000000-0005-0000-0000-000072270000}"/>
    <cellStyle name="DateTime 8 3 2 5" xfId="10098" xr:uid="{00000000-0005-0000-0000-000073270000}"/>
    <cellStyle name="DateTime 8 3 2 6" xfId="10099" xr:uid="{00000000-0005-0000-0000-000074270000}"/>
    <cellStyle name="DateTime 8 3 3" xfId="10100" xr:uid="{00000000-0005-0000-0000-000075270000}"/>
    <cellStyle name="DateTime 8 3 3 2" xfId="10101" xr:uid="{00000000-0005-0000-0000-000076270000}"/>
    <cellStyle name="DateTime 8 3 3 3" xfId="10102" xr:uid="{00000000-0005-0000-0000-000077270000}"/>
    <cellStyle name="DateTime 8 3 4" xfId="10103" xr:uid="{00000000-0005-0000-0000-000078270000}"/>
    <cellStyle name="DateTime 8 3 4 2" xfId="10104" xr:uid="{00000000-0005-0000-0000-000079270000}"/>
    <cellStyle name="DateTime 8 3 4 3" xfId="10105" xr:uid="{00000000-0005-0000-0000-00007A270000}"/>
    <cellStyle name="DateTime 8 3 5" xfId="10106" xr:uid="{00000000-0005-0000-0000-00007B270000}"/>
    <cellStyle name="DateTime 8 3 5 2" xfId="10107" xr:uid="{00000000-0005-0000-0000-00007C270000}"/>
    <cellStyle name="DateTime 8 3 5 3" xfId="10108" xr:uid="{00000000-0005-0000-0000-00007D270000}"/>
    <cellStyle name="DateTime 8 3 6" xfId="10109" xr:uid="{00000000-0005-0000-0000-00007E270000}"/>
    <cellStyle name="DateTime 8 3 7" xfId="10110" xr:uid="{00000000-0005-0000-0000-00007F270000}"/>
    <cellStyle name="DateTime 8 3 8" xfId="10111" xr:uid="{00000000-0005-0000-0000-000080270000}"/>
    <cellStyle name="DateTime 8 4" xfId="10112" xr:uid="{00000000-0005-0000-0000-000081270000}"/>
    <cellStyle name="DateTime 8 4 2" xfId="10113" xr:uid="{00000000-0005-0000-0000-000082270000}"/>
    <cellStyle name="DateTime 8 4 2 2" xfId="10114" xr:uid="{00000000-0005-0000-0000-000083270000}"/>
    <cellStyle name="DateTime 8 4 2 2 2" xfId="10115" xr:uid="{00000000-0005-0000-0000-000084270000}"/>
    <cellStyle name="DateTime 8 4 2 2 3" xfId="10116" xr:uid="{00000000-0005-0000-0000-000085270000}"/>
    <cellStyle name="DateTime 8 4 2 3" xfId="10117" xr:uid="{00000000-0005-0000-0000-000086270000}"/>
    <cellStyle name="DateTime 8 4 2 3 2" xfId="10118" xr:uid="{00000000-0005-0000-0000-000087270000}"/>
    <cellStyle name="DateTime 8 4 2 3 3" xfId="10119" xr:uid="{00000000-0005-0000-0000-000088270000}"/>
    <cellStyle name="DateTime 8 4 2 4" xfId="10120" xr:uid="{00000000-0005-0000-0000-000089270000}"/>
    <cellStyle name="DateTime 8 4 2 5" xfId="10121" xr:uid="{00000000-0005-0000-0000-00008A270000}"/>
    <cellStyle name="DateTime 8 4 2 6" xfId="10122" xr:uid="{00000000-0005-0000-0000-00008B270000}"/>
    <cellStyle name="DateTime 8 4 3" xfId="10123" xr:uid="{00000000-0005-0000-0000-00008C270000}"/>
    <cellStyle name="DateTime 8 4 3 2" xfId="10124" xr:uid="{00000000-0005-0000-0000-00008D270000}"/>
    <cellStyle name="DateTime 8 4 3 3" xfId="10125" xr:uid="{00000000-0005-0000-0000-00008E270000}"/>
    <cellStyle name="DateTime 8 4 4" xfId="10126" xr:uid="{00000000-0005-0000-0000-00008F270000}"/>
    <cellStyle name="DateTime 8 4 4 2" xfId="10127" xr:uid="{00000000-0005-0000-0000-000090270000}"/>
    <cellStyle name="DateTime 8 4 4 3" xfId="10128" xr:uid="{00000000-0005-0000-0000-000091270000}"/>
    <cellStyle name="DateTime 8 4 5" xfId="10129" xr:uid="{00000000-0005-0000-0000-000092270000}"/>
    <cellStyle name="DateTime 8 4 5 2" xfId="10130" xr:uid="{00000000-0005-0000-0000-000093270000}"/>
    <cellStyle name="DateTime 8 4 5 3" xfId="10131" xr:uid="{00000000-0005-0000-0000-000094270000}"/>
    <cellStyle name="DateTime 8 4 6" xfId="10132" xr:uid="{00000000-0005-0000-0000-000095270000}"/>
    <cellStyle name="DateTime 8 4 7" xfId="10133" xr:uid="{00000000-0005-0000-0000-000096270000}"/>
    <cellStyle name="DateTime 8 4 8" xfId="10134" xr:uid="{00000000-0005-0000-0000-000097270000}"/>
    <cellStyle name="DateTime 8 5" xfId="10135" xr:uid="{00000000-0005-0000-0000-000098270000}"/>
    <cellStyle name="DateTime 8 5 2" xfId="10136" xr:uid="{00000000-0005-0000-0000-000099270000}"/>
    <cellStyle name="DateTime 8 5 2 2" xfId="10137" xr:uid="{00000000-0005-0000-0000-00009A270000}"/>
    <cellStyle name="DateTime 8 5 2 2 2" xfId="10138" xr:uid="{00000000-0005-0000-0000-00009B270000}"/>
    <cellStyle name="DateTime 8 5 2 2 3" xfId="10139" xr:uid="{00000000-0005-0000-0000-00009C270000}"/>
    <cellStyle name="DateTime 8 5 2 3" xfId="10140" xr:uid="{00000000-0005-0000-0000-00009D270000}"/>
    <cellStyle name="DateTime 8 5 2 3 2" xfId="10141" xr:uid="{00000000-0005-0000-0000-00009E270000}"/>
    <cellStyle name="DateTime 8 5 2 3 3" xfId="10142" xr:uid="{00000000-0005-0000-0000-00009F270000}"/>
    <cellStyle name="DateTime 8 5 2 4" xfId="10143" xr:uid="{00000000-0005-0000-0000-0000A0270000}"/>
    <cellStyle name="DateTime 8 5 2 5" xfId="10144" xr:uid="{00000000-0005-0000-0000-0000A1270000}"/>
    <cellStyle name="DateTime 8 5 2 6" xfId="10145" xr:uid="{00000000-0005-0000-0000-0000A2270000}"/>
    <cellStyle name="DateTime 8 5 3" xfId="10146" xr:uid="{00000000-0005-0000-0000-0000A3270000}"/>
    <cellStyle name="DateTime 8 5 3 2" xfId="10147" xr:uid="{00000000-0005-0000-0000-0000A4270000}"/>
    <cellStyle name="DateTime 8 5 3 3" xfId="10148" xr:uid="{00000000-0005-0000-0000-0000A5270000}"/>
    <cellStyle name="DateTime 8 5 4" xfId="10149" xr:uid="{00000000-0005-0000-0000-0000A6270000}"/>
    <cellStyle name="DateTime 8 5 4 2" xfId="10150" xr:uid="{00000000-0005-0000-0000-0000A7270000}"/>
    <cellStyle name="DateTime 8 5 4 3" xfId="10151" xr:uid="{00000000-0005-0000-0000-0000A8270000}"/>
    <cellStyle name="DateTime 8 5 5" xfId="10152" xr:uid="{00000000-0005-0000-0000-0000A9270000}"/>
    <cellStyle name="DateTime 8 5 5 2" xfId="10153" xr:uid="{00000000-0005-0000-0000-0000AA270000}"/>
    <cellStyle name="DateTime 8 5 5 3" xfId="10154" xr:uid="{00000000-0005-0000-0000-0000AB270000}"/>
    <cellStyle name="DateTime 8 5 6" xfId="10155" xr:uid="{00000000-0005-0000-0000-0000AC270000}"/>
    <cellStyle name="DateTime 8 5 7" xfId="10156" xr:uid="{00000000-0005-0000-0000-0000AD270000}"/>
    <cellStyle name="DateTime 8 5 8" xfId="10157" xr:uid="{00000000-0005-0000-0000-0000AE270000}"/>
    <cellStyle name="DateTime 8 6" xfId="10158" xr:uid="{00000000-0005-0000-0000-0000AF270000}"/>
    <cellStyle name="DateTime 8 6 2" xfId="10159" xr:uid="{00000000-0005-0000-0000-0000B0270000}"/>
    <cellStyle name="DateTime 8 6 2 2" xfId="10160" xr:uid="{00000000-0005-0000-0000-0000B1270000}"/>
    <cellStyle name="DateTime 8 6 2 3" xfId="10161" xr:uid="{00000000-0005-0000-0000-0000B2270000}"/>
    <cellStyle name="DateTime 8 6 3" xfId="10162" xr:uid="{00000000-0005-0000-0000-0000B3270000}"/>
    <cellStyle name="DateTime 8 6 3 2" xfId="10163" xr:uid="{00000000-0005-0000-0000-0000B4270000}"/>
    <cellStyle name="DateTime 8 6 3 3" xfId="10164" xr:uid="{00000000-0005-0000-0000-0000B5270000}"/>
    <cellStyle name="DateTime 8 6 4" xfId="10165" xr:uid="{00000000-0005-0000-0000-0000B6270000}"/>
    <cellStyle name="DateTime 8 6 5" xfId="10166" xr:uid="{00000000-0005-0000-0000-0000B7270000}"/>
    <cellStyle name="DateTime 8 6 6" xfId="10167" xr:uid="{00000000-0005-0000-0000-0000B8270000}"/>
    <cellStyle name="DateTime 8 7" xfId="10168" xr:uid="{00000000-0005-0000-0000-0000B9270000}"/>
    <cellStyle name="DateTime 8 7 2" xfId="10169" xr:uid="{00000000-0005-0000-0000-0000BA270000}"/>
    <cellStyle name="DateTime 8 7 3" xfId="10170" xr:uid="{00000000-0005-0000-0000-0000BB270000}"/>
    <cellStyle name="DateTime 8 8" xfId="10171" xr:uid="{00000000-0005-0000-0000-0000BC270000}"/>
    <cellStyle name="DateTime 8 8 2" xfId="10172" xr:uid="{00000000-0005-0000-0000-0000BD270000}"/>
    <cellStyle name="DateTime 8 8 3" xfId="10173" xr:uid="{00000000-0005-0000-0000-0000BE270000}"/>
    <cellStyle name="DateTime 8 9" xfId="10174" xr:uid="{00000000-0005-0000-0000-0000BF270000}"/>
    <cellStyle name="DateTime 8 9 2" xfId="10175" xr:uid="{00000000-0005-0000-0000-0000C0270000}"/>
    <cellStyle name="DateTime 8 9 3" xfId="10176" xr:uid="{00000000-0005-0000-0000-0000C1270000}"/>
    <cellStyle name="DateTime 9" xfId="10177" xr:uid="{00000000-0005-0000-0000-0000C2270000}"/>
    <cellStyle name="DateTime 9 10" xfId="10178" xr:uid="{00000000-0005-0000-0000-0000C3270000}"/>
    <cellStyle name="DateTime 9 11" xfId="10179" xr:uid="{00000000-0005-0000-0000-0000C4270000}"/>
    <cellStyle name="DateTime 9 12" xfId="10180" xr:uid="{00000000-0005-0000-0000-0000C5270000}"/>
    <cellStyle name="DateTime 9 2" xfId="10181" xr:uid="{00000000-0005-0000-0000-0000C6270000}"/>
    <cellStyle name="DateTime 9 2 10" xfId="10182" xr:uid="{00000000-0005-0000-0000-0000C7270000}"/>
    <cellStyle name="DateTime 9 2 2" xfId="10183" xr:uid="{00000000-0005-0000-0000-0000C8270000}"/>
    <cellStyle name="DateTime 9 2 2 2" xfId="10184" xr:uid="{00000000-0005-0000-0000-0000C9270000}"/>
    <cellStyle name="DateTime 9 2 2 2 2" xfId="10185" xr:uid="{00000000-0005-0000-0000-0000CA270000}"/>
    <cellStyle name="DateTime 9 2 2 2 2 2" xfId="10186" xr:uid="{00000000-0005-0000-0000-0000CB270000}"/>
    <cellStyle name="DateTime 9 2 2 2 2 3" xfId="10187" xr:uid="{00000000-0005-0000-0000-0000CC270000}"/>
    <cellStyle name="DateTime 9 2 2 2 3" xfId="10188" xr:uid="{00000000-0005-0000-0000-0000CD270000}"/>
    <cellStyle name="DateTime 9 2 2 2 3 2" xfId="10189" xr:uid="{00000000-0005-0000-0000-0000CE270000}"/>
    <cellStyle name="DateTime 9 2 2 2 3 3" xfId="10190" xr:uid="{00000000-0005-0000-0000-0000CF270000}"/>
    <cellStyle name="DateTime 9 2 2 2 4" xfId="10191" xr:uid="{00000000-0005-0000-0000-0000D0270000}"/>
    <cellStyle name="DateTime 9 2 2 2 5" xfId="10192" xr:uid="{00000000-0005-0000-0000-0000D1270000}"/>
    <cellStyle name="DateTime 9 2 2 2 6" xfId="10193" xr:uid="{00000000-0005-0000-0000-0000D2270000}"/>
    <cellStyle name="DateTime 9 2 2 3" xfId="10194" xr:uid="{00000000-0005-0000-0000-0000D3270000}"/>
    <cellStyle name="DateTime 9 2 2 3 2" xfId="10195" xr:uid="{00000000-0005-0000-0000-0000D4270000}"/>
    <cellStyle name="DateTime 9 2 2 3 3" xfId="10196" xr:uid="{00000000-0005-0000-0000-0000D5270000}"/>
    <cellStyle name="DateTime 9 2 2 4" xfId="10197" xr:uid="{00000000-0005-0000-0000-0000D6270000}"/>
    <cellStyle name="DateTime 9 2 2 4 2" xfId="10198" xr:uid="{00000000-0005-0000-0000-0000D7270000}"/>
    <cellStyle name="DateTime 9 2 2 4 3" xfId="10199" xr:uid="{00000000-0005-0000-0000-0000D8270000}"/>
    <cellStyle name="DateTime 9 2 2 5" xfId="10200" xr:uid="{00000000-0005-0000-0000-0000D9270000}"/>
    <cellStyle name="DateTime 9 2 2 5 2" xfId="10201" xr:uid="{00000000-0005-0000-0000-0000DA270000}"/>
    <cellStyle name="DateTime 9 2 2 5 3" xfId="10202" xr:uid="{00000000-0005-0000-0000-0000DB270000}"/>
    <cellStyle name="DateTime 9 2 2 6" xfId="10203" xr:uid="{00000000-0005-0000-0000-0000DC270000}"/>
    <cellStyle name="DateTime 9 2 2 7" xfId="10204" xr:uid="{00000000-0005-0000-0000-0000DD270000}"/>
    <cellStyle name="DateTime 9 2 2 8" xfId="10205" xr:uid="{00000000-0005-0000-0000-0000DE270000}"/>
    <cellStyle name="DateTime 9 2 3" xfId="10206" xr:uid="{00000000-0005-0000-0000-0000DF270000}"/>
    <cellStyle name="DateTime 9 2 3 2" xfId="10207" xr:uid="{00000000-0005-0000-0000-0000E0270000}"/>
    <cellStyle name="DateTime 9 2 3 2 2" xfId="10208" xr:uid="{00000000-0005-0000-0000-0000E1270000}"/>
    <cellStyle name="DateTime 9 2 3 2 2 2" xfId="10209" xr:uid="{00000000-0005-0000-0000-0000E2270000}"/>
    <cellStyle name="DateTime 9 2 3 2 2 3" xfId="10210" xr:uid="{00000000-0005-0000-0000-0000E3270000}"/>
    <cellStyle name="DateTime 9 2 3 2 3" xfId="10211" xr:uid="{00000000-0005-0000-0000-0000E4270000}"/>
    <cellStyle name="DateTime 9 2 3 2 3 2" xfId="10212" xr:uid="{00000000-0005-0000-0000-0000E5270000}"/>
    <cellStyle name="DateTime 9 2 3 2 3 3" xfId="10213" xr:uid="{00000000-0005-0000-0000-0000E6270000}"/>
    <cellStyle name="DateTime 9 2 3 2 4" xfId="10214" xr:uid="{00000000-0005-0000-0000-0000E7270000}"/>
    <cellStyle name="DateTime 9 2 3 2 5" xfId="10215" xr:uid="{00000000-0005-0000-0000-0000E8270000}"/>
    <cellStyle name="DateTime 9 2 3 2 6" xfId="10216" xr:uid="{00000000-0005-0000-0000-0000E9270000}"/>
    <cellStyle name="DateTime 9 2 3 3" xfId="10217" xr:uid="{00000000-0005-0000-0000-0000EA270000}"/>
    <cellStyle name="DateTime 9 2 3 3 2" xfId="10218" xr:uid="{00000000-0005-0000-0000-0000EB270000}"/>
    <cellStyle name="DateTime 9 2 3 3 3" xfId="10219" xr:uid="{00000000-0005-0000-0000-0000EC270000}"/>
    <cellStyle name="DateTime 9 2 3 4" xfId="10220" xr:uid="{00000000-0005-0000-0000-0000ED270000}"/>
    <cellStyle name="DateTime 9 2 3 4 2" xfId="10221" xr:uid="{00000000-0005-0000-0000-0000EE270000}"/>
    <cellStyle name="DateTime 9 2 3 4 3" xfId="10222" xr:uid="{00000000-0005-0000-0000-0000EF270000}"/>
    <cellStyle name="DateTime 9 2 3 5" xfId="10223" xr:uid="{00000000-0005-0000-0000-0000F0270000}"/>
    <cellStyle name="DateTime 9 2 3 5 2" xfId="10224" xr:uid="{00000000-0005-0000-0000-0000F1270000}"/>
    <cellStyle name="DateTime 9 2 3 5 3" xfId="10225" xr:uid="{00000000-0005-0000-0000-0000F2270000}"/>
    <cellStyle name="DateTime 9 2 3 6" xfId="10226" xr:uid="{00000000-0005-0000-0000-0000F3270000}"/>
    <cellStyle name="DateTime 9 2 3 7" xfId="10227" xr:uid="{00000000-0005-0000-0000-0000F4270000}"/>
    <cellStyle name="DateTime 9 2 3 8" xfId="10228" xr:uid="{00000000-0005-0000-0000-0000F5270000}"/>
    <cellStyle name="DateTime 9 2 4" xfId="10229" xr:uid="{00000000-0005-0000-0000-0000F6270000}"/>
    <cellStyle name="DateTime 9 2 4 2" xfId="10230" xr:uid="{00000000-0005-0000-0000-0000F7270000}"/>
    <cellStyle name="DateTime 9 2 4 2 2" xfId="10231" xr:uid="{00000000-0005-0000-0000-0000F8270000}"/>
    <cellStyle name="DateTime 9 2 4 2 3" xfId="10232" xr:uid="{00000000-0005-0000-0000-0000F9270000}"/>
    <cellStyle name="DateTime 9 2 4 3" xfId="10233" xr:uid="{00000000-0005-0000-0000-0000FA270000}"/>
    <cellStyle name="DateTime 9 2 4 3 2" xfId="10234" xr:uid="{00000000-0005-0000-0000-0000FB270000}"/>
    <cellStyle name="DateTime 9 2 4 3 3" xfId="10235" xr:uid="{00000000-0005-0000-0000-0000FC270000}"/>
    <cellStyle name="DateTime 9 2 4 4" xfId="10236" xr:uid="{00000000-0005-0000-0000-0000FD270000}"/>
    <cellStyle name="DateTime 9 2 4 5" xfId="10237" xr:uid="{00000000-0005-0000-0000-0000FE270000}"/>
    <cellStyle name="DateTime 9 2 4 6" xfId="10238" xr:uid="{00000000-0005-0000-0000-0000FF270000}"/>
    <cellStyle name="DateTime 9 2 5" xfId="10239" xr:uid="{00000000-0005-0000-0000-000000280000}"/>
    <cellStyle name="DateTime 9 2 5 2" xfId="10240" xr:uid="{00000000-0005-0000-0000-000001280000}"/>
    <cellStyle name="DateTime 9 2 5 3" xfId="10241" xr:uid="{00000000-0005-0000-0000-000002280000}"/>
    <cellStyle name="DateTime 9 2 6" xfId="10242" xr:uid="{00000000-0005-0000-0000-000003280000}"/>
    <cellStyle name="DateTime 9 2 6 2" xfId="10243" xr:uid="{00000000-0005-0000-0000-000004280000}"/>
    <cellStyle name="DateTime 9 2 6 3" xfId="10244" xr:uid="{00000000-0005-0000-0000-000005280000}"/>
    <cellStyle name="DateTime 9 2 7" xfId="10245" xr:uid="{00000000-0005-0000-0000-000006280000}"/>
    <cellStyle name="DateTime 9 2 7 2" xfId="10246" xr:uid="{00000000-0005-0000-0000-000007280000}"/>
    <cellStyle name="DateTime 9 2 7 3" xfId="10247" xr:uid="{00000000-0005-0000-0000-000008280000}"/>
    <cellStyle name="DateTime 9 2 8" xfId="10248" xr:uid="{00000000-0005-0000-0000-000009280000}"/>
    <cellStyle name="DateTime 9 2 9" xfId="10249" xr:uid="{00000000-0005-0000-0000-00000A280000}"/>
    <cellStyle name="DateTime 9 3" xfId="10250" xr:uid="{00000000-0005-0000-0000-00000B280000}"/>
    <cellStyle name="DateTime 9 3 2" xfId="10251" xr:uid="{00000000-0005-0000-0000-00000C280000}"/>
    <cellStyle name="DateTime 9 3 2 2" xfId="10252" xr:uid="{00000000-0005-0000-0000-00000D280000}"/>
    <cellStyle name="DateTime 9 3 2 2 2" xfId="10253" xr:uid="{00000000-0005-0000-0000-00000E280000}"/>
    <cellStyle name="DateTime 9 3 2 2 3" xfId="10254" xr:uid="{00000000-0005-0000-0000-00000F280000}"/>
    <cellStyle name="DateTime 9 3 2 3" xfId="10255" xr:uid="{00000000-0005-0000-0000-000010280000}"/>
    <cellStyle name="DateTime 9 3 2 3 2" xfId="10256" xr:uid="{00000000-0005-0000-0000-000011280000}"/>
    <cellStyle name="DateTime 9 3 2 3 3" xfId="10257" xr:uid="{00000000-0005-0000-0000-000012280000}"/>
    <cellStyle name="DateTime 9 3 2 4" xfId="10258" xr:uid="{00000000-0005-0000-0000-000013280000}"/>
    <cellStyle name="DateTime 9 3 2 5" xfId="10259" xr:uid="{00000000-0005-0000-0000-000014280000}"/>
    <cellStyle name="DateTime 9 3 2 6" xfId="10260" xr:uid="{00000000-0005-0000-0000-000015280000}"/>
    <cellStyle name="DateTime 9 3 3" xfId="10261" xr:uid="{00000000-0005-0000-0000-000016280000}"/>
    <cellStyle name="DateTime 9 3 3 2" xfId="10262" xr:uid="{00000000-0005-0000-0000-000017280000}"/>
    <cellStyle name="DateTime 9 3 3 3" xfId="10263" xr:uid="{00000000-0005-0000-0000-000018280000}"/>
    <cellStyle name="DateTime 9 3 4" xfId="10264" xr:uid="{00000000-0005-0000-0000-000019280000}"/>
    <cellStyle name="DateTime 9 3 4 2" xfId="10265" xr:uid="{00000000-0005-0000-0000-00001A280000}"/>
    <cellStyle name="DateTime 9 3 4 3" xfId="10266" xr:uid="{00000000-0005-0000-0000-00001B280000}"/>
    <cellStyle name="DateTime 9 3 5" xfId="10267" xr:uid="{00000000-0005-0000-0000-00001C280000}"/>
    <cellStyle name="DateTime 9 3 5 2" xfId="10268" xr:uid="{00000000-0005-0000-0000-00001D280000}"/>
    <cellStyle name="DateTime 9 3 5 3" xfId="10269" xr:uid="{00000000-0005-0000-0000-00001E280000}"/>
    <cellStyle name="DateTime 9 3 6" xfId="10270" xr:uid="{00000000-0005-0000-0000-00001F280000}"/>
    <cellStyle name="DateTime 9 3 7" xfId="10271" xr:uid="{00000000-0005-0000-0000-000020280000}"/>
    <cellStyle name="DateTime 9 3 8" xfId="10272" xr:uid="{00000000-0005-0000-0000-000021280000}"/>
    <cellStyle name="DateTime 9 4" xfId="10273" xr:uid="{00000000-0005-0000-0000-000022280000}"/>
    <cellStyle name="DateTime 9 4 2" xfId="10274" xr:uid="{00000000-0005-0000-0000-000023280000}"/>
    <cellStyle name="DateTime 9 4 2 2" xfId="10275" xr:uid="{00000000-0005-0000-0000-000024280000}"/>
    <cellStyle name="DateTime 9 4 2 2 2" xfId="10276" xr:uid="{00000000-0005-0000-0000-000025280000}"/>
    <cellStyle name="DateTime 9 4 2 2 3" xfId="10277" xr:uid="{00000000-0005-0000-0000-000026280000}"/>
    <cellStyle name="DateTime 9 4 2 3" xfId="10278" xr:uid="{00000000-0005-0000-0000-000027280000}"/>
    <cellStyle name="DateTime 9 4 2 3 2" xfId="10279" xr:uid="{00000000-0005-0000-0000-000028280000}"/>
    <cellStyle name="DateTime 9 4 2 3 3" xfId="10280" xr:uid="{00000000-0005-0000-0000-000029280000}"/>
    <cellStyle name="DateTime 9 4 2 4" xfId="10281" xr:uid="{00000000-0005-0000-0000-00002A280000}"/>
    <cellStyle name="DateTime 9 4 2 5" xfId="10282" xr:uid="{00000000-0005-0000-0000-00002B280000}"/>
    <cellStyle name="DateTime 9 4 2 6" xfId="10283" xr:uid="{00000000-0005-0000-0000-00002C280000}"/>
    <cellStyle name="DateTime 9 4 3" xfId="10284" xr:uid="{00000000-0005-0000-0000-00002D280000}"/>
    <cellStyle name="DateTime 9 4 3 2" xfId="10285" xr:uid="{00000000-0005-0000-0000-00002E280000}"/>
    <cellStyle name="DateTime 9 4 3 3" xfId="10286" xr:uid="{00000000-0005-0000-0000-00002F280000}"/>
    <cellStyle name="DateTime 9 4 4" xfId="10287" xr:uid="{00000000-0005-0000-0000-000030280000}"/>
    <cellStyle name="DateTime 9 4 4 2" xfId="10288" xr:uid="{00000000-0005-0000-0000-000031280000}"/>
    <cellStyle name="DateTime 9 4 4 3" xfId="10289" xr:uid="{00000000-0005-0000-0000-000032280000}"/>
    <cellStyle name="DateTime 9 4 5" xfId="10290" xr:uid="{00000000-0005-0000-0000-000033280000}"/>
    <cellStyle name="DateTime 9 4 5 2" xfId="10291" xr:uid="{00000000-0005-0000-0000-000034280000}"/>
    <cellStyle name="DateTime 9 4 5 3" xfId="10292" xr:uid="{00000000-0005-0000-0000-000035280000}"/>
    <cellStyle name="DateTime 9 4 6" xfId="10293" xr:uid="{00000000-0005-0000-0000-000036280000}"/>
    <cellStyle name="DateTime 9 4 7" xfId="10294" xr:uid="{00000000-0005-0000-0000-000037280000}"/>
    <cellStyle name="DateTime 9 4 8" xfId="10295" xr:uid="{00000000-0005-0000-0000-000038280000}"/>
    <cellStyle name="DateTime 9 5" xfId="10296" xr:uid="{00000000-0005-0000-0000-000039280000}"/>
    <cellStyle name="DateTime 9 5 2" xfId="10297" xr:uid="{00000000-0005-0000-0000-00003A280000}"/>
    <cellStyle name="DateTime 9 5 2 2" xfId="10298" xr:uid="{00000000-0005-0000-0000-00003B280000}"/>
    <cellStyle name="DateTime 9 5 2 2 2" xfId="10299" xr:uid="{00000000-0005-0000-0000-00003C280000}"/>
    <cellStyle name="DateTime 9 5 2 2 3" xfId="10300" xr:uid="{00000000-0005-0000-0000-00003D280000}"/>
    <cellStyle name="DateTime 9 5 2 3" xfId="10301" xr:uid="{00000000-0005-0000-0000-00003E280000}"/>
    <cellStyle name="DateTime 9 5 2 3 2" xfId="10302" xr:uid="{00000000-0005-0000-0000-00003F280000}"/>
    <cellStyle name="DateTime 9 5 2 3 3" xfId="10303" xr:uid="{00000000-0005-0000-0000-000040280000}"/>
    <cellStyle name="DateTime 9 5 2 4" xfId="10304" xr:uid="{00000000-0005-0000-0000-000041280000}"/>
    <cellStyle name="DateTime 9 5 2 5" xfId="10305" xr:uid="{00000000-0005-0000-0000-000042280000}"/>
    <cellStyle name="DateTime 9 5 2 6" xfId="10306" xr:uid="{00000000-0005-0000-0000-000043280000}"/>
    <cellStyle name="DateTime 9 5 3" xfId="10307" xr:uid="{00000000-0005-0000-0000-000044280000}"/>
    <cellStyle name="DateTime 9 5 3 2" xfId="10308" xr:uid="{00000000-0005-0000-0000-000045280000}"/>
    <cellStyle name="DateTime 9 5 3 3" xfId="10309" xr:uid="{00000000-0005-0000-0000-000046280000}"/>
    <cellStyle name="DateTime 9 5 4" xfId="10310" xr:uid="{00000000-0005-0000-0000-000047280000}"/>
    <cellStyle name="DateTime 9 5 4 2" xfId="10311" xr:uid="{00000000-0005-0000-0000-000048280000}"/>
    <cellStyle name="DateTime 9 5 4 3" xfId="10312" xr:uid="{00000000-0005-0000-0000-000049280000}"/>
    <cellStyle name="DateTime 9 5 5" xfId="10313" xr:uid="{00000000-0005-0000-0000-00004A280000}"/>
    <cellStyle name="DateTime 9 5 5 2" xfId="10314" xr:uid="{00000000-0005-0000-0000-00004B280000}"/>
    <cellStyle name="DateTime 9 5 5 3" xfId="10315" xr:uid="{00000000-0005-0000-0000-00004C280000}"/>
    <cellStyle name="DateTime 9 5 6" xfId="10316" xr:uid="{00000000-0005-0000-0000-00004D280000}"/>
    <cellStyle name="DateTime 9 5 7" xfId="10317" xr:uid="{00000000-0005-0000-0000-00004E280000}"/>
    <cellStyle name="DateTime 9 5 8" xfId="10318" xr:uid="{00000000-0005-0000-0000-00004F280000}"/>
    <cellStyle name="DateTime 9 6" xfId="10319" xr:uid="{00000000-0005-0000-0000-000050280000}"/>
    <cellStyle name="DateTime 9 6 2" xfId="10320" xr:uid="{00000000-0005-0000-0000-000051280000}"/>
    <cellStyle name="DateTime 9 6 2 2" xfId="10321" xr:uid="{00000000-0005-0000-0000-000052280000}"/>
    <cellStyle name="DateTime 9 6 2 3" xfId="10322" xr:uid="{00000000-0005-0000-0000-000053280000}"/>
    <cellStyle name="DateTime 9 6 3" xfId="10323" xr:uid="{00000000-0005-0000-0000-000054280000}"/>
    <cellStyle name="DateTime 9 6 3 2" xfId="10324" xr:uid="{00000000-0005-0000-0000-000055280000}"/>
    <cellStyle name="DateTime 9 6 3 3" xfId="10325" xr:uid="{00000000-0005-0000-0000-000056280000}"/>
    <cellStyle name="DateTime 9 6 4" xfId="10326" xr:uid="{00000000-0005-0000-0000-000057280000}"/>
    <cellStyle name="DateTime 9 6 5" xfId="10327" xr:uid="{00000000-0005-0000-0000-000058280000}"/>
    <cellStyle name="DateTime 9 6 6" xfId="10328" xr:uid="{00000000-0005-0000-0000-000059280000}"/>
    <cellStyle name="DateTime 9 7" xfId="10329" xr:uid="{00000000-0005-0000-0000-00005A280000}"/>
    <cellStyle name="DateTime 9 7 2" xfId="10330" xr:uid="{00000000-0005-0000-0000-00005B280000}"/>
    <cellStyle name="DateTime 9 7 3" xfId="10331" xr:uid="{00000000-0005-0000-0000-00005C280000}"/>
    <cellStyle name="DateTime 9 8" xfId="10332" xr:uid="{00000000-0005-0000-0000-00005D280000}"/>
    <cellStyle name="DateTime 9 8 2" xfId="10333" xr:uid="{00000000-0005-0000-0000-00005E280000}"/>
    <cellStyle name="DateTime 9 8 3" xfId="10334" xr:uid="{00000000-0005-0000-0000-00005F280000}"/>
    <cellStyle name="DateTime 9 9" xfId="10335" xr:uid="{00000000-0005-0000-0000-000060280000}"/>
    <cellStyle name="DateTime 9 9 2" xfId="10336" xr:uid="{00000000-0005-0000-0000-000061280000}"/>
    <cellStyle name="DateTime 9 9 3" xfId="10337" xr:uid="{00000000-0005-0000-0000-000062280000}"/>
    <cellStyle name="Euro" xfId="10338" xr:uid="{00000000-0005-0000-0000-000063280000}"/>
    <cellStyle name="Explanatory Text 10" xfId="10339" xr:uid="{00000000-0005-0000-0000-000064280000}"/>
    <cellStyle name="Explanatory Text 11" xfId="10340" xr:uid="{00000000-0005-0000-0000-000065280000}"/>
    <cellStyle name="Explanatory Text 2" xfId="10341" xr:uid="{00000000-0005-0000-0000-000066280000}"/>
    <cellStyle name="Explanatory Text 3" xfId="10342" xr:uid="{00000000-0005-0000-0000-000067280000}"/>
    <cellStyle name="Explanatory Text 4" xfId="10343" xr:uid="{00000000-0005-0000-0000-000068280000}"/>
    <cellStyle name="Explanatory Text 5" xfId="10344" xr:uid="{00000000-0005-0000-0000-000069280000}"/>
    <cellStyle name="Explanatory Text 6" xfId="10345" xr:uid="{00000000-0005-0000-0000-00006A280000}"/>
    <cellStyle name="Explanatory Text 7" xfId="10346" xr:uid="{00000000-0005-0000-0000-00006B280000}"/>
    <cellStyle name="Explanatory Text 8" xfId="10347" xr:uid="{00000000-0005-0000-0000-00006C280000}"/>
    <cellStyle name="Explanatory Text 9" xfId="10348" xr:uid="{00000000-0005-0000-0000-00006D280000}"/>
    <cellStyle name="F2" xfId="10349" xr:uid="{00000000-0005-0000-0000-00006E280000}"/>
    <cellStyle name="F3" xfId="10350" xr:uid="{00000000-0005-0000-0000-00006F280000}"/>
    <cellStyle name="F4" xfId="10351" xr:uid="{00000000-0005-0000-0000-000070280000}"/>
    <cellStyle name="F5" xfId="10352" xr:uid="{00000000-0005-0000-0000-000071280000}"/>
    <cellStyle name="F6" xfId="10353" xr:uid="{00000000-0005-0000-0000-000072280000}"/>
    <cellStyle name="F7" xfId="10354" xr:uid="{00000000-0005-0000-0000-000073280000}"/>
    <cellStyle name="F8" xfId="10355" xr:uid="{00000000-0005-0000-0000-000074280000}"/>
    <cellStyle name="Fixed" xfId="10356" xr:uid="{00000000-0005-0000-0000-000075280000}"/>
    <cellStyle name="Fixed 10" xfId="10357" xr:uid="{00000000-0005-0000-0000-000076280000}"/>
    <cellStyle name="Fixed 10 10" xfId="10358" xr:uid="{00000000-0005-0000-0000-000077280000}"/>
    <cellStyle name="Fixed 10 11" xfId="10359" xr:uid="{00000000-0005-0000-0000-000078280000}"/>
    <cellStyle name="Fixed 10 12" xfId="10360" xr:uid="{00000000-0005-0000-0000-000079280000}"/>
    <cellStyle name="Fixed 10 2" xfId="10361" xr:uid="{00000000-0005-0000-0000-00007A280000}"/>
    <cellStyle name="Fixed 10 2 10" xfId="10362" xr:uid="{00000000-0005-0000-0000-00007B280000}"/>
    <cellStyle name="Fixed 10 2 2" xfId="10363" xr:uid="{00000000-0005-0000-0000-00007C280000}"/>
    <cellStyle name="Fixed 10 2 2 2" xfId="10364" xr:uid="{00000000-0005-0000-0000-00007D280000}"/>
    <cellStyle name="Fixed 10 2 2 2 2" xfId="10365" xr:uid="{00000000-0005-0000-0000-00007E280000}"/>
    <cellStyle name="Fixed 10 2 2 2 2 2" xfId="10366" xr:uid="{00000000-0005-0000-0000-00007F280000}"/>
    <cellStyle name="Fixed 10 2 2 2 2 3" xfId="10367" xr:uid="{00000000-0005-0000-0000-000080280000}"/>
    <cellStyle name="Fixed 10 2 2 2 3" xfId="10368" xr:uid="{00000000-0005-0000-0000-000081280000}"/>
    <cellStyle name="Fixed 10 2 2 2 3 2" xfId="10369" xr:uid="{00000000-0005-0000-0000-000082280000}"/>
    <cellStyle name="Fixed 10 2 2 2 3 3" xfId="10370" xr:uid="{00000000-0005-0000-0000-000083280000}"/>
    <cellStyle name="Fixed 10 2 2 2 4" xfId="10371" xr:uid="{00000000-0005-0000-0000-000084280000}"/>
    <cellStyle name="Fixed 10 2 2 2 5" xfId="10372" xr:uid="{00000000-0005-0000-0000-000085280000}"/>
    <cellStyle name="Fixed 10 2 2 2 6" xfId="10373" xr:uid="{00000000-0005-0000-0000-000086280000}"/>
    <cellStyle name="Fixed 10 2 2 3" xfId="10374" xr:uid="{00000000-0005-0000-0000-000087280000}"/>
    <cellStyle name="Fixed 10 2 2 3 2" xfId="10375" xr:uid="{00000000-0005-0000-0000-000088280000}"/>
    <cellStyle name="Fixed 10 2 2 3 3" xfId="10376" xr:uid="{00000000-0005-0000-0000-000089280000}"/>
    <cellStyle name="Fixed 10 2 2 4" xfId="10377" xr:uid="{00000000-0005-0000-0000-00008A280000}"/>
    <cellStyle name="Fixed 10 2 2 4 2" xfId="10378" xr:uid="{00000000-0005-0000-0000-00008B280000}"/>
    <cellStyle name="Fixed 10 2 2 4 3" xfId="10379" xr:uid="{00000000-0005-0000-0000-00008C280000}"/>
    <cellStyle name="Fixed 10 2 2 5" xfId="10380" xr:uid="{00000000-0005-0000-0000-00008D280000}"/>
    <cellStyle name="Fixed 10 2 2 5 2" xfId="10381" xr:uid="{00000000-0005-0000-0000-00008E280000}"/>
    <cellStyle name="Fixed 10 2 2 5 3" xfId="10382" xr:uid="{00000000-0005-0000-0000-00008F280000}"/>
    <cellStyle name="Fixed 10 2 2 6" xfId="10383" xr:uid="{00000000-0005-0000-0000-000090280000}"/>
    <cellStyle name="Fixed 10 2 2 7" xfId="10384" xr:uid="{00000000-0005-0000-0000-000091280000}"/>
    <cellStyle name="Fixed 10 2 2 8" xfId="10385" xr:uid="{00000000-0005-0000-0000-000092280000}"/>
    <cellStyle name="Fixed 10 2 3" xfId="10386" xr:uid="{00000000-0005-0000-0000-000093280000}"/>
    <cellStyle name="Fixed 10 2 3 2" xfId="10387" xr:uid="{00000000-0005-0000-0000-000094280000}"/>
    <cellStyle name="Fixed 10 2 3 2 2" xfId="10388" xr:uid="{00000000-0005-0000-0000-000095280000}"/>
    <cellStyle name="Fixed 10 2 3 2 2 2" xfId="10389" xr:uid="{00000000-0005-0000-0000-000096280000}"/>
    <cellStyle name="Fixed 10 2 3 2 2 3" xfId="10390" xr:uid="{00000000-0005-0000-0000-000097280000}"/>
    <cellStyle name="Fixed 10 2 3 2 3" xfId="10391" xr:uid="{00000000-0005-0000-0000-000098280000}"/>
    <cellStyle name="Fixed 10 2 3 2 3 2" xfId="10392" xr:uid="{00000000-0005-0000-0000-000099280000}"/>
    <cellStyle name="Fixed 10 2 3 2 3 3" xfId="10393" xr:uid="{00000000-0005-0000-0000-00009A280000}"/>
    <cellStyle name="Fixed 10 2 3 2 4" xfId="10394" xr:uid="{00000000-0005-0000-0000-00009B280000}"/>
    <cellStyle name="Fixed 10 2 3 2 5" xfId="10395" xr:uid="{00000000-0005-0000-0000-00009C280000}"/>
    <cellStyle name="Fixed 10 2 3 2 6" xfId="10396" xr:uid="{00000000-0005-0000-0000-00009D280000}"/>
    <cellStyle name="Fixed 10 2 3 3" xfId="10397" xr:uid="{00000000-0005-0000-0000-00009E280000}"/>
    <cellStyle name="Fixed 10 2 3 3 2" xfId="10398" xr:uid="{00000000-0005-0000-0000-00009F280000}"/>
    <cellStyle name="Fixed 10 2 3 3 3" xfId="10399" xr:uid="{00000000-0005-0000-0000-0000A0280000}"/>
    <cellStyle name="Fixed 10 2 3 4" xfId="10400" xr:uid="{00000000-0005-0000-0000-0000A1280000}"/>
    <cellStyle name="Fixed 10 2 3 4 2" xfId="10401" xr:uid="{00000000-0005-0000-0000-0000A2280000}"/>
    <cellStyle name="Fixed 10 2 3 4 3" xfId="10402" xr:uid="{00000000-0005-0000-0000-0000A3280000}"/>
    <cellStyle name="Fixed 10 2 3 5" xfId="10403" xr:uid="{00000000-0005-0000-0000-0000A4280000}"/>
    <cellStyle name="Fixed 10 2 3 5 2" xfId="10404" xr:uid="{00000000-0005-0000-0000-0000A5280000}"/>
    <cellStyle name="Fixed 10 2 3 5 3" xfId="10405" xr:uid="{00000000-0005-0000-0000-0000A6280000}"/>
    <cellStyle name="Fixed 10 2 3 6" xfId="10406" xr:uid="{00000000-0005-0000-0000-0000A7280000}"/>
    <cellStyle name="Fixed 10 2 3 7" xfId="10407" xr:uid="{00000000-0005-0000-0000-0000A8280000}"/>
    <cellStyle name="Fixed 10 2 3 8" xfId="10408" xr:uid="{00000000-0005-0000-0000-0000A9280000}"/>
    <cellStyle name="Fixed 10 2 4" xfId="10409" xr:uid="{00000000-0005-0000-0000-0000AA280000}"/>
    <cellStyle name="Fixed 10 2 4 2" xfId="10410" xr:uid="{00000000-0005-0000-0000-0000AB280000}"/>
    <cellStyle name="Fixed 10 2 4 2 2" xfId="10411" xr:uid="{00000000-0005-0000-0000-0000AC280000}"/>
    <cellStyle name="Fixed 10 2 4 2 3" xfId="10412" xr:uid="{00000000-0005-0000-0000-0000AD280000}"/>
    <cellStyle name="Fixed 10 2 4 3" xfId="10413" xr:uid="{00000000-0005-0000-0000-0000AE280000}"/>
    <cellStyle name="Fixed 10 2 4 3 2" xfId="10414" xr:uid="{00000000-0005-0000-0000-0000AF280000}"/>
    <cellStyle name="Fixed 10 2 4 3 3" xfId="10415" xr:uid="{00000000-0005-0000-0000-0000B0280000}"/>
    <cellStyle name="Fixed 10 2 4 4" xfId="10416" xr:uid="{00000000-0005-0000-0000-0000B1280000}"/>
    <cellStyle name="Fixed 10 2 4 5" xfId="10417" xr:uid="{00000000-0005-0000-0000-0000B2280000}"/>
    <cellStyle name="Fixed 10 2 4 6" xfId="10418" xr:uid="{00000000-0005-0000-0000-0000B3280000}"/>
    <cellStyle name="Fixed 10 2 5" xfId="10419" xr:uid="{00000000-0005-0000-0000-0000B4280000}"/>
    <cellStyle name="Fixed 10 2 5 2" xfId="10420" xr:uid="{00000000-0005-0000-0000-0000B5280000}"/>
    <cellStyle name="Fixed 10 2 5 3" xfId="10421" xr:uid="{00000000-0005-0000-0000-0000B6280000}"/>
    <cellStyle name="Fixed 10 2 6" xfId="10422" xr:uid="{00000000-0005-0000-0000-0000B7280000}"/>
    <cellStyle name="Fixed 10 2 6 2" xfId="10423" xr:uid="{00000000-0005-0000-0000-0000B8280000}"/>
    <cellStyle name="Fixed 10 2 6 3" xfId="10424" xr:uid="{00000000-0005-0000-0000-0000B9280000}"/>
    <cellStyle name="Fixed 10 2 7" xfId="10425" xr:uid="{00000000-0005-0000-0000-0000BA280000}"/>
    <cellStyle name="Fixed 10 2 7 2" xfId="10426" xr:uid="{00000000-0005-0000-0000-0000BB280000}"/>
    <cellStyle name="Fixed 10 2 7 3" xfId="10427" xr:uid="{00000000-0005-0000-0000-0000BC280000}"/>
    <cellStyle name="Fixed 10 2 8" xfId="10428" xr:uid="{00000000-0005-0000-0000-0000BD280000}"/>
    <cellStyle name="Fixed 10 2 9" xfId="10429" xr:uid="{00000000-0005-0000-0000-0000BE280000}"/>
    <cellStyle name="Fixed 10 3" xfId="10430" xr:uid="{00000000-0005-0000-0000-0000BF280000}"/>
    <cellStyle name="Fixed 10 3 2" xfId="10431" xr:uid="{00000000-0005-0000-0000-0000C0280000}"/>
    <cellStyle name="Fixed 10 3 2 2" xfId="10432" xr:uid="{00000000-0005-0000-0000-0000C1280000}"/>
    <cellStyle name="Fixed 10 3 2 2 2" xfId="10433" xr:uid="{00000000-0005-0000-0000-0000C2280000}"/>
    <cellStyle name="Fixed 10 3 2 2 3" xfId="10434" xr:uid="{00000000-0005-0000-0000-0000C3280000}"/>
    <cellStyle name="Fixed 10 3 2 3" xfId="10435" xr:uid="{00000000-0005-0000-0000-0000C4280000}"/>
    <cellStyle name="Fixed 10 3 2 3 2" xfId="10436" xr:uid="{00000000-0005-0000-0000-0000C5280000}"/>
    <cellStyle name="Fixed 10 3 2 3 3" xfId="10437" xr:uid="{00000000-0005-0000-0000-0000C6280000}"/>
    <cellStyle name="Fixed 10 3 2 4" xfId="10438" xr:uid="{00000000-0005-0000-0000-0000C7280000}"/>
    <cellStyle name="Fixed 10 3 2 5" xfId="10439" xr:uid="{00000000-0005-0000-0000-0000C8280000}"/>
    <cellStyle name="Fixed 10 3 2 6" xfId="10440" xr:uid="{00000000-0005-0000-0000-0000C9280000}"/>
    <cellStyle name="Fixed 10 3 3" xfId="10441" xr:uid="{00000000-0005-0000-0000-0000CA280000}"/>
    <cellStyle name="Fixed 10 3 3 2" xfId="10442" xr:uid="{00000000-0005-0000-0000-0000CB280000}"/>
    <cellStyle name="Fixed 10 3 3 3" xfId="10443" xr:uid="{00000000-0005-0000-0000-0000CC280000}"/>
    <cellStyle name="Fixed 10 3 4" xfId="10444" xr:uid="{00000000-0005-0000-0000-0000CD280000}"/>
    <cellStyle name="Fixed 10 3 4 2" xfId="10445" xr:uid="{00000000-0005-0000-0000-0000CE280000}"/>
    <cellStyle name="Fixed 10 3 4 3" xfId="10446" xr:uid="{00000000-0005-0000-0000-0000CF280000}"/>
    <cellStyle name="Fixed 10 3 5" xfId="10447" xr:uid="{00000000-0005-0000-0000-0000D0280000}"/>
    <cellStyle name="Fixed 10 3 5 2" xfId="10448" xr:uid="{00000000-0005-0000-0000-0000D1280000}"/>
    <cellStyle name="Fixed 10 3 5 3" xfId="10449" xr:uid="{00000000-0005-0000-0000-0000D2280000}"/>
    <cellStyle name="Fixed 10 3 6" xfId="10450" xr:uid="{00000000-0005-0000-0000-0000D3280000}"/>
    <cellStyle name="Fixed 10 3 7" xfId="10451" xr:uid="{00000000-0005-0000-0000-0000D4280000}"/>
    <cellStyle name="Fixed 10 3 8" xfId="10452" xr:uid="{00000000-0005-0000-0000-0000D5280000}"/>
    <cellStyle name="Fixed 10 4" xfId="10453" xr:uid="{00000000-0005-0000-0000-0000D6280000}"/>
    <cellStyle name="Fixed 10 4 2" xfId="10454" xr:uid="{00000000-0005-0000-0000-0000D7280000}"/>
    <cellStyle name="Fixed 10 4 2 2" xfId="10455" xr:uid="{00000000-0005-0000-0000-0000D8280000}"/>
    <cellStyle name="Fixed 10 4 2 2 2" xfId="10456" xr:uid="{00000000-0005-0000-0000-0000D9280000}"/>
    <cellStyle name="Fixed 10 4 2 2 3" xfId="10457" xr:uid="{00000000-0005-0000-0000-0000DA280000}"/>
    <cellStyle name="Fixed 10 4 2 3" xfId="10458" xr:uid="{00000000-0005-0000-0000-0000DB280000}"/>
    <cellStyle name="Fixed 10 4 2 3 2" xfId="10459" xr:uid="{00000000-0005-0000-0000-0000DC280000}"/>
    <cellStyle name="Fixed 10 4 2 3 3" xfId="10460" xr:uid="{00000000-0005-0000-0000-0000DD280000}"/>
    <cellStyle name="Fixed 10 4 2 4" xfId="10461" xr:uid="{00000000-0005-0000-0000-0000DE280000}"/>
    <cellStyle name="Fixed 10 4 2 5" xfId="10462" xr:uid="{00000000-0005-0000-0000-0000DF280000}"/>
    <cellStyle name="Fixed 10 4 2 6" xfId="10463" xr:uid="{00000000-0005-0000-0000-0000E0280000}"/>
    <cellStyle name="Fixed 10 4 3" xfId="10464" xr:uid="{00000000-0005-0000-0000-0000E1280000}"/>
    <cellStyle name="Fixed 10 4 3 2" xfId="10465" xr:uid="{00000000-0005-0000-0000-0000E2280000}"/>
    <cellStyle name="Fixed 10 4 3 3" xfId="10466" xr:uid="{00000000-0005-0000-0000-0000E3280000}"/>
    <cellStyle name="Fixed 10 4 4" xfId="10467" xr:uid="{00000000-0005-0000-0000-0000E4280000}"/>
    <cellStyle name="Fixed 10 4 4 2" xfId="10468" xr:uid="{00000000-0005-0000-0000-0000E5280000}"/>
    <cellStyle name="Fixed 10 4 4 3" xfId="10469" xr:uid="{00000000-0005-0000-0000-0000E6280000}"/>
    <cellStyle name="Fixed 10 4 5" xfId="10470" xr:uid="{00000000-0005-0000-0000-0000E7280000}"/>
    <cellStyle name="Fixed 10 4 5 2" xfId="10471" xr:uid="{00000000-0005-0000-0000-0000E8280000}"/>
    <cellStyle name="Fixed 10 4 5 3" xfId="10472" xr:uid="{00000000-0005-0000-0000-0000E9280000}"/>
    <cellStyle name="Fixed 10 4 6" xfId="10473" xr:uid="{00000000-0005-0000-0000-0000EA280000}"/>
    <cellStyle name="Fixed 10 4 7" xfId="10474" xr:uid="{00000000-0005-0000-0000-0000EB280000}"/>
    <cellStyle name="Fixed 10 4 8" xfId="10475" xr:uid="{00000000-0005-0000-0000-0000EC280000}"/>
    <cellStyle name="Fixed 10 5" xfId="10476" xr:uid="{00000000-0005-0000-0000-0000ED280000}"/>
    <cellStyle name="Fixed 10 5 2" xfId="10477" xr:uid="{00000000-0005-0000-0000-0000EE280000}"/>
    <cellStyle name="Fixed 10 5 2 2" xfId="10478" xr:uid="{00000000-0005-0000-0000-0000EF280000}"/>
    <cellStyle name="Fixed 10 5 2 2 2" xfId="10479" xr:uid="{00000000-0005-0000-0000-0000F0280000}"/>
    <cellStyle name="Fixed 10 5 2 2 3" xfId="10480" xr:uid="{00000000-0005-0000-0000-0000F1280000}"/>
    <cellStyle name="Fixed 10 5 2 3" xfId="10481" xr:uid="{00000000-0005-0000-0000-0000F2280000}"/>
    <cellStyle name="Fixed 10 5 2 3 2" xfId="10482" xr:uid="{00000000-0005-0000-0000-0000F3280000}"/>
    <cellStyle name="Fixed 10 5 2 3 3" xfId="10483" xr:uid="{00000000-0005-0000-0000-0000F4280000}"/>
    <cellStyle name="Fixed 10 5 2 4" xfId="10484" xr:uid="{00000000-0005-0000-0000-0000F5280000}"/>
    <cellStyle name="Fixed 10 5 2 5" xfId="10485" xr:uid="{00000000-0005-0000-0000-0000F6280000}"/>
    <cellStyle name="Fixed 10 5 2 6" xfId="10486" xr:uid="{00000000-0005-0000-0000-0000F7280000}"/>
    <cellStyle name="Fixed 10 5 3" xfId="10487" xr:uid="{00000000-0005-0000-0000-0000F8280000}"/>
    <cellStyle name="Fixed 10 5 3 2" xfId="10488" xr:uid="{00000000-0005-0000-0000-0000F9280000}"/>
    <cellStyle name="Fixed 10 5 3 3" xfId="10489" xr:uid="{00000000-0005-0000-0000-0000FA280000}"/>
    <cellStyle name="Fixed 10 5 4" xfId="10490" xr:uid="{00000000-0005-0000-0000-0000FB280000}"/>
    <cellStyle name="Fixed 10 5 4 2" xfId="10491" xr:uid="{00000000-0005-0000-0000-0000FC280000}"/>
    <cellStyle name="Fixed 10 5 4 3" xfId="10492" xr:uid="{00000000-0005-0000-0000-0000FD280000}"/>
    <cellStyle name="Fixed 10 5 5" xfId="10493" xr:uid="{00000000-0005-0000-0000-0000FE280000}"/>
    <cellStyle name="Fixed 10 5 5 2" xfId="10494" xr:uid="{00000000-0005-0000-0000-0000FF280000}"/>
    <cellStyle name="Fixed 10 5 5 3" xfId="10495" xr:uid="{00000000-0005-0000-0000-000000290000}"/>
    <cellStyle name="Fixed 10 5 6" xfId="10496" xr:uid="{00000000-0005-0000-0000-000001290000}"/>
    <cellStyle name="Fixed 10 5 7" xfId="10497" xr:uid="{00000000-0005-0000-0000-000002290000}"/>
    <cellStyle name="Fixed 10 5 8" xfId="10498" xr:uid="{00000000-0005-0000-0000-000003290000}"/>
    <cellStyle name="Fixed 10 6" xfId="10499" xr:uid="{00000000-0005-0000-0000-000004290000}"/>
    <cellStyle name="Fixed 10 6 2" xfId="10500" xr:uid="{00000000-0005-0000-0000-000005290000}"/>
    <cellStyle name="Fixed 10 6 2 2" xfId="10501" xr:uid="{00000000-0005-0000-0000-000006290000}"/>
    <cellStyle name="Fixed 10 6 2 3" xfId="10502" xr:uid="{00000000-0005-0000-0000-000007290000}"/>
    <cellStyle name="Fixed 10 6 3" xfId="10503" xr:uid="{00000000-0005-0000-0000-000008290000}"/>
    <cellStyle name="Fixed 10 6 3 2" xfId="10504" xr:uid="{00000000-0005-0000-0000-000009290000}"/>
    <cellStyle name="Fixed 10 6 3 3" xfId="10505" xr:uid="{00000000-0005-0000-0000-00000A290000}"/>
    <cellStyle name="Fixed 10 6 4" xfId="10506" xr:uid="{00000000-0005-0000-0000-00000B290000}"/>
    <cellStyle name="Fixed 10 6 5" xfId="10507" xr:uid="{00000000-0005-0000-0000-00000C290000}"/>
    <cellStyle name="Fixed 10 6 6" xfId="10508" xr:uid="{00000000-0005-0000-0000-00000D290000}"/>
    <cellStyle name="Fixed 10 7" xfId="10509" xr:uid="{00000000-0005-0000-0000-00000E290000}"/>
    <cellStyle name="Fixed 10 7 2" xfId="10510" xr:uid="{00000000-0005-0000-0000-00000F290000}"/>
    <cellStyle name="Fixed 10 7 3" xfId="10511" xr:uid="{00000000-0005-0000-0000-000010290000}"/>
    <cellStyle name="Fixed 10 8" xfId="10512" xr:uid="{00000000-0005-0000-0000-000011290000}"/>
    <cellStyle name="Fixed 10 8 2" xfId="10513" xr:uid="{00000000-0005-0000-0000-000012290000}"/>
    <cellStyle name="Fixed 10 8 3" xfId="10514" xr:uid="{00000000-0005-0000-0000-000013290000}"/>
    <cellStyle name="Fixed 10 9" xfId="10515" xr:uid="{00000000-0005-0000-0000-000014290000}"/>
    <cellStyle name="Fixed 10 9 2" xfId="10516" xr:uid="{00000000-0005-0000-0000-000015290000}"/>
    <cellStyle name="Fixed 10 9 3" xfId="10517" xr:uid="{00000000-0005-0000-0000-000016290000}"/>
    <cellStyle name="Fixed 11" xfId="10518" xr:uid="{00000000-0005-0000-0000-000017290000}"/>
    <cellStyle name="Fixed 11 10" xfId="10519" xr:uid="{00000000-0005-0000-0000-000018290000}"/>
    <cellStyle name="Fixed 11 11" xfId="10520" xr:uid="{00000000-0005-0000-0000-000019290000}"/>
    <cellStyle name="Fixed 11 12" xfId="10521" xr:uid="{00000000-0005-0000-0000-00001A290000}"/>
    <cellStyle name="Fixed 11 2" xfId="10522" xr:uid="{00000000-0005-0000-0000-00001B290000}"/>
    <cellStyle name="Fixed 11 2 10" xfId="10523" xr:uid="{00000000-0005-0000-0000-00001C290000}"/>
    <cellStyle name="Fixed 11 2 2" xfId="10524" xr:uid="{00000000-0005-0000-0000-00001D290000}"/>
    <cellStyle name="Fixed 11 2 2 2" xfId="10525" xr:uid="{00000000-0005-0000-0000-00001E290000}"/>
    <cellStyle name="Fixed 11 2 2 2 2" xfId="10526" xr:uid="{00000000-0005-0000-0000-00001F290000}"/>
    <cellStyle name="Fixed 11 2 2 2 2 2" xfId="10527" xr:uid="{00000000-0005-0000-0000-000020290000}"/>
    <cellStyle name="Fixed 11 2 2 2 2 3" xfId="10528" xr:uid="{00000000-0005-0000-0000-000021290000}"/>
    <cellStyle name="Fixed 11 2 2 2 3" xfId="10529" xr:uid="{00000000-0005-0000-0000-000022290000}"/>
    <cellStyle name="Fixed 11 2 2 2 3 2" xfId="10530" xr:uid="{00000000-0005-0000-0000-000023290000}"/>
    <cellStyle name="Fixed 11 2 2 2 3 3" xfId="10531" xr:uid="{00000000-0005-0000-0000-000024290000}"/>
    <cellStyle name="Fixed 11 2 2 2 4" xfId="10532" xr:uid="{00000000-0005-0000-0000-000025290000}"/>
    <cellStyle name="Fixed 11 2 2 2 5" xfId="10533" xr:uid="{00000000-0005-0000-0000-000026290000}"/>
    <cellStyle name="Fixed 11 2 2 2 6" xfId="10534" xr:uid="{00000000-0005-0000-0000-000027290000}"/>
    <cellStyle name="Fixed 11 2 2 3" xfId="10535" xr:uid="{00000000-0005-0000-0000-000028290000}"/>
    <cellStyle name="Fixed 11 2 2 3 2" xfId="10536" xr:uid="{00000000-0005-0000-0000-000029290000}"/>
    <cellStyle name="Fixed 11 2 2 3 3" xfId="10537" xr:uid="{00000000-0005-0000-0000-00002A290000}"/>
    <cellStyle name="Fixed 11 2 2 4" xfId="10538" xr:uid="{00000000-0005-0000-0000-00002B290000}"/>
    <cellStyle name="Fixed 11 2 2 4 2" xfId="10539" xr:uid="{00000000-0005-0000-0000-00002C290000}"/>
    <cellStyle name="Fixed 11 2 2 4 3" xfId="10540" xr:uid="{00000000-0005-0000-0000-00002D290000}"/>
    <cellStyle name="Fixed 11 2 2 5" xfId="10541" xr:uid="{00000000-0005-0000-0000-00002E290000}"/>
    <cellStyle name="Fixed 11 2 2 5 2" xfId="10542" xr:uid="{00000000-0005-0000-0000-00002F290000}"/>
    <cellStyle name="Fixed 11 2 2 5 3" xfId="10543" xr:uid="{00000000-0005-0000-0000-000030290000}"/>
    <cellStyle name="Fixed 11 2 2 6" xfId="10544" xr:uid="{00000000-0005-0000-0000-000031290000}"/>
    <cellStyle name="Fixed 11 2 2 7" xfId="10545" xr:uid="{00000000-0005-0000-0000-000032290000}"/>
    <cellStyle name="Fixed 11 2 2 8" xfId="10546" xr:uid="{00000000-0005-0000-0000-000033290000}"/>
    <cellStyle name="Fixed 11 2 3" xfId="10547" xr:uid="{00000000-0005-0000-0000-000034290000}"/>
    <cellStyle name="Fixed 11 2 3 2" xfId="10548" xr:uid="{00000000-0005-0000-0000-000035290000}"/>
    <cellStyle name="Fixed 11 2 3 2 2" xfId="10549" xr:uid="{00000000-0005-0000-0000-000036290000}"/>
    <cellStyle name="Fixed 11 2 3 2 2 2" xfId="10550" xr:uid="{00000000-0005-0000-0000-000037290000}"/>
    <cellStyle name="Fixed 11 2 3 2 2 3" xfId="10551" xr:uid="{00000000-0005-0000-0000-000038290000}"/>
    <cellStyle name="Fixed 11 2 3 2 3" xfId="10552" xr:uid="{00000000-0005-0000-0000-000039290000}"/>
    <cellStyle name="Fixed 11 2 3 2 3 2" xfId="10553" xr:uid="{00000000-0005-0000-0000-00003A290000}"/>
    <cellStyle name="Fixed 11 2 3 2 3 3" xfId="10554" xr:uid="{00000000-0005-0000-0000-00003B290000}"/>
    <cellStyle name="Fixed 11 2 3 2 4" xfId="10555" xr:uid="{00000000-0005-0000-0000-00003C290000}"/>
    <cellStyle name="Fixed 11 2 3 2 5" xfId="10556" xr:uid="{00000000-0005-0000-0000-00003D290000}"/>
    <cellStyle name="Fixed 11 2 3 2 6" xfId="10557" xr:uid="{00000000-0005-0000-0000-00003E290000}"/>
    <cellStyle name="Fixed 11 2 3 3" xfId="10558" xr:uid="{00000000-0005-0000-0000-00003F290000}"/>
    <cellStyle name="Fixed 11 2 3 3 2" xfId="10559" xr:uid="{00000000-0005-0000-0000-000040290000}"/>
    <cellStyle name="Fixed 11 2 3 3 3" xfId="10560" xr:uid="{00000000-0005-0000-0000-000041290000}"/>
    <cellStyle name="Fixed 11 2 3 4" xfId="10561" xr:uid="{00000000-0005-0000-0000-000042290000}"/>
    <cellStyle name="Fixed 11 2 3 4 2" xfId="10562" xr:uid="{00000000-0005-0000-0000-000043290000}"/>
    <cellStyle name="Fixed 11 2 3 4 3" xfId="10563" xr:uid="{00000000-0005-0000-0000-000044290000}"/>
    <cellStyle name="Fixed 11 2 3 5" xfId="10564" xr:uid="{00000000-0005-0000-0000-000045290000}"/>
    <cellStyle name="Fixed 11 2 3 5 2" xfId="10565" xr:uid="{00000000-0005-0000-0000-000046290000}"/>
    <cellStyle name="Fixed 11 2 3 5 3" xfId="10566" xr:uid="{00000000-0005-0000-0000-000047290000}"/>
    <cellStyle name="Fixed 11 2 3 6" xfId="10567" xr:uid="{00000000-0005-0000-0000-000048290000}"/>
    <cellStyle name="Fixed 11 2 3 7" xfId="10568" xr:uid="{00000000-0005-0000-0000-000049290000}"/>
    <cellStyle name="Fixed 11 2 3 8" xfId="10569" xr:uid="{00000000-0005-0000-0000-00004A290000}"/>
    <cellStyle name="Fixed 11 2 4" xfId="10570" xr:uid="{00000000-0005-0000-0000-00004B290000}"/>
    <cellStyle name="Fixed 11 2 4 2" xfId="10571" xr:uid="{00000000-0005-0000-0000-00004C290000}"/>
    <cellStyle name="Fixed 11 2 4 2 2" xfId="10572" xr:uid="{00000000-0005-0000-0000-00004D290000}"/>
    <cellStyle name="Fixed 11 2 4 2 3" xfId="10573" xr:uid="{00000000-0005-0000-0000-00004E290000}"/>
    <cellStyle name="Fixed 11 2 4 3" xfId="10574" xr:uid="{00000000-0005-0000-0000-00004F290000}"/>
    <cellStyle name="Fixed 11 2 4 3 2" xfId="10575" xr:uid="{00000000-0005-0000-0000-000050290000}"/>
    <cellStyle name="Fixed 11 2 4 3 3" xfId="10576" xr:uid="{00000000-0005-0000-0000-000051290000}"/>
    <cellStyle name="Fixed 11 2 4 4" xfId="10577" xr:uid="{00000000-0005-0000-0000-000052290000}"/>
    <cellStyle name="Fixed 11 2 4 5" xfId="10578" xr:uid="{00000000-0005-0000-0000-000053290000}"/>
    <cellStyle name="Fixed 11 2 4 6" xfId="10579" xr:uid="{00000000-0005-0000-0000-000054290000}"/>
    <cellStyle name="Fixed 11 2 5" xfId="10580" xr:uid="{00000000-0005-0000-0000-000055290000}"/>
    <cellStyle name="Fixed 11 2 5 2" xfId="10581" xr:uid="{00000000-0005-0000-0000-000056290000}"/>
    <cellStyle name="Fixed 11 2 5 3" xfId="10582" xr:uid="{00000000-0005-0000-0000-000057290000}"/>
    <cellStyle name="Fixed 11 2 6" xfId="10583" xr:uid="{00000000-0005-0000-0000-000058290000}"/>
    <cellStyle name="Fixed 11 2 6 2" xfId="10584" xr:uid="{00000000-0005-0000-0000-000059290000}"/>
    <cellStyle name="Fixed 11 2 6 3" xfId="10585" xr:uid="{00000000-0005-0000-0000-00005A290000}"/>
    <cellStyle name="Fixed 11 2 7" xfId="10586" xr:uid="{00000000-0005-0000-0000-00005B290000}"/>
    <cellStyle name="Fixed 11 2 7 2" xfId="10587" xr:uid="{00000000-0005-0000-0000-00005C290000}"/>
    <cellStyle name="Fixed 11 2 7 3" xfId="10588" xr:uid="{00000000-0005-0000-0000-00005D290000}"/>
    <cellStyle name="Fixed 11 2 8" xfId="10589" xr:uid="{00000000-0005-0000-0000-00005E290000}"/>
    <cellStyle name="Fixed 11 2 9" xfId="10590" xr:uid="{00000000-0005-0000-0000-00005F290000}"/>
    <cellStyle name="Fixed 11 3" xfId="10591" xr:uid="{00000000-0005-0000-0000-000060290000}"/>
    <cellStyle name="Fixed 11 3 2" xfId="10592" xr:uid="{00000000-0005-0000-0000-000061290000}"/>
    <cellStyle name="Fixed 11 3 2 2" xfId="10593" xr:uid="{00000000-0005-0000-0000-000062290000}"/>
    <cellStyle name="Fixed 11 3 2 2 2" xfId="10594" xr:uid="{00000000-0005-0000-0000-000063290000}"/>
    <cellStyle name="Fixed 11 3 2 2 3" xfId="10595" xr:uid="{00000000-0005-0000-0000-000064290000}"/>
    <cellStyle name="Fixed 11 3 2 3" xfId="10596" xr:uid="{00000000-0005-0000-0000-000065290000}"/>
    <cellStyle name="Fixed 11 3 2 3 2" xfId="10597" xr:uid="{00000000-0005-0000-0000-000066290000}"/>
    <cellStyle name="Fixed 11 3 2 3 3" xfId="10598" xr:uid="{00000000-0005-0000-0000-000067290000}"/>
    <cellStyle name="Fixed 11 3 2 4" xfId="10599" xr:uid="{00000000-0005-0000-0000-000068290000}"/>
    <cellStyle name="Fixed 11 3 2 5" xfId="10600" xr:uid="{00000000-0005-0000-0000-000069290000}"/>
    <cellStyle name="Fixed 11 3 2 6" xfId="10601" xr:uid="{00000000-0005-0000-0000-00006A290000}"/>
    <cellStyle name="Fixed 11 3 3" xfId="10602" xr:uid="{00000000-0005-0000-0000-00006B290000}"/>
    <cellStyle name="Fixed 11 3 3 2" xfId="10603" xr:uid="{00000000-0005-0000-0000-00006C290000}"/>
    <cellStyle name="Fixed 11 3 3 3" xfId="10604" xr:uid="{00000000-0005-0000-0000-00006D290000}"/>
    <cellStyle name="Fixed 11 3 4" xfId="10605" xr:uid="{00000000-0005-0000-0000-00006E290000}"/>
    <cellStyle name="Fixed 11 3 4 2" xfId="10606" xr:uid="{00000000-0005-0000-0000-00006F290000}"/>
    <cellStyle name="Fixed 11 3 4 3" xfId="10607" xr:uid="{00000000-0005-0000-0000-000070290000}"/>
    <cellStyle name="Fixed 11 3 5" xfId="10608" xr:uid="{00000000-0005-0000-0000-000071290000}"/>
    <cellStyle name="Fixed 11 3 5 2" xfId="10609" xr:uid="{00000000-0005-0000-0000-000072290000}"/>
    <cellStyle name="Fixed 11 3 5 3" xfId="10610" xr:uid="{00000000-0005-0000-0000-000073290000}"/>
    <cellStyle name="Fixed 11 3 6" xfId="10611" xr:uid="{00000000-0005-0000-0000-000074290000}"/>
    <cellStyle name="Fixed 11 3 7" xfId="10612" xr:uid="{00000000-0005-0000-0000-000075290000}"/>
    <cellStyle name="Fixed 11 3 8" xfId="10613" xr:uid="{00000000-0005-0000-0000-000076290000}"/>
    <cellStyle name="Fixed 11 4" xfId="10614" xr:uid="{00000000-0005-0000-0000-000077290000}"/>
    <cellStyle name="Fixed 11 4 2" xfId="10615" xr:uid="{00000000-0005-0000-0000-000078290000}"/>
    <cellStyle name="Fixed 11 4 2 2" xfId="10616" xr:uid="{00000000-0005-0000-0000-000079290000}"/>
    <cellStyle name="Fixed 11 4 2 2 2" xfId="10617" xr:uid="{00000000-0005-0000-0000-00007A290000}"/>
    <cellStyle name="Fixed 11 4 2 2 3" xfId="10618" xr:uid="{00000000-0005-0000-0000-00007B290000}"/>
    <cellStyle name="Fixed 11 4 2 3" xfId="10619" xr:uid="{00000000-0005-0000-0000-00007C290000}"/>
    <cellStyle name="Fixed 11 4 2 3 2" xfId="10620" xr:uid="{00000000-0005-0000-0000-00007D290000}"/>
    <cellStyle name="Fixed 11 4 2 3 3" xfId="10621" xr:uid="{00000000-0005-0000-0000-00007E290000}"/>
    <cellStyle name="Fixed 11 4 2 4" xfId="10622" xr:uid="{00000000-0005-0000-0000-00007F290000}"/>
    <cellStyle name="Fixed 11 4 2 5" xfId="10623" xr:uid="{00000000-0005-0000-0000-000080290000}"/>
    <cellStyle name="Fixed 11 4 2 6" xfId="10624" xr:uid="{00000000-0005-0000-0000-000081290000}"/>
    <cellStyle name="Fixed 11 4 3" xfId="10625" xr:uid="{00000000-0005-0000-0000-000082290000}"/>
    <cellStyle name="Fixed 11 4 3 2" xfId="10626" xr:uid="{00000000-0005-0000-0000-000083290000}"/>
    <cellStyle name="Fixed 11 4 3 3" xfId="10627" xr:uid="{00000000-0005-0000-0000-000084290000}"/>
    <cellStyle name="Fixed 11 4 4" xfId="10628" xr:uid="{00000000-0005-0000-0000-000085290000}"/>
    <cellStyle name="Fixed 11 4 4 2" xfId="10629" xr:uid="{00000000-0005-0000-0000-000086290000}"/>
    <cellStyle name="Fixed 11 4 4 3" xfId="10630" xr:uid="{00000000-0005-0000-0000-000087290000}"/>
    <cellStyle name="Fixed 11 4 5" xfId="10631" xr:uid="{00000000-0005-0000-0000-000088290000}"/>
    <cellStyle name="Fixed 11 4 5 2" xfId="10632" xr:uid="{00000000-0005-0000-0000-000089290000}"/>
    <cellStyle name="Fixed 11 4 5 3" xfId="10633" xr:uid="{00000000-0005-0000-0000-00008A290000}"/>
    <cellStyle name="Fixed 11 4 6" xfId="10634" xr:uid="{00000000-0005-0000-0000-00008B290000}"/>
    <cellStyle name="Fixed 11 4 7" xfId="10635" xr:uid="{00000000-0005-0000-0000-00008C290000}"/>
    <cellStyle name="Fixed 11 4 8" xfId="10636" xr:uid="{00000000-0005-0000-0000-00008D290000}"/>
    <cellStyle name="Fixed 11 5" xfId="10637" xr:uid="{00000000-0005-0000-0000-00008E290000}"/>
    <cellStyle name="Fixed 11 5 2" xfId="10638" xr:uid="{00000000-0005-0000-0000-00008F290000}"/>
    <cellStyle name="Fixed 11 5 2 2" xfId="10639" xr:uid="{00000000-0005-0000-0000-000090290000}"/>
    <cellStyle name="Fixed 11 5 2 2 2" xfId="10640" xr:uid="{00000000-0005-0000-0000-000091290000}"/>
    <cellStyle name="Fixed 11 5 2 2 3" xfId="10641" xr:uid="{00000000-0005-0000-0000-000092290000}"/>
    <cellStyle name="Fixed 11 5 2 3" xfId="10642" xr:uid="{00000000-0005-0000-0000-000093290000}"/>
    <cellStyle name="Fixed 11 5 2 3 2" xfId="10643" xr:uid="{00000000-0005-0000-0000-000094290000}"/>
    <cellStyle name="Fixed 11 5 2 3 3" xfId="10644" xr:uid="{00000000-0005-0000-0000-000095290000}"/>
    <cellStyle name="Fixed 11 5 2 4" xfId="10645" xr:uid="{00000000-0005-0000-0000-000096290000}"/>
    <cellStyle name="Fixed 11 5 2 5" xfId="10646" xr:uid="{00000000-0005-0000-0000-000097290000}"/>
    <cellStyle name="Fixed 11 5 2 6" xfId="10647" xr:uid="{00000000-0005-0000-0000-000098290000}"/>
    <cellStyle name="Fixed 11 5 3" xfId="10648" xr:uid="{00000000-0005-0000-0000-000099290000}"/>
    <cellStyle name="Fixed 11 5 3 2" xfId="10649" xr:uid="{00000000-0005-0000-0000-00009A290000}"/>
    <cellStyle name="Fixed 11 5 3 3" xfId="10650" xr:uid="{00000000-0005-0000-0000-00009B290000}"/>
    <cellStyle name="Fixed 11 5 4" xfId="10651" xr:uid="{00000000-0005-0000-0000-00009C290000}"/>
    <cellStyle name="Fixed 11 5 4 2" xfId="10652" xr:uid="{00000000-0005-0000-0000-00009D290000}"/>
    <cellStyle name="Fixed 11 5 4 3" xfId="10653" xr:uid="{00000000-0005-0000-0000-00009E290000}"/>
    <cellStyle name="Fixed 11 5 5" xfId="10654" xr:uid="{00000000-0005-0000-0000-00009F290000}"/>
    <cellStyle name="Fixed 11 5 5 2" xfId="10655" xr:uid="{00000000-0005-0000-0000-0000A0290000}"/>
    <cellStyle name="Fixed 11 5 5 3" xfId="10656" xr:uid="{00000000-0005-0000-0000-0000A1290000}"/>
    <cellStyle name="Fixed 11 5 6" xfId="10657" xr:uid="{00000000-0005-0000-0000-0000A2290000}"/>
    <cellStyle name="Fixed 11 5 7" xfId="10658" xr:uid="{00000000-0005-0000-0000-0000A3290000}"/>
    <cellStyle name="Fixed 11 5 8" xfId="10659" xr:uid="{00000000-0005-0000-0000-0000A4290000}"/>
    <cellStyle name="Fixed 11 6" xfId="10660" xr:uid="{00000000-0005-0000-0000-0000A5290000}"/>
    <cellStyle name="Fixed 11 6 2" xfId="10661" xr:uid="{00000000-0005-0000-0000-0000A6290000}"/>
    <cellStyle name="Fixed 11 6 2 2" xfId="10662" xr:uid="{00000000-0005-0000-0000-0000A7290000}"/>
    <cellStyle name="Fixed 11 6 2 3" xfId="10663" xr:uid="{00000000-0005-0000-0000-0000A8290000}"/>
    <cellStyle name="Fixed 11 6 3" xfId="10664" xr:uid="{00000000-0005-0000-0000-0000A9290000}"/>
    <cellStyle name="Fixed 11 6 3 2" xfId="10665" xr:uid="{00000000-0005-0000-0000-0000AA290000}"/>
    <cellStyle name="Fixed 11 6 3 3" xfId="10666" xr:uid="{00000000-0005-0000-0000-0000AB290000}"/>
    <cellStyle name="Fixed 11 6 4" xfId="10667" xr:uid="{00000000-0005-0000-0000-0000AC290000}"/>
    <cellStyle name="Fixed 11 6 5" xfId="10668" xr:uid="{00000000-0005-0000-0000-0000AD290000}"/>
    <cellStyle name="Fixed 11 6 6" xfId="10669" xr:uid="{00000000-0005-0000-0000-0000AE290000}"/>
    <cellStyle name="Fixed 11 7" xfId="10670" xr:uid="{00000000-0005-0000-0000-0000AF290000}"/>
    <cellStyle name="Fixed 11 7 2" xfId="10671" xr:uid="{00000000-0005-0000-0000-0000B0290000}"/>
    <cellStyle name="Fixed 11 7 3" xfId="10672" xr:uid="{00000000-0005-0000-0000-0000B1290000}"/>
    <cellStyle name="Fixed 11 8" xfId="10673" xr:uid="{00000000-0005-0000-0000-0000B2290000}"/>
    <cellStyle name="Fixed 11 8 2" xfId="10674" xr:uid="{00000000-0005-0000-0000-0000B3290000}"/>
    <cellStyle name="Fixed 11 8 3" xfId="10675" xr:uid="{00000000-0005-0000-0000-0000B4290000}"/>
    <cellStyle name="Fixed 11 9" xfId="10676" xr:uid="{00000000-0005-0000-0000-0000B5290000}"/>
    <cellStyle name="Fixed 11 9 2" xfId="10677" xr:uid="{00000000-0005-0000-0000-0000B6290000}"/>
    <cellStyle name="Fixed 11 9 3" xfId="10678" xr:uid="{00000000-0005-0000-0000-0000B7290000}"/>
    <cellStyle name="Fixed 12" xfId="10679" xr:uid="{00000000-0005-0000-0000-0000B8290000}"/>
    <cellStyle name="Fixed 12 10" xfId="10680" xr:uid="{00000000-0005-0000-0000-0000B9290000}"/>
    <cellStyle name="Fixed 12 2" xfId="10681" xr:uid="{00000000-0005-0000-0000-0000BA290000}"/>
    <cellStyle name="Fixed 12 2 2" xfId="10682" xr:uid="{00000000-0005-0000-0000-0000BB290000}"/>
    <cellStyle name="Fixed 12 2 2 2" xfId="10683" xr:uid="{00000000-0005-0000-0000-0000BC290000}"/>
    <cellStyle name="Fixed 12 2 2 2 2" xfId="10684" xr:uid="{00000000-0005-0000-0000-0000BD290000}"/>
    <cellStyle name="Fixed 12 2 2 2 3" xfId="10685" xr:uid="{00000000-0005-0000-0000-0000BE290000}"/>
    <cellStyle name="Fixed 12 2 2 3" xfId="10686" xr:uid="{00000000-0005-0000-0000-0000BF290000}"/>
    <cellStyle name="Fixed 12 2 2 3 2" xfId="10687" xr:uid="{00000000-0005-0000-0000-0000C0290000}"/>
    <cellStyle name="Fixed 12 2 2 3 3" xfId="10688" xr:uid="{00000000-0005-0000-0000-0000C1290000}"/>
    <cellStyle name="Fixed 12 2 2 4" xfId="10689" xr:uid="{00000000-0005-0000-0000-0000C2290000}"/>
    <cellStyle name="Fixed 12 2 2 5" xfId="10690" xr:uid="{00000000-0005-0000-0000-0000C3290000}"/>
    <cellStyle name="Fixed 12 2 2 6" xfId="10691" xr:uid="{00000000-0005-0000-0000-0000C4290000}"/>
    <cellStyle name="Fixed 12 2 3" xfId="10692" xr:uid="{00000000-0005-0000-0000-0000C5290000}"/>
    <cellStyle name="Fixed 12 2 3 2" xfId="10693" xr:uid="{00000000-0005-0000-0000-0000C6290000}"/>
    <cellStyle name="Fixed 12 2 3 3" xfId="10694" xr:uid="{00000000-0005-0000-0000-0000C7290000}"/>
    <cellStyle name="Fixed 12 2 4" xfId="10695" xr:uid="{00000000-0005-0000-0000-0000C8290000}"/>
    <cellStyle name="Fixed 12 2 4 2" xfId="10696" xr:uid="{00000000-0005-0000-0000-0000C9290000}"/>
    <cellStyle name="Fixed 12 2 4 3" xfId="10697" xr:uid="{00000000-0005-0000-0000-0000CA290000}"/>
    <cellStyle name="Fixed 12 2 5" xfId="10698" xr:uid="{00000000-0005-0000-0000-0000CB290000}"/>
    <cellStyle name="Fixed 12 2 5 2" xfId="10699" xr:uid="{00000000-0005-0000-0000-0000CC290000}"/>
    <cellStyle name="Fixed 12 2 5 3" xfId="10700" xr:uid="{00000000-0005-0000-0000-0000CD290000}"/>
    <cellStyle name="Fixed 12 2 6" xfId="10701" xr:uid="{00000000-0005-0000-0000-0000CE290000}"/>
    <cellStyle name="Fixed 12 2 7" xfId="10702" xr:uid="{00000000-0005-0000-0000-0000CF290000}"/>
    <cellStyle name="Fixed 12 2 8" xfId="10703" xr:uid="{00000000-0005-0000-0000-0000D0290000}"/>
    <cellStyle name="Fixed 12 3" xfId="10704" xr:uid="{00000000-0005-0000-0000-0000D1290000}"/>
    <cellStyle name="Fixed 12 3 2" xfId="10705" xr:uid="{00000000-0005-0000-0000-0000D2290000}"/>
    <cellStyle name="Fixed 12 3 2 2" xfId="10706" xr:uid="{00000000-0005-0000-0000-0000D3290000}"/>
    <cellStyle name="Fixed 12 3 2 2 2" xfId="10707" xr:uid="{00000000-0005-0000-0000-0000D4290000}"/>
    <cellStyle name="Fixed 12 3 2 2 3" xfId="10708" xr:uid="{00000000-0005-0000-0000-0000D5290000}"/>
    <cellStyle name="Fixed 12 3 2 3" xfId="10709" xr:uid="{00000000-0005-0000-0000-0000D6290000}"/>
    <cellStyle name="Fixed 12 3 2 3 2" xfId="10710" xr:uid="{00000000-0005-0000-0000-0000D7290000}"/>
    <cellStyle name="Fixed 12 3 2 3 3" xfId="10711" xr:uid="{00000000-0005-0000-0000-0000D8290000}"/>
    <cellStyle name="Fixed 12 3 2 4" xfId="10712" xr:uid="{00000000-0005-0000-0000-0000D9290000}"/>
    <cellStyle name="Fixed 12 3 2 5" xfId="10713" xr:uid="{00000000-0005-0000-0000-0000DA290000}"/>
    <cellStyle name="Fixed 12 3 2 6" xfId="10714" xr:uid="{00000000-0005-0000-0000-0000DB290000}"/>
    <cellStyle name="Fixed 12 3 3" xfId="10715" xr:uid="{00000000-0005-0000-0000-0000DC290000}"/>
    <cellStyle name="Fixed 12 3 3 2" xfId="10716" xr:uid="{00000000-0005-0000-0000-0000DD290000}"/>
    <cellStyle name="Fixed 12 3 3 3" xfId="10717" xr:uid="{00000000-0005-0000-0000-0000DE290000}"/>
    <cellStyle name="Fixed 12 3 4" xfId="10718" xr:uid="{00000000-0005-0000-0000-0000DF290000}"/>
    <cellStyle name="Fixed 12 3 4 2" xfId="10719" xr:uid="{00000000-0005-0000-0000-0000E0290000}"/>
    <cellStyle name="Fixed 12 3 4 3" xfId="10720" xr:uid="{00000000-0005-0000-0000-0000E1290000}"/>
    <cellStyle name="Fixed 12 3 5" xfId="10721" xr:uid="{00000000-0005-0000-0000-0000E2290000}"/>
    <cellStyle name="Fixed 12 3 5 2" xfId="10722" xr:uid="{00000000-0005-0000-0000-0000E3290000}"/>
    <cellStyle name="Fixed 12 3 5 3" xfId="10723" xr:uid="{00000000-0005-0000-0000-0000E4290000}"/>
    <cellStyle name="Fixed 12 3 6" xfId="10724" xr:uid="{00000000-0005-0000-0000-0000E5290000}"/>
    <cellStyle name="Fixed 12 3 7" xfId="10725" xr:uid="{00000000-0005-0000-0000-0000E6290000}"/>
    <cellStyle name="Fixed 12 3 8" xfId="10726" xr:uid="{00000000-0005-0000-0000-0000E7290000}"/>
    <cellStyle name="Fixed 12 4" xfId="10727" xr:uid="{00000000-0005-0000-0000-0000E8290000}"/>
    <cellStyle name="Fixed 12 4 2" xfId="10728" xr:uid="{00000000-0005-0000-0000-0000E9290000}"/>
    <cellStyle name="Fixed 12 4 2 2" xfId="10729" xr:uid="{00000000-0005-0000-0000-0000EA290000}"/>
    <cellStyle name="Fixed 12 4 2 3" xfId="10730" xr:uid="{00000000-0005-0000-0000-0000EB290000}"/>
    <cellStyle name="Fixed 12 4 3" xfId="10731" xr:uid="{00000000-0005-0000-0000-0000EC290000}"/>
    <cellStyle name="Fixed 12 4 3 2" xfId="10732" xr:uid="{00000000-0005-0000-0000-0000ED290000}"/>
    <cellStyle name="Fixed 12 4 3 3" xfId="10733" xr:uid="{00000000-0005-0000-0000-0000EE290000}"/>
    <cellStyle name="Fixed 12 4 4" xfId="10734" xr:uid="{00000000-0005-0000-0000-0000EF290000}"/>
    <cellStyle name="Fixed 12 4 5" xfId="10735" xr:uid="{00000000-0005-0000-0000-0000F0290000}"/>
    <cellStyle name="Fixed 12 4 6" xfId="10736" xr:uid="{00000000-0005-0000-0000-0000F1290000}"/>
    <cellStyle name="Fixed 12 5" xfId="10737" xr:uid="{00000000-0005-0000-0000-0000F2290000}"/>
    <cellStyle name="Fixed 12 5 2" xfId="10738" xr:uid="{00000000-0005-0000-0000-0000F3290000}"/>
    <cellStyle name="Fixed 12 5 3" xfId="10739" xr:uid="{00000000-0005-0000-0000-0000F4290000}"/>
    <cellStyle name="Fixed 12 6" xfId="10740" xr:uid="{00000000-0005-0000-0000-0000F5290000}"/>
    <cellStyle name="Fixed 12 6 2" xfId="10741" xr:uid="{00000000-0005-0000-0000-0000F6290000}"/>
    <cellStyle name="Fixed 12 6 3" xfId="10742" xr:uid="{00000000-0005-0000-0000-0000F7290000}"/>
    <cellStyle name="Fixed 12 7" xfId="10743" xr:uid="{00000000-0005-0000-0000-0000F8290000}"/>
    <cellStyle name="Fixed 12 7 2" xfId="10744" xr:uid="{00000000-0005-0000-0000-0000F9290000}"/>
    <cellStyle name="Fixed 12 7 3" xfId="10745" xr:uid="{00000000-0005-0000-0000-0000FA290000}"/>
    <cellStyle name="Fixed 12 8" xfId="10746" xr:uid="{00000000-0005-0000-0000-0000FB290000}"/>
    <cellStyle name="Fixed 12 9" xfId="10747" xr:uid="{00000000-0005-0000-0000-0000FC290000}"/>
    <cellStyle name="Fixed 13" xfId="10748" xr:uid="{00000000-0005-0000-0000-0000FD290000}"/>
    <cellStyle name="Fixed 13 2" xfId="10749" xr:uid="{00000000-0005-0000-0000-0000FE290000}"/>
    <cellStyle name="Fixed 13 2 2" xfId="10750" xr:uid="{00000000-0005-0000-0000-0000FF290000}"/>
    <cellStyle name="Fixed 13 2 2 2" xfId="10751" xr:uid="{00000000-0005-0000-0000-0000002A0000}"/>
    <cellStyle name="Fixed 13 2 2 3" xfId="10752" xr:uid="{00000000-0005-0000-0000-0000012A0000}"/>
    <cellStyle name="Fixed 13 2 3" xfId="10753" xr:uid="{00000000-0005-0000-0000-0000022A0000}"/>
    <cellStyle name="Fixed 13 2 3 2" xfId="10754" xr:uid="{00000000-0005-0000-0000-0000032A0000}"/>
    <cellStyle name="Fixed 13 2 3 3" xfId="10755" xr:uid="{00000000-0005-0000-0000-0000042A0000}"/>
    <cellStyle name="Fixed 13 2 4" xfId="10756" xr:uid="{00000000-0005-0000-0000-0000052A0000}"/>
    <cellStyle name="Fixed 13 2 5" xfId="10757" xr:uid="{00000000-0005-0000-0000-0000062A0000}"/>
    <cellStyle name="Fixed 13 2 6" xfId="10758" xr:uid="{00000000-0005-0000-0000-0000072A0000}"/>
    <cellStyle name="Fixed 13 3" xfId="10759" xr:uid="{00000000-0005-0000-0000-0000082A0000}"/>
    <cellStyle name="Fixed 13 3 2" xfId="10760" xr:uid="{00000000-0005-0000-0000-0000092A0000}"/>
    <cellStyle name="Fixed 13 3 3" xfId="10761" xr:uid="{00000000-0005-0000-0000-00000A2A0000}"/>
    <cellStyle name="Fixed 13 4" xfId="10762" xr:uid="{00000000-0005-0000-0000-00000B2A0000}"/>
    <cellStyle name="Fixed 13 4 2" xfId="10763" xr:uid="{00000000-0005-0000-0000-00000C2A0000}"/>
    <cellStyle name="Fixed 13 4 3" xfId="10764" xr:uid="{00000000-0005-0000-0000-00000D2A0000}"/>
    <cellStyle name="Fixed 13 5" xfId="10765" xr:uid="{00000000-0005-0000-0000-00000E2A0000}"/>
    <cellStyle name="Fixed 13 5 2" xfId="10766" xr:uid="{00000000-0005-0000-0000-00000F2A0000}"/>
    <cellStyle name="Fixed 13 5 3" xfId="10767" xr:uid="{00000000-0005-0000-0000-0000102A0000}"/>
    <cellStyle name="Fixed 13 6" xfId="10768" xr:uid="{00000000-0005-0000-0000-0000112A0000}"/>
    <cellStyle name="Fixed 13 7" xfId="10769" xr:uid="{00000000-0005-0000-0000-0000122A0000}"/>
    <cellStyle name="Fixed 13 8" xfId="10770" xr:uid="{00000000-0005-0000-0000-0000132A0000}"/>
    <cellStyle name="Fixed 14" xfId="10771" xr:uid="{00000000-0005-0000-0000-0000142A0000}"/>
    <cellStyle name="Fixed 14 2" xfId="10772" xr:uid="{00000000-0005-0000-0000-0000152A0000}"/>
    <cellStyle name="Fixed 14 2 2" xfId="10773" xr:uid="{00000000-0005-0000-0000-0000162A0000}"/>
    <cellStyle name="Fixed 14 2 2 2" xfId="10774" xr:uid="{00000000-0005-0000-0000-0000172A0000}"/>
    <cellStyle name="Fixed 14 2 2 3" xfId="10775" xr:uid="{00000000-0005-0000-0000-0000182A0000}"/>
    <cellStyle name="Fixed 14 2 3" xfId="10776" xr:uid="{00000000-0005-0000-0000-0000192A0000}"/>
    <cellStyle name="Fixed 14 2 3 2" xfId="10777" xr:uid="{00000000-0005-0000-0000-00001A2A0000}"/>
    <cellStyle name="Fixed 14 2 3 3" xfId="10778" xr:uid="{00000000-0005-0000-0000-00001B2A0000}"/>
    <cellStyle name="Fixed 14 2 4" xfId="10779" xr:uid="{00000000-0005-0000-0000-00001C2A0000}"/>
    <cellStyle name="Fixed 14 2 5" xfId="10780" xr:uid="{00000000-0005-0000-0000-00001D2A0000}"/>
    <cellStyle name="Fixed 14 2 6" xfId="10781" xr:uid="{00000000-0005-0000-0000-00001E2A0000}"/>
    <cellStyle name="Fixed 14 3" xfId="10782" xr:uid="{00000000-0005-0000-0000-00001F2A0000}"/>
    <cellStyle name="Fixed 14 3 2" xfId="10783" xr:uid="{00000000-0005-0000-0000-0000202A0000}"/>
    <cellStyle name="Fixed 14 3 3" xfId="10784" xr:uid="{00000000-0005-0000-0000-0000212A0000}"/>
    <cellStyle name="Fixed 14 4" xfId="10785" xr:uid="{00000000-0005-0000-0000-0000222A0000}"/>
    <cellStyle name="Fixed 14 4 2" xfId="10786" xr:uid="{00000000-0005-0000-0000-0000232A0000}"/>
    <cellStyle name="Fixed 14 4 3" xfId="10787" xr:uid="{00000000-0005-0000-0000-0000242A0000}"/>
    <cellStyle name="Fixed 14 5" xfId="10788" xr:uid="{00000000-0005-0000-0000-0000252A0000}"/>
    <cellStyle name="Fixed 14 5 2" xfId="10789" xr:uid="{00000000-0005-0000-0000-0000262A0000}"/>
    <cellStyle name="Fixed 14 5 3" xfId="10790" xr:uid="{00000000-0005-0000-0000-0000272A0000}"/>
    <cellStyle name="Fixed 14 6" xfId="10791" xr:uid="{00000000-0005-0000-0000-0000282A0000}"/>
    <cellStyle name="Fixed 14 7" xfId="10792" xr:uid="{00000000-0005-0000-0000-0000292A0000}"/>
    <cellStyle name="Fixed 14 8" xfId="10793" xr:uid="{00000000-0005-0000-0000-00002A2A0000}"/>
    <cellStyle name="Fixed 15" xfId="10794" xr:uid="{00000000-0005-0000-0000-00002B2A0000}"/>
    <cellStyle name="Fixed 15 2" xfId="10795" xr:uid="{00000000-0005-0000-0000-00002C2A0000}"/>
    <cellStyle name="Fixed 15 2 2" xfId="10796" xr:uid="{00000000-0005-0000-0000-00002D2A0000}"/>
    <cellStyle name="Fixed 15 2 2 2" xfId="10797" xr:uid="{00000000-0005-0000-0000-00002E2A0000}"/>
    <cellStyle name="Fixed 15 2 2 3" xfId="10798" xr:uid="{00000000-0005-0000-0000-00002F2A0000}"/>
    <cellStyle name="Fixed 15 2 3" xfId="10799" xr:uid="{00000000-0005-0000-0000-0000302A0000}"/>
    <cellStyle name="Fixed 15 2 3 2" xfId="10800" xr:uid="{00000000-0005-0000-0000-0000312A0000}"/>
    <cellStyle name="Fixed 15 2 3 3" xfId="10801" xr:uid="{00000000-0005-0000-0000-0000322A0000}"/>
    <cellStyle name="Fixed 15 2 4" xfId="10802" xr:uid="{00000000-0005-0000-0000-0000332A0000}"/>
    <cellStyle name="Fixed 15 2 5" xfId="10803" xr:uid="{00000000-0005-0000-0000-0000342A0000}"/>
    <cellStyle name="Fixed 15 2 6" xfId="10804" xr:uid="{00000000-0005-0000-0000-0000352A0000}"/>
    <cellStyle name="Fixed 15 3" xfId="10805" xr:uid="{00000000-0005-0000-0000-0000362A0000}"/>
    <cellStyle name="Fixed 15 3 2" xfId="10806" xr:uid="{00000000-0005-0000-0000-0000372A0000}"/>
    <cellStyle name="Fixed 15 3 3" xfId="10807" xr:uid="{00000000-0005-0000-0000-0000382A0000}"/>
    <cellStyle name="Fixed 15 4" xfId="10808" xr:uid="{00000000-0005-0000-0000-0000392A0000}"/>
    <cellStyle name="Fixed 15 4 2" xfId="10809" xr:uid="{00000000-0005-0000-0000-00003A2A0000}"/>
    <cellStyle name="Fixed 15 4 3" xfId="10810" xr:uid="{00000000-0005-0000-0000-00003B2A0000}"/>
    <cellStyle name="Fixed 15 5" xfId="10811" xr:uid="{00000000-0005-0000-0000-00003C2A0000}"/>
    <cellStyle name="Fixed 15 5 2" xfId="10812" xr:uid="{00000000-0005-0000-0000-00003D2A0000}"/>
    <cellStyle name="Fixed 15 5 3" xfId="10813" xr:uid="{00000000-0005-0000-0000-00003E2A0000}"/>
    <cellStyle name="Fixed 15 6" xfId="10814" xr:uid="{00000000-0005-0000-0000-00003F2A0000}"/>
    <cellStyle name="Fixed 15 7" xfId="10815" xr:uid="{00000000-0005-0000-0000-0000402A0000}"/>
    <cellStyle name="Fixed 15 8" xfId="10816" xr:uid="{00000000-0005-0000-0000-0000412A0000}"/>
    <cellStyle name="Fixed 16" xfId="10817" xr:uid="{00000000-0005-0000-0000-0000422A0000}"/>
    <cellStyle name="Fixed 16 2" xfId="10818" xr:uid="{00000000-0005-0000-0000-0000432A0000}"/>
    <cellStyle name="Fixed 16 2 2" xfId="10819" xr:uid="{00000000-0005-0000-0000-0000442A0000}"/>
    <cellStyle name="Fixed 16 2 3" xfId="10820" xr:uid="{00000000-0005-0000-0000-0000452A0000}"/>
    <cellStyle name="Fixed 16 3" xfId="10821" xr:uid="{00000000-0005-0000-0000-0000462A0000}"/>
    <cellStyle name="Fixed 16 3 2" xfId="10822" xr:uid="{00000000-0005-0000-0000-0000472A0000}"/>
    <cellStyle name="Fixed 16 3 3" xfId="10823" xr:uid="{00000000-0005-0000-0000-0000482A0000}"/>
    <cellStyle name="Fixed 16 4" xfId="10824" xr:uid="{00000000-0005-0000-0000-0000492A0000}"/>
    <cellStyle name="Fixed 16 5" xfId="10825" xr:uid="{00000000-0005-0000-0000-00004A2A0000}"/>
    <cellStyle name="Fixed 16 6" xfId="10826" xr:uid="{00000000-0005-0000-0000-00004B2A0000}"/>
    <cellStyle name="Fixed 17" xfId="10827" xr:uid="{00000000-0005-0000-0000-00004C2A0000}"/>
    <cellStyle name="Fixed 17 2" xfId="10828" xr:uid="{00000000-0005-0000-0000-00004D2A0000}"/>
    <cellStyle name="Fixed 17 3" xfId="10829" xr:uid="{00000000-0005-0000-0000-00004E2A0000}"/>
    <cellStyle name="Fixed 18" xfId="10830" xr:uid="{00000000-0005-0000-0000-00004F2A0000}"/>
    <cellStyle name="Fixed 18 2" xfId="10831" xr:uid="{00000000-0005-0000-0000-0000502A0000}"/>
    <cellStyle name="Fixed 18 3" xfId="10832" xr:uid="{00000000-0005-0000-0000-0000512A0000}"/>
    <cellStyle name="Fixed 19" xfId="10833" xr:uid="{00000000-0005-0000-0000-0000522A0000}"/>
    <cellStyle name="Fixed 19 2" xfId="10834" xr:uid="{00000000-0005-0000-0000-0000532A0000}"/>
    <cellStyle name="Fixed 19 3" xfId="10835" xr:uid="{00000000-0005-0000-0000-0000542A0000}"/>
    <cellStyle name="Fixed 2" xfId="10836" xr:uid="{00000000-0005-0000-0000-0000552A0000}"/>
    <cellStyle name="Fixed 2 10" xfId="10837" xr:uid="{00000000-0005-0000-0000-0000562A0000}"/>
    <cellStyle name="Fixed 2 11" xfId="10838" xr:uid="{00000000-0005-0000-0000-0000572A0000}"/>
    <cellStyle name="Fixed 2 12" xfId="10839" xr:uid="{00000000-0005-0000-0000-0000582A0000}"/>
    <cellStyle name="Fixed 2 2" xfId="10840" xr:uid="{00000000-0005-0000-0000-0000592A0000}"/>
    <cellStyle name="Fixed 2 2 10" xfId="10841" xr:uid="{00000000-0005-0000-0000-00005A2A0000}"/>
    <cellStyle name="Fixed 2 2 2" xfId="10842" xr:uid="{00000000-0005-0000-0000-00005B2A0000}"/>
    <cellStyle name="Fixed 2 2 2 2" xfId="10843" xr:uid="{00000000-0005-0000-0000-00005C2A0000}"/>
    <cellStyle name="Fixed 2 2 2 2 2" xfId="10844" xr:uid="{00000000-0005-0000-0000-00005D2A0000}"/>
    <cellStyle name="Fixed 2 2 2 2 2 2" xfId="10845" xr:uid="{00000000-0005-0000-0000-00005E2A0000}"/>
    <cellStyle name="Fixed 2 2 2 2 2 3" xfId="10846" xr:uid="{00000000-0005-0000-0000-00005F2A0000}"/>
    <cellStyle name="Fixed 2 2 2 2 3" xfId="10847" xr:uid="{00000000-0005-0000-0000-0000602A0000}"/>
    <cellStyle name="Fixed 2 2 2 2 3 2" xfId="10848" xr:uid="{00000000-0005-0000-0000-0000612A0000}"/>
    <cellStyle name="Fixed 2 2 2 2 3 3" xfId="10849" xr:uid="{00000000-0005-0000-0000-0000622A0000}"/>
    <cellStyle name="Fixed 2 2 2 2 4" xfId="10850" xr:uid="{00000000-0005-0000-0000-0000632A0000}"/>
    <cellStyle name="Fixed 2 2 2 2 5" xfId="10851" xr:uid="{00000000-0005-0000-0000-0000642A0000}"/>
    <cellStyle name="Fixed 2 2 2 2 6" xfId="10852" xr:uid="{00000000-0005-0000-0000-0000652A0000}"/>
    <cellStyle name="Fixed 2 2 2 3" xfId="10853" xr:uid="{00000000-0005-0000-0000-0000662A0000}"/>
    <cellStyle name="Fixed 2 2 2 3 2" xfId="10854" xr:uid="{00000000-0005-0000-0000-0000672A0000}"/>
    <cellStyle name="Fixed 2 2 2 3 3" xfId="10855" xr:uid="{00000000-0005-0000-0000-0000682A0000}"/>
    <cellStyle name="Fixed 2 2 2 4" xfId="10856" xr:uid="{00000000-0005-0000-0000-0000692A0000}"/>
    <cellStyle name="Fixed 2 2 2 4 2" xfId="10857" xr:uid="{00000000-0005-0000-0000-00006A2A0000}"/>
    <cellStyle name="Fixed 2 2 2 4 3" xfId="10858" xr:uid="{00000000-0005-0000-0000-00006B2A0000}"/>
    <cellStyle name="Fixed 2 2 2 5" xfId="10859" xr:uid="{00000000-0005-0000-0000-00006C2A0000}"/>
    <cellStyle name="Fixed 2 2 2 5 2" xfId="10860" xr:uid="{00000000-0005-0000-0000-00006D2A0000}"/>
    <cellStyle name="Fixed 2 2 2 5 3" xfId="10861" xr:uid="{00000000-0005-0000-0000-00006E2A0000}"/>
    <cellStyle name="Fixed 2 2 2 6" xfId="10862" xr:uid="{00000000-0005-0000-0000-00006F2A0000}"/>
    <cellStyle name="Fixed 2 2 2 7" xfId="10863" xr:uid="{00000000-0005-0000-0000-0000702A0000}"/>
    <cellStyle name="Fixed 2 2 2 8" xfId="10864" xr:uid="{00000000-0005-0000-0000-0000712A0000}"/>
    <cellStyle name="Fixed 2 2 3" xfId="10865" xr:uid="{00000000-0005-0000-0000-0000722A0000}"/>
    <cellStyle name="Fixed 2 2 3 2" xfId="10866" xr:uid="{00000000-0005-0000-0000-0000732A0000}"/>
    <cellStyle name="Fixed 2 2 3 2 2" xfId="10867" xr:uid="{00000000-0005-0000-0000-0000742A0000}"/>
    <cellStyle name="Fixed 2 2 3 2 2 2" xfId="10868" xr:uid="{00000000-0005-0000-0000-0000752A0000}"/>
    <cellStyle name="Fixed 2 2 3 2 2 3" xfId="10869" xr:uid="{00000000-0005-0000-0000-0000762A0000}"/>
    <cellStyle name="Fixed 2 2 3 2 3" xfId="10870" xr:uid="{00000000-0005-0000-0000-0000772A0000}"/>
    <cellStyle name="Fixed 2 2 3 2 3 2" xfId="10871" xr:uid="{00000000-0005-0000-0000-0000782A0000}"/>
    <cellStyle name="Fixed 2 2 3 2 3 3" xfId="10872" xr:uid="{00000000-0005-0000-0000-0000792A0000}"/>
    <cellStyle name="Fixed 2 2 3 2 4" xfId="10873" xr:uid="{00000000-0005-0000-0000-00007A2A0000}"/>
    <cellStyle name="Fixed 2 2 3 2 5" xfId="10874" xr:uid="{00000000-0005-0000-0000-00007B2A0000}"/>
    <cellStyle name="Fixed 2 2 3 2 6" xfId="10875" xr:uid="{00000000-0005-0000-0000-00007C2A0000}"/>
    <cellStyle name="Fixed 2 2 3 3" xfId="10876" xr:uid="{00000000-0005-0000-0000-00007D2A0000}"/>
    <cellStyle name="Fixed 2 2 3 3 2" xfId="10877" xr:uid="{00000000-0005-0000-0000-00007E2A0000}"/>
    <cellStyle name="Fixed 2 2 3 3 3" xfId="10878" xr:uid="{00000000-0005-0000-0000-00007F2A0000}"/>
    <cellStyle name="Fixed 2 2 3 4" xfId="10879" xr:uid="{00000000-0005-0000-0000-0000802A0000}"/>
    <cellStyle name="Fixed 2 2 3 4 2" xfId="10880" xr:uid="{00000000-0005-0000-0000-0000812A0000}"/>
    <cellStyle name="Fixed 2 2 3 4 3" xfId="10881" xr:uid="{00000000-0005-0000-0000-0000822A0000}"/>
    <cellStyle name="Fixed 2 2 3 5" xfId="10882" xr:uid="{00000000-0005-0000-0000-0000832A0000}"/>
    <cellStyle name="Fixed 2 2 3 5 2" xfId="10883" xr:uid="{00000000-0005-0000-0000-0000842A0000}"/>
    <cellStyle name="Fixed 2 2 3 5 3" xfId="10884" xr:uid="{00000000-0005-0000-0000-0000852A0000}"/>
    <cellStyle name="Fixed 2 2 3 6" xfId="10885" xr:uid="{00000000-0005-0000-0000-0000862A0000}"/>
    <cellStyle name="Fixed 2 2 3 7" xfId="10886" xr:uid="{00000000-0005-0000-0000-0000872A0000}"/>
    <cellStyle name="Fixed 2 2 3 8" xfId="10887" xr:uid="{00000000-0005-0000-0000-0000882A0000}"/>
    <cellStyle name="Fixed 2 2 4" xfId="10888" xr:uid="{00000000-0005-0000-0000-0000892A0000}"/>
    <cellStyle name="Fixed 2 2 4 2" xfId="10889" xr:uid="{00000000-0005-0000-0000-00008A2A0000}"/>
    <cellStyle name="Fixed 2 2 4 2 2" xfId="10890" xr:uid="{00000000-0005-0000-0000-00008B2A0000}"/>
    <cellStyle name="Fixed 2 2 4 2 3" xfId="10891" xr:uid="{00000000-0005-0000-0000-00008C2A0000}"/>
    <cellStyle name="Fixed 2 2 4 3" xfId="10892" xr:uid="{00000000-0005-0000-0000-00008D2A0000}"/>
    <cellStyle name="Fixed 2 2 4 3 2" xfId="10893" xr:uid="{00000000-0005-0000-0000-00008E2A0000}"/>
    <cellStyle name="Fixed 2 2 4 3 3" xfId="10894" xr:uid="{00000000-0005-0000-0000-00008F2A0000}"/>
    <cellStyle name="Fixed 2 2 4 4" xfId="10895" xr:uid="{00000000-0005-0000-0000-0000902A0000}"/>
    <cellStyle name="Fixed 2 2 4 5" xfId="10896" xr:uid="{00000000-0005-0000-0000-0000912A0000}"/>
    <cellStyle name="Fixed 2 2 4 6" xfId="10897" xr:uid="{00000000-0005-0000-0000-0000922A0000}"/>
    <cellStyle name="Fixed 2 2 5" xfId="10898" xr:uid="{00000000-0005-0000-0000-0000932A0000}"/>
    <cellStyle name="Fixed 2 2 5 2" xfId="10899" xr:uid="{00000000-0005-0000-0000-0000942A0000}"/>
    <cellStyle name="Fixed 2 2 5 3" xfId="10900" xr:uid="{00000000-0005-0000-0000-0000952A0000}"/>
    <cellStyle name="Fixed 2 2 6" xfId="10901" xr:uid="{00000000-0005-0000-0000-0000962A0000}"/>
    <cellStyle name="Fixed 2 2 6 2" xfId="10902" xr:uid="{00000000-0005-0000-0000-0000972A0000}"/>
    <cellStyle name="Fixed 2 2 6 3" xfId="10903" xr:uid="{00000000-0005-0000-0000-0000982A0000}"/>
    <cellStyle name="Fixed 2 2 7" xfId="10904" xr:uid="{00000000-0005-0000-0000-0000992A0000}"/>
    <cellStyle name="Fixed 2 2 7 2" xfId="10905" xr:uid="{00000000-0005-0000-0000-00009A2A0000}"/>
    <cellStyle name="Fixed 2 2 7 3" xfId="10906" xr:uid="{00000000-0005-0000-0000-00009B2A0000}"/>
    <cellStyle name="Fixed 2 2 8" xfId="10907" xr:uid="{00000000-0005-0000-0000-00009C2A0000}"/>
    <cellStyle name="Fixed 2 2 9" xfId="10908" xr:uid="{00000000-0005-0000-0000-00009D2A0000}"/>
    <cellStyle name="Fixed 2 3" xfId="10909" xr:uid="{00000000-0005-0000-0000-00009E2A0000}"/>
    <cellStyle name="Fixed 2 3 2" xfId="10910" xr:uid="{00000000-0005-0000-0000-00009F2A0000}"/>
    <cellStyle name="Fixed 2 3 2 2" xfId="10911" xr:uid="{00000000-0005-0000-0000-0000A02A0000}"/>
    <cellStyle name="Fixed 2 3 2 2 2" xfId="10912" xr:uid="{00000000-0005-0000-0000-0000A12A0000}"/>
    <cellStyle name="Fixed 2 3 2 2 3" xfId="10913" xr:uid="{00000000-0005-0000-0000-0000A22A0000}"/>
    <cellStyle name="Fixed 2 3 2 3" xfId="10914" xr:uid="{00000000-0005-0000-0000-0000A32A0000}"/>
    <cellStyle name="Fixed 2 3 2 3 2" xfId="10915" xr:uid="{00000000-0005-0000-0000-0000A42A0000}"/>
    <cellStyle name="Fixed 2 3 2 3 3" xfId="10916" xr:uid="{00000000-0005-0000-0000-0000A52A0000}"/>
    <cellStyle name="Fixed 2 3 2 4" xfId="10917" xr:uid="{00000000-0005-0000-0000-0000A62A0000}"/>
    <cellStyle name="Fixed 2 3 2 5" xfId="10918" xr:uid="{00000000-0005-0000-0000-0000A72A0000}"/>
    <cellStyle name="Fixed 2 3 2 6" xfId="10919" xr:uid="{00000000-0005-0000-0000-0000A82A0000}"/>
    <cellStyle name="Fixed 2 3 3" xfId="10920" xr:uid="{00000000-0005-0000-0000-0000A92A0000}"/>
    <cellStyle name="Fixed 2 3 3 2" xfId="10921" xr:uid="{00000000-0005-0000-0000-0000AA2A0000}"/>
    <cellStyle name="Fixed 2 3 3 3" xfId="10922" xr:uid="{00000000-0005-0000-0000-0000AB2A0000}"/>
    <cellStyle name="Fixed 2 3 4" xfId="10923" xr:uid="{00000000-0005-0000-0000-0000AC2A0000}"/>
    <cellStyle name="Fixed 2 3 4 2" xfId="10924" xr:uid="{00000000-0005-0000-0000-0000AD2A0000}"/>
    <cellStyle name="Fixed 2 3 4 3" xfId="10925" xr:uid="{00000000-0005-0000-0000-0000AE2A0000}"/>
    <cellStyle name="Fixed 2 3 5" xfId="10926" xr:uid="{00000000-0005-0000-0000-0000AF2A0000}"/>
    <cellStyle name="Fixed 2 3 5 2" xfId="10927" xr:uid="{00000000-0005-0000-0000-0000B02A0000}"/>
    <cellStyle name="Fixed 2 3 5 3" xfId="10928" xr:uid="{00000000-0005-0000-0000-0000B12A0000}"/>
    <cellStyle name="Fixed 2 3 6" xfId="10929" xr:uid="{00000000-0005-0000-0000-0000B22A0000}"/>
    <cellStyle name="Fixed 2 3 7" xfId="10930" xr:uid="{00000000-0005-0000-0000-0000B32A0000}"/>
    <cellStyle name="Fixed 2 3 8" xfId="10931" xr:uid="{00000000-0005-0000-0000-0000B42A0000}"/>
    <cellStyle name="Fixed 2 4" xfId="10932" xr:uid="{00000000-0005-0000-0000-0000B52A0000}"/>
    <cellStyle name="Fixed 2 4 2" xfId="10933" xr:uid="{00000000-0005-0000-0000-0000B62A0000}"/>
    <cellStyle name="Fixed 2 4 2 2" xfId="10934" xr:uid="{00000000-0005-0000-0000-0000B72A0000}"/>
    <cellStyle name="Fixed 2 4 2 2 2" xfId="10935" xr:uid="{00000000-0005-0000-0000-0000B82A0000}"/>
    <cellStyle name="Fixed 2 4 2 2 3" xfId="10936" xr:uid="{00000000-0005-0000-0000-0000B92A0000}"/>
    <cellStyle name="Fixed 2 4 2 3" xfId="10937" xr:uid="{00000000-0005-0000-0000-0000BA2A0000}"/>
    <cellStyle name="Fixed 2 4 2 3 2" xfId="10938" xr:uid="{00000000-0005-0000-0000-0000BB2A0000}"/>
    <cellStyle name="Fixed 2 4 2 3 3" xfId="10939" xr:uid="{00000000-0005-0000-0000-0000BC2A0000}"/>
    <cellStyle name="Fixed 2 4 2 4" xfId="10940" xr:uid="{00000000-0005-0000-0000-0000BD2A0000}"/>
    <cellStyle name="Fixed 2 4 2 5" xfId="10941" xr:uid="{00000000-0005-0000-0000-0000BE2A0000}"/>
    <cellStyle name="Fixed 2 4 2 6" xfId="10942" xr:uid="{00000000-0005-0000-0000-0000BF2A0000}"/>
    <cellStyle name="Fixed 2 4 3" xfId="10943" xr:uid="{00000000-0005-0000-0000-0000C02A0000}"/>
    <cellStyle name="Fixed 2 4 3 2" xfId="10944" xr:uid="{00000000-0005-0000-0000-0000C12A0000}"/>
    <cellStyle name="Fixed 2 4 3 3" xfId="10945" xr:uid="{00000000-0005-0000-0000-0000C22A0000}"/>
    <cellStyle name="Fixed 2 4 4" xfId="10946" xr:uid="{00000000-0005-0000-0000-0000C32A0000}"/>
    <cellStyle name="Fixed 2 4 4 2" xfId="10947" xr:uid="{00000000-0005-0000-0000-0000C42A0000}"/>
    <cellStyle name="Fixed 2 4 4 3" xfId="10948" xr:uid="{00000000-0005-0000-0000-0000C52A0000}"/>
    <cellStyle name="Fixed 2 4 5" xfId="10949" xr:uid="{00000000-0005-0000-0000-0000C62A0000}"/>
    <cellStyle name="Fixed 2 4 5 2" xfId="10950" xr:uid="{00000000-0005-0000-0000-0000C72A0000}"/>
    <cellStyle name="Fixed 2 4 5 3" xfId="10951" xr:uid="{00000000-0005-0000-0000-0000C82A0000}"/>
    <cellStyle name="Fixed 2 4 6" xfId="10952" xr:uid="{00000000-0005-0000-0000-0000C92A0000}"/>
    <cellStyle name="Fixed 2 4 7" xfId="10953" xr:uid="{00000000-0005-0000-0000-0000CA2A0000}"/>
    <cellStyle name="Fixed 2 4 8" xfId="10954" xr:uid="{00000000-0005-0000-0000-0000CB2A0000}"/>
    <cellStyle name="Fixed 2 5" xfId="10955" xr:uid="{00000000-0005-0000-0000-0000CC2A0000}"/>
    <cellStyle name="Fixed 2 5 2" xfId="10956" xr:uid="{00000000-0005-0000-0000-0000CD2A0000}"/>
    <cellStyle name="Fixed 2 5 2 2" xfId="10957" xr:uid="{00000000-0005-0000-0000-0000CE2A0000}"/>
    <cellStyle name="Fixed 2 5 2 2 2" xfId="10958" xr:uid="{00000000-0005-0000-0000-0000CF2A0000}"/>
    <cellStyle name="Fixed 2 5 2 2 3" xfId="10959" xr:uid="{00000000-0005-0000-0000-0000D02A0000}"/>
    <cellStyle name="Fixed 2 5 2 3" xfId="10960" xr:uid="{00000000-0005-0000-0000-0000D12A0000}"/>
    <cellStyle name="Fixed 2 5 2 3 2" xfId="10961" xr:uid="{00000000-0005-0000-0000-0000D22A0000}"/>
    <cellStyle name="Fixed 2 5 2 3 3" xfId="10962" xr:uid="{00000000-0005-0000-0000-0000D32A0000}"/>
    <cellStyle name="Fixed 2 5 2 4" xfId="10963" xr:uid="{00000000-0005-0000-0000-0000D42A0000}"/>
    <cellStyle name="Fixed 2 5 2 5" xfId="10964" xr:uid="{00000000-0005-0000-0000-0000D52A0000}"/>
    <cellStyle name="Fixed 2 5 2 6" xfId="10965" xr:uid="{00000000-0005-0000-0000-0000D62A0000}"/>
    <cellStyle name="Fixed 2 5 3" xfId="10966" xr:uid="{00000000-0005-0000-0000-0000D72A0000}"/>
    <cellStyle name="Fixed 2 5 3 2" xfId="10967" xr:uid="{00000000-0005-0000-0000-0000D82A0000}"/>
    <cellStyle name="Fixed 2 5 3 3" xfId="10968" xr:uid="{00000000-0005-0000-0000-0000D92A0000}"/>
    <cellStyle name="Fixed 2 5 4" xfId="10969" xr:uid="{00000000-0005-0000-0000-0000DA2A0000}"/>
    <cellStyle name="Fixed 2 5 4 2" xfId="10970" xr:uid="{00000000-0005-0000-0000-0000DB2A0000}"/>
    <cellStyle name="Fixed 2 5 4 3" xfId="10971" xr:uid="{00000000-0005-0000-0000-0000DC2A0000}"/>
    <cellStyle name="Fixed 2 5 5" xfId="10972" xr:uid="{00000000-0005-0000-0000-0000DD2A0000}"/>
    <cellStyle name="Fixed 2 5 5 2" xfId="10973" xr:uid="{00000000-0005-0000-0000-0000DE2A0000}"/>
    <cellStyle name="Fixed 2 5 5 3" xfId="10974" xr:uid="{00000000-0005-0000-0000-0000DF2A0000}"/>
    <cellStyle name="Fixed 2 5 6" xfId="10975" xr:uid="{00000000-0005-0000-0000-0000E02A0000}"/>
    <cellStyle name="Fixed 2 5 7" xfId="10976" xr:uid="{00000000-0005-0000-0000-0000E12A0000}"/>
    <cellStyle name="Fixed 2 5 8" xfId="10977" xr:uid="{00000000-0005-0000-0000-0000E22A0000}"/>
    <cellStyle name="Fixed 2 6" xfId="10978" xr:uid="{00000000-0005-0000-0000-0000E32A0000}"/>
    <cellStyle name="Fixed 2 6 2" xfId="10979" xr:uid="{00000000-0005-0000-0000-0000E42A0000}"/>
    <cellStyle name="Fixed 2 6 2 2" xfId="10980" xr:uid="{00000000-0005-0000-0000-0000E52A0000}"/>
    <cellStyle name="Fixed 2 6 2 3" xfId="10981" xr:uid="{00000000-0005-0000-0000-0000E62A0000}"/>
    <cellStyle name="Fixed 2 6 3" xfId="10982" xr:uid="{00000000-0005-0000-0000-0000E72A0000}"/>
    <cellStyle name="Fixed 2 6 3 2" xfId="10983" xr:uid="{00000000-0005-0000-0000-0000E82A0000}"/>
    <cellStyle name="Fixed 2 6 3 3" xfId="10984" xr:uid="{00000000-0005-0000-0000-0000E92A0000}"/>
    <cellStyle name="Fixed 2 6 4" xfId="10985" xr:uid="{00000000-0005-0000-0000-0000EA2A0000}"/>
    <cellStyle name="Fixed 2 6 5" xfId="10986" xr:uid="{00000000-0005-0000-0000-0000EB2A0000}"/>
    <cellStyle name="Fixed 2 6 6" xfId="10987" xr:uid="{00000000-0005-0000-0000-0000EC2A0000}"/>
    <cellStyle name="Fixed 2 7" xfId="10988" xr:uid="{00000000-0005-0000-0000-0000ED2A0000}"/>
    <cellStyle name="Fixed 2 7 2" xfId="10989" xr:uid="{00000000-0005-0000-0000-0000EE2A0000}"/>
    <cellStyle name="Fixed 2 7 3" xfId="10990" xr:uid="{00000000-0005-0000-0000-0000EF2A0000}"/>
    <cellStyle name="Fixed 2 7 4" xfId="10991" xr:uid="{00000000-0005-0000-0000-0000F02A0000}"/>
    <cellStyle name="Fixed 2 8" xfId="10992" xr:uid="{00000000-0005-0000-0000-0000F12A0000}"/>
    <cellStyle name="Fixed 2 8 2" xfId="10993" xr:uid="{00000000-0005-0000-0000-0000F22A0000}"/>
    <cellStyle name="Fixed 2 8 3" xfId="10994" xr:uid="{00000000-0005-0000-0000-0000F32A0000}"/>
    <cellStyle name="Fixed 2 9" xfId="10995" xr:uid="{00000000-0005-0000-0000-0000F42A0000}"/>
    <cellStyle name="Fixed 2 9 2" xfId="10996" xr:uid="{00000000-0005-0000-0000-0000F52A0000}"/>
    <cellStyle name="Fixed 2 9 3" xfId="10997" xr:uid="{00000000-0005-0000-0000-0000F62A0000}"/>
    <cellStyle name="Fixed 20" xfId="10998" xr:uid="{00000000-0005-0000-0000-0000F72A0000}"/>
    <cellStyle name="Fixed 21" xfId="10999" xr:uid="{00000000-0005-0000-0000-0000F82A0000}"/>
    <cellStyle name="Fixed 22" xfId="11000" xr:uid="{00000000-0005-0000-0000-0000F92A0000}"/>
    <cellStyle name="Fixed 3" xfId="11001" xr:uid="{00000000-0005-0000-0000-0000FA2A0000}"/>
    <cellStyle name="Fixed 3 10" xfId="11002" xr:uid="{00000000-0005-0000-0000-0000FB2A0000}"/>
    <cellStyle name="Fixed 3 11" xfId="11003" xr:uid="{00000000-0005-0000-0000-0000FC2A0000}"/>
    <cellStyle name="Fixed 3 12" xfId="11004" xr:uid="{00000000-0005-0000-0000-0000FD2A0000}"/>
    <cellStyle name="Fixed 3 2" xfId="11005" xr:uid="{00000000-0005-0000-0000-0000FE2A0000}"/>
    <cellStyle name="Fixed 3 2 10" xfId="11006" xr:uid="{00000000-0005-0000-0000-0000FF2A0000}"/>
    <cellStyle name="Fixed 3 2 2" xfId="11007" xr:uid="{00000000-0005-0000-0000-0000002B0000}"/>
    <cellStyle name="Fixed 3 2 2 2" xfId="11008" xr:uid="{00000000-0005-0000-0000-0000012B0000}"/>
    <cellStyle name="Fixed 3 2 2 2 2" xfId="11009" xr:uid="{00000000-0005-0000-0000-0000022B0000}"/>
    <cellStyle name="Fixed 3 2 2 2 2 2" xfId="11010" xr:uid="{00000000-0005-0000-0000-0000032B0000}"/>
    <cellStyle name="Fixed 3 2 2 2 2 3" xfId="11011" xr:uid="{00000000-0005-0000-0000-0000042B0000}"/>
    <cellStyle name="Fixed 3 2 2 2 3" xfId="11012" xr:uid="{00000000-0005-0000-0000-0000052B0000}"/>
    <cellStyle name="Fixed 3 2 2 2 3 2" xfId="11013" xr:uid="{00000000-0005-0000-0000-0000062B0000}"/>
    <cellStyle name="Fixed 3 2 2 2 3 3" xfId="11014" xr:uid="{00000000-0005-0000-0000-0000072B0000}"/>
    <cellStyle name="Fixed 3 2 2 2 4" xfId="11015" xr:uid="{00000000-0005-0000-0000-0000082B0000}"/>
    <cellStyle name="Fixed 3 2 2 2 5" xfId="11016" xr:uid="{00000000-0005-0000-0000-0000092B0000}"/>
    <cellStyle name="Fixed 3 2 2 2 6" xfId="11017" xr:uid="{00000000-0005-0000-0000-00000A2B0000}"/>
    <cellStyle name="Fixed 3 2 2 3" xfId="11018" xr:uid="{00000000-0005-0000-0000-00000B2B0000}"/>
    <cellStyle name="Fixed 3 2 2 3 2" xfId="11019" xr:uid="{00000000-0005-0000-0000-00000C2B0000}"/>
    <cellStyle name="Fixed 3 2 2 3 3" xfId="11020" xr:uid="{00000000-0005-0000-0000-00000D2B0000}"/>
    <cellStyle name="Fixed 3 2 2 4" xfId="11021" xr:uid="{00000000-0005-0000-0000-00000E2B0000}"/>
    <cellStyle name="Fixed 3 2 2 4 2" xfId="11022" xr:uid="{00000000-0005-0000-0000-00000F2B0000}"/>
    <cellStyle name="Fixed 3 2 2 4 3" xfId="11023" xr:uid="{00000000-0005-0000-0000-0000102B0000}"/>
    <cellStyle name="Fixed 3 2 2 5" xfId="11024" xr:uid="{00000000-0005-0000-0000-0000112B0000}"/>
    <cellStyle name="Fixed 3 2 2 5 2" xfId="11025" xr:uid="{00000000-0005-0000-0000-0000122B0000}"/>
    <cellStyle name="Fixed 3 2 2 5 3" xfId="11026" xr:uid="{00000000-0005-0000-0000-0000132B0000}"/>
    <cellStyle name="Fixed 3 2 2 6" xfId="11027" xr:uid="{00000000-0005-0000-0000-0000142B0000}"/>
    <cellStyle name="Fixed 3 2 2 7" xfId="11028" xr:uid="{00000000-0005-0000-0000-0000152B0000}"/>
    <cellStyle name="Fixed 3 2 2 8" xfId="11029" xr:uid="{00000000-0005-0000-0000-0000162B0000}"/>
    <cellStyle name="Fixed 3 2 3" xfId="11030" xr:uid="{00000000-0005-0000-0000-0000172B0000}"/>
    <cellStyle name="Fixed 3 2 3 2" xfId="11031" xr:uid="{00000000-0005-0000-0000-0000182B0000}"/>
    <cellStyle name="Fixed 3 2 3 2 2" xfId="11032" xr:uid="{00000000-0005-0000-0000-0000192B0000}"/>
    <cellStyle name="Fixed 3 2 3 2 2 2" xfId="11033" xr:uid="{00000000-0005-0000-0000-00001A2B0000}"/>
    <cellStyle name="Fixed 3 2 3 2 2 3" xfId="11034" xr:uid="{00000000-0005-0000-0000-00001B2B0000}"/>
    <cellStyle name="Fixed 3 2 3 2 3" xfId="11035" xr:uid="{00000000-0005-0000-0000-00001C2B0000}"/>
    <cellStyle name="Fixed 3 2 3 2 3 2" xfId="11036" xr:uid="{00000000-0005-0000-0000-00001D2B0000}"/>
    <cellStyle name="Fixed 3 2 3 2 3 3" xfId="11037" xr:uid="{00000000-0005-0000-0000-00001E2B0000}"/>
    <cellStyle name="Fixed 3 2 3 2 4" xfId="11038" xr:uid="{00000000-0005-0000-0000-00001F2B0000}"/>
    <cellStyle name="Fixed 3 2 3 2 5" xfId="11039" xr:uid="{00000000-0005-0000-0000-0000202B0000}"/>
    <cellStyle name="Fixed 3 2 3 2 6" xfId="11040" xr:uid="{00000000-0005-0000-0000-0000212B0000}"/>
    <cellStyle name="Fixed 3 2 3 3" xfId="11041" xr:uid="{00000000-0005-0000-0000-0000222B0000}"/>
    <cellStyle name="Fixed 3 2 3 3 2" xfId="11042" xr:uid="{00000000-0005-0000-0000-0000232B0000}"/>
    <cellStyle name="Fixed 3 2 3 3 3" xfId="11043" xr:uid="{00000000-0005-0000-0000-0000242B0000}"/>
    <cellStyle name="Fixed 3 2 3 4" xfId="11044" xr:uid="{00000000-0005-0000-0000-0000252B0000}"/>
    <cellStyle name="Fixed 3 2 3 4 2" xfId="11045" xr:uid="{00000000-0005-0000-0000-0000262B0000}"/>
    <cellStyle name="Fixed 3 2 3 4 3" xfId="11046" xr:uid="{00000000-0005-0000-0000-0000272B0000}"/>
    <cellStyle name="Fixed 3 2 3 5" xfId="11047" xr:uid="{00000000-0005-0000-0000-0000282B0000}"/>
    <cellStyle name="Fixed 3 2 3 5 2" xfId="11048" xr:uid="{00000000-0005-0000-0000-0000292B0000}"/>
    <cellStyle name="Fixed 3 2 3 5 3" xfId="11049" xr:uid="{00000000-0005-0000-0000-00002A2B0000}"/>
    <cellStyle name="Fixed 3 2 3 6" xfId="11050" xr:uid="{00000000-0005-0000-0000-00002B2B0000}"/>
    <cellStyle name="Fixed 3 2 3 7" xfId="11051" xr:uid="{00000000-0005-0000-0000-00002C2B0000}"/>
    <cellStyle name="Fixed 3 2 3 8" xfId="11052" xr:uid="{00000000-0005-0000-0000-00002D2B0000}"/>
    <cellStyle name="Fixed 3 2 4" xfId="11053" xr:uid="{00000000-0005-0000-0000-00002E2B0000}"/>
    <cellStyle name="Fixed 3 2 4 2" xfId="11054" xr:uid="{00000000-0005-0000-0000-00002F2B0000}"/>
    <cellStyle name="Fixed 3 2 4 2 2" xfId="11055" xr:uid="{00000000-0005-0000-0000-0000302B0000}"/>
    <cellStyle name="Fixed 3 2 4 2 3" xfId="11056" xr:uid="{00000000-0005-0000-0000-0000312B0000}"/>
    <cellStyle name="Fixed 3 2 4 3" xfId="11057" xr:uid="{00000000-0005-0000-0000-0000322B0000}"/>
    <cellStyle name="Fixed 3 2 4 3 2" xfId="11058" xr:uid="{00000000-0005-0000-0000-0000332B0000}"/>
    <cellStyle name="Fixed 3 2 4 3 3" xfId="11059" xr:uid="{00000000-0005-0000-0000-0000342B0000}"/>
    <cellStyle name="Fixed 3 2 4 4" xfId="11060" xr:uid="{00000000-0005-0000-0000-0000352B0000}"/>
    <cellStyle name="Fixed 3 2 4 5" xfId="11061" xr:uid="{00000000-0005-0000-0000-0000362B0000}"/>
    <cellStyle name="Fixed 3 2 4 6" xfId="11062" xr:uid="{00000000-0005-0000-0000-0000372B0000}"/>
    <cellStyle name="Fixed 3 2 5" xfId="11063" xr:uid="{00000000-0005-0000-0000-0000382B0000}"/>
    <cellStyle name="Fixed 3 2 5 2" xfId="11064" xr:uid="{00000000-0005-0000-0000-0000392B0000}"/>
    <cellStyle name="Fixed 3 2 5 3" xfId="11065" xr:uid="{00000000-0005-0000-0000-00003A2B0000}"/>
    <cellStyle name="Fixed 3 2 6" xfId="11066" xr:uid="{00000000-0005-0000-0000-00003B2B0000}"/>
    <cellStyle name="Fixed 3 2 6 2" xfId="11067" xr:uid="{00000000-0005-0000-0000-00003C2B0000}"/>
    <cellStyle name="Fixed 3 2 6 3" xfId="11068" xr:uid="{00000000-0005-0000-0000-00003D2B0000}"/>
    <cellStyle name="Fixed 3 2 7" xfId="11069" xr:uid="{00000000-0005-0000-0000-00003E2B0000}"/>
    <cellStyle name="Fixed 3 2 7 2" xfId="11070" xr:uid="{00000000-0005-0000-0000-00003F2B0000}"/>
    <cellStyle name="Fixed 3 2 7 3" xfId="11071" xr:uid="{00000000-0005-0000-0000-0000402B0000}"/>
    <cellStyle name="Fixed 3 2 8" xfId="11072" xr:uid="{00000000-0005-0000-0000-0000412B0000}"/>
    <cellStyle name="Fixed 3 2 9" xfId="11073" xr:uid="{00000000-0005-0000-0000-0000422B0000}"/>
    <cellStyle name="Fixed 3 3" xfId="11074" xr:uid="{00000000-0005-0000-0000-0000432B0000}"/>
    <cellStyle name="Fixed 3 3 2" xfId="11075" xr:uid="{00000000-0005-0000-0000-0000442B0000}"/>
    <cellStyle name="Fixed 3 3 2 2" xfId="11076" xr:uid="{00000000-0005-0000-0000-0000452B0000}"/>
    <cellStyle name="Fixed 3 3 2 2 2" xfId="11077" xr:uid="{00000000-0005-0000-0000-0000462B0000}"/>
    <cellStyle name="Fixed 3 3 2 2 3" xfId="11078" xr:uid="{00000000-0005-0000-0000-0000472B0000}"/>
    <cellStyle name="Fixed 3 3 2 3" xfId="11079" xr:uid="{00000000-0005-0000-0000-0000482B0000}"/>
    <cellStyle name="Fixed 3 3 2 3 2" xfId="11080" xr:uid="{00000000-0005-0000-0000-0000492B0000}"/>
    <cellStyle name="Fixed 3 3 2 3 3" xfId="11081" xr:uid="{00000000-0005-0000-0000-00004A2B0000}"/>
    <cellStyle name="Fixed 3 3 2 4" xfId="11082" xr:uid="{00000000-0005-0000-0000-00004B2B0000}"/>
    <cellStyle name="Fixed 3 3 2 5" xfId="11083" xr:uid="{00000000-0005-0000-0000-00004C2B0000}"/>
    <cellStyle name="Fixed 3 3 2 6" xfId="11084" xr:uid="{00000000-0005-0000-0000-00004D2B0000}"/>
    <cellStyle name="Fixed 3 3 3" xfId="11085" xr:uid="{00000000-0005-0000-0000-00004E2B0000}"/>
    <cellStyle name="Fixed 3 3 3 2" xfId="11086" xr:uid="{00000000-0005-0000-0000-00004F2B0000}"/>
    <cellStyle name="Fixed 3 3 3 3" xfId="11087" xr:uid="{00000000-0005-0000-0000-0000502B0000}"/>
    <cellStyle name="Fixed 3 3 4" xfId="11088" xr:uid="{00000000-0005-0000-0000-0000512B0000}"/>
    <cellStyle name="Fixed 3 3 4 2" xfId="11089" xr:uid="{00000000-0005-0000-0000-0000522B0000}"/>
    <cellStyle name="Fixed 3 3 4 3" xfId="11090" xr:uid="{00000000-0005-0000-0000-0000532B0000}"/>
    <cellStyle name="Fixed 3 3 5" xfId="11091" xr:uid="{00000000-0005-0000-0000-0000542B0000}"/>
    <cellStyle name="Fixed 3 3 5 2" xfId="11092" xr:uid="{00000000-0005-0000-0000-0000552B0000}"/>
    <cellStyle name="Fixed 3 3 5 3" xfId="11093" xr:uid="{00000000-0005-0000-0000-0000562B0000}"/>
    <cellStyle name="Fixed 3 3 6" xfId="11094" xr:uid="{00000000-0005-0000-0000-0000572B0000}"/>
    <cellStyle name="Fixed 3 3 7" xfId="11095" xr:uid="{00000000-0005-0000-0000-0000582B0000}"/>
    <cellStyle name="Fixed 3 3 8" xfId="11096" xr:uid="{00000000-0005-0000-0000-0000592B0000}"/>
    <cellStyle name="Fixed 3 4" xfId="11097" xr:uid="{00000000-0005-0000-0000-00005A2B0000}"/>
    <cellStyle name="Fixed 3 4 2" xfId="11098" xr:uid="{00000000-0005-0000-0000-00005B2B0000}"/>
    <cellStyle name="Fixed 3 4 2 2" xfId="11099" xr:uid="{00000000-0005-0000-0000-00005C2B0000}"/>
    <cellStyle name="Fixed 3 4 2 2 2" xfId="11100" xr:uid="{00000000-0005-0000-0000-00005D2B0000}"/>
    <cellStyle name="Fixed 3 4 2 2 3" xfId="11101" xr:uid="{00000000-0005-0000-0000-00005E2B0000}"/>
    <cellStyle name="Fixed 3 4 2 3" xfId="11102" xr:uid="{00000000-0005-0000-0000-00005F2B0000}"/>
    <cellStyle name="Fixed 3 4 2 3 2" xfId="11103" xr:uid="{00000000-0005-0000-0000-0000602B0000}"/>
    <cellStyle name="Fixed 3 4 2 3 3" xfId="11104" xr:uid="{00000000-0005-0000-0000-0000612B0000}"/>
    <cellStyle name="Fixed 3 4 2 4" xfId="11105" xr:uid="{00000000-0005-0000-0000-0000622B0000}"/>
    <cellStyle name="Fixed 3 4 2 5" xfId="11106" xr:uid="{00000000-0005-0000-0000-0000632B0000}"/>
    <cellStyle name="Fixed 3 4 2 6" xfId="11107" xr:uid="{00000000-0005-0000-0000-0000642B0000}"/>
    <cellStyle name="Fixed 3 4 3" xfId="11108" xr:uid="{00000000-0005-0000-0000-0000652B0000}"/>
    <cellStyle name="Fixed 3 4 3 2" xfId="11109" xr:uid="{00000000-0005-0000-0000-0000662B0000}"/>
    <cellStyle name="Fixed 3 4 3 3" xfId="11110" xr:uid="{00000000-0005-0000-0000-0000672B0000}"/>
    <cellStyle name="Fixed 3 4 4" xfId="11111" xr:uid="{00000000-0005-0000-0000-0000682B0000}"/>
    <cellStyle name="Fixed 3 4 4 2" xfId="11112" xr:uid="{00000000-0005-0000-0000-0000692B0000}"/>
    <cellStyle name="Fixed 3 4 4 3" xfId="11113" xr:uid="{00000000-0005-0000-0000-00006A2B0000}"/>
    <cellStyle name="Fixed 3 4 5" xfId="11114" xr:uid="{00000000-0005-0000-0000-00006B2B0000}"/>
    <cellStyle name="Fixed 3 4 5 2" xfId="11115" xr:uid="{00000000-0005-0000-0000-00006C2B0000}"/>
    <cellStyle name="Fixed 3 4 5 3" xfId="11116" xr:uid="{00000000-0005-0000-0000-00006D2B0000}"/>
    <cellStyle name="Fixed 3 4 6" xfId="11117" xr:uid="{00000000-0005-0000-0000-00006E2B0000}"/>
    <cellStyle name="Fixed 3 4 7" xfId="11118" xr:uid="{00000000-0005-0000-0000-00006F2B0000}"/>
    <cellStyle name="Fixed 3 4 8" xfId="11119" xr:uid="{00000000-0005-0000-0000-0000702B0000}"/>
    <cellStyle name="Fixed 3 5" xfId="11120" xr:uid="{00000000-0005-0000-0000-0000712B0000}"/>
    <cellStyle name="Fixed 3 5 2" xfId="11121" xr:uid="{00000000-0005-0000-0000-0000722B0000}"/>
    <cellStyle name="Fixed 3 5 2 2" xfId="11122" xr:uid="{00000000-0005-0000-0000-0000732B0000}"/>
    <cellStyle name="Fixed 3 5 2 2 2" xfId="11123" xr:uid="{00000000-0005-0000-0000-0000742B0000}"/>
    <cellStyle name="Fixed 3 5 2 2 3" xfId="11124" xr:uid="{00000000-0005-0000-0000-0000752B0000}"/>
    <cellStyle name="Fixed 3 5 2 3" xfId="11125" xr:uid="{00000000-0005-0000-0000-0000762B0000}"/>
    <cellStyle name="Fixed 3 5 2 3 2" xfId="11126" xr:uid="{00000000-0005-0000-0000-0000772B0000}"/>
    <cellStyle name="Fixed 3 5 2 3 3" xfId="11127" xr:uid="{00000000-0005-0000-0000-0000782B0000}"/>
    <cellStyle name="Fixed 3 5 2 4" xfId="11128" xr:uid="{00000000-0005-0000-0000-0000792B0000}"/>
    <cellStyle name="Fixed 3 5 2 5" xfId="11129" xr:uid="{00000000-0005-0000-0000-00007A2B0000}"/>
    <cellStyle name="Fixed 3 5 2 6" xfId="11130" xr:uid="{00000000-0005-0000-0000-00007B2B0000}"/>
    <cellStyle name="Fixed 3 5 3" xfId="11131" xr:uid="{00000000-0005-0000-0000-00007C2B0000}"/>
    <cellStyle name="Fixed 3 5 3 2" xfId="11132" xr:uid="{00000000-0005-0000-0000-00007D2B0000}"/>
    <cellStyle name="Fixed 3 5 3 3" xfId="11133" xr:uid="{00000000-0005-0000-0000-00007E2B0000}"/>
    <cellStyle name="Fixed 3 5 4" xfId="11134" xr:uid="{00000000-0005-0000-0000-00007F2B0000}"/>
    <cellStyle name="Fixed 3 5 4 2" xfId="11135" xr:uid="{00000000-0005-0000-0000-0000802B0000}"/>
    <cellStyle name="Fixed 3 5 4 3" xfId="11136" xr:uid="{00000000-0005-0000-0000-0000812B0000}"/>
    <cellStyle name="Fixed 3 5 5" xfId="11137" xr:uid="{00000000-0005-0000-0000-0000822B0000}"/>
    <cellStyle name="Fixed 3 5 5 2" xfId="11138" xr:uid="{00000000-0005-0000-0000-0000832B0000}"/>
    <cellStyle name="Fixed 3 5 5 3" xfId="11139" xr:uid="{00000000-0005-0000-0000-0000842B0000}"/>
    <cellStyle name="Fixed 3 5 6" xfId="11140" xr:uid="{00000000-0005-0000-0000-0000852B0000}"/>
    <cellStyle name="Fixed 3 5 7" xfId="11141" xr:uid="{00000000-0005-0000-0000-0000862B0000}"/>
    <cellStyle name="Fixed 3 5 8" xfId="11142" xr:uid="{00000000-0005-0000-0000-0000872B0000}"/>
    <cellStyle name="Fixed 3 6" xfId="11143" xr:uid="{00000000-0005-0000-0000-0000882B0000}"/>
    <cellStyle name="Fixed 3 6 2" xfId="11144" xr:uid="{00000000-0005-0000-0000-0000892B0000}"/>
    <cellStyle name="Fixed 3 6 2 2" xfId="11145" xr:uid="{00000000-0005-0000-0000-00008A2B0000}"/>
    <cellStyle name="Fixed 3 6 2 3" xfId="11146" xr:uid="{00000000-0005-0000-0000-00008B2B0000}"/>
    <cellStyle name="Fixed 3 6 3" xfId="11147" xr:uid="{00000000-0005-0000-0000-00008C2B0000}"/>
    <cellStyle name="Fixed 3 6 3 2" xfId="11148" xr:uid="{00000000-0005-0000-0000-00008D2B0000}"/>
    <cellStyle name="Fixed 3 6 3 3" xfId="11149" xr:uid="{00000000-0005-0000-0000-00008E2B0000}"/>
    <cellStyle name="Fixed 3 6 4" xfId="11150" xr:uid="{00000000-0005-0000-0000-00008F2B0000}"/>
    <cellStyle name="Fixed 3 6 5" xfId="11151" xr:uid="{00000000-0005-0000-0000-0000902B0000}"/>
    <cellStyle name="Fixed 3 6 6" xfId="11152" xr:uid="{00000000-0005-0000-0000-0000912B0000}"/>
    <cellStyle name="Fixed 3 7" xfId="11153" xr:uid="{00000000-0005-0000-0000-0000922B0000}"/>
    <cellStyle name="Fixed 3 7 2" xfId="11154" xr:uid="{00000000-0005-0000-0000-0000932B0000}"/>
    <cellStyle name="Fixed 3 7 3" xfId="11155" xr:uid="{00000000-0005-0000-0000-0000942B0000}"/>
    <cellStyle name="Fixed 3 7 4" xfId="11156" xr:uid="{00000000-0005-0000-0000-0000952B0000}"/>
    <cellStyle name="Fixed 3 8" xfId="11157" xr:uid="{00000000-0005-0000-0000-0000962B0000}"/>
    <cellStyle name="Fixed 3 8 2" xfId="11158" xr:uid="{00000000-0005-0000-0000-0000972B0000}"/>
    <cellStyle name="Fixed 3 8 3" xfId="11159" xr:uid="{00000000-0005-0000-0000-0000982B0000}"/>
    <cellStyle name="Fixed 3 9" xfId="11160" xr:uid="{00000000-0005-0000-0000-0000992B0000}"/>
    <cellStyle name="Fixed 3 9 2" xfId="11161" xr:uid="{00000000-0005-0000-0000-00009A2B0000}"/>
    <cellStyle name="Fixed 3 9 3" xfId="11162" xr:uid="{00000000-0005-0000-0000-00009B2B0000}"/>
    <cellStyle name="Fixed 4" xfId="11163" xr:uid="{00000000-0005-0000-0000-00009C2B0000}"/>
    <cellStyle name="Fixed 4 10" xfId="11164" xr:uid="{00000000-0005-0000-0000-00009D2B0000}"/>
    <cellStyle name="Fixed 4 11" xfId="11165" xr:uid="{00000000-0005-0000-0000-00009E2B0000}"/>
    <cellStyle name="Fixed 4 12" xfId="11166" xr:uid="{00000000-0005-0000-0000-00009F2B0000}"/>
    <cellStyle name="Fixed 4 2" xfId="11167" xr:uid="{00000000-0005-0000-0000-0000A02B0000}"/>
    <cellStyle name="Fixed 4 2 10" xfId="11168" xr:uid="{00000000-0005-0000-0000-0000A12B0000}"/>
    <cellStyle name="Fixed 4 2 2" xfId="11169" xr:uid="{00000000-0005-0000-0000-0000A22B0000}"/>
    <cellStyle name="Fixed 4 2 2 2" xfId="11170" xr:uid="{00000000-0005-0000-0000-0000A32B0000}"/>
    <cellStyle name="Fixed 4 2 2 2 2" xfId="11171" xr:uid="{00000000-0005-0000-0000-0000A42B0000}"/>
    <cellStyle name="Fixed 4 2 2 2 2 2" xfId="11172" xr:uid="{00000000-0005-0000-0000-0000A52B0000}"/>
    <cellStyle name="Fixed 4 2 2 2 2 3" xfId="11173" xr:uid="{00000000-0005-0000-0000-0000A62B0000}"/>
    <cellStyle name="Fixed 4 2 2 2 3" xfId="11174" xr:uid="{00000000-0005-0000-0000-0000A72B0000}"/>
    <cellStyle name="Fixed 4 2 2 2 3 2" xfId="11175" xr:uid="{00000000-0005-0000-0000-0000A82B0000}"/>
    <cellStyle name="Fixed 4 2 2 2 3 3" xfId="11176" xr:uid="{00000000-0005-0000-0000-0000A92B0000}"/>
    <cellStyle name="Fixed 4 2 2 2 4" xfId="11177" xr:uid="{00000000-0005-0000-0000-0000AA2B0000}"/>
    <cellStyle name="Fixed 4 2 2 2 5" xfId="11178" xr:uid="{00000000-0005-0000-0000-0000AB2B0000}"/>
    <cellStyle name="Fixed 4 2 2 2 6" xfId="11179" xr:uid="{00000000-0005-0000-0000-0000AC2B0000}"/>
    <cellStyle name="Fixed 4 2 2 3" xfId="11180" xr:uid="{00000000-0005-0000-0000-0000AD2B0000}"/>
    <cellStyle name="Fixed 4 2 2 3 2" xfId="11181" xr:uid="{00000000-0005-0000-0000-0000AE2B0000}"/>
    <cellStyle name="Fixed 4 2 2 3 3" xfId="11182" xr:uid="{00000000-0005-0000-0000-0000AF2B0000}"/>
    <cellStyle name="Fixed 4 2 2 4" xfId="11183" xr:uid="{00000000-0005-0000-0000-0000B02B0000}"/>
    <cellStyle name="Fixed 4 2 2 4 2" xfId="11184" xr:uid="{00000000-0005-0000-0000-0000B12B0000}"/>
    <cellStyle name="Fixed 4 2 2 4 3" xfId="11185" xr:uid="{00000000-0005-0000-0000-0000B22B0000}"/>
    <cellStyle name="Fixed 4 2 2 5" xfId="11186" xr:uid="{00000000-0005-0000-0000-0000B32B0000}"/>
    <cellStyle name="Fixed 4 2 2 5 2" xfId="11187" xr:uid="{00000000-0005-0000-0000-0000B42B0000}"/>
    <cellStyle name="Fixed 4 2 2 5 3" xfId="11188" xr:uid="{00000000-0005-0000-0000-0000B52B0000}"/>
    <cellStyle name="Fixed 4 2 2 6" xfId="11189" xr:uid="{00000000-0005-0000-0000-0000B62B0000}"/>
    <cellStyle name="Fixed 4 2 2 7" xfId="11190" xr:uid="{00000000-0005-0000-0000-0000B72B0000}"/>
    <cellStyle name="Fixed 4 2 2 8" xfId="11191" xr:uid="{00000000-0005-0000-0000-0000B82B0000}"/>
    <cellStyle name="Fixed 4 2 3" xfId="11192" xr:uid="{00000000-0005-0000-0000-0000B92B0000}"/>
    <cellStyle name="Fixed 4 2 3 2" xfId="11193" xr:uid="{00000000-0005-0000-0000-0000BA2B0000}"/>
    <cellStyle name="Fixed 4 2 3 2 2" xfId="11194" xr:uid="{00000000-0005-0000-0000-0000BB2B0000}"/>
    <cellStyle name="Fixed 4 2 3 2 2 2" xfId="11195" xr:uid="{00000000-0005-0000-0000-0000BC2B0000}"/>
    <cellStyle name="Fixed 4 2 3 2 2 3" xfId="11196" xr:uid="{00000000-0005-0000-0000-0000BD2B0000}"/>
    <cellStyle name="Fixed 4 2 3 2 3" xfId="11197" xr:uid="{00000000-0005-0000-0000-0000BE2B0000}"/>
    <cellStyle name="Fixed 4 2 3 2 3 2" xfId="11198" xr:uid="{00000000-0005-0000-0000-0000BF2B0000}"/>
    <cellStyle name="Fixed 4 2 3 2 3 3" xfId="11199" xr:uid="{00000000-0005-0000-0000-0000C02B0000}"/>
    <cellStyle name="Fixed 4 2 3 2 4" xfId="11200" xr:uid="{00000000-0005-0000-0000-0000C12B0000}"/>
    <cellStyle name="Fixed 4 2 3 2 5" xfId="11201" xr:uid="{00000000-0005-0000-0000-0000C22B0000}"/>
    <cellStyle name="Fixed 4 2 3 2 6" xfId="11202" xr:uid="{00000000-0005-0000-0000-0000C32B0000}"/>
    <cellStyle name="Fixed 4 2 3 3" xfId="11203" xr:uid="{00000000-0005-0000-0000-0000C42B0000}"/>
    <cellStyle name="Fixed 4 2 3 3 2" xfId="11204" xr:uid="{00000000-0005-0000-0000-0000C52B0000}"/>
    <cellStyle name="Fixed 4 2 3 3 3" xfId="11205" xr:uid="{00000000-0005-0000-0000-0000C62B0000}"/>
    <cellStyle name="Fixed 4 2 3 4" xfId="11206" xr:uid="{00000000-0005-0000-0000-0000C72B0000}"/>
    <cellStyle name="Fixed 4 2 3 4 2" xfId="11207" xr:uid="{00000000-0005-0000-0000-0000C82B0000}"/>
    <cellStyle name="Fixed 4 2 3 4 3" xfId="11208" xr:uid="{00000000-0005-0000-0000-0000C92B0000}"/>
    <cellStyle name="Fixed 4 2 3 5" xfId="11209" xr:uid="{00000000-0005-0000-0000-0000CA2B0000}"/>
    <cellStyle name="Fixed 4 2 3 5 2" xfId="11210" xr:uid="{00000000-0005-0000-0000-0000CB2B0000}"/>
    <cellStyle name="Fixed 4 2 3 5 3" xfId="11211" xr:uid="{00000000-0005-0000-0000-0000CC2B0000}"/>
    <cellStyle name="Fixed 4 2 3 6" xfId="11212" xr:uid="{00000000-0005-0000-0000-0000CD2B0000}"/>
    <cellStyle name="Fixed 4 2 3 7" xfId="11213" xr:uid="{00000000-0005-0000-0000-0000CE2B0000}"/>
    <cellStyle name="Fixed 4 2 3 8" xfId="11214" xr:uid="{00000000-0005-0000-0000-0000CF2B0000}"/>
    <cellStyle name="Fixed 4 2 4" xfId="11215" xr:uid="{00000000-0005-0000-0000-0000D02B0000}"/>
    <cellStyle name="Fixed 4 2 4 2" xfId="11216" xr:uid="{00000000-0005-0000-0000-0000D12B0000}"/>
    <cellStyle name="Fixed 4 2 4 2 2" xfId="11217" xr:uid="{00000000-0005-0000-0000-0000D22B0000}"/>
    <cellStyle name="Fixed 4 2 4 2 3" xfId="11218" xr:uid="{00000000-0005-0000-0000-0000D32B0000}"/>
    <cellStyle name="Fixed 4 2 4 3" xfId="11219" xr:uid="{00000000-0005-0000-0000-0000D42B0000}"/>
    <cellStyle name="Fixed 4 2 4 3 2" xfId="11220" xr:uid="{00000000-0005-0000-0000-0000D52B0000}"/>
    <cellStyle name="Fixed 4 2 4 3 3" xfId="11221" xr:uid="{00000000-0005-0000-0000-0000D62B0000}"/>
    <cellStyle name="Fixed 4 2 4 4" xfId="11222" xr:uid="{00000000-0005-0000-0000-0000D72B0000}"/>
    <cellStyle name="Fixed 4 2 4 5" xfId="11223" xr:uid="{00000000-0005-0000-0000-0000D82B0000}"/>
    <cellStyle name="Fixed 4 2 4 6" xfId="11224" xr:uid="{00000000-0005-0000-0000-0000D92B0000}"/>
    <cellStyle name="Fixed 4 2 5" xfId="11225" xr:uid="{00000000-0005-0000-0000-0000DA2B0000}"/>
    <cellStyle name="Fixed 4 2 5 2" xfId="11226" xr:uid="{00000000-0005-0000-0000-0000DB2B0000}"/>
    <cellStyle name="Fixed 4 2 5 3" xfId="11227" xr:uid="{00000000-0005-0000-0000-0000DC2B0000}"/>
    <cellStyle name="Fixed 4 2 6" xfId="11228" xr:uid="{00000000-0005-0000-0000-0000DD2B0000}"/>
    <cellStyle name="Fixed 4 2 6 2" xfId="11229" xr:uid="{00000000-0005-0000-0000-0000DE2B0000}"/>
    <cellStyle name="Fixed 4 2 6 3" xfId="11230" xr:uid="{00000000-0005-0000-0000-0000DF2B0000}"/>
    <cellStyle name="Fixed 4 2 7" xfId="11231" xr:uid="{00000000-0005-0000-0000-0000E02B0000}"/>
    <cellStyle name="Fixed 4 2 7 2" xfId="11232" xr:uid="{00000000-0005-0000-0000-0000E12B0000}"/>
    <cellStyle name="Fixed 4 2 7 3" xfId="11233" xr:uid="{00000000-0005-0000-0000-0000E22B0000}"/>
    <cellStyle name="Fixed 4 2 8" xfId="11234" xr:uid="{00000000-0005-0000-0000-0000E32B0000}"/>
    <cellStyle name="Fixed 4 2 9" xfId="11235" xr:uid="{00000000-0005-0000-0000-0000E42B0000}"/>
    <cellStyle name="Fixed 4 3" xfId="11236" xr:uid="{00000000-0005-0000-0000-0000E52B0000}"/>
    <cellStyle name="Fixed 4 3 2" xfId="11237" xr:uid="{00000000-0005-0000-0000-0000E62B0000}"/>
    <cellStyle name="Fixed 4 3 2 2" xfId="11238" xr:uid="{00000000-0005-0000-0000-0000E72B0000}"/>
    <cellStyle name="Fixed 4 3 2 2 2" xfId="11239" xr:uid="{00000000-0005-0000-0000-0000E82B0000}"/>
    <cellStyle name="Fixed 4 3 2 2 3" xfId="11240" xr:uid="{00000000-0005-0000-0000-0000E92B0000}"/>
    <cellStyle name="Fixed 4 3 2 3" xfId="11241" xr:uid="{00000000-0005-0000-0000-0000EA2B0000}"/>
    <cellStyle name="Fixed 4 3 2 3 2" xfId="11242" xr:uid="{00000000-0005-0000-0000-0000EB2B0000}"/>
    <cellStyle name="Fixed 4 3 2 3 3" xfId="11243" xr:uid="{00000000-0005-0000-0000-0000EC2B0000}"/>
    <cellStyle name="Fixed 4 3 2 4" xfId="11244" xr:uid="{00000000-0005-0000-0000-0000ED2B0000}"/>
    <cellStyle name="Fixed 4 3 2 5" xfId="11245" xr:uid="{00000000-0005-0000-0000-0000EE2B0000}"/>
    <cellStyle name="Fixed 4 3 2 6" xfId="11246" xr:uid="{00000000-0005-0000-0000-0000EF2B0000}"/>
    <cellStyle name="Fixed 4 3 3" xfId="11247" xr:uid="{00000000-0005-0000-0000-0000F02B0000}"/>
    <cellStyle name="Fixed 4 3 3 2" xfId="11248" xr:uid="{00000000-0005-0000-0000-0000F12B0000}"/>
    <cellStyle name="Fixed 4 3 3 3" xfId="11249" xr:uid="{00000000-0005-0000-0000-0000F22B0000}"/>
    <cellStyle name="Fixed 4 3 4" xfId="11250" xr:uid="{00000000-0005-0000-0000-0000F32B0000}"/>
    <cellStyle name="Fixed 4 3 4 2" xfId="11251" xr:uid="{00000000-0005-0000-0000-0000F42B0000}"/>
    <cellStyle name="Fixed 4 3 4 3" xfId="11252" xr:uid="{00000000-0005-0000-0000-0000F52B0000}"/>
    <cellStyle name="Fixed 4 3 5" xfId="11253" xr:uid="{00000000-0005-0000-0000-0000F62B0000}"/>
    <cellStyle name="Fixed 4 3 5 2" xfId="11254" xr:uid="{00000000-0005-0000-0000-0000F72B0000}"/>
    <cellStyle name="Fixed 4 3 5 3" xfId="11255" xr:uid="{00000000-0005-0000-0000-0000F82B0000}"/>
    <cellStyle name="Fixed 4 3 6" xfId="11256" xr:uid="{00000000-0005-0000-0000-0000F92B0000}"/>
    <cellStyle name="Fixed 4 3 7" xfId="11257" xr:uid="{00000000-0005-0000-0000-0000FA2B0000}"/>
    <cellStyle name="Fixed 4 3 8" xfId="11258" xr:uid="{00000000-0005-0000-0000-0000FB2B0000}"/>
    <cellStyle name="Fixed 4 4" xfId="11259" xr:uid="{00000000-0005-0000-0000-0000FC2B0000}"/>
    <cellStyle name="Fixed 4 4 2" xfId="11260" xr:uid="{00000000-0005-0000-0000-0000FD2B0000}"/>
    <cellStyle name="Fixed 4 4 2 2" xfId="11261" xr:uid="{00000000-0005-0000-0000-0000FE2B0000}"/>
    <cellStyle name="Fixed 4 4 2 2 2" xfId="11262" xr:uid="{00000000-0005-0000-0000-0000FF2B0000}"/>
    <cellStyle name="Fixed 4 4 2 2 3" xfId="11263" xr:uid="{00000000-0005-0000-0000-0000002C0000}"/>
    <cellStyle name="Fixed 4 4 2 3" xfId="11264" xr:uid="{00000000-0005-0000-0000-0000012C0000}"/>
    <cellStyle name="Fixed 4 4 2 3 2" xfId="11265" xr:uid="{00000000-0005-0000-0000-0000022C0000}"/>
    <cellStyle name="Fixed 4 4 2 3 3" xfId="11266" xr:uid="{00000000-0005-0000-0000-0000032C0000}"/>
    <cellStyle name="Fixed 4 4 2 4" xfId="11267" xr:uid="{00000000-0005-0000-0000-0000042C0000}"/>
    <cellStyle name="Fixed 4 4 2 5" xfId="11268" xr:uid="{00000000-0005-0000-0000-0000052C0000}"/>
    <cellStyle name="Fixed 4 4 2 6" xfId="11269" xr:uid="{00000000-0005-0000-0000-0000062C0000}"/>
    <cellStyle name="Fixed 4 4 3" xfId="11270" xr:uid="{00000000-0005-0000-0000-0000072C0000}"/>
    <cellStyle name="Fixed 4 4 3 2" xfId="11271" xr:uid="{00000000-0005-0000-0000-0000082C0000}"/>
    <cellStyle name="Fixed 4 4 3 3" xfId="11272" xr:uid="{00000000-0005-0000-0000-0000092C0000}"/>
    <cellStyle name="Fixed 4 4 4" xfId="11273" xr:uid="{00000000-0005-0000-0000-00000A2C0000}"/>
    <cellStyle name="Fixed 4 4 4 2" xfId="11274" xr:uid="{00000000-0005-0000-0000-00000B2C0000}"/>
    <cellStyle name="Fixed 4 4 4 3" xfId="11275" xr:uid="{00000000-0005-0000-0000-00000C2C0000}"/>
    <cellStyle name="Fixed 4 4 5" xfId="11276" xr:uid="{00000000-0005-0000-0000-00000D2C0000}"/>
    <cellStyle name="Fixed 4 4 5 2" xfId="11277" xr:uid="{00000000-0005-0000-0000-00000E2C0000}"/>
    <cellStyle name="Fixed 4 4 5 3" xfId="11278" xr:uid="{00000000-0005-0000-0000-00000F2C0000}"/>
    <cellStyle name="Fixed 4 4 6" xfId="11279" xr:uid="{00000000-0005-0000-0000-0000102C0000}"/>
    <cellStyle name="Fixed 4 4 7" xfId="11280" xr:uid="{00000000-0005-0000-0000-0000112C0000}"/>
    <cellStyle name="Fixed 4 4 8" xfId="11281" xr:uid="{00000000-0005-0000-0000-0000122C0000}"/>
    <cellStyle name="Fixed 4 5" xfId="11282" xr:uid="{00000000-0005-0000-0000-0000132C0000}"/>
    <cellStyle name="Fixed 4 5 2" xfId="11283" xr:uid="{00000000-0005-0000-0000-0000142C0000}"/>
    <cellStyle name="Fixed 4 5 2 2" xfId="11284" xr:uid="{00000000-0005-0000-0000-0000152C0000}"/>
    <cellStyle name="Fixed 4 5 2 2 2" xfId="11285" xr:uid="{00000000-0005-0000-0000-0000162C0000}"/>
    <cellStyle name="Fixed 4 5 2 2 3" xfId="11286" xr:uid="{00000000-0005-0000-0000-0000172C0000}"/>
    <cellStyle name="Fixed 4 5 2 3" xfId="11287" xr:uid="{00000000-0005-0000-0000-0000182C0000}"/>
    <cellStyle name="Fixed 4 5 2 3 2" xfId="11288" xr:uid="{00000000-0005-0000-0000-0000192C0000}"/>
    <cellStyle name="Fixed 4 5 2 3 3" xfId="11289" xr:uid="{00000000-0005-0000-0000-00001A2C0000}"/>
    <cellStyle name="Fixed 4 5 2 4" xfId="11290" xr:uid="{00000000-0005-0000-0000-00001B2C0000}"/>
    <cellStyle name="Fixed 4 5 2 5" xfId="11291" xr:uid="{00000000-0005-0000-0000-00001C2C0000}"/>
    <cellStyle name="Fixed 4 5 2 6" xfId="11292" xr:uid="{00000000-0005-0000-0000-00001D2C0000}"/>
    <cellStyle name="Fixed 4 5 3" xfId="11293" xr:uid="{00000000-0005-0000-0000-00001E2C0000}"/>
    <cellStyle name="Fixed 4 5 3 2" xfId="11294" xr:uid="{00000000-0005-0000-0000-00001F2C0000}"/>
    <cellStyle name="Fixed 4 5 3 3" xfId="11295" xr:uid="{00000000-0005-0000-0000-0000202C0000}"/>
    <cellStyle name="Fixed 4 5 4" xfId="11296" xr:uid="{00000000-0005-0000-0000-0000212C0000}"/>
    <cellStyle name="Fixed 4 5 4 2" xfId="11297" xr:uid="{00000000-0005-0000-0000-0000222C0000}"/>
    <cellStyle name="Fixed 4 5 4 3" xfId="11298" xr:uid="{00000000-0005-0000-0000-0000232C0000}"/>
    <cellStyle name="Fixed 4 5 5" xfId="11299" xr:uid="{00000000-0005-0000-0000-0000242C0000}"/>
    <cellStyle name="Fixed 4 5 5 2" xfId="11300" xr:uid="{00000000-0005-0000-0000-0000252C0000}"/>
    <cellStyle name="Fixed 4 5 5 3" xfId="11301" xr:uid="{00000000-0005-0000-0000-0000262C0000}"/>
    <cellStyle name="Fixed 4 5 6" xfId="11302" xr:uid="{00000000-0005-0000-0000-0000272C0000}"/>
    <cellStyle name="Fixed 4 5 7" xfId="11303" xr:uid="{00000000-0005-0000-0000-0000282C0000}"/>
    <cellStyle name="Fixed 4 5 8" xfId="11304" xr:uid="{00000000-0005-0000-0000-0000292C0000}"/>
    <cellStyle name="Fixed 4 6" xfId="11305" xr:uid="{00000000-0005-0000-0000-00002A2C0000}"/>
    <cellStyle name="Fixed 4 6 2" xfId="11306" xr:uid="{00000000-0005-0000-0000-00002B2C0000}"/>
    <cellStyle name="Fixed 4 6 2 2" xfId="11307" xr:uid="{00000000-0005-0000-0000-00002C2C0000}"/>
    <cellStyle name="Fixed 4 6 2 3" xfId="11308" xr:uid="{00000000-0005-0000-0000-00002D2C0000}"/>
    <cellStyle name="Fixed 4 6 3" xfId="11309" xr:uid="{00000000-0005-0000-0000-00002E2C0000}"/>
    <cellStyle name="Fixed 4 6 3 2" xfId="11310" xr:uid="{00000000-0005-0000-0000-00002F2C0000}"/>
    <cellStyle name="Fixed 4 6 3 3" xfId="11311" xr:uid="{00000000-0005-0000-0000-0000302C0000}"/>
    <cellStyle name="Fixed 4 6 4" xfId="11312" xr:uid="{00000000-0005-0000-0000-0000312C0000}"/>
    <cellStyle name="Fixed 4 6 5" xfId="11313" xr:uid="{00000000-0005-0000-0000-0000322C0000}"/>
    <cellStyle name="Fixed 4 6 6" xfId="11314" xr:uid="{00000000-0005-0000-0000-0000332C0000}"/>
    <cellStyle name="Fixed 4 7" xfId="11315" xr:uid="{00000000-0005-0000-0000-0000342C0000}"/>
    <cellStyle name="Fixed 4 7 2" xfId="11316" xr:uid="{00000000-0005-0000-0000-0000352C0000}"/>
    <cellStyle name="Fixed 4 7 3" xfId="11317" xr:uid="{00000000-0005-0000-0000-0000362C0000}"/>
    <cellStyle name="Fixed 4 7 4" xfId="11318" xr:uid="{00000000-0005-0000-0000-0000372C0000}"/>
    <cellStyle name="Fixed 4 8" xfId="11319" xr:uid="{00000000-0005-0000-0000-0000382C0000}"/>
    <cellStyle name="Fixed 4 8 2" xfId="11320" xr:uid="{00000000-0005-0000-0000-0000392C0000}"/>
    <cellStyle name="Fixed 4 8 3" xfId="11321" xr:uid="{00000000-0005-0000-0000-00003A2C0000}"/>
    <cellStyle name="Fixed 4 9" xfId="11322" xr:uid="{00000000-0005-0000-0000-00003B2C0000}"/>
    <cellStyle name="Fixed 4 9 2" xfId="11323" xr:uid="{00000000-0005-0000-0000-00003C2C0000}"/>
    <cellStyle name="Fixed 4 9 3" xfId="11324" xr:uid="{00000000-0005-0000-0000-00003D2C0000}"/>
    <cellStyle name="Fixed 5" xfId="11325" xr:uid="{00000000-0005-0000-0000-00003E2C0000}"/>
    <cellStyle name="Fixed 5 10" xfId="11326" xr:uid="{00000000-0005-0000-0000-00003F2C0000}"/>
    <cellStyle name="Fixed 5 11" xfId="11327" xr:uid="{00000000-0005-0000-0000-0000402C0000}"/>
    <cellStyle name="Fixed 5 12" xfId="11328" xr:uid="{00000000-0005-0000-0000-0000412C0000}"/>
    <cellStyle name="Fixed 5 2" xfId="11329" xr:uid="{00000000-0005-0000-0000-0000422C0000}"/>
    <cellStyle name="Fixed 5 2 10" xfId="11330" xr:uid="{00000000-0005-0000-0000-0000432C0000}"/>
    <cellStyle name="Fixed 5 2 2" xfId="11331" xr:uid="{00000000-0005-0000-0000-0000442C0000}"/>
    <cellStyle name="Fixed 5 2 2 2" xfId="11332" xr:uid="{00000000-0005-0000-0000-0000452C0000}"/>
    <cellStyle name="Fixed 5 2 2 2 2" xfId="11333" xr:uid="{00000000-0005-0000-0000-0000462C0000}"/>
    <cellStyle name="Fixed 5 2 2 2 2 2" xfId="11334" xr:uid="{00000000-0005-0000-0000-0000472C0000}"/>
    <cellStyle name="Fixed 5 2 2 2 2 3" xfId="11335" xr:uid="{00000000-0005-0000-0000-0000482C0000}"/>
    <cellStyle name="Fixed 5 2 2 2 3" xfId="11336" xr:uid="{00000000-0005-0000-0000-0000492C0000}"/>
    <cellStyle name="Fixed 5 2 2 2 3 2" xfId="11337" xr:uid="{00000000-0005-0000-0000-00004A2C0000}"/>
    <cellStyle name="Fixed 5 2 2 2 3 3" xfId="11338" xr:uid="{00000000-0005-0000-0000-00004B2C0000}"/>
    <cellStyle name="Fixed 5 2 2 2 4" xfId="11339" xr:uid="{00000000-0005-0000-0000-00004C2C0000}"/>
    <cellStyle name="Fixed 5 2 2 2 5" xfId="11340" xr:uid="{00000000-0005-0000-0000-00004D2C0000}"/>
    <cellStyle name="Fixed 5 2 2 2 6" xfId="11341" xr:uid="{00000000-0005-0000-0000-00004E2C0000}"/>
    <cellStyle name="Fixed 5 2 2 3" xfId="11342" xr:uid="{00000000-0005-0000-0000-00004F2C0000}"/>
    <cellStyle name="Fixed 5 2 2 3 2" xfId="11343" xr:uid="{00000000-0005-0000-0000-0000502C0000}"/>
    <cellStyle name="Fixed 5 2 2 3 3" xfId="11344" xr:uid="{00000000-0005-0000-0000-0000512C0000}"/>
    <cellStyle name="Fixed 5 2 2 4" xfId="11345" xr:uid="{00000000-0005-0000-0000-0000522C0000}"/>
    <cellStyle name="Fixed 5 2 2 4 2" xfId="11346" xr:uid="{00000000-0005-0000-0000-0000532C0000}"/>
    <cellStyle name="Fixed 5 2 2 4 3" xfId="11347" xr:uid="{00000000-0005-0000-0000-0000542C0000}"/>
    <cellStyle name="Fixed 5 2 2 5" xfId="11348" xr:uid="{00000000-0005-0000-0000-0000552C0000}"/>
    <cellStyle name="Fixed 5 2 2 5 2" xfId="11349" xr:uid="{00000000-0005-0000-0000-0000562C0000}"/>
    <cellStyle name="Fixed 5 2 2 5 3" xfId="11350" xr:uid="{00000000-0005-0000-0000-0000572C0000}"/>
    <cellStyle name="Fixed 5 2 2 6" xfId="11351" xr:uid="{00000000-0005-0000-0000-0000582C0000}"/>
    <cellStyle name="Fixed 5 2 2 7" xfId="11352" xr:uid="{00000000-0005-0000-0000-0000592C0000}"/>
    <cellStyle name="Fixed 5 2 2 8" xfId="11353" xr:uid="{00000000-0005-0000-0000-00005A2C0000}"/>
    <cellStyle name="Fixed 5 2 3" xfId="11354" xr:uid="{00000000-0005-0000-0000-00005B2C0000}"/>
    <cellStyle name="Fixed 5 2 3 2" xfId="11355" xr:uid="{00000000-0005-0000-0000-00005C2C0000}"/>
    <cellStyle name="Fixed 5 2 3 2 2" xfId="11356" xr:uid="{00000000-0005-0000-0000-00005D2C0000}"/>
    <cellStyle name="Fixed 5 2 3 2 2 2" xfId="11357" xr:uid="{00000000-0005-0000-0000-00005E2C0000}"/>
    <cellStyle name="Fixed 5 2 3 2 2 3" xfId="11358" xr:uid="{00000000-0005-0000-0000-00005F2C0000}"/>
    <cellStyle name="Fixed 5 2 3 2 3" xfId="11359" xr:uid="{00000000-0005-0000-0000-0000602C0000}"/>
    <cellStyle name="Fixed 5 2 3 2 3 2" xfId="11360" xr:uid="{00000000-0005-0000-0000-0000612C0000}"/>
    <cellStyle name="Fixed 5 2 3 2 3 3" xfId="11361" xr:uid="{00000000-0005-0000-0000-0000622C0000}"/>
    <cellStyle name="Fixed 5 2 3 2 4" xfId="11362" xr:uid="{00000000-0005-0000-0000-0000632C0000}"/>
    <cellStyle name="Fixed 5 2 3 2 5" xfId="11363" xr:uid="{00000000-0005-0000-0000-0000642C0000}"/>
    <cellStyle name="Fixed 5 2 3 2 6" xfId="11364" xr:uid="{00000000-0005-0000-0000-0000652C0000}"/>
    <cellStyle name="Fixed 5 2 3 3" xfId="11365" xr:uid="{00000000-0005-0000-0000-0000662C0000}"/>
    <cellStyle name="Fixed 5 2 3 3 2" xfId="11366" xr:uid="{00000000-0005-0000-0000-0000672C0000}"/>
    <cellStyle name="Fixed 5 2 3 3 3" xfId="11367" xr:uid="{00000000-0005-0000-0000-0000682C0000}"/>
    <cellStyle name="Fixed 5 2 3 4" xfId="11368" xr:uid="{00000000-0005-0000-0000-0000692C0000}"/>
    <cellStyle name="Fixed 5 2 3 4 2" xfId="11369" xr:uid="{00000000-0005-0000-0000-00006A2C0000}"/>
    <cellStyle name="Fixed 5 2 3 4 3" xfId="11370" xr:uid="{00000000-0005-0000-0000-00006B2C0000}"/>
    <cellStyle name="Fixed 5 2 3 5" xfId="11371" xr:uid="{00000000-0005-0000-0000-00006C2C0000}"/>
    <cellStyle name="Fixed 5 2 3 5 2" xfId="11372" xr:uid="{00000000-0005-0000-0000-00006D2C0000}"/>
    <cellStyle name="Fixed 5 2 3 5 3" xfId="11373" xr:uid="{00000000-0005-0000-0000-00006E2C0000}"/>
    <cellStyle name="Fixed 5 2 3 6" xfId="11374" xr:uid="{00000000-0005-0000-0000-00006F2C0000}"/>
    <cellStyle name="Fixed 5 2 3 7" xfId="11375" xr:uid="{00000000-0005-0000-0000-0000702C0000}"/>
    <cellStyle name="Fixed 5 2 3 8" xfId="11376" xr:uid="{00000000-0005-0000-0000-0000712C0000}"/>
    <cellStyle name="Fixed 5 2 4" xfId="11377" xr:uid="{00000000-0005-0000-0000-0000722C0000}"/>
    <cellStyle name="Fixed 5 2 4 2" xfId="11378" xr:uid="{00000000-0005-0000-0000-0000732C0000}"/>
    <cellStyle name="Fixed 5 2 4 2 2" xfId="11379" xr:uid="{00000000-0005-0000-0000-0000742C0000}"/>
    <cellStyle name="Fixed 5 2 4 2 3" xfId="11380" xr:uid="{00000000-0005-0000-0000-0000752C0000}"/>
    <cellStyle name="Fixed 5 2 4 3" xfId="11381" xr:uid="{00000000-0005-0000-0000-0000762C0000}"/>
    <cellStyle name="Fixed 5 2 4 3 2" xfId="11382" xr:uid="{00000000-0005-0000-0000-0000772C0000}"/>
    <cellStyle name="Fixed 5 2 4 3 3" xfId="11383" xr:uid="{00000000-0005-0000-0000-0000782C0000}"/>
    <cellStyle name="Fixed 5 2 4 4" xfId="11384" xr:uid="{00000000-0005-0000-0000-0000792C0000}"/>
    <cellStyle name="Fixed 5 2 4 5" xfId="11385" xr:uid="{00000000-0005-0000-0000-00007A2C0000}"/>
    <cellStyle name="Fixed 5 2 4 6" xfId="11386" xr:uid="{00000000-0005-0000-0000-00007B2C0000}"/>
    <cellStyle name="Fixed 5 2 5" xfId="11387" xr:uid="{00000000-0005-0000-0000-00007C2C0000}"/>
    <cellStyle name="Fixed 5 2 5 2" xfId="11388" xr:uid="{00000000-0005-0000-0000-00007D2C0000}"/>
    <cellStyle name="Fixed 5 2 5 3" xfId="11389" xr:uid="{00000000-0005-0000-0000-00007E2C0000}"/>
    <cellStyle name="Fixed 5 2 6" xfId="11390" xr:uid="{00000000-0005-0000-0000-00007F2C0000}"/>
    <cellStyle name="Fixed 5 2 6 2" xfId="11391" xr:uid="{00000000-0005-0000-0000-0000802C0000}"/>
    <cellStyle name="Fixed 5 2 6 3" xfId="11392" xr:uid="{00000000-0005-0000-0000-0000812C0000}"/>
    <cellStyle name="Fixed 5 2 7" xfId="11393" xr:uid="{00000000-0005-0000-0000-0000822C0000}"/>
    <cellStyle name="Fixed 5 2 7 2" xfId="11394" xr:uid="{00000000-0005-0000-0000-0000832C0000}"/>
    <cellStyle name="Fixed 5 2 7 3" xfId="11395" xr:uid="{00000000-0005-0000-0000-0000842C0000}"/>
    <cellStyle name="Fixed 5 2 8" xfId="11396" xr:uid="{00000000-0005-0000-0000-0000852C0000}"/>
    <cellStyle name="Fixed 5 2 9" xfId="11397" xr:uid="{00000000-0005-0000-0000-0000862C0000}"/>
    <cellStyle name="Fixed 5 3" xfId="11398" xr:uid="{00000000-0005-0000-0000-0000872C0000}"/>
    <cellStyle name="Fixed 5 3 2" xfId="11399" xr:uid="{00000000-0005-0000-0000-0000882C0000}"/>
    <cellStyle name="Fixed 5 3 2 2" xfId="11400" xr:uid="{00000000-0005-0000-0000-0000892C0000}"/>
    <cellStyle name="Fixed 5 3 2 2 2" xfId="11401" xr:uid="{00000000-0005-0000-0000-00008A2C0000}"/>
    <cellStyle name="Fixed 5 3 2 2 3" xfId="11402" xr:uid="{00000000-0005-0000-0000-00008B2C0000}"/>
    <cellStyle name="Fixed 5 3 2 3" xfId="11403" xr:uid="{00000000-0005-0000-0000-00008C2C0000}"/>
    <cellStyle name="Fixed 5 3 2 3 2" xfId="11404" xr:uid="{00000000-0005-0000-0000-00008D2C0000}"/>
    <cellStyle name="Fixed 5 3 2 3 3" xfId="11405" xr:uid="{00000000-0005-0000-0000-00008E2C0000}"/>
    <cellStyle name="Fixed 5 3 2 4" xfId="11406" xr:uid="{00000000-0005-0000-0000-00008F2C0000}"/>
    <cellStyle name="Fixed 5 3 2 5" xfId="11407" xr:uid="{00000000-0005-0000-0000-0000902C0000}"/>
    <cellStyle name="Fixed 5 3 2 6" xfId="11408" xr:uid="{00000000-0005-0000-0000-0000912C0000}"/>
    <cellStyle name="Fixed 5 3 3" xfId="11409" xr:uid="{00000000-0005-0000-0000-0000922C0000}"/>
    <cellStyle name="Fixed 5 3 3 2" xfId="11410" xr:uid="{00000000-0005-0000-0000-0000932C0000}"/>
    <cellStyle name="Fixed 5 3 3 3" xfId="11411" xr:uid="{00000000-0005-0000-0000-0000942C0000}"/>
    <cellStyle name="Fixed 5 3 4" xfId="11412" xr:uid="{00000000-0005-0000-0000-0000952C0000}"/>
    <cellStyle name="Fixed 5 3 4 2" xfId="11413" xr:uid="{00000000-0005-0000-0000-0000962C0000}"/>
    <cellStyle name="Fixed 5 3 4 3" xfId="11414" xr:uid="{00000000-0005-0000-0000-0000972C0000}"/>
    <cellStyle name="Fixed 5 3 5" xfId="11415" xr:uid="{00000000-0005-0000-0000-0000982C0000}"/>
    <cellStyle name="Fixed 5 3 5 2" xfId="11416" xr:uid="{00000000-0005-0000-0000-0000992C0000}"/>
    <cellStyle name="Fixed 5 3 5 3" xfId="11417" xr:uid="{00000000-0005-0000-0000-00009A2C0000}"/>
    <cellStyle name="Fixed 5 3 6" xfId="11418" xr:uid="{00000000-0005-0000-0000-00009B2C0000}"/>
    <cellStyle name="Fixed 5 3 7" xfId="11419" xr:uid="{00000000-0005-0000-0000-00009C2C0000}"/>
    <cellStyle name="Fixed 5 3 8" xfId="11420" xr:uid="{00000000-0005-0000-0000-00009D2C0000}"/>
    <cellStyle name="Fixed 5 4" xfId="11421" xr:uid="{00000000-0005-0000-0000-00009E2C0000}"/>
    <cellStyle name="Fixed 5 4 2" xfId="11422" xr:uid="{00000000-0005-0000-0000-00009F2C0000}"/>
    <cellStyle name="Fixed 5 4 2 2" xfId="11423" xr:uid="{00000000-0005-0000-0000-0000A02C0000}"/>
    <cellStyle name="Fixed 5 4 2 2 2" xfId="11424" xr:uid="{00000000-0005-0000-0000-0000A12C0000}"/>
    <cellStyle name="Fixed 5 4 2 2 3" xfId="11425" xr:uid="{00000000-0005-0000-0000-0000A22C0000}"/>
    <cellStyle name="Fixed 5 4 2 3" xfId="11426" xr:uid="{00000000-0005-0000-0000-0000A32C0000}"/>
    <cellStyle name="Fixed 5 4 2 3 2" xfId="11427" xr:uid="{00000000-0005-0000-0000-0000A42C0000}"/>
    <cellStyle name="Fixed 5 4 2 3 3" xfId="11428" xr:uid="{00000000-0005-0000-0000-0000A52C0000}"/>
    <cellStyle name="Fixed 5 4 2 4" xfId="11429" xr:uid="{00000000-0005-0000-0000-0000A62C0000}"/>
    <cellStyle name="Fixed 5 4 2 5" xfId="11430" xr:uid="{00000000-0005-0000-0000-0000A72C0000}"/>
    <cellStyle name="Fixed 5 4 2 6" xfId="11431" xr:uid="{00000000-0005-0000-0000-0000A82C0000}"/>
    <cellStyle name="Fixed 5 4 3" xfId="11432" xr:uid="{00000000-0005-0000-0000-0000A92C0000}"/>
    <cellStyle name="Fixed 5 4 3 2" xfId="11433" xr:uid="{00000000-0005-0000-0000-0000AA2C0000}"/>
    <cellStyle name="Fixed 5 4 3 3" xfId="11434" xr:uid="{00000000-0005-0000-0000-0000AB2C0000}"/>
    <cellStyle name="Fixed 5 4 4" xfId="11435" xr:uid="{00000000-0005-0000-0000-0000AC2C0000}"/>
    <cellStyle name="Fixed 5 4 4 2" xfId="11436" xr:uid="{00000000-0005-0000-0000-0000AD2C0000}"/>
    <cellStyle name="Fixed 5 4 4 3" xfId="11437" xr:uid="{00000000-0005-0000-0000-0000AE2C0000}"/>
    <cellStyle name="Fixed 5 4 5" xfId="11438" xr:uid="{00000000-0005-0000-0000-0000AF2C0000}"/>
    <cellStyle name="Fixed 5 4 5 2" xfId="11439" xr:uid="{00000000-0005-0000-0000-0000B02C0000}"/>
    <cellStyle name="Fixed 5 4 5 3" xfId="11440" xr:uid="{00000000-0005-0000-0000-0000B12C0000}"/>
    <cellStyle name="Fixed 5 4 6" xfId="11441" xr:uid="{00000000-0005-0000-0000-0000B22C0000}"/>
    <cellStyle name="Fixed 5 4 7" xfId="11442" xr:uid="{00000000-0005-0000-0000-0000B32C0000}"/>
    <cellStyle name="Fixed 5 4 8" xfId="11443" xr:uid="{00000000-0005-0000-0000-0000B42C0000}"/>
    <cellStyle name="Fixed 5 5" xfId="11444" xr:uid="{00000000-0005-0000-0000-0000B52C0000}"/>
    <cellStyle name="Fixed 5 5 2" xfId="11445" xr:uid="{00000000-0005-0000-0000-0000B62C0000}"/>
    <cellStyle name="Fixed 5 5 2 2" xfId="11446" xr:uid="{00000000-0005-0000-0000-0000B72C0000}"/>
    <cellStyle name="Fixed 5 5 2 2 2" xfId="11447" xr:uid="{00000000-0005-0000-0000-0000B82C0000}"/>
    <cellStyle name="Fixed 5 5 2 2 3" xfId="11448" xr:uid="{00000000-0005-0000-0000-0000B92C0000}"/>
    <cellStyle name="Fixed 5 5 2 3" xfId="11449" xr:uid="{00000000-0005-0000-0000-0000BA2C0000}"/>
    <cellStyle name="Fixed 5 5 2 3 2" xfId="11450" xr:uid="{00000000-0005-0000-0000-0000BB2C0000}"/>
    <cellStyle name="Fixed 5 5 2 3 3" xfId="11451" xr:uid="{00000000-0005-0000-0000-0000BC2C0000}"/>
    <cellStyle name="Fixed 5 5 2 4" xfId="11452" xr:uid="{00000000-0005-0000-0000-0000BD2C0000}"/>
    <cellStyle name="Fixed 5 5 2 5" xfId="11453" xr:uid="{00000000-0005-0000-0000-0000BE2C0000}"/>
    <cellStyle name="Fixed 5 5 2 6" xfId="11454" xr:uid="{00000000-0005-0000-0000-0000BF2C0000}"/>
    <cellStyle name="Fixed 5 5 3" xfId="11455" xr:uid="{00000000-0005-0000-0000-0000C02C0000}"/>
    <cellStyle name="Fixed 5 5 3 2" xfId="11456" xr:uid="{00000000-0005-0000-0000-0000C12C0000}"/>
    <cellStyle name="Fixed 5 5 3 3" xfId="11457" xr:uid="{00000000-0005-0000-0000-0000C22C0000}"/>
    <cellStyle name="Fixed 5 5 4" xfId="11458" xr:uid="{00000000-0005-0000-0000-0000C32C0000}"/>
    <cellStyle name="Fixed 5 5 4 2" xfId="11459" xr:uid="{00000000-0005-0000-0000-0000C42C0000}"/>
    <cellStyle name="Fixed 5 5 4 3" xfId="11460" xr:uid="{00000000-0005-0000-0000-0000C52C0000}"/>
    <cellStyle name="Fixed 5 5 5" xfId="11461" xr:uid="{00000000-0005-0000-0000-0000C62C0000}"/>
    <cellStyle name="Fixed 5 5 5 2" xfId="11462" xr:uid="{00000000-0005-0000-0000-0000C72C0000}"/>
    <cellStyle name="Fixed 5 5 5 3" xfId="11463" xr:uid="{00000000-0005-0000-0000-0000C82C0000}"/>
    <cellStyle name="Fixed 5 5 6" xfId="11464" xr:uid="{00000000-0005-0000-0000-0000C92C0000}"/>
    <cellStyle name="Fixed 5 5 7" xfId="11465" xr:uid="{00000000-0005-0000-0000-0000CA2C0000}"/>
    <cellStyle name="Fixed 5 5 8" xfId="11466" xr:uid="{00000000-0005-0000-0000-0000CB2C0000}"/>
    <cellStyle name="Fixed 5 6" xfId="11467" xr:uid="{00000000-0005-0000-0000-0000CC2C0000}"/>
    <cellStyle name="Fixed 5 6 2" xfId="11468" xr:uid="{00000000-0005-0000-0000-0000CD2C0000}"/>
    <cellStyle name="Fixed 5 6 2 2" xfId="11469" xr:uid="{00000000-0005-0000-0000-0000CE2C0000}"/>
    <cellStyle name="Fixed 5 6 2 3" xfId="11470" xr:uid="{00000000-0005-0000-0000-0000CF2C0000}"/>
    <cellStyle name="Fixed 5 6 3" xfId="11471" xr:uid="{00000000-0005-0000-0000-0000D02C0000}"/>
    <cellStyle name="Fixed 5 6 3 2" xfId="11472" xr:uid="{00000000-0005-0000-0000-0000D12C0000}"/>
    <cellStyle name="Fixed 5 6 3 3" xfId="11473" xr:uid="{00000000-0005-0000-0000-0000D22C0000}"/>
    <cellStyle name="Fixed 5 6 4" xfId="11474" xr:uid="{00000000-0005-0000-0000-0000D32C0000}"/>
    <cellStyle name="Fixed 5 6 5" xfId="11475" xr:uid="{00000000-0005-0000-0000-0000D42C0000}"/>
    <cellStyle name="Fixed 5 6 6" xfId="11476" xr:uid="{00000000-0005-0000-0000-0000D52C0000}"/>
    <cellStyle name="Fixed 5 7" xfId="11477" xr:uid="{00000000-0005-0000-0000-0000D62C0000}"/>
    <cellStyle name="Fixed 5 7 2" xfId="11478" xr:uid="{00000000-0005-0000-0000-0000D72C0000}"/>
    <cellStyle name="Fixed 5 7 3" xfId="11479" xr:uid="{00000000-0005-0000-0000-0000D82C0000}"/>
    <cellStyle name="Fixed 5 7 4" xfId="11480" xr:uid="{00000000-0005-0000-0000-0000D92C0000}"/>
    <cellStyle name="Fixed 5 8" xfId="11481" xr:uid="{00000000-0005-0000-0000-0000DA2C0000}"/>
    <cellStyle name="Fixed 5 8 2" xfId="11482" xr:uid="{00000000-0005-0000-0000-0000DB2C0000}"/>
    <cellStyle name="Fixed 5 8 3" xfId="11483" xr:uid="{00000000-0005-0000-0000-0000DC2C0000}"/>
    <cellStyle name="Fixed 5 9" xfId="11484" xr:uid="{00000000-0005-0000-0000-0000DD2C0000}"/>
    <cellStyle name="Fixed 5 9 2" xfId="11485" xr:uid="{00000000-0005-0000-0000-0000DE2C0000}"/>
    <cellStyle name="Fixed 5 9 3" xfId="11486" xr:uid="{00000000-0005-0000-0000-0000DF2C0000}"/>
    <cellStyle name="Fixed 6" xfId="11487" xr:uid="{00000000-0005-0000-0000-0000E02C0000}"/>
    <cellStyle name="Fixed 6 10" xfId="11488" xr:uid="{00000000-0005-0000-0000-0000E12C0000}"/>
    <cellStyle name="Fixed 6 11" xfId="11489" xr:uid="{00000000-0005-0000-0000-0000E22C0000}"/>
    <cellStyle name="Fixed 6 12" xfId="11490" xr:uid="{00000000-0005-0000-0000-0000E32C0000}"/>
    <cellStyle name="Fixed 6 2" xfId="11491" xr:uid="{00000000-0005-0000-0000-0000E42C0000}"/>
    <cellStyle name="Fixed 6 2 10" xfId="11492" xr:uid="{00000000-0005-0000-0000-0000E52C0000}"/>
    <cellStyle name="Fixed 6 2 2" xfId="11493" xr:uid="{00000000-0005-0000-0000-0000E62C0000}"/>
    <cellStyle name="Fixed 6 2 2 2" xfId="11494" xr:uid="{00000000-0005-0000-0000-0000E72C0000}"/>
    <cellStyle name="Fixed 6 2 2 2 2" xfId="11495" xr:uid="{00000000-0005-0000-0000-0000E82C0000}"/>
    <cellStyle name="Fixed 6 2 2 2 2 2" xfId="11496" xr:uid="{00000000-0005-0000-0000-0000E92C0000}"/>
    <cellStyle name="Fixed 6 2 2 2 2 3" xfId="11497" xr:uid="{00000000-0005-0000-0000-0000EA2C0000}"/>
    <cellStyle name="Fixed 6 2 2 2 3" xfId="11498" xr:uid="{00000000-0005-0000-0000-0000EB2C0000}"/>
    <cellStyle name="Fixed 6 2 2 2 3 2" xfId="11499" xr:uid="{00000000-0005-0000-0000-0000EC2C0000}"/>
    <cellStyle name="Fixed 6 2 2 2 3 3" xfId="11500" xr:uid="{00000000-0005-0000-0000-0000ED2C0000}"/>
    <cellStyle name="Fixed 6 2 2 2 4" xfId="11501" xr:uid="{00000000-0005-0000-0000-0000EE2C0000}"/>
    <cellStyle name="Fixed 6 2 2 2 5" xfId="11502" xr:uid="{00000000-0005-0000-0000-0000EF2C0000}"/>
    <cellStyle name="Fixed 6 2 2 2 6" xfId="11503" xr:uid="{00000000-0005-0000-0000-0000F02C0000}"/>
    <cellStyle name="Fixed 6 2 2 3" xfId="11504" xr:uid="{00000000-0005-0000-0000-0000F12C0000}"/>
    <cellStyle name="Fixed 6 2 2 3 2" xfId="11505" xr:uid="{00000000-0005-0000-0000-0000F22C0000}"/>
    <cellStyle name="Fixed 6 2 2 3 3" xfId="11506" xr:uid="{00000000-0005-0000-0000-0000F32C0000}"/>
    <cellStyle name="Fixed 6 2 2 4" xfId="11507" xr:uid="{00000000-0005-0000-0000-0000F42C0000}"/>
    <cellStyle name="Fixed 6 2 2 4 2" xfId="11508" xr:uid="{00000000-0005-0000-0000-0000F52C0000}"/>
    <cellStyle name="Fixed 6 2 2 4 3" xfId="11509" xr:uid="{00000000-0005-0000-0000-0000F62C0000}"/>
    <cellStyle name="Fixed 6 2 2 5" xfId="11510" xr:uid="{00000000-0005-0000-0000-0000F72C0000}"/>
    <cellStyle name="Fixed 6 2 2 5 2" xfId="11511" xr:uid="{00000000-0005-0000-0000-0000F82C0000}"/>
    <cellStyle name="Fixed 6 2 2 5 3" xfId="11512" xr:uid="{00000000-0005-0000-0000-0000F92C0000}"/>
    <cellStyle name="Fixed 6 2 2 6" xfId="11513" xr:uid="{00000000-0005-0000-0000-0000FA2C0000}"/>
    <cellStyle name="Fixed 6 2 2 7" xfId="11514" xr:uid="{00000000-0005-0000-0000-0000FB2C0000}"/>
    <cellStyle name="Fixed 6 2 2 8" xfId="11515" xr:uid="{00000000-0005-0000-0000-0000FC2C0000}"/>
    <cellStyle name="Fixed 6 2 3" xfId="11516" xr:uid="{00000000-0005-0000-0000-0000FD2C0000}"/>
    <cellStyle name="Fixed 6 2 3 2" xfId="11517" xr:uid="{00000000-0005-0000-0000-0000FE2C0000}"/>
    <cellStyle name="Fixed 6 2 3 2 2" xfId="11518" xr:uid="{00000000-0005-0000-0000-0000FF2C0000}"/>
    <cellStyle name="Fixed 6 2 3 2 2 2" xfId="11519" xr:uid="{00000000-0005-0000-0000-0000002D0000}"/>
    <cellStyle name="Fixed 6 2 3 2 2 3" xfId="11520" xr:uid="{00000000-0005-0000-0000-0000012D0000}"/>
    <cellStyle name="Fixed 6 2 3 2 3" xfId="11521" xr:uid="{00000000-0005-0000-0000-0000022D0000}"/>
    <cellStyle name="Fixed 6 2 3 2 3 2" xfId="11522" xr:uid="{00000000-0005-0000-0000-0000032D0000}"/>
    <cellStyle name="Fixed 6 2 3 2 3 3" xfId="11523" xr:uid="{00000000-0005-0000-0000-0000042D0000}"/>
    <cellStyle name="Fixed 6 2 3 2 4" xfId="11524" xr:uid="{00000000-0005-0000-0000-0000052D0000}"/>
    <cellStyle name="Fixed 6 2 3 2 5" xfId="11525" xr:uid="{00000000-0005-0000-0000-0000062D0000}"/>
    <cellStyle name="Fixed 6 2 3 2 6" xfId="11526" xr:uid="{00000000-0005-0000-0000-0000072D0000}"/>
    <cellStyle name="Fixed 6 2 3 3" xfId="11527" xr:uid="{00000000-0005-0000-0000-0000082D0000}"/>
    <cellStyle name="Fixed 6 2 3 3 2" xfId="11528" xr:uid="{00000000-0005-0000-0000-0000092D0000}"/>
    <cellStyle name="Fixed 6 2 3 3 3" xfId="11529" xr:uid="{00000000-0005-0000-0000-00000A2D0000}"/>
    <cellStyle name="Fixed 6 2 3 4" xfId="11530" xr:uid="{00000000-0005-0000-0000-00000B2D0000}"/>
    <cellStyle name="Fixed 6 2 3 4 2" xfId="11531" xr:uid="{00000000-0005-0000-0000-00000C2D0000}"/>
    <cellStyle name="Fixed 6 2 3 4 3" xfId="11532" xr:uid="{00000000-0005-0000-0000-00000D2D0000}"/>
    <cellStyle name="Fixed 6 2 3 5" xfId="11533" xr:uid="{00000000-0005-0000-0000-00000E2D0000}"/>
    <cellStyle name="Fixed 6 2 3 5 2" xfId="11534" xr:uid="{00000000-0005-0000-0000-00000F2D0000}"/>
    <cellStyle name="Fixed 6 2 3 5 3" xfId="11535" xr:uid="{00000000-0005-0000-0000-0000102D0000}"/>
    <cellStyle name="Fixed 6 2 3 6" xfId="11536" xr:uid="{00000000-0005-0000-0000-0000112D0000}"/>
    <cellStyle name="Fixed 6 2 3 7" xfId="11537" xr:uid="{00000000-0005-0000-0000-0000122D0000}"/>
    <cellStyle name="Fixed 6 2 3 8" xfId="11538" xr:uid="{00000000-0005-0000-0000-0000132D0000}"/>
    <cellStyle name="Fixed 6 2 4" xfId="11539" xr:uid="{00000000-0005-0000-0000-0000142D0000}"/>
    <cellStyle name="Fixed 6 2 4 2" xfId="11540" xr:uid="{00000000-0005-0000-0000-0000152D0000}"/>
    <cellStyle name="Fixed 6 2 4 2 2" xfId="11541" xr:uid="{00000000-0005-0000-0000-0000162D0000}"/>
    <cellStyle name="Fixed 6 2 4 2 3" xfId="11542" xr:uid="{00000000-0005-0000-0000-0000172D0000}"/>
    <cellStyle name="Fixed 6 2 4 3" xfId="11543" xr:uid="{00000000-0005-0000-0000-0000182D0000}"/>
    <cellStyle name="Fixed 6 2 4 3 2" xfId="11544" xr:uid="{00000000-0005-0000-0000-0000192D0000}"/>
    <cellStyle name="Fixed 6 2 4 3 3" xfId="11545" xr:uid="{00000000-0005-0000-0000-00001A2D0000}"/>
    <cellStyle name="Fixed 6 2 4 4" xfId="11546" xr:uid="{00000000-0005-0000-0000-00001B2D0000}"/>
    <cellStyle name="Fixed 6 2 4 5" xfId="11547" xr:uid="{00000000-0005-0000-0000-00001C2D0000}"/>
    <cellStyle name="Fixed 6 2 4 6" xfId="11548" xr:uid="{00000000-0005-0000-0000-00001D2D0000}"/>
    <cellStyle name="Fixed 6 2 5" xfId="11549" xr:uid="{00000000-0005-0000-0000-00001E2D0000}"/>
    <cellStyle name="Fixed 6 2 5 2" xfId="11550" xr:uid="{00000000-0005-0000-0000-00001F2D0000}"/>
    <cellStyle name="Fixed 6 2 5 3" xfId="11551" xr:uid="{00000000-0005-0000-0000-0000202D0000}"/>
    <cellStyle name="Fixed 6 2 6" xfId="11552" xr:uid="{00000000-0005-0000-0000-0000212D0000}"/>
    <cellStyle name="Fixed 6 2 6 2" xfId="11553" xr:uid="{00000000-0005-0000-0000-0000222D0000}"/>
    <cellStyle name="Fixed 6 2 6 3" xfId="11554" xr:uid="{00000000-0005-0000-0000-0000232D0000}"/>
    <cellStyle name="Fixed 6 2 7" xfId="11555" xr:uid="{00000000-0005-0000-0000-0000242D0000}"/>
    <cellStyle name="Fixed 6 2 7 2" xfId="11556" xr:uid="{00000000-0005-0000-0000-0000252D0000}"/>
    <cellStyle name="Fixed 6 2 7 3" xfId="11557" xr:uid="{00000000-0005-0000-0000-0000262D0000}"/>
    <cellStyle name="Fixed 6 2 8" xfId="11558" xr:uid="{00000000-0005-0000-0000-0000272D0000}"/>
    <cellStyle name="Fixed 6 2 9" xfId="11559" xr:uid="{00000000-0005-0000-0000-0000282D0000}"/>
    <cellStyle name="Fixed 6 3" xfId="11560" xr:uid="{00000000-0005-0000-0000-0000292D0000}"/>
    <cellStyle name="Fixed 6 3 2" xfId="11561" xr:uid="{00000000-0005-0000-0000-00002A2D0000}"/>
    <cellStyle name="Fixed 6 3 2 2" xfId="11562" xr:uid="{00000000-0005-0000-0000-00002B2D0000}"/>
    <cellStyle name="Fixed 6 3 2 2 2" xfId="11563" xr:uid="{00000000-0005-0000-0000-00002C2D0000}"/>
    <cellStyle name="Fixed 6 3 2 2 3" xfId="11564" xr:uid="{00000000-0005-0000-0000-00002D2D0000}"/>
    <cellStyle name="Fixed 6 3 2 3" xfId="11565" xr:uid="{00000000-0005-0000-0000-00002E2D0000}"/>
    <cellStyle name="Fixed 6 3 2 3 2" xfId="11566" xr:uid="{00000000-0005-0000-0000-00002F2D0000}"/>
    <cellStyle name="Fixed 6 3 2 3 3" xfId="11567" xr:uid="{00000000-0005-0000-0000-0000302D0000}"/>
    <cellStyle name="Fixed 6 3 2 4" xfId="11568" xr:uid="{00000000-0005-0000-0000-0000312D0000}"/>
    <cellStyle name="Fixed 6 3 2 5" xfId="11569" xr:uid="{00000000-0005-0000-0000-0000322D0000}"/>
    <cellStyle name="Fixed 6 3 2 6" xfId="11570" xr:uid="{00000000-0005-0000-0000-0000332D0000}"/>
    <cellStyle name="Fixed 6 3 3" xfId="11571" xr:uid="{00000000-0005-0000-0000-0000342D0000}"/>
    <cellStyle name="Fixed 6 3 3 2" xfId="11572" xr:uid="{00000000-0005-0000-0000-0000352D0000}"/>
    <cellStyle name="Fixed 6 3 3 3" xfId="11573" xr:uid="{00000000-0005-0000-0000-0000362D0000}"/>
    <cellStyle name="Fixed 6 3 4" xfId="11574" xr:uid="{00000000-0005-0000-0000-0000372D0000}"/>
    <cellStyle name="Fixed 6 3 4 2" xfId="11575" xr:uid="{00000000-0005-0000-0000-0000382D0000}"/>
    <cellStyle name="Fixed 6 3 4 3" xfId="11576" xr:uid="{00000000-0005-0000-0000-0000392D0000}"/>
    <cellStyle name="Fixed 6 3 5" xfId="11577" xr:uid="{00000000-0005-0000-0000-00003A2D0000}"/>
    <cellStyle name="Fixed 6 3 5 2" xfId="11578" xr:uid="{00000000-0005-0000-0000-00003B2D0000}"/>
    <cellStyle name="Fixed 6 3 5 3" xfId="11579" xr:uid="{00000000-0005-0000-0000-00003C2D0000}"/>
    <cellStyle name="Fixed 6 3 6" xfId="11580" xr:uid="{00000000-0005-0000-0000-00003D2D0000}"/>
    <cellStyle name="Fixed 6 3 7" xfId="11581" xr:uid="{00000000-0005-0000-0000-00003E2D0000}"/>
    <cellStyle name="Fixed 6 3 8" xfId="11582" xr:uid="{00000000-0005-0000-0000-00003F2D0000}"/>
    <cellStyle name="Fixed 6 4" xfId="11583" xr:uid="{00000000-0005-0000-0000-0000402D0000}"/>
    <cellStyle name="Fixed 6 4 2" xfId="11584" xr:uid="{00000000-0005-0000-0000-0000412D0000}"/>
    <cellStyle name="Fixed 6 4 2 2" xfId="11585" xr:uid="{00000000-0005-0000-0000-0000422D0000}"/>
    <cellStyle name="Fixed 6 4 2 2 2" xfId="11586" xr:uid="{00000000-0005-0000-0000-0000432D0000}"/>
    <cellStyle name="Fixed 6 4 2 2 3" xfId="11587" xr:uid="{00000000-0005-0000-0000-0000442D0000}"/>
    <cellStyle name="Fixed 6 4 2 3" xfId="11588" xr:uid="{00000000-0005-0000-0000-0000452D0000}"/>
    <cellStyle name="Fixed 6 4 2 3 2" xfId="11589" xr:uid="{00000000-0005-0000-0000-0000462D0000}"/>
    <cellStyle name="Fixed 6 4 2 3 3" xfId="11590" xr:uid="{00000000-0005-0000-0000-0000472D0000}"/>
    <cellStyle name="Fixed 6 4 2 4" xfId="11591" xr:uid="{00000000-0005-0000-0000-0000482D0000}"/>
    <cellStyle name="Fixed 6 4 2 5" xfId="11592" xr:uid="{00000000-0005-0000-0000-0000492D0000}"/>
    <cellStyle name="Fixed 6 4 2 6" xfId="11593" xr:uid="{00000000-0005-0000-0000-00004A2D0000}"/>
    <cellStyle name="Fixed 6 4 3" xfId="11594" xr:uid="{00000000-0005-0000-0000-00004B2D0000}"/>
    <cellStyle name="Fixed 6 4 3 2" xfId="11595" xr:uid="{00000000-0005-0000-0000-00004C2D0000}"/>
    <cellStyle name="Fixed 6 4 3 3" xfId="11596" xr:uid="{00000000-0005-0000-0000-00004D2D0000}"/>
    <cellStyle name="Fixed 6 4 4" xfId="11597" xr:uid="{00000000-0005-0000-0000-00004E2D0000}"/>
    <cellStyle name="Fixed 6 4 4 2" xfId="11598" xr:uid="{00000000-0005-0000-0000-00004F2D0000}"/>
    <cellStyle name="Fixed 6 4 4 3" xfId="11599" xr:uid="{00000000-0005-0000-0000-0000502D0000}"/>
    <cellStyle name="Fixed 6 4 5" xfId="11600" xr:uid="{00000000-0005-0000-0000-0000512D0000}"/>
    <cellStyle name="Fixed 6 4 5 2" xfId="11601" xr:uid="{00000000-0005-0000-0000-0000522D0000}"/>
    <cellStyle name="Fixed 6 4 5 3" xfId="11602" xr:uid="{00000000-0005-0000-0000-0000532D0000}"/>
    <cellStyle name="Fixed 6 4 6" xfId="11603" xr:uid="{00000000-0005-0000-0000-0000542D0000}"/>
    <cellStyle name="Fixed 6 4 7" xfId="11604" xr:uid="{00000000-0005-0000-0000-0000552D0000}"/>
    <cellStyle name="Fixed 6 4 8" xfId="11605" xr:uid="{00000000-0005-0000-0000-0000562D0000}"/>
    <cellStyle name="Fixed 6 5" xfId="11606" xr:uid="{00000000-0005-0000-0000-0000572D0000}"/>
    <cellStyle name="Fixed 6 5 2" xfId="11607" xr:uid="{00000000-0005-0000-0000-0000582D0000}"/>
    <cellStyle name="Fixed 6 5 2 2" xfId="11608" xr:uid="{00000000-0005-0000-0000-0000592D0000}"/>
    <cellStyle name="Fixed 6 5 2 2 2" xfId="11609" xr:uid="{00000000-0005-0000-0000-00005A2D0000}"/>
    <cellStyle name="Fixed 6 5 2 2 3" xfId="11610" xr:uid="{00000000-0005-0000-0000-00005B2D0000}"/>
    <cellStyle name="Fixed 6 5 2 3" xfId="11611" xr:uid="{00000000-0005-0000-0000-00005C2D0000}"/>
    <cellStyle name="Fixed 6 5 2 3 2" xfId="11612" xr:uid="{00000000-0005-0000-0000-00005D2D0000}"/>
    <cellStyle name="Fixed 6 5 2 3 3" xfId="11613" xr:uid="{00000000-0005-0000-0000-00005E2D0000}"/>
    <cellStyle name="Fixed 6 5 2 4" xfId="11614" xr:uid="{00000000-0005-0000-0000-00005F2D0000}"/>
    <cellStyle name="Fixed 6 5 2 5" xfId="11615" xr:uid="{00000000-0005-0000-0000-0000602D0000}"/>
    <cellStyle name="Fixed 6 5 2 6" xfId="11616" xr:uid="{00000000-0005-0000-0000-0000612D0000}"/>
    <cellStyle name="Fixed 6 5 3" xfId="11617" xr:uid="{00000000-0005-0000-0000-0000622D0000}"/>
    <cellStyle name="Fixed 6 5 3 2" xfId="11618" xr:uid="{00000000-0005-0000-0000-0000632D0000}"/>
    <cellStyle name="Fixed 6 5 3 3" xfId="11619" xr:uid="{00000000-0005-0000-0000-0000642D0000}"/>
    <cellStyle name="Fixed 6 5 4" xfId="11620" xr:uid="{00000000-0005-0000-0000-0000652D0000}"/>
    <cellStyle name="Fixed 6 5 4 2" xfId="11621" xr:uid="{00000000-0005-0000-0000-0000662D0000}"/>
    <cellStyle name="Fixed 6 5 4 3" xfId="11622" xr:uid="{00000000-0005-0000-0000-0000672D0000}"/>
    <cellStyle name="Fixed 6 5 5" xfId="11623" xr:uid="{00000000-0005-0000-0000-0000682D0000}"/>
    <cellStyle name="Fixed 6 5 5 2" xfId="11624" xr:uid="{00000000-0005-0000-0000-0000692D0000}"/>
    <cellStyle name="Fixed 6 5 5 3" xfId="11625" xr:uid="{00000000-0005-0000-0000-00006A2D0000}"/>
    <cellStyle name="Fixed 6 5 6" xfId="11626" xr:uid="{00000000-0005-0000-0000-00006B2D0000}"/>
    <cellStyle name="Fixed 6 5 7" xfId="11627" xr:uid="{00000000-0005-0000-0000-00006C2D0000}"/>
    <cellStyle name="Fixed 6 5 8" xfId="11628" xr:uid="{00000000-0005-0000-0000-00006D2D0000}"/>
    <cellStyle name="Fixed 6 6" xfId="11629" xr:uid="{00000000-0005-0000-0000-00006E2D0000}"/>
    <cellStyle name="Fixed 6 6 2" xfId="11630" xr:uid="{00000000-0005-0000-0000-00006F2D0000}"/>
    <cellStyle name="Fixed 6 6 2 2" xfId="11631" xr:uid="{00000000-0005-0000-0000-0000702D0000}"/>
    <cellStyle name="Fixed 6 6 2 3" xfId="11632" xr:uid="{00000000-0005-0000-0000-0000712D0000}"/>
    <cellStyle name="Fixed 6 6 3" xfId="11633" xr:uid="{00000000-0005-0000-0000-0000722D0000}"/>
    <cellStyle name="Fixed 6 6 3 2" xfId="11634" xr:uid="{00000000-0005-0000-0000-0000732D0000}"/>
    <cellStyle name="Fixed 6 6 3 3" xfId="11635" xr:uid="{00000000-0005-0000-0000-0000742D0000}"/>
    <cellStyle name="Fixed 6 6 4" xfId="11636" xr:uid="{00000000-0005-0000-0000-0000752D0000}"/>
    <cellStyle name="Fixed 6 6 5" xfId="11637" xr:uid="{00000000-0005-0000-0000-0000762D0000}"/>
    <cellStyle name="Fixed 6 6 6" xfId="11638" xr:uid="{00000000-0005-0000-0000-0000772D0000}"/>
    <cellStyle name="Fixed 6 7" xfId="11639" xr:uid="{00000000-0005-0000-0000-0000782D0000}"/>
    <cellStyle name="Fixed 6 7 2" xfId="11640" xr:uid="{00000000-0005-0000-0000-0000792D0000}"/>
    <cellStyle name="Fixed 6 7 3" xfId="11641" xr:uid="{00000000-0005-0000-0000-00007A2D0000}"/>
    <cellStyle name="Fixed 6 7 4" xfId="11642" xr:uid="{00000000-0005-0000-0000-00007B2D0000}"/>
    <cellStyle name="Fixed 6 8" xfId="11643" xr:uid="{00000000-0005-0000-0000-00007C2D0000}"/>
    <cellStyle name="Fixed 6 8 2" xfId="11644" xr:uid="{00000000-0005-0000-0000-00007D2D0000}"/>
    <cellStyle name="Fixed 6 8 3" xfId="11645" xr:uid="{00000000-0005-0000-0000-00007E2D0000}"/>
    <cellStyle name="Fixed 6 9" xfId="11646" xr:uid="{00000000-0005-0000-0000-00007F2D0000}"/>
    <cellStyle name="Fixed 6 9 2" xfId="11647" xr:uid="{00000000-0005-0000-0000-0000802D0000}"/>
    <cellStyle name="Fixed 6 9 3" xfId="11648" xr:uid="{00000000-0005-0000-0000-0000812D0000}"/>
    <cellStyle name="Fixed 7" xfId="11649" xr:uid="{00000000-0005-0000-0000-0000822D0000}"/>
    <cellStyle name="Fixed 7 10" xfId="11650" xr:uid="{00000000-0005-0000-0000-0000832D0000}"/>
    <cellStyle name="Fixed 7 11" xfId="11651" xr:uid="{00000000-0005-0000-0000-0000842D0000}"/>
    <cellStyle name="Fixed 7 12" xfId="11652" xr:uid="{00000000-0005-0000-0000-0000852D0000}"/>
    <cellStyle name="Fixed 7 2" xfId="11653" xr:uid="{00000000-0005-0000-0000-0000862D0000}"/>
    <cellStyle name="Fixed 7 2 10" xfId="11654" xr:uid="{00000000-0005-0000-0000-0000872D0000}"/>
    <cellStyle name="Fixed 7 2 2" xfId="11655" xr:uid="{00000000-0005-0000-0000-0000882D0000}"/>
    <cellStyle name="Fixed 7 2 2 2" xfId="11656" xr:uid="{00000000-0005-0000-0000-0000892D0000}"/>
    <cellStyle name="Fixed 7 2 2 2 2" xfId="11657" xr:uid="{00000000-0005-0000-0000-00008A2D0000}"/>
    <cellStyle name="Fixed 7 2 2 2 2 2" xfId="11658" xr:uid="{00000000-0005-0000-0000-00008B2D0000}"/>
    <cellStyle name="Fixed 7 2 2 2 2 3" xfId="11659" xr:uid="{00000000-0005-0000-0000-00008C2D0000}"/>
    <cellStyle name="Fixed 7 2 2 2 3" xfId="11660" xr:uid="{00000000-0005-0000-0000-00008D2D0000}"/>
    <cellStyle name="Fixed 7 2 2 2 3 2" xfId="11661" xr:uid="{00000000-0005-0000-0000-00008E2D0000}"/>
    <cellStyle name="Fixed 7 2 2 2 3 3" xfId="11662" xr:uid="{00000000-0005-0000-0000-00008F2D0000}"/>
    <cellStyle name="Fixed 7 2 2 2 4" xfId="11663" xr:uid="{00000000-0005-0000-0000-0000902D0000}"/>
    <cellStyle name="Fixed 7 2 2 2 5" xfId="11664" xr:uid="{00000000-0005-0000-0000-0000912D0000}"/>
    <cellStyle name="Fixed 7 2 2 2 6" xfId="11665" xr:uid="{00000000-0005-0000-0000-0000922D0000}"/>
    <cellStyle name="Fixed 7 2 2 3" xfId="11666" xr:uid="{00000000-0005-0000-0000-0000932D0000}"/>
    <cellStyle name="Fixed 7 2 2 3 2" xfId="11667" xr:uid="{00000000-0005-0000-0000-0000942D0000}"/>
    <cellStyle name="Fixed 7 2 2 3 3" xfId="11668" xr:uid="{00000000-0005-0000-0000-0000952D0000}"/>
    <cellStyle name="Fixed 7 2 2 4" xfId="11669" xr:uid="{00000000-0005-0000-0000-0000962D0000}"/>
    <cellStyle name="Fixed 7 2 2 4 2" xfId="11670" xr:uid="{00000000-0005-0000-0000-0000972D0000}"/>
    <cellStyle name="Fixed 7 2 2 4 3" xfId="11671" xr:uid="{00000000-0005-0000-0000-0000982D0000}"/>
    <cellStyle name="Fixed 7 2 2 5" xfId="11672" xr:uid="{00000000-0005-0000-0000-0000992D0000}"/>
    <cellStyle name="Fixed 7 2 2 5 2" xfId="11673" xr:uid="{00000000-0005-0000-0000-00009A2D0000}"/>
    <cellStyle name="Fixed 7 2 2 5 3" xfId="11674" xr:uid="{00000000-0005-0000-0000-00009B2D0000}"/>
    <cellStyle name="Fixed 7 2 2 6" xfId="11675" xr:uid="{00000000-0005-0000-0000-00009C2D0000}"/>
    <cellStyle name="Fixed 7 2 2 7" xfId="11676" xr:uid="{00000000-0005-0000-0000-00009D2D0000}"/>
    <cellStyle name="Fixed 7 2 2 8" xfId="11677" xr:uid="{00000000-0005-0000-0000-00009E2D0000}"/>
    <cellStyle name="Fixed 7 2 3" xfId="11678" xr:uid="{00000000-0005-0000-0000-00009F2D0000}"/>
    <cellStyle name="Fixed 7 2 3 2" xfId="11679" xr:uid="{00000000-0005-0000-0000-0000A02D0000}"/>
    <cellStyle name="Fixed 7 2 3 2 2" xfId="11680" xr:uid="{00000000-0005-0000-0000-0000A12D0000}"/>
    <cellStyle name="Fixed 7 2 3 2 2 2" xfId="11681" xr:uid="{00000000-0005-0000-0000-0000A22D0000}"/>
    <cellStyle name="Fixed 7 2 3 2 2 3" xfId="11682" xr:uid="{00000000-0005-0000-0000-0000A32D0000}"/>
    <cellStyle name="Fixed 7 2 3 2 3" xfId="11683" xr:uid="{00000000-0005-0000-0000-0000A42D0000}"/>
    <cellStyle name="Fixed 7 2 3 2 3 2" xfId="11684" xr:uid="{00000000-0005-0000-0000-0000A52D0000}"/>
    <cellStyle name="Fixed 7 2 3 2 3 3" xfId="11685" xr:uid="{00000000-0005-0000-0000-0000A62D0000}"/>
    <cellStyle name="Fixed 7 2 3 2 4" xfId="11686" xr:uid="{00000000-0005-0000-0000-0000A72D0000}"/>
    <cellStyle name="Fixed 7 2 3 2 5" xfId="11687" xr:uid="{00000000-0005-0000-0000-0000A82D0000}"/>
    <cellStyle name="Fixed 7 2 3 2 6" xfId="11688" xr:uid="{00000000-0005-0000-0000-0000A92D0000}"/>
    <cellStyle name="Fixed 7 2 3 3" xfId="11689" xr:uid="{00000000-0005-0000-0000-0000AA2D0000}"/>
    <cellStyle name="Fixed 7 2 3 3 2" xfId="11690" xr:uid="{00000000-0005-0000-0000-0000AB2D0000}"/>
    <cellStyle name="Fixed 7 2 3 3 3" xfId="11691" xr:uid="{00000000-0005-0000-0000-0000AC2D0000}"/>
    <cellStyle name="Fixed 7 2 3 4" xfId="11692" xr:uid="{00000000-0005-0000-0000-0000AD2D0000}"/>
    <cellStyle name="Fixed 7 2 3 4 2" xfId="11693" xr:uid="{00000000-0005-0000-0000-0000AE2D0000}"/>
    <cellStyle name="Fixed 7 2 3 4 3" xfId="11694" xr:uid="{00000000-0005-0000-0000-0000AF2D0000}"/>
    <cellStyle name="Fixed 7 2 3 5" xfId="11695" xr:uid="{00000000-0005-0000-0000-0000B02D0000}"/>
    <cellStyle name="Fixed 7 2 3 5 2" xfId="11696" xr:uid="{00000000-0005-0000-0000-0000B12D0000}"/>
    <cellStyle name="Fixed 7 2 3 5 3" xfId="11697" xr:uid="{00000000-0005-0000-0000-0000B22D0000}"/>
    <cellStyle name="Fixed 7 2 3 6" xfId="11698" xr:uid="{00000000-0005-0000-0000-0000B32D0000}"/>
    <cellStyle name="Fixed 7 2 3 7" xfId="11699" xr:uid="{00000000-0005-0000-0000-0000B42D0000}"/>
    <cellStyle name="Fixed 7 2 3 8" xfId="11700" xr:uid="{00000000-0005-0000-0000-0000B52D0000}"/>
    <cellStyle name="Fixed 7 2 4" xfId="11701" xr:uid="{00000000-0005-0000-0000-0000B62D0000}"/>
    <cellStyle name="Fixed 7 2 4 2" xfId="11702" xr:uid="{00000000-0005-0000-0000-0000B72D0000}"/>
    <cellStyle name="Fixed 7 2 4 2 2" xfId="11703" xr:uid="{00000000-0005-0000-0000-0000B82D0000}"/>
    <cellStyle name="Fixed 7 2 4 2 3" xfId="11704" xr:uid="{00000000-0005-0000-0000-0000B92D0000}"/>
    <cellStyle name="Fixed 7 2 4 3" xfId="11705" xr:uid="{00000000-0005-0000-0000-0000BA2D0000}"/>
    <cellStyle name="Fixed 7 2 4 3 2" xfId="11706" xr:uid="{00000000-0005-0000-0000-0000BB2D0000}"/>
    <cellStyle name="Fixed 7 2 4 3 3" xfId="11707" xr:uid="{00000000-0005-0000-0000-0000BC2D0000}"/>
    <cellStyle name="Fixed 7 2 4 4" xfId="11708" xr:uid="{00000000-0005-0000-0000-0000BD2D0000}"/>
    <cellStyle name="Fixed 7 2 4 5" xfId="11709" xr:uid="{00000000-0005-0000-0000-0000BE2D0000}"/>
    <cellStyle name="Fixed 7 2 4 6" xfId="11710" xr:uid="{00000000-0005-0000-0000-0000BF2D0000}"/>
    <cellStyle name="Fixed 7 2 5" xfId="11711" xr:uid="{00000000-0005-0000-0000-0000C02D0000}"/>
    <cellStyle name="Fixed 7 2 5 2" xfId="11712" xr:uid="{00000000-0005-0000-0000-0000C12D0000}"/>
    <cellStyle name="Fixed 7 2 5 3" xfId="11713" xr:uid="{00000000-0005-0000-0000-0000C22D0000}"/>
    <cellStyle name="Fixed 7 2 6" xfId="11714" xr:uid="{00000000-0005-0000-0000-0000C32D0000}"/>
    <cellStyle name="Fixed 7 2 6 2" xfId="11715" xr:uid="{00000000-0005-0000-0000-0000C42D0000}"/>
    <cellStyle name="Fixed 7 2 6 3" xfId="11716" xr:uid="{00000000-0005-0000-0000-0000C52D0000}"/>
    <cellStyle name="Fixed 7 2 7" xfId="11717" xr:uid="{00000000-0005-0000-0000-0000C62D0000}"/>
    <cellStyle name="Fixed 7 2 7 2" xfId="11718" xr:uid="{00000000-0005-0000-0000-0000C72D0000}"/>
    <cellStyle name="Fixed 7 2 7 3" xfId="11719" xr:uid="{00000000-0005-0000-0000-0000C82D0000}"/>
    <cellStyle name="Fixed 7 2 8" xfId="11720" xr:uid="{00000000-0005-0000-0000-0000C92D0000}"/>
    <cellStyle name="Fixed 7 2 9" xfId="11721" xr:uid="{00000000-0005-0000-0000-0000CA2D0000}"/>
    <cellStyle name="Fixed 7 3" xfId="11722" xr:uid="{00000000-0005-0000-0000-0000CB2D0000}"/>
    <cellStyle name="Fixed 7 3 2" xfId="11723" xr:uid="{00000000-0005-0000-0000-0000CC2D0000}"/>
    <cellStyle name="Fixed 7 3 2 2" xfId="11724" xr:uid="{00000000-0005-0000-0000-0000CD2D0000}"/>
    <cellStyle name="Fixed 7 3 2 2 2" xfId="11725" xr:uid="{00000000-0005-0000-0000-0000CE2D0000}"/>
    <cellStyle name="Fixed 7 3 2 2 3" xfId="11726" xr:uid="{00000000-0005-0000-0000-0000CF2D0000}"/>
    <cellStyle name="Fixed 7 3 2 3" xfId="11727" xr:uid="{00000000-0005-0000-0000-0000D02D0000}"/>
    <cellStyle name="Fixed 7 3 2 3 2" xfId="11728" xr:uid="{00000000-0005-0000-0000-0000D12D0000}"/>
    <cellStyle name="Fixed 7 3 2 3 3" xfId="11729" xr:uid="{00000000-0005-0000-0000-0000D22D0000}"/>
    <cellStyle name="Fixed 7 3 2 4" xfId="11730" xr:uid="{00000000-0005-0000-0000-0000D32D0000}"/>
    <cellStyle name="Fixed 7 3 2 5" xfId="11731" xr:uid="{00000000-0005-0000-0000-0000D42D0000}"/>
    <cellStyle name="Fixed 7 3 2 6" xfId="11732" xr:uid="{00000000-0005-0000-0000-0000D52D0000}"/>
    <cellStyle name="Fixed 7 3 3" xfId="11733" xr:uid="{00000000-0005-0000-0000-0000D62D0000}"/>
    <cellStyle name="Fixed 7 3 3 2" xfId="11734" xr:uid="{00000000-0005-0000-0000-0000D72D0000}"/>
    <cellStyle name="Fixed 7 3 3 3" xfId="11735" xr:uid="{00000000-0005-0000-0000-0000D82D0000}"/>
    <cellStyle name="Fixed 7 3 4" xfId="11736" xr:uid="{00000000-0005-0000-0000-0000D92D0000}"/>
    <cellStyle name="Fixed 7 3 4 2" xfId="11737" xr:uid="{00000000-0005-0000-0000-0000DA2D0000}"/>
    <cellStyle name="Fixed 7 3 4 3" xfId="11738" xr:uid="{00000000-0005-0000-0000-0000DB2D0000}"/>
    <cellStyle name="Fixed 7 3 5" xfId="11739" xr:uid="{00000000-0005-0000-0000-0000DC2D0000}"/>
    <cellStyle name="Fixed 7 3 5 2" xfId="11740" xr:uid="{00000000-0005-0000-0000-0000DD2D0000}"/>
    <cellStyle name="Fixed 7 3 5 3" xfId="11741" xr:uid="{00000000-0005-0000-0000-0000DE2D0000}"/>
    <cellStyle name="Fixed 7 3 6" xfId="11742" xr:uid="{00000000-0005-0000-0000-0000DF2D0000}"/>
    <cellStyle name="Fixed 7 3 7" xfId="11743" xr:uid="{00000000-0005-0000-0000-0000E02D0000}"/>
    <cellStyle name="Fixed 7 3 8" xfId="11744" xr:uid="{00000000-0005-0000-0000-0000E12D0000}"/>
    <cellStyle name="Fixed 7 4" xfId="11745" xr:uid="{00000000-0005-0000-0000-0000E22D0000}"/>
    <cellStyle name="Fixed 7 4 2" xfId="11746" xr:uid="{00000000-0005-0000-0000-0000E32D0000}"/>
    <cellStyle name="Fixed 7 4 2 2" xfId="11747" xr:uid="{00000000-0005-0000-0000-0000E42D0000}"/>
    <cellStyle name="Fixed 7 4 2 2 2" xfId="11748" xr:uid="{00000000-0005-0000-0000-0000E52D0000}"/>
    <cellStyle name="Fixed 7 4 2 2 3" xfId="11749" xr:uid="{00000000-0005-0000-0000-0000E62D0000}"/>
    <cellStyle name="Fixed 7 4 2 3" xfId="11750" xr:uid="{00000000-0005-0000-0000-0000E72D0000}"/>
    <cellStyle name="Fixed 7 4 2 3 2" xfId="11751" xr:uid="{00000000-0005-0000-0000-0000E82D0000}"/>
    <cellStyle name="Fixed 7 4 2 3 3" xfId="11752" xr:uid="{00000000-0005-0000-0000-0000E92D0000}"/>
    <cellStyle name="Fixed 7 4 2 4" xfId="11753" xr:uid="{00000000-0005-0000-0000-0000EA2D0000}"/>
    <cellStyle name="Fixed 7 4 2 5" xfId="11754" xr:uid="{00000000-0005-0000-0000-0000EB2D0000}"/>
    <cellStyle name="Fixed 7 4 2 6" xfId="11755" xr:uid="{00000000-0005-0000-0000-0000EC2D0000}"/>
    <cellStyle name="Fixed 7 4 3" xfId="11756" xr:uid="{00000000-0005-0000-0000-0000ED2D0000}"/>
    <cellStyle name="Fixed 7 4 3 2" xfId="11757" xr:uid="{00000000-0005-0000-0000-0000EE2D0000}"/>
    <cellStyle name="Fixed 7 4 3 3" xfId="11758" xr:uid="{00000000-0005-0000-0000-0000EF2D0000}"/>
    <cellStyle name="Fixed 7 4 4" xfId="11759" xr:uid="{00000000-0005-0000-0000-0000F02D0000}"/>
    <cellStyle name="Fixed 7 4 4 2" xfId="11760" xr:uid="{00000000-0005-0000-0000-0000F12D0000}"/>
    <cellStyle name="Fixed 7 4 4 3" xfId="11761" xr:uid="{00000000-0005-0000-0000-0000F22D0000}"/>
    <cellStyle name="Fixed 7 4 5" xfId="11762" xr:uid="{00000000-0005-0000-0000-0000F32D0000}"/>
    <cellStyle name="Fixed 7 4 5 2" xfId="11763" xr:uid="{00000000-0005-0000-0000-0000F42D0000}"/>
    <cellStyle name="Fixed 7 4 5 3" xfId="11764" xr:uid="{00000000-0005-0000-0000-0000F52D0000}"/>
    <cellStyle name="Fixed 7 4 6" xfId="11765" xr:uid="{00000000-0005-0000-0000-0000F62D0000}"/>
    <cellStyle name="Fixed 7 4 7" xfId="11766" xr:uid="{00000000-0005-0000-0000-0000F72D0000}"/>
    <cellStyle name="Fixed 7 4 8" xfId="11767" xr:uid="{00000000-0005-0000-0000-0000F82D0000}"/>
    <cellStyle name="Fixed 7 5" xfId="11768" xr:uid="{00000000-0005-0000-0000-0000F92D0000}"/>
    <cellStyle name="Fixed 7 5 2" xfId="11769" xr:uid="{00000000-0005-0000-0000-0000FA2D0000}"/>
    <cellStyle name="Fixed 7 5 2 2" xfId="11770" xr:uid="{00000000-0005-0000-0000-0000FB2D0000}"/>
    <cellStyle name="Fixed 7 5 2 2 2" xfId="11771" xr:uid="{00000000-0005-0000-0000-0000FC2D0000}"/>
    <cellStyle name="Fixed 7 5 2 2 3" xfId="11772" xr:uid="{00000000-0005-0000-0000-0000FD2D0000}"/>
    <cellStyle name="Fixed 7 5 2 3" xfId="11773" xr:uid="{00000000-0005-0000-0000-0000FE2D0000}"/>
    <cellStyle name="Fixed 7 5 2 3 2" xfId="11774" xr:uid="{00000000-0005-0000-0000-0000FF2D0000}"/>
    <cellStyle name="Fixed 7 5 2 3 3" xfId="11775" xr:uid="{00000000-0005-0000-0000-0000002E0000}"/>
    <cellStyle name="Fixed 7 5 2 4" xfId="11776" xr:uid="{00000000-0005-0000-0000-0000012E0000}"/>
    <cellStyle name="Fixed 7 5 2 5" xfId="11777" xr:uid="{00000000-0005-0000-0000-0000022E0000}"/>
    <cellStyle name="Fixed 7 5 2 6" xfId="11778" xr:uid="{00000000-0005-0000-0000-0000032E0000}"/>
    <cellStyle name="Fixed 7 5 3" xfId="11779" xr:uid="{00000000-0005-0000-0000-0000042E0000}"/>
    <cellStyle name="Fixed 7 5 3 2" xfId="11780" xr:uid="{00000000-0005-0000-0000-0000052E0000}"/>
    <cellStyle name="Fixed 7 5 3 3" xfId="11781" xr:uid="{00000000-0005-0000-0000-0000062E0000}"/>
    <cellStyle name="Fixed 7 5 4" xfId="11782" xr:uid="{00000000-0005-0000-0000-0000072E0000}"/>
    <cellStyle name="Fixed 7 5 4 2" xfId="11783" xr:uid="{00000000-0005-0000-0000-0000082E0000}"/>
    <cellStyle name="Fixed 7 5 4 3" xfId="11784" xr:uid="{00000000-0005-0000-0000-0000092E0000}"/>
    <cellStyle name="Fixed 7 5 5" xfId="11785" xr:uid="{00000000-0005-0000-0000-00000A2E0000}"/>
    <cellStyle name="Fixed 7 5 5 2" xfId="11786" xr:uid="{00000000-0005-0000-0000-00000B2E0000}"/>
    <cellStyle name="Fixed 7 5 5 3" xfId="11787" xr:uid="{00000000-0005-0000-0000-00000C2E0000}"/>
    <cellStyle name="Fixed 7 5 6" xfId="11788" xr:uid="{00000000-0005-0000-0000-00000D2E0000}"/>
    <cellStyle name="Fixed 7 5 7" xfId="11789" xr:uid="{00000000-0005-0000-0000-00000E2E0000}"/>
    <cellStyle name="Fixed 7 5 8" xfId="11790" xr:uid="{00000000-0005-0000-0000-00000F2E0000}"/>
    <cellStyle name="Fixed 7 6" xfId="11791" xr:uid="{00000000-0005-0000-0000-0000102E0000}"/>
    <cellStyle name="Fixed 7 6 2" xfId="11792" xr:uid="{00000000-0005-0000-0000-0000112E0000}"/>
    <cellStyle name="Fixed 7 6 2 2" xfId="11793" xr:uid="{00000000-0005-0000-0000-0000122E0000}"/>
    <cellStyle name="Fixed 7 6 2 3" xfId="11794" xr:uid="{00000000-0005-0000-0000-0000132E0000}"/>
    <cellStyle name="Fixed 7 6 3" xfId="11795" xr:uid="{00000000-0005-0000-0000-0000142E0000}"/>
    <cellStyle name="Fixed 7 6 3 2" xfId="11796" xr:uid="{00000000-0005-0000-0000-0000152E0000}"/>
    <cellStyle name="Fixed 7 6 3 3" xfId="11797" xr:uid="{00000000-0005-0000-0000-0000162E0000}"/>
    <cellStyle name="Fixed 7 6 4" xfId="11798" xr:uid="{00000000-0005-0000-0000-0000172E0000}"/>
    <cellStyle name="Fixed 7 6 5" xfId="11799" xr:uid="{00000000-0005-0000-0000-0000182E0000}"/>
    <cellStyle name="Fixed 7 6 6" xfId="11800" xr:uid="{00000000-0005-0000-0000-0000192E0000}"/>
    <cellStyle name="Fixed 7 7" xfId="11801" xr:uid="{00000000-0005-0000-0000-00001A2E0000}"/>
    <cellStyle name="Fixed 7 7 2" xfId="11802" xr:uid="{00000000-0005-0000-0000-00001B2E0000}"/>
    <cellStyle name="Fixed 7 7 3" xfId="11803" xr:uid="{00000000-0005-0000-0000-00001C2E0000}"/>
    <cellStyle name="Fixed 7 7 4" xfId="11804" xr:uid="{00000000-0005-0000-0000-00001D2E0000}"/>
    <cellStyle name="Fixed 7 8" xfId="11805" xr:uid="{00000000-0005-0000-0000-00001E2E0000}"/>
    <cellStyle name="Fixed 7 8 2" xfId="11806" xr:uid="{00000000-0005-0000-0000-00001F2E0000}"/>
    <cellStyle name="Fixed 7 8 3" xfId="11807" xr:uid="{00000000-0005-0000-0000-0000202E0000}"/>
    <cellStyle name="Fixed 7 9" xfId="11808" xr:uid="{00000000-0005-0000-0000-0000212E0000}"/>
    <cellStyle name="Fixed 7 9 2" xfId="11809" xr:uid="{00000000-0005-0000-0000-0000222E0000}"/>
    <cellStyle name="Fixed 7 9 3" xfId="11810" xr:uid="{00000000-0005-0000-0000-0000232E0000}"/>
    <cellStyle name="Fixed 8" xfId="11811" xr:uid="{00000000-0005-0000-0000-0000242E0000}"/>
    <cellStyle name="Fixed 8 10" xfId="11812" xr:uid="{00000000-0005-0000-0000-0000252E0000}"/>
    <cellStyle name="Fixed 8 11" xfId="11813" xr:uid="{00000000-0005-0000-0000-0000262E0000}"/>
    <cellStyle name="Fixed 8 12" xfId="11814" xr:uid="{00000000-0005-0000-0000-0000272E0000}"/>
    <cellStyle name="Fixed 8 2" xfId="11815" xr:uid="{00000000-0005-0000-0000-0000282E0000}"/>
    <cellStyle name="Fixed 8 2 10" xfId="11816" xr:uid="{00000000-0005-0000-0000-0000292E0000}"/>
    <cellStyle name="Fixed 8 2 2" xfId="11817" xr:uid="{00000000-0005-0000-0000-00002A2E0000}"/>
    <cellStyle name="Fixed 8 2 2 2" xfId="11818" xr:uid="{00000000-0005-0000-0000-00002B2E0000}"/>
    <cellStyle name="Fixed 8 2 2 2 2" xfId="11819" xr:uid="{00000000-0005-0000-0000-00002C2E0000}"/>
    <cellStyle name="Fixed 8 2 2 2 2 2" xfId="11820" xr:uid="{00000000-0005-0000-0000-00002D2E0000}"/>
    <cellStyle name="Fixed 8 2 2 2 2 3" xfId="11821" xr:uid="{00000000-0005-0000-0000-00002E2E0000}"/>
    <cellStyle name="Fixed 8 2 2 2 3" xfId="11822" xr:uid="{00000000-0005-0000-0000-00002F2E0000}"/>
    <cellStyle name="Fixed 8 2 2 2 3 2" xfId="11823" xr:uid="{00000000-0005-0000-0000-0000302E0000}"/>
    <cellStyle name="Fixed 8 2 2 2 3 3" xfId="11824" xr:uid="{00000000-0005-0000-0000-0000312E0000}"/>
    <cellStyle name="Fixed 8 2 2 2 4" xfId="11825" xr:uid="{00000000-0005-0000-0000-0000322E0000}"/>
    <cellStyle name="Fixed 8 2 2 2 5" xfId="11826" xr:uid="{00000000-0005-0000-0000-0000332E0000}"/>
    <cellStyle name="Fixed 8 2 2 2 6" xfId="11827" xr:uid="{00000000-0005-0000-0000-0000342E0000}"/>
    <cellStyle name="Fixed 8 2 2 3" xfId="11828" xr:uid="{00000000-0005-0000-0000-0000352E0000}"/>
    <cellStyle name="Fixed 8 2 2 3 2" xfId="11829" xr:uid="{00000000-0005-0000-0000-0000362E0000}"/>
    <cellStyle name="Fixed 8 2 2 3 3" xfId="11830" xr:uid="{00000000-0005-0000-0000-0000372E0000}"/>
    <cellStyle name="Fixed 8 2 2 4" xfId="11831" xr:uid="{00000000-0005-0000-0000-0000382E0000}"/>
    <cellStyle name="Fixed 8 2 2 4 2" xfId="11832" xr:uid="{00000000-0005-0000-0000-0000392E0000}"/>
    <cellStyle name="Fixed 8 2 2 4 3" xfId="11833" xr:uid="{00000000-0005-0000-0000-00003A2E0000}"/>
    <cellStyle name="Fixed 8 2 2 5" xfId="11834" xr:uid="{00000000-0005-0000-0000-00003B2E0000}"/>
    <cellStyle name="Fixed 8 2 2 5 2" xfId="11835" xr:uid="{00000000-0005-0000-0000-00003C2E0000}"/>
    <cellStyle name="Fixed 8 2 2 5 3" xfId="11836" xr:uid="{00000000-0005-0000-0000-00003D2E0000}"/>
    <cellStyle name="Fixed 8 2 2 6" xfId="11837" xr:uid="{00000000-0005-0000-0000-00003E2E0000}"/>
    <cellStyle name="Fixed 8 2 2 7" xfId="11838" xr:uid="{00000000-0005-0000-0000-00003F2E0000}"/>
    <cellStyle name="Fixed 8 2 2 8" xfId="11839" xr:uid="{00000000-0005-0000-0000-0000402E0000}"/>
    <cellStyle name="Fixed 8 2 3" xfId="11840" xr:uid="{00000000-0005-0000-0000-0000412E0000}"/>
    <cellStyle name="Fixed 8 2 3 2" xfId="11841" xr:uid="{00000000-0005-0000-0000-0000422E0000}"/>
    <cellStyle name="Fixed 8 2 3 2 2" xfId="11842" xr:uid="{00000000-0005-0000-0000-0000432E0000}"/>
    <cellStyle name="Fixed 8 2 3 2 2 2" xfId="11843" xr:uid="{00000000-0005-0000-0000-0000442E0000}"/>
    <cellStyle name="Fixed 8 2 3 2 2 3" xfId="11844" xr:uid="{00000000-0005-0000-0000-0000452E0000}"/>
    <cellStyle name="Fixed 8 2 3 2 3" xfId="11845" xr:uid="{00000000-0005-0000-0000-0000462E0000}"/>
    <cellStyle name="Fixed 8 2 3 2 3 2" xfId="11846" xr:uid="{00000000-0005-0000-0000-0000472E0000}"/>
    <cellStyle name="Fixed 8 2 3 2 3 3" xfId="11847" xr:uid="{00000000-0005-0000-0000-0000482E0000}"/>
    <cellStyle name="Fixed 8 2 3 2 4" xfId="11848" xr:uid="{00000000-0005-0000-0000-0000492E0000}"/>
    <cellStyle name="Fixed 8 2 3 2 5" xfId="11849" xr:uid="{00000000-0005-0000-0000-00004A2E0000}"/>
    <cellStyle name="Fixed 8 2 3 2 6" xfId="11850" xr:uid="{00000000-0005-0000-0000-00004B2E0000}"/>
    <cellStyle name="Fixed 8 2 3 3" xfId="11851" xr:uid="{00000000-0005-0000-0000-00004C2E0000}"/>
    <cellStyle name="Fixed 8 2 3 3 2" xfId="11852" xr:uid="{00000000-0005-0000-0000-00004D2E0000}"/>
    <cellStyle name="Fixed 8 2 3 3 3" xfId="11853" xr:uid="{00000000-0005-0000-0000-00004E2E0000}"/>
    <cellStyle name="Fixed 8 2 3 4" xfId="11854" xr:uid="{00000000-0005-0000-0000-00004F2E0000}"/>
    <cellStyle name="Fixed 8 2 3 4 2" xfId="11855" xr:uid="{00000000-0005-0000-0000-0000502E0000}"/>
    <cellStyle name="Fixed 8 2 3 4 3" xfId="11856" xr:uid="{00000000-0005-0000-0000-0000512E0000}"/>
    <cellStyle name="Fixed 8 2 3 5" xfId="11857" xr:uid="{00000000-0005-0000-0000-0000522E0000}"/>
    <cellStyle name="Fixed 8 2 3 5 2" xfId="11858" xr:uid="{00000000-0005-0000-0000-0000532E0000}"/>
    <cellStyle name="Fixed 8 2 3 5 3" xfId="11859" xr:uid="{00000000-0005-0000-0000-0000542E0000}"/>
    <cellStyle name="Fixed 8 2 3 6" xfId="11860" xr:uid="{00000000-0005-0000-0000-0000552E0000}"/>
    <cellStyle name="Fixed 8 2 3 7" xfId="11861" xr:uid="{00000000-0005-0000-0000-0000562E0000}"/>
    <cellStyle name="Fixed 8 2 3 8" xfId="11862" xr:uid="{00000000-0005-0000-0000-0000572E0000}"/>
    <cellStyle name="Fixed 8 2 4" xfId="11863" xr:uid="{00000000-0005-0000-0000-0000582E0000}"/>
    <cellStyle name="Fixed 8 2 4 2" xfId="11864" xr:uid="{00000000-0005-0000-0000-0000592E0000}"/>
    <cellStyle name="Fixed 8 2 4 2 2" xfId="11865" xr:uid="{00000000-0005-0000-0000-00005A2E0000}"/>
    <cellStyle name="Fixed 8 2 4 2 3" xfId="11866" xr:uid="{00000000-0005-0000-0000-00005B2E0000}"/>
    <cellStyle name="Fixed 8 2 4 3" xfId="11867" xr:uid="{00000000-0005-0000-0000-00005C2E0000}"/>
    <cellStyle name="Fixed 8 2 4 3 2" xfId="11868" xr:uid="{00000000-0005-0000-0000-00005D2E0000}"/>
    <cellStyle name="Fixed 8 2 4 3 3" xfId="11869" xr:uid="{00000000-0005-0000-0000-00005E2E0000}"/>
    <cellStyle name="Fixed 8 2 4 4" xfId="11870" xr:uid="{00000000-0005-0000-0000-00005F2E0000}"/>
    <cellStyle name="Fixed 8 2 4 5" xfId="11871" xr:uid="{00000000-0005-0000-0000-0000602E0000}"/>
    <cellStyle name="Fixed 8 2 4 6" xfId="11872" xr:uid="{00000000-0005-0000-0000-0000612E0000}"/>
    <cellStyle name="Fixed 8 2 5" xfId="11873" xr:uid="{00000000-0005-0000-0000-0000622E0000}"/>
    <cellStyle name="Fixed 8 2 5 2" xfId="11874" xr:uid="{00000000-0005-0000-0000-0000632E0000}"/>
    <cellStyle name="Fixed 8 2 5 3" xfId="11875" xr:uid="{00000000-0005-0000-0000-0000642E0000}"/>
    <cellStyle name="Fixed 8 2 6" xfId="11876" xr:uid="{00000000-0005-0000-0000-0000652E0000}"/>
    <cellStyle name="Fixed 8 2 6 2" xfId="11877" xr:uid="{00000000-0005-0000-0000-0000662E0000}"/>
    <cellStyle name="Fixed 8 2 6 3" xfId="11878" xr:uid="{00000000-0005-0000-0000-0000672E0000}"/>
    <cellStyle name="Fixed 8 2 7" xfId="11879" xr:uid="{00000000-0005-0000-0000-0000682E0000}"/>
    <cellStyle name="Fixed 8 2 7 2" xfId="11880" xr:uid="{00000000-0005-0000-0000-0000692E0000}"/>
    <cellStyle name="Fixed 8 2 7 3" xfId="11881" xr:uid="{00000000-0005-0000-0000-00006A2E0000}"/>
    <cellStyle name="Fixed 8 2 8" xfId="11882" xr:uid="{00000000-0005-0000-0000-00006B2E0000}"/>
    <cellStyle name="Fixed 8 2 9" xfId="11883" xr:uid="{00000000-0005-0000-0000-00006C2E0000}"/>
    <cellStyle name="Fixed 8 3" xfId="11884" xr:uid="{00000000-0005-0000-0000-00006D2E0000}"/>
    <cellStyle name="Fixed 8 3 2" xfId="11885" xr:uid="{00000000-0005-0000-0000-00006E2E0000}"/>
    <cellStyle name="Fixed 8 3 2 2" xfId="11886" xr:uid="{00000000-0005-0000-0000-00006F2E0000}"/>
    <cellStyle name="Fixed 8 3 2 2 2" xfId="11887" xr:uid="{00000000-0005-0000-0000-0000702E0000}"/>
    <cellStyle name="Fixed 8 3 2 2 3" xfId="11888" xr:uid="{00000000-0005-0000-0000-0000712E0000}"/>
    <cellStyle name="Fixed 8 3 2 3" xfId="11889" xr:uid="{00000000-0005-0000-0000-0000722E0000}"/>
    <cellStyle name="Fixed 8 3 2 3 2" xfId="11890" xr:uid="{00000000-0005-0000-0000-0000732E0000}"/>
    <cellStyle name="Fixed 8 3 2 3 3" xfId="11891" xr:uid="{00000000-0005-0000-0000-0000742E0000}"/>
    <cellStyle name="Fixed 8 3 2 4" xfId="11892" xr:uid="{00000000-0005-0000-0000-0000752E0000}"/>
    <cellStyle name="Fixed 8 3 2 5" xfId="11893" xr:uid="{00000000-0005-0000-0000-0000762E0000}"/>
    <cellStyle name="Fixed 8 3 2 6" xfId="11894" xr:uid="{00000000-0005-0000-0000-0000772E0000}"/>
    <cellStyle name="Fixed 8 3 3" xfId="11895" xr:uid="{00000000-0005-0000-0000-0000782E0000}"/>
    <cellStyle name="Fixed 8 3 3 2" xfId="11896" xr:uid="{00000000-0005-0000-0000-0000792E0000}"/>
    <cellStyle name="Fixed 8 3 3 3" xfId="11897" xr:uid="{00000000-0005-0000-0000-00007A2E0000}"/>
    <cellStyle name="Fixed 8 3 4" xfId="11898" xr:uid="{00000000-0005-0000-0000-00007B2E0000}"/>
    <cellStyle name="Fixed 8 3 4 2" xfId="11899" xr:uid="{00000000-0005-0000-0000-00007C2E0000}"/>
    <cellStyle name="Fixed 8 3 4 3" xfId="11900" xr:uid="{00000000-0005-0000-0000-00007D2E0000}"/>
    <cellStyle name="Fixed 8 3 5" xfId="11901" xr:uid="{00000000-0005-0000-0000-00007E2E0000}"/>
    <cellStyle name="Fixed 8 3 5 2" xfId="11902" xr:uid="{00000000-0005-0000-0000-00007F2E0000}"/>
    <cellStyle name="Fixed 8 3 5 3" xfId="11903" xr:uid="{00000000-0005-0000-0000-0000802E0000}"/>
    <cellStyle name="Fixed 8 3 6" xfId="11904" xr:uid="{00000000-0005-0000-0000-0000812E0000}"/>
    <cellStyle name="Fixed 8 3 7" xfId="11905" xr:uid="{00000000-0005-0000-0000-0000822E0000}"/>
    <cellStyle name="Fixed 8 3 8" xfId="11906" xr:uid="{00000000-0005-0000-0000-0000832E0000}"/>
    <cellStyle name="Fixed 8 4" xfId="11907" xr:uid="{00000000-0005-0000-0000-0000842E0000}"/>
    <cellStyle name="Fixed 8 4 2" xfId="11908" xr:uid="{00000000-0005-0000-0000-0000852E0000}"/>
    <cellStyle name="Fixed 8 4 2 2" xfId="11909" xr:uid="{00000000-0005-0000-0000-0000862E0000}"/>
    <cellStyle name="Fixed 8 4 2 2 2" xfId="11910" xr:uid="{00000000-0005-0000-0000-0000872E0000}"/>
    <cellStyle name="Fixed 8 4 2 2 3" xfId="11911" xr:uid="{00000000-0005-0000-0000-0000882E0000}"/>
    <cellStyle name="Fixed 8 4 2 3" xfId="11912" xr:uid="{00000000-0005-0000-0000-0000892E0000}"/>
    <cellStyle name="Fixed 8 4 2 3 2" xfId="11913" xr:uid="{00000000-0005-0000-0000-00008A2E0000}"/>
    <cellStyle name="Fixed 8 4 2 3 3" xfId="11914" xr:uid="{00000000-0005-0000-0000-00008B2E0000}"/>
    <cellStyle name="Fixed 8 4 2 4" xfId="11915" xr:uid="{00000000-0005-0000-0000-00008C2E0000}"/>
    <cellStyle name="Fixed 8 4 2 5" xfId="11916" xr:uid="{00000000-0005-0000-0000-00008D2E0000}"/>
    <cellStyle name="Fixed 8 4 2 6" xfId="11917" xr:uid="{00000000-0005-0000-0000-00008E2E0000}"/>
    <cellStyle name="Fixed 8 4 3" xfId="11918" xr:uid="{00000000-0005-0000-0000-00008F2E0000}"/>
    <cellStyle name="Fixed 8 4 3 2" xfId="11919" xr:uid="{00000000-0005-0000-0000-0000902E0000}"/>
    <cellStyle name="Fixed 8 4 3 3" xfId="11920" xr:uid="{00000000-0005-0000-0000-0000912E0000}"/>
    <cellStyle name="Fixed 8 4 4" xfId="11921" xr:uid="{00000000-0005-0000-0000-0000922E0000}"/>
    <cellStyle name="Fixed 8 4 4 2" xfId="11922" xr:uid="{00000000-0005-0000-0000-0000932E0000}"/>
    <cellStyle name="Fixed 8 4 4 3" xfId="11923" xr:uid="{00000000-0005-0000-0000-0000942E0000}"/>
    <cellStyle name="Fixed 8 4 5" xfId="11924" xr:uid="{00000000-0005-0000-0000-0000952E0000}"/>
    <cellStyle name="Fixed 8 4 5 2" xfId="11925" xr:uid="{00000000-0005-0000-0000-0000962E0000}"/>
    <cellStyle name="Fixed 8 4 5 3" xfId="11926" xr:uid="{00000000-0005-0000-0000-0000972E0000}"/>
    <cellStyle name="Fixed 8 4 6" xfId="11927" xr:uid="{00000000-0005-0000-0000-0000982E0000}"/>
    <cellStyle name="Fixed 8 4 7" xfId="11928" xr:uid="{00000000-0005-0000-0000-0000992E0000}"/>
    <cellStyle name="Fixed 8 4 8" xfId="11929" xr:uid="{00000000-0005-0000-0000-00009A2E0000}"/>
    <cellStyle name="Fixed 8 5" xfId="11930" xr:uid="{00000000-0005-0000-0000-00009B2E0000}"/>
    <cellStyle name="Fixed 8 5 2" xfId="11931" xr:uid="{00000000-0005-0000-0000-00009C2E0000}"/>
    <cellStyle name="Fixed 8 5 2 2" xfId="11932" xr:uid="{00000000-0005-0000-0000-00009D2E0000}"/>
    <cellStyle name="Fixed 8 5 2 2 2" xfId="11933" xr:uid="{00000000-0005-0000-0000-00009E2E0000}"/>
    <cellStyle name="Fixed 8 5 2 2 3" xfId="11934" xr:uid="{00000000-0005-0000-0000-00009F2E0000}"/>
    <cellStyle name="Fixed 8 5 2 3" xfId="11935" xr:uid="{00000000-0005-0000-0000-0000A02E0000}"/>
    <cellStyle name="Fixed 8 5 2 3 2" xfId="11936" xr:uid="{00000000-0005-0000-0000-0000A12E0000}"/>
    <cellStyle name="Fixed 8 5 2 3 3" xfId="11937" xr:uid="{00000000-0005-0000-0000-0000A22E0000}"/>
    <cellStyle name="Fixed 8 5 2 4" xfId="11938" xr:uid="{00000000-0005-0000-0000-0000A32E0000}"/>
    <cellStyle name="Fixed 8 5 2 5" xfId="11939" xr:uid="{00000000-0005-0000-0000-0000A42E0000}"/>
    <cellStyle name="Fixed 8 5 2 6" xfId="11940" xr:uid="{00000000-0005-0000-0000-0000A52E0000}"/>
    <cellStyle name="Fixed 8 5 3" xfId="11941" xr:uid="{00000000-0005-0000-0000-0000A62E0000}"/>
    <cellStyle name="Fixed 8 5 3 2" xfId="11942" xr:uid="{00000000-0005-0000-0000-0000A72E0000}"/>
    <cellStyle name="Fixed 8 5 3 3" xfId="11943" xr:uid="{00000000-0005-0000-0000-0000A82E0000}"/>
    <cellStyle name="Fixed 8 5 4" xfId="11944" xr:uid="{00000000-0005-0000-0000-0000A92E0000}"/>
    <cellStyle name="Fixed 8 5 4 2" xfId="11945" xr:uid="{00000000-0005-0000-0000-0000AA2E0000}"/>
    <cellStyle name="Fixed 8 5 4 3" xfId="11946" xr:uid="{00000000-0005-0000-0000-0000AB2E0000}"/>
    <cellStyle name="Fixed 8 5 5" xfId="11947" xr:uid="{00000000-0005-0000-0000-0000AC2E0000}"/>
    <cellStyle name="Fixed 8 5 5 2" xfId="11948" xr:uid="{00000000-0005-0000-0000-0000AD2E0000}"/>
    <cellStyle name="Fixed 8 5 5 3" xfId="11949" xr:uid="{00000000-0005-0000-0000-0000AE2E0000}"/>
    <cellStyle name="Fixed 8 5 6" xfId="11950" xr:uid="{00000000-0005-0000-0000-0000AF2E0000}"/>
    <cellStyle name="Fixed 8 5 7" xfId="11951" xr:uid="{00000000-0005-0000-0000-0000B02E0000}"/>
    <cellStyle name="Fixed 8 5 8" xfId="11952" xr:uid="{00000000-0005-0000-0000-0000B12E0000}"/>
    <cellStyle name="Fixed 8 6" xfId="11953" xr:uid="{00000000-0005-0000-0000-0000B22E0000}"/>
    <cellStyle name="Fixed 8 6 2" xfId="11954" xr:uid="{00000000-0005-0000-0000-0000B32E0000}"/>
    <cellStyle name="Fixed 8 6 2 2" xfId="11955" xr:uid="{00000000-0005-0000-0000-0000B42E0000}"/>
    <cellStyle name="Fixed 8 6 2 3" xfId="11956" xr:uid="{00000000-0005-0000-0000-0000B52E0000}"/>
    <cellStyle name="Fixed 8 6 3" xfId="11957" xr:uid="{00000000-0005-0000-0000-0000B62E0000}"/>
    <cellStyle name="Fixed 8 6 3 2" xfId="11958" xr:uid="{00000000-0005-0000-0000-0000B72E0000}"/>
    <cellStyle name="Fixed 8 6 3 3" xfId="11959" xr:uid="{00000000-0005-0000-0000-0000B82E0000}"/>
    <cellStyle name="Fixed 8 6 4" xfId="11960" xr:uid="{00000000-0005-0000-0000-0000B92E0000}"/>
    <cellStyle name="Fixed 8 6 5" xfId="11961" xr:uid="{00000000-0005-0000-0000-0000BA2E0000}"/>
    <cellStyle name="Fixed 8 6 6" xfId="11962" xr:uid="{00000000-0005-0000-0000-0000BB2E0000}"/>
    <cellStyle name="Fixed 8 7" xfId="11963" xr:uid="{00000000-0005-0000-0000-0000BC2E0000}"/>
    <cellStyle name="Fixed 8 7 2" xfId="11964" xr:uid="{00000000-0005-0000-0000-0000BD2E0000}"/>
    <cellStyle name="Fixed 8 7 3" xfId="11965" xr:uid="{00000000-0005-0000-0000-0000BE2E0000}"/>
    <cellStyle name="Fixed 8 7 4" xfId="11966" xr:uid="{00000000-0005-0000-0000-0000BF2E0000}"/>
    <cellStyle name="Fixed 8 8" xfId="11967" xr:uid="{00000000-0005-0000-0000-0000C02E0000}"/>
    <cellStyle name="Fixed 8 8 2" xfId="11968" xr:uid="{00000000-0005-0000-0000-0000C12E0000}"/>
    <cellStyle name="Fixed 8 8 3" xfId="11969" xr:uid="{00000000-0005-0000-0000-0000C22E0000}"/>
    <cellStyle name="Fixed 8 9" xfId="11970" xr:uid="{00000000-0005-0000-0000-0000C32E0000}"/>
    <cellStyle name="Fixed 8 9 2" xfId="11971" xr:uid="{00000000-0005-0000-0000-0000C42E0000}"/>
    <cellStyle name="Fixed 8 9 3" xfId="11972" xr:uid="{00000000-0005-0000-0000-0000C52E0000}"/>
    <cellStyle name="Fixed 9" xfId="11973" xr:uid="{00000000-0005-0000-0000-0000C62E0000}"/>
    <cellStyle name="Fixed 9 10" xfId="11974" xr:uid="{00000000-0005-0000-0000-0000C72E0000}"/>
    <cellStyle name="Fixed 9 11" xfId="11975" xr:uid="{00000000-0005-0000-0000-0000C82E0000}"/>
    <cellStyle name="Fixed 9 12" xfId="11976" xr:uid="{00000000-0005-0000-0000-0000C92E0000}"/>
    <cellStyle name="Fixed 9 2" xfId="11977" xr:uid="{00000000-0005-0000-0000-0000CA2E0000}"/>
    <cellStyle name="Fixed 9 2 10" xfId="11978" xr:uid="{00000000-0005-0000-0000-0000CB2E0000}"/>
    <cellStyle name="Fixed 9 2 2" xfId="11979" xr:uid="{00000000-0005-0000-0000-0000CC2E0000}"/>
    <cellStyle name="Fixed 9 2 2 2" xfId="11980" xr:uid="{00000000-0005-0000-0000-0000CD2E0000}"/>
    <cellStyle name="Fixed 9 2 2 2 2" xfId="11981" xr:uid="{00000000-0005-0000-0000-0000CE2E0000}"/>
    <cellStyle name="Fixed 9 2 2 2 2 2" xfId="11982" xr:uid="{00000000-0005-0000-0000-0000CF2E0000}"/>
    <cellStyle name="Fixed 9 2 2 2 2 3" xfId="11983" xr:uid="{00000000-0005-0000-0000-0000D02E0000}"/>
    <cellStyle name="Fixed 9 2 2 2 3" xfId="11984" xr:uid="{00000000-0005-0000-0000-0000D12E0000}"/>
    <cellStyle name="Fixed 9 2 2 2 3 2" xfId="11985" xr:uid="{00000000-0005-0000-0000-0000D22E0000}"/>
    <cellStyle name="Fixed 9 2 2 2 3 3" xfId="11986" xr:uid="{00000000-0005-0000-0000-0000D32E0000}"/>
    <cellStyle name="Fixed 9 2 2 2 4" xfId="11987" xr:uid="{00000000-0005-0000-0000-0000D42E0000}"/>
    <cellStyle name="Fixed 9 2 2 2 5" xfId="11988" xr:uid="{00000000-0005-0000-0000-0000D52E0000}"/>
    <cellStyle name="Fixed 9 2 2 2 6" xfId="11989" xr:uid="{00000000-0005-0000-0000-0000D62E0000}"/>
    <cellStyle name="Fixed 9 2 2 3" xfId="11990" xr:uid="{00000000-0005-0000-0000-0000D72E0000}"/>
    <cellStyle name="Fixed 9 2 2 3 2" xfId="11991" xr:uid="{00000000-0005-0000-0000-0000D82E0000}"/>
    <cellStyle name="Fixed 9 2 2 3 3" xfId="11992" xr:uid="{00000000-0005-0000-0000-0000D92E0000}"/>
    <cellStyle name="Fixed 9 2 2 4" xfId="11993" xr:uid="{00000000-0005-0000-0000-0000DA2E0000}"/>
    <cellStyle name="Fixed 9 2 2 4 2" xfId="11994" xr:uid="{00000000-0005-0000-0000-0000DB2E0000}"/>
    <cellStyle name="Fixed 9 2 2 4 3" xfId="11995" xr:uid="{00000000-0005-0000-0000-0000DC2E0000}"/>
    <cellStyle name="Fixed 9 2 2 5" xfId="11996" xr:uid="{00000000-0005-0000-0000-0000DD2E0000}"/>
    <cellStyle name="Fixed 9 2 2 5 2" xfId="11997" xr:uid="{00000000-0005-0000-0000-0000DE2E0000}"/>
    <cellStyle name="Fixed 9 2 2 5 3" xfId="11998" xr:uid="{00000000-0005-0000-0000-0000DF2E0000}"/>
    <cellStyle name="Fixed 9 2 2 6" xfId="11999" xr:uid="{00000000-0005-0000-0000-0000E02E0000}"/>
    <cellStyle name="Fixed 9 2 2 7" xfId="12000" xr:uid="{00000000-0005-0000-0000-0000E12E0000}"/>
    <cellStyle name="Fixed 9 2 2 8" xfId="12001" xr:uid="{00000000-0005-0000-0000-0000E22E0000}"/>
    <cellStyle name="Fixed 9 2 3" xfId="12002" xr:uid="{00000000-0005-0000-0000-0000E32E0000}"/>
    <cellStyle name="Fixed 9 2 3 2" xfId="12003" xr:uid="{00000000-0005-0000-0000-0000E42E0000}"/>
    <cellStyle name="Fixed 9 2 3 2 2" xfId="12004" xr:uid="{00000000-0005-0000-0000-0000E52E0000}"/>
    <cellStyle name="Fixed 9 2 3 2 2 2" xfId="12005" xr:uid="{00000000-0005-0000-0000-0000E62E0000}"/>
    <cellStyle name="Fixed 9 2 3 2 2 3" xfId="12006" xr:uid="{00000000-0005-0000-0000-0000E72E0000}"/>
    <cellStyle name="Fixed 9 2 3 2 3" xfId="12007" xr:uid="{00000000-0005-0000-0000-0000E82E0000}"/>
    <cellStyle name="Fixed 9 2 3 2 3 2" xfId="12008" xr:uid="{00000000-0005-0000-0000-0000E92E0000}"/>
    <cellStyle name="Fixed 9 2 3 2 3 3" xfId="12009" xr:uid="{00000000-0005-0000-0000-0000EA2E0000}"/>
    <cellStyle name="Fixed 9 2 3 2 4" xfId="12010" xr:uid="{00000000-0005-0000-0000-0000EB2E0000}"/>
    <cellStyle name="Fixed 9 2 3 2 5" xfId="12011" xr:uid="{00000000-0005-0000-0000-0000EC2E0000}"/>
    <cellStyle name="Fixed 9 2 3 2 6" xfId="12012" xr:uid="{00000000-0005-0000-0000-0000ED2E0000}"/>
    <cellStyle name="Fixed 9 2 3 3" xfId="12013" xr:uid="{00000000-0005-0000-0000-0000EE2E0000}"/>
    <cellStyle name="Fixed 9 2 3 3 2" xfId="12014" xr:uid="{00000000-0005-0000-0000-0000EF2E0000}"/>
    <cellStyle name="Fixed 9 2 3 3 3" xfId="12015" xr:uid="{00000000-0005-0000-0000-0000F02E0000}"/>
    <cellStyle name="Fixed 9 2 3 4" xfId="12016" xr:uid="{00000000-0005-0000-0000-0000F12E0000}"/>
    <cellStyle name="Fixed 9 2 3 4 2" xfId="12017" xr:uid="{00000000-0005-0000-0000-0000F22E0000}"/>
    <cellStyle name="Fixed 9 2 3 4 3" xfId="12018" xr:uid="{00000000-0005-0000-0000-0000F32E0000}"/>
    <cellStyle name="Fixed 9 2 3 5" xfId="12019" xr:uid="{00000000-0005-0000-0000-0000F42E0000}"/>
    <cellStyle name="Fixed 9 2 3 5 2" xfId="12020" xr:uid="{00000000-0005-0000-0000-0000F52E0000}"/>
    <cellStyle name="Fixed 9 2 3 5 3" xfId="12021" xr:uid="{00000000-0005-0000-0000-0000F62E0000}"/>
    <cellStyle name="Fixed 9 2 3 6" xfId="12022" xr:uid="{00000000-0005-0000-0000-0000F72E0000}"/>
    <cellStyle name="Fixed 9 2 3 7" xfId="12023" xr:uid="{00000000-0005-0000-0000-0000F82E0000}"/>
    <cellStyle name="Fixed 9 2 3 8" xfId="12024" xr:uid="{00000000-0005-0000-0000-0000F92E0000}"/>
    <cellStyle name="Fixed 9 2 4" xfId="12025" xr:uid="{00000000-0005-0000-0000-0000FA2E0000}"/>
    <cellStyle name="Fixed 9 2 4 2" xfId="12026" xr:uid="{00000000-0005-0000-0000-0000FB2E0000}"/>
    <cellStyle name="Fixed 9 2 4 2 2" xfId="12027" xr:uid="{00000000-0005-0000-0000-0000FC2E0000}"/>
    <cellStyle name="Fixed 9 2 4 2 3" xfId="12028" xr:uid="{00000000-0005-0000-0000-0000FD2E0000}"/>
    <cellStyle name="Fixed 9 2 4 3" xfId="12029" xr:uid="{00000000-0005-0000-0000-0000FE2E0000}"/>
    <cellStyle name="Fixed 9 2 4 3 2" xfId="12030" xr:uid="{00000000-0005-0000-0000-0000FF2E0000}"/>
    <cellStyle name="Fixed 9 2 4 3 3" xfId="12031" xr:uid="{00000000-0005-0000-0000-0000002F0000}"/>
    <cellStyle name="Fixed 9 2 4 4" xfId="12032" xr:uid="{00000000-0005-0000-0000-0000012F0000}"/>
    <cellStyle name="Fixed 9 2 4 5" xfId="12033" xr:uid="{00000000-0005-0000-0000-0000022F0000}"/>
    <cellStyle name="Fixed 9 2 4 6" xfId="12034" xr:uid="{00000000-0005-0000-0000-0000032F0000}"/>
    <cellStyle name="Fixed 9 2 5" xfId="12035" xr:uid="{00000000-0005-0000-0000-0000042F0000}"/>
    <cellStyle name="Fixed 9 2 5 2" xfId="12036" xr:uid="{00000000-0005-0000-0000-0000052F0000}"/>
    <cellStyle name="Fixed 9 2 5 3" xfId="12037" xr:uid="{00000000-0005-0000-0000-0000062F0000}"/>
    <cellStyle name="Fixed 9 2 6" xfId="12038" xr:uid="{00000000-0005-0000-0000-0000072F0000}"/>
    <cellStyle name="Fixed 9 2 6 2" xfId="12039" xr:uid="{00000000-0005-0000-0000-0000082F0000}"/>
    <cellStyle name="Fixed 9 2 6 3" xfId="12040" xr:uid="{00000000-0005-0000-0000-0000092F0000}"/>
    <cellStyle name="Fixed 9 2 7" xfId="12041" xr:uid="{00000000-0005-0000-0000-00000A2F0000}"/>
    <cellStyle name="Fixed 9 2 7 2" xfId="12042" xr:uid="{00000000-0005-0000-0000-00000B2F0000}"/>
    <cellStyle name="Fixed 9 2 7 3" xfId="12043" xr:uid="{00000000-0005-0000-0000-00000C2F0000}"/>
    <cellStyle name="Fixed 9 2 8" xfId="12044" xr:uid="{00000000-0005-0000-0000-00000D2F0000}"/>
    <cellStyle name="Fixed 9 2 9" xfId="12045" xr:uid="{00000000-0005-0000-0000-00000E2F0000}"/>
    <cellStyle name="Fixed 9 3" xfId="12046" xr:uid="{00000000-0005-0000-0000-00000F2F0000}"/>
    <cellStyle name="Fixed 9 3 2" xfId="12047" xr:uid="{00000000-0005-0000-0000-0000102F0000}"/>
    <cellStyle name="Fixed 9 3 2 2" xfId="12048" xr:uid="{00000000-0005-0000-0000-0000112F0000}"/>
    <cellStyle name="Fixed 9 3 2 2 2" xfId="12049" xr:uid="{00000000-0005-0000-0000-0000122F0000}"/>
    <cellStyle name="Fixed 9 3 2 2 3" xfId="12050" xr:uid="{00000000-0005-0000-0000-0000132F0000}"/>
    <cellStyle name="Fixed 9 3 2 3" xfId="12051" xr:uid="{00000000-0005-0000-0000-0000142F0000}"/>
    <cellStyle name="Fixed 9 3 2 3 2" xfId="12052" xr:uid="{00000000-0005-0000-0000-0000152F0000}"/>
    <cellStyle name="Fixed 9 3 2 3 3" xfId="12053" xr:uid="{00000000-0005-0000-0000-0000162F0000}"/>
    <cellStyle name="Fixed 9 3 2 4" xfId="12054" xr:uid="{00000000-0005-0000-0000-0000172F0000}"/>
    <cellStyle name="Fixed 9 3 2 5" xfId="12055" xr:uid="{00000000-0005-0000-0000-0000182F0000}"/>
    <cellStyle name="Fixed 9 3 2 6" xfId="12056" xr:uid="{00000000-0005-0000-0000-0000192F0000}"/>
    <cellStyle name="Fixed 9 3 3" xfId="12057" xr:uid="{00000000-0005-0000-0000-00001A2F0000}"/>
    <cellStyle name="Fixed 9 3 3 2" xfId="12058" xr:uid="{00000000-0005-0000-0000-00001B2F0000}"/>
    <cellStyle name="Fixed 9 3 3 3" xfId="12059" xr:uid="{00000000-0005-0000-0000-00001C2F0000}"/>
    <cellStyle name="Fixed 9 3 4" xfId="12060" xr:uid="{00000000-0005-0000-0000-00001D2F0000}"/>
    <cellStyle name="Fixed 9 3 4 2" xfId="12061" xr:uid="{00000000-0005-0000-0000-00001E2F0000}"/>
    <cellStyle name="Fixed 9 3 4 3" xfId="12062" xr:uid="{00000000-0005-0000-0000-00001F2F0000}"/>
    <cellStyle name="Fixed 9 3 5" xfId="12063" xr:uid="{00000000-0005-0000-0000-0000202F0000}"/>
    <cellStyle name="Fixed 9 3 5 2" xfId="12064" xr:uid="{00000000-0005-0000-0000-0000212F0000}"/>
    <cellStyle name="Fixed 9 3 5 3" xfId="12065" xr:uid="{00000000-0005-0000-0000-0000222F0000}"/>
    <cellStyle name="Fixed 9 3 6" xfId="12066" xr:uid="{00000000-0005-0000-0000-0000232F0000}"/>
    <cellStyle name="Fixed 9 3 7" xfId="12067" xr:uid="{00000000-0005-0000-0000-0000242F0000}"/>
    <cellStyle name="Fixed 9 3 8" xfId="12068" xr:uid="{00000000-0005-0000-0000-0000252F0000}"/>
    <cellStyle name="Fixed 9 4" xfId="12069" xr:uid="{00000000-0005-0000-0000-0000262F0000}"/>
    <cellStyle name="Fixed 9 4 2" xfId="12070" xr:uid="{00000000-0005-0000-0000-0000272F0000}"/>
    <cellStyle name="Fixed 9 4 2 2" xfId="12071" xr:uid="{00000000-0005-0000-0000-0000282F0000}"/>
    <cellStyle name="Fixed 9 4 2 2 2" xfId="12072" xr:uid="{00000000-0005-0000-0000-0000292F0000}"/>
    <cellStyle name="Fixed 9 4 2 2 3" xfId="12073" xr:uid="{00000000-0005-0000-0000-00002A2F0000}"/>
    <cellStyle name="Fixed 9 4 2 3" xfId="12074" xr:uid="{00000000-0005-0000-0000-00002B2F0000}"/>
    <cellStyle name="Fixed 9 4 2 3 2" xfId="12075" xr:uid="{00000000-0005-0000-0000-00002C2F0000}"/>
    <cellStyle name="Fixed 9 4 2 3 3" xfId="12076" xr:uid="{00000000-0005-0000-0000-00002D2F0000}"/>
    <cellStyle name="Fixed 9 4 2 4" xfId="12077" xr:uid="{00000000-0005-0000-0000-00002E2F0000}"/>
    <cellStyle name="Fixed 9 4 2 5" xfId="12078" xr:uid="{00000000-0005-0000-0000-00002F2F0000}"/>
    <cellStyle name="Fixed 9 4 2 6" xfId="12079" xr:uid="{00000000-0005-0000-0000-0000302F0000}"/>
    <cellStyle name="Fixed 9 4 3" xfId="12080" xr:uid="{00000000-0005-0000-0000-0000312F0000}"/>
    <cellStyle name="Fixed 9 4 3 2" xfId="12081" xr:uid="{00000000-0005-0000-0000-0000322F0000}"/>
    <cellStyle name="Fixed 9 4 3 3" xfId="12082" xr:uid="{00000000-0005-0000-0000-0000332F0000}"/>
    <cellStyle name="Fixed 9 4 4" xfId="12083" xr:uid="{00000000-0005-0000-0000-0000342F0000}"/>
    <cellStyle name="Fixed 9 4 4 2" xfId="12084" xr:uid="{00000000-0005-0000-0000-0000352F0000}"/>
    <cellStyle name="Fixed 9 4 4 3" xfId="12085" xr:uid="{00000000-0005-0000-0000-0000362F0000}"/>
    <cellStyle name="Fixed 9 4 5" xfId="12086" xr:uid="{00000000-0005-0000-0000-0000372F0000}"/>
    <cellStyle name="Fixed 9 4 5 2" xfId="12087" xr:uid="{00000000-0005-0000-0000-0000382F0000}"/>
    <cellStyle name="Fixed 9 4 5 3" xfId="12088" xr:uid="{00000000-0005-0000-0000-0000392F0000}"/>
    <cellStyle name="Fixed 9 4 6" xfId="12089" xr:uid="{00000000-0005-0000-0000-00003A2F0000}"/>
    <cellStyle name="Fixed 9 4 7" xfId="12090" xr:uid="{00000000-0005-0000-0000-00003B2F0000}"/>
    <cellStyle name="Fixed 9 4 8" xfId="12091" xr:uid="{00000000-0005-0000-0000-00003C2F0000}"/>
    <cellStyle name="Fixed 9 5" xfId="12092" xr:uid="{00000000-0005-0000-0000-00003D2F0000}"/>
    <cellStyle name="Fixed 9 5 2" xfId="12093" xr:uid="{00000000-0005-0000-0000-00003E2F0000}"/>
    <cellStyle name="Fixed 9 5 2 2" xfId="12094" xr:uid="{00000000-0005-0000-0000-00003F2F0000}"/>
    <cellStyle name="Fixed 9 5 2 2 2" xfId="12095" xr:uid="{00000000-0005-0000-0000-0000402F0000}"/>
    <cellStyle name="Fixed 9 5 2 2 3" xfId="12096" xr:uid="{00000000-0005-0000-0000-0000412F0000}"/>
    <cellStyle name="Fixed 9 5 2 3" xfId="12097" xr:uid="{00000000-0005-0000-0000-0000422F0000}"/>
    <cellStyle name="Fixed 9 5 2 3 2" xfId="12098" xr:uid="{00000000-0005-0000-0000-0000432F0000}"/>
    <cellStyle name="Fixed 9 5 2 3 3" xfId="12099" xr:uid="{00000000-0005-0000-0000-0000442F0000}"/>
    <cellStyle name="Fixed 9 5 2 4" xfId="12100" xr:uid="{00000000-0005-0000-0000-0000452F0000}"/>
    <cellStyle name="Fixed 9 5 2 5" xfId="12101" xr:uid="{00000000-0005-0000-0000-0000462F0000}"/>
    <cellStyle name="Fixed 9 5 2 6" xfId="12102" xr:uid="{00000000-0005-0000-0000-0000472F0000}"/>
    <cellStyle name="Fixed 9 5 3" xfId="12103" xr:uid="{00000000-0005-0000-0000-0000482F0000}"/>
    <cellStyle name="Fixed 9 5 3 2" xfId="12104" xr:uid="{00000000-0005-0000-0000-0000492F0000}"/>
    <cellStyle name="Fixed 9 5 3 3" xfId="12105" xr:uid="{00000000-0005-0000-0000-00004A2F0000}"/>
    <cellStyle name="Fixed 9 5 4" xfId="12106" xr:uid="{00000000-0005-0000-0000-00004B2F0000}"/>
    <cellStyle name="Fixed 9 5 4 2" xfId="12107" xr:uid="{00000000-0005-0000-0000-00004C2F0000}"/>
    <cellStyle name="Fixed 9 5 4 3" xfId="12108" xr:uid="{00000000-0005-0000-0000-00004D2F0000}"/>
    <cellStyle name="Fixed 9 5 5" xfId="12109" xr:uid="{00000000-0005-0000-0000-00004E2F0000}"/>
    <cellStyle name="Fixed 9 5 5 2" xfId="12110" xr:uid="{00000000-0005-0000-0000-00004F2F0000}"/>
    <cellStyle name="Fixed 9 5 5 3" xfId="12111" xr:uid="{00000000-0005-0000-0000-0000502F0000}"/>
    <cellStyle name="Fixed 9 5 6" xfId="12112" xr:uid="{00000000-0005-0000-0000-0000512F0000}"/>
    <cellStyle name="Fixed 9 5 7" xfId="12113" xr:uid="{00000000-0005-0000-0000-0000522F0000}"/>
    <cellStyle name="Fixed 9 5 8" xfId="12114" xr:uid="{00000000-0005-0000-0000-0000532F0000}"/>
    <cellStyle name="Fixed 9 6" xfId="12115" xr:uid="{00000000-0005-0000-0000-0000542F0000}"/>
    <cellStyle name="Fixed 9 6 2" xfId="12116" xr:uid="{00000000-0005-0000-0000-0000552F0000}"/>
    <cellStyle name="Fixed 9 6 2 2" xfId="12117" xr:uid="{00000000-0005-0000-0000-0000562F0000}"/>
    <cellStyle name="Fixed 9 6 2 3" xfId="12118" xr:uid="{00000000-0005-0000-0000-0000572F0000}"/>
    <cellStyle name="Fixed 9 6 3" xfId="12119" xr:uid="{00000000-0005-0000-0000-0000582F0000}"/>
    <cellStyle name="Fixed 9 6 3 2" xfId="12120" xr:uid="{00000000-0005-0000-0000-0000592F0000}"/>
    <cellStyle name="Fixed 9 6 3 3" xfId="12121" xr:uid="{00000000-0005-0000-0000-00005A2F0000}"/>
    <cellStyle name="Fixed 9 6 4" xfId="12122" xr:uid="{00000000-0005-0000-0000-00005B2F0000}"/>
    <cellStyle name="Fixed 9 6 5" xfId="12123" xr:uid="{00000000-0005-0000-0000-00005C2F0000}"/>
    <cellStyle name="Fixed 9 6 6" xfId="12124" xr:uid="{00000000-0005-0000-0000-00005D2F0000}"/>
    <cellStyle name="Fixed 9 7" xfId="12125" xr:uid="{00000000-0005-0000-0000-00005E2F0000}"/>
    <cellStyle name="Fixed 9 7 2" xfId="12126" xr:uid="{00000000-0005-0000-0000-00005F2F0000}"/>
    <cellStyle name="Fixed 9 7 3" xfId="12127" xr:uid="{00000000-0005-0000-0000-0000602F0000}"/>
    <cellStyle name="Fixed 9 8" xfId="12128" xr:uid="{00000000-0005-0000-0000-0000612F0000}"/>
    <cellStyle name="Fixed 9 8 2" xfId="12129" xr:uid="{00000000-0005-0000-0000-0000622F0000}"/>
    <cellStyle name="Fixed 9 8 3" xfId="12130" xr:uid="{00000000-0005-0000-0000-0000632F0000}"/>
    <cellStyle name="Fixed 9 9" xfId="12131" xr:uid="{00000000-0005-0000-0000-0000642F0000}"/>
    <cellStyle name="Fixed 9 9 2" xfId="12132" xr:uid="{00000000-0005-0000-0000-0000652F0000}"/>
    <cellStyle name="Fixed 9 9 3" xfId="12133" xr:uid="{00000000-0005-0000-0000-0000662F0000}"/>
    <cellStyle name="Fixed Inputs from Catawba Contracts" xfId="12134" xr:uid="{00000000-0005-0000-0000-0000672F0000}"/>
    <cellStyle name="Good 10" xfId="12135" xr:uid="{00000000-0005-0000-0000-0000682F0000}"/>
    <cellStyle name="Good 11" xfId="12136" xr:uid="{00000000-0005-0000-0000-0000692F0000}"/>
    <cellStyle name="Good 2" xfId="12137" xr:uid="{00000000-0005-0000-0000-00006A2F0000}"/>
    <cellStyle name="Good 3" xfId="12138" xr:uid="{00000000-0005-0000-0000-00006B2F0000}"/>
    <cellStyle name="Good 4" xfId="12139" xr:uid="{00000000-0005-0000-0000-00006C2F0000}"/>
    <cellStyle name="Good 5" xfId="12140" xr:uid="{00000000-0005-0000-0000-00006D2F0000}"/>
    <cellStyle name="Good 6" xfId="12141" xr:uid="{00000000-0005-0000-0000-00006E2F0000}"/>
    <cellStyle name="Good 7" xfId="12142" xr:uid="{00000000-0005-0000-0000-00006F2F0000}"/>
    <cellStyle name="Good 8" xfId="12143" xr:uid="{00000000-0005-0000-0000-0000702F0000}"/>
    <cellStyle name="Good 9" xfId="12144" xr:uid="{00000000-0005-0000-0000-0000712F0000}"/>
    <cellStyle name="Grey" xfId="12145" xr:uid="{00000000-0005-0000-0000-0000722F0000}"/>
    <cellStyle name="Grey 2" xfId="12146" xr:uid="{00000000-0005-0000-0000-0000732F0000}"/>
    <cellStyle name="Header1" xfId="12147" xr:uid="{00000000-0005-0000-0000-0000742F0000}"/>
    <cellStyle name="Header2" xfId="12148" xr:uid="{00000000-0005-0000-0000-0000752F0000}"/>
    <cellStyle name="Heading 1 2" xfId="12149" xr:uid="{00000000-0005-0000-0000-0000762F0000}"/>
    <cellStyle name="Heading 1 2 2" xfId="12150" xr:uid="{00000000-0005-0000-0000-0000772F0000}"/>
    <cellStyle name="Heading 1 2 3" xfId="12151" xr:uid="{00000000-0005-0000-0000-0000782F0000}"/>
    <cellStyle name="Heading 1 3" xfId="12152" xr:uid="{00000000-0005-0000-0000-0000792F0000}"/>
    <cellStyle name="Heading 1 3 2" xfId="12153" xr:uid="{00000000-0005-0000-0000-00007A2F0000}"/>
    <cellStyle name="Heading 1 3 3" xfId="12154" xr:uid="{00000000-0005-0000-0000-00007B2F0000}"/>
    <cellStyle name="Heading 1 3 4" xfId="12155" xr:uid="{00000000-0005-0000-0000-00007C2F0000}"/>
    <cellStyle name="Heading 1 4" xfId="12156" xr:uid="{00000000-0005-0000-0000-00007D2F0000}"/>
    <cellStyle name="Heading 1 4 2" xfId="12157" xr:uid="{00000000-0005-0000-0000-00007E2F0000}"/>
    <cellStyle name="Heading 1 4 3" xfId="12158" xr:uid="{00000000-0005-0000-0000-00007F2F0000}"/>
    <cellStyle name="Heading 1 4 4" xfId="12159" xr:uid="{00000000-0005-0000-0000-0000802F0000}"/>
    <cellStyle name="Heading 1 5" xfId="12160" xr:uid="{00000000-0005-0000-0000-0000812F0000}"/>
    <cellStyle name="Heading 1 5 2" xfId="12161" xr:uid="{00000000-0005-0000-0000-0000822F0000}"/>
    <cellStyle name="Heading 1 5 3" xfId="12162" xr:uid="{00000000-0005-0000-0000-0000832F0000}"/>
    <cellStyle name="Heading 1 5 4" xfId="12163" xr:uid="{00000000-0005-0000-0000-0000842F0000}"/>
    <cellStyle name="Heading 1 6" xfId="12164" xr:uid="{00000000-0005-0000-0000-0000852F0000}"/>
    <cellStyle name="Heading 1 6 2" xfId="12165" xr:uid="{00000000-0005-0000-0000-0000862F0000}"/>
    <cellStyle name="Heading 1 6 3" xfId="12166" xr:uid="{00000000-0005-0000-0000-0000872F0000}"/>
    <cellStyle name="Heading 1 7" xfId="12167" xr:uid="{00000000-0005-0000-0000-0000882F0000}"/>
    <cellStyle name="Heading 1 7 2" xfId="12168" xr:uid="{00000000-0005-0000-0000-0000892F0000}"/>
    <cellStyle name="Heading 1 7 3" xfId="12169" xr:uid="{00000000-0005-0000-0000-00008A2F0000}"/>
    <cellStyle name="Heading 1 8" xfId="12170" xr:uid="{00000000-0005-0000-0000-00008B2F0000}"/>
    <cellStyle name="Heading 2 10" xfId="12171" xr:uid="{00000000-0005-0000-0000-00008C2F0000}"/>
    <cellStyle name="Heading 2 11" xfId="12172" xr:uid="{00000000-0005-0000-0000-00008D2F0000}"/>
    <cellStyle name="Heading 2 12" xfId="12173" xr:uid="{00000000-0005-0000-0000-00008E2F0000}"/>
    <cellStyle name="Heading 2 12 2" xfId="12174" xr:uid="{00000000-0005-0000-0000-00008F2F0000}"/>
    <cellStyle name="Heading 2 12 3" xfId="12175" xr:uid="{00000000-0005-0000-0000-0000902F0000}"/>
    <cellStyle name="Heading 2 13" xfId="12176" xr:uid="{00000000-0005-0000-0000-0000912F0000}"/>
    <cellStyle name="Heading 2 14" xfId="12177" xr:uid="{00000000-0005-0000-0000-0000922F0000}"/>
    <cellStyle name="Heading 2 15" xfId="12178" xr:uid="{00000000-0005-0000-0000-0000932F0000}"/>
    <cellStyle name="Heading 2 2" xfId="12179" xr:uid="{00000000-0005-0000-0000-0000942F0000}"/>
    <cellStyle name="Heading 2 2 2" xfId="12180" xr:uid="{00000000-0005-0000-0000-0000952F0000}"/>
    <cellStyle name="Heading 2 2 3" xfId="12181" xr:uid="{00000000-0005-0000-0000-0000962F0000}"/>
    <cellStyle name="Heading 2 3" xfId="12182" xr:uid="{00000000-0005-0000-0000-0000972F0000}"/>
    <cellStyle name="Heading 2 3 2" xfId="12183" xr:uid="{00000000-0005-0000-0000-0000982F0000}"/>
    <cellStyle name="Heading 2 3 3" xfId="12184" xr:uid="{00000000-0005-0000-0000-0000992F0000}"/>
    <cellStyle name="Heading 2 3 4" xfId="12185" xr:uid="{00000000-0005-0000-0000-00009A2F0000}"/>
    <cellStyle name="Heading 2 4" xfId="12186" xr:uid="{00000000-0005-0000-0000-00009B2F0000}"/>
    <cellStyle name="Heading 2 4 2" xfId="12187" xr:uid="{00000000-0005-0000-0000-00009C2F0000}"/>
    <cellStyle name="Heading 2 4 3" xfId="12188" xr:uid="{00000000-0005-0000-0000-00009D2F0000}"/>
    <cellStyle name="Heading 2 4 4" xfId="12189" xr:uid="{00000000-0005-0000-0000-00009E2F0000}"/>
    <cellStyle name="Heading 2 5" xfId="12190" xr:uid="{00000000-0005-0000-0000-00009F2F0000}"/>
    <cellStyle name="Heading 2 5 2" xfId="12191" xr:uid="{00000000-0005-0000-0000-0000A02F0000}"/>
    <cellStyle name="Heading 2 5 3" xfId="12192" xr:uid="{00000000-0005-0000-0000-0000A12F0000}"/>
    <cellStyle name="Heading 2 5 4" xfId="12193" xr:uid="{00000000-0005-0000-0000-0000A22F0000}"/>
    <cellStyle name="Heading 2 6" xfId="12194" xr:uid="{00000000-0005-0000-0000-0000A32F0000}"/>
    <cellStyle name="Heading 2 6 2" xfId="12195" xr:uid="{00000000-0005-0000-0000-0000A42F0000}"/>
    <cellStyle name="Heading 2 6 3" xfId="12196" xr:uid="{00000000-0005-0000-0000-0000A52F0000}"/>
    <cellStyle name="Heading 2 7" xfId="12197" xr:uid="{00000000-0005-0000-0000-0000A62F0000}"/>
    <cellStyle name="Heading 2 7 2" xfId="12198" xr:uid="{00000000-0005-0000-0000-0000A72F0000}"/>
    <cellStyle name="Heading 2 7 3" xfId="12199" xr:uid="{00000000-0005-0000-0000-0000A82F0000}"/>
    <cellStyle name="Heading 2 8" xfId="12200" xr:uid="{00000000-0005-0000-0000-0000A92F0000}"/>
    <cellStyle name="Heading 2 8 2" xfId="12201" xr:uid="{00000000-0005-0000-0000-0000AA2F0000}"/>
    <cellStyle name="Heading 2 8 3" xfId="12202" xr:uid="{00000000-0005-0000-0000-0000AB2F0000}"/>
    <cellStyle name="Heading 2 9" xfId="12203" xr:uid="{00000000-0005-0000-0000-0000AC2F0000}"/>
    <cellStyle name="Heading 3 10" xfId="12204" xr:uid="{00000000-0005-0000-0000-0000AD2F0000}"/>
    <cellStyle name="Heading 3 11" xfId="12205" xr:uid="{00000000-0005-0000-0000-0000AE2F0000}"/>
    <cellStyle name="Heading 3 2" xfId="12206" xr:uid="{00000000-0005-0000-0000-0000AF2F0000}"/>
    <cellStyle name="Heading 3 2 2" xfId="12207" xr:uid="{00000000-0005-0000-0000-0000B02F0000}"/>
    <cellStyle name="Heading 3 3" xfId="12208" xr:uid="{00000000-0005-0000-0000-0000B12F0000}"/>
    <cellStyle name="Heading 3 4" xfId="12209" xr:uid="{00000000-0005-0000-0000-0000B22F0000}"/>
    <cellStyle name="Heading 3 5" xfId="12210" xr:uid="{00000000-0005-0000-0000-0000B32F0000}"/>
    <cellStyle name="Heading 3 6" xfId="12211" xr:uid="{00000000-0005-0000-0000-0000B42F0000}"/>
    <cellStyle name="Heading 3 7" xfId="12212" xr:uid="{00000000-0005-0000-0000-0000B52F0000}"/>
    <cellStyle name="Heading 3 8" xfId="12213" xr:uid="{00000000-0005-0000-0000-0000B62F0000}"/>
    <cellStyle name="Heading 3 9" xfId="12214" xr:uid="{00000000-0005-0000-0000-0000B72F0000}"/>
    <cellStyle name="Heading 4 10" xfId="12215" xr:uid="{00000000-0005-0000-0000-0000B82F0000}"/>
    <cellStyle name="Heading 4 11" xfId="12216" xr:uid="{00000000-0005-0000-0000-0000B92F0000}"/>
    <cellStyle name="Heading 4 2" xfId="12217" xr:uid="{00000000-0005-0000-0000-0000BA2F0000}"/>
    <cellStyle name="Heading 4 3" xfId="12218" xr:uid="{00000000-0005-0000-0000-0000BB2F0000}"/>
    <cellStyle name="Heading 4 4" xfId="12219" xr:uid="{00000000-0005-0000-0000-0000BC2F0000}"/>
    <cellStyle name="Heading 4 5" xfId="12220" xr:uid="{00000000-0005-0000-0000-0000BD2F0000}"/>
    <cellStyle name="Heading 4 6" xfId="12221" xr:uid="{00000000-0005-0000-0000-0000BE2F0000}"/>
    <cellStyle name="Heading 4 7" xfId="12222" xr:uid="{00000000-0005-0000-0000-0000BF2F0000}"/>
    <cellStyle name="Heading 4 8" xfId="12223" xr:uid="{00000000-0005-0000-0000-0000C02F0000}"/>
    <cellStyle name="Heading 4 9" xfId="12224" xr:uid="{00000000-0005-0000-0000-0000C12F0000}"/>
    <cellStyle name="Historical Inputs" xfId="12225" xr:uid="{00000000-0005-0000-0000-0000C22F0000}"/>
    <cellStyle name="Historical Inputs 2" xfId="12226" xr:uid="{00000000-0005-0000-0000-0000C32F0000}"/>
    <cellStyle name="Historical Inputs 2 2" xfId="12227" xr:uid="{00000000-0005-0000-0000-0000C42F0000}"/>
    <cellStyle name="Historical Inputs 2 3" xfId="12228" xr:uid="{00000000-0005-0000-0000-0000C52F0000}"/>
    <cellStyle name="Historical Inputs 2 4" xfId="12229" xr:uid="{00000000-0005-0000-0000-0000C62F0000}"/>
    <cellStyle name="Historical Inputs 3" xfId="12230" xr:uid="{00000000-0005-0000-0000-0000C72F0000}"/>
    <cellStyle name="Historical Inputs 3 2" xfId="12231" xr:uid="{00000000-0005-0000-0000-0000C82F0000}"/>
    <cellStyle name="Historical Inputs 3 3" xfId="12232" xr:uid="{00000000-0005-0000-0000-0000C92F0000}"/>
    <cellStyle name="Historical Inputs 3 4" xfId="12233" xr:uid="{00000000-0005-0000-0000-0000CA2F0000}"/>
    <cellStyle name="Hot Inputs" xfId="12234" xr:uid="{00000000-0005-0000-0000-0000CB2F0000}"/>
    <cellStyle name="Hot Inputs 2" xfId="12235" xr:uid="{00000000-0005-0000-0000-0000CC2F0000}"/>
    <cellStyle name="Hot Inputs 2 2" xfId="12236" xr:uid="{00000000-0005-0000-0000-0000CD2F0000}"/>
    <cellStyle name="Hot Inputs 2 3" xfId="12237" xr:uid="{00000000-0005-0000-0000-0000CE2F0000}"/>
    <cellStyle name="Hot Inputs 2 4" xfId="12238" xr:uid="{00000000-0005-0000-0000-0000CF2F0000}"/>
    <cellStyle name="Hot Inputs 3" xfId="12239" xr:uid="{00000000-0005-0000-0000-0000D02F0000}"/>
    <cellStyle name="Hot Inputs 3 2" xfId="12240" xr:uid="{00000000-0005-0000-0000-0000D12F0000}"/>
    <cellStyle name="Hot Inputs 3 3" xfId="12241" xr:uid="{00000000-0005-0000-0000-0000D22F0000}"/>
    <cellStyle name="Hot Inputs 3 4" xfId="12242" xr:uid="{00000000-0005-0000-0000-0000D32F0000}"/>
    <cellStyle name="Hyperlink 2" xfId="12243" xr:uid="{00000000-0005-0000-0000-0000D42F0000}"/>
    <cellStyle name="Hyperlink 3" xfId="12244" xr:uid="{00000000-0005-0000-0000-0000D52F0000}"/>
    <cellStyle name="Imported data from another worksheet" xfId="12245" xr:uid="{00000000-0005-0000-0000-0000D62F0000}"/>
    <cellStyle name="Imported data from another worksheet 2" xfId="12246" xr:uid="{00000000-0005-0000-0000-0000D72F0000}"/>
    <cellStyle name="Imported data from another worksheet 2 2" xfId="12247" xr:uid="{00000000-0005-0000-0000-0000D82F0000}"/>
    <cellStyle name="Imported data from another worksheet 2 3" xfId="12248" xr:uid="{00000000-0005-0000-0000-0000D92F0000}"/>
    <cellStyle name="Imported data from another worksheet 2 4" xfId="12249" xr:uid="{00000000-0005-0000-0000-0000DA2F0000}"/>
    <cellStyle name="Imported data from another worksheet 3" xfId="12250" xr:uid="{00000000-0005-0000-0000-0000DB2F0000}"/>
    <cellStyle name="Imported data from another worksheet 3 2" xfId="12251" xr:uid="{00000000-0005-0000-0000-0000DC2F0000}"/>
    <cellStyle name="Imported data from another worksheet 3 3" xfId="12252" xr:uid="{00000000-0005-0000-0000-0000DD2F0000}"/>
    <cellStyle name="Imported data from another worksheet 3 4" xfId="12253" xr:uid="{00000000-0005-0000-0000-0000DE2F0000}"/>
    <cellStyle name="IndirectReference" xfId="12254" xr:uid="{00000000-0005-0000-0000-0000DF2F0000}"/>
    <cellStyle name="Input [yellow]" xfId="12255" xr:uid="{00000000-0005-0000-0000-0000E02F0000}"/>
    <cellStyle name="Input [yellow] 2" xfId="12256" xr:uid="{00000000-0005-0000-0000-0000E12F0000}"/>
    <cellStyle name="Input 10" xfId="12257" xr:uid="{00000000-0005-0000-0000-0000E22F0000}"/>
    <cellStyle name="Input 11" xfId="12258" xr:uid="{00000000-0005-0000-0000-0000E32F0000}"/>
    <cellStyle name="Input 12" xfId="12259" xr:uid="{00000000-0005-0000-0000-0000E42F0000}"/>
    <cellStyle name="Input 13" xfId="12260" xr:uid="{00000000-0005-0000-0000-0000E52F0000}"/>
    <cellStyle name="Input 2" xfId="12261" xr:uid="{00000000-0005-0000-0000-0000E62F0000}"/>
    <cellStyle name="Input 2 10" xfId="12262" xr:uid="{00000000-0005-0000-0000-0000E72F0000}"/>
    <cellStyle name="Input 2 2" xfId="12263" xr:uid="{00000000-0005-0000-0000-0000E82F0000}"/>
    <cellStyle name="Input 2 2 2" xfId="12264" xr:uid="{00000000-0005-0000-0000-0000E92F0000}"/>
    <cellStyle name="Input 2 2 2 2" xfId="12265" xr:uid="{00000000-0005-0000-0000-0000EA2F0000}"/>
    <cellStyle name="Input 2 2 2 3" xfId="12266" xr:uid="{00000000-0005-0000-0000-0000EB2F0000}"/>
    <cellStyle name="Input 2 2 3" xfId="12267" xr:uid="{00000000-0005-0000-0000-0000EC2F0000}"/>
    <cellStyle name="Input 2 2 3 2" xfId="12268" xr:uid="{00000000-0005-0000-0000-0000ED2F0000}"/>
    <cellStyle name="Input 2 2 4" xfId="12269" xr:uid="{00000000-0005-0000-0000-0000EE2F0000}"/>
    <cellStyle name="Input 2 3" xfId="12270" xr:uid="{00000000-0005-0000-0000-0000EF2F0000}"/>
    <cellStyle name="Input 2 4" xfId="12271" xr:uid="{00000000-0005-0000-0000-0000F02F0000}"/>
    <cellStyle name="Input 2 5" xfId="12272" xr:uid="{00000000-0005-0000-0000-0000F12F0000}"/>
    <cellStyle name="Input 2 6" xfId="12273" xr:uid="{00000000-0005-0000-0000-0000F22F0000}"/>
    <cellStyle name="Input 2 7" xfId="12274" xr:uid="{00000000-0005-0000-0000-0000F32F0000}"/>
    <cellStyle name="Input 2 8" xfId="12275" xr:uid="{00000000-0005-0000-0000-0000F42F0000}"/>
    <cellStyle name="Input 2 9" xfId="12276" xr:uid="{00000000-0005-0000-0000-0000F52F0000}"/>
    <cellStyle name="Input 3" xfId="12277" xr:uid="{00000000-0005-0000-0000-0000F62F0000}"/>
    <cellStyle name="Input 3 2" xfId="12278" xr:uid="{00000000-0005-0000-0000-0000F72F0000}"/>
    <cellStyle name="Input 3 2 2" xfId="12279" xr:uid="{00000000-0005-0000-0000-0000F82F0000}"/>
    <cellStyle name="Input 3 2 2 2" xfId="12280" xr:uid="{00000000-0005-0000-0000-0000F92F0000}"/>
    <cellStyle name="Input 3 2 2 3" xfId="12281" xr:uid="{00000000-0005-0000-0000-0000FA2F0000}"/>
    <cellStyle name="Input 3 2 3" xfId="12282" xr:uid="{00000000-0005-0000-0000-0000FB2F0000}"/>
    <cellStyle name="Input 3 2 3 2" xfId="12283" xr:uid="{00000000-0005-0000-0000-0000FC2F0000}"/>
    <cellStyle name="Input 3 2 4" xfId="12284" xr:uid="{00000000-0005-0000-0000-0000FD2F0000}"/>
    <cellStyle name="Input 3 3" xfId="12285" xr:uid="{00000000-0005-0000-0000-0000FE2F0000}"/>
    <cellStyle name="Input 3 4" xfId="12286" xr:uid="{00000000-0005-0000-0000-0000FF2F0000}"/>
    <cellStyle name="Input 3 5" xfId="12287" xr:uid="{00000000-0005-0000-0000-000000300000}"/>
    <cellStyle name="Input 3 6" xfId="12288" xr:uid="{00000000-0005-0000-0000-000001300000}"/>
    <cellStyle name="Input 3 7" xfId="12289" xr:uid="{00000000-0005-0000-0000-000002300000}"/>
    <cellStyle name="Input 3 8" xfId="12290" xr:uid="{00000000-0005-0000-0000-000003300000}"/>
    <cellStyle name="Input 4" xfId="12291" xr:uid="{00000000-0005-0000-0000-000004300000}"/>
    <cellStyle name="Input 4 2" xfId="12292" xr:uid="{00000000-0005-0000-0000-000005300000}"/>
    <cellStyle name="Input 4 3" xfId="12293" xr:uid="{00000000-0005-0000-0000-000006300000}"/>
    <cellStyle name="Input 4 4" xfId="12294" xr:uid="{00000000-0005-0000-0000-000007300000}"/>
    <cellStyle name="Input 4 5" xfId="12295" xr:uid="{00000000-0005-0000-0000-000008300000}"/>
    <cellStyle name="Input 4 6" xfId="12296" xr:uid="{00000000-0005-0000-0000-000009300000}"/>
    <cellStyle name="Input 4 7" xfId="12297" xr:uid="{00000000-0005-0000-0000-00000A300000}"/>
    <cellStyle name="Input 4 8" xfId="12298" xr:uid="{00000000-0005-0000-0000-00000B300000}"/>
    <cellStyle name="Input 5" xfId="12299" xr:uid="{00000000-0005-0000-0000-00000C300000}"/>
    <cellStyle name="Input 5 2" xfId="12300" xr:uid="{00000000-0005-0000-0000-00000D300000}"/>
    <cellStyle name="Input 5 3" xfId="12301" xr:uid="{00000000-0005-0000-0000-00000E300000}"/>
    <cellStyle name="Input 5 4" xfId="12302" xr:uid="{00000000-0005-0000-0000-00000F300000}"/>
    <cellStyle name="Input 5 5" xfId="12303" xr:uid="{00000000-0005-0000-0000-000010300000}"/>
    <cellStyle name="Input 5 6" xfId="12304" xr:uid="{00000000-0005-0000-0000-000011300000}"/>
    <cellStyle name="Input 6" xfId="12305" xr:uid="{00000000-0005-0000-0000-000012300000}"/>
    <cellStyle name="Input 6 2" xfId="12306" xr:uid="{00000000-0005-0000-0000-000013300000}"/>
    <cellStyle name="Input 6 3" xfId="12307" xr:uid="{00000000-0005-0000-0000-000014300000}"/>
    <cellStyle name="Input 6 4" xfId="12308" xr:uid="{00000000-0005-0000-0000-000015300000}"/>
    <cellStyle name="Input 6 5" xfId="12309" xr:uid="{00000000-0005-0000-0000-000016300000}"/>
    <cellStyle name="Input 6 6" xfId="12310" xr:uid="{00000000-0005-0000-0000-000017300000}"/>
    <cellStyle name="Input 7" xfId="12311" xr:uid="{00000000-0005-0000-0000-000018300000}"/>
    <cellStyle name="Input 7 2" xfId="12312" xr:uid="{00000000-0005-0000-0000-000019300000}"/>
    <cellStyle name="Input 8" xfId="12313" xr:uid="{00000000-0005-0000-0000-00001A300000}"/>
    <cellStyle name="Input 9" xfId="12314" xr:uid="{00000000-0005-0000-0000-00001B300000}"/>
    <cellStyle name="Input 9 2" xfId="12315" xr:uid="{00000000-0005-0000-0000-00001C300000}"/>
    <cellStyle name="Linked Cell 10" xfId="12316" xr:uid="{00000000-0005-0000-0000-00001D300000}"/>
    <cellStyle name="Linked Cell 11" xfId="12317" xr:uid="{00000000-0005-0000-0000-00001E300000}"/>
    <cellStyle name="Linked Cell 2" xfId="12318" xr:uid="{00000000-0005-0000-0000-00001F300000}"/>
    <cellStyle name="Linked Cell 3" xfId="12319" xr:uid="{00000000-0005-0000-0000-000020300000}"/>
    <cellStyle name="Linked Cell 4" xfId="12320" xr:uid="{00000000-0005-0000-0000-000021300000}"/>
    <cellStyle name="Linked Cell 5" xfId="12321" xr:uid="{00000000-0005-0000-0000-000022300000}"/>
    <cellStyle name="Linked Cell 6" xfId="12322" xr:uid="{00000000-0005-0000-0000-000023300000}"/>
    <cellStyle name="Linked Cell 7" xfId="12323" xr:uid="{00000000-0005-0000-0000-000024300000}"/>
    <cellStyle name="Linked Cell 8" xfId="12324" xr:uid="{00000000-0005-0000-0000-000025300000}"/>
    <cellStyle name="Linked Cell 9" xfId="12325" xr:uid="{00000000-0005-0000-0000-000026300000}"/>
    <cellStyle name="Neutral 10" xfId="12326" xr:uid="{00000000-0005-0000-0000-000027300000}"/>
    <cellStyle name="Neutral 11" xfId="12327" xr:uid="{00000000-0005-0000-0000-000028300000}"/>
    <cellStyle name="Neutral 2" xfId="12328" xr:uid="{00000000-0005-0000-0000-000029300000}"/>
    <cellStyle name="Neutral 3" xfId="12329" xr:uid="{00000000-0005-0000-0000-00002A300000}"/>
    <cellStyle name="Neutral 4" xfId="12330" xr:uid="{00000000-0005-0000-0000-00002B300000}"/>
    <cellStyle name="Neutral 5" xfId="12331" xr:uid="{00000000-0005-0000-0000-00002C300000}"/>
    <cellStyle name="Neutral 6" xfId="12332" xr:uid="{00000000-0005-0000-0000-00002D300000}"/>
    <cellStyle name="Neutral 7" xfId="12333" xr:uid="{00000000-0005-0000-0000-00002E300000}"/>
    <cellStyle name="Neutral 8" xfId="12334" xr:uid="{00000000-0005-0000-0000-00002F300000}"/>
    <cellStyle name="Neutral 9" xfId="12335" xr:uid="{00000000-0005-0000-0000-000030300000}"/>
    <cellStyle name="no dec" xfId="12336" xr:uid="{00000000-0005-0000-0000-000031300000}"/>
    <cellStyle name="Normal" xfId="0" builtinId="0"/>
    <cellStyle name="Normal - Style1" xfId="12337" xr:uid="{00000000-0005-0000-0000-000033300000}"/>
    <cellStyle name="Normal 10" xfId="12338" xr:uid="{00000000-0005-0000-0000-000034300000}"/>
    <cellStyle name="Normal 10 10" xfId="12339" xr:uid="{00000000-0005-0000-0000-000035300000}"/>
    <cellStyle name="Normal 10 10 2" xfId="12340" xr:uid="{00000000-0005-0000-0000-000036300000}"/>
    <cellStyle name="Normal 10 10 2 2" xfId="12341" xr:uid="{00000000-0005-0000-0000-000037300000}"/>
    <cellStyle name="Normal 10 10 2 2 2" xfId="12342" xr:uid="{00000000-0005-0000-0000-000038300000}"/>
    <cellStyle name="Normal 10 10 2 2 3" xfId="12343" xr:uid="{00000000-0005-0000-0000-000039300000}"/>
    <cellStyle name="Normal 10 10 2 3" xfId="12344" xr:uid="{00000000-0005-0000-0000-00003A300000}"/>
    <cellStyle name="Normal 10 10 2 3 2" xfId="12345" xr:uid="{00000000-0005-0000-0000-00003B300000}"/>
    <cellStyle name="Normal 10 10 2 3 3" xfId="12346" xr:uid="{00000000-0005-0000-0000-00003C300000}"/>
    <cellStyle name="Normal 10 10 2 4" xfId="12347" xr:uid="{00000000-0005-0000-0000-00003D300000}"/>
    <cellStyle name="Normal 10 10 2 5" xfId="12348" xr:uid="{00000000-0005-0000-0000-00003E300000}"/>
    <cellStyle name="Normal 10 10 2 6" xfId="12349" xr:uid="{00000000-0005-0000-0000-00003F300000}"/>
    <cellStyle name="Normal 10 10 3" xfId="12350" xr:uid="{00000000-0005-0000-0000-000040300000}"/>
    <cellStyle name="Normal 10 10 3 2" xfId="12351" xr:uid="{00000000-0005-0000-0000-000041300000}"/>
    <cellStyle name="Normal 10 10 3 3" xfId="12352" xr:uid="{00000000-0005-0000-0000-000042300000}"/>
    <cellStyle name="Normal 10 10 4" xfId="12353" xr:uid="{00000000-0005-0000-0000-000043300000}"/>
    <cellStyle name="Normal 10 10 4 2" xfId="12354" xr:uid="{00000000-0005-0000-0000-000044300000}"/>
    <cellStyle name="Normal 10 10 4 3" xfId="12355" xr:uid="{00000000-0005-0000-0000-000045300000}"/>
    <cellStyle name="Normal 10 10 5" xfId="12356" xr:uid="{00000000-0005-0000-0000-000046300000}"/>
    <cellStyle name="Normal 10 10 6" xfId="12357" xr:uid="{00000000-0005-0000-0000-000047300000}"/>
    <cellStyle name="Normal 10 10 7" xfId="12358" xr:uid="{00000000-0005-0000-0000-000048300000}"/>
    <cellStyle name="Normal 10 11" xfId="12359" xr:uid="{00000000-0005-0000-0000-000049300000}"/>
    <cellStyle name="Normal 10 11 2" xfId="12360" xr:uid="{00000000-0005-0000-0000-00004A300000}"/>
    <cellStyle name="Normal 10 11 2 2" xfId="12361" xr:uid="{00000000-0005-0000-0000-00004B300000}"/>
    <cellStyle name="Normal 10 11 2 2 2" xfId="12362" xr:uid="{00000000-0005-0000-0000-00004C300000}"/>
    <cellStyle name="Normal 10 11 2 2 3" xfId="12363" xr:uid="{00000000-0005-0000-0000-00004D300000}"/>
    <cellStyle name="Normal 10 11 2 3" xfId="12364" xr:uid="{00000000-0005-0000-0000-00004E300000}"/>
    <cellStyle name="Normal 10 11 2 3 2" xfId="12365" xr:uid="{00000000-0005-0000-0000-00004F300000}"/>
    <cellStyle name="Normal 10 11 2 3 3" xfId="12366" xr:uid="{00000000-0005-0000-0000-000050300000}"/>
    <cellStyle name="Normal 10 11 2 4" xfId="12367" xr:uid="{00000000-0005-0000-0000-000051300000}"/>
    <cellStyle name="Normal 10 11 2 5" xfId="12368" xr:uid="{00000000-0005-0000-0000-000052300000}"/>
    <cellStyle name="Normal 10 11 2 6" xfId="12369" xr:uid="{00000000-0005-0000-0000-000053300000}"/>
    <cellStyle name="Normal 10 11 3" xfId="12370" xr:uid="{00000000-0005-0000-0000-000054300000}"/>
    <cellStyle name="Normal 10 11 3 2" xfId="12371" xr:uid="{00000000-0005-0000-0000-000055300000}"/>
    <cellStyle name="Normal 10 11 3 3" xfId="12372" xr:uid="{00000000-0005-0000-0000-000056300000}"/>
    <cellStyle name="Normal 10 11 4" xfId="12373" xr:uid="{00000000-0005-0000-0000-000057300000}"/>
    <cellStyle name="Normal 10 11 4 2" xfId="12374" xr:uid="{00000000-0005-0000-0000-000058300000}"/>
    <cellStyle name="Normal 10 11 4 3" xfId="12375" xr:uid="{00000000-0005-0000-0000-000059300000}"/>
    <cellStyle name="Normal 10 11 5" xfId="12376" xr:uid="{00000000-0005-0000-0000-00005A300000}"/>
    <cellStyle name="Normal 10 11 6" xfId="12377" xr:uid="{00000000-0005-0000-0000-00005B300000}"/>
    <cellStyle name="Normal 10 11 7" xfId="12378" xr:uid="{00000000-0005-0000-0000-00005C300000}"/>
    <cellStyle name="Normal 10 12" xfId="12379" xr:uid="{00000000-0005-0000-0000-00005D300000}"/>
    <cellStyle name="Normal 10 12 2" xfId="12380" xr:uid="{00000000-0005-0000-0000-00005E300000}"/>
    <cellStyle name="Normal 10 12 2 2" xfId="12381" xr:uid="{00000000-0005-0000-0000-00005F300000}"/>
    <cellStyle name="Normal 10 12 2 2 2" xfId="12382" xr:uid="{00000000-0005-0000-0000-000060300000}"/>
    <cellStyle name="Normal 10 12 2 2 3" xfId="12383" xr:uid="{00000000-0005-0000-0000-000061300000}"/>
    <cellStyle name="Normal 10 12 2 3" xfId="12384" xr:uid="{00000000-0005-0000-0000-000062300000}"/>
    <cellStyle name="Normal 10 12 2 3 2" xfId="12385" xr:uid="{00000000-0005-0000-0000-000063300000}"/>
    <cellStyle name="Normal 10 12 2 3 3" xfId="12386" xr:uid="{00000000-0005-0000-0000-000064300000}"/>
    <cellStyle name="Normal 10 12 2 4" xfId="12387" xr:uid="{00000000-0005-0000-0000-000065300000}"/>
    <cellStyle name="Normal 10 12 2 5" xfId="12388" xr:uid="{00000000-0005-0000-0000-000066300000}"/>
    <cellStyle name="Normal 10 12 2 6" xfId="12389" xr:uid="{00000000-0005-0000-0000-000067300000}"/>
    <cellStyle name="Normal 10 12 3" xfId="12390" xr:uid="{00000000-0005-0000-0000-000068300000}"/>
    <cellStyle name="Normal 10 12 3 2" xfId="12391" xr:uid="{00000000-0005-0000-0000-000069300000}"/>
    <cellStyle name="Normal 10 12 3 3" xfId="12392" xr:uid="{00000000-0005-0000-0000-00006A300000}"/>
    <cellStyle name="Normal 10 12 4" xfId="12393" xr:uid="{00000000-0005-0000-0000-00006B300000}"/>
    <cellStyle name="Normal 10 12 4 2" xfId="12394" xr:uid="{00000000-0005-0000-0000-00006C300000}"/>
    <cellStyle name="Normal 10 12 4 3" xfId="12395" xr:uid="{00000000-0005-0000-0000-00006D300000}"/>
    <cellStyle name="Normal 10 12 5" xfId="12396" xr:uid="{00000000-0005-0000-0000-00006E300000}"/>
    <cellStyle name="Normal 10 12 6" xfId="12397" xr:uid="{00000000-0005-0000-0000-00006F300000}"/>
    <cellStyle name="Normal 10 12 7" xfId="12398" xr:uid="{00000000-0005-0000-0000-000070300000}"/>
    <cellStyle name="Normal 10 13" xfId="12399" xr:uid="{00000000-0005-0000-0000-000071300000}"/>
    <cellStyle name="Normal 10 13 2" xfId="12400" xr:uid="{00000000-0005-0000-0000-000072300000}"/>
    <cellStyle name="Normal 10 13 2 2" xfId="12401" xr:uid="{00000000-0005-0000-0000-000073300000}"/>
    <cellStyle name="Normal 10 13 2 2 2" xfId="12402" xr:uid="{00000000-0005-0000-0000-000074300000}"/>
    <cellStyle name="Normal 10 13 2 2 3" xfId="12403" xr:uid="{00000000-0005-0000-0000-000075300000}"/>
    <cellStyle name="Normal 10 13 2 3" xfId="12404" xr:uid="{00000000-0005-0000-0000-000076300000}"/>
    <cellStyle name="Normal 10 13 2 3 2" xfId="12405" xr:uid="{00000000-0005-0000-0000-000077300000}"/>
    <cellStyle name="Normal 10 13 2 3 3" xfId="12406" xr:uid="{00000000-0005-0000-0000-000078300000}"/>
    <cellStyle name="Normal 10 13 2 4" xfId="12407" xr:uid="{00000000-0005-0000-0000-000079300000}"/>
    <cellStyle name="Normal 10 13 2 5" xfId="12408" xr:uid="{00000000-0005-0000-0000-00007A300000}"/>
    <cellStyle name="Normal 10 13 2 6" xfId="12409" xr:uid="{00000000-0005-0000-0000-00007B300000}"/>
    <cellStyle name="Normal 10 13 3" xfId="12410" xr:uid="{00000000-0005-0000-0000-00007C300000}"/>
    <cellStyle name="Normal 10 13 3 2" xfId="12411" xr:uid="{00000000-0005-0000-0000-00007D300000}"/>
    <cellStyle name="Normal 10 13 3 3" xfId="12412" xr:uid="{00000000-0005-0000-0000-00007E300000}"/>
    <cellStyle name="Normal 10 13 4" xfId="12413" xr:uid="{00000000-0005-0000-0000-00007F300000}"/>
    <cellStyle name="Normal 10 13 4 2" xfId="12414" xr:uid="{00000000-0005-0000-0000-000080300000}"/>
    <cellStyle name="Normal 10 13 4 3" xfId="12415" xr:uid="{00000000-0005-0000-0000-000081300000}"/>
    <cellStyle name="Normal 10 13 5" xfId="12416" xr:uid="{00000000-0005-0000-0000-000082300000}"/>
    <cellStyle name="Normal 10 13 6" xfId="12417" xr:uid="{00000000-0005-0000-0000-000083300000}"/>
    <cellStyle name="Normal 10 13 7" xfId="12418" xr:uid="{00000000-0005-0000-0000-000084300000}"/>
    <cellStyle name="Normal 10 14" xfId="12419" xr:uid="{00000000-0005-0000-0000-000085300000}"/>
    <cellStyle name="Normal 10 14 2" xfId="12420" xr:uid="{00000000-0005-0000-0000-000086300000}"/>
    <cellStyle name="Normal 10 14 2 2" xfId="12421" xr:uid="{00000000-0005-0000-0000-000087300000}"/>
    <cellStyle name="Normal 10 14 2 2 2" xfId="12422" xr:uid="{00000000-0005-0000-0000-000088300000}"/>
    <cellStyle name="Normal 10 14 2 2 3" xfId="12423" xr:uid="{00000000-0005-0000-0000-000089300000}"/>
    <cellStyle name="Normal 10 14 2 3" xfId="12424" xr:uid="{00000000-0005-0000-0000-00008A300000}"/>
    <cellStyle name="Normal 10 14 2 3 2" xfId="12425" xr:uid="{00000000-0005-0000-0000-00008B300000}"/>
    <cellStyle name="Normal 10 14 2 3 3" xfId="12426" xr:uid="{00000000-0005-0000-0000-00008C300000}"/>
    <cellStyle name="Normal 10 14 2 4" xfId="12427" xr:uid="{00000000-0005-0000-0000-00008D300000}"/>
    <cellStyle name="Normal 10 14 2 5" xfId="12428" xr:uid="{00000000-0005-0000-0000-00008E300000}"/>
    <cellStyle name="Normal 10 14 2 6" xfId="12429" xr:uid="{00000000-0005-0000-0000-00008F300000}"/>
    <cellStyle name="Normal 10 14 3" xfId="12430" xr:uid="{00000000-0005-0000-0000-000090300000}"/>
    <cellStyle name="Normal 10 14 3 2" xfId="12431" xr:uid="{00000000-0005-0000-0000-000091300000}"/>
    <cellStyle name="Normal 10 14 3 3" xfId="12432" xr:uid="{00000000-0005-0000-0000-000092300000}"/>
    <cellStyle name="Normal 10 14 4" xfId="12433" xr:uid="{00000000-0005-0000-0000-000093300000}"/>
    <cellStyle name="Normal 10 14 4 2" xfId="12434" xr:uid="{00000000-0005-0000-0000-000094300000}"/>
    <cellStyle name="Normal 10 14 4 3" xfId="12435" xr:uid="{00000000-0005-0000-0000-000095300000}"/>
    <cellStyle name="Normal 10 14 5" xfId="12436" xr:uid="{00000000-0005-0000-0000-000096300000}"/>
    <cellStyle name="Normal 10 14 6" xfId="12437" xr:uid="{00000000-0005-0000-0000-000097300000}"/>
    <cellStyle name="Normal 10 14 7" xfId="12438" xr:uid="{00000000-0005-0000-0000-000098300000}"/>
    <cellStyle name="Normal 10 15" xfId="12439" xr:uid="{00000000-0005-0000-0000-000099300000}"/>
    <cellStyle name="Normal 10 15 2" xfId="12440" xr:uid="{00000000-0005-0000-0000-00009A300000}"/>
    <cellStyle name="Normal 10 15 2 2" xfId="12441" xr:uid="{00000000-0005-0000-0000-00009B300000}"/>
    <cellStyle name="Normal 10 15 2 2 2" xfId="12442" xr:uid="{00000000-0005-0000-0000-00009C300000}"/>
    <cellStyle name="Normal 10 15 2 2 3" xfId="12443" xr:uid="{00000000-0005-0000-0000-00009D300000}"/>
    <cellStyle name="Normal 10 15 2 3" xfId="12444" xr:uid="{00000000-0005-0000-0000-00009E300000}"/>
    <cellStyle name="Normal 10 15 2 3 2" xfId="12445" xr:uid="{00000000-0005-0000-0000-00009F300000}"/>
    <cellStyle name="Normal 10 15 2 3 3" xfId="12446" xr:uid="{00000000-0005-0000-0000-0000A0300000}"/>
    <cellStyle name="Normal 10 15 2 4" xfId="12447" xr:uid="{00000000-0005-0000-0000-0000A1300000}"/>
    <cellStyle name="Normal 10 15 2 5" xfId="12448" xr:uid="{00000000-0005-0000-0000-0000A2300000}"/>
    <cellStyle name="Normal 10 15 2 6" xfId="12449" xr:uid="{00000000-0005-0000-0000-0000A3300000}"/>
    <cellStyle name="Normal 10 15 3" xfId="12450" xr:uid="{00000000-0005-0000-0000-0000A4300000}"/>
    <cellStyle name="Normal 10 15 3 2" xfId="12451" xr:uid="{00000000-0005-0000-0000-0000A5300000}"/>
    <cellStyle name="Normal 10 15 3 3" xfId="12452" xr:uid="{00000000-0005-0000-0000-0000A6300000}"/>
    <cellStyle name="Normal 10 15 4" xfId="12453" xr:uid="{00000000-0005-0000-0000-0000A7300000}"/>
    <cellStyle name="Normal 10 15 4 2" xfId="12454" xr:uid="{00000000-0005-0000-0000-0000A8300000}"/>
    <cellStyle name="Normal 10 15 4 3" xfId="12455" xr:uid="{00000000-0005-0000-0000-0000A9300000}"/>
    <cellStyle name="Normal 10 15 5" xfId="12456" xr:uid="{00000000-0005-0000-0000-0000AA300000}"/>
    <cellStyle name="Normal 10 15 6" xfId="12457" xr:uid="{00000000-0005-0000-0000-0000AB300000}"/>
    <cellStyle name="Normal 10 15 7" xfId="12458" xr:uid="{00000000-0005-0000-0000-0000AC300000}"/>
    <cellStyle name="Normal 10 16" xfId="12459" xr:uid="{00000000-0005-0000-0000-0000AD300000}"/>
    <cellStyle name="Normal 10 16 2" xfId="12460" xr:uid="{00000000-0005-0000-0000-0000AE300000}"/>
    <cellStyle name="Normal 10 16 2 2" xfId="12461" xr:uid="{00000000-0005-0000-0000-0000AF300000}"/>
    <cellStyle name="Normal 10 16 2 2 2" xfId="12462" xr:uid="{00000000-0005-0000-0000-0000B0300000}"/>
    <cellStyle name="Normal 10 16 2 2 3" xfId="12463" xr:uid="{00000000-0005-0000-0000-0000B1300000}"/>
    <cellStyle name="Normal 10 16 2 3" xfId="12464" xr:uid="{00000000-0005-0000-0000-0000B2300000}"/>
    <cellStyle name="Normal 10 16 2 3 2" xfId="12465" xr:uid="{00000000-0005-0000-0000-0000B3300000}"/>
    <cellStyle name="Normal 10 16 2 3 3" xfId="12466" xr:uid="{00000000-0005-0000-0000-0000B4300000}"/>
    <cellStyle name="Normal 10 16 2 4" xfId="12467" xr:uid="{00000000-0005-0000-0000-0000B5300000}"/>
    <cellStyle name="Normal 10 16 2 5" xfId="12468" xr:uid="{00000000-0005-0000-0000-0000B6300000}"/>
    <cellStyle name="Normal 10 16 2 6" xfId="12469" xr:uid="{00000000-0005-0000-0000-0000B7300000}"/>
    <cellStyle name="Normal 10 16 3" xfId="12470" xr:uid="{00000000-0005-0000-0000-0000B8300000}"/>
    <cellStyle name="Normal 10 16 3 2" xfId="12471" xr:uid="{00000000-0005-0000-0000-0000B9300000}"/>
    <cellStyle name="Normal 10 16 3 3" xfId="12472" xr:uid="{00000000-0005-0000-0000-0000BA300000}"/>
    <cellStyle name="Normal 10 16 4" xfId="12473" xr:uid="{00000000-0005-0000-0000-0000BB300000}"/>
    <cellStyle name="Normal 10 16 4 2" xfId="12474" xr:uid="{00000000-0005-0000-0000-0000BC300000}"/>
    <cellStyle name="Normal 10 16 4 3" xfId="12475" xr:uid="{00000000-0005-0000-0000-0000BD300000}"/>
    <cellStyle name="Normal 10 16 5" xfId="12476" xr:uid="{00000000-0005-0000-0000-0000BE300000}"/>
    <cellStyle name="Normal 10 16 6" xfId="12477" xr:uid="{00000000-0005-0000-0000-0000BF300000}"/>
    <cellStyle name="Normal 10 16 7" xfId="12478" xr:uid="{00000000-0005-0000-0000-0000C0300000}"/>
    <cellStyle name="Normal 10 17" xfId="12479" xr:uid="{00000000-0005-0000-0000-0000C1300000}"/>
    <cellStyle name="Normal 10 17 2" xfId="12480" xr:uid="{00000000-0005-0000-0000-0000C2300000}"/>
    <cellStyle name="Normal 10 17 2 2" xfId="12481" xr:uid="{00000000-0005-0000-0000-0000C3300000}"/>
    <cellStyle name="Normal 10 17 2 2 2" xfId="12482" xr:uid="{00000000-0005-0000-0000-0000C4300000}"/>
    <cellStyle name="Normal 10 17 2 2 3" xfId="12483" xr:uid="{00000000-0005-0000-0000-0000C5300000}"/>
    <cellStyle name="Normal 10 17 2 3" xfId="12484" xr:uid="{00000000-0005-0000-0000-0000C6300000}"/>
    <cellStyle name="Normal 10 17 2 3 2" xfId="12485" xr:uid="{00000000-0005-0000-0000-0000C7300000}"/>
    <cellStyle name="Normal 10 17 2 3 3" xfId="12486" xr:uid="{00000000-0005-0000-0000-0000C8300000}"/>
    <cellStyle name="Normal 10 17 2 4" xfId="12487" xr:uid="{00000000-0005-0000-0000-0000C9300000}"/>
    <cellStyle name="Normal 10 17 2 5" xfId="12488" xr:uid="{00000000-0005-0000-0000-0000CA300000}"/>
    <cellStyle name="Normal 10 17 2 6" xfId="12489" xr:uid="{00000000-0005-0000-0000-0000CB300000}"/>
    <cellStyle name="Normal 10 17 3" xfId="12490" xr:uid="{00000000-0005-0000-0000-0000CC300000}"/>
    <cellStyle name="Normal 10 17 3 2" xfId="12491" xr:uid="{00000000-0005-0000-0000-0000CD300000}"/>
    <cellStyle name="Normal 10 17 3 3" xfId="12492" xr:uid="{00000000-0005-0000-0000-0000CE300000}"/>
    <cellStyle name="Normal 10 17 4" xfId="12493" xr:uid="{00000000-0005-0000-0000-0000CF300000}"/>
    <cellStyle name="Normal 10 17 4 2" xfId="12494" xr:uid="{00000000-0005-0000-0000-0000D0300000}"/>
    <cellStyle name="Normal 10 17 4 3" xfId="12495" xr:uid="{00000000-0005-0000-0000-0000D1300000}"/>
    <cellStyle name="Normal 10 17 5" xfId="12496" xr:uid="{00000000-0005-0000-0000-0000D2300000}"/>
    <cellStyle name="Normal 10 17 6" xfId="12497" xr:uid="{00000000-0005-0000-0000-0000D3300000}"/>
    <cellStyle name="Normal 10 17 7" xfId="12498" xr:uid="{00000000-0005-0000-0000-0000D4300000}"/>
    <cellStyle name="Normal 10 18" xfId="12499" xr:uid="{00000000-0005-0000-0000-0000D5300000}"/>
    <cellStyle name="Normal 10 18 2" xfId="12500" xr:uid="{00000000-0005-0000-0000-0000D6300000}"/>
    <cellStyle name="Normal 10 18 2 2" xfId="12501" xr:uid="{00000000-0005-0000-0000-0000D7300000}"/>
    <cellStyle name="Normal 10 18 2 2 2" xfId="12502" xr:uid="{00000000-0005-0000-0000-0000D8300000}"/>
    <cellStyle name="Normal 10 18 2 2 3" xfId="12503" xr:uid="{00000000-0005-0000-0000-0000D9300000}"/>
    <cellStyle name="Normal 10 18 2 3" xfId="12504" xr:uid="{00000000-0005-0000-0000-0000DA300000}"/>
    <cellStyle name="Normal 10 18 2 3 2" xfId="12505" xr:uid="{00000000-0005-0000-0000-0000DB300000}"/>
    <cellStyle name="Normal 10 18 2 3 3" xfId="12506" xr:uid="{00000000-0005-0000-0000-0000DC300000}"/>
    <cellStyle name="Normal 10 18 2 4" xfId="12507" xr:uid="{00000000-0005-0000-0000-0000DD300000}"/>
    <cellStyle name="Normal 10 18 2 5" xfId="12508" xr:uid="{00000000-0005-0000-0000-0000DE300000}"/>
    <cellStyle name="Normal 10 18 2 6" xfId="12509" xr:uid="{00000000-0005-0000-0000-0000DF300000}"/>
    <cellStyle name="Normal 10 18 3" xfId="12510" xr:uid="{00000000-0005-0000-0000-0000E0300000}"/>
    <cellStyle name="Normal 10 18 3 2" xfId="12511" xr:uid="{00000000-0005-0000-0000-0000E1300000}"/>
    <cellStyle name="Normal 10 18 3 3" xfId="12512" xr:uid="{00000000-0005-0000-0000-0000E2300000}"/>
    <cellStyle name="Normal 10 18 4" xfId="12513" xr:uid="{00000000-0005-0000-0000-0000E3300000}"/>
    <cellStyle name="Normal 10 18 4 2" xfId="12514" xr:uid="{00000000-0005-0000-0000-0000E4300000}"/>
    <cellStyle name="Normal 10 18 4 3" xfId="12515" xr:uid="{00000000-0005-0000-0000-0000E5300000}"/>
    <cellStyle name="Normal 10 18 5" xfId="12516" xr:uid="{00000000-0005-0000-0000-0000E6300000}"/>
    <cellStyle name="Normal 10 18 6" xfId="12517" xr:uid="{00000000-0005-0000-0000-0000E7300000}"/>
    <cellStyle name="Normal 10 18 7" xfId="12518" xr:uid="{00000000-0005-0000-0000-0000E8300000}"/>
    <cellStyle name="Normal 10 19" xfId="12519" xr:uid="{00000000-0005-0000-0000-0000E9300000}"/>
    <cellStyle name="Normal 10 19 2" xfId="12520" xr:uid="{00000000-0005-0000-0000-0000EA300000}"/>
    <cellStyle name="Normal 10 19 2 2" xfId="12521" xr:uid="{00000000-0005-0000-0000-0000EB300000}"/>
    <cellStyle name="Normal 10 19 2 2 2" xfId="12522" xr:uid="{00000000-0005-0000-0000-0000EC300000}"/>
    <cellStyle name="Normal 10 19 2 2 3" xfId="12523" xr:uid="{00000000-0005-0000-0000-0000ED300000}"/>
    <cellStyle name="Normal 10 19 2 3" xfId="12524" xr:uid="{00000000-0005-0000-0000-0000EE300000}"/>
    <cellStyle name="Normal 10 19 2 3 2" xfId="12525" xr:uid="{00000000-0005-0000-0000-0000EF300000}"/>
    <cellStyle name="Normal 10 19 2 3 3" xfId="12526" xr:uid="{00000000-0005-0000-0000-0000F0300000}"/>
    <cellStyle name="Normal 10 19 2 4" xfId="12527" xr:uid="{00000000-0005-0000-0000-0000F1300000}"/>
    <cellStyle name="Normal 10 19 2 5" xfId="12528" xr:uid="{00000000-0005-0000-0000-0000F2300000}"/>
    <cellStyle name="Normal 10 19 2 6" xfId="12529" xr:uid="{00000000-0005-0000-0000-0000F3300000}"/>
    <cellStyle name="Normal 10 19 3" xfId="12530" xr:uid="{00000000-0005-0000-0000-0000F4300000}"/>
    <cellStyle name="Normal 10 19 3 2" xfId="12531" xr:uid="{00000000-0005-0000-0000-0000F5300000}"/>
    <cellStyle name="Normal 10 19 3 3" xfId="12532" xr:uid="{00000000-0005-0000-0000-0000F6300000}"/>
    <cellStyle name="Normal 10 19 4" xfId="12533" xr:uid="{00000000-0005-0000-0000-0000F7300000}"/>
    <cellStyle name="Normal 10 19 4 2" xfId="12534" xr:uid="{00000000-0005-0000-0000-0000F8300000}"/>
    <cellStyle name="Normal 10 19 4 3" xfId="12535" xr:uid="{00000000-0005-0000-0000-0000F9300000}"/>
    <cellStyle name="Normal 10 19 5" xfId="12536" xr:uid="{00000000-0005-0000-0000-0000FA300000}"/>
    <cellStyle name="Normal 10 19 6" xfId="12537" xr:uid="{00000000-0005-0000-0000-0000FB300000}"/>
    <cellStyle name="Normal 10 19 7" xfId="12538" xr:uid="{00000000-0005-0000-0000-0000FC300000}"/>
    <cellStyle name="Normal 10 2" xfId="12539" xr:uid="{00000000-0005-0000-0000-0000FD300000}"/>
    <cellStyle name="Normal 10 2 2" xfId="12540" xr:uid="{00000000-0005-0000-0000-0000FE300000}"/>
    <cellStyle name="Normal 10 2 2 2" xfId="12541" xr:uid="{00000000-0005-0000-0000-0000FF300000}"/>
    <cellStyle name="Normal 10 2 2 2 2" xfId="12542" xr:uid="{00000000-0005-0000-0000-000000310000}"/>
    <cellStyle name="Normal 10 2 2 2 3" xfId="12543" xr:uid="{00000000-0005-0000-0000-000001310000}"/>
    <cellStyle name="Normal 10 2 2 3" xfId="12544" xr:uid="{00000000-0005-0000-0000-000002310000}"/>
    <cellStyle name="Normal 10 2 2 3 2" xfId="12545" xr:uid="{00000000-0005-0000-0000-000003310000}"/>
    <cellStyle name="Normal 10 2 2 3 3" xfId="12546" xr:uid="{00000000-0005-0000-0000-000004310000}"/>
    <cellStyle name="Normal 10 2 2 4" xfId="12547" xr:uid="{00000000-0005-0000-0000-000005310000}"/>
    <cellStyle name="Normal 10 2 2 5" xfId="12548" xr:uid="{00000000-0005-0000-0000-000006310000}"/>
    <cellStyle name="Normal 10 2 2 6" xfId="12549" xr:uid="{00000000-0005-0000-0000-000007310000}"/>
    <cellStyle name="Normal 10 2 3" xfId="12550" xr:uid="{00000000-0005-0000-0000-000008310000}"/>
    <cellStyle name="Normal 10 2 3 2" xfId="12551" xr:uid="{00000000-0005-0000-0000-000009310000}"/>
    <cellStyle name="Normal 10 2 3 3" xfId="12552" xr:uid="{00000000-0005-0000-0000-00000A310000}"/>
    <cellStyle name="Normal 10 2 4" xfId="12553" xr:uid="{00000000-0005-0000-0000-00000B310000}"/>
    <cellStyle name="Normal 10 2 4 2" xfId="12554" xr:uid="{00000000-0005-0000-0000-00000C310000}"/>
    <cellStyle name="Normal 10 2 4 3" xfId="12555" xr:uid="{00000000-0005-0000-0000-00000D310000}"/>
    <cellStyle name="Normal 10 2 5" xfId="12556" xr:uid="{00000000-0005-0000-0000-00000E310000}"/>
    <cellStyle name="Normal 10 2 6" xfId="12557" xr:uid="{00000000-0005-0000-0000-00000F310000}"/>
    <cellStyle name="Normal 10 2 7" xfId="12558" xr:uid="{00000000-0005-0000-0000-000010310000}"/>
    <cellStyle name="Normal 10 20" xfId="12559" xr:uid="{00000000-0005-0000-0000-000011310000}"/>
    <cellStyle name="Normal 10 20 2" xfId="12560" xr:uid="{00000000-0005-0000-0000-000012310000}"/>
    <cellStyle name="Normal 10 20 2 2" xfId="12561" xr:uid="{00000000-0005-0000-0000-000013310000}"/>
    <cellStyle name="Normal 10 20 2 2 2" xfId="12562" xr:uid="{00000000-0005-0000-0000-000014310000}"/>
    <cellStyle name="Normal 10 20 2 2 3" xfId="12563" xr:uid="{00000000-0005-0000-0000-000015310000}"/>
    <cellStyle name="Normal 10 20 2 3" xfId="12564" xr:uid="{00000000-0005-0000-0000-000016310000}"/>
    <cellStyle name="Normal 10 20 2 3 2" xfId="12565" xr:uid="{00000000-0005-0000-0000-000017310000}"/>
    <cellStyle name="Normal 10 20 2 3 3" xfId="12566" xr:uid="{00000000-0005-0000-0000-000018310000}"/>
    <cellStyle name="Normal 10 20 2 4" xfId="12567" xr:uid="{00000000-0005-0000-0000-000019310000}"/>
    <cellStyle name="Normal 10 20 2 5" xfId="12568" xr:uid="{00000000-0005-0000-0000-00001A310000}"/>
    <cellStyle name="Normal 10 20 2 6" xfId="12569" xr:uid="{00000000-0005-0000-0000-00001B310000}"/>
    <cellStyle name="Normal 10 20 3" xfId="12570" xr:uid="{00000000-0005-0000-0000-00001C310000}"/>
    <cellStyle name="Normal 10 20 3 2" xfId="12571" xr:uid="{00000000-0005-0000-0000-00001D310000}"/>
    <cellStyle name="Normal 10 20 3 3" xfId="12572" xr:uid="{00000000-0005-0000-0000-00001E310000}"/>
    <cellStyle name="Normal 10 20 4" xfId="12573" xr:uid="{00000000-0005-0000-0000-00001F310000}"/>
    <cellStyle name="Normal 10 20 4 2" xfId="12574" xr:uid="{00000000-0005-0000-0000-000020310000}"/>
    <cellStyle name="Normal 10 20 4 3" xfId="12575" xr:uid="{00000000-0005-0000-0000-000021310000}"/>
    <cellStyle name="Normal 10 20 5" xfId="12576" xr:uid="{00000000-0005-0000-0000-000022310000}"/>
    <cellStyle name="Normal 10 20 6" xfId="12577" xr:uid="{00000000-0005-0000-0000-000023310000}"/>
    <cellStyle name="Normal 10 20 7" xfId="12578" xr:uid="{00000000-0005-0000-0000-000024310000}"/>
    <cellStyle name="Normal 10 21" xfId="12579" xr:uid="{00000000-0005-0000-0000-000025310000}"/>
    <cellStyle name="Normal 10 21 2" xfId="12580" xr:uid="{00000000-0005-0000-0000-000026310000}"/>
    <cellStyle name="Normal 10 21 2 2" xfId="12581" xr:uid="{00000000-0005-0000-0000-000027310000}"/>
    <cellStyle name="Normal 10 21 2 3" xfId="12582" xr:uid="{00000000-0005-0000-0000-000028310000}"/>
    <cellStyle name="Normal 10 21 3" xfId="12583" xr:uid="{00000000-0005-0000-0000-000029310000}"/>
    <cellStyle name="Normal 10 21 3 2" xfId="12584" xr:uid="{00000000-0005-0000-0000-00002A310000}"/>
    <cellStyle name="Normal 10 21 3 3" xfId="12585" xr:uid="{00000000-0005-0000-0000-00002B310000}"/>
    <cellStyle name="Normal 10 21 4" xfId="12586" xr:uid="{00000000-0005-0000-0000-00002C310000}"/>
    <cellStyle name="Normal 10 21 5" xfId="12587" xr:uid="{00000000-0005-0000-0000-00002D310000}"/>
    <cellStyle name="Normal 10 21 6" xfId="12588" xr:uid="{00000000-0005-0000-0000-00002E310000}"/>
    <cellStyle name="Normal 10 22" xfId="12589" xr:uid="{00000000-0005-0000-0000-00002F310000}"/>
    <cellStyle name="Normal 10 22 2" xfId="12590" xr:uid="{00000000-0005-0000-0000-000030310000}"/>
    <cellStyle name="Normal 10 22 3" xfId="12591" xr:uid="{00000000-0005-0000-0000-000031310000}"/>
    <cellStyle name="Normal 10 23" xfId="12592" xr:uid="{00000000-0005-0000-0000-000032310000}"/>
    <cellStyle name="Normal 10 23 2" xfId="12593" xr:uid="{00000000-0005-0000-0000-000033310000}"/>
    <cellStyle name="Normal 10 23 3" xfId="12594" xr:uid="{00000000-0005-0000-0000-000034310000}"/>
    <cellStyle name="Normal 10 24" xfId="12595" xr:uid="{00000000-0005-0000-0000-000035310000}"/>
    <cellStyle name="Normal 10 24 2" xfId="12596" xr:uid="{00000000-0005-0000-0000-000036310000}"/>
    <cellStyle name="Normal 10 24 3" xfId="12597" xr:uid="{00000000-0005-0000-0000-000037310000}"/>
    <cellStyle name="Normal 10 25" xfId="12598" xr:uid="{00000000-0005-0000-0000-000038310000}"/>
    <cellStyle name="Normal 10 26" xfId="12599" xr:uid="{00000000-0005-0000-0000-000039310000}"/>
    <cellStyle name="Normal 10 27" xfId="12600" xr:uid="{00000000-0005-0000-0000-00003A310000}"/>
    <cellStyle name="Normal 10 3" xfId="12601" xr:uid="{00000000-0005-0000-0000-00003B310000}"/>
    <cellStyle name="Normal 10 3 2" xfId="12602" xr:uid="{00000000-0005-0000-0000-00003C310000}"/>
    <cellStyle name="Normal 10 3 2 2" xfId="12603" xr:uid="{00000000-0005-0000-0000-00003D310000}"/>
    <cellStyle name="Normal 10 3 2 2 2" xfId="12604" xr:uid="{00000000-0005-0000-0000-00003E310000}"/>
    <cellStyle name="Normal 10 3 2 2 3" xfId="12605" xr:uid="{00000000-0005-0000-0000-00003F310000}"/>
    <cellStyle name="Normal 10 3 2 3" xfId="12606" xr:uid="{00000000-0005-0000-0000-000040310000}"/>
    <cellStyle name="Normal 10 3 2 3 2" xfId="12607" xr:uid="{00000000-0005-0000-0000-000041310000}"/>
    <cellStyle name="Normal 10 3 2 3 3" xfId="12608" xr:uid="{00000000-0005-0000-0000-000042310000}"/>
    <cellStyle name="Normal 10 3 2 4" xfId="12609" xr:uid="{00000000-0005-0000-0000-000043310000}"/>
    <cellStyle name="Normal 10 3 2 5" xfId="12610" xr:uid="{00000000-0005-0000-0000-000044310000}"/>
    <cellStyle name="Normal 10 3 2 6" xfId="12611" xr:uid="{00000000-0005-0000-0000-000045310000}"/>
    <cellStyle name="Normal 10 3 3" xfId="12612" xr:uid="{00000000-0005-0000-0000-000046310000}"/>
    <cellStyle name="Normal 10 3 3 2" xfId="12613" xr:uid="{00000000-0005-0000-0000-000047310000}"/>
    <cellStyle name="Normal 10 3 3 3" xfId="12614" xr:uid="{00000000-0005-0000-0000-000048310000}"/>
    <cellStyle name="Normal 10 3 4" xfId="12615" xr:uid="{00000000-0005-0000-0000-000049310000}"/>
    <cellStyle name="Normal 10 3 4 2" xfId="12616" xr:uid="{00000000-0005-0000-0000-00004A310000}"/>
    <cellStyle name="Normal 10 3 4 3" xfId="12617" xr:uid="{00000000-0005-0000-0000-00004B310000}"/>
    <cellStyle name="Normal 10 3 5" xfId="12618" xr:uid="{00000000-0005-0000-0000-00004C310000}"/>
    <cellStyle name="Normal 10 3 6" xfId="12619" xr:uid="{00000000-0005-0000-0000-00004D310000}"/>
    <cellStyle name="Normal 10 3 7" xfId="12620" xr:uid="{00000000-0005-0000-0000-00004E310000}"/>
    <cellStyle name="Normal 10 4" xfId="12621" xr:uid="{00000000-0005-0000-0000-00004F310000}"/>
    <cellStyle name="Normal 10 4 2" xfId="12622" xr:uid="{00000000-0005-0000-0000-000050310000}"/>
    <cellStyle name="Normal 10 4 2 2" xfId="12623" xr:uid="{00000000-0005-0000-0000-000051310000}"/>
    <cellStyle name="Normal 10 4 2 2 2" xfId="12624" xr:uid="{00000000-0005-0000-0000-000052310000}"/>
    <cellStyle name="Normal 10 4 2 2 3" xfId="12625" xr:uid="{00000000-0005-0000-0000-000053310000}"/>
    <cellStyle name="Normal 10 4 2 3" xfId="12626" xr:uid="{00000000-0005-0000-0000-000054310000}"/>
    <cellStyle name="Normal 10 4 2 3 2" xfId="12627" xr:uid="{00000000-0005-0000-0000-000055310000}"/>
    <cellStyle name="Normal 10 4 2 3 3" xfId="12628" xr:uid="{00000000-0005-0000-0000-000056310000}"/>
    <cellStyle name="Normal 10 4 2 4" xfId="12629" xr:uid="{00000000-0005-0000-0000-000057310000}"/>
    <cellStyle name="Normal 10 4 2 5" xfId="12630" xr:uid="{00000000-0005-0000-0000-000058310000}"/>
    <cellStyle name="Normal 10 4 2 6" xfId="12631" xr:uid="{00000000-0005-0000-0000-000059310000}"/>
    <cellStyle name="Normal 10 4 3" xfId="12632" xr:uid="{00000000-0005-0000-0000-00005A310000}"/>
    <cellStyle name="Normal 10 4 3 2" xfId="12633" xr:uid="{00000000-0005-0000-0000-00005B310000}"/>
    <cellStyle name="Normal 10 4 3 3" xfId="12634" xr:uid="{00000000-0005-0000-0000-00005C310000}"/>
    <cellStyle name="Normal 10 4 4" xfId="12635" xr:uid="{00000000-0005-0000-0000-00005D310000}"/>
    <cellStyle name="Normal 10 4 4 2" xfId="12636" xr:uid="{00000000-0005-0000-0000-00005E310000}"/>
    <cellStyle name="Normal 10 4 4 3" xfId="12637" xr:uid="{00000000-0005-0000-0000-00005F310000}"/>
    <cellStyle name="Normal 10 4 5" xfId="12638" xr:uid="{00000000-0005-0000-0000-000060310000}"/>
    <cellStyle name="Normal 10 4 6" xfId="12639" xr:uid="{00000000-0005-0000-0000-000061310000}"/>
    <cellStyle name="Normal 10 4 7" xfId="12640" xr:uid="{00000000-0005-0000-0000-000062310000}"/>
    <cellStyle name="Normal 10 5" xfId="12641" xr:uid="{00000000-0005-0000-0000-000063310000}"/>
    <cellStyle name="Normal 10 5 2" xfId="12642" xr:uid="{00000000-0005-0000-0000-000064310000}"/>
    <cellStyle name="Normal 10 5 2 2" xfId="12643" xr:uid="{00000000-0005-0000-0000-000065310000}"/>
    <cellStyle name="Normal 10 5 2 2 2" xfId="12644" xr:uid="{00000000-0005-0000-0000-000066310000}"/>
    <cellStyle name="Normal 10 5 2 2 3" xfId="12645" xr:uid="{00000000-0005-0000-0000-000067310000}"/>
    <cellStyle name="Normal 10 5 2 3" xfId="12646" xr:uid="{00000000-0005-0000-0000-000068310000}"/>
    <cellStyle name="Normal 10 5 2 3 2" xfId="12647" xr:uid="{00000000-0005-0000-0000-000069310000}"/>
    <cellStyle name="Normal 10 5 2 3 3" xfId="12648" xr:uid="{00000000-0005-0000-0000-00006A310000}"/>
    <cellStyle name="Normal 10 5 2 4" xfId="12649" xr:uid="{00000000-0005-0000-0000-00006B310000}"/>
    <cellStyle name="Normal 10 5 2 5" xfId="12650" xr:uid="{00000000-0005-0000-0000-00006C310000}"/>
    <cellStyle name="Normal 10 5 2 6" xfId="12651" xr:uid="{00000000-0005-0000-0000-00006D310000}"/>
    <cellStyle name="Normal 10 5 3" xfId="12652" xr:uid="{00000000-0005-0000-0000-00006E310000}"/>
    <cellStyle name="Normal 10 5 3 2" xfId="12653" xr:uid="{00000000-0005-0000-0000-00006F310000}"/>
    <cellStyle name="Normal 10 5 3 3" xfId="12654" xr:uid="{00000000-0005-0000-0000-000070310000}"/>
    <cellStyle name="Normal 10 5 4" xfId="12655" xr:uid="{00000000-0005-0000-0000-000071310000}"/>
    <cellStyle name="Normal 10 5 4 2" xfId="12656" xr:uid="{00000000-0005-0000-0000-000072310000}"/>
    <cellStyle name="Normal 10 5 4 3" xfId="12657" xr:uid="{00000000-0005-0000-0000-000073310000}"/>
    <cellStyle name="Normal 10 5 5" xfId="12658" xr:uid="{00000000-0005-0000-0000-000074310000}"/>
    <cellStyle name="Normal 10 5 6" xfId="12659" xr:uid="{00000000-0005-0000-0000-000075310000}"/>
    <cellStyle name="Normal 10 5 7" xfId="12660" xr:uid="{00000000-0005-0000-0000-000076310000}"/>
    <cellStyle name="Normal 10 6" xfId="12661" xr:uid="{00000000-0005-0000-0000-000077310000}"/>
    <cellStyle name="Normal 10 6 2" xfId="12662" xr:uid="{00000000-0005-0000-0000-000078310000}"/>
    <cellStyle name="Normal 10 6 2 2" xfId="12663" xr:uid="{00000000-0005-0000-0000-000079310000}"/>
    <cellStyle name="Normal 10 6 2 2 2" xfId="12664" xr:uid="{00000000-0005-0000-0000-00007A310000}"/>
    <cellStyle name="Normal 10 6 2 2 3" xfId="12665" xr:uid="{00000000-0005-0000-0000-00007B310000}"/>
    <cellStyle name="Normal 10 6 2 3" xfId="12666" xr:uid="{00000000-0005-0000-0000-00007C310000}"/>
    <cellStyle name="Normal 10 6 2 3 2" xfId="12667" xr:uid="{00000000-0005-0000-0000-00007D310000}"/>
    <cellStyle name="Normal 10 6 2 3 3" xfId="12668" xr:uid="{00000000-0005-0000-0000-00007E310000}"/>
    <cellStyle name="Normal 10 6 2 4" xfId="12669" xr:uid="{00000000-0005-0000-0000-00007F310000}"/>
    <cellStyle name="Normal 10 6 2 5" xfId="12670" xr:uid="{00000000-0005-0000-0000-000080310000}"/>
    <cellStyle name="Normal 10 6 2 6" xfId="12671" xr:uid="{00000000-0005-0000-0000-000081310000}"/>
    <cellStyle name="Normal 10 6 3" xfId="12672" xr:uid="{00000000-0005-0000-0000-000082310000}"/>
    <cellStyle name="Normal 10 6 3 2" xfId="12673" xr:uid="{00000000-0005-0000-0000-000083310000}"/>
    <cellStyle name="Normal 10 6 3 3" xfId="12674" xr:uid="{00000000-0005-0000-0000-000084310000}"/>
    <cellStyle name="Normal 10 6 4" xfId="12675" xr:uid="{00000000-0005-0000-0000-000085310000}"/>
    <cellStyle name="Normal 10 6 4 2" xfId="12676" xr:uid="{00000000-0005-0000-0000-000086310000}"/>
    <cellStyle name="Normal 10 6 4 3" xfId="12677" xr:uid="{00000000-0005-0000-0000-000087310000}"/>
    <cellStyle name="Normal 10 6 5" xfId="12678" xr:uid="{00000000-0005-0000-0000-000088310000}"/>
    <cellStyle name="Normal 10 6 6" xfId="12679" xr:uid="{00000000-0005-0000-0000-000089310000}"/>
    <cellStyle name="Normal 10 6 7" xfId="12680" xr:uid="{00000000-0005-0000-0000-00008A310000}"/>
    <cellStyle name="Normal 10 7" xfId="12681" xr:uid="{00000000-0005-0000-0000-00008B310000}"/>
    <cellStyle name="Normal 10 7 2" xfId="12682" xr:uid="{00000000-0005-0000-0000-00008C310000}"/>
    <cellStyle name="Normal 10 7 2 2" xfId="12683" xr:uid="{00000000-0005-0000-0000-00008D310000}"/>
    <cellStyle name="Normal 10 7 2 2 2" xfId="12684" xr:uid="{00000000-0005-0000-0000-00008E310000}"/>
    <cellStyle name="Normal 10 7 2 2 3" xfId="12685" xr:uid="{00000000-0005-0000-0000-00008F310000}"/>
    <cellStyle name="Normal 10 7 2 3" xfId="12686" xr:uid="{00000000-0005-0000-0000-000090310000}"/>
    <cellStyle name="Normal 10 7 2 3 2" xfId="12687" xr:uid="{00000000-0005-0000-0000-000091310000}"/>
    <cellStyle name="Normal 10 7 2 3 3" xfId="12688" xr:uid="{00000000-0005-0000-0000-000092310000}"/>
    <cellStyle name="Normal 10 7 2 4" xfId="12689" xr:uid="{00000000-0005-0000-0000-000093310000}"/>
    <cellStyle name="Normal 10 7 2 5" xfId="12690" xr:uid="{00000000-0005-0000-0000-000094310000}"/>
    <cellStyle name="Normal 10 7 2 6" xfId="12691" xr:uid="{00000000-0005-0000-0000-000095310000}"/>
    <cellStyle name="Normal 10 7 3" xfId="12692" xr:uid="{00000000-0005-0000-0000-000096310000}"/>
    <cellStyle name="Normal 10 7 3 2" xfId="12693" xr:uid="{00000000-0005-0000-0000-000097310000}"/>
    <cellStyle name="Normal 10 7 3 3" xfId="12694" xr:uid="{00000000-0005-0000-0000-000098310000}"/>
    <cellStyle name="Normal 10 7 4" xfId="12695" xr:uid="{00000000-0005-0000-0000-000099310000}"/>
    <cellStyle name="Normal 10 7 4 2" xfId="12696" xr:uid="{00000000-0005-0000-0000-00009A310000}"/>
    <cellStyle name="Normal 10 7 4 3" xfId="12697" xr:uid="{00000000-0005-0000-0000-00009B310000}"/>
    <cellStyle name="Normal 10 7 5" xfId="12698" xr:uid="{00000000-0005-0000-0000-00009C310000}"/>
    <cellStyle name="Normal 10 7 6" xfId="12699" xr:uid="{00000000-0005-0000-0000-00009D310000}"/>
    <cellStyle name="Normal 10 7 7" xfId="12700" xr:uid="{00000000-0005-0000-0000-00009E310000}"/>
    <cellStyle name="Normal 10 8" xfId="12701" xr:uid="{00000000-0005-0000-0000-00009F310000}"/>
    <cellStyle name="Normal 10 8 2" xfId="12702" xr:uid="{00000000-0005-0000-0000-0000A0310000}"/>
    <cellStyle name="Normal 10 8 2 2" xfId="12703" xr:uid="{00000000-0005-0000-0000-0000A1310000}"/>
    <cellStyle name="Normal 10 8 2 2 2" xfId="12704" xr:uid="{00000000-0005-0000-0000-0000A2310000}"/>
    <cellStyle name="Normal 10 8 2 2 3" xfId="12705" xr:uid="{00000000-0005-0000-0000-0000A3310000}"/>
    <cellStyle name="Normal 10 8 2 3" xfId="12706" xr:uid="{00000000-0005-0000-0000-0000A4310000}"/>
    <cellStyle name="Normal 10 8 2 3 2" xfId="12707" xr:uid="{00000000-0005-0000-0000-0000A5310000}"/>
    <cellStyle name="Normal 10 8 2 3 3" xfId="12708" xr:uid="{00000000-0005-0000-0000-0000A6310000}"/>
    <cellStyle name="Normal 10 8 2 4" xfId="12709" xr:uid="{00000000-0005-0000-0000-0000A7310000}"/>
    <cellStyle name="Normal 10 8 2 5" xfId="12710" xr:uid="{00000000-0005-0000-0000-0000A8310000}"/>
    <cellStyle name="Normal 10 8 2 6" xfId="12711" xr:uid="{00000000-0005-0000-0000-0000A9310000}"/>
    <cellStyle name="Normal 10 8 3" xfId="12712" xr:uid="{00000000-0005-0000-0000-0000AA310000}"/>
    <cellStyle name="Normal 10 8 3 2" xfId="12713" xr:uid="{00000000-0005-0000-0000-0000AB310000}"/>
    <cellStyle name="Normal 10 8 3 3" xfId="12714" xr:uid="{00000000-0005-0000-0000-0000AC310000}"/>
    <cellStyle name="Normal 10 8 4" xfId="12715" xr:uid="{00000000-0005-0000-0000-0000AD310000}"/>
    <cellStyle name="Normal 10 8 4 2" xfId="12716" xr:uid="{00000000-0005-0000-0000-0000AE310000}"/>
    <cellStyle name="Normal 10 8 4 3" xfId="12717" xr:uid="{00000000-0005-0000-0000-0000AF310000}"/>
    <cellStyle name="Normal 10 8 5" xfId="12718" xr:uid="{00000000-0005-0000-0000-0000B0310000}"/>
    <cellStyle name="Normal 10 8 6" xfId="12719" xr:uid="{00000000-0005-0000-0000-0000B1310000}"/>
    <cellStyle name="Normal 10 8 7" xfId="12720" xr:uid="{00000000-0005-0000-0000-0000B2310000}"/>
    <cellStyle name="Normal 10 9" xfId="12721" xr:uid="{00000000-0005-0000-0000-0000B3310000}"/>
    <cellStyle name="Normal 10 9 2" xfId="12722" xr:uid="{00000000-0005-0000-0000-0000B4310000}"/>
    <cellStyle name="Normal 10 9 2 2" xfId="12723" xr:uid="{00000000-0005-0000-0000-0000B5310000}"/>
    <cellStyle name="Normal 10 9 2 2 2" xfId="12724" xr:uid="{00000000-0005-0000-0000-0000B6310000}"/>
    <cellStyle name="Normal 10 9 2 2 3" xfId="12725" xr:uid="{00000000-0005-0000-0000-0000B7310000}"/>
    <cellStyle name="Normal 10 9 2 3" xfId="12726" xr:uid="{00000000-0005-0000-0000-0000B8310000}"/>
    <cellStyle name="Normal 10 9 2 3 2" xfId="12727" xr:uid="{00000000-0005-0000-0000-0000B9310000}"/>
    <cellStyle name="Normal 10 9 2 3 3" xfId="12728" xr:uid="{00000000-0005-0000-0000-0000BA310000}"/>
    <cellStyle name="Normal 10 9 2 4" xfId="12729" xr:uid="{00000000-0005-0000-0000-0000BB310000}"/>
    <cellStyle name="Normal 10 9 2 5" xfId="12730" xr:uid="{00000000-0005-0000-0000-0000BC310000}"/>
    <cellStyle name="Normal 10 9 2 6" xfId="12731" xr:uid="{00000000-0005-0000-0000-0000BD310000}"/>
    <cellStyle name="Normal 10 9 3" xfId="12732" xr:uid="{00000000-0005-0000-0000-0000BE310000}"/>
    <cellStyle name="Normal 10 9 3 2" xfId="12733" xr:uid="{00000000-0005-0000-0000-0000BF310000}"/>
    <cellStyle name="Normal 10 9 3 3" xfId="12734" xr:uid="{00000000-0005-0000-0000-0000C0310000}"/>
    <cellStyle name="Normal 10 9 4" xfId="12735" xr:uid="{00000000-0005-0000-0000-0000C1310000}"/>
    <cellStyle name="Normal 10 9 4 2" xfId="12736" xr:uid="{00000000-0005-0000-0000-0000C2310000}"/>
    <cellStyle name="Normal 10 9 4 3" xfId="12737" xr:uid="{00000000-0005-0000-0000-0000C3310000}"/>
    <cellStyle name="Normal 10 9 5" xfId="12738" xr:uid="{00000000-0005-0000-0000-0000C4310000}"/>
    <cellStyle name="Normal 10 9 6" xfId="12739" xr:uid="{00000000-0005-0000-0000-0000C5310000}"/>
    <cellStyle name="Normal 10 9 7" xfId="12740" xr:uid="{00000000-0005-0000-0000-0000C6310000}"/>
    <cellStyle name="Normal 11" xfId="12741" xr:uid="{00000000-0005-0000-0000-0000C7310000}"/>
    <cellStyle name="Normal 11 2" xfId="12742" xr:uid="{00000000-0005-0000-0000-0000C8310000}"/>
    <cellStyle name="Normal 11 2 2" xfId="12743" xr:uid="{00000000-0005-0000-0000-0000C9310000}"/>
    <cellStyle name="Normal 11 2 2 2" xfId="12744" xr:uid="{00000000-0005-0000-0000-0000CA310000}"/>
    <cellStyle name="Normal 11 2 2 3" xfId="12745" xr:uid="{00000000-0005-0000-0000-0000CB310000}"/>
    <cellStyle name="Normal 11 2 3" xfId="12746" xr:uid="{00000000-0005-0000-0000-0000CC310000}"/>
    <cellStyle name="Normal 11 2 3 2" xfId="12747" xr:uid="{00000000-0005-0000-0000-0000CD310000}"/>
    <cellStyle name="Normal 11 2 3 3" xfId="12748" xr:uid="{00000000-0005-0000-0000-0000CE310000}"/>
    <cellStyle name="Normal 11 2 4" xfId="12749" xr:uid="{00000000-0005-0000-0000-0000CF310000}"/>
    <cellStyle name="Normal 11 2 5" xfId="12750" xr:uid="{00000000-0005-0000-0000-0000D0310000}"/>
    <cellStyle name="Normal 11 2 6" xfId="12751" xr:uid="{00000000-0005-0000-0000-0000D1310000}"/>
    <cellStyle name="Normal 11 3" xfId="12752" xr:uid="{00000000-0005-0000-0000-0000D2310000}"/>
    <cellStyle name="Normal 11 3 2" xfId="12753" xr:uid="{00000000-0005-0000-0000-0000D3310000}"/>
    <cellStyle name="Normal 11 3 3" xfId="12754" xr:uid="{00000000-0005-0000-0000-0000D4310000}"/>
    <cellStyle name="Normal 11 3 4" xfId="12755" xr:uid="{00000000-0005-0000-0000-0000D5310000}"/>
    <cellStyle name="Normal 11 4" xfId="12756" xr:uid="{00000000-0005-0000-0000-0000D6310000}"/>
    <cellStyle name="Normal 11 4 2" xfId="12757" xr:uid="{00000000-0005-0000-0000-0000D7310000}"/>
    <cellStyle name="Normal 11 4 3" xfId="12758" xr:uid="{00000000-0005-0000-0000-0000D8310000}"/>
    <cellStyle name="Normal 11 5" xfId="12759" xr:uid="{00000000-0005-0000-0000-0000D9310000}"/>
    <cellStyle name="Normal 11 5 2" xfId="12760" xr:uid="{00000000-0005-0000-0000-0000DA310000}"/>
    <cellStyle name="Normal 11 5 3" xfId="12761" xr:uid="{00000000-0005-0000-0000-0000DB310000}"/>
    <cellStyle name="Normal 11 6" xfId="12762" xr:uid="{00000000-0005-0000-0000-0000DC310000}"/>
    <cellStyle name="Normal 11 7" xfId="12763" xr:uid="{00000000-0005-0000-0000-0000DD310000}"/>
    <cellStyle name="Normal 11 8" xfId="12764" xr:uid="{00000000-0005-0000-0000-0000DE310000}"/>
    <cellStyle name="Normal 12" xfId="12765" xr:uid="{00000000-0005-0000-0000-0000DF310000}"/>
    <cellStyle name="Normal 12 10" xfId="12766" xr:uid="{00000000-0005-0000-0000-0000E0310000}"/>
    <cellStyle name="Normal 12 10 2" xfId="12767" xr:uid="{00000000-0005-0000-0000-0000E1310000}"/>
    <cellStyle name="Normal 12 10 2 2" xfId="12768" xr:uid="{00000000-0005-0000-0000-0000E2310000}"/>
    <cellStyle name="Normal 12 10 2 2 2" xfId="12769" xr:uid="{00000000-0005-0000-0000-0000E3310000}"/>
    <cellStyle name="Normal 12 10 2 2 3" xfId="12770" xr:uid="{00000000-0005-0000-0000-0000E4310000}"/>
    <cellStyle name="Normal 12 10 2 3" xfId="12771" xr:uid="{00000000-0005-0000-0000-0000E5310000}"/>
    <cellStyle name="Normal 12 10 2 3 2" xfId="12772" xr:uid="{00000000-0005-0000-0000-0000E6310000}"/>
    <cellStyle name="Normal 12 10 2 3 3" xfId="12773" xr:uid="{00000000-0005-0000-0000-0000E7310000}"/>
    <cellStyle name="Normal 12 10 2 4" xfId="12774" xr:uid="{00000000-0005-0000-0000-0000E8310000}"/>
    <cellStyle name="Normal 12 10 2 5" xfId="12775" xr:uid="{00000000-0005-0000-0000-0000E9310000}"/>
    <cellStyle name="Normal 12 10 2 6" xfId="12776" xr:uid="{00000000-0005-0000-0000-0000EA310000}"/>
    <cellStyle name="Normal 12 10 3" xfId="12777" xr:uid="{00000000-0005-0000-0000-0000EB310000}"/>
    <cellStyle name="Normal 12 10 3 2" xfId="12778" xr:uid="{00000000-0005-0000-0000-0000EC310000}"/>
    <cellStyle name="Normal 12 10 3 3" xfId="12779" xr:uid="{00000000-0005-0000-0000-0000ED310000}"/>
    <cellStyle name="Normal 12 10 4" xfId="12780" xr:uid="{00000000-0005-0000-0000-0000EE310000}"/>
    <cellStyle name="Normal 12 10 4 2" xfId="12781" xr:uid="{00000000-0005-0000-0000-0000EF310000}"/>
    <cellStyle name="Normal 12 10 4 3" xfId="12782" xr:uid="{00000000-0005-0000-0000-0000F0310000}"/>
    <cellStyle name="Normal 12 10 5" xfId="12783" xr:uid="{00000000-0005-0000-0000-0000F1310000}"/>
    <cellStyle name="Normal 12 10 6" xfId="12784" xr:uid="{00000000-0005-0000-0000-0000F2310000}"/>
    <cellStyle name="Normal 12 10 7" xfId="12785" xr:uid="{00000000-0005-0000-0000-0000F3310000}"/>
    <cellStyle name="Normal 12 11" xfId="12786" xr:uid="{00000000-0005-0000-0000-0000F4310000}"/>
    <cellStyle name="Normal 12 11 2" xfId="12787" xr:uid="{00000000-0005-0000-0000-0000F5310000}"/>
    <cellStyle name="Normal 12 11 2 2" xfId="12788" xr:uid="{00000000-0005-0000-0000-0000F6310000}"/>
    <cellStyle name="Normal 12 11 2 2 2" xfId="12789" xr:uid="{00000000-0005-0000-0000-0000F7310000}"/>
    <cellStyle name="Normal 12 11 2 2 3" xfId="12790" xr:uid="{00000000-0005-0000-0000-0000F8310000}"/>
    <cellStyle name="Normal 12 11 2 3" xfId="12791" xr:uid="{00000000-0005-0000-0000-0000F9310000}"/>
    <cellStyle name="Normal 12 11 2 3 2" xfId="12792" xr:uid="{00000000-0005-0000-0000-0000FA310000}"/>
    <cellStyle name="Normal 12 11 2 3 3" xfId="12793" xr:uid="{00000000-0005-0000-0000-0000FB310000}"/>
    <cellStyle name="Normal 12 11 2 4" xfId="12794" xr:uid="{00000000-0005-0000-0000-0000FC310000}"/>
    <cellStyle name="Normal 12 11 2 5" xfId="12795" xr:uid="{00000000-0005-0000-0000-0000FD310000}"/>
    <cellStyle name="Normal 12 11 2 6" xfId="12796" xr:uid="{00000000-0005-0000-0000-0000FE310000}"/>
    <cellStyle name="Normal 12 11 3" xfId="12797" xr:uid="{00000000-0005-0000-0000-0000FF310000}"/>
    <cellStyle name="Normal 12 11 3 2" xfId="12798" xr:uid="{00000000-0005-0000-0000-000000320000}"/>
    <cellStyle name="Normal 12 11 3 3" xfId="12799" xr:uid="{00000000-0005-0000-0000-000001320000}"/>
    <cellStyle name="Normal 12 11 4" xfId="12800" xr:uid="{00000000-0005-0000-0000-000002320000}"/>
    <cellStyle name="Normal 12 11 4 2" xfId="12801" xr:uid="{00000000-0005-0000-0000-000003320000}"/>
    <cellStyle name="Normal 12 11 4 3" xfId="12802" xr:uid="{00000000-0005-0000-0000-000004320000}"/>
    <cellStyle name="Normal 12 11 5" xfId="12803" xr:uid="{00000000-0005-0000-0000-000005320000}"/>
    <cellStyle name="Normal 12 11 6" xfId="12804" xr:uid="{00000000-0005-0000-0000-000006320000}"/>
    <cellStyle name="Normal 12 11 7" xfId="12805" xr:uid="{00000000-0005-0000-0000-000007320000}"/>
    <cellStyle name="Normal 12 12" xfId="12806" xr:uid="{00000000-0005-0000-0000-000008320000}"/>
    <cellStyle name="Normal 12 12 2" xfId="12807" xr:uid="{00000000-0005-0000-0000-000009320000}"/>
    <cellStyle name="Normal 12 12 2 2" xfId="12808" xr:uid="{00000000-0005-0000-0000-00000A320000}"/>
    <cellStyle name="Normal 12 12 2 2 2" xfId="12809" xr:uid="{00000000-0005-0000-0000-00000B320000}"/>
    <cellStyle name="Normal 12 12 2 2 3" xfId="12810" xr:uid="{00000000-0005-0000-0000-00000C320000}"/>
    <cellStyle name="Normal 12 12 2 3" xfId="12811" xr:uid="{00000000-0005-0000-0000-00000D320000}"/>
    <cellStyle name="Normal 12 12 2 3 2" xfId="12812" xr:uid="{00000000-0005-0000-0000-00000E320000}"/>
    <cellStyle name="Normal 12 12 2 3 3" xfId="12813" xr:uid="{00000000-0005-0000-0000-00000F320000}"/>
    <cellStyle name="Normal 12 12 2 4" xfId="12814" xr:uid="{00000000-0005-0000-0000-000010320000}"/>
    <cellStyle name="Normal 12 12 2 5" xfId="12815" xr:uid="{00000000-0005-0000-0000-000011320000}"/>
    <cellStyle name="Normal 12 12 2 6" xfId="12816" xr:uid="{00000000-0005-0000-0000-000012320000}"/>
    <cellStyle name="Normal 12 12 3" xfId="12817" xr:uid="{00000000-0005-0000-0000-000013320000}"/>
    <cellStyle name="Normal 12 12 3 2" xfId="12818" xr:uid="{00000000-0005-0000-0000-000014320000}"/>
    <cellStyle name="Normal 12 12 3 3" xfId="12819" xr:uid="{00000000-0005-0000-0000-000015320000}"/>
    <cellStyle name="Normal 12 12 4" xfId="12820" xr:uid="{00000000-0005-0000-0000-000016320000}"/>
    <cellStyle name="Normal 12 12 4 2" xfId="12821" xr:uid="{00000000-0005-0000-0000-000017320000}"/>
    <cellStyle name="Normal 12 12 4 3" xfId="12822" xr:uid="{00000000-0005-0000-0000-000018320000}"/>
    <cellStyle name="Normal 12 12 5" xfId="12823" xr:uid="{00000000-0005-0000-0000-000019320000}"/>
    <cellStyle name="Normal 12 12 6" xfId="12824" xr:uid="{00000000-0005-0000-0000-00001A320000}"/>
    <cellStyle name="Normal 12 12 7" xfId="12825" xr:uid="{00000000-0005-0000-0000-00001B320000}"/>
    <cellStyle name="Normal 12 13" xfId="12826" xr:uid="{00000000-0005-0000-0000-00001C320000}"/>
    <cellStyle name="Normal 12 13 2" xfId="12827" xr:uid="{00000000-0005-0000-0000-00001D320000}"/>
    <cellStyle name="Normal 12 13 2 2" xfId="12828" xr:uid="{00000000-0005-0000-0000-00001E320000}"/>
    <cellStyle name="Normal 12 13 2 2 2" xfId="12829" xr:uid="{00000000-0005-0000-0000-00001F320000}"/>
    <cellStyle name="Normal 12 13 2 2 3" xfId="12830" xr:uid="{00000000-0005-0000-0000-000020320000}"/>
    <cellStyle name="Normal 12 13 2 3" xfId="12831" xr:uid="{00000000-0005-0000-0000-000021320000}"/>
    <cellStyle name="Normal 12 13 2 3 2" xfId="12832" xr:uid="{00000000-0005-0000-0000-000022320000}"/>
    <cellStyle name="Normal 12 13 2 3 3" xfId="12833" xr:uid="{00000000-0005-0000-0000-000023320000}"/>
    <cellStyle name="Normal 12 13 2 4" xfId="12834" xr:uid="{00000000-0005-0000-0000-000024320000}"/>
    <cellStyle name="Normal 12 13 2 5" xfId="12835" xr:uid="{00000000-0005-0000-0000-000025320000}"/>
    <cellStyle name="Normal 12 13 2 6" xfId="12836" xr:uid="{00000000-0005-0000-0000-000026320000}"/>
    <cellStyle name="Normal 12 13 3" xfId="12837" xr:uid="{00000000-0005-0000-0000-000027320000}"/>
    <cellStyle name="Normal 12 13 3 2" xfId="12838" xr:uid="{00000000-0005-0000-0000-000028320000}"/>
    <cellStyle name="Normal 12 13 3 3" xfId="12839" xr:uid="{00000000-0005-0000-0000-000029320000}"/>
    <cellStyle name="Normal 12 13 4" xfId="12840" xr:uid="{00000000-0005-0000-0000-00002A320000}"/>
    <cellStyle name="Normal 12 13 4 2" xfId="12841" xr:uid="{00000000-0005-0000-0000-00002B320000}"/>
    <cellStyle name="Normal 12 13 4 3" xfId="12842" xr:uid="{00000000-0005-0000-0000-00002C320000}"/>
    <cellStyle name="Normal 12 13 5" xfId="12843" xr:uid="{00000000-0005-0000-0000-00002D320000}"/>
    <cellStyle name="Normal 12 13 6" xfId="12844" xr:uid="{00000000-0005-0000-0000-00002E320000}"/>
    <cellStyle name="Normal 12 13 7" xfId="12845" xr:uid="{00000000-0005-0000-0000-00002F320000}"/>
    <cellStyle name="Normal 12 14" xfId="12846" xr:uid="{00000000-0005-0000-0000-000030320000}"/>
    <cellStyle name="Normal 12 14 2" xfId="12847" xr:uid="{00000000-0005-0000-0000-000031320000}"/>
    <cellStyle name="Normal 12 14 2 2" xfId="12848" xr:uid="{00000000-0005-0000-0000-000032320000}"/>
    <cellStyle name="Normal 12 14 2 2 2" xfId="12849" xr:uid="{00000000-0005-0000-0000-000033320000}"/>
    <cellStyle name="Normal 12 14 2 2 3" xfId="12850" xr:uid="{00000000-0005-0000-0000-000034320000}"/>
    <cellStyle name="Normal 12 14 2 3" xfId="12851" xr:uid="{00000000-0005-0000-0000-000035320000}"/>
    <cellStyle name="Normal 12 14 2 3 2" xfId="12852" xr:uid="{00000000-0005-0000-0000-000036320000}"/>
    <cellStyle name="Normal 12 14 2 3 3" xfId="12853" xr:uid="{00000000-0005-0000-0000-000037320000}"/>
    <cellStyle name="Normal 12 14 2 4" xfId="12854" xr:uid="{00000000-0005-0000-0000-000038320000}"/>
    <cellStyle name="Normal 12 14 2 5" xfId="12855" xr:uid="{00000000-0005-0000-0000-000039320000}"/>
    <cellStyle name="Normal 12 14 2 6" xfId="12856" xr:uid="{00000000-0005-0000-0000-00003A320000}"/>
    <cellStyle name="Normal 12 14 3" xfId="12857" xr:uid="{00000000-0005-0000-0000-00003B320000}"/>
    <cellStyle name="Normal 12 14 3 2" xfId="12858" xr:uid="{00000000-0005-0000-0000-00003C320000}"/>
    <cellStyle name="Normal 12 14 3 3" xfId="12859" xr:uid="{00000000-0005-0000-0000-00003D320000}"/>
    <cellStyle name="Normal 12 14 4" xfId="12860" xr:uid="{00000000-0005-0000-0000-00003E320000}"/>
    <cellStyle name="Normal 12 14 4 2" xfId="12861" xr:uid="{00000000-0005-0000-0000-00003F320000}"/>
    <cellStyle name="Normal 12 14 4 3" xfId="12862" xr:uid="{00000000-0005-0000-0000-000040320000}"/>
    <cellStyle name="Normal 12 14 5" xfId="12863" xr:uid="{00000000-0005-0000-0000-000041320000}"/>
    <cellStyle name="Normal 12 14 6" xfId="12864" xr:uid="{00000000-0005-0000-0000-000042320000}"/>
    <cellStyle name="Normal 12 14 7" xfId="12865" xr:uid="{00000000-0005-0000-0000-000043320000}"/>
    <cellStyle name="Normal 12 15" xfId="12866" xr:uid="{00000000-0005-0000-0000-000044320000}"/>
    <cellStyle name="Normal 12 15 2" xfId="12867" xr:uid="{00000000-0005-0000-0000-000045320000}"/>
    <cellStyle name="Normal 12 15 2 2" xfId="12868" xr:uid="{00000000-0005-0000-0000-000046320000}"/>
    <cellStyle name="Normal 12 15 2 2 2" xfId="12869" xr:uid="{00000000-0005-0000-0000-000047320000}"/>
    <cellStyle name="Normal 12 15 2 2 3" xfId="12870" xr:uid="{00000000-0005-0000-0000-000048320000}"/>
    <cellStyle name="Normal 12 15 2 3" xfId="12871" xr:uid="{00000000-0005-0000-0000-000049320000}"/>
    <cellStyle name="Normal 12 15 2 3 2" xfId="12872" xr:uid="{00000000-0005-0000-0000-00004A320000}"/>
    <cellStyle name="Normal 12 15 2 3 3" xfId="12873" xr:uid="{00000000-0005-0000-0000-00004B320000}"/>
    <cellStyle name="Normal 12 15 2 4" xfId="12874" xr:uid="{00000000-0005-0000-0000-00004C320000}"/>
    <cellStyle name="Normal 12 15 2 5" xfId="12875" xr:uid="{00000000-0005-0000-0000-00004D320000}"/>
    <cellStyle name="Normal 12 15 2 6" xfId="12876" xr:uid="{00000000-0005-0000-0000-00004E320000}"/>
    <cellStyle name="Normal 12 15 3" xfId="12877" xr:uid="{00000000-0005-0000-0000-00004F320000}"/>
    <cellStyle name="Normal 12 15 3 2" xfId="12878" xr:uid="{00000000-0005-0000-0000-000050320000}"/>
    <cellStyle name="Normal 12 15 3 3" xfId="12879" xr:uid="{00000000-0005-0000-0000-000051320000}"/>
    <cellStyle name="Normal 12 15 4" xfId="12880" xr:uid="{00000000-0005-0000-0000-000052320000}"/>
    <cellStyle name="Normal 12 15 4 2" xfId="12881" xr:uid="{00000000-0005-0000-0000-000053320000}"/>
    <cellStyle name="Normal 12 15 4 3" xfId="12882" xr:uid="{00000000-0005-0000-0000-000054320000}"/>
    <cellStyle name="Normal 12 15 5" xfId="12883" xr:uid="{00000000-0005-0000-0000-000055320000}"/>
    <cellStyle name="Normal 12 15 6" xfId="12884" xr:uid="{00000000-0005-0000-0000-000056320000}"/>
    <cellStyle name="Normal 12 15 7" xfId="12885" xr:uid="{00000000-0005-0000-0000-000057320000}"/>
    <cellStyle name="Normal 12 16" xfId="12886" xr:uid="{00000000-0005-0000-0000-000058320000}"/>
    <cellStyle name="Normal 12 16 2" xfId="12887" xr:uid="{00000000-0005-0000-0000-000059320000}"/>
    <cellStyle name="Normal 12 16 2 2" xfId="12888" xr:uid="{00000000-0005-0000-0000-00005A320000}"/>
    <cellStyle name="Normal 12 16 2 2 2" xfId="12889" xr:uid="{00000000-0005-0000-0000-00005B320000}"/>
    <cellStyle name="Normal 12 16 2 2 3" xfId="12890" xr:uid="{00000000-0005-0000-0000-00005C320000}"/>
    <cellStyle name="Normal 12 16 2 3" xfId="12891" xr:uid="{00000000-0005-0000-0000-00005D320000}"/>
    <cellStyle name="Normal 12 16 2 3 2" xfId="12892" xr:uid="{00000000-0005-0000-0000-00005E320000}"/>
    <cellStyle name="Normal 12 16 2 3 3" xfId="12893" xr:uid="{00000000-0005-0000-0000-00005F320000}"/>
    <cellStyle name="Normal 12 16 2 4" xfId="12894" xr:uid="{00000000-0005-0000-0000-000060320000}"/>
    <cellStyle name="Normal 12 16 2 5" xfId="12895" xr:uid="{00000000-0005-0000-0000-000061320000}"/>
    <cellStyle name="Normal 12 16 2 6" xfId="12896" xr:uid="{00000000-0005-0000-0000-000062320000}"/>
    <cellStyle name="Normal 12 16 3" xfId="12897" xr:uid="{00000000-0005-0000-0000-000063320000}"/>
    <cellStyle name="Normal 12 16 3 2" xfId="12898" xr:uid="{00000000-0005-0000-0000-000064320000}"/>
    <cellStyle name="Normal 12 16 3 3" xfId="12899" xr:uid="{00000000-0005-0000-0000-000065320000}"/>
    <cellStyle name="Normal 12 16 4" xfId="12900" xr:uid="{00000000-0005-0000-0000-000066320000}"/>
    <cellStyle name="Normal 12 16 4 2" xfId="12901" xr:uid="{00000000-0005-0000-0000-000067320000}"/>
    <cellStyle name="Normal 12 16 4 3" xfId="12902" xr:uid="{00000000-0005-0000-0000-000068320000}"/>
    <cellStyle name="Normal 12 16 5" xfId="12903" xr:uid="{00000000-0005-0000-0000-000069320000}"/>
    <cellStyle name="Normal 12 16 6" xfId="12904" xr:uid="{00000000-0005-0000-0000-00006A320000}"/>
    <cellStyle name="Normal 12 16 7" xfId="12905" xr:uid="{00000000-0005-0000-0000-00006B320000}"/>
    <cellStyle name="Normal 12 17" xfId="12906" xr:uid="{00000000-0005-0000-0000-00006C320000}"/>
    <cellStyle name="Normal 12 17 2" xfId="12907" xr:uid="{00000000-0005-0000-0000-00006D320000}"/>
    <cellStyle name="Normal 12 17 2 2" xfId="12908" xr:uid="{00000000-0005-0000-0000-00006E320000}"/>
    <cellStyle name="Normal 12 17 2 2 2" xfId="12909" xr:uid="{00000000-0005-0000-0000-00006F320000}"/>
    <cellStyle name="Normal 12 17 2 2 3" xfId="12910" xr:uid="{00000000-0005-0000-0000-000070320000}"/>
    <cellStyle name="Normal 12 17 2 3" xfId="12911" xr:uid="{00000000-0005-0000-0000-000071320000}"/>
    <cellStyle name="Normal 12 17 2 3 2" xfId="12912" xr:uid="{00000000-0005-0000-0000-000072320000}"/>
    <cellStyle name="Normal 12 17 2 3 3" xfId="12913" xr:uid="{00000000-0005-0000-0000-000073320000}"/>
    <cellStyle name="Normal 12 17 2 4" xfId="12914" xr:uid="{00000000-0005-0000-0000-000074320000}"/>
    <cellStyle name="Normal 12 17 2 5" xfId="12915" xr:uid="{00000000-0005-0000-0000-000075320000}"/>
    <cellStyle name="Normal 12 17 2 6" xfId="12916" xr:uid="{00000000-0005-0000-0000-000076320000}"/>
    <cellStyle name="Normal 12 17 3" xfId="12917" xr:uid="{00000000-0005-0000-0000-000077320000}"/>
    <cellStyle name="Normal 12 17 3 2" xfId="12918" xr:uid="{00000000-0005-0000-0000-000078320000}"/>
    <cellStyle name="Normal 12 17 3 3" xfId="12919" xr:uid="{00000000-0005-0000-0000-000079320000}"/>
    <cellStyle name="Normal 12 17 4" xfId="12920" xr:uid="{00000000-0005-0000-0000-00007A320000}"/>
    <cellStyle name="Normal 12 17 4 2" xfId="12921" xr:uid="{00000000-0005-0000-0000-00007B320000}"/>
    <cellStyle name="Normal 12 17 4 3" xfId="12922" xr:uid="{00000000-0005-0000-0000-00007C320000}"/>
    <cellStyle name="Normal 12 17 5" xfId="12923" xr:uid="{00000000-0005-0000-0000-00007D320000}"/>
    <cellStyle name="Normal 12 17 6" xfId="12924" xr:uid="{00000000-0005-0000-0000-00007E320000}"/>
    <cellStyle name="Normal 12 17 7" xfId="12925" xr:uid="{00000000-0005-0000-0000-00007F320000}"/>
    <cellStyle name="Normal 12 18" xfId="12926" xr:uid="{00000000-0005-0000-0000-000080320000}"/>
    <cellStyle name="Normal 12 18 2" xfId="12927" xr:uid="{00000000-0005-0000-0000-000081320000}"/>
    <cellStyle name="Normal 12 18 2 2" xfId="12928" xr:uid="{00000000-0005-0000-0000-000082320000}"/>
    <cellStyle name="Normal 12 18 2 2 2" xfId="12929" xr:uid="{00000000-0005-0000-0000-000083320000}"/>
    <cellStyle name="Normal 12 18 2 2 3" xfId="12930" xr:uid="{00000000-0005-0000-0000-000084320000}"/>
    <cellStyle name="Normal 12 18 2 3" xfId="12931" xr:uid="{00000000-0005-0000-0000-000085320000}"/>
    <cellStyle name="Normal 12 18 2 3 2" xfId="12932" xr:uid="{00000000-0005-0000-0000-000086320000}"/>
    <cellStyle name="Normal 12 18 2 3 3" xfId="12933" xr:uid="{00000000-0005-0000-0000-000087320000}"/>
    <cellStyle name="Normal 12 18 2 4" xfId="12934" xr:uid="{00000000-0005-0000-0000-000088320000}"/>
    <cellStyle name="Normal 12 18 2 5" xfId="12935" xr:uid="{00000000-0005-0000-0000-000089320000}"/>
    <cellStyle name="Normal 12 18 2 6" xfId="12936" xr:uid="{00000000-0005-0000-0000-00008A320000}"/>
    <cellStyle name="Normal 12 18 3" xfId="12937" xr:uid="{00000000-0005-0000-0000-00008B320000}"/>
    <cellStyle name="Normal 12 18 3 2" xfId="12938" xr:uid="{00000000-0005-0000-0000-00008C320000}"/>
    <cellStyle name="Normal 12 18 3 3" xfId="12939" xr:uid="{00000000-0005-0000-0000-00008D320000}"/>
    <cellStyle name="Normal 12 18 4" xfId="12940" xr:uid="{00000000-0005-0000-0000-00008E320000}"/>
    <cellStyle name="Normal 12 18 4 2" xfId="12941" xr:uid="{00000000-0005-0000-0000-00008F320000}"/>
    <cellStyle name="Normal 12 18 4 3" xfId="12942" xr:uid="{00000000-0005-0000-0000-000090320000}"/>
    <cellStyle name="Normal 12 18 5" xfId="12943" xr:uid="{00000000-0005-0000-0000-000091320000}"/>
    <cellStyle name="Normal 12 18 6" xfId="12944" xr:uid="{00000000-0005-0000-0000-000092320000}"/>
    <cellStyle name="Normal 12 18 7" xfId="12945" xr:uid="{00000000-0005-0000-0000-000093320000}"/>
    <cellStyle name="Normal 12 19" xfId="12946" xr:uid="{00000000-0005-0000-0000-000094320000}"/>
    <cellStyle name="Normal 12 19 2" xfId="12947" xr:uid="{00000000-0005-0000-0000-000095320000}"/>
    <cellStyle name="Normal 12 19 2 2" xfId="12948" xr:uid="{00000000-0005-0000-0000-000096320000}"/>
    <cellStyle name="Normal 12 19 2 2 2" xfId="12949" xr:uid="{00000000-0005-0000-0000-000097320000}"/>
    <cellStyle name="Normal 12 19 2 2 3" xfId="12950" xr:uid="{00000000-0005-0000-0000-000098320000}"/>
    <cellStyle name="Normal 12 19 2 3" xfId="12951" xr:uid="{00000000-0005-0000-0000-000099320000}"/>
    <cellStyle name="Normal 12 19 2 3 2" xfId="12952" xr:uid="{00000000-0005-0000-0000-00009A320000}"/>
    <cellStyle name="Normal 12 19 2 3 3" xfId="12953" xr:uid="{00000000-0005-0000-0000-00009B320000}"/>
    <cellStyle name="Normal 12 19 2 4" xfId="12954" xr:uid="{00000000-0005-0000-0000-00009C320000}"/>
    <cellStyle name="Normal 12 19 2 5" xfId="12955" xr:uid="{00000000-0005-0000-0000-00009D320000}"/>
    <cellStyle name="Normal 12 19 2 6" xfId="12956" xr:uid="{00000000-0005-0000-0000-00009E320000}"/>
    <cellStyle name="Normal 12 19 3" xfId="12957" xr:uid="{00000000-0005-0000-0000-00009F320000}"/>
    <cellStyle name="Normal 12 19 3 2" xfId="12958" xr:uid="{00000000-0005-0000-0000-0000A0320000}"/>
    <cellStyle name="Normal 12 19 3 3" xfId="12959" xr:uid="{00000000-0005-0000-0000-0000A1320000}"/>
    <cellStyle name="Normal 12 19 4" xfId="12960" xr:uid="{00000000-0005-0000-0000-0000A2320000}"/>
    <cellStyle name="Normal 12 19 4 2" xfId="12961" xr:uid="{00000000-0005-0000-0000-0000A3320000}"/>
    <cellStyle name="Normal 12 19 4 3" xfId="12962" xr:uid="{00000000-0005-0000-0000-0000A4320000}"/>
    <cellStyle name="Normal 12 19 5" xfId="12963" xr:uid="{00000000-0005-0000-0000-0000A5320000}"/>
    <cellStyle name="Normal 12 19 6" xfId="12964" xr:uid="{00000000-0005-0000-0000-0000A6320000}"/>
    <cellStyle name="Normal 12 19 7" xfId="12965" xr:uid="{00000000-0005-0000-0000-0000A7320000}"/>
    <cellStyle name="Normal 12 2" xfId="12966" xr:uid="{00000000-0005-0000-0000-0000A8320000}"/>
    <cellStyle name="Normal 12 2 2" xfId="12967" xr:uid="{00000000-0005-0000-0000-0000A9320000}"/>
    <cellStyle name="Normal 12 2 2 2" xfId="12968" xr:uid="{00000000-0005-0000-0000-0000AA320000}"/>
    <cellStyle name="Normal 12 2 2 2 2" xfId="12969" xr:uid="{00000000-0005-0000-0000-0000AB320000}"/>
    <cellStyle name="Normal 12 2 2 2 3" xfId="12970" xr:uid="{00000000-0005-0000-0000-0000AC320000}"/>
    <cellStyle name="Normal 12 2 2 3" xfId="12971" xr:uid="{00000000-0005-0000-0000-0000AD320000}"/>
    <cellStyle name="Normal 12 2 2 3 2" xfId="12972" xr:uid="{00000000-0005-0000-0000-0000AE320000}"/>
    <cellStyle name="Normal 12 2 2 3 3" xfId="12973" xr:uid="{00000000-0005-0000-0000-0000AF320000}"/>
    <cellStyle name="Normal 12 2 2 4" xfId="12974" xr:uid="{00000000-0005-0000-0000-0000B0320000}"/>
    <cellStyle name="Normal 12 2 2 5" xfId="12975" xr:uid="{00000000-0005-0000-0000-0000B1320000}"/>
    <cellStyle name="Normal 12 2 2 6" xfId="12976" xr:uid="{00000000-0005-0000-0000-0000B2320000}"/>
    <cellStyle name="Normal 12 2 3" xfId="12977" xr:uid="{00000000-0005-0000-0000-0000B3320000}"/>
    <cellStyle name="Normal 12 2 3 2" xfId="12978" xr:uid="{00000000-0005-0000-0000-0000B4320000}"/>
    <cellStyle name="Normal 12 2 3 3" xfId="12979" xr:uid="{00000000-0005-0000-0000-0000B5320000}"/>
    <cellStyle name="Normal 12 2 4" xfId="12980" xr:uid="{00000000-0005-0000-0000-0000B6320000}"/>
    <cellStyle name="Normal 12 2 4 2" xfId="12981" xr:uid="{00000000-0005-0000-0000-0000B7320000}"/>
    <cellStyle name="Normal 12 2 4 3" xfId="12982" xr:uid="{00000000-0005-0000-0000-0000B8320000}"/>
    <cellStyle name="Normal 12 2 5" xfId="12983" xr:uid="{00000000-0005-0000-0000-0000B9320000}"/>
    <cellStyle name="Normal 12 2 6" xfId="12984" xr:uid="{00000000-0005-0000-0000-0000BA320000}"/>
    <cellStyle name="Normal 12 2 7" xfId="12985" xr:uid="{00000000-0005-0000-0000-0000BB320000}"/>
    <cellStyle name="Normal 12 20" xfId="12986" xr:uid="{00000000-0005-0000-0000-0000BC320000}"/>
    <cellStyle name="Normal 12 20 2" xfId="12987" xr:uid="{00000000-0005-0000-0000-0000BD320000}"/>
    <cellStyle name="Normal 12 20 2 2" xfId="12988" xr:uid="{00000000-0005-0000-0000-0000BE320000}"/>
    <cellStyle name="Normal 12 20 2 2 2" xfId="12989" xr:uid="{00000000-0005-0000-0000-0000BF320000}"/>
    <cellStyle name="Normal 12 20 2 2 3" xfId="12990" xr:uid="{00000000-0005-0000-0000-0000C0320000}"/>
    <cellStyle name="Normal 12 20 2 3" xfId="12991" xr:uid="{00000000-0005-0000-0000-0000C1320000}"/>
    <cellStyle name="Normal 12 20 2 3 2" xfId="12992" xr:uid="{00000000-0005-0000-0000-0000C2320000}"/>
    <cellStyle name="Normal 12 20 2 3 3" xfId="12993" xr:uid="{00000000-0005-0000-0000-0000C3320000}"/>
    <cellStyle name="Normal 12 20 2 4" xfId="12994" xr:uid="{00000000-0005-0000-0000-0000C4320000}"/>
    <cellStyle name="Normal 12 20 2 5" xfId="12995" xr:uid="{00000000-0005-0000-0000-0000C5320000}"/>
    <cellStyle name="Normal 12 20 2 6" xfId="12996" xr:uid="{00000000-0005-0000-0000-0000C6320000}"/>
    <cellStyle name="Normal 12 20 3" xfId="12997" xr:uid="{00000000-0005-0000-0000-0000C7320000}"/>
    <cellStyle name="Normal 12 20 3 2" xfId="12998" xr:uid="{00000000-0005-0000-0000-0000C8320000}"/>
    <cellStyle name="Normal 12 20 3 3" xfId="12999" xr:uid="{00000000-0005-0000-0000-0000C9320000}"/>
    <cellStyle name="Normal 12 20 4" xfId="13000" xr:uid="{00000000-0005-0000-0000-0000CA320000}"/>
    <cellStyle name="Normal 12 20 4 2" xfId="13001" xr:uid="{00000000-0005-0000-0000-0000CB320000}"/>
    <cellStyle name="Normal 12 20 4 3" xfId="13002" xr:uid="{00000000-0005-0000-0000-0000CC320000}"/>
    <cellStyle name="Normal 12 20 5" xfId="13003" xr:uid="{00000000-0005-0000-0000-0000CD320000}"/>
    <cellStyle name="Normal 12 20 6" xfId="13004" xr:uid="{00000000-0005-0000-0000-0000CE320000}"/>
    <cellStyle name="Normal 12 20 7" xfId="13005" xr:uid="{00000000-0005-0000-0000-0000CF320000}"/>
    <cellStyle name="Normal 12 21" xfId="13006" xr:uid="{00000000-0005-0000-0000-0000D0320000}"/>
    <cellStyle name="Normal 12 21 2" xfId="13007" xr:uid="{00000000-0005-0000-0000-0000D1320000}"/>
    <cellStyle name="Normal 12 21 2 2" xfId="13008" xr:uid="{00000000-0005-0000-0000-0000D2320000}"/>
    <cellStyle name="Normal 12 21 2 2 2" xfId="13009" xr:uid="{00000000-0005-0000-0000-0000D3320000}"/>
    <cellStyle name="Normal 12 21 2 2 3" xfId="13010" xr:uid="{00000000-0005-0000-0000-0000D4320000}"/>
    <cellStyle name="Normal 12 21 2 3" xfId="13011" xr:uid="{00000000-0005-0000-0000-0000D5320000}"/>
    <cellStyle name="Normal 12 21 2 3 2" xfId="13012" xr:uid="{00000000-0005-0000-0000-0000D6320000}"/>
    <cellStyle name="Normal 12 21 2 3 3" xfId="13013" xr:uid="{00000000-0005-0000-0000-0000D7320000}"/>
    <cellStyle name="Normal 12 21 2 4" xfId="13014" xr:uid="{00000000-0005-0000-0000-0000D8320000}"/>
    <cellStyle name="Normal 12 21 2 5" xfId="13015" xr:uid="{00000000-0005-0000-0000-0000D9320000}"/>
    <cellStyle name="Normal 12 21 2 6" xfId="13016" xr:uid="{00000000-0005-0000-0000-0000DA320000}"/>
    <cellStyle name="Normal 12 21 3" xfId="13017" xr:uid="{00000000-0005-0000-0000-0000DB320000}"/>
    <cellStyle name="Normal 12 21 3 2" xfId="13018" xr:uid="{00000000-0005-0000-0000-0000DC320000}"/>
    <cellStyle name="Normal 12 21 3 3" xfId="13019" xr:uid="{00000000-0005-0000-0000-0000DD320000}"/>
    <cellStyle name="Normal 12 21 4" xfId="13020" xr:uid="{00000000-0005-0000-0000-0000DE320000}"/>
    <cellStyle name="Normal 12 21 4 2" xfId="13021" xr:uid="{00000000-0005-0000-0000-0000DF320000}"/>
    <cellStyle name="Normal 12 21 4 3" xfId="13022" xr:uid="{00000000-0005-0000-0000-0000E0320000}"/>
    <cellStyle name="Normal 12 21 5" xfId="13023" xr:uid="{00000000-0005-0000-0000-0000E1320000}"/>
    <cellStyle name="Normal 12 21 6" xfId="13024" xr:uid="{00000000-0005-0000-0000-0000E2320000}"/>
    <cellStyle name="Normal 12 21 7" xfId="13025" xr:uid="{00000000-0005-0000-0000-0000E3320000}"/>
    <cellStyle name="Normal 12 22" xfId="13026" xr:uid="{00000000-0005-0000-0000-0000E4320000}"/>
    <cellStyle name="Normal 12 22 2" xfId="13027" xr:uid="{00000000-0005-0000-0000-0000E5320000}"/>
    <cellStyle name="Normal 12 22 2 2" xfId="13028" xr:uid="{00000000-0005-0000-0000-0000E6320000}"/>
    <cellStyle name="Normal 12 22 2 2 2" xfId="13029" xr:uid="{00000000-0005-0000-0000-0000E7320000}"/>
    <cellStyle name="Normal 12 22 2 2 3" xfId="13030" xr:uid="{00000000-0005-0000-0000-0000E8320000}"/>
    <cellStyle name="Normal 12 22 2 3" xfId="13031" xr:uid="{00000000-0005-0000-0000-0000E9320000}"/>
    <cellStyle name="Normal 12 22 2 3 2" xfId="13032" xr:uid="{00000000-0005-0000-0000-0000EA320000}"/>
    <cellStyle name="Normal 12 22 2 3 3" xfId="13033" xr:uid="{00000000-0005-0000-0000-0000EB320000}"/>
    <cellStyle name="Normal 12 22 2 4" xfId="13034" xr:uid="{00000000-0005-0000-0000-0000EC320000}"/>
    <cellStyle name="Normal 12 22 2 5" xfId="13035" xr:uid="{00000000-0005-0000-0000-0000ED320000}"/>
    <cellStyle name="Normal 12 22 2 6" xfId="13036" xr:uid="{00000000-0005-0000-0000-0000EE320000}"/>
    <cellStyle name="Normal 12 22 3" xfId="13037" xr:uid="{00000000-0005-0000-0000-0000EF320000}"/>
    <cellStyle name="Normal 12 22 3 2" xfId="13038" xr:uid="{00000000-0005-0000-0000-0000F0320000}"/>
    <cellStyle name="Normal 12 22 3 3" xfId="13039" xr:uid="{00000000-0005-0000-0000-0000F1320000}"/>
    <cellStyle name="Normal 12 22 4" xfId="13040" xr:uid="{00000000-0005-0000-0000-0000F2320000}"/>
    <cellStyle name="Normal 12 22 4 2" xfId="13041" xr:uid="{00000000-0005-0000-0000-0000F3320000}"/>
    <cellStyle name="Normal 12 22 4 3" xfId="13042" xr:uid="{00000000-0005-0000-0000-0000F4320000}"/>
    <cellStyle name="Normal 12 22 5" xfId="13043" xr:uid="{00000000-0005-0000-0000-0000F5320000}"/>
    <cellStyle name="Normal 12 22 6" xfId="13044" xr:uid="{00000000-0005-0000-0000-0000F6320000}"/>
    <cellStyle name="Normal 12 22 7" xfId="13045" xr:uid="{00000000-0005-0000-0000-0000F7320000}"/>
    <cellStyle name="Normal 12 23" xfId="13046" xr:uid="{00000000-0005-0000-0000-0000F8320000}"/>
    <cellStyle name="Normal 12 23 2" xfId="13047" xr:uid="{00000000-0005-0000-0000-0000F9320000}"/>
    <cellStyle name="Normal 12 23 2 2" xfId="13048" xr:uid="{00000000-0005-0000-0000-0000FA320000}"/>
    <cellStyle name="Normal 12 23 2 2 2" xfId="13049" xr:uid="{00000000-0005-0000-0000-0000FB320000}"/>
    <cellStyle name="Normal 12 23 2 2 3" xfId="13050" xr:uid="{00000000-0005-0000-0000-0000FC320000}"/>
    <cellStyle name="Normal 12 23 2 3" xfId="13051" xr:uid="{00000000-0005-0000-0000-0000FD320000}"/>
    <cellStyle name="Normal 12 23 2 3 2" xfId="13052" xr:uid="{00000000-0005-0000-0000-0000FE320000}"/>
    <cellStyle name="Normal 12 23 2 3 3" xfId="13053" xr:uid="{00000000-0005-0000-0000-0000FF320000}"/>
    <cellStyle name="Normal 12 23 2 4" xfId="13054" xr:uid="{00000000-0005-0000-0000-000000330000}"/>
    <cellStyle name="Normal 12 23 2 5" xfId="13055" xr:uid="{00000000-0005-0000-0000-000001330000}"/>
    <cellStyle name="Normal 12 23 2 6" xfId="13056" xr:uid="{00000000-0005-0000-0000-000002330000}"/>
    <cellStyle name="Normal 12 23 3" xfId="13057" xr:uid="{00000000-0005-0000-0000-000003330000}"/>
    <cellStyle name="Normal 12 23 3 2" xfId="13058" xr:uid="{00000000-0005-0000-0000-000004330000}"/>
    <cellStyle name="Normal 12 23 3 3" xfId="13059" xr:uid="{00000000-0005-0000-0000-000005330000}"/>
    <cellStyle name="Normal 12 23 4" xfId="13060" xr:uid="{00000000-0005-0000-0000-000006330000}"/>
    <cellStyle name="Normal 12 23 4 2" xfId="13061" xr:uid="{00000000-0005-0000-0000-000007330000}"/>
    <cellStyle name="Normal 12 23 4 3" xfId="13062" xr:uid="{00000000-0005-0000-0000-000008330000}"/>
    <cellStyle name="Normal 12 23 5" xfId="13063" xr:uid="{00000000-0005-0000-0000-000009330000}"/>
    <cellStyle name="Normal 12 23 6" xfId="13064" xr:uid="{00000000-0005-0000-0000-00000A330000}"/>
    <cellStyle name="Normal 12 23 7" xfId="13065" xr:uid="{00000000-0005-0000-0000-00000B330000}"/>
    <cellStyle name="Normal 12 24" xfId="13066" xr:uid="{00000000-0005-0000-0000-00000C330000}"/>
    <cellStyle name="Normal 12 24 2" xfId="13067" xr:uid="{00000000-0005-0000-0000-00000D330000}"/>
    <cellStyle name="Normal 12 24 2 2" xfId="13068" xr:uid="{00000000-0005-0000-0000-00000E330000}"/>
    <cellStyle name="Normal 12 24 2 2 2" xfId="13069" xr:uid="{00000000-0005-0000-0000-00000F330000}"/>
    <cellStyle name="Normal 12 24 2 2 3" xfId="13070" xr:uid="{00000000-0005-0000-0000-000010330000}"/>
    <cellStyle name="Normal 12 24 2 3" xfId="13071" xr:uid="{00000000-0005-0000-0000-000011330000}"/>
    <cellStyle name="Normal 12 24 2 3 2" xfId="13072" xr:uid="{00000000-0005-0000-0000-000012330000}"/>
    <cellStyle name="Normal 12 24 2 3 3" xfId="13073" xr:uid="{00000000-0005-0000-0000-000013330000}"/>
    <cellStyle name="Normal 12 24 2 4" xfId="13074" xr:uid="{00000000-0005-0000-0000-000014330000}"/>
    <cellStyle name="Normal 12 24 2 5" xfId="13075" xr:uid="{00000000-0005-0000-0000-000015330000}"/>
    <cellStyle name="Normal 12 24 2 6" xfId="13076" xr:uid="{00000000-0005-0000-0000-000016330000}"/>
    <cellStyle name="Normal 12 24 3" xfId="13077" xr:uid="{00000000-0005-0000-0000-000017330000}"/>
    <cellStyle name="Normal 12 24 3 2" xfId="13078" xr:uid="{00000000-0005-0000-0000-000018330000}"/>
    <cellStyle name="Normal 12 24 3 3" xfId="13079" xr:uid="{00000000-0005-0000-0000-000019330000}"/>
    <cellStyle name="Normal 12 24 4" xfId="13080" xr:uid="{00000000-0005-0000-0000-00001A330000}"/>
    <cellStyle name="Normal 12 24 4 2" xfId="13081" xr:uid="{00000000-0005-0000-0000-00001B330000}"/>
    <cellStyle name="Normal 12 24 4 3" xfId="13082" xr:uid="{00000000-0005-0000-0000-00001C330000}"/>
    <cellStyle name="Normal 12 24 5" xfId="13083" xr:uid="{00000000-0005-0000-0000-00001D330000}"/>
    <cellStyle name="Normal 12 24 6" xfId="13084" xr:uid="{00000000-0005-0000-0000-00001E330000}"/>
    <cellStyle name="Normal 12 24 7" xfId="13085" xr:uid="{00000000-0005-0000-0000-00001F330000}"/>
    <cellStyle name="Normal 12 25" xfId="13086" xr:uid="{00000000-0005-0000-0000-000020330000}"/>
    <cellStyle name="Normal 12 25 2" xfId="13087" xr:uid="{00000000-0005-0000-0000-000021330000}"/>
    <cellStyle name="Normal 12 25 2 2" xfId="13088" xr:uid="{00000000-0005-0000-0000-000022330000}"/>
    <cellStyle name="Normal 12 25 2 2 2" xfId="13089" xr:uid="{00000000-0005-0000-0000-000023330000}"/>
    <cellStyle name="Normal 12 25 2 2 3" xfId="13090" xr:uid="{00000000-0005-0000-0000-000024330000}"/>
    <cellStyle name="Normal 12 25 2 3" xfId="13091" xr:uid="{00000000-0005-0000-0000-000025330000}"/>
    <cellStyle name="Normal 12 25 2 3 2" xfId="13092" xr:uid="{00000000-0005-0000-0000-000026330000}"/>
    <cellStyle name="Normal 12 25 2 3 3" xfId="13093" xr:uid="{00000000-0005-0000-0000-000027330000}"/>
    <cellStyle name="Normal 12 25 2 4" xfId="13094" xr:uid="{00000000-0005-0000-0000-000028330000}"/>
    <cellStyle name="Normal 12 25 2 5" xfId="13095" xr:uid="{00000000-0005-0000-0000-000029330000}"/>
    <cellStyle name="Normal 12 25 2 6" xfId="13096" xr:uid="{00000000-0005-0000-0000-00002A330000}"/>
    <cellStyle name="Normal 12 25 3" xfId="13097" xr:uid="{00000000-0005-0000-0000-00002B330000}"/>
    <cellStyle name="Normal 12 25 3 2" xfId="13098" xr:uid="{00000000-0005-0000-0000-00002C330000}"/>
    <cellStyle name="Normal 12 25 3 3" xfId="13099" xr:uid="{00000000-0005-0000-0000-00002D330000}"/>
    <cellStyle name="Normal 12 25 4" xfId="13100" xr:uid="{00000000-0005-0000-0000-00002E330000}"/>
    <cellStyle name="Normal 12 25 4 2" xfId="13101" xr:uid="{00000000-0005-0000-0000-00002F330000}"/>
    <cellStyle name="Normal 12 25 4 3" xfId="13102" xr:uid="{00000000-0005-0000-0000-000030330000}"/>
    <cellStyle name="Normal 12 25 5" xfId="13103" xr:uid="{00000000-0005-0000-0000-000031330000}"/>
    <cellStyle name="Normal 12 25 6" xfId="13104" xr:uid="{00000000-0005-0000-0000-000032330000}"/>
    <cellStyle name="Normal 12 25 7" xfId="13105" xr:uid="{00000000-0005-0000-0000-000033330000}"/>
    <cellStyle name="Normal 12 26" xfId="13106" xr:uid="{00000000-0005-0000-0000-000034330000}"/>
    <cellStyle name="Normal 12 26 2" xfId="13107" xr:uid="{00000000-0005-0000-0000-000035330000}"/>
    <cellStyle name="Normal 12 26 2 2" xfId="13108" xr:uid="{00000000-0005-0000-0000-000036330000}"/>
    <cellStyle name="Normal 12 26 2 2 2" xfId="13109" xr:uid="{00000000-0005-0000-0000-000037330000}"/>
    <cellStyle name="Normal 12 26 2 2 3" xfId="13110" xr:uid="{00000000-0005-0000-0000-000038330000}"/>
    <cellStyle name="Normal 12 26 2 3" xfId="13111" xr:uid="{00000000-0005-0000-0000-000039330000}"/>
    <cellStyle name="Normal 12 26 2 3 2" xfId="13112" xr:uid="{00000000-0005-0000-0000-00003A330000}"/>
    <cellStyle name="Normal 12 26 2 3 3" xfId="13113" xr:uid="{00000000-0005-0000-0000-00003B330000}"/>
    <cellStyle name="Normal 12 26 2 4" xfId="13114" xr:uid="{00000000-0005-0000-0000-00003C330000}"/>
    <cellStyle name="Normal 12 26 2 5" xfId="13115" xr:uid="{00000000-0005-0000-0000-00003D330000}"/>
    <cellStyle name="Normal 12 26 2 6" xfId="13116" xr:uid="{00000000-0005-0000-0000-00003E330000}"/>
    <cellStyle name="Normal 12 26 3" xfId="13117" xr:uid="{00000000-0005-0000-0000-00003F330000}"/>
    <cellStyle name="Normal 12 26 3 2" xfId="13118" xr:uid="{00000000-0005-0000-0000-000040330000}"/>
    <cellStyle name="Normal 12 26 3 3" xfId="13119" xr:uid="{00000000-0005-0000-0000-000041330000}"/>
    <cellStyle name="Normal 12 26 4" xfId="13120" xr:uid="{00000000-0005-0000-0000-000042330000}"/>
    <cellStyle name="Normal 12 26 4 2" xfId="13121" xr:uid="{00000000-0005-0000-0000-000043330000}"/>
    <cellStyle name="Normal 12 26 4 3" xfId="13122" xr:uid="{00000000-0005-0000-0000-000044330000}"/>
    <cellStyle name="Normal 12 26 5" xfId="13123" xr:uid="{00000000-0005-0000-0000-000045330000}"/>
    <cellStyle name="Normal 12 26 6" xfId="13124" xr:uid="{00000000-0005-0000-0000-000046330000}"/>
    <cellStyle name="Normal 12 26 7" xfId="13125" xr:uid="{00000000-0005-0000-0000-000047330000}"/>
    <cellStyle name="Normal 12 27" xfId="13126" xr:uid="{00000000-0005-0000-0000-000048330000}"/>
    <cellStyle name="Normal 12 27 2" xfId="13127" xr:uid="{00000000-0005-0000-0000-000049330000}"/>
    <cellStyle name="Normal 12 27 2 2" xfId="13128" xr:uid="{00000000-0005-0000-0000-00004A330000}"/>
    <cellStyle name="Normal 12 27 2 2 2" xfId="13129" xr:uid="{00000000-0005-0000-0000-00004B330000}"/>
    <cellStyle name="Normal 12 27 2 2 3" xfId="13130" xr:uid="{00000000-0005-0000-0000-00004C330000}"/>
    <cellStyle name="Normal 12 27 2 3" xfId="13131" xr:uid="{00000000-0005-0000-0000-00004D330000}"/>
    <cellStyle name="Normal 12 27 2 3 2" xfId="13132" xr:uid="{00000000-0005-0000-0000-00004E330000}"/>
    <cellStyle name="Normal 12 27 2 3 3" xfId="13133" xr:uid="{00000000-0005-0000-0000-00004F330000}"/>
    <cellStyle name="Normal 12 27 2 4" xfId="13134" xr:uid="{00000000-0005-0000-0000-000050330000}"/>
    <cellStyle name="Normal 12 27 2 5" xfId="13135" xr:uid="{00000000-0005-0000-0000-000051330000}"/>
    <cellStyle name="Normal 12 27 2 6" xfId="13136" xr:uid="{00000000-0005-0000-0000-000052330000}"/>
    <cellStyle name="Normal 12 27 3" xfId="13137" xr:uid="{00000000-0005-0000-0000-000053330000}"/>
    <cellStyle name="Normal 12 27 3 2" xfId="13138" xr:uid="{00000000-0005-0000-0000-000054330000}"/>
    <cellStyle name="Normal 12 27 3 3" xfId="13139" xr:uid="{00000000-0005-0000-0000-000055330000}"/>
    <cellStyle name="Normal 12 27 4" xfId="13140" xr:uid="{00000000-0005-0000-0000-000056330000}"/>
    <cellStyle name="Normal 12 27 4 2" xfId="13141" xr:uid="{00000000-0005-0000-0000-000057330000}"/>
    <cellStyle name="Normal 12 27 4 3" xfId="13142" xr:uid="{00000000-0005-0000-0000-000058330000}"/>
    <cellStyle name="Normal 12 27 5" xfId="13143" xr:uid="{00000000-0005-0000-0000-000059330000}"/>
    <cellStyle name="Normal 12 27 6" xfId="13144" xr:uid="{00000000-0005-0000-0000-00005A330000}"/>
    <cellStyle name="Normal 12 27 7" xfId="13145" xr:uid="{00000000-0005-0000-0000-00005B330000}"/>
    <cellStyle name="Normal 12 28" xfId="13146" xr:uid="{00000000-0005-0000-0000-00005C330000}"/>
    <cellStyle name="Normal 12 28 2" xfId="13147" xr:uid="{00000000-0005-0000-0000-00005D330000}"/>
    <cellStyle name="Normal 12 28 2 2" xfId="13148" xr:uid="{00000000-0005-0000-0000-00005E330000}"/>
    <cellStyle name="Normal 12 28 2 2 2" xfId="13149" xr:uid="{00000000-0005-0000-0000-00005F330000}"/>
    <cellStyle name="Normal 12 28 2 2 3" xfId="13150" xr:uid="{00000000-0005-0000-0000-000060330000}"/>
    <cellStyle name="Normal 12 28 2 3" xfId="13151" xr:uid="{00000000-0005-0000-0000-000061330000}"/>
    <cellStyle name="Normal 12 28 2 3 2" xfId="13152" xr:uid="{00000000-0005-0000-0000-000062330000}"/>
    <cellStyle name="Normal 12 28 2 3 3" xfId="13153" xr:uid="{00000000-0005-0000-0000-000063330000}"/>
    <cellStyle name="Normal 12 28 2 4" xfId="13154" xr:uid="{00000000-0005-0000-0000-000064330000}"/>
    <cellStyle name="Normal 12 28 2 5" xfId="13155" xr:uid="{00000000-0005-0000-0000-000065330000}"/>
    <cellStyle name="Normal 12 28 2 6" xfId="13156" xr:uid="{00000000-0005-0000-0000-000066330000}"/>
    <cellStyle name="Normal 12 28 3" xfId="13157" xr:uid="{00000000-0005-0000-0000-000067330000}"/>
    <cellStyle name="Normal 12 28 3 2" xfId="13158" xr:uid="{00000000-0005-0000-0000-000068330000}"/>
    <cellStyle name="Normal 12 28 3 3" xfId="13159" xr:uid="{00000000-0005-0000-0000-000069330000}"/>
    <cellStyle name="Normal 12 28 4" xfId="13160" xr:uid="{00000000-0005-0000-0000-00006A330000}"/>
    <cellStyle name="Normal 12 28 4 2" xfId="13161" xr:uid="{00000000-0005-0000-0000-00006B330000}"/>
    <cellStyle name="Normal 12 28 4 3" xfId="13162" xr:uid="{00000000-0005-0000-0000-00006C330000}"/>
    <cellStyle name="Normal 12 28 5" xfId="13163" xr:uid="{00000000-0005-0000-0000-00006D330000}"/>
    <cellStyle name="Normal 12 28 6" xfId="13164" xr:uid="{00000000-0005-0000-0000-00006E330000}"/>
    <cellStyle name="Normal 12 28 7" xfId="13165" xr:uid="{00000000-0005-0000-0000-00006F330000}"/>
    <cellStyle name="Normal 12 29" xfId="13166" xr:uid="{00000000-0005-0000-0000-000070330000}"/>
    <cellStyle name="Normal 12 29 2" xfId="13167" xr:uid="{00000000-0005-0000-0000-000071330000}"/>
    <cellStyle name="Normal 12 29 2 2" xfId="13168" xr:uid="{00000000-0005-0000-0000-000072330000}"/>
    <cellStyle name="Normal 12 29 2 3" xfId="13169" xr:uid="{00000000-0005-0000-0000-000073330000}"/>
    <cellStyle name="Normal 12 29 3" xfId="13170" xr:uid="{00000000-0005-0000-0000-000074330000}"/>
    <cellStyle name="Normal 12 29 3 2" xfId="13171" xr:uid="{00000000-0005-0000-0000-000075330000}"/>
    <cellStyle name="Normal 12 29 3 3" xfId="13172" xr:uid="{00000000-0005-0000-0000-000076330000}"/>
    <cellStyle name="Normal 12 29 4" xfId="13173" xr:uid="{00000000-0005-0000-0000-000077330000}"/>
    <cellStyle name="Normal 12 29 5" xfId="13174" xr:uid="{00000000-0005-0000-0000-000078330000}"/>
    <cellStyle name="Normal 12 29 6" xfId="13175" xr:uid="{00000000-0005-0000-0000-000079330000}"/>
    <cellStyle name="Normal 12 3" xfId="13176" xr:uid="{00000000-0005-0000-0000-00007A330000}"/>
    <cellStyle name="Normal 12 3 2" xfId="13177" xr:uid="{00000000-0005-0000-0000-00007B330000}"/>
    <cellStyle name="Normal 12 3 2 2" xfId="13178" xr:uid="{00000000-0005-0000-0000-00007C330000}"/>
    <cellStyle name="Normal 12 3 2 2 2" xfId="13179" xr:uid="{00000000-0005-0000-0000-00007D330000}"/>
    <cellStyle name="Normal 12 3 2 2 3" xfId="13180" xr:uid="{00000000-0005-0000-0000-00007E330000}"/>
    <cellStyle name="Normal 12 3 2 3" xfId="13181" xr:uid="{00000000-0005-0000-0000-00007F330000}"/>
    <cellStyle name="Normal 12 3 2 3 2" xfId="13182" xr:uid="{00000000-0005-0000-0000-000080330000}"/>
    <cellStyle name="Normal 12 3 2 3 3" xfId="13183" xr:uid="{00000000-0005-0000-0000-000081330000}"/>
    <cellStyle name="Normal 12 3 2 4" xfId="13184" xr:uid="{00000000-0005-0000-0000-000082330000}"/>
    <cellStyle name="Normal 12 3 2 5" xfId="13185" xr:uid="{00000000-0005-0000-0000-000083330000}"/>
    <cellStyle name="Normal 12 3 2 6" xfId="13186" xr:uid="{00000000-0005-0000-0000-000084330000}"/>
    <cellStyle name="Normal 12 3 3" xfId="13187" xr:uid="{00000000-0005-0000-0000-000085330000}"/>
    <cellStyle name="Normal 12 3 3 2" xfId="13188" xr:uid="{00000000-0005-0000-0000-000086330000}"/>
    <cellStyle name="Normal 12 3 3 3" xfId="13189" xr:uid="{00000000-0005-0000-0000-000087330000}"/>
    <cellStyle name="Normal 12 3 4" xfId="13190" xr:uid="{00000000-0005-0000-0000-000088330000}"/>
    <cellStyle name="Normal 12 3 4 2" xfId="13191" xr:uid="{00000000-0005-0000-0000-000089330000}"/>
    <cellStyle name="Normal 12 3 4 3" xfId="13192" xr:uid="{00000000-0005-0000-0000-00008A330000}"/>
    <cellStyle name="Normal 12 3 5" xfId="13193" xr:uid="{00000000-0005-0000-0000-00008B330000}"/>
    <cellStyle name="Normal 12 3 6" xfId="13194" xr:uid="{00000000-0005-0000-0000-00008C330000}"/>
    <cellStyle name="Normal 12 3 7" xfId="13195" xr:uid="{00000000-0005-0000-0000-00008D330000}"/>
    <cellStyle name="Normal 12 30" xfId="13196" xr:uid="{00000000-0005-0000-0000-00008E330000}"/>
    <cellStyle name="Normal 12 30 2" xfId="13197" xr:uid="{00000000-0005-0000-0000-00008F330000}"/>
    <cellStyle name="Normal 12 30 3" xfId="13198" xr:uid="{00000000-0005-0000-0000-000090330000}"/>
    <cellStyle name="Normal 12 31" xfId="13199" xr:uid="{00000000-0005-0000-0000-000091330000}"/>
    <cellStyle name="Normal 12 31 2" xfId="13200" xr:uid="{00000000-0005-0000-0000-000092330000}"/>
    <cellStyle name="Normal 12 31 3" xfId="13201" xr:uid="{00000000-0005-0000-0000-000093330000}"/>
    <cellStyle name="Normal 12 32" xfId="13202" xr:uid="{00000000-0005-0000-0000-000094330000}"/>
    <cellStyle name="Normal 12 32 2" xfId="13203" xr:uid="{00000000-0005-0000-0000-000095330000}"/>
    <cellStyle name="Normal 12 32 3" xfId="13204" xr:uid="{00000000-0005-0000-0000-000096330000}"/>
    <cellStyle name="Normal 12 33" xfId="13205" xr:uid="{00000000-0005-0000-0000-000097330000}"/>
    <cellStyle name="Normal 12 34" xfId="13206" xr:uid="{00000000-0005-0000-0000-000098330000}"/>
    <cellStyle name="Normal 12 35" xfId="13207" xr:uid="{00000000-0005-0000-0000-000099330000}"/>
    <cellStyle name="Normal 12 4" xfId="13208" xr:uid="{00000000-0005-0000-0000-00009A330000}"/>
    <cellStyle name="Normal 12 4 2" xfId="13209" xr:uid="{00000000-0005-0000-0000-00009B330000}"/>
    <cellStyle name="Normal 12 4 2 2" xfId="13210" xr:uid="{00000000-0005-0000-0000-00009C330000}"/>
    <cellStyle name="Normal 12 4 2 2 2" xfId="13211" xr:uid="{00000000-0005-0000-0000-00009D330000}"/>
    <cellStyle name="Normal 12 4 2 2 3" xfId="13212" xr:uid="{00000000-0005-0000-0000-00009E330000}"/>
    <cellStyle name="Normal 12 4 2 3" xfId="13213" xr:uid="{00000000-0005-0000-0000-00009F330000}"/>
    <cellStyle name="Normal 12 4 2 3 2" xfId="13214" xr:uid="{00000000-0005-0000-0000-0000A0330000}"/>
    <cellStyle name="Normal 12 4 2 3 3" xfId="13215" xr:uid="{00000000-0005-0000-0000-0000A1330000}"/>
    <cellStyle name="Normal 12 4 2 4" xfId="13216" xr:uid="{00000000-0005-0000-0000-0000A2330000}"/>
    <cellStyle name="Normal 12 4 2 5" xfId="13217" xr:uid="{00000000-0005-0000-0000-0000A3330000}"/>
    <cellStyle name="Normal 12 4 2 6" xfId="13218" xr:uid="{00000000-0005-0000-0000-0000A4330000}"/>
    <cellStyle name="Normal 12 4 3" xfId="13219" xr:uid="{00000000-0005-0000-0000-0000A5330000}"/>
    <cellStyle name="Normal 12 4 3 2" xfId="13220" xr:uid="{00000000-0005-0000-0000-0000A6330000}"/>
    <cellStyle name="Normal 12 4 3 3" xfId="13221" xr:uid="{00000000-0005-0000-0000-0000A7330000}"/>
    <cellStyle name="Normal 12 4 4" xfId="13222" xr:uid="{00000000-0005-0000-0000-0000A8330000}"/>
    <cellStyle name="Normal 12 4 4 2" xfId="13223" xr:uid="{00000000-0005-0000-0000-0000A9330000}"/>
    <cellStyle name="Normal 12 4 4 3" xfId="13224" xr:uid="{00000000-0005-0000-0000-0000AA330000}"/>
    <cellStyle name="Normal 12 4 5" xfId="13225" xr:uid="{00000000-0005-0000-0000-0000AB330000}"/>
    <cellStyle name="Normal 12 4 6" xfId="13226" xr:uid="{00000000-0005-0000-0000-0000AC330000}"/>
    <cellStyle name="Normal 12 4 7" xfId="13227" xr:uid="{00000000-0005-0000-0000-0000AD330000}"/>
    <cellStyle name="Normal 12 5" xfId="13228" xr:uid="{00000000-0005-0000-0000-0000AE330000}"/>
    <cellStyle name="Normal 12 5 2" xfId="13229" xr:uid="{00000000-0005-0000-0000-0000AF330000}"/>
    <cellStyle name="Normal 12 5 2 2" xfId="13230" xr:uid="{00000000-0005-0000-0000-0000B0330000}"/>
    <cellStyle name="Normal 12 5 2 2 2" xfId="13231" xr:uid="{00000000-0005-0000-0000-0000B1330000}"/>
    <cellStyle name="Normal 12 5 2 2 3" xfId="13232" xr:uid="{00000000-0005-0000-0000-0000B2330000}"/>
    <cellStyle name="Normal 12 5 2 3" xfId="13233" xr:uid="{00000000-0005-0000-0000-0000B3330000}"/>
    <cellStyle name="Normal 12 5 2 3 2" xfId="13234" xr:uid="{00000000-0005-0000-0000-0000B4330000}"/>
    <cellStyle name="Normal 12 5 2 3 3" xfId="13235" xr:uid="{00000000-0005-0000-0000-0000B5330000}"/>
    <cellStyle name="Normal 12 5 2 4" xfId="13236" xr:uid="{00000000-0005-0000-0000-0000B6330000}"/>
    <cellStyle name="Normal 12 5 2 5" xfId="13237" xr:uid="{00000000-0005-0000-0000-0000B7330000}"/>
    <cellStyle name="Normal 12 5 2 6" xfId="13238" xr:uid="{00000000-0005-0000-0000-0000B8330000}"/>
    <cellStyle name="Normal 12 5 3" xfId="13239" xr:uid="{00000000-0005-0000-0000-0000B9330000}"/>
    <cellStyle name="Normal 12 5 3 2" xfId="13240" xr:uid="{00000000-0005-0000-0000-0000BA330000}"/>
    <cellStyle name="Normal 12 5 3 3" xfId="13241" xr:uid="{00000000-0005-0000-0000-0000BB330000}"/>
    <cellStyle name="Normal 12 5 4" xfId="13242" xr:uid="{00000000-0005-0000-0000-0000BC330000}"/>
    <cellStyle name="Normal 12 5 4 2" xfId="13243" xr:uid="{00000000-0005-0000-0000-0000BD330000}"/>
    <cellStyle name="Normal 12 5 4 3" xfId="13244" xr:uid="{00000000-0005-0000-0000-0000BE330000}"/>
    <cellStyle name="Normal 12 5 5" xfId="13245" xr:uid="{00000000-0005-0000-0000-0000BF330000}"/>
    <cellStyle name="Normal 12 5 6" xfId="13246" xr:uid="{00000000-0005-0000-0000-0000C0330000}"/>
    <cellStyle name="Normal 12 5 7" xfId="13247" xr:uid="{00000000-0005-0000-0000-0000C1330000}"/>
    <cellStyle name="Normal 12 6" xfId="13248" xr:uid="{00000000-0005-0000-0000-0000C2330000}"/>
    <cellStyle name="Normal 12 6 2" xfId="13249" xr:uid="{00000000-0005-0000-0000-0000C3330000}"/>
    <cellStyle name="Normal 12 6 2 2" xfId="13250" xr:uid="{00000000-0005-0000-0000-0000C4330000}"/>
    <cellStyle name="Normal 12 6 2 2 2" xfId="13251" xr:uid="{00000000-0005-0000-0000-0000C5330000}"/>
    <cellStyle name="Normal 12 6 2 2 3" xfId="13252" xr:uid="{00000000-0005-0000-0000-0000C6330000}"/>
    <cellStyle name="Normal 12 6 2 3" xfId="13253" xr:uid="{00000000-0005-0000-0000-0000C7330000}"/>
    <cellStyle name="Normal 12 6 2 3 2" xfId="13254" xr:uid="{00000000-0005-0000-0000-0000C8330000}"/>
    <cellStyle name="Normal 12 6 2 3 3" xfId="13255" xr:uid="{00000000-0005-0000-0000-0000C9330000}"/>
    <cellStyle name="Normal 12 6 2 4" xfId="13256" xr:uid="{00000000-0005-0000-0000-0000CA330000}"/>
    <cellStyle name="Normal 12 6 2 5" xfId="13257" xr:uid="{00000000-0005-0000-0000-0000CB330000}"/>
    <cellStyle name="Normal 12 6 2 6" xfId="13258" xr:uid="{00000000-0005-0000-0000-0000CC330000}"/>
    <cellStyle name="Normal 12 6 3" xfId="13259" xr:uid="{00000000-0005-0000-0000-0000CD330000}"/>
    <cellStyle name="Normal 12 6 3 2" xfId="13260" xr:uid="{00000000-0005-0000-0000-0000CE330000}"/>
    <cellStyle name="Normal 12 6 3 3" xfId="13261" xr:uid="{00000000-0005-0000-0000-0000CF330000}"/>
    <cellStyle name="Normal 12 6 4" xfId="13262" xr:uid="{00000000-0005-0000-0000-0000D0330000}"/>
    <cellStyle name="Normal 12 6 4 2" xfId="13263" xr:uid="{00000000-0005-0000-0000-0000D1330000}"/>
    <cellStyle name="Normal 12 6 4 3" xfId="13264" xr:uid="{00000000-0005-0000-0000-0000D2330000}"/>
    <cellStyle name="Normal 12 6 5" xfId="13265" xr:uid="{00000000-0005-0000-0000-0000D3330000}"/>
    <cellStyle name="Normal 12 6 6" xfId="13266" xr:uid="{00000000-0005-0000-0000-0000D4330000}"/>
    <cellStyle name="Normal 12 6 7" xfId="13267" xr:uid="{00000000-0005-0000-0000-0000D5330000}"/>
    <cellStyle name="Normal 12 7" xfId="13268" xr:uid="{00000000-0005-0000-0000-0000D6330000}"/>
    <cellStyle name="Normal 12 7 2" xfId="13269" xr:uid="{00000000-0005-0000-0000-0000D7330000}"/>
    <cellStyle name="Normal 12 7 2 2" xfId="13270" xr:uid="{00000000-0005-0000-0000-0000D8330000}"/>
    <cellStyle name="Normal 12 7 2 2 2" xfId="13271" xr:uid="{00000000-0005-0000-0000-0000D9330000}"/>
    <cellStyle name="Normal 12 7 2 2 3" xfId="13272" xr:uid="{00000000-0005-0000-0000-0000DA330000}"/>
    <cellStyle name="Normal 12 7 2 3" xfId="13273" xr:uid="{00000000-0005-0000-0000-0000DB330000}"/>
    <cellStyle name="Normal 12 7 2 3 2" xfId="13274" xr:uid="{00000000-0005-0000-0000-0000DC330000}"/>
    <cellStyle name="Normal 12 7 2 3 3" xfId="13275" xr:uid="{00000000-0005-0000-0000-0000DD330000}"/>
    <cellStyle name="Normal 12 7 2 4" xfId="13276" xr:uid="{00000000-0005-0000-0000-0000DE330000}"/>
    <cellStyle name="Normal 12 7 2 5" xfId="13277" xr:uid="{00000000-0005-0000-0000-0000DF330000}"/>
    <cellStyle name="Normal 12 7 2 6" xfId="13278" xr:uid="{00000000-0005-0000-0000-0000E0330000}"/>
    <cellStyle name="Normal 12 7 3" xfId="13279" xr:uid="{00000000-0005-0000-0000-0000E1330000}"/>
    <cellStyle name="Normal 12 7 3 2" xfId="13280" xr:uid="{00000000-0005-0000-0000-0000E2330000}"/>
    <cellStyle name="Normal 12 7 3 3" xfId="13281" xr:uid="{00000000-0005-0000-0000-0000E3330000}"/>
    <cellStyle name="Normal 12 7 4" xfId="13282" xr:uid="{00000000-0005-0000-0000-0000E4330000}"/>
    <cellStyle name="Normal 12 7 4 2" xfId="13283" xr:uid="{00000000-0005-0000-0000-0000E5330000}"/>
    <cellStyle name="Normal 12 7 4 3" xfId="13284" xr:uid="{00000000-0005-0000-0000-0000E6330000}"/>
    <cellStyle name="Normal 12 7 5" xfId="13285" xr:uid="{00000000-0005-0000-0000-0000E7330000}"/>
    <cellStyle name="Normal 12 7 6" xfId="13286" xr:uid="{00000000-0005-0000-0000-0000E8330000}"/>
    <cellStyle name="Normal 12 7 7" xfId="13287" xr:uid="{00000000-0005-0000-0000-0000E9330000}"/>
    <cellStyle name="Normal 12 8" xfId="13288" xr:uid="{00000000-0005-0000-0000-0000EA330000}"/>
    <cellStyle name="Normal 12 8 2" xfId="13289" xr:uid="{00000000-0005-0000-0000-0000EB330000}"/>
    <cellStyle name="Normal 12 8 2 2" xfId="13290" xr:uid="{00000000-0005-0000-0000-0000EC330000}"/>
    <cellStyle name="Normal 12 8 2 2 2" xfId="13291" xr:uid="{00000000-0005-0000-0000-0000ED330000}"/>
    <cellStyle name="Normal 12 8 2 2 3" xfId="13292" xr:uid="{00000000-0005-0000-0000-0000EE330000}"/>
    <cellStyle name="Normal 12 8 2 3" xfId="13293" xr:uid="{00000000-0005-0000-0000-0000EF330000}"/>
    <cellStyle name="Normal 12 8 2 3 2" xfId="13294" xr:uid="{00000000-0005-0000-0000-0000F0330000}"/>
    <cellStyle name="Normal 12 8 2 3 3" xfId="13295" xr:uid="{00000000-0005-0000-0000-0000F1330000}"/>
    <cellStyle name="Normal 12 8 2 4" xfId="13296" xr:uid="{00000000-0005-0000-0000-0000F2330000}"/>
    <cellStyle name="Normal 12 8 2 5" xfId="13297" xr:uid="{00000000-0005-0000-0000-0000F3330000}"/>
    <cellStyle name="Normal 12 8 2 6" xfId="13298" xr:uid="{00000000-0005-0000-0000-0000F4330000}"/>
    <cellStyle name="Normal 12 8 3" xfId="13299" xr:uid="{00000000-0005-0000-0000-0000F5330000}"/>
    <cellStyle name="Normal 12 8 3 2" xfId="13300" xr:uid="{00000000-0005-0000-0000-0000F6330000}"/>
    <cellStyle name="Normal 12 8 3 3" xfId="13301" xr:uid="{00000000-0005-0000-0000-0000F7330000}"/>
    <cellStyle name="Normal 12 8 4" xfId="13302" xr:uid="{00000000-0005-0000-0000-0000F8330000}"/>
    <cellStyle name="Normal 12 8 4 2" xfId="13303" xr:uid="{00000000-0005-0000-0000-0000F9330000}"/>
    <cellStyle name="Normal 12 8 4 3" xfId="13304" xr:uid="{00000000-0005-0000-0000-0000FA330000}"/>
    <cellStyle name="Normal 12 8 5" xfId="13305" xr:uid="{00000000-0005-0000-0000-0000FB330000}"/>
    <cellStyle name="Normal 12 8 6" xfId="13306" xr:uid="{00000000-0005-0000-0000-0000FC330000}"/>
    <cellStyle name="Normal 12 8 7" xfId="13307" xr:uid="{00000000-0005-0000-0000-0000FD330000}"/>
    <cellStyle name="Normal 12 9" xfId="13308" xr:uid="{00000000-0005-0000-0000-0000FE330000}"/>
    <cellStyle name="Normal 12 9 2" xfId="13309" xr:uid="{00000000-0005-0000-0000-0000FF330000}"/>
    <cellStyle name="Normal 12 9 2 2" xfId="13310" xr:uid="{00000000-0005-0000-0000-000000340000}"/>
    <cellStyle name="Normal 12 9 2 2 2" xfId="13311" xr:uid="{00000000-0005-0000-0000-000001340000}"/>
    <cellStyle name="Normal 12 9 2 2 3" xfId="13312" xr:uid="{00000000-0005-0000-0000-000002340000}"/>
    <cellStyle name="Normal 12 9 2 3" xfId="13313" xr:uid="{00000000-0005-0000-0000-000003340000}"/>
    <cellStyle name="Normal 12 9 2 3 2" xfId="13314" xr:uid="{00000000-0005-0000-0000-000004340000}"/>
    <cellStyle name="Normal 12 9 2 3 3" xfId="13315" xr:uid="{00000000-0005-0000-0000-000005340000}"/>
    <cellStyle name="Normal 12 9 2 4" xfId="13316" xr:uid="{00000000-0005-0000-0000-000006340000}"/>
    <cellStyle name="Normal 12 9 2 5" xfId="13317" xr:uid="{00000000-0005-0000-0000-000007340000}"/>
    <cellStyle name="Normal 12 9 2 6" xfId="13318" xr:uid="{00000000-0005-0000-0000-000008340000}"/>
    <cellStyle name="Normal 12 9 3" xfId="13319" xr:uid="{00000000-0005-0000-0000-000009340000}"/>
    <cellStyle name="Normal 12 9 3 2" xfId="13320" xr:uid="{00000000-0005-0000-0000-00000A340000}"/>
    <cellStyle name="Normal 12 9 3 3" xfId="13321" xr:uid="{00000000-0005-0000-0000-00000B340000}"/>
    <cellStyle name="Normal 12 9 4" xfId="13322" xr:uid="{00000000-0005-0000-0000-00000C340000}"/>
    <cellStyle name="Normal 12 9 4 2" xfId="13323" xr:uid="{00000000-0005-0000-0000-00000D340000}"/>
    <cellStyle name="Normal 12 9 4 3" xfId="13324" xr:uid="{00000000-0005-0000-0000-00000E340000}"/>
    <cellStyle name="Normal 12 9 5" xfId="13325" xr:uid="{00000000-0005-0000-0000-00000F340000}"/>
    <cellStyle name="Normal 12 9 6" xfId="13326" xr:uid="{00000000-0005-0000-0000-000010340000}"/>
    <cellStyle name="Normal 12 9 7" xfId="13327" xr:uid="{00000000-0005-0000-0000-000011340000}"/>
    <cellStyle name="Normal 121 2" xfId="54706" xr:uid="{00000000-0005-0000-0000-000012340000}"/>
    <cellStyle name="Normal 13" xfId="13328" xr:uid="{00000000-0005-0000-0000-000013340000}"/>
    <cellStyle name="Normal 13 10" xfId="13329" xr:uid="{00000000-0005-0000-0000-000014340000}"/>
    <cellStyle name="Normal 13 10 2" xfId="13330" xr:uid="{00000000-0005-0000-0000-000015340000}"/>
    <cellStyle name="Normal 13 10 2 2" xfId="13331" xr:uid="{00000000-0005-0000-0000-000016340000}"/>
    <cellStyle name="Normal 13 10 2 2 2" xfId="13332" xr:uid="{00000000-0005-0000-0000-000017340000}"/>
    <cellStyle name="Normal 13 10 2 2 3" xfId="13333" xr:uid="{00000000-0005-0000-0000-000018340000}"/>
    <cellStyle name="Normal 13 10 2 3" xfId="13334" xr:uid="{00000000-0005-0000-0000-000019340000}"/>
    <cellStyle name="Normal 13 10 2 3 2" xfId="13335" xr:uid="{00000000-0005-0000-0000-00001A340000}"/>
    <cellStyle name="Normal 13 10 2 3 3" xfId="13336" xr:uid="{00000000-0005-0000-0000-00001B340000}"/>
    <cellStyle name="Normal 13 10 2 4" xfId="13337" xr:uid="{00000000-0005-0000-0000-00001C340000}"/>
    <cellStyle name="Normal 13 10 2 5" xfId="13338" xr:uid="{00000000-0005-0000-0000-00001D340000}"/>
    <cellStyle name="Normal 13 10 2 6" xfId="13339" xr:uid="{00000000-0005-0000-0000-00001E340000}"/>
    <cellStyle name="Normal 13 10 3" xfId="13340" xr:uid="{00000000-0005-0000-0000-00001F340000}"/>
    <cellStyle name="Normal 13 10 3 2" xfId="13341" xr:uid="{00000000-0005-0000-0000-000020340000}"/>
    <cellStyle name="Normal 13 10 3 3" xfId="13342" xr:uid="{00000000-0005-0000-0000-000021340000}"/>
    <cellStyle name="Normal 13 10 4" xfId="13343" xr:uid="{00000000-0005-0000-0000-000022340000}"/>
    <cellStyle name="Normal 13 10 4 2" xfId="13344" xr:uid="{00000000-0005-0000-0000-000023340000}"/>
    <cellStyle name="Normal 13 10 4 3" xfId="13345" xr:uid="{00000000-0005-0000-0000-000024340000}"/>
    <cellStyle name="Normal 13 10 5" xfId="13346" xr:uid="{00000000-0005-0000-0000-000025340000}"/>
    <cellStyle name="Normal 13 10 6" xfId="13347" xr:uid="{00000000-0005-0000-0000-000026340000}"/>
    <cellStyle name="Normal 13 10 7" xfId="13348" xr:uid="{00000000-0005-0000-0000-000027340000}"/>
    <cellStyle name="Normal 13 11" xfId="13349" xr:uid="{00000000-0005-0000-0000-000028340000}"/>
    <cellStyle name="Normal 13 11 2" xfId="13350" xr:uid="{00000000-0005-0000-0000-000029340000}"/>
    <cellStyle name="Normal 13 11 2 2" xfId="13351" xr:uid="{00000000-0005-0000-0000-00002A340000}"/>
    <cellStyle name="Normal 13 11 2 2 2" xfId="13352" xr:uid="{00000000-0005-0000-0000-00002B340000}"/>
    <cellStyle name="Normal 13 11 2 2 3" xfId="13353" xr:uid="{00000000-0005-0000-0000-00002C340000}"/>
    <cellStyle name="Normal 13 11 2 3" xfId="13354" xr:uid="{00000000-0005-0000-0000-00002D340000}"/>
    <cellStyle name="Normal 13 11 2 3 2" xfId="13355" xr:uid="{00000000-0005-0000-0000-00002E340000}"/>
    <cellStyle name="Normal 13 11 2 3 3" xfId="13356" xr:uid="{00000000-0005-0000-0000-00002F340000}"/>
    <cellStyle name="Normal 13 11 2 4" xfId="13357" xr:uid="{00000000-0005-0000-0000-000030340000}"/>
    <cellStyle name="Normal 13 11 2 5" xfId="13358" xr:uid="{00000000-0005-0000-0000-000031340000}"/>
    <cellStyle name="Normal 13 11 2 6" xfId="13359" xr:uid="{00000000-0005-0000-0000-000032340000}"/>
    <cellStyle name="Normal 13 11 3" xfId="13360" xr:uid="{00000000-0005-0000-0000-000033340000}"/>
    <cellStyle name="Normal 13 11 3 2" xfId="13361" xr:uid="{00000000-0005-0000-0000-000034340000}"/>
    <cellStyle name="Normal 13 11 3 3" xfId="13362" xr:uid="{00000000-0005-0000-0000-000035340000}"/>
    <cellStyle name="Normal 13 11 4" xfId="13363" xr:uid="{00000000-0005-0000-0000-000036340000}"/>
    <cellStyle name="Normal 13 11 4 2" xfId="13364" xr:uid="{00000000-0005-0000-0000-000037340000}"/>
    <cellStyle name="Normal 13 11 4 3" xfId="13365" xr:uid="{00000000-0005-0000-0000-000038340000}"/>
    <cellStyle name="Normal 13 11 5" xfId="13366" xr:uid="{00000000-0005-0000-0000-000039340000}"/>
    <cellStyle name="Normal 13 11 6" xfId="13367" xr:uid="{00000000-0005-0000-0000-00003A340000}"/>
    <cellStyle name="Normal 13 11 7" xfId="13368" xr:uid="{00000000-0005-0000-0000-00003B340000}"/>
    <cellStyle name="Normal 13 12" xfId="13369" xr:uid="{00000000-0005-0000-0000-00003C340000}"/>
    <cellStyle name="Normal 13 12 2" xfId="13370" xr:uid="{00000000-0005-0000-0000-00003D340000}"/>
    <cellStyle name="Normal 13 12 2 2" xfId="13371" xr:uid="{00000000-0005-0000-0000-00003E340000}"/>
    <cellStyle name="Normal 13 12 2 2 2" xfId="13372" xr:uid="{00000000-0005-0000-0000-00003F340000}"/>
    <cellStyle name="Normal 13 12 2 2 3" xfId="13373" xr:uid="{00000000-0005-0000-0000-000040340000}"/>
    <cellStyle name="Normal 13 12 2 3" xfId="13374" xr:uid="{00000000-0005-0000-0000-000041340000}"/>
    <cellStyle name="Normal 13 12 2 3 2" xfId="13375" xr:uid="{00000000-0005-0000-0000-000042340000}"/>
    <cellStyle name="Normal 13 12 2 3 3" xfId="13376" xr:uid="{00000000-0005-0000-0000-000043340000}"/>
    <cellStyle name="Normal 13 12 2 4" xfId="13377" xr:uid="{00000000-0005-0000-0000-000044340000}"/>
    <cellStyle name="Normal 13 12 2 5" xfId="13378" xr:uid="{00000000-0005-0000-0000-000045340000}"/>
    <cellStyle name="Normal 13 12 2 6" xfId="13379" xr:uid="{00000000-0005-0000-0000-000046340000}"/>
    <cellStyle name="Normal 13 12 3" xfId="13380" xr:uid="{00000000-0005-0000-0000-000047340000}"/>
    <cellStyle name="Normal 13 12 3 2" xfId="13381" xr:uid="{00000000-0005-0000-0000-000048340000}"/>
    <cellStyle name="Normal 13 12 3 3" xfId="13382" xr:uid="{00000000-0005-0000-0000-000049340000}"/>
    <cellStyle name="Normal 13 12 4" xfId="13383" xr:uid="{00000000-0005-0000-0000-00004A340000}"/>
    <cellStyle name="Normal 13 12 4 2" xfId="13384" xr:uid="{00000000-0005-0000-0000-00004B340000}"/>
    <cellStyle name="Normal 13 12 4 3" xfId="13385" xr:uid="{00000000-0005-0000-0000-00004C340000}"/>
    <cellStyle name="Normal 13 12 5" xfId="13386" xr:uid="{00000000-0005-0000-0000-00004D340000}"/>
    <cellStyle name="Normal 13 12 6" xfId="13387" xr:uid="{00000000-0005-0000-0000-00004E340000}"/>
    <cellStyle name="Normal 13 12 7" xfId="13388" xr:uid="{00000000-0005-0000-0000-00004F340000}"/>
    <cellStyle name="Normal 13 13" xfId="13389" xr:uid="{00000000-0005-0000-0000-000050340000}"/>
    <cellStyle name="Normal 13 13 2" xfId="13390" xr:uid="{00000000-0005-0000-0000-000051340000}"/>
    <cellStyle name="Normal 13 13 2 2" xfId="13391" xr:uid="{00000000-0005-0000-0000-000052340000}"/>
    <cellStyle name="Normal 13 13 2 2 2" xfId="13392" xr:uid="{00000000-0005-0000-0000-000053340000}"/>
    <cellStyle name="Normal 13 13 2 2 3" xfId="13393" xr:uid="{00000000-0005-0000-0000-000054340000}"/>
    <cellStyle name="Normal 13 13 2 3" xfId="13394" xr:uid="{00000000-0005-0000-0000-000055340000}"/>
    <cellStyle name="Normal 13 13 2 3 2" xfId="13395" xr:uid="{00000000-0005-0000-0000-000056340000}"/>
    <cellStyle name="Normal 13 13 2 3 3" xfId="13396" xr:uid="{00000000-0005-0000-0000-000057340000}"/>
    <cellStyle name="Normal 13 13 2 4" xfId="13397" xr:uid="{00000000-0005-0000-0000-000058340000}"/>
    <cellStyle name="Normal 13 13 2 5" xfId="13398" xr:uid="{00000000-0005-0000-0000-000059340000}"/>
    <cellStyle name="Normal 13 13 2 6" xfId="13399" xr:uid="{00000000-0005-0000-0000-00005A340000}"/>
    <cellStyle name="Normal 13 13 3" xfId="13400" xr:uid="{00000000-0005-0000-0000-00005B340000}"/>
    <cellStyle name="Normal 13 13 3 2" xfId="13401" xr:uid="{00000000-0005-0000-0000-00005C340000}"/>
    <cellStyle name="Normal 13 13 3 3" xfId="13402" xr:uid="{00000000-0005-0000-0000-00005D340000}"/>
    <cellStyle name="Normal 13 13 4" xfId="13403" xr:uid="{00000000-0005-0000-0000-00005E340000}"/>
    <cellStyle name="Normal 13 13 4 2" xfId="13404" xr:uid="{00000000-0005-0000-0000-00005F340000}"/>
    <cellStyle name="Normal 13 13 4 3" xfId="13405" xr:uid="{00000000-0005-0000-0000-000060340000}"/>
    <cellStyle name="Normal 13 13 5" xfId="13406" xr:uid="{00000000-0005-0000-0000-000061340000}"/>
    <cellStyle name="Normal 13 13 6" xfId="13407" xr:uid="{00000000-0005-0000-0000-000062340000}"/>
    <cellStyle name="Normal 13 13 7" xfId="13408" xr:uid="{00000000-0005-0000-0000-000063340000}"/>
    <cellStyle name="Normal 13 14" xfId="13409" xr:uid="{00000000-0005-0000-0000-000064340000}"/>
    <cellStyle name="Normal 13 14 2" xfId="13410" xr:uid="{00000000-0005-0000-0000-000065340000}"/>
    <cellStyle name="Normal 13 14 2 2" xfId="13411" xr:uid="{00000000-0005-0000-0000-000066340000}"/>
    <cellStyle name="Normal 13 14 2 2 2" xfId="13412" xr:uid="{00000000-0005-0000-0000-000067340000}"/>
    <cellStyle name="Normal 13 14 2 2 3" xfId="13413" xr:uid="{00000000-0005-0000-0000-000068340000}"/>
    <cellStyle name="Normal 13 14 2 3" xfId="13414" xr:uid="{00000000-0005-0000-0000-000069340000}"/>
    <cellStyle name="Normal 13 14 2 3 2" xfId="13415" xr:uid="{00000000-0005-0000-0000-00006A340000}"/>
    <cellStyle name="Normal 13 14 2 3 3" xfId="13416" xr:uid="{00000000-0005-0000-0000-00006B340000}"/>
    <cellStyle name="Normal 13 14 2 4" xfId="13417" xr:uid="{00000000-0005-0000-0000-00006C340000}"/>
    <cellStyle name="Normal 13 14 2 5" xfId="13418" xr:uid="{00000000-0005-0000-0000-00006D340000}"/>
    <cellStyle name="Normal 13 14 2 6" xfId="13419" xr:uid="{00000000-0005-0000-0000-00006E340000}"/>
    <cellStyle name="Normal 13 14 3" xfId="13420" xr:uid="{00000000-0005-0000-0000-00006F340000}"/>
    <cellStyle name="Normal 13 14 3 2" xfId="13421" xr:uid="{00000000-0005-0000-0000-000070340000}"/>
    <cellStyle name="Normal 13 14 3 3" xfId="13422" xr:uid="{00000000-0005-0000-0000-000071340000}"/>
    <cellStyle name="Normal 13 14 4" xfId="13423" xr:uid="{00000000-0005-0000-0000-000072340000}"/>
    <cellStyle name="Normal 13 14 4 2" xfId="13424" xr:uid="{00000000-0005-0000-0000-000073340000}"/>
    <cellStyle name="Normal 13 14 4 3" xfId="13425" xr:uid="{00000000-0005-0000-0000-000074340000}"/>
    <cellStyle name="Normal 13 14 5" xfId="13426" xr:uid="{00000000-0005-0000-0000-000075340000}"/>
    <cellStyle name="Normal 13 14 6" xfId="13427" xr:uid="{00000000-0005-0000-0000-000076340000}"/>
    <cellStyle name="Normal 13 14 7" xfId="13428" xr:uid="{00000000-0005-0000-0000-000077340000}"/>
    <cellStyle name="Normal 13 15" xfId="13429" xr:uid="{00000000-0005-0000-0000-000078340000}"/>
    <cellStyle name="Normal 13 15 2" xfId="13430" xr:uid="{00000000-0005-0000-0000-000079340000}"/>
    <cellStyle name="Normal 13 15 2 2" xfId="13431" xr:uid="{00000000-0005-0000-0000-00007A340000}"/>
    <cellStyle name="Normal 13 15 2 2 2" xfId="13432" xr:uid="{00000000-0005-0000-0000-00007B340000}"/>
    <cellStyle name="Normal 13 15 2 2 3" xfId="13433" xr:uid="{00000000-0005-0000-0000-00007C340000}"/>
    <cellStyle name="Normal 13 15 2 3" xfId="13434" xr:uid="{00000000-0005-0000-0000-00007D340000}"/>
    <cellStyle name="Normal 13 15 2 3 2" xfId="13435" xr:uid="{00000000-0005-0000-0000-00007E340000}"/>
    <cellStyle name="Normal 13 15 2 3 3" xfId="13436" xr:uid="{00000000-0005-0000-0000-00007F340000}"/>
    <cellStyle name="Normal 13 15 2 4" xfId="13437" xr:uid="{00000000-0005-0000-0000-000080340000}"/>
    <cellStyle name="Normal 13 15 2 5" xfId="13438" xr:uid="{00000000-0005-0000-0000-000081340000}"/>
    <cellStyle name="Normal 13 15 2 6" xfId="13439" xr:uid="{00000000-0005-0000-0000-000082340000}"/>
    <cellStyle name="Normal 13 15 3" xfId="13440" xr:uid="{00000000-0005-0000-0000-000083340000}"/>
    <cellStyle name="Normal 13 15 3 2" xfId="13441" xr:uid="{00000000-0005-0000-0000-000084340000}"/>
    <cellStyle name="Normal 13 15 3 3" xfId="13442" xr:uid="{00000000-0005-0000-0000-000085340000}"/>
    <cellStyle name="Normal 13 15 4" xfId="13443" xr:uid="{00000000-0005-0000-0000-000086340000}"/>
    <cellStyle name="Normal 13 15 4 2" xfId="13444" xr:uid="{00000000-0005-0000-0000-000087340000}"/>
    <cellStyle name="Normal 13 15 4 3" xfId="13445" xr:uid="{00000000-0005-0000-0000-000088340000}"/>
    <cellStyle name="Normal 13 15 5" xfId="13446" xr:uid="{00000000-0005-0000-0000-000089340000}"/>
    <cellStyle name="Normal 13 15 6" xfId="13447" xr:uid="{00000000-0005-0000-0000-00008A340000}"/>
    <cellStyle name="Normal 13 15 7" xfId="13448" xr:uid="{00000000-0005-0000-0000-00008B340000}"/>
    <cellStyle name="Normal 13 16" xfId="13449" xr:uid="{00000000-0005-0000-0000-00008C340000}"/>
    <cellStyle name="Normal 13 16 2" xfId="13450" xr:uid="{00000000-0005-0000-0000-00008D340000}"/>
    <cellStyle name="Normal 13 16 2 2" xfId="13451" xr:uid="{00000000-0005-0000-0000-00008E340000}"/>
    <cellStyle name="Normal 13 16 2 2 2" xfId="13452" xr:uid="{00000000-0005-0000-0000-00008F340000}"/>
    <cellStyle name="Normal 13 16 2 2 3" xfId="13453" xr:uid="{00000000-0005-0000-0000-000090340000}"/>
    <cellStyle name="Normal 13 16 2 3" xfId="13454" xr:uid="{00000000-0005-0000-0000-000091340000}"/>
    <cellStyle name="Normal 13 16 2 3 2" xfId="13455" xr:uid="{00000000-0005-0000-0000-000092340000}"/>
    <cellStyle name="Normal 13 16 2 3 3" xfId="13456" xr:uid="{00000000-0005-0000-0000-000093340000}"/>
    <cellStyle name="Normal 13 16 2 4" xfId="13457" xr:uid="{00000000-0005-0000-0000-000094340000}"/>
    <cellStyle name="Normal 13 16 2 5" xfId="13458" xr:uid="{00000000-0005-0000-0000-000095340000}"/>
    <cellStyle name="Normal 13 16 2 6" xfId="13459" xr:uid="{00000000-0005-0000-0000-000096340000}"/>
    <cellStyle name="Normal 13 16 3" xfId="13460" xr:uid="{00000000-0005-0000-0000-000097340000}"/>
    <cellStyle name="Normal 13 16 3 2" xfId="13461" xr:uid="{00000000-0005-0000-0000-000098340000}"/>
    <cellStyle name="Normal 13 16 3 3" xfId="13462" xr:uid="{00000000-0005-0000-0000-000099340000}"/>
    <cellStyle name="Normal 13 16 4" xfId="13463" xr:uid="{00000000-0005-0000-0000-00009A340000}"/>
    <cellStyle name="Normal 13 16 4 2" xfId="13464" xr:uid="{00000000-0005-0000-0000-00009B340000}"/>
    <cellStyle name="Normal 13 16 4 3" xfId="13465" xr:uid="{00000000-0005-0000-0000-00009C340000}"/>
    <cellStyle name="Normal 13 16 5" xfId="13466" xr:uid="{00000000-0005-0000-0000-00009D340000}"/>
    <cellStyle name="Normal 13 16 6" xfId="13467" xr:uid="{00000000-0005-0000-0000-00009E340000}"/>
    <cellStyle name="Normal 13 16 7" xfId="13468" xr:uid="{00000000-0005-0000-0000-00009F340000}"/>
    <cellStyle name="Normal 13 17" xfId="13469" xr:uid="{00000000-0005-0000-0000-0000A0340000}"/>
    <cellStyle name="Normal 13 17 2" xfId="13470" xr:uid="{00000000-0005-0000-0000-0000A1340000}"/>
    <cellStyle name="Normal 13 17 2 2" xfId="13471" xr:uid="{00000000-0005-0000-0000-0000A2340000}"/>
    <cellStyle name="Normal 13 17 2 2 2" xfId="13472" xr:uid="{00000000-0005-0000-0000-0000A3340000}"/>
    <cellStyle name="Normal 13 17 2 2 3" xfId="13473" xr:uid="{00000000-0005-0000-0000-0000A4340000}"/>
    <cellStyle name="Normal 13 17 2 3" xfId="13474" xr:uid="{00000000-0005-0000-0000-0000A5340000}"/>
    <cellStyle name="Normal 13 17 2 3 2" xfId="13475" xr:uid="{00000000-0005-0000-0000-0000A6340000}"/>
    <cellStyle name="Normal 13 17 2 3 3" xfId="13476" xr:uid="{00000000-0005-0000-0000-0000A7340000}"/>
    <cellStyle name="Normal 13 17 2 4" xfId="13477" xr:uid="{00000000-0005-0000-0000-0000A8340000}"/>
    <cellStyle name="Normal 13 17 2 5" xfId="13478" xr:uid="{00000000-0005-0000-0000-0000A9340000}"/>
    <cellStyle name="Normal 13 17 2 6" xfId="13479" xr:uid="{00000000-0005-0000-0000-0000AA340000}"/>
    <cellStyle name="Normal 13 17 3" xfId="13480" xr:uid="{00000000-0005-0000-0000-0000AB340000}"/>
    <cellStyle name="Normal 13 17 3 2" xfId="13481" xr:uid="{00000000-0005-0000-0000-0000AC340000}"/>
    <cellStyle name="Normal 13 17 3 3" xfId="13482" xr:uid="{00000000-0005-0000-0000-0000AD340000}"/>
    <cellStyle name="Normal 13 17 4" xfId="13483" xr:uid="{00000000-0005-0000-0000-0000AE340000}"/>
    <cellStyle name="Normal 13 17 4 2" xfId="13484" xr:uid="{00000000-0005-0000-0000-0000AF340000}"/>
    <cellStyle name="Normal 13 17 4 3" xfId="13485" xr:uid="{00000000-0005-0000-0000-0000B0340000}"/>
    <cellStyle name="Normal 13 17 5" xfId="13486" xr:uid="{00000000-0005-0000-0000-0000B1340000}"/>
    <cellStyle name="Normal 13 17 6" xfId="13487" xr:uid="{00000000-0005-0000-0000-0000B2340000}"/>
    <cellStyle name="Normal 13 17 7" xfId="13488" xr:uid="{00000000-0005-0000-0000-0000B3340000}"/>
    <cellStyle name="Normal 13 18" xfId="13489" xr:uid="{00000000-0005-0000-0000-0000B4340000}"/>
    <cellStyle name="Normal 13 18 2" xfId="13490" xr:uid="{00000000-0005-0000-0000-0000B5340000}"/>
    <cellStyle name="Normal 13 18 2 2" xfId="13491" xr:uid="{00000000-0005-0000-0000-0000B6340000}"/>
    <cellStyle name="Normal 13 18 2 3" xfId="13492" xr:uid="{00000000-0005-0000-0000-0000B7340000}"/>
    <cellStyle name="Normal 13 18 3" xfId="13493" xr:uid="{00000000-0005-0000-0000-0000B8340000}"/>
    <cellStyle name="Normal 13 18 3 2" xfId="13494" xr:uid="{00000000-0005-0000-0000-0000B9340000}"/>
    <cellStyle name="Normal 13 18 3 3" xfId="13495" xr:uid="{00000000-0005-0000-0000-0000BA340000}"/>
    <cellStyle name="Normal 13 18 4" xfId="13496" xr:uid="{00000000-0005-0000-0000-0000BB340000}"/>
    <cellStyle name="Normal 13 18 5" xfId="13497" xr:uid="{00000000-0005-0000-0000-0000BC340000}"/>
    <cellStyle name="Normal 13 18 6" xfId="13498" xr:uid="{00000000-0005-0000-0000-0000BD340000}"/>
    <cellStyle name="Normal 13 19" xfId="13499" xr:uid="{00000000-0005-0000-0000-0000BE340000}"/>
    <cellStyle name="Normal 13 19 2" xfId="13500" xr:uid="{00000000-0005-0000-0000-0000BF340000}"/>
    <cellStyle name="Normal 13 19 3" xfId="13501" xr:uid="{00000000-0005-0000-0000-0000C0340000}"/>
    <cellStyle name="Normal 13 2" xfId="13502" xr:uid="{00000000-0005-0000-0000-0000C1340000}"/>
    <cellStyle name="Normal 13 2 2" xfId="13503" xr:uid="{00000000-0005-0000-0000-0000C2340000}"/>
    <cellStyle name="Normal 13 2 2 2" xfId="13504" xr:uid="{00000000-0005-0000-0000-0000C3340000}"/>
    <cellStyle name="Normal 13 2 2 2 2" xfId="13505" xr:uid="{00000000-0005-0000-0000-0000C4340000}"/>
    <cellStyle name="Normal 13 2 2 2 3" xfId="13506" xr:uid="{00000000-0005-0000-0000-0000C5340000}"/>
    <cellStyle name="Normal 13 2 2 3" xfId="13507" xr:uid="{00000000-0005-0000-0000-0000C6340000}"/>
    <cellStyle name="Normal 13 2 2 3 2" xfId="13508" xr:uid="{00000000-0005-0000-0000-0000C7340000}"/>
    <cellStyle name="Normal 13 2 2 3 3" xfId="13509" xr:uid="{00000000-0005-0000-0000-0000C8340000}"/>
    <cellStyle name="Normal 13 2 2 4" xfId="13510" xr:uid="{00000000-0005-0000-0000-0000C9340000}"/>
    <cellStyle name="Normal 13 2 2 5" xfId="13511" xr:uid="{00000000-0005-0000-0000-0000CA340000}"/>
    <cellStyle name="Normal 13 2 2 6" xfId="13512" xr:uid="{00000000-0005-0000-0000-0000CB340000}"/>
    <cellStyle name="Normal 13 2 3" xfId="13513" xr:uid="{00000000-0005-0000-0000-0000CC340000}"/>
    <cellStyle name="Normal 13 2 3 2" xfId="13514" xr:uid="{00000000-0005-0000-0000-0000CD340000}"/>
    <cellStyle name="Normal 13 2 3 3" xfId="13515" xr:uid="{00000000-0005-0000-0000-0000CE340000}"/>
    <cellStyle name="Normal 13 2 4" xfId="13516" xr:uid="{00000000-0005-0000-0000-0000CF340000}"/>
    <cellStyle name="Normal 13 2 4 2" xfId="13517" xr:uid="{00000000-0005-0000-0000-0000D0340000}"/>
    <cellStyle name="Normal 13 2 4 3" xfId="13518" xr:uid="{00000000-0005-0000-0000-0000D1340000}"/>
    <cellStyle name="Normal 13 2 5" xfId="13519" xr:uid="{00000000-0005-0000-0000-0000D2340000}"/>
    <cellStyle name="Normal 13 2 6" xfId="13520" xr:uid="{00000000-0005-0000-0000-0000D3340000}"/>
    <cellStyle name="Normal 13 2 7" xfId="13521" xr:uid="{00000000-0005-0000-0000-0000D4340000}"/>
    <cellStyle name="Normal 13 20" xfId="13522" xr:uid="{00000000-0005-0000-0000-0000D5340000}"/>
    <cellStyle name="Normal 13 20 2" xfId="13523" xr:uid="{00000000-0005-0000-0000-0000D6340000}"/>
    <cellStyle name="Normal 13 20 3" xfId="13524" xr:uid="{00000000-0005-0000-0000-0000D7340000}"/>
    <cellStyle name="Normal 13 21" xfId="13525" xr:uid="{00000000-0005-0000-0000-0000D8340000}"/>
    <cellStyle name="Normal 13 21 2" xfId="13526" xr:uid="{00000000-0005-0000-0000-0000D9340000}"/>
    <cellStyle name="Normal 13 21 3" xfId="13527" xr:uid="{00000000-0005-0000-0000-0000DA340000}"/>
    <cellStyle name="Normal 13 22" xfId="13528" xr:uid="{00000000-0005-0000-0000-0000DB340000}"/>
    <cellStyle name="Normal 13 23" xfId="13529" xr:uid="{00000000-0005-0000-0000-0000DC340000}"/>
    <cellStyle name="Normal 13 24" xfId="13530" xr:uid="{00000000-0005-0000-0000-0000DD340000}"/>
    <cellStyle name="Normal 13 3" xfId="13531" xr:uid="{00000000-0005-0000-0000-0000DE340000}"/>
    <cellStyle name="Normal 13 3 2" xfId="13532" xr:uid="{00000000-0005-0000-0000-0000DF340000}"/>
    <cellStyle name="Normal 13 3 2 2" xfId="13533" xr:uid="{00000000-0005-0000-0000-0000E0340000}"/>
    <cellStyle name="Normal 13 3 2 2 2" xfId="13534" xr:uid="{00000000-0005-0000-0000-0000E1340000}"/>
    <cellStyle name="Normal 13 3 2 2 3" xfId="13535" xr:uid="{00000000-0005-0000-0000-0000E2340000}"/>
    <cellStyle name="Normal 13 3 2 3" xfId="13536" xr:uid="{00000000-0005-0000-0000-0000E3340000}"/>
    <cellStyle name="Normal 13 3 2 3 2" xfId="13537" xr:uid="{00000000-0005-0000-0000-0000E4340000}"/>
    <cellStyle name="Normal 13 3 2 3 3" xfId="13538" xr:uid="{00000000-0005-0000-0000-0000E5340000}"/>
    <cellStyle name="Normal 13 3 2 4" xfId="13539" xr:uid="{00000000-0005-0000-0000-0000E6340000}"/>
    <cellStyle name="Normal 13 3 2 5" xfId="13540" xr:uid="{00000000-0005-0000-0000-0000E7340000}"/>
    <cellStyle name="Normal 13 3 2 6" xfId="13541" xr:uid="{00000000-0005-0000-0000-0000E8340000}"/>
    <cellStyle name="Normal 13 3 3" xfId="13542" xr:uid="{00000000-0005-0000-0000-0000E9340000}"/>
    <cellStyle name="Normal 13 3 3 2" xfId="13543" xr:uid="{00000000-0005-0000-0000-0000EA340000}"/>
    <cellStyle name="Normal 13 3 3 3" xfId="13544" xr:uid="{00000000-0005-0000-0000-0000EB340000}"/>
    <cellStyle name="Normal 13 3 4" xfId="13545" xr:uid="{00000000-0005-0000-0000-0000EC340000}"/>
    <cellStyle name="Normal 13 3 4 2" xfId="13546" xr:uid="{00000000-0005-0000-0000-0000ED340000}"/>
    <cellStyle name="Normal 13 3 4 3" xfId="13547" xr:uid="{00000000-0005-0000-0000-0000EE340000}"/>
    <cellStyle name="Normal 13 3 5" xfId="13548" xr:uid="{00000000-0005-0000-0000-0000EF340000}"/>
    <cellStyle name="Normal 13 3 6" xfId="13549" xr:uid="{00000000-0005-0000-0000-0000F0340000}"/>
    <cellStyle name="Normal 13 3 7" xfId="13550" xr:uid="{00000000-0005-0000-0000-0000F1340000}"/>
    <cellStyle name="Normal 13 4" xfId="13551" xr:uid="{00000000-0005-0000-0000-0000F2340000}"/>
    <cellStyle name="Normal 13 4 2" xfId="13552" xr:uid="{00000000-0005-0000-0000-0000F3340000}"/>
    <cellStyle name="Normal 13 4 2 2" xfId="13553" xr:uid="{00000000-0005-0000-0000-0000F4340000}"/>
    <cellStyle name="Normal 13 4 2 2 2" xfId="13554" xr:uid="{00000000-0005-0000-0000-0000F5340000}"/>
    <cellStyle name="Normal 13 4 2 2 3" xfId="13555" xr:uid="{00000000-0005-0000-0000-0000F6340000}"/>
    <cellStyle name="Normal 13 4 2 3" xfId="13556" xr:uid="{00000000-0005-0000-0000-0000F7340000}"/>
    <cellStyle name="Normal 13 4 2 3 2" xfId="13557" xr:uid="{00000000-0005-0000-0000-0000F8340000}"/>
    <cellStyle name="Normal 13 4 2 3 3" xfId="13558" xr:uid="{00000000-0005-0000-0000-0000F9340000}"/>
    <cellStyle name="Normal 13 4 2 4" xfId="13559" xr:uid="{00000000-0005-0000-0000-0000FA340000}"/>
    <cellStyle name="Normal 13 4 2 5" xfId="13560" xr:uid="{00000000-0005-0000-0000-0000FB340000}"/>
    <cellStyle name="Normal 13 4 2 6" xfId="13561" xr:uid="{00000000-0005-0000-0000-0000FC340000}"/>
    <cellStyle name="Normal 13 4 3" xfId="13562" xr:uid="{00000000-0005-0000-0000-0000FD340000}"/>
    <cellStyle name="Normal 13 4 3 2" xfId="13563" xr:uid="{00000000-0005-0000-0000-0000FE340000}"/>
    <cellStyle name="Normal 13 4 3 3" xfId="13564" xr:uid="{00000000-0005-0000-0000-0000FF340000}"/>
    <cellStyle name="Normal 13 4 4" xfId="13565" xr:uid="{00000000-0005-0000-0000-000000350000}"/>
    <cellStyle name="Normal 13 4 4 2" xfId="13566" xr:uid="{00000000-0005-0000-0000-000001350000}"/>
    <cellStyle name="Normal 13 4 4 3" xfId="13567" xr:uid="{00000000-0005-0000-0000-000002350000}"/>
    <cellStyle name="Normal 13 4 5" xfId="13568" xr:uid="{00000000-0005-0000-0000-000003350000}"/>
    <cellStyle name="Normal 13 4 6" xfId="13569" xr:uid="{00000000-0005-0000-0000-000004350000}"/>
    <cellStyle name="Normal 13 4 7" xfId="13570" xr:uid="{00000000-0005-0000-0000-000005350000}"/>
    <cellStyle name="Normal 13 5" xfId="13571" xr:uid="{00000000-0005-0000-0000-000006350000}"/>
    <cellStyle name="Normal 13 5 2" xfId="13572" xr:uid="{00000000-0005-0000-0000-000007350000}"/>
    <cellStyle name="Normal 13 5 2 2" xfId="13573" xr:uid="{00000000-0005-0000-0000-000008350000}"/>
    <cellStyle name="Normal 13 5 2 2 2" xfId="13574" xr:uid="{00000000-0005-0000-0000-000009350000}"/>
    <cellStyle name="Normal 13 5 2 2 3" xfId="13575" xr:uid="{00000000-0005-0000-0000-00000A350000}"/>
    <cellStyle name="Normal 13 5 2 3" xfId="13576" xr:uid="{00000000-0005-0000-0000-00000B350000}"/>
    <cellStyle name="Normal 13 5 2 3 2" xfId="13577" xr:uid="{00000000-0005-0000-0000-00000C350000}"/>
    <cellStyle name="Normal 13 5 2 3 3" xfId="13578" xr:uid="{00000000-0005-0000-0000-00000D350000}"/>
    <cellStyle name="Normal 13 5 2 4" xfId="13579" xr:uid="{00000000-0005-0000-0000-00000E350000}"/>
    <cellStyle name="Normal 13 5 2 5" xfId="13580" xr:uid="{00000000-0005-0000-0000-00000F350000}"/>
    <cellStyle name="Normal 13 5 2 6" xfId="13581" xr:uid="{00000000-0005-0000-0000-000010350000}"/>
    <cellStyle name="Normal 13 5 3" xfId="13582" xr:uid="{00000000-0005-0000-0000-000011350000}"/>
    <cellStyle name="Normal 13 5 3 2" xfId="13583" xr:uid="{00000000-0005-0000-0000-000012350000}"/>
    <cellStyle name="Normal 13 5 3 3" xfId="13584" xr:uid="{00000000-0005-0000-0000-000013350000}"/>
    <cellStyle name="Normal 13 5 4" xfId="13585" xr:uid="{00000000-0005-0000-0000-000014350000}"/>
    <cellStyle name="Normal 13 5 4 2" xfId="13586" xr:uid="{00000000-0005-0000-0000-000015350000}"/>
    <cellStyle name="Normal 13 5 4 3" xfId="13587" xr:uid="{00000000-0005-0000-0000-000016350000}"/>
    <cellStyle name="Normal 13 5 5" xfId="13588" xr:uid="{00000000-0005-0000-0000-000017350000}"/>
    <cellStyle name="Normal 13 5 6" xfId="13589" xr:uid="{00000000-0005-0000-0000-000018350000}"/>
    <cellStyle name="Normal 13 5 7" xfId="13590" xr:uid="{00000000-0005-0000-0000-000019350000}"/>
    <cellStyle name="Normal 13 6" xfId="13591" xr:uid="{00000000-0005-0000-0000-00001A350000}"/>
    <cellStyle name="Normal 13 6 2" xfId="13592" xr:uid="{00000000-0005-0000-0000-00001B350000}"/>
    <cellStyle name="Normal 13 6 2 2" xfId="13593" xr:uid="{00000000-0005-0000-0000-00001C350000}"/>
    <cellStyle name="Normal 13 6 2 2 2" xfId="13594" xr:uid="{00000000-0005-0000-0000-00001D350000}"/>
    <cellStyle name="Normal 13 6 2 2 3" xfId="13595" xr:uid="{00000000-0005-0000-0000-00001E350000}"/>
    <cellStyle name="Normal 13 6 2 3" xfId="13596" xr:uid="{00000000-0005-0000-0000-00001F350000}"/>
    <cellStyle name="Normal 13 6 2 3 2" xfId="13597" xr:uid="{00000000-0005-0000-0000-000020350000}"/>
    <cellStyle name="Normal 13 6 2 3 3" xfId="13598" xr:uid="{00000000-0005-0000-0000-000021350000}"/>
    <cellStyle name="Normal 13 6 2 4" xfId="13599" xr:uid="{00000000-0005-0000-0000-000022350000}"/>
    <cellStyle name="Normal 13 6 2 5" xfId="13600" xr:uid="{00000000-0005-0000-0000-000023350000}"/>
    <cellStyle name="Normal 13 6 2 6" xfId="13601" xr:uid="{00000000-0005-0000-0000-000024350000}"/>
    <cellStyle name="Normal 13 6 3" xfId="13602" xr:uid="{00000000-0005-0000-0000-000025350000}"/>
    <cellStyle name="Normal 13 6 3 2" xfId="13603" xr:uid="{00000000-0005-0000-0000-000026350000}"/>
    <cellStyle name="Normal 13 6 3 3" xfId="13604" xr:uid="{00000000-0005-0000-0000-000027350000}"/>
    <cellStyle name="Normal 13 6 4" xfId="13605" xr:uid="{00000000-0005-0000-0000-000028350000}"/>
    <cellStyle name="Normal 13 6 4 2" xfId="13606" xr:uid="{00000000-0005-0000-0000-000029350000}"/>
    <cellStyle name="Normal 13 6 4 3" xfId="13607" xr:uid="{00000000-0005-0000-0000-00002A350000}"/>
    <cellStyle name="Normal 13 6 5" xfId="13608" xr:uid="{00000000-0005-0000-0000-00002B350000}"/>
    <cellStyle name="Normal 13 6 6" xfId="13609" xr:uid="{00000000-0005-0000-0000-00002C350000}"/>
    <cellStyle name="Normal 13 6 7" xfId="13610" xr:uid="{00000000-0005-0000-0000-00002D350000}"/>
    <cellStyle name="Normal 13 7" xfId="13611" xr:uid="{00000000-0005-0000-0000-00002E350000}"/>
    <cellStyle name="Normal 13 7 2" xfId="13612" xr:uid="{00000000-0005-0000-0000-00002F350000}"/>
    <cellStyle name="Normal 13 7 2 2" xfId="13613" xr:uid="{00000000-0005-0000-0000-000030350000}"/>
    <cellStyle name="Normal 13 7 2 2 2" xfId="13614" xr:uid="{00000000-0005-0000-0000-000031350000}"/>
    <cellStyle name="Normal 13 7 2 2 3" xfId="13615" xr:uid="{00000000-0005-0000-0000-000032350000}"/>
    <cellStyle name="Normal 13 7 2 3" xfId="13616" xr:uid="{00000000-0005-0000-0000-000033350000}"/>
    <cellStyle name="Normal 13 7 2 3 2" xfId="13617" xr:uid="{00000000-0005-0000-0000-000034350000}"/>
    <cellStyle name="Normal 13 7 2 3 3" xfId="13618" xr:uid="{00000000-0005-0000-0000-000035350000}"/>
    <cellStyle name="Normal 13 7 2 4" xfId="13619" xr:uid="{00000000-0005-0000-0000-000036350000}"/>
    <cellStyle name="Normal 13 7 2 5" xfId="13620" xr:uid="{00000000-0005-0000-0000-000037350000}"/>
    <cellStyle name="Normal 13 7 2 6" xfId="13621" xr:uid="{00000000-0005-0000-0000-000038350000}"/>
    <cellStyle name="Normal 13 7 3" xfId="13622" xr:uid="{00000000-0005-0000-0000-000039350000}"/>
    <cellStyle name="Normal 13 7 3 2" xfId="13623" xr:uid="{00000000-0005-0000-0000-00003A350000}"/>
    <cellStyle name="Normal 13 7 3 3" xfId="13624" xr:uid="{00000000-0005-0000-0000-00003B350000}"/>
    <cellStyle name="Normal 13 7 4" xfId="13625" xr:uid="{00000000-0005-0000-0000-00003C350000}"/>
    <cellStyle name="Normal 13 7 4 2" xfId="13626" xr:uid="{00000000-0005-0000-0000-00003D350000}"/>
    <cellStyle name="Normal 13 7 4 3" xfId="13627" xr:uid="{00000000-0005-0000-0000-00003E350000}"/>
    <cellStyle name="Normal 13 7 5" xfId="13628" xr:uid="{00000000-0005-0000-0000-00003F350000}"/>
    <cellStyle name="Normal 13 7 6" xfId="13629" xr:uid="{00000000-0005-0000-0000-000040350000}"/>
    <cellStyle name="Normal 13 7 7" xfId="13630" xr:uid="{00000000-0005-0000-0000-000041350000}"/>
    <cellStyle name="Normal 13 8" xfId="13631" xr:uid="{00000000-0005-0000-0000-000042350000}"/>
    <cellStyle name="Normal 13 8 2" xfId="13632" xr:uid="{00000000-0005-0000-0000-000043350000}"/>
    <cellStyle name="Normal 13 8 2 2" xfId="13633" xr:uid="{00000000-0005-0000-0000-000044350000}"/>
    <cellStyle name="Normal 13 8 2 2 2" xfId="13634" xr:uid="{00000000-0005-0000-0000-000045350000}"/>
    <cellStyle name="Normal 13 8 2 2 3" xfId="13635" xr:uid="{00000000-0005-0000-0000-000046350000}"/>
    <cellStyle name="Normal 13 8 2 3" xfId="13636" xr:uid="{00000000-0005-0000-0000-000047350000}"/>
    <cellStyle name="Normal 13 8 2 3 2" xfId="13637" xr:uid="{00000000-0005-0000-0000-000048350000}"/>
    <cellStyle name="Normal 13 8 2 3 3" xfId="13638" xr:uid="{00000000-0005-0000-0000-000049350000}"/>
    <cellStyle name="Normal 13 8 2 4" xfId="13639" xr:uid="{00000000-0005-0000-0000-00004A350000}"/>
    <cellStyle name="Normal 13 8 2 5" xfId="13640" xr:uid="{00000000-0005-0000-0000-00004B350000}"/>
    <cellStyle name="Normal 13 8 2 6" xfId="13641" xr:uid="{00000000-0005-0000-0000-00004C350000}"/>
    <cellStyle name="Normal 13 8 3" xfId="13642" xr:uid="{00000000-0005-0000-0000-00004D350000}"/>
    <cellStyle name="Normal 13 8 3 2" xfId="13643" xr:uid="{00000000-0005-0000-0000-00004E350000}"/>
    <cellStyle name="Normal 13 8 3 3" xfId="13644" xr:uid="{00000000-0005-0000-0000-00004F350000}"/>
    <cellStyle name="Normal 13 8 4" xfId="13645" xr:uid="{00000000-0005-0000-0000-000050350000}"/>
    <cellStyle name="Normal 13 8 4 2" xfId="13646" xr:uid="{00000000-0005-0000-0000-000051350000}"/>
    <cellStyle name="Normal 13 8 4 3" xfId="13647" xr:uid="{00000000-0005-0000-0000-000052350000}"/>
    <cellStyle name="Normal 13 8 5" xfId="13648" xr:uid="{00000000-0005-0000-0000-000053350000}"/>
    <cellStyle name="Normal 13 8 6" xfId="13649" xr:uid="{00000000-0005-0000-0000-000054350000}"/>
    <cellStyle name="Normal 13 8 7" xfId="13650" xr:uid="{00000000-0005-0000-0000-000055350000}"/>
    <cellStyle name="Normal 13 9" xfId="13651" xr:uid="{00000000-0005-0000-0000-000056350000}"/>
    <cellStyle name="Normal 13 9 2" xfId="13652" xr:uid="{00000000-0005-0000-0000-000057350000}"/>
    <cellStyle name="Normal 13 9 2 2" xfId="13653" xr:uid="{00000000-0005-0000-0000-000058350000}"/>
    <cellStyle name="Normal 13 9 2 2 2" xfId="13654" xr:uid="{00000000-0005-0000-0000-000059350000}"/>
    <cellStyle name="Normal 13 9 2 2 3" xfId="13655" xr:uid="{00000000-0005-0000-0000-00005A350000}"/>
    <cellStyle name="Normal 13 9 2 3" xfId="13656" xr:uid="{00000000-0005-0000-0000-00005B350000}"/>
    <cellStyle name="Normal 13 9 2 3 2" xfId="13657" xr:uid="{00000000-0005-0000-0000-00005C350000}"/>
    <cellStyle name="Normal 13 9 2 3 3" xfId="13658" xr:uid="{00000000-0005-0000-0000-00005D350000}"/>
    <cellStyle name="Normal 13 9 2 4" xfId="13659" xr:uid="{00000000-0005-0000-0000-00005E350000}"/>
    <cellStyle name="Normal 13 9 2 5" xfId="13660" xr:uid="{00000000-0005-0000-0000-00005F350000}"/>
    <cellStyle name="Normal 13 9 2 6" xfId="13661" xr:uid="{00000000-0005-0000-0000-000060350000}"/>
    <cellStyle name="Normal 13 9 3" xfId="13662" xr:uid="{00000000-0005-0000-0000-000061350000}"/>
    <cellStyle name="Normal 13 9 3 2" xfId="13663" xr:uid="{00000000-0005-0000-0000-000062350000}"/>
    <cellStyle name="Normal 13 9 3 3" xfId="13664" xr:uid="{00000000-0005-0000-0000-000063350000}"/>
    <cellStyle name="Normal 13 9 4" xfId="13665" xr:uid="{00000000-0005-0000-0000-000064350000}"/>
    <cellStyle name="Normal 13 9 4 2" xfId="13666" xr:uid="{00000000-0005-0000-0000-000065350000}"/>
    <cellStyle name="Normal 13 9 4 3" xfId="13667" xr:uid="{00000000-0005-0000-0000-000066350000}"/>
    <cellStyle name="Normal 13 9 5" xfId="13668" xr:uid="{00000000-0005-0000-0000-000067350000}"/>
    <cellStyle name="Normal 13 9 6" xfId="13669" xr:uid="{00000000-0005-0000-0000-000068350000}"/>
    <cellStyle name="Normal 13 9 7" xfId="13670" xr:uid="{00000000-0005-0000-0000-000069350000}"/>
    <cellStyle name="Normal 139" xfId="54710" xr:uid="{7090CD22-296F-43B7-BA13-4A924E85DD34}"/>
    <cellStyle name="Normal 14" xfId="13671" xr:uid="{00000000-0005-0000-0000-00006A350000}"/>
    <cellStyle name="Normal 14 10" xfId="13672" xr:uid="{00000000-0005-0000-0000-00006B350000}"/>
    <cellStyle name="Normal 14 10 2" xfId="13673" xr:uid="{00000000-0005-0000-0000-00006C350000}"/>
    <cellStyle name="Normal 14 10 2 2" xfId="13674" xr:uid="{00000000-0005-0000-0000-00006D350000}"/>
    <cellStyle name="Normal 14 10 2 2 2" xfId="13675" xr:uid="{00000000-0005-0000-0000-00006E350000}"/>
    <cellStyle name="Normal 14 10 2 2 3" xfId="13676" xr:uid="{00000000-0005-0000-0000-00006F350000}"/>
    <cellStyle name="Normal 14 10 2 3" xfId="13677" xr:uid="{00000000-0005-0000-0000-000070350000}"/>
    <cellStyle name="Normal 14 10 2 3 2" xfId="13678" xr:uid="{00000000-0005-0000-0000-000071350000}"/>
    <cellStyle name="Normal 14 10 2 3 3" xfId="13679" xr:uid="{00000000-0005-0000-0000-000072350000}"/>
    <cellStyle name="Normal 14 10 2 4" xfId="13680" xr:uid="{00000000-0005-0000-0000-000073350000}"/>
    <cellStyle name="Normal 14 10 2 5" xfId="13681" xr:uid="{00000000-0005-0000-0000-000074350000}"/>
    <cellStyle name="Normal 14 10 2 6" xfId="13682" xr:uid="{00000000-0005-0000-0000-000075350000}"/>
    <cellStyle name="Normal 14 10 3" xfId="13683" xr:uid="{00000000-0005-0000-0000-000076350000}"/>
    <cellStyle name="Normal 14 10 3 2" xfId="13684" xr:uid="{00000000-0005-0000-0000-000077350000}"/>
    <cellStyle name="Normal 14 10 3 3" xfId="13685" xr:uid="{00000000-0005-0000-0000-000078350000}"/>
    <cellStyle name="Normal 14 10 4" xfId="13686" xr:uid="{00000000-0005-0000-0000-000079350000}"/>
    <cellStyle name="Normal 14 10 4 2" xfId="13687" xr:uid="{00000000-0005-0000-0000-00007A350000}"/>
    <cellStyle name="Normal 14 10 4 3" xfId="13688" xr:uid="{00000000-0005-0000-0000-00007B350000}"/>
    <cellStyle name="Normal 14 10 5" xfId="13689" xr:uid="{00000000-0005-0000-0000-00007C350000}"/>
    <cellStyle name="Normal 14 10 6" xfId="13690" xr:uid="{00000000-0005-0000-0000-00007D350000}"/>
    <cellStyle name="Normal 14 10 7" xfId="13691" xr:uid="{00000000-0005-0000-0000-00007E350000}"/>
    <cellStyle name="Normal 14 11" xfId="13692" xr:uid="{00000000-0005-0000-0000-00007F350000}"/>
    <cellStyle name="Normal 14 11 2" xfId="13693" xr:uid="{00000000-0005-0000-0000-000080350000}"/>
    <cellStyle name="Normal 14 11 2 2" xfId="13694" xr:uid="{00000000-0005-0000-0000-000081350000}"/>
    <cellStyle name="Normal 14 11 2 2 2" xfId="13695" xr:uid="{00000000-0005-0000-0000-000082350000}"/>
    <cellStyle name="Normal 14 11 2 2 3" xfId="13696" xr:uid="{00000000-0005-0000-0000-000083350000}"/>
    <cellStyle name="Normal 14 11 2 3" xfId="13697" xr:uid="{00000000-0005-0000-0000-000084350000}"/>
    <cellStyle name="Normal 14 11 2 3 2" xfId="13698" xr:uid="{00000000-0005-0000-0000-000085350000}"/>
    <cellStyle name="Normal 14 11 2 3 3" xfId="13699" xr:uid="{00000000-0005-0000-0000-000086350000}"/>
    <cellStyle name="Normal 14 11 2 4" xfId="13700" xr:uid="{00000000-0005-0000-0000-000087350000}"/>
    <cellStyle name="Normal 14 11 2 5" xfId="13701" xr:uid="{00000000-0005-0000-0000-000088350000}"/>
    <cellStyle name="Normal 14 11 2 6" xfId="13702" xr:uid="{00000000-0005-0000-0000-000089350000}"/>
    <cellStyle name="Normal 14 11 3" xfId="13703" xr:uid="{00000000-0005-0000-0000-00008A350000}"/>
    <cellStyle name="Normal 14 11 3 2" xfId="13704" xr:uid="{00000000-0005-0000-0000-00008B350000}"/>
    <cellStyle name="Normal 14 11 3 3" xfId="13705" xr:uid="{00000000-0005-0000-0000-00008C350000}"/>
    <cellStyle name="Normal 14 11 4" xfId="13706" xr:uid="{00000000-0005-0000-0000-00008D350000}"/>
    <cellStyle name="Normal 14 11 4 2" xfId="13707" xr:uid="{00000000-0005-0000-0000-00008E350000}"/>
    <cellStyle name="Normal 14 11 4 3" xfId="13708" xr:uid="{00000000-0005-0000-0000-00008F350000}"/>
    <cellStyle name="Normal 14 11 5" xfId="13709" xr:uid="{00000000-0005-0000-0000-000090350000}"/>
    <cellStyle name="Normal 14 11 6" xfId="13710" xr:uid="{00000000-0005-0000-0000-000091350000}"/>
    <cellStyle name="Normal 14 11 7" xfId="13711" xr:uid="{00000000-0005-0000-0000-000092350000}"/>
    <cellStyle name="Normal 14 12" xfId="13712" xr:uid="{00000000-0005-0000-0000-000093350000}"/>
    <cellStyle name="Normal 14 12 2" xfId="13713" xr:uid="{00000000-0005-0000-0000-000094350000}"/>
    <cellStyle name="Normal 14 12 2 2" xfId="13714" xr:uid="{00000000-0005-0000-0000-000095350000}"/>
    <cellStyle name="Normal 14 12 2 2 2" xfId="13715" xr:uid="{00000000-0005-0000-0000-000096350000}"/>
    <cellStyle name="Normal 14 12 2 2 3" xfId="13716" xr:uid="{00000000-0005-0000-0000-000097350000}"/>
    <cellStyle name="Normal 14 12 2 3" xfId="13717" xr:uid="{00000000-0005-0000-0000-000098350000}"/>
    <cellStyle name="Normal 14 12 2 3 2" xfId="13718" xr:uid="{00000000-0005-0000-0000-000099350000}"/>
    <cellStyle name="Normal 14 12 2 3 3" xfId="13719" xr:uid="{00000000-0005-0000-0000-00009A350000}"/>
    <cellStyle name="Normal 14 12 2 4" xfId="13720" xr:uid="{00000000-0005-0000-0000-00009B350000}"/>
    <cellStyle name="Normal 14 12 2 5" xfId="13721" xr:uid="{00000000-0005-0000-0000-00009C350000}"/>
    <cellStyle name="Normal 14 12 2 6" xfId="13722" xr:uid="{00000000-0005-0000-0000-00009D350000}"/>
    <cellStyle name="Normal 14 12 3" xfId="13723" xr:uid="{00000000-0005-0000-0000-00009E350000}"/>
    <cellStyle name="Normal 14 12 3 2" xfId="13724" xr:uid="{00000000-0005-0000-0000-00009F350000}"/>
    <cellStyle name="Normal 14 12 3 3" xfId="13725" xr:uid="{00000000-0005-0000-0000-0000A0350000}"/>
    <cellStyle name="Normal 14 12 4" xfId="13726" xr:uid="{00000000-0005-0000-0000-0000A1350000}"/>
    <cellStyle name="Normal 14 12 4 2" xfId="13727" xr:uid="{00000000-0005-0000-0000-0000A2350000}"/>
    <cellStyle name="Normal 14 12 4 3" xfId="13728" xr:uid="{00000000-0005-0000-0000-0000A3350000}"/>
    <cellStyle name="Normal 14 12 5" xfId="13729" xr:uid="{00000000-0005-0000-0000-0000A4350000}"/>
    <cellStyle name="Normal 14 12 6" xfId="13730" xr:uid="{00000000-0005-0000-0000-0000A5350000}"/>
    <cellStyle name="Normal 14 12 7" xfId="13731" xr:uid="{00000000-0005-0000-0000-0000A6350000}"/>
    <cellStyle name="Normal 14 13" xfId="13732" xr:uid="{00000000-0005-0000-0000-0000A7350000}"/>
    <cellStyle name="Normal 14 13 2" xfId="13733" xr:uid="{00000000-0005-0000-0000-0000A8350000}"/>
    <cellStyle name="Normal 14 13 2 2" xfId="13734" xr:uid="{00000000-0005-0000-0000-0000A9350000}"/>
    <cellStyle name="Normal 14 13 2 2 2" xfId="13735" xr:uid="{00000000-0005-0000-0000-0000AA350000}"/>
    <cellStyle name="Normal 14 13 2 2 3" xfId="13736" xr:uid="{00000000-0005-0000-0000-0000AB350000}"/>
    <cellStyle name="Normal 14 13 2 3" xfId="13737" xr:uid="{00000000-0005-0000-0000-0000AC350000}"/>
    <cellStyle name="Normal 14 13 2 3 2" xfId="13738" xr:uid="{00000000-0005-0000-0000-0000AD350000}"/>
    <cellStyle name="Normal 14 13 2 3 3" xfId="13739" xr:uid="{00000000-0005-0000-0000-0000AE350000}"/>
    <cellStyle name="Normal 14 13 2 4" xfId="13740" xr:uid="{00000000-0005-0000-0000-0000AF350000}"/>
    <cellStyle name="Normal 14 13 2 5" xfId="13741" xr:uid="{00000000-0005-0000-0000-0000B0350000}"/>
    <cellStyle name="Normal 14 13 2 6" xfId="13742" xr:uid="{00000000-0005-0000-0000-0000B1350000}"/>
    <cellStyle name="Normal 14 13 3" xfId="13743" xr:uid="{00000000-0005-0000-0000-0000B2350000}"/>
    <cellStyle name="Normal 14 13 3 2" xfId="13744" xr:uid="{00000000-0005-0000-0000-0000B3350000}"/>
    <cellStyle name="Normal 14 13 3 3" xfId="13745" xr:uid="{00000000-0005-0000-0000-0000B4350000}"/>
    <cellStyle name="Normal 14 13 4" xfId="13746" xr:uid="{00000000-0005-0000-0000-0000B5350000}"/>
    <cellStyle name="Normal 14 13 4 2" xfId="13747" xr:uid="{00000000-0005-0000-0000-0000B6350000}"/>
    <cellStyle name="Normal 14 13 4 3" xfId="13748" xr:uid="{00000000-0005-0000-0000-0000B7350000}"/>
    <cellStyle name="Normal 14 13 5" xfId="13749" xr:uid="{00000000-0005-0000-0000-0000B8350000}"/>
    <cellStyle name="Normal 14 13 6" xfId="13750" xr:uid="{00000000-0005-0000-0000-0000B9350000}"/>
    <cellStyle name="Normal 14 13 7" xfId="13751" xr:uid="{00000000-0005-0000-0000-0000BA350000}"/>
    <cellStyle name="Normal 14 14" xfId="13752" xr:uid="{00000000-0005-0000-0000-0000BB350000}"/>
    <cellStyle name="Normal 14 14 2" xfId="13753" xr:uid="{00000000-0005-0000-0000-0000BC350000}"/>
    <cellStyle name="Normal 14 14 2 2" xfId="13754" xr:uid="{00000000-0005-0000-0000-0000BD350000}"/>
    <cellStyle name="Normal 14 14 2 2 2" xfId="13755" xr:uid="{00000000-0005-0000-0000-0000BE350000}"/>
    <cellStyle name="Normal 14 14 2 2 3" xfId="13756" xr:uid="{00000000-0005-0000-0000-0000BF350000}"/>
    <cellStyle name="Normal 14 14 2 3" xfId="13757" xr:uid="{00000000-0005-0000-0000-0000C0350000}"/>
    <cellStyle name="Normal 14 14 2 3 2" xfId="13758" xr:uid="{00000000-0005-0000-0000-0000C1350000}"/>
    <cellStyle name="Normal 14 14 2 3 3" xfId="13759" xr:uid="{00000000-0005-0000-0000-0000C2350000}"/>
    <cellStyle name="Normal 14 14 2 4" xfId="13760" xr:uid="{00000000-0005-0000-0000-0000C3350000}"/>
    <cellStyle name="Normal 14 14 2 5" xfId="13761" xr:uid="{00000000-0005-0000-0000-0000C4350000}"/>
    <cellStyle name="Normal 14 14 2 6" xfId="13762" xr:uid="{00000000-0005-0000-0000-0000C5350000}"/>
    <cellStyle name="Normal 14 14 3" xfId="13763" xr:uid="{00000000-0005-0000-0000-0000C6350000}"/>
    <cellStyle name="Normal 14 14 3 2" xfId="13764" xr:uid="{00000000-0005-0000-0000-0000C7350000}"/>
    <cellStyle name="Normal 14 14 3 3" xfId="13765" xr:uid="{00000000-0005-0000-0000-0000C8350000}"/>
    <cellStyle name="Normal 14 14 4" xfId="13766" xr:uid="{00000000-0005-0000-0000-0000C9350000}"/>
    <cellStyle name="Normal 14 14 4 2" xfId="13767" xr:uid="{00000000-0005-0000-0000-0000CA350000}"/>
    <cellStyle name="Normal 14 14 4 3" xfId="13768" xr:uid="{00000000-0005-0000-0000-0000CB350000}"/>
    <cellStyle name="Normal 14 14 5" xfId="13769" xr:uid="{00000000-0005-0000-0000-0000CC350000}"/>
    <cellStyle name="Normal 14 14 6" xfId="13770" xr:uid="{00000000-0005-0000-0000-0000CD350000}"/>
    <cellStyle name="Normal 14 14 7" xfId="13771" xr:uid="{00000000-0005-0000-0000-0000CE350000}"/>
    <cellStyle name="Normal 14 15" xfId="13772" xr:uid="{00000000-0005-0000-0000-0000CF350000}"/>
    <cellStyle name="Normal 14 15 2" xfId="13773" xr:uid="{00000000-0005-0000-0000-0000D0350000}"/>
    <cellStyle name="Normal 14 15 2 2" xfId="13774" xr:uid="{00000000-0005-0000-0000-0000D1350000}"/>
    <cellStyle name="Normal 14 15 2 2 2" xfId="13775" xr:uid="{00000000-0005-0000-0000-0000D2350000}"/>
    <cellStyle name="Normal 14 15 2 2 3" xfId="13776" xr:uid="{00000000-0005-0000-0000-0000D3350000}"/>
    <cellStyle name="Normal 14 15 2 3" xfId="13777" xr:uid="{00000000-0005-0000-0000-0000D4350000}"/>
    <cellStyle name="Normal 14 15 2 3 2" xfId="13778" xr:uid="{00000000-0005-0000-0000-0000D5350000}"/>
    <cellStyle name="Normal 14 15 2 3 3" xfId="13779" xr:uid="{00000000-0005-0000-0000-0000D6350000}"/>
    <cellStyle name="Normal 14 15 2 4" xfId="13780" xr:uid="{00000000-0005-0000-0000-0000D7350000}"/>
    <cellStyle name="Normal 14 15 2 5" xfId="13781" xr:uid="{00000000-0005-0000-0000-0000D8350000}"/>
    <cellStyle name="Normal 14 15 2 6" xfId="13782" xr:uid="{00000000-0005-0000-0000-0000D9350000}"/>
    <cellStyle name="Normal 14 15 3" xfId="13783" xr:uid="{00000000-0005-0000-0000-0000DA350000}"/>
    <cellStyle name="Normal 14 15 3 2" xfId="13784" xr:uid="{00000000-0005-0000-0000-0000DB350000}"/>
    <cellStyle name="Normal 14 15 3 3" xfId="13785" xr:uid="{00000000-0005-0000-0000-0000DC350000}"/>
    <cellStyle name="Normal 14 15 4" xfId="13786" xr:uid="{00000000-0005-0000-0000-0000DD350000}"/>
    <cellStyle name="Normal 14 15 4 2" xfId="13787" xr:uid="{00000000-0005-0000-0000-0000DE350000}"/>
    <cellStyle name="Normal 14 15 4 3" xfId="13788" xr:uid="{00000000-0005-0000-0000-0000DF350000}"/>
    <cellStyle name="Normal 14 15 5" xfId="13789" xr:uid="{00000000-0005-0000-0000-0000E0350000}"/>
    <cellStyle name="Normal 14 15 6" xfId="13790" xr:uid="{00000000-0005-0000-0000-0000E1350000}"/>
    <cellStyle name="Normal 14 15 7" xfId="13791" xr:uid="{00000000-0005-0000-0000-0000E2350000}"/>
    <cellStyle name="Normal 14 16" xfId="13792" xr:uid="{00000000-0005-0000-0000-0000E3350000}"/>
    <cellStyle name="Normal 14 16 2" xfId="13793" xr:uid="{00000000-0005-0000-0000-0000E4350000}"/>
    <cellStyle name="Normal 14 16 2 2" xfId="13794" xr:uid="{00000000-0005-0000-0000-0000E5350000}"/>
    <cellStyle name="Normal 14 16 2 2 2" xfId="13795" xr:uid="{00000000-0005-0000-0000-0000E6350000}"/>
    <cellStyle name="Normal 14 16 2 2 3" xfId="13796" xr:uid="{00000000-0005-0000-0000-0000E7350000}"/>
    <cellStyle name="Normal 14 16 2 3" xfId="13797" xr:uid="{00000000-0005-0000-0000-0000E8350000}"/>
    <cellStyle name="Normal 14 16 2 3 2" xfId="13798" xr:uid="{00000000-0005-0000-0000-0000E9350000}"/>
    <cellStyle name="Normal 14 16 2 3 3" xfId="13799" xr:uid="{00000000-0005-0000-0000-0000EA350000}"/>
    <cellStyle name="Normal 14 16 2 4" xfId="13800" xr:uid="{00000000-0005-0000-0000-0000EB350000}"/>
    <cellStyle name="Normal 14 16 2 5" xfId="13801" xr:uid="{00000000-0005-0000-0000-0000EC350000}"/>
    <cellStyle name="Normal 14 16 2 6" xfId="13802" xr:uid="{00000000-0005-0000-0000-0000ED350000}"/>
    <cellStyle name="Normal 14 16 3" xfId="13803" xr:uid="{00000000-0005-0000-0000-0000EE350000}"/>
    <cellStyle name="Normal 14 16 3 2" xfId="13804" xr:uid="{00000000-0005-0000-0000-0000EF350000}"/>
    <cellStyle name="Normal 14 16 3 3" xfId="13805" xr:uid="{00000000-0005-0000-0000-0000F0350000}"/>
    <cellStyle name="Normal 14 16 4" xfId="13806" xr:uid="{00000000-0005-0000-0000-0000F1350000}"/>
    <cellStyle name="Normal 14 16 4 2" xfId="13807" xr:uid="{00000000-0005-0000-0000-0000F2350000}"/>
    <cellStyle name="Normal 14 16 4 3" xfId="13808" xr:uid="{00000000-0005-0000-0000-0000F3350000}"/>
    <cellStyle name="Normal 14 16 5" xfId="13809" xr:uid="{00000000-0005-0000-0000-0000F4350000}"/>
    <cellStyle name="Normal 14 16 6" xfId="13810" xr:uid="{00000000-0005-0000-0000-0000F5350000}"/>
    <cellStyle name="Normal 14 16 7" xfId="13811" xr:uid="{00000000-0005-0000-0000-0000F6350000}"/>
    <cellStyle name="Normal 14 17" xfId="13812" xr:uid="{00000000-0005-0000-0000-0000F7350000}"/>
    <cellStyle name="Normal 14 17 2" xfId="13813" xr:uid="{00000000-0005-0000-0000-0000F8350000}"/>
    <cellStyle name="Normal 14 17 2 2" xfId="13814" xr:uid="{00000000-0005-0000-0000-0000F9350000}"/>
    <cellStyle name="Normal 14 17 2 2 2" xfId="13815" xr:uid="{00000000-0005-0000-0000-0000FA350000}"/>
    <cellStyle name="Normal 14 17 2 2 3" xfId="13816" xr:uid="{00000000-0005-0000-0000-0000FB350000}"/>
    <cellStyle name="Normal 14 17 2 3" xfId="13817" xr:uid="{00000000-0005-0000-0000-0000FC350000}"/>
    <cellStyle name="Normal 14 17 2 3 2" xfId="13818" xr:uid="{00000000-0005-0000-0000-0000FD350000}"/>
    <cellStyle name="Normal 14 17 2 3 3" xfId="13819" xr:uid="{00000000-0005-0000-0000-0000FE350000}"/>
    <cellStyle name="Normal 14 17 2 4" xfId="13820" xr:uid="{00000000-0005-0000-0000-0000FF350000}"/>
    <cellStyle name="Normal 14 17 2 5" xfId="13821" xr:uid="{00000000-0005-0000-0000-000000360000}"/>
    <cellStyle name="Normal 14 17 2 6" xfId="13822" xr:uid="{00000000-0005-0000-0000-000001360000}"/>
    <cellStyle name="Normal 14 17 3" xfId="13823" xr:uid="{00000000-0005-0000-0000-000002360000}"/>
    <cellStyle name="Normal 14 17 3 2" xfId="13824" xr:uid="{00000000-0005-0000-0000-000003360000}"/>
    <cellStyle name="Normal 14 17 3 3" xfId="13825" xr:uid="{00000000-0005-0000-0000-000004360000}"/>
    <cellStyle name="Normal 14 17 4" xfId="13826" xr:uid="{00000000-0005-0000-0000-000005360000}"/>
    <cellStyle name="Normal 14 17 4 2" xfId="13827" xr:uid="{00000000-0005-0000-0000-000006360000}"/>
    <cellStyle name="Normal 14 17 4 3" xfId="13828" xr:uid="{00000000-0005-0000-0000-000007360000}"/>
    <cellStyle name="Normal 14 17 5" xfId="13829" xr:uid="{00000000-0005-0000-0000-000008360000}"/>
    <cellStyle name="Normal 14 17 6" xfId="13830" xr:uid="{00000000-0005-0000-0000-000009360000}"/>
    <cellStyle name="Normal 14 17 7" xfId="13831" xr:uid="{00000000-0005-0000-0000-00000A360000}"/>
    <cellStyle name="Normal 14 18" xfId="13832" xr:uid="{00000000-0005-0000-0000-00000B360000}"/>
    <cellStyle name="Normal 14 18 2" xfId="13833" xr:uid="{00000000-0005-0000-0000-00000C360000}"/>
    <cellStyle name="Normal 14 18 2 2" xfId="13834" xr:uid="{00000000-0005-0000-0000-00000D360000}"/>
    <cellStyle name="Normal 14 18 2 2 2" xfId="13835" xr:uid="{00000000-0005-0000-0000-00000E360000}"/>
    <cellStyle name="Normal 14 18 2 2 3" xfId="13836" xr:uid="{00000000-0005-0000-0000-00000F360000}"/>
    <cellStyle name="Normal 14 18 2 3" xfId="13837" xr:uid="{00000000-0005-0000-0000-000010360000}"/>
    <cellStyle name="Normal 14 18 2 3 2" xfId="13838" xr:uid="{00000000-0005-0000-0000-000011360000}"/>
    <cellStyle name="Normal 14 18 2 3 3" xfId="13839" xr:uid="{00000000-0005-0000-0000-000012360000}"/>
    <cellStyle name="Normal 14 18 2 4" xfId="13840" xr:uid="{00000000-0005-0000-0000-000013360000}"/>
    <cellStyle name="Normal 14 18 2 5" xfId="13841" xr:uid="{00000000-0005-0000-0000-000014360000}"/>
    <cellStyle name="Normal 14 18 2 6" xfId="13842" xr:uid="{00000000-0005-0000-0000-000015360000}"/>
    <cellStyle name="Normal 14 18 3" xfId="13843" xr:uid="{00000000-0005-0000-0000-000016360000}"/>
    <cellStyle name="Normal 14 18 3 2" xfId="13844" xr:uid="{00000000-0005-0000-0000-000017360000}"/>
    <cellStyle name="Normal 14 18 3 3" xfId="13845" xr:uid="{00000000-0005-0000-0000-000018360000}"/>
    <cellStyle name="Normal 14 18 4" xfId="13846" xr:uid="{00000000-0005-0000-0000-000019360000}"/>
    <cellStyle name="Normal 14 18 4 2" xfId="13847" xr:uid="{00000000-0005-0000-0000-00001A360000}"/>
    <cellStyle name="Normal 14 18 4 3" xfId="13848" xr:uid="{00000000-0005-0000-0000-00001B360000}"/>
    <cellStyle name="Normal 14 18 5" xfId="13849" xr:uid="{00000000-0005-0000-0000-00001C360000}"/>
    <cellStyle name="Normal 14 18 6" xfId="13850" xr:uid="{00000000-0005-0000-0000-00001D360000}"/>
    <cellStyle name="Normal 14 18 7" xfId="13851" xr:uid="{00000000-0005-0000-0000-00001E360000}"/>
    <cellStyle name="Normal 14 19" xfId="13852" xr:uid="{00000000-0005-0000-0000-00001F360000}"/>
    <cellStyle name="Normal 14 19 2" xfId="13853" xr:uid="{00000000-0005-0000-0000-000020360000}"/>
    <cellStyle name="Normal 14 19 2 2" xfId="13854" xr:uid="{00000000-0005-0000-0000-000021360000}"/>
    <cellStyle name="Normal 14 19 2 2 2" xfId="13855" xr:uid="{00000000-0005-0000-0000-000022360000}"/>
    <cellStyle name="Normal 14 19 2 2 3" xfId="13856" xr:uid="{00000000-0005-0000-0000-000023360000}"/>
    <cellStyle name="Normal 14 19 2 3" xfId="13857" xr:uid="{00000000-0005-0000-0000-000024360000}"/>
    <cellStyle name="Normal 14 19 2 3 2" xfId="13858" xr:uid="{00000000-0005-0000-0000-000025360000}"/>
    <cellStyle name="Normal 14 19 2 3 3" xfId="13859" xr:uid="{00000000-0005-0000-0000-000026360000}"/>
    <cellStyle name="Normal 14 19 2 4" xfId="13860" xr:uid="{00000000-0005-0000-0000-000027360000}"/>
    <cellStyle name="Normal 14 19 2 5" xfId="13861" xr:uid="{00000000-0005-0000-0000-000028360000}"/>
    <cellStyle name="Normal 14 19 2 6" xfId="13862" xr:uid="{00000000-0005-0000-0000-000029360000}"/>
    <cellStyle name="Normal 14 19 3" xfId="13863" xr:uid="{00000000-0005-0000-0000-00002A360000}"/>
    <cellStyle name="Normal 14 19 3 2" xfId="13864" xr:uid="{00000000-0005-0000-0000-00002B360000}"/>
    <cellStyle name="Normal 14 19 3 3" xfId="13865" xr:uid="{00000000-0005-0000-0000-00002C360000}"/>
    <cellStyle name="Normal 14 19 4" xfId="13866" xr:uid="{00000000-0005-0000-0000-00002D360000}"/>
    <cellStyle name="Normal 14 19 4 2" xfId="13867" xr:uid="{00000000-0005-0000-0000-00002E360000}"/>
    <cellStyle name="Normal 14 19 4 3" xfId="13868" xr:uid="{00000000-0005-0000-0000-00002F360000}"/>
    <cellStyle name="Normal 14 19 5" xfId="13869" xr:uid="{00000000-0005-0000-0000-000030360000}"/>
    <cellStyle name="Normal 14 19 6" xfId="13870" xr:uid="{00000000-0005-0000-0000-000031360000}"/>
    <cellStyle name="Normal 14 19 7" xfId="13871" xr:uid="{00000000-0005-0000-0000-000032360000}"/>
    <cellStyle name="Normal 14 2" xfId="13872" xr:uid="{00000000-0005-0000-0000-000033360000}"/>
    <cellStyle name="Normal 14 2 2" xfId="13873" xr:uid="{00000000-0005-0000-0000-000034360000}"/>
    <cellStyle name="Normal 14 2 2 2" xfId="13874" xr:uid="{00000000-0005-0000-0000-000035360000}"/>
    <cellStyle name="Normal 14 2 2 2 2" xfId="13875" xr:uid="{00000000-0005-0000-0000-000036360000}"/>
    <cellStyle name="Normal 14 2 2 2 3" xfId="13876" xr:uid="{00000000-0005-0000-0000-000037360000}"/>
    <cellStyle name="Normal 14 2 2 3" xfId="13877" xr:uid="{00000000-0005-0000-0000-000038360000}"/>
    <cellStyle name="Normal 14 2 2 3 2" xfId="13878" xr:uid="{00000000-0005-0000-0000-000039360000}"/>
    <cellStyle name="Normal 14 2 2 3 3" xfId="13879" xr:uid="{00000000-0005-0000-0000-00003A360000}"/>
    <cellStyle name="Normal 14 2 2 4" xfId="13880" xr:uid="{00000000-0005-0000-0000-00003B360000}"/>
    <cellStyle name="Normal 14 2 2 5" xfId="13881" xr:uid="{00000000-0005-0000-0000-00003C360000}"/>
    <cellStyle name="Normal 14 2 2 6" xfId="13882" xr:uid="{00000000-0005-0000-0000-00003D360000}"/>
    <cellStyle name="Normal 14 2 3" xfId="13883" xr:uid="{00000000-0005-0000-0000-00003E360000}"/>
    <cellStyle name="Normal 14 2 3 2" xfId="13884" xr:uid="{00000000-0005-0000-0000-00003F360000}"/>
    <cellStyle name="Normal 14 2 3 3" xfId="13885" xr:uid="{00000000-0005-0000-0000-000040360000}"/>
    <cellStyle name="Normal 14 2 4" xfId="13886" xr:uid="{00000000-0005-0000-0000-000041360000}"/>
    <cellStyle name="Normal 14 2 4 2" xfId="13887" xr:uid="{00000000-0005-0000-0000-000042360000}"/>
    <cellStyle name="Normal 14 2 4 3" xfId="13888" xr:uid="{00000000-0005-0000-0000-000043360000}"/>
    <cellStyle name="Normal 14 2 5" xfId="13889" xr:uid="{00000000-0005-0000-0000-000044360000}"/>
    <cellStyle name="Normal 14 2 6" xfId="13890" xr:uid="{00000000-0005-0000-0000-000045360000}"/>
    <cellStyle name="Normal 14 2 7" xfId="13891" xr:uid="{00000000-0005-0000-0000-000046360000}"/>
    <cellStyle name="Normal 14 20" xfId="13892" xr:uid="{00000000-0005-0000-0000-000047360000}"/>
    <cellStyle name="Normal 14 20 2" xfId="13893" xr:uid="{00000000-0005-0000-0000-000048360000}"/>
    <cellStyle name="Normal 14 20 2 2" xfId="13894" xr:uid="{00000000-0005-0000-0000-000049360000}"/>
    <cellStyle name="Normal 14 20 2 2 2" xfId="13895" xr:uid="{00000000-0005-0000-0000-00004A360000}"/>
    <cellStyle name="Normal 14 20 2 2 3" xfId="13896" xr:uid="{00000000-0005-0000-0000-00004B360000}"/>
    <cellStyle name="Normal 14 20 2 3" xfId="13897" xr:uid="{00000000-0005-0000-0000-00004C360000}"/>
    <cellStyle name="Normal 14 20 2 3 2" xfId="13898" xr:uid="{00000000-0005-0000-0000-00004D360000}"/>
    <cellStyle name="Normal 14 20 2 3 3" xfId="13899" xr:uid="{00000000-0005-0000-0000-00004E360000}"/>
    <cellStyle name="Normal 14 20 2 4" xfId="13900" xr:uid="{00000000-0005-0000-0000-00004F360000}"/>
    <cellStyle name="Normal 14 20 2 5" xfId="13901" xr:uid="{00000000-0005-0000-0000-000050360000}"/>
    <cellStyle name="Normal 14 20 2 6" xfId="13902" xr:uid="{00000000-0005-0000-0000-000051360000}"/>
    <cellStyle name="Normal 14 20 3" xfId="13903" xr:uid="{00000000-0005-0000-0000-000052360000}"/>
    <cellStyle name="Normal 14 20 3 2" xfId="13904" xr:uid="{00000000-0005-0000-0000-000053360000}"/>
    <cellStyle name="Normal 14 20 3 3" xfId="13905" xr:uid="{00000000-0005-0000-0000-000054360000}"/>
    <cellStyle name="Normal 14 20 4" xfId="13906" xr:uid="{00000000-0005-0000-0000-000055360000}"/>
    <cellStyle name="Normal 14 20 4 2" xfId="13907" xr:uid="{00000000-0005-0000-0000-000056360000}"/>
    <cellStyle name="Normal 14 20 4 3" xfId="13908" xr:uid="{00000000-0005-0000-0000-000057360000}"/>
    <cellStyle name="Normal 14 20 5" xfId="13909" xr:uid="{00000000-0005-0000-0000-000058360000}"/>
    <cellStyle name="Normal 14 20 6" xfId="13910" xr:uid="{00000000-0005-0000-0000-000059360000}"/>
    <cellStyle name="Normal 14 20 7" xfId="13911" xr:uid="{00000000-0005-0000-0000-00005A360000}"/>
    <cellStyle name="Normal 14 21" xfId="13912" xr:uid="{00000000-0005-0000-0000-00005B360000}"/>
    <cellStyle name="Normal 14 21 2" xfId="13913" xr:uid="{00000000-0005-0000-0000-00005C360000}"/>
    <cellStyle name="Normal 14 21 2 2" xfId="13914" xr:uid="{00000000-0005-0000-0000-00005D360000}"/>
    <cellStyle name="Normal 14 21 2 2 2" xfId="13915" xr:uid="{00000000-0005-0000-0000-00005E360000}"/>
    <cellStyle name="Normal 14 21 2 2 3" xfId="13916" xr:uid="{00000000-0005-0000-0000-00005F360000}"/>
    <cellStyle name="Normal 14 21 2 3" xfId="13917" xr:uid="{00000000-0005-0000-0000-000060360000}"/>
    <cellStyle name="Normal 14 21 2 3 2" xfId="13918" xr:uid="{00000000-0005-0000-0000-000061360000}"/>
    <cellStyle name="Normal 14 21 2 3 3" xfId="13919" xr:uid="{00000000-0005-0000-0000-000062360000}"/>
    <cellStyle name="Normal 14 21 2 4" xfId="13920" xr:uid="{00000000-0005-0000-0000-000063360000}"/>
    <cellStyle name="Normal 14 21 2 5" xfId="13921" xr:uid="{00000000-0005-0000-0000-000064360000}"/>
    <cellStyle name="Normal 14 21 2 6" xfId="13922" xr:uid="{00000000-0005-0000-0000-000065360000}"/>
    <cellStyle name="Normal 14 21 3" xfId="13923" xr:uid="{00000000-0005-0000-0000-000066360000}"/>
    <cellStyle name="Normal 14 21 3 2" xfId="13924" xr:uid="{00000000-0005-0000-0000-000067360000}"/>
    <cellStyle name="Normal 14 21 3 3" xfId="13925" xr:uid="{00000000-0005-0000-0000-000068360000}"/>
    <cellStyle name="Normal 14 21 4" xfId="13926" xr:uid="{00000000-0005-0000-0000-000069360000}"/>
    <cellStyle name="Normal 14 21 4 2" xfId="13927" xr:uid="{00000000-0005-0000-0000-00006A360000}"/>
    <cellStyle name="Normal 14 21 4 3" xfId="13928" xr:uid="{00000000-0005-0000-0000-00006B360000}"/>
    <cellStyle name="Normal 14 21 5" xfId="13929" xr:uid="{00000000-0005-0000-0000-00006C360000}"/>
    <cellStyle name="Normal 14 21 6" xfId="13930" xr:uid="{00000000-0005-0000-0000-00006D360000}"/>
    <cellStyle name="Normal 14 21 7" xfId="13931" xr:uid="{00000000-0005-0000-0000-00006E360000}"/>
    <cellStyle name="Normal 14 22" xfId="13932" xr:uid="{00000000-0005-0000-0000-00006F360000}"/>
    <cellStyle name="Normal 14 22 2" xfId="13933" xr:uid="{00000000-0005-0000-0000-000070360000}"/>
    <cellStyle name="Normal 14 22 2 2" xfId="13934" xr:uid="{00000000-0005-0000-0000-000071360000}"/>
    <cellStyle name="Normal 14 22 2 2 2" xfId="13935" xr:uid="{00000000-0005-0000-0000-000072360000}"/>
    <cellStyle name="Normal 14 22 2 2 3" xfId="13936" xr:uid="{00000000-0005-0000-0000-000073360000}"/>
    <cellStyle name="Normal 14 22 2 3" xfId="13937" xr:uid="{00000000-0005-0000-0000-000074360000}"/>
    <cellStyle name="Normal 14 22 2 3 2" xfId="13938" xr:uid="{00000000-0005-0000-0000-000075360000}"/>
    <cellStyle name="Normal 14 22 2 3 3" xfId="13939" xr:uid="{00000000-0005-0000-0000-000076360000}"/>
    <cellStyle name="Normal 14 22 2 4" xfId="13940" xr:uid="{00000000-0005-0000-0000-000077360000}"/>
    <cellStyle name="Normal 14 22 2 5" xfId="13941" xr:uid="{00000000-0005-0000-0000-000078360000}"/>
    <cellStyle name="Normal 14 22 2 6" xfId="13942" xr:uid="{00000000-0005-0000-0000-000079360000}"/>
    <cellStyle name="Normal 14 22 3" xfId="13943" xr:uid="{00000000-0005-0000-0000-00007A360000}"/>
    <cellStyle name="Normal 14 22 3 2" xfId="13944" xr:uid="{00000000-0005-0000-0000-00007B360000}"/>
    <cellStyle name="Normal 14 22 3 3" xfId="13945" xr:uid="{00000000-0005-0000-0000-00007C360000}"/>
    <cellStyle name="Normal 14 22 4" xfId="13946" xr:uid="{00000000-0005-0000-0000-00007D360000}"/>
    <cellStyle name="Normal 14 22 4 2" xfId="13947" xr:uid="{00000000-0005-0000-0000-00007E360000}"/>
    <cellStyle name="Normal 14 22 4 3" xfId="13948" xr:uid="{00000000-0005-0000-0000-00007F360000}"/>
    <cellStyle name="Normal 14 22 5" xfId="13949" xr:uid="{00000000-0005-0000-0000-000080360000}"/>
    <cellStyle name="Normal 14 22 6" xfId="13950" xr:uid="{00000000-0005-0000-0000-000081360000}"/>
    <cellStyle name="Normal 14 22 7" xfId="13951" xr:uid="{00000000-0005-0000-0000-000082360000}"/>
    <cellStyle name="Normal 14 23" xfId="13952" xr:uid="{00000000-0005-0000-0000-000083360000}"/>
    <cellStyle name="Normal 14 23 2" xfId="13953" xr:uid="{00000000-0005-0000-0000-000084360000}"/>
    <cellStyle name="Normal 14 23 2 2" xfId="13954" xr:uid="{00000000-0005-0000-0000-000085360000}"/>
    <cellStyle name="Normal 14 23 2 2 2" xfId="13955" xr:uid="{00000000-0005-0000-0000-000086360000}"/>
    <cellStyle name="Normal 14 23 2 2 3" xfId="13956" xr:uid="{00000000-0005-0000-0000-000087360000}"/>
    <cellStyle name="Normal 14 23 2 3" xfId="13957" xr:uid="{00000000-0005-0000-0000-000088360000}"/>
    <cellStyle name="Normal 14 23 2 3 2" xfId="13958" xr:uid="{00000000-0005-0000-0000-000089360000}"/>
    <cellStyle name="Normal 14 23 2 3 3" xfId="13959" xr:uid="{00000000-0005-0000-0000-00008A360000}"/>
    <cellStyle name="Normal 14 23 2 4" xfId="13960" xr:uid="{00000000-0005-0000-0000-00008B360000}"/>
    <cellStyle name="Normal 14 23 2 5" xfId="13961" xr:uid="{00000000-0005-0000-0000-00008C360000}"/>
    <cellStyle name="Normal 14 23 2 6" xfId="13962" xr:uid="{00000000-0005-0000-0000-00008D360000}"/>
    <cellStyle name="Normal 14 23 3" xfId="13963" xr:uid="{00000000-0005-0000-0000-00008E360000}"/>
    <cellStyle name="Normal 14 23 3 2" xfId="13964" xr:uid="{00000000-0005-0000-0000-00008F360000}"/>
    <cellStyle name="Normal 14 23 3 3" xfId="13965" xr:uid="{00000000-0005-0000-0000-000090360000}"/>
    <cellStyle name="Normal 14 23 4" xfId="13966" xr:uid="{00000000-0005-0000-0000-000091360000}"/>
    <cellStyle name="Normal 14 23 4 2" xfId="13967" xr:uid="{00000000-0005-0000-0000-000092360000}"/>
    <cellStyle name="Normal 14 23 4 3" xfId="13968" xr:uid="{00000000-0005-0000-0000-000093360000}"/>
    <cellStyle name="Normal 14 23 5" xfId="13969" xr:uid="{00000000-0005-0000-0000-000094360000}"/>
    <cellStyle name="Normal 14 23 6" xfId="13970" xr:uid="{00000000-0005-0000-0000-000095360000}"/>
    <cellStyle name="Normal 14 23 7" xfId="13971" xr:uid="{00000000-0005-0000-0000-000096360000}"/>
    <cellStyle name="Normal 14 24" xfId="13972" xr:uid="{00000000-0005-0000-0000-000097360000}"/>
    <cellStyle name="Normal 14 24 2" xfId="13973" xr:uid="{00000000-0005-0000-0000-000098360000}"/>
    <cellStyle name="Normal 14 24 2 2" xfId="13974" xr:uid="{00000000-0005-0000-0000-000099360000}"/>
    <cellStyle name="Normal 14 24 2 2 2" xfId="13975" xr:uid="{00000000-0005-0000-0000-00009A360000}"/>
    <cellStyle name="Normal 14 24 2 2 3" xfId="13976" xr:uid="{00000000-0005-0000-0000-00009B360000}"/>
    <cellStyle name="Normal 14 24 2 3" xfId="13977" xr:uid="{00000000-0005-0000-0000-00009C360000}"/>
    <cellStyle name="Normal 14 24 2 3 2" xfId="13978" xr:uid="{00000000-0005-0000-0000-00009D360000}"/>
    <cellStyle name="Normal 14 24 2 3 3" xfId="13979" xr:uid="{00000000-0005-0000-0000-00009E360000}"/>
    <cellStyle name="Normal 14 24 2 4" xfId="13980" xr:uid="{00000000-0005-0000-0000-00009F360000}"/>
    <cellStyle name="Normal 14 24 2 5" xfId="13981" xr:uid="{00000000-0005-0000-0000-0000A0360000}"/>
    <cellStyle name="Normal 14 24 2 6" xfId="13982" xr:uid="{00000000-0005-0000-0000-0000A1360000}"/>
    <cellStyle name="Normal 14 24 3" xfId="13983" xr:uid="{00000000-0005-0000-0000-0000A2360000}"/>
    <cellStyle name="Normal 14 24 3 2" xfId="13984" xr:uid="{00000000-0005-0000-0000-0000A3360000}"/>
    <cellStyle name="Normal 14 24 3 3" xfId="13985" xr:uid="{00000000-0005-0000-0000-0000A4360000}"/>
    <cellStyle name="Normal 14 24 4" xfId="13986" xr:uid="{00000000-0005-0000-0000-0000A5360000}"/>
    <cellStyle name="Normal 14 24 4 2" xfId="13987" xr:uid="{00000000-0005-0000-0000-0000A6360000}"/>
    <cellStyle name="Normal 14 24 4 3" xfId="13988" xr:uid="{00000000-0005-0000-0000-0000A7360000}"/>
    <cellStyle name="Normal 14 24 5" xfId="13989" xr:uid="{00000000-0005-0000-0000-0000A8360000}"/>
    <cellStyle name="Normal 14 24 6" xfId="13990" xr:uid="{00000000-0005-0000-0000-0000A9360000}"/>
    <cellStyle name="Normal 14 24 7" xfId="13991" xr:uid="{00000000-0005-0000-0000-0000AA360000}"/>
    <cellStyle name="Normal 14 25" xfId="13992" xr:uid="{00000000-0005-0000-0000-0000AB360000}"/>
    <cellStyle name="Normal 14 25 2" xfId="13993" xr:uid="{00000000-0005-0000-0000-0000AC360000}"/>
    <cellStyle name="Normal 14 25 2 2" xfId="13994" xr:uid="{00000000-0005-0000-0000-0000AD360000}"/>
    <cellStyle name="Normal 14 25 2 2 2" xfId="13995" xr:uid="{00000000-0005-0000-0000-0000AE360000}"/>
    <cellStyle name="Normal 14 25 2 2 3" xfId="13996" xr:uid="{00000000-0005-0000-0000-0000AF360000}"/>
    <cellStyle name="Normal 14 25 2 3" xfId="13997" xr:uid="{00000000-0005-0000-0000-0000B0360000}"/>
    <cellStyle name="Normal 14 25 2 3 2" xfId="13998" xr:uid="{00000000-0005-0000-0000-0000B1360000}"/>
    <cellStyle name="Normal 14 25 2 3 3" xfId="13999" xr:uid="{00000000-0005-0000-0000-0000B2360000}"/>
    <cellStyle name="Normal 14 25 2 4" xfId="14000" xr:uid="{00000000-0005-0000-0000-0000B3360000}"/>
    <cellStyle name="Normal 14 25 2 5" xfId="14001" xr:uid="{00000000-0005-0000-0000-0000B4360000}"/>
    <cellStyle name="Normal 14 25 2 6" xfId="14002" xr:uid="{00000000-0005-0000-0000-0000B5360000}"/>
    <cellStyle name="Normal 14 25 3" xfId="14003" xr:uid="{00000000-0005-0000-0000-0000B6360000}"/>
    <cellStyle name="Normal 14 25 3 2" xfId="14004" xr:uid="{00000000-0005-0000-0000-0000B7360000}"/>
    <cellStyle name="Normal 14 25 3 3" xfId="14005" xr:uid="{00000000-0005-0000-0000-0000B8360000}"/>
    <cellStyle name="Normal 14 25 4" xfId="14006" xr:uid="{00000000-0005-0000-0000-0000B9360000}"/>
    <cellStyle name="Normal 14 25 4 2" xfId="14007" xr:uid="{00000000-0005-0000-0000-0000BA360000}"/>
    <cellStyle name="Normal 14 25 4 3" xfId="14008" xr:uid="{00000000-0005-0000-0000-0000BB360000}"/>
    <cellStyle name="Normal 14 25 5" xfId="14009" xr:uid="{00000000-0005-0000-0000-0000BC360000}"/>
    <cellStyle name="Normal 14 25 6" xfId="14010" xr:uid="{00000000-0005-0000-0000-0000BD360000}"/>
    <cellStyle name="Normal 14 25 7" xfId="14011" xr:uid="{00000000-0005-0000-0000-0000BE360000}"/>
    <cellStyle name="Normal 14 26" xfId="14012" xr:uid="{00000000-0005-0000-0000-0000BF360000}"/>
    <cellStyle name="Normal 14 26 2" xfId="14013" xr:uid="{00000000-0005-0000-0000-0000C0360000}"/>
    <cellStyle name="Normal 14 26 2 2" xfId="14014" xr:uid="{00000000-0005-0000-0000-0000C1360000}"/>
    <cellStyle name="Normal 14 26 2 2 2" xfId="14015" xr:uid="{00000000-0005-0000-0000-0000C2360000}"/>
    <cellStyle name="Normal 14 26 2 2 3" xfId="14016" xr:uid="{00000000-0005-0000-0000-0000C3360000}"/>
    <cellStyle name="Normal 14 26 2 3" xfId="14017" xr:uid="{00000000-0005-0000-0000-0000C4360000}"/>
    <cellStyle name="Normal 14 26 2 3 2" xfId="14018" xr:uid="{00000000-0005-0000-0000-0000C5360000}"/>
    <cellStyle name="Normal 14 26 2 3 3" xfId="14019" xr:uid="{00000000-0005-0000-0000-0000C6360000}"/>
    <cellStyle name="Normal 14 26 2 4" xfId="14020" xr:uid="{00000000-0005-0000-0000-0000C7360000}"/>
    <cellStyle name="Normal 14 26 2 5" xfId="14021" xr:uid="{00000000-0005-0000-0000-0000C8360000}"/>
    <cellStyle name="Normal 14 26 2 6" xfId="14022" xr:uid="{00000000-0005-0000-0000-0000C9360000}"/>
    <cellStyle name="Normal 14 26 3" xfId="14023" xr:uid="{00000000-0005-0000-0000-0000CA360000}"/>
    <cellStyle name="Normal 14 26 3 2" xfId="14024" xr:uid="{00000000-0005-0000-0000-0000CB360000}"/>
    <cellStyle name="Normal 14 26 3 3" xfId="14025" xr:uid="{00000000-0005-0000-0000-0000CC360000}"/>
    <cellStyle name="Normal 14 26 4" xfId="14026" xr:uid="{00000000-0005-0000-0000-0000CD360000}"/>
    <cellStyle name="Normal 14 26 4 2" xfId="14027" xr:uid="{00000000-0005-0000-0000-0000CE360000}"/>
    <cellStyle name="Normal 14 26 4 3" xfId="14028" xr:uid="{00000000-0005-0000-0000-0000CF360000}"/>
    <cellStyle name="Normal 14 26 5" xfId="14029" xr:uid="{00000000-0005-0000-0000-0000D0360000}"/>
    <cellStyle name="Normal 14 26 6" xfId="14030" xr:uid="{00000000-0005-0000-0000-0000D1360000}"/>
    <cellStyle name="Normal 14 26 7" xfId="14031" xr:uid="{00000000-0005-0000-0000-0000D2360000}"/>
    <cellStyle name="Normal 14 27" xfId="14032" xr:uid="{00000000-0005-0000-0000-0000D3360000}"/>
    <cellStyle name="Normal 14 27 2" xfId="14033" xr:uid="{00000000-0005-0000-0000-0000D4360000}"/>
    <cellStyle name="Normal 14 27 2 2" xfId="14034" xr:uid="{00000000-0005-0000-0000-0000D5360000}"/>
    <cellStyle name="Normal 14 27 2 2 2" xfId="14035" xr:uid="{00000000-0005-0000-0000-0000D6360000}"/>
    <cellStyle name="Normal 14 27 2 2 3" xfId="14036" xr:uid="{00000000-0005-0000-0000-0000D7360000}"/>
    <cellStyle name="Normal 14 27 2 3" xfId="14037" xr:uid="{00000000-0005-0000-0000-0000D8360000}"/>
    <cellStyle name="Normal 14 27 2 3 2" xfId="14038" xr:uid="{00000000-0005-0000-0000-0000D9360000}"/>
    <cellStyle name="Normal 14 27 2 3 3" xfId="14039" xr:uid="{00000000-0005-0000-0000-0000DA360000}"/>
    <cellStyle name="Normal 14 27 2 4" xfId="14040" xr:uid="{00000000-0005-0000-0000-0000DB360000}"/>
    <cellStyle name="Normal 14 27 2 5" xfId="14041" xr:uid="{00000000-0005-0000-0000-0000DC360000}"/>
    <cellStyle name="Normal 14 27 2 6" xfId="14042" xr:uid="{00000000-0005-0000-0000-0000DD360000}"/>
    <cellStyle name="Normal 14 27 3" xfId="14043" xr:uid="{00000000-0005-0000-0000-0000DE360000}"/>
    <cellStyle name="Normal 14 27 3 2" xfId="14044" xr:uid="{00000000-0005-0000-0000-0000DF360000}"/>
    <cellStyle name="Normal 14 27 3 3" xfId="14045" xr:uid="{00000000-0005-0000-0000-0000E0360000}"/>
    <cellStyle name="Normal 14 27 4" xfId="14046" xr:uid="{00000000-0005-0000-0000-0000E1360000}"/>
    <cellStyle name="Normal 14 27 4 2" xfId="14047" xr:uid="{00000000-0005-0000-0000-0000E2360000}"/>
    <cellStyle name="Normal 14 27 4 3" xfId="14048" xr:uid="{00000000-0005-0000-0000-0000E3360000}"/>
    <cellStyle name="Normal 14 27 5" xfId="14049" xr:uid="{00000000-0005-0000-0000-0000E4360000}"/>
    <cellStyle name="Normal 14 27 6" xfId="14050" xr:uid="{00000000-0005-0000-0000-0000E5360000}"/>
    <cellStyle name="Normal 14 27 7" xfId="14051" xr:uid="{00000000-0005-0000-0000-0000E6360000}"/>
    <cellStyle name="Normal 14 28" xfId="14052" xr:uid="{00000000-0005-0000-0000-0000E7360000}"/>
    <cellStyle name="Normal 14 28 2" xfId="14053" xr:uid="{00000000-0005-0000-0000-0000E8360000}"/>
    <cellStyle name="Normal 14 28 2 2" xfId="14054" xr:uid="{00000000-0005-0000-0000-0000E9360000}"/>
    <cellStyle name="Normal 14 28 2 2 2" xfId="14055" xr:uid="{00000000-0005-0000-0000-0000EA360000}"/>
    <cellStyle name="Normal 14 28 2 2 3" xfId="14056" xr:uid="{00000000-0005-0000-0000-0000EB360000}"/>
    <cellStyle name="Normal 14 28 2 3" xfId="14057" xr:uid="{00000000-0005-0000-0000-0000EC360000}"/>
    <cellStyle name="Normal 14 28 2 3 2" xfId="14058" xr:uid="{00000000-0005-0000-0000-0000ED360000}"/>
    <cellStyle name="Normal 14 28 2 3 3" xfId="14059" xr:uid="{00000000-0005-0000-0000-0000EE360000}"/>
    <cellStyle name="Normal 14 28 2 4" xfId="14060" xr:uid="{00000000-0005-0000-0000-0000EF360000}"/>
    <cellStyle name="Normal 14 28 2 5" xfId="14061" xr:uid="{00000000-0005-0000-0000-0000F0360000}"/>
    <cellStyle name="Normal 14 28 2 6" xfId="14062" xr:uid="{00000000-0005-0000-0000-0000F1360000}"/>
    <cellStyle name="Normal 14 28 3" xfId="14063" xr:uid="{00000000-0005-0000-0000-0000F2360000}"/>
    <cellStyle name="Normal 14 28 3 2" xfId="14064" xr:uid="{00000000-0005-0000-0000-0000F3360000}"/>
    <cellStyle name="Normal 14 28 3 3" xfId="14065" xr:uid="{00000000-0005-0000-0000-0000F4360000}"/>
    <cellStyle name="Normal 14 28 4" xfId="14066" xr:uid="{00000000-0005-0000-0000-0000F5360000}"/>
    <cellStyle name="Normal 14 28 4 2" xfId="14067" xr:uid="{00000000-0005-0000-0000-0000F6360000}"/>
    <cellStyle name="Normal 14 28 4 3" xfId="14068" xr:uid="{00000000-0005-0000-0000-0000F7360000}"/>
    <cellStyle name="Normal 14 28 5" xfId="14069" xr:uid="{00000000-0005-0000-0000-0000F8360000}"/>
    <cellStyle name="Normal 14 28 6" xfId="14070" xr:uid="{00000000-0005-0000-0000-0000F9360000}"/>
    <cellStyle name="Normal 14 28 7" xfId="14071" xr:uid="{00000000-0005-0000-0000-0000FA360000}"/>
    <cellStyle name="Normal 14 29" xfId="14072" xr:uid="{00000000-0005-0000-0000-0000FB360000}"/>
    <cellStyle name="Normal 14 29 2" xfId="14073" xr:uid="{00000000-0005-0000-0000-0000FC360000}"/>
    <cellStyle name="Normal 14 29 2 2" xfId="14074" xr:uid="{00000000-0005-0000-0000-0000FD360000}"/>
    <cellStyle name="Normal 14 29 2 3" xfId="14075" xr:uid="{00000000-0005-0000-0000-0000FE360000}"/>
    <cellStyle name="Normal 14 29 3" xfId="14076" xr:uid="{00000000-0005-0000-0000-0000FF360000}"/>
    <cellStyle name="Normal 14 29 3 2" xfId="14077" xr:uid="{00000000-0005-0000-0000-000000370000}"/>
    <cellStyle name="Normal 14 29 3 3" xfId="14078" xr:uid="{00000000-0005-0000-0000-000001370000}"/>
    <cellStyle name="Normal 14 29 4" xfId="14079" xr:uid="{00000000-0005-0000-0000-000002370000}"/>
    <cellStyle name="Normal 14 29 5" xfId="14080" xr:uid="{00000000-0005-0000-0000-000003370000}"/>
    <cellStyle name="Normal 14 29 6" xfId="14081" xr:uid="{00000000-0005-0000-0000-000004370000}"/>
    <cellStyle name="Normal 14 3" xfId="14082" xr:uid="{00000000-0005-0000-0000-000005370000}"/>
    <cellStyle name="Normal 14 3 2" xfId="14083" xr:uid="{00000000-0005-0000-0000-000006370000}"/>
    <cellStyle name="Normal 14 3 2 2" xfId="14084" xr:uid="{00000000-0005-0000-0000-000007370000}"/>
    <cellStyle name="Normal 14 3 2 2 2" xfId="14085" xr:uid="{00000000-0005-0000-0000-000008370000}"/>
    <cellStyle name="Normal 14 3 2 2 3" xfId="14086" xr:uid="{00000000-0005-0000-0000-000009370000}"/>
    <cellStyle name="Normal 14 3 2 3" xfId="14087" xr:uid="{00000000-0005-0000-0000-00000A370000}"/>
    <cellStyle name="Normal 14 3 2 3 2" xfId="14088" xr:uid="{00000000-0005-0000-0000-00000B370000}"/>
    <cellStyle name="Normal 14 3 2 3 3" xfId="14089" xr:uid="{00000000-0005-0000-0000-00000C370000}"/>
    <cellStyle name="Normal 14 3 2 4" xfId="14090" xr:uid="{00000000-0005-0000-0000-00000D370000}"/>
    <cellStyle name="Normal 14 3 2 5" xfId="14091" xr:uid="{00000000-0005-0000-0000-00000E370000}"/>
    <cellStyle name="Normal 14 3 2 6" xfId="14092" xr:uid="{00000000-0005-0000-0000-00000F370000}"/>
    <cellStyle name="Normal 14 3 3" xfId="14093" xr:uid="{00000000-0005-0000-0000-000010370000}"/>
    <cellStyle name="Normal 14 3 3 2" xfId="14094" xr:uid="{00000000-0005-0000-0000-000011370000}"/>
    <cellStyle name="Normal 14 3 3 3" xfId="14095" xr:uid="{00000000-0005-0000-0000-000012370000}"/>
    <cellStyle name="Normal 14 3 4" xfId="14096" xr:uid="{00000000-0005-0000-0000-000013370000}"/>
    <cellStyle name="Normal 14 3 4 2" xfId="14097" xr:uid="{00000000-0005-0000-0000-000014370000}"/>
    <cellStyle name="Normal 14 3 4 3" xfId="14098" xr:uid="{00000000-0005-0000-0000-000015370000}"/>
    <cellStyle name="Normal 14 3 5" xfId="14099" xr:uid="{00000000-0005-0000-0000-000016370000}"/>
    <cellStyle name="Normal 14 3 6" xfId="14100" xr:uid="{00000000-0005-0000-0000-000017370000}"/>
    <cellStyle name="Normal 14 3 7" xfId="14101" xr:uid="{00000000-0005-0000-0000-000018370000}"/>
    <cellStyle name="Normal 14 30" xfId="14102" xr:uid="{00000000-0005-0000-0000-000019370000}"/>
    <cellStyle name="Normal 14 30 2" xfId="14103" xr:uid="{00000000-0005-0000-0000-00001A370000}"/>
    <cellStyle name="Normal 14 30 3" xfId="14104" xr:uid="{00000000-0005-0000-0000-00001B370000}"/>
    <cellStyle name="Normal 14 31" xfId="14105" xr:uid="{00000000-0005-0000-0000-00001C370000}"/>
    <cellStyle name="Normal 14 31 2" xfId="14106" xr:uid="{00000000-0005-0000-0000-00001D370000}"/>
    <cellStyle name="Normal 14 31 3" xfId="14107" xr:uid="{00000000-0005-0000-0000-00001E370000}"/>
    <cellStyle name="Normal 14 32" xfId="14108" xr:uid="{00000000-0005-0000-0000-00001F370000}"/>
    <cellStyle name="Normal 14 32 2" xfId="14109" xr:uid="{00000000-0005-0000-0000-000020370000}"/>
    <cellStyle name="Normal 14 32 3" xfId="14110" xr:uid="{00000000-0005-0000-0000-000021370000}"/>
    <cellStyle name="Normal 14 33" xfId="14111" xr:uid="{00000000-0005-0000-0000-000022370000}"/>
    <cellStyle name="Normal 14 34" xfId="14112" xr:uid="{00000000-0005-0000-0000-000023370000}"/>
    <cellStyle name="Normal 14 35" xfId="14113" xr:uid="{00000000-0005-0000-0000-000024370000}"/>
    <cellStyle name="Normal 14 4" xfId="14114" xr:uid="{00000000-0005-0000-0000-000025370000}"/>
    <cellStyle name="Normal 14 4 2" xfId="14115" xr:uid="{00000000-0005-0000-0000-000026370000}"/>
    <cellStyle name="Normal 14 4 2 2" xfId="14116" xr:uid="{00000000-0005-0000-0000-000027370000}"/>
    <cellStyle name="Normal 14 4 2 2 2" xfId="14117" xr:uid="{00000000-0005-0000-0000-000028370000}"/>
    <cellStyle name="Normal 14 4 2 2 3" xfId="14118" xr:uid="{00000000-0005-0000-0000-000029370000}"/>
    <cellStyle name="Normal 14 4 2 3" xfId="14119" xr:uid="{00000000-0005-0000-0000-00002A370000}"/>
    <cellStyle name="Normal 14 4 2 3 2" xfId="14120" xr:uid="{00000000-0005-0000-0000-00002B370000}"/>
    <cellStyle name="Normal 14 4 2 3 3" xfId="14121" xr:uid="{00000000-0005-0000-0000-00002C370000}"/>
    <cellStyle name="Normal 14 4 2 4" xfId="14122" xr:uid="{00000000-0005-0000-0000-00002D370000}"/>
    <cellStyle name="Normal 14 4 2 5" xfId="14123" xr:uid="{00000000-0005-0000-0000-00002E370000}"/>
    <cellStyle name="Normal 14 4 2 6" xfId="14124" xr:uid="{00000000-0005-0000-0000-00002F370000}"/>
    <cellStyle name="Normal 14 4 3" xfId="14125" xr:uid="{00000000-0005-0000-0000-000030370000}"/>
    <cellStyle name="Normal 14 4 3 2" xfId="14126" xr:uid="{00000000-0005-0000-0000-000031370000}"/>
    <cellStyle name="Normal 14 4 3 3" xfId="14127" xr:uid="{00000000-0005-0000-0000-000032370000}"/>
    <cellStyle name="Normal 14 4 4" xfId="14128" xr:uid="{00000000-0005-0000-0000-000033370000}"/>
    <cellStyle name="Normal 14 4 4 2" xfId="14129" xr:uid="{00000000-0005-0000-0000-000034370000}"/>
    <cellStyle name="Normal 14 4 4 3" xfId="14130" xr:uid="{00000000-0005-0000-0000-000035370000}"/>
    <cellStyle name="Normal 14 4 5" xfId="14131" xr:uid="{00000000-0005-0000-0000-000036370000}"/>
    <cellStyle name="Normal 14 4 6" xfId="14132" xr:uid="{00000000-0005-0000-0000-000037370000}"/>
    <cellStyle name="Normal 14 4 7" xfId="14133" xr:uid="{00000000-0005-0000-0000-000038370000}"/>
    <cellStyle name="Normal 14 5" xfId="14134" xr:uid="{00000000-0005-0000-0000-000039370000}"/>
    <cellStyle name="Normal 14 5 2" xfId="14135" xr:uid="{00000000-0005-0000-0000-00003A370000}"/>
    <cellStyle name="Normal 14 5 2 2" xfId="14136" xr:uid="{00000000-0005-0000-0000-00003B370000}"/>
    <cellStyle name="Normal 14 5 2 2 2" xfId="14137" xr:uid="{00000000-0005-0000-0000-00003C370000}"/>
    <cellStyle name="Normal 14 5 2 2 3" xfId="14138" xr:uid="{00000000-0005-0000-0000-00003D370000}"/>
    <cellStyle name="Normal 14 5 2 3" xfId="14139" xr:uid="{00000000-0005-0000-0000-00003E370000}"/>
    <cellStyle name="Normal 14 5 2 3 2" xfId="14140" xr:uid="{00000000-0005-0000-0000-00003F370000}"/>
    <cellStyle name="Normal 14 5 2 3 3" xfId="14141" xr:uid="{00000000-0005-0000-0000-000040370000}"/>
    <cellStyle name="Normal 14 5 2 4" xfId="14142" xr:uid="{00000000-0005-0000-0000-000041370000}"/>
    <cellStyle name="Normal 14 5 2 5" xfId="14143" xr:uid="{00000000-0005-0000-0000-000042370000}"/>
    <cellStyle name="Normal 14 5 2 6" xfId="14144" xr:uid="{00000000-0005-0000-0000-000043370000}"/>
    <cellStyle name="Normal 14 5 3" xfId="14145" xr:uid="{00000000-0005-0000-0000-000044370000}"/>
    <cellStyle name="Normal 14 5 3 2" xfId="14146" xr:uid="{00000000-0005-0000-0000-000045370000}"/>
    <cellStyle name="Normal 14 5 3 3" xfId="14147" xr:uid="{00000000-0005-0000-0000-000046370000}"/>
    <cellStyle name="Normal 14 5 4" xfId="14148" xr:uid="{00000000-0005-0000-0000-000047370000}"/>
    <cellStyle name="Normal 14 5 4 2" xfId="14149" xr:uid="{00000000-0005-0000-0000-000048370000}"/>
    <cellStyle name="Normal 14 5 4 3" xfId="14150" xr:uid="{00000000-0005-0000-0000-000049370000}"/>
    <cellStyle name="Normal 14 5 5" xfId="14151" xr:uid="{00000000-0005-0000-0000-00004A370000}"/>
    <cellStyle name="Normal 14 5 6" xfId="14152" xr:uid="{00000000-0005-0000-0000-00004B370000}"/>
    <cellStyle name="Normal 14 5 7" xfId="14153" xr:uid="{00000000-0005-0000-0000-00004C370000}"/>
    <cellStyle name="Normal 14 6" xfId="14154" xr:uid="{00000000-0005-0000-0000-00004D370000}"/>
    <cellStyle name="Normal 14 6 2" xfId="14155" xr:uid="{00000000-0005-0000-0000-00004E370000}"/>
    <cellStyle name="Normal 14 6 2 2" xfId="14156" xr:uid="{00000000-0005-0000-0000-00004F370000}"/>
    <cellStyle name="Normal 14 6 2 2 2" xfId="14157" xr:uid="{00000000-0005-0000-0000-000050370000}"/>
    <cellStyle name="Normal 14 6 2 2 3" xfId="14158" xr:uid="{00000000-0005-0000-0000-000051370000}"/>
    <cellStyle name="Normal 14 6 2 3" xfId="14159" xr:uid="{00000000-0005-0000-0000-000052370000}"/>
    <cellStyle name="Normal 14 6 2 3 2" xfId="14160" xr:uid="{00000000-0005-0000-0000-000053370000}"/>
    <cellStyle name="Normal 14 6 2 3 3" xfId="14161" xr:uid="{00000000-0005-0000-0000-000054370000}"/>
    <cellStyle name="Normal 14 6 2 4" xfId="14162" xr:uid="{00000000-0005-0000-0000-000055370000}"/>
    <cellStyle name="Normal 14 6 2 5" xfId="14163" xr:uid="{00000000-0005-0000-0000-000056370000}"/>
    <cellStyle name="Normal 14 6 2 6" xfId="14164" xr:uid="{00000000-0005-0000-0000-000057370000}"/>
    <cellStyle name="Normal 14 6 3" xfId="14165" xr:uid="{00000000-0005-0000-0000-000058370000}"/>
    <cellStyle name="Normal 14 6 3 2" xfId="14166" xr:uid="{00000000-0005-0000-0000-000059370000}"/>
    <cellStyle name="Normal 14 6 3 3" xfId="14167" xr:uid="{00000000-0005-0000-0000-00005A370000}"/>
    <cellStyle name="Normal 14 6 4" xfId="14168" xr:uid="{00000000-0005-0000-0000-00005B370000}"/>
    <cellStyle name="Normal 14 6 4 2" xfId="14169" xr:uid="{00000000-0005-0000-0000-00005C370000}"/>
    <cellStyle name="Normal 14 6 4 3" xfId="14170" xr:uid="{00000000-0005-0000-0000-00005D370000}"/>
    <cellStyle name="Normal 14 6 5" xfId="14171" xr:uid="{00000000-0005-0000-0000-00005E370000}"/>
    <cellStyle name="Normal 14 6 6" xfId="14172" xr:uid="{00000000-0005-0000-0000-00005F370000}"/>
    <cellStyle name="Normal 14 6 7" xfId="14173" xr:uid="{00000000-0005-0000-0000-000060370000}"/>
    <cellStyle name="Normal 14 7" xfId="14174" xr:uid="{00000000-0005-0000-0000-000061370000}"/>
    <cellStyle name="Normal 14 7 2" xfId="14175" xr:uid="{00000000-0005-0000-0000-000062370000}"/>
    <cellStyle name="Normal 14 7 2 2" xfId="14176" xr:uid="{00000000-0005-0000-0000-000063370000}"/>
    <cellStyle name="Normal 14 7 2 2 2" xfId="14177" xr:uid="{00000000-0005-0000-0000-000064370000}"/>
    <cellStyle name="Normal 14 7 2 2 3" xfId="14178" xr:uid="{00000000-0005-0000-0000-000065370000}"/>
    <cellStyle name="Normal 14 7 2 3" xfId="14179" xr:uid="{00000000-0005-0000-0000-000066370000}"/>
    <cellStyle name="Normal 14 7 2 3 2" xfId="14180" xr:uid="{00000000-0005-0000-0000-000067370000}"/>
    <cellStyle name="Normal 14 7 2 3 3" xfId="14181" xr:uid="{00000000-0005-0000-0000-000068370000}"/>
    <cellStyle name="Normal 14 7 2 4" xfId="14182" xr:uid="{00000000-0005-0000-0000-000069370000}"/>
    <cellStyle name="Normal 14 7 2 5" xfId="14183" xr:uid="{00000000-0005-0000-0000-00006A370000}"/>
    <cellStyle name="Normal 14 7 2 6" xfId="14184" xr:uid="{00000000-0005-0000-0000-00006B370000}"/>
    <cellStyle name="Normal 14 7 3" xfId="14185" xr:uid="{00000000-0005-0000-0000-00006C370000}"/>
    <cellStyle name="Normal 14 7 3 2" xfId="14186" xr:uid="{00000000-0005-0000-0000-00006D370000}"/>
    <cellStyle name="Normal 14 7 3 3" xfId="14187" xr:uid="{00000000-0005-0000-0000-00006E370000}"/>
    <cellStyle name="Normal 14 7 4" xfId="14188" xr:uid="{00000000-0005-0000-0000-00006F370000}"/>
    <cellStyle name="Normal 14 7 4 2" xfId="14189" xr:uid="{00000000-0005-0000-0000-000070370000}"/>
    <cellStyle name="Normal 14 7 4 3" xfId="14190" xr:uid="{00000000-0005-0000-0000-000071370000}"/>
    <cellStyle name="Normal 14 7 5" xfId="14191" xr:uid="{00000000-0005-0000-0000-000072370000}"/>
    <cellStyle name="Normal 14 7 6" xfId="14192" xr:uid="{00000000-0005-0000-0000-000073370000}"/>
    <cellStyle name="Normal 14 7 7" xfId="14193" xr:uid="{00000000-0005-0000-0000-000074370000}"/>
    <cellStyle name="Normal 14 8" xfId="14194" xr:uid="{00000000-0005-0000-0000-000075370000}"/>
    <cellStyle name="Normal 14 8 2" xfId="14195" xr:uid="{00000000-0005-0000-0000-000076370000}"/>
    <cellStyle name="Normal 14 8 2 2" xfId="14196" xr:uid="{00000000-0005-0000-0000-000077370000}"/>
    <cellStyle name="Normal 14 8 2 2 2" xfId="14197" xr:uid="{00000000-0005-0000-0000-000078370000}"/>
    <cellStyle name="Normal 14 8 2 2 3" xfId="14198" xr:uid="{00000000-0005-0000-0000-000079370000}"/>
    <cellStyle name="Normal 14 8 2 3" xfId="14199" xr:uid="{00000000-0005-0000-0000-00007A370000}"/>
    <cellStyle name="Normal 14 8 2 3 2" xfId="14200" xr:uid="{00000000-0005-0000-0000-00007B370000}"/>
    <cellStyle name="Normal 14 8 2 3 3" xfId="14201" xr:uid="{00000000-0005-0000-0000-00007C370000}"/>
    <cellStyle name="Normal 14 8 2 4" xfId="14202" xr:uid="{00000000-0005-0000-0000-00007D370000}"/>
    <cellStyle name="Normal 14 8 2 5" xfId="14203" xr:uid="{00000000-0005-0000-0000-00007E370000}"/>
    <cellStyle name="Normal 14 8 2 6" xfId="14204" xr:uid="{00000000-0005-0000-0000-00007F370000}"/>
    <cellStyle name="Normal 14 8 3" xfId="14205" xr:uid="{00000000-0005-0000-0000-000080370000}"/>
    <cellStyle name="Normal 14 8 3 2" xfId="14206" xr:uid="{00000000-0005-0000-0000-000081370000}"/>
    <cellStyle name="Normal 14 8 3 3" xfId="14207" xr:uid="{00000000-0005-0000-0000-000082370000}"/>
    <cellStyle name="Normal 14 8 4" xfId="14208" xr:uid="{00000000-0005-0000-0000-000083370000}"/>
    <cellStyle name="Normal 14 8 4 2" xfId="14209" xr:uid="{00000000-0005-0000-0000-000084370000}"/>
    <cellStyle name="Normal 14 8 4 3" xfId="14210" xr:uid="{00000000-0005-0000-0000-000085370000}"/>
    <cellStyle name="Normal 14 8 5" xfId="14211" xr:uid="{00000000-0005-0000-0000-000086370000}"/>
    <cellStyle name="Normal 14 8 6" xfId="14212" xr:uid="{00000000-0005-0000-0000-000087370000}"/>
    <cellStyle name="Normal 14 8 7" xfId="14213" xr:uid="{00000000-0005-0000-0000-000088370000}"/>
    <cellStyle name="Normal 14 9" xfId="14214" xr:uid="{00000000-0005-0000-0000-000089370000}"/>
    <cellStyle name="Normal 14 9 2" xfId="14215" xr:uid="{00000000-0005-0000-0000-00008A370000}"/>
    <cellStyle name="Normal 14 9 2 2" xfId="14216" xr:uid="{00000000-0005-0000-0000-00008B370000}"/>
    <cellStyle name="Normal 14 9 2 2 2" xfId="14217" xr:uid="{00000000-0005-0000-0000-00008C370000}"/>
    <cellStyle name="Normal 14 9 2 2 3" xfId="14218" xr:uid="{00000000-0005-0000-0000-00008D370000}"/>
    <cellStyle name="Normal 14 9 2 3" xfId="14219" xr:uid="{00000000-0005-0000-0000-00008E370000}"/>
    <cellStyle name="Normal 14 9 2 3 2" xfId="14220" xr:uid="{00000000-0005-0000-0000-00008F370000}"/>
    <cellStyle name="Normal 14 9 2 3 3" xfId="14221" xr:uid="{00000000-0005-0000-0000-000090370000}"/>
    <cellStyle name="Normal 14 9 2 4" xfId="14222" xr:uid="{00000000-0005-0000-0000-000091370000}"/>
    <cellStyle name="Normal 14 9 2 5" xfId="14223" xr:uid="{00000000-0005-0000-0000-000092370000}"/>
    <cellStyle name="Normal 14 9 2 6" xfId="14224" xr:uid="{00000000-0005-0000-0000-000093370000}"/>
    <cellStyle name="Normal 14 9 3" xfId="14225" xr:uid="{00000000-0005-0000-0000-000094370000}"/>
    <cellStyle name="Normal 14 9 3 2" xfId="14226" xr:uid="{00000000-0005-0000-0000-000095370000}"/>
    <cellStyle name="Normal 14 9 3 3" xfId="14227" xr:uid="{00000000-0005-0000-0000-000096370000}"/>
    <cellStyle name="Normal 14 9 4" xfId="14228" xr:uid="{00000000-0005-0000-0000-000097370000}"/>
    <cellStyle name="Normal 14 9 4 2" xfId="14229" xr:uid="{00000000-0005-0000-0000-000098370000}"/>
    <cellStyle name="Normal 14 9 4 3" xfId="14230" xr:uid="{00000000-0005-0000-0000-000099370000}"/>
    <cellStyle name="Normal 14 9 5" xfId="14231" xr:uid="{00000000-0005-0000-0000-00009A370000}"/>
    <cellStyle name="Normal 14 9 6" xfId="14232" xr:uid="{00000000-0005-0000-0000-00009B370000}"/>
    <cellStyle name="Normal 14 9 7" xfId="14233" xr:uid="{00000000-0005-0000-0000-00009C370000}"/>
    <cellStyle name="Normal 15" xfId="14234" xr:uid="{00000000-0005-0000-0000-00009D370000}"/>
    <cellStyle name="Normal 15 10" xfId="14235" xr:uid="{00000000-0005-0000-0000-00009E370000}"/>
    <cellStyle name="Normal 15 10 2" xfId="14236" xr:uid="{00000000-0005-0000-0000-00009F370000}"/>
    <cellStyle name="Normal 15 10 2 2" xfId="14237" xr:uid="{00000000-0005-0000-0000-0000A0370000}"/>
    <cellStyle name="Normal 15 10 2 2 2" xfId="14238" xr:uid="{00000000-0005-0000-0000-0000A1370000}"/>
    <cellStyle name="Normal 15 10 2 2 3" xfId="14239" xr:uid="{00000000-0005-0000-0000-0000A2370000}"/>
    <cellStyle name="Normal 15 10 2 3" xfId="14240" xr:uid="{00000000-0005-0000-0000-0000A3370000}"/>
    <cellStyle name="Normal 15 10 2 3 2" xfId="14241" xr:uid="{00000000-0005-0000-0000-0000A4370000}"/>
    <cellStyle name="Normal 15 10 2 3 3" xfId="14242" xr:uid="{00000000-0005-0000-0000-0000A5370000}"/>
    <cellStyle name="Normal 15 10 2 4" xfId="14243" xr:uid="{00000000-0005-0000-0000-0000A6370000}"/>
    <cellStyle name="Normal 15 10 2 5" xfId="14244" xr:uid="{00000000-0005-0000-0000-0000A7370000}"/>
    <cellStyle name="Normal 15 10 2 6" xfId="14245" xr:uid="{00000000-0005-0000-0000-0000A8370000}"/>
    <cellStyle name="Normal 15 10 3" xfId="14246" xr:uid="{00000000-0005-0000-0000-0000A9370000}"/>
    <cellStyle name="Normal 15 10 3 2" xfId="14247" xr:uid="{00000000-0005-0000-0000-0000AA370000}"/>
    <cellStyle name="Normal 15 10 3 3" xfId="14248" xr:uid="{00000000-0005-0000-0000-0000AB370000}"/>
    <cellStyle name="Normal 15 10 4" xfId="14249" xr:uid="{00000000-0005-0000-0000-0000AC370000}"/>
    <cellStyle name="Normal 15 10 4 2" xfId="14250" xr:uid="{00000000-0005-0000-0000-0000AD370000}"/>
    <cellStyle name="Normal 15 10 4 3" xfId="14251" xr:uid="{00000000-0005-0000-0000-0000AE370000}"/>
    <cellStyle name="Normal 15 10 5" xfId="14252" xr:uid="{00000000-0005-0000-0000-0000AF370000}"/>
    <cellStyle name="Normal 15 10 6" xfId="14253" xr:uid="{00000000-0005-0000-0000-0000B0370000}"/>
    <cellStyle name="Normal 15 10 7" xfId="14254" xr:uid="{00000000-0005-0000-0000-0000B1370000}"/>
    <cellStyle name="Normal 15 11" xfId="14255" xr:uid="{00000000-0005-0000-0000-0000B2370000}"/>
    <cellStyle name="Normal 15 11 2" xfId="14256" xr:uid="{00000000-0005-0000-0000-0000B3370000}"/>
    <cellStyle name="Normal 15 11 2 2" xfId="14257" xr:uid="{00000000-0005-0000-0000-0000B4370000}"/>
    <cellStyle name="Normal 15 11 2 2 2" xfId="14258" xr:uid="{00000000-0005-0000-0000-0000B5370000}"/>
    <cellStyle name="Normal 15 11 2 2 3" xfId="14259" xr:uid="{00000000-0005-0000-0000-0000B6370000}"/>
    <cellStyle name="Normal 15 11 2 3" xfId="14260" xr:uid="{00000000-0005-0000-0000-0000B7370000}"/>
    <cellStyle name="Normal 15 11 2 3 2" xfId="14261" xr:uid="{00000000-0005-0000-0000-0000B8370000}"/>
    <cellStyle name="Normal 15 11 2 3 3" xfId="14262" xr:uid="{00000000-0005-0000-0000-0000B9370000}"/>
    <cellStyle name="Normal 15 11 2 4" xfId="14263" xr:uid="{00000000-0005-0000-0000-0000BA370000}"/>
    <cellStyle name="Normal 15 11 2 5" xfId="14264" xr:uid="{00000000-0005-0000-0000-0000BB370000}"/>
    <cellStyle name="Normal 15 11 2 6" xfId="14265" xr:uid="{00000000-0005-0000-0000-0000BC370000}"/>
    <cellStyle name="Normal 15 11 3" xfId="14266" xr:uid="{00000000-0005-0000-0000-0000BD370000}"/>
    <cellStyle name="Normal 15 11 3 2" xfId="14267" xr:uid="{00000000-0005-0000-0000-0000BE370000}"/>
    <cellStyle name="Normal 15 11 3 3" xfId="14268" xr:uid="{00000000-0005-0000-0000-0000BF370000}"/>
    <cellStyle name="Normal 15 11 4" xfId="14269" xr:uid="{00000000-0005-0000-0000-0000C0370000}"/>
    <cellStyle name="Normal 15 11 4 2" xfId="14270" xr:uid="{00000000-0005-0000-0000-0000C1370000}"/>
    <cellStyle name="Normal 15 11 4 3" xfId="14271" xr:uid="{00000000-0005-0000-0000-0000C2370000}"/>
    <cellStyle name="Normal 15 11 5" xfId="14272" xr:uid="{00000000-0005-0000-0000-0000C3370000}"/>
    <cellStyle name="Normal 15 11 6" xfId="14273" xr:uid="{00000000-0005-0000-0000-0000C4370000}"/>
    <cellStyle name="Normal 15 11 7" xfId="14274" xr:uid="{00000000-0005-0000-0000-0000C5370000}"/>
    <cellStyle name="Normal 15 12" xfId="14275" xr:uid="{00000000-0005-0000-0000-0000C6370000}"/>
    <cellStyle name="Normal 15 12 2" xfId="14276" xr:uid="{00000000-0005-0000-0000-0000C7370000}"/>
    <cellStyle name="Normal 15 12 2 2" xfId="14277" xr:uid="{00000000-0005-0000-0000-0000C8370000}"/>
    <cellStyle name="Normal 15 12 2 2 2" xfId="14278" xr:uid="{00000000-0005-0000-0000-0000C9370000}"/>
    <cellStyle name="Normal 15 12 2 2 3" xfId="14279" xr:uid="{00000000-0005-0000-0000-0000CA370000}"/>
    <cellStyle name="Normal 15 12 2 3" xfId="14280" xr:uid="{00000000-0005-0000-0000-0000CB370000}"/>
    <cellStyle name="Normal 15 12 2 3 2" xfId="14281" xr:uid="{00000000-0005-0000-0000-0000CC370000}"/>
    <cellStyle name="Normal 15 12 2 3 3" xfId="14282" xr:uid="{00000000-0005-0000-0000-0000CD370000}"/>
    <cellStyle name="Normal 15 12 2 4" xfId="14283" xr:uid="{00000000-0005-0000-0000-0000CE370000}"/>
    <cellStyle name="Normal 15 12 2 5" xfId="14284" xr:uid="{00000000-0005-0000-0000-0000CF370000}"/>
    <cellStyle name="Normal 15 12 2 6" xfId="14285" xr:uid="{00000000-0005-0000-0000-0000D0370000}"/>
    <cellStyle name="Normal 15 12 3" xfId="14286" xr:uid="{00000000-0005-0000-0000-0000D1370000}"/>
    <cellStyle name="Normal 15 12 3 2" xfId="14287" xr:uid="{00000000-0005-0000-0000-0000D2370000}"/>
    <cellStyle name="Normal 15 12 3 3" xfId="14288" xr:uid="{00000000-0005-0000-0000-0000D3370000}"/>
    <cellStyle name="Normal 15 12 4" xfId="14289" xr:uid="{00000000-0005-0000-0000-0000D4370000}"/>
    <cellStyle name="Normal 15 12 4 2" xfId="14290" xr:uid="{00000000-0005-0000-0000-0000D5370000}"/>
    <cellStyle name="Normal 15 12 4 3" xfId="14291" xr:uid="{00000000-0005-0000-0000-0000D6370000}"/>
    <cellStyle name="Normal 15 12 5" xfId="14292" xr:uid="{00000000-0005-0000-0000-0000D7370000}"/>
    <cellStyle name="Normal 15 12 6" xfId="14293" xr:uid="{00000000-0005-0000-0000-0000D8370000}"/>
    <cellStyle name="Normal 15 12 7" xfId="14294" xr:uid="{00000000-0005-0000-0000-0000D9370000}"/>
    <cellStyle name="Normal 15 13" xfId="14295" xr:uid="{00000000-0005-0000-0000-0000DA370000}"/>
    <cellStyle name="Normal 15 13 2" xfId="14296" xr:uid="{00000000-0005-0000-0000-0000DB370000}"/>
    <cellStyle name="Normal 15 13 2 2" xfId="14297" xr:uid="{00000000-0005-0000-0000-0000DC370000}"/>
    <cellStyle name="Normal 15 13 2 2 2" xfId="14298" xr:uid="{00000000-0005-0000-0000-0000DD370000}"/>
    <cellStyle name="Normal 15 13 2 2 3" xfId="14299" xr:uid="{00000000-0005-0000-0000-0000DE370000}"/>
    <cellStyle name="Normal 15 13 2 3" xfId="14300" xr:uid="{00000000-0005-0000-0000-0000DF370000}"/>
    <cellStyle name="Normal 15 13 2 3 2" xfId="14301" xr:uid="{00000000-0005-0000-0000-0000E0370000}"/>
    <cellStyle name="Normal 15 13 2 3 3" xfId="14302" xr:uid="{00000000-0005-0000-0000-0000E1370000}"/>
    <cellStyle name="Normal 15 13 2 4" xfId="14303" xr:uid="{00000000-0005-0000-0000-0000E2370000}"/>
    <cellStyle name="Normal 15 13 2 5" xfId="14304" xr:uid="{00000000-0005-0000-0000-0000E3370000}"/>
    <cellStyle name="Normal 15 13 2 6" xfId="14305" xr:uid="{00000000-0005-0000-0000-0000E4370000}"/>
    <cellStyle name="Normal 15 13 3" xfId="14306" xr:uid="{00000000-0005-0000-0000-0000E5370000}"/>
    <cellStyle name="Normal 15 13 3 2" xfId="14307" xr:uid="{00000000-0005-0000-0000-0000E6370000}"/>
    <cellStyle name="Normal 15 13 3 3" xfId="14308" xr:uid="{00000000-0005-0000-0000-0000E7370000}"/>
    <cellStyle name="Normal 15 13 4" xfId="14309" xr:uid="{00000000-0005-0000-0000-0000E8370000}"/>
    <cellStyle name="Normal 15 13 4 2" xfId="14310" xr:uid="{00000000-0005-0000-0000-0000E9370000}"/>
    <cellStyle name="Normal 15 13 4 3" xfId="14311" xr:uid="{00000000-0005-0000-0000-0000EA370000}"/>
    <cellStyle name="Normal 15 13 5" xfId="14312" xr:uid="{00000000-0005-0000-0000-0000EB370000}"/>
    <cellStyle name="Normal 15 13 6" xfId="14313" xr:uid="{00000000-0005-0000-0000-0000EC370000}"/>
    <cellStyle name="Normal 15 13 7" xfId="14314" xr:uid="{00000000-0005-0000-0000-0000ED370000}"/>
    <cellStyle name="Normal 15 14" xfId="14315" xr:uid="{00000000-0005-0000-0000-0000EE370000}"/>
    <cellStyle name="Normal 15 14 2" xfId="14316" xr:uid="{00000000-0005-0000-0000-0000EF370000}"/>
    <cellStyle name="Normal 15 14 2 2" xfId="14317" xr:uid="{00000000-0005-0000-0000-0000F0370000}"/>
    <cellStyle name="Normal 15 14 2 2 2" xfId="14318" xr:uid="{00000000-0005-0000-0000-0000F1370000}"/>
    <cellStyle name="Normal 15 14 2 2 3" xfId="14319" xr:uid="{00000000-0005-0000-0000-0000F2370000}"/>
    <cellStyle name="Normal 15 14 2 3" xfId="14320" xr:uid="{00000000-0005-0000-0000-0000F3370000}"/>
    <cellStyle name="Normal 15 14 2 3 2" xfId="14321" xr:uid="{00000000-0005-0000-0000-0000F4370000}"/>
    <cellStyle name="Normal 15 14 2 3 3" xfId="14322" xr:uid="{00000000-0005-0000-0000-0000F5370000}"/>
    <cellStyle name="Normal 15 14 2 4" xfId="14323" xr:uid="{00000000-0005-0000-0000-0000F6370000}"/>
    <cellStyle name="Normal 15 14 2 5" xfId="14324" xr:uid="{00000000-0005-0000-0000-0000F7370000}"/>
    <cellStyle name="Normal 15 14 2 6" xfId="14325" xr:uid="{00000000-0005-0000-0000-0000F8370000}"/>
    <cellStyle name="Normal 15 14 3" xfId="14326" xr:uid="{00000000-0005-0000-0000-0000F9370000}"/>
    <cellStyle name="Normal 15 14 3 2" xfId="14327" xr:uid="{00000000-0005-0000-0000-0000FA370000}"/>
    <cellStyle name="Normal 15 14 3 3" xfId="14328" xr:uid="{00000000-0005-0000-0000-0000FB370000}"/>
    <cellStyle name="Normal 15 14 4" xfId="14329" xr:uid="{00000000-0005-0000-0000-0000FC370000}"/>
    <cellStyle name="Normal 15 14 4 2" xfId="14330" xr:uid="{00000000-0005-0000-0000-0000FD370000}"/>
    <cellStyle name="Normal 15 14 4 3" xfId="14331" xr:uid="{00000000-0005-0000-0000-0000FE370000}"/>
    <cellStyle name="Normal 15 14 5" xfId="14332" xr:uid="{00000000-0005-0000-0000-0000FF370000}"/>
    <cellStyle name="Normal 15 14 6" xfId="14333" xr:uid="{00000000-0005-0000-0000-000000380000}"/>
    <cellStyle name="Normal 15 14 7" xfId="14334" xr:uid="{00000000-0005-0000-0000-000001380000}"/>
    <cellStyle name="Normal 15 15" xfId="14335" xr:uid="{00000000-0005-0000-0000-000002380000}"/>
    <cellStyle name="Normal 15 15 2" xfId="14336" xr:uid="{00000000-0005-0000-0000-000003380000}"/>
    <cellStyle name="Normal 15 15 2 2" xfId="14337" xr:uid="{00000000-0005-0000-0000-000004380000}"/>
    <cellStyle name="Normal 15 15 2 2 2" xfId="14338" xr:uid="{00000000-0005-0000-0000-000005380000}"/>
    <cellStyle name="Normal 15 15 2 2 3" xfId="14339" xr:uid="{00000000-0005-0000-0000-000006380000}"/>
    <cellStyle name="Normal 15 15 2 3" xfId="14340" xr:uid="{00000000-0005-0000-0000-000007380000}"/>
    <cellStyle name="Normal 15 15 2 3 2" xfId="14341" xr:uid="{00000000-0005-0000-0000-000008380000}"/>
    <cellStyle name="Normal 15 15 2 3 3" xfId="14342" xr:uid="{00000000-0005-0000-0000-000009380000}"/>
    <cellStyle name="Normal 15 15 2 4" xfId="14343" xr:uid="{00000000-0005-0000-0000-00000A380000}"/>
    <cellStyle name="Normal 15 15 2 5" xfId="14344" xr:uid="{00000000-0005-0000-0000-00000B380000}"/>
    <cellStyle name="Normal 15 15 2 6" xfId="14345" xr:uid="{00000000-0005-0000-0000-00000C380000}"/>
    <cellStyle name="Normal 15 15 3" xfId="14346" xr:uid="{00000000-0005-0000-0000-00000D380000}"/>
    <cellStyle name="Normal 15 15 3 2" xfId="14347" xr:uid="{00000000-0005-0000-0000-00000E380000}"/>
    <cellStyle name="Normal 15 15 3 3" xfId="14348" xr:uid="{00000000-0005-0000-0000-00000F380000}"/>
    <cellStyle name="Normal 15 15 4" xfId="14349" xr:uid="{00000000-0005-0000-0000-000010380000}"/>
    <cellStyle name="Normal 15 15 4 2" xfId="14350" xr:uid="{00000000-0005-0000-0000-000011380000}"/>
    <cellStyle name="Normal 15 15 4 3" xfId="14351" xr:uid="{00000000-0005-0000-0000-000012380000}"/>
    <cellStyle name="Normal 15 15 5" xfId="14352" xr:uid="{00000000-0005-0000-0000-000013380000}"/>
    <cellStyle name="Normal 15 15 6" xfId="14353" xr:uid="{00000000-0005-0000-0000-000014380000}"/>
    <cellStyle name="Normal 15 15 7" xfId="14354" xr:uid="{00000000-0005-0000-0000-000015380000}"/>
    <cellStyle name="Normal 15 16" xfId="14355" xr:uid="{00000000-0005-0000-0000-000016380000}"/>
    <cellStyle name="Normal 15 16 2" xfId="14356" xr:uid="{00000000-0005-0000-0000-000017380000}"/>
    <cellStyle name="Normal 15 16 2 2" xfId="14357" xr:uid="{00000000-0005-0000-0000-000018380000}"/>
    <cellStyle name="Normal 15 16 2 2 2" xfId="14358" xr:uid="{00000000-0005-0000-0000-000019380000}"/>
    <cellStyle name="Normal 15 16 2 2 3" xfId="14359" xr:uid="{00000000-0005-0000-0000-00001A380000}"/>
    <cellStyle name="Normal 15 16 2 3" xfId="14360" xr:uid="{00000000-0005-0000-0000-00001B380000}"/>
    <cellStyle name="Normal 15 16 2 3 2" xfId="14361" xr:uid="{00000000-0005-0000-0000-00001C380000}"/>
    <cellStyle name="Normal 15 16 2 3 3" xfId="14362" xr:uid="{00000000-0005-0000-0000-00001D380000}"/>
    <cellStyle name="Normal 15 16 2 4" xfId="14363" xr:uid="{00000000-0005-0000-0000-00001E380000}"/>
    <cellStyle name="Normal 15 16 2 5" xfId="14364" xr:uid="{00000000-0005-0000-0000-00001F380000}"/>
    <cellStyle name="Normal 15 16 2 6" xfId="14365" xr:uid="{00000000-0005-0000-0000-000020380000}"/>
    <cellStyle name="Normal 15 16 3" xfId="14366" xr:uid="{00000000-0005-0000-0000-000021380000}"/>
    <cellStyle name="Normal 15 16 3 2" xfId="14367" xr:uid="{00000000-0005-0000-0000-000022380000}"/>
    <cellStyle name="Normal 15 16 3 3" xfId="14368" xr:uid="{00000000-0005-0000-0000-000023380000}"/>
    <cellStyle name="Normal 15 16 4" xfId="14369" xr:uid="{00000000-0005-0000-0000-000024380000}"/>
    <cellStyle name="Normal 15 16 4 2" xfId="14370" xr:uid="{00000000-0005-0000-0000-000025380000}"/>
    <cellStyle name="Normal 15 16 4 3" xfId="14371" xr:uid="{00000000-0005-0000-0000-000026380000}"/>
    <cellStyle name="Normal 15 16 5" xfId="14372" xr:uid="{00000000-0005-0000-0000-000027380000}"/>
    <cellStyle name="Normal 15 16 6" xfId="14373" xr:uid="{00000000-0005-0000-0000-000028380000}"/>
    <cellStyle name="Normal 15 16 7" xfId="14374" xr:uid="{00000000-0005-0000-0000-000029380000}"/>
    <cellStyle name="Normal 15 17" xfId="14375" xr:uid="{00000000-0005-0000-0000-00002A380000}"/>
    <cellStyle name="Normal 15 17 2" xfId="14376" xr:uid="{00000000-0005-0000-0000-00002B380000}"/>
    <cellStyle name="Normal 15 17 2 2" xfId="14377" xr:uid="{00000000-0005-0000-0000-00002C380000}"/>
    <cellStyle name="Normal 15 17 2 2 2" xfId="14378" xr:uid="{00000000-0005-0000-0000-00002D380000}"/>
    <cellStyle name="Normal 15 17 2 2 3" xfId="14379" xr:uid="{00000000-0005-0000-0000-00002E380000}"/>
    <cellStyle name="Normal 15 17 2 3" xfId="14380" xr:uid="{00000000-0005-0000-0000-00002F380000}"/>
    <cellStyle name="Normal 15 17 2 3 2" xfId="14381" xr:uid="{00000000-0005-0000-0000-000030380000}"/>
    <cellStyle name="Normal 15 17 2 3 3" xfId="14382" xr:uid="{00000000-0005-0000-0000-000031380000}"/>
    <cellStyle name="Normal 15 17 2 4" xfId="14383" xr:uid="{00000000-0005-0000-0000-000032380000}"/>
    <cellStyle name="Normal 15 17 2 5" xfId="14384" xr:uid="{00000000-0005-0000-0000-000033380000}"/>
    <cellStyle name="Normal 15 17 2 6" xfId="14385" xr:uid="{00000000-0005-0000-0000-000034380000}"/>
    <cellStyle name="Normal 15 17 3" xfId="14386" xr:uid="{00000000-0005-0000-0000-000035380000}"/>
    <cellStyle name="Normal 15 17 3 2" xfId="14387" xr:uid="{00000000-0005-0000-0000-000036380000}"/>
    <cellStyle name="Normal 15 17 3 3" xfId="14388" xr:uid="{00000000-0005-0000-0000-000037380000}"/>
    <cellStyle name="Normal 15 17 4" xfId="14389" xr:uid="{00000000-0005-0000-0000-000038380000}"/>
    <cellStyle name="Normal 15 17 4 2" xfId="14390" xr:uid="{00000000-0005-0000-0000-000039380000}"/>
    <cellStyle name="Normal 15 17 4 3" xfId="14391" xr:uid="{00000000-0005-0000-0000-00003A380000}"/>
    <cellStyle name="Normal 15 17 5" xfId="14392" xr:uid="{00000000-0005-0000-0000-00003B380000}"/>
    <cellStyle name="Normal 15 17 6" xfId="14393" xr:uid="{00000000-0005-0000-0000-00003C380000}"/>
    <cellStyle name="Normal 15 17 7" xfId="14394" xr:uid="{00000000-0005-0000-0000-00003D380000}"/>
    <cellStyle name="Normal 15 18" xfId="14395" xr:uid="{00000000-0005-0000-0000-00003E380000}"/>
    <cellStyle name="Normal 15 18 2" xfId="14396" xr:uid="{00000000-0005-0000-0000-00003F380000}"/>
    <cellStyle name="Normal 15 18 2 2" xfId="14397" xr:uid="{00000000-0005-0000-0000-000040380000}"/>
    <cellStyle name="Normal 15 18 2 2 2" xfId="14398" xr:uid="{00000000-0005-0000-0000-000041380000}"/>
    <cellStyle name="Normal 15 18 2 2 3" xfId="14399" xr:uid="{00000000-0005-0000-0000-000042380000}"/>
    <cellStyle name="Normal 15 18 2 3" xfId="14400" xr:uid="{00000000-0005-0000-0000-000043380000}"/>
    <cellStyle name="Normal 15 18 2 3 2" xfId="14401" xr:uid="{00000000-0005-0000-0000-000044380000}"/>
    <cellStyle name="Normal 15 18 2 3 3" xfId="14402" xr:uid="{00000000-0005-0000-0000-000045380000}"/>
    <cellStyle name="Normal 15 18 2 4" xfId="14403" xr:uid="{00000000-0005-0000-0000-000046380000}"/>
    <cellStyle name="Normal 15 18 2 5" xfId="14404" xr:uid="{00000000-0005-0000-0000-000047380000}"/>
    <cellStyle name="Normal 15 18 2 6" xfId="14405" xr:uid="{00000000-0005-0000-0000-000048380000}"/>
    <cellStyle name="Normal 15 18 3" xfId="14406" xr:uid="{00000000-0005-0000-0000-000049380000}"/>
    <cellStyle name="Normal 15 18 3 2" xfId="14407" xr:uid="{00000000-0005-0000-0000-00004A380000}"/>
    <cellStyle name="Normal 15 18 3 3" xfId="14408" xr:uid="{00000000-0005-0000-0000-00004B380000}"/>
    <cellStyle name="Normal 15 18 4" xfId="14409" xr:uid="{00000000-0005-0000-0000-00004C380000}"/>
    <cellStyle name="Normal 15 18 4 2" xfId="14410" xr:uid="{00000000-0005-0000-0000-00004D380000}"/>
    <cellStyle name="Normal 15 18 4 3" xfId="14411" xr:uid="{00000000-0005-0000-0000-00004E380000}"/>
    <cellStyle name="Normal 15 18 5" xfId="14412" xr:uid="{00000000-0005-0000-0000-00004F380000}"/>
    <cellStyle name="Normal 15 18 6" xfId="14413" xr:uid="{00000000-0005-0000-0000-000050380000}"/>
    <cellStyle name="Normal 15 18 7" xfId="14414" xr:uid="{00000000-0005-0000-0000-000051380000}"/>
    <cellStyle name="Normal 15 19" xfId="14415" xr:uid="{00000000-0005-0000-0000-000052380000}"/>
    <cellStyle name="Normal 15 19 2" xfId="14416" xr:uid="{00000000-0005-0000-0000-000053380000}"/>
    <cellStyle name="Normal 15 19 2 2" xfId="14417" xr:uid="{00000000-0005-0000-0000-000054380000}"/>
    <cellStyle name="Normal 15 19 2 2 2" xfId="14418" xr:uid="{00000000-0005-0000-0000-000055380000}"/>
    <cellStyle name="Normal 15 19 2 2 3" xfId="14419" xr:uid="{00000000-0005-0000-0000-000056380000}"/>
    <cellStyle name="Normal 15 19 2 3" xfId="14420" xr:uid="{00000000-0005-0000-0000-000057380000}"/>
    <cellStyle name="Normal 15 19 2 3 2" xfId="14421" xr:uid="{00000000-0005-0000-0000-000058380000}"/>
    <cellStyle name="Normal 15 19 2 3 3" xfId="14422" xr:uid="{00000000-0005-0000-0000-000059380000}"/>
    <cellStyle name="Normal 15 19 2 4" xfId="14423" xr:uid="{00000000-0005-0000-0000-00005A380000}"/>
    <cellStyle name="Normal 15 19 2 5" xfId="14424" xr:uid="{00000000-0005-0000-0000-00005B380000}"/>
    <cellStyle name="Normal 15 19 2 6" xfId="14425" xr:uid="{00000000-0005-0000-0000-00005C380000}"/>
    <cellStyle name="Normal 15 19 3" xfId="14426" xr:uid="{00000000-0005-0000-0000-00005D380000}"/>
    <cellStyle name="Normal 15 19 3 2" xfId="14427" xr:uid="{00000000-0005-0000-0000-00005E380000}"/>
    <cellStyle name="Normal 15 19 3 3" xfId="14428" xr:uid="{00000000-0005-0000-0000-00005F380000}"/>
    <cellStyle name="Normal 15 19 4" xfId="14429" xr:uid="{00000000-0005-0000-0000-000060380000}"/>
    <cellStyle name="Normal 15 19 4 2" xfId="14430" xr:uid="{00000000-0005-0000-0000-000061380000}"/>
    <cellStyle name="Normal 15 19 4 3" xfId="14431" xr:uid="{00000000-0005-0000-0000-000062380000}"/>
    <cellStyle name="Normal 15 19 5" xfId="14432" xr:uid="{00000000-0005-0000-0000-000063380000}"/>
    <cellStyle name="Normal 15 19 6" xfId="14433" xr:uid="{00000000-0005-0000-0000-000064380000}"/>
    <cellStyle name="Normal 15 19 7" xfId="14434" xr:uid="{00000000-0005-0000-0000-000065380000}"/>
    <cellStyle name="Normal 15 2" xfId="14435" xr:uid="{00000000-0005-0000-0000-000066380000}"/>
    <cellStyle name="Normal 15 2 10" xfId="14436" xr:uid="{00000000-0005-0000-0000-000067380000}"/>
    <cellStyle name="Normal 15 2 10 2" xfId="14437" xr:uid="{00000000-0005-0000-0000-000068380000}"/>
    <cellStyle name="Normal 15 2 10 2 2" xfId="14438" xr:uid="{00000000-0005-0000-0000-000069380000}"/>
    <cellStyle name="Normal 15 2 10 2 2 2" xfId="14439" xr:uid="{00000000-0005-0000-0000-00006A380000}"/>
    <cellStyle name="Normal 15 2 10 2 2 3" xfId="14440" xr:uid="{00000000-0005-0000-0000-00006B380000}"/>
    <cellStyle name="Normal 15 2 10 2 3" xfId="14441" xr:uid="{00000000-0005-0000-0000-00006C380000}"/>
    <cellStyle name="Normal 15 2 10 2 3 2" xfId="14442" xr:uid="{00000000-0005-0000-0000-00006D380000}"/>
    <cellStyle name="Normal 15 2 10 2 3 3" xfId="14443" xr:uid="{00000000-0005-0000-0000-00006E380000}"/>
    <cellStyle name="Normal 15 2 10 2 4" xfId="14444" xr:uid="{00000000-0005-0000-0000-00006F380000}"/>
    <cellStyle name="Normal 15 2 10 2 5" xfId="14445" xr:uid="{00000000-0005-0000-0000-000070380000}"/>
    <cellStyle name="Normal 15 2 10 2 6" xfId="14446" xr:uid="{00000000-0005-0000-0000-000071380000}"/>
    <cellStyle name="Normal 15 2 10 3" xfId="14447" xr:uid="{00000000-0005-0000-0000-000072380000}"/>
    <cellStyle name="Normal 15 2 10 3 2" xfId="14448" xr:uid="{00000000-0005-0000-0000-000073380000}"/>
    <cellStyle name="Normal 15 2 10 3 3" xfId="14449" xr:uid="{00000000-0005-0000-0000-000074380000}"/>
    <cellStyle name="Normal 15 2 10 4" xfId="14450" xr:uid="{00000000-0005-0000-0000-000075380000}"/>
    <cellStyle name="Normal 15 2 10 4 2" xfId="14451" xr:uid="{00000000-0005-0000-0000-000076380000}"/>
    <cellStyle name="Normal 15 2 10 4 3" xfId="14452" xr:uid="{00000000-0005-0000-0000-000077380000}"/>
    <cellStyle name="Normal 15 2 10 5" xfId="14453" xr:uid="{00000000-0005-0000-0000-000078380000}"/>
    <cellStyle name="Normal 15 2 10 6" xfId="14454" xr:uid="{00000000-0005-0000-0000-000079380000}"/>
    <cellStyle name="Normal 15 2 10 7" xfId="14455" xr:uid="{00000000-0005-0000-0000-00007A380000}"/>
    <cellStyle name="Normal 15 2 11" xfId="14456" xr:uid="{00000000-0005-0000-0000-00007B380000}"/>
    <cellStyle name="Normal 15 2 11 2" xfId="14457" xr:uid="{00000000-0005-0000-0000-00007C380000}"/>
    <cellStyle name="Normal 15 2 11 2 2" xfId="14458" xr:uid="{00000000-0005-0000-0000-00007D380000}"/>
    <cellStyle name="Normal 15 2 11 2 2 2" xfId="14459" xr:uid="{00000000-0005-0000-0000-00007E380000}"/>
    <cellStyle name="Normal 15 2 11 2 2 3" xfId="14460" xr:uid="{00000000-0005-0000-0000-00007F380000}"/>
    <cellStyle name="Normal 15 2 11 2 3" xfId="14461" xr:uid="{00000000-0005-0000-0000-000080380000}"/>
    <cellStyle name="Normal 15 2 11 2 3 2" xfId="14462" xr:uid="{00000000-0005-0000-0000-000081380000}"/>
    <cellStyle name="Normal 15 2 11 2 3 3" xfId="14463" xr:uid="{00000000-0005-0000-0000-000082380000}"/>
    <cellStyle name="Normal 15 2 11 2 4" xfId="14464" xr:uid="{00000000-0005-0000-0000-000083380000}"/>
    <cellStyle name="Normal 15 2 11 2 5" xfId="14465" xr:uid="{00000000-0005-0000-0000-000084380000}"/>
    <cellStyle name="Normal 15 2 11 2 6" xfId="14466" xr:uid="{00000000-0005-0000-0000-000085380000}"/>
    <cellStyle name="Normal 15 2 11 3" xfId="14467" xr:uid="{00000000-0005-0000-0000-000086380000}"/>
    <cellStyle name="Normal 15 2 11 3 2" xfId="14468" xr:uid="{00000000-0005-0000-0000-000087380000}"/>
    <cellStyle name="Normal 15 2 11 3 3" xfId="14469" xr:uid="{00000000-0005-0000-0000-000088380000}"/>
    <cellStyle name="Normal 15 2 11 4" xfId="14470" xr:uid="{00000000-0005-0000-0000-000089380000}"/>
    <cellStyle name="Normal 15 2 11 4 2" xfId="14471" xr:uid="{00000000-0005-0000-0000-00008A380000}"/>
    <cellStyle name="Normal 15 2 11 4 3" xfId="14472" xr:uid="{00000000-0005-0000-0000-00008B380000}"/>
    <cellStyle name="Normal 15 2 11 5" xfId="14473" xr:uid="{00000000-0005-0000-0000-00008C380000}"/>
    <cellStyle name="Normal 15 2 11 6" xfId="14474" xr:uid="{00000000-0005-0000-0000-00008D380000}"/>
    <cellStyle name="Normal 15 2 11 7" xfId="14475" xr:uid="{00000000-0005-0000-0000-00008E380000}"/>
    <cellStyle name="Normal 15 2 12" xfId="14476" xr:uid="{00000000-0005-0000-0000-00008F380000}"/>
    <cellStyle name="Normal 15 2 12 2" xfId="14477" xr:uid="{00000000-0005-0000-0000-000090380000}"/>
    <cellStyle name="Normal 15 2 12 2 2" xfId="14478" xr:uid="{00000000-0005-0000-0000-000091380000}"/>
    <cellStyle name="Normal 15 2 12 2 2 2" xfId="14479" xr:uid="{00000000-0005-0000-0000-000092380000}"/>
    <cellStyle name="Normal 15 2 12 2 2 3" xfId="14480" xr:uid="{00000000-0005-0000-0000-000093380000}"/>
    <cellStyle name="Normal 15 2 12 2 3" xfId="14481" xr:uid="{00000000-0005-0000-0000-000094380000}"/>
    <cellStyle name="Normal 15 2 12 2 3 2" xfId="14482" xr:uid="{00000000-0005-0000-0000-000095380000}"/>
    <cellStyle name="Normal 15 2 12 2 3 3" xfId="14483" xr:uid="{00000000-0005-0000-0000-000096380000}"/>
    <cellStyle name="Normal 15 2 12 2 4" xfId="14484" xr:uid="{00000000-0005-0000-0000-000097380000}"/>
    <cellStyle name="Normal 15 2 12 2 5" xfId="14485" xr:uid="{00000000-0005-0000-0000-000098380000}"/>
    <cellStyle name="Normal 15 2 12 2 6" xfId="14486" xr:uid="{00000000-0005-0000-0000-000099380000}"/>
    <cellStyle name="Normal 15 2 12 3" xfId="14487" xr:uid="{00000000-0005-0000-0000-00009A380000}"/>
    <cellStyle name="Normal 15 2 12 3 2" xfId="14488" xr:uid="{00000000-0005-0000-0000-00009B380000}"/>
    <cellStyle name="Normal 15 2 12 3 3" xfId="14489" xr:uid="{00000000-0005-0000-0000-00009C380000}"/>
    <cellStyle name="Normal 15 2 12 4" xfId="14490" xr:uid="{00000000-0005-0000-0000-00009D380000}"/>
    <cellStyle name="Normal 15 2 12 4 2" xfId="14491" xr:uid="{00000000-0005-0000-0000-00009E380000}"/>
    <cellStyle name="Normal 15 2 12 4 3" xfId="14492" xr:uid="{00000000-0005-0000-0000-00009F380000}"/>
    <cellStyle name="Normal 15 2 12 5" xfId="14493" xr:uid="{00000000-0005-0000-0000-0000A0380000}"/>
    <cellStyle name="Normal 15 2 12 6" xfId="14494" xr:uid="{00000000-0005-0000-0000-0000A1380000}"/>
    <cellStyle name="Normal 15 2 12 7" xfId="14495" xr:uid="{00000000-0005-0000-0000-0000A2380000}"/>
    <cellStyle name="Normal 15 2 13" xfId="14496" xr:uid="{00000000-0005-0000-0000-0000A3380000}"/>
    <cellStyle name="Normal 15 2 13 2" xfId="14497" xr:uid="{00000000-0005-0000-0000-0000A4380000}"/>
    <cellStyle name="Normal 15 2 13 2 2" xfId="14498" xr:uid="{00000000-0005-0000-0000-0000A5380000}"/>
    <cellStyle name="Normal 15 2 13 2 2 2" xfId="14499" xr:uid="{00000000-0005-0000-0000-0000A6380000}"/>
    <cellStyle name="Normal 15 2 13 2 2 3" xfId="14500" xr:uid="{00000000-0005-0000-0000-0000A7380000}"/>
    <cellStyle name="Normal 15 2 13 2 3" xfId="14501" xr:uid="{00000000-0005-0000-0000-0000A8380000}"/>
    <cellStyle name="Normal 15 2 13 2 3 2" xfId="14502" xr:uid="{00000000-0005-0000-0000-0000A9380000}"/>
    <cellStyle name="Normal 15 2 13 2 3 3" xfId="14503" xr:uid="{00000000-0005-0000-0000-0000AA380000}"/>
    <cellStyle name="Normal 15 2 13 2 4" xfId="14504" xr:uid="{00000000-0005-0000-0000-0000AB380000}"/>
    <cellStyle name="Normal 15 2 13 2 5" xfId="14505" xr:uid="{00000000-0005-0000-0000-0000AC380000}"/>
    <cellStyle name="Normal 15 2 13 2 6" xfId="14506" xr:uid="{00000000-0005-0000-0000-0000AD380000}"/>
    <cellStyle name="Normal 15 2 13 3" xfId="14507" xr:uid="{00000000-0005-0000-0000-0000AE380000}"/>
    <cellStyle name="Normal 15 2 13 3 2" xfId="14508" xr:uid="{00000000-0005-0000-0000-0000AF380000}"/>
    <cellStyle name="Normal 15 2 13 3 3" xfId="14509" xr:uid="{00000000-0005-0000-0000-0000B0380000}"/>
    <cellStyle name="Normal 15 2 13 4" xfId="14510" xr:uid="{00000000-0005-0000-0000-0000B1380000}"/>
    <cellStyle name="Normal 15 2 13 4 2" xfId="14511" xr:uid="{00000000-0005-0000-0000-0000B2380000}"/>
    <cellStyle name="Normal 15 2 13 4 3" xfId="14512" xr:uid="{00000000-0005-0000-0000-0000B3380000}"/>
    <cellStyle name="Normal 15 2 13 5" xfId="14513" xr:uid="{00000000-0005-0000-0000-0000B4380000}"/>
    <cellStyle name="Normal 15 2 13 6" xfId="14514" xr:uid="{00000000-0005-0000-0000-0000B5380000}"/>
    <cellStyle name="Normal 15 2 13 7" xfId="14515" xr:uid="{00000000-0005-0000-0000-0000B6380000}"/>
    <cellStyle name="Normal 15 2 14" xfId="14516" xr:uid="{00000000-0005-0000-0000-0000B7380000}"/>
    <cellStyle name="Normal 15 2 14 2" xfId="14517" xr:uid="{00000000-0005-0000-0000-0000B8380000}"/>
    <cellStyle name="Normal 15 2 14 2 2" xfId="14518" xr:uid="{00000000-0005-0000-0000-0000B9380000}"/>
    <cellStyle name="Normal 15 2 14 2 2 2" xfId="14519" xr:uid="{00000000-0005-0000-0000-0000BA380000}"/>
    <cellStyle name="Normal 15 2 14 2 2 3" xfId="14520" xr:uid="{00000000-0005-0000-0000-0000BB380000}"/>
    <cellStyle name="Normal 15 2 14 2 3" xfId="14521" xr:uid="{00000000-0005-0000-0000-0000BC380000}"/>
    <cellStyle name="Normal 15 2 14 2 3 2" xfId="14522" xr:uid="{00000000-0005-0000-0000-0000BD380000}"/>
    <cellStyle name="Normal 15 2 14 2 3 3" xfId="14523" xr:uid="{00000000-0005-0000-0000-0000BE380000}"/>
    <cellStyle name="Normal 15 2 14 2 4" xfId="14524" xr:uid="{00000000-0005-0000-0000-0000BF380000}"/>
    <cellStyle name="Normal 15 2 14 2 5" xfId="14525" xr:uid="{00000000-0005-0000-0000-0000C0380000}"/>
    <cellStyle name="Normal 15 2 14 2 6" xfId="14526" xr:uid="{00000000-0005-0000-0000-0000C1380000}"/>
    <cellStyle name="Normal 15 2 14 3" xfId="14527" xr:uid="{00000000-0005-0000-0000-0000C2380000}"/>
    <cellStyle name="Normal 15 2 14 3 2" xfId="14528" xr:uid="{00000000-0005-0000-0000-0000C3380000}"/>
    <cellStyle name="Normal 15 2 14 3 3" xfId="14529" xr:uid="{00000000-0005-0000-0000-0000C4380000}"/>
    <cellStyle name="Normal 15 2 14 4" xfId="14530" xr:uid="{00000000-0005-0000-0000-0000C5380000}"/>
    <cellStyle name="Normal 15 2 14 4 2" xfId="14531" xr:uid="{00000000-0005-0000-0000-0000C6380000}"/>
    <cellStyle name="Normal 15 2 14 4 3" xfId="14532" xr:uid="{00000000-0005-0000-0000-0000C7380000}"/>
    <cellStyle name="Normal 15 2 14 5" xfId="14533" xr:uid="{00000000-0005-0000-0000-0000C8380000}"/>
    <cellStyle name="Normal 15 2 14 6" xfId="14534" xr:uid="{00000000-0005-0000-0000-0000C9380000}"/>
    <cellStyle name="Normal 15 2 14 7" xfId="14535" xr:uid="{00000000-0005-0000-0000-0000CA380000}"/>
    <cellStyle name="Normal 15 2 15" xfId="14536" xr:uid="{00000000-0005-0000-0000-0000CB380000}"/>
    <cellStyle name="Normal 15 2 15 2" xfId="14537" xr:uid="{00000000-0005-0000-0000-0000CC380000}"/>
    <cellStyle name="Normal 15 2 15 2 2" xfId="14538" xr:uid="{00000000-0005-0000-0000-0000CD380000}"/>
    <cellStyle name="Normal 15 2 15 2 2 2" xfId="14539" xr:uid="{00000000-0005-0000-0000-0000CE380000}"/>
    <cellStyle name="Normal 15 2 15 2 2 3" xfId="14540" xr:uid="{00000000-0005-0000-0000-0000CF380000}"/>
    <cellStyle name="Normal 15 2 15 2 3" xfId="14541" xr:uid="{00000000-0005-0000-0000-0000D0380000}"/>
    <cellStyle name="Normal 15 2 15 2 3 2" xfId="14542" xr:uid="{00000000-0005-0000-0000-0000D1380000}"/>
    <cellStyle name="Normal 15 2 15 2 3 3" xfId="14543" xr:uid="{00000000-0005-0000-0000-0000D2380000}"/>
    <cellStyle name="Normal 15 2 15 2 4" xfId="14544" xr:uid="{00000000-0005-0000-0000-0000D3380000}"/>
    <cellStyle name="Normal 15 2 15 2 5" xfId="14545" xr:uid="{00000000-0005-0000-0000-0000D4380000}"/>
    <cellStyle name="Normal 15 2 15 2 6" xfId="14546" xr:uid="{00000000-0005-0000-0000-0000D5380000}"/>
    <cellStyle name="Normal 15 2 15 3" xfId="14547" xr:uid="{00000000-0005-0000-0000-0000D6380000}"/>
    <cellStyle name="Normal 15 2 15 3 2" xfId="14548" xr:uid="{00000000-0005-0000-0000-0000D7380000}"/>
    <cellStyle name="Normal 15 2 15 3 3" xfId="14549" xr:uid="{00000000-0005-0000-0000-0000D8380000}"/>
    <cellStyle name="Normal 15 2 15 4" xfId="14550" xr:uid="{00000000-0005-0000-0000-0000D9380000}"/>
    <cellStyle name="Normal 15 2 15 4 2" xfId="14551" xr:uid="{00000000-0005-0000-0000-0000DA380000}"/>
    <cellStyle name="Normal 15 2 15 4 3" xfId="14552" xr:uid="{00000000-0005-0000-0000-0000DB380000}"/>
    <cellStyle name="Normal 15 2 15 5" xfId="14553" xr:uid="{00000000-0005-0000-0000-0000DC380000}"/>
    <cellStyle name="Normal 15 2 15 6" xfId="14554" xr:uid="{00000000-0005-0000-0000-0000DD380000}"/>
    <cellStyle name="Normal 15 2 15 7" xfId="14555" xr:uid="{00000000-0005-0000-0000-0000DE380000}"/>
    <cellStyle name="Normal 15 2 16" xfId="14556" xr:uid="{00000000-0005-0000-0000-0000DF380000}"/>
    <cellStyle name="Normal 15 2 16 2" xfId="14557" xr:uid="{00000000-0005-0000-0000-0000E0380000}"/>
    <cellStyle name="Normal 15 2 16 2 2" xfId="14558" xr:uid="{00000000-0005-0000-0000-0000E1380000}"/>
    <cellStyle name="Normal 15 2 16 2 2 2" xfId="14559" xr:uid="{00000000-0005-0000-0000-0000E2380000}"/>
    <cellStyle name="Normal 15 2 16 2 2 3" xfId="14560" xr:uid="{00000000-0005-0000-0000-0000E3380000}"/>
    <cellStyle name="Normal 15 2 16 2 3" xfId="14561" xr:uid="{00000000-0005-0000-0000-0000E4380000}"/>
    <cellStyle name="Normal 15 2 16 2 3 2" xfId="14562" xr:uid="{00000000-0005-0000-0000-0000E5380000}"/>
    <cellStyle name="Normal 15 2 16 2 3 3" xfId="14563" xr:uid="{00000000-0005-0000-0000-0000E6380000}"/>
    <cellStyle name="Normal 15 2 16 2 4" xfId="14564" xr:uid="{00000000-0005-0000-0000-0000E7380000}"/>
    <cellStyle name="Normal 15 2 16 2 5" xfId="14565" xr:uid="{00000000-0005-0000-0000-0000E8380000}"/>
    <cellStyle name="Normal 15 2 16 2 6" xfId="14566" xr:uid="{00000000-0005-0000-0000-0000E9380000}"/>
    <cellStyle name="Normal 15 2 16 3" xfId="14567" xr:uid="{00000000-0005-0000-0000-0000EA380000}"/>
    <cellStyle name="Normal 15 2 16 3 2" xfId="14568" xr:uid="{00000000-0005-0000-0000-0000EB380000}"/>
    <cellStyle name="Normal 15 2 16 3 3" xfId="14569" xr:uid="{00000000-0005-0000-0000-0000EC380000}"/>
    <cellStyle name="Normal 15 2 16 4" xfId="14570" xr:uid="{00000000-0005-0000-0000-0000ED380000}"/>
    <cellStyle name="Normal 15 2 16 4 2" xfId="14571" xr:uid="{00000000-0005-0000-0000-0000EE380000}"/>
    <cellStyle name="Normal 15 2 16 4 3" xfId="14572" xr:uid="{00000000-0005-0000-0000-0000EF380000}"/>
    <cellStyle name="Normal 15 2 16 5" xfId="14573" xr:uid="{00000000-0005-0000-0000-0000F0380000}"/>
    <cellStyle name="Normal 15 2 16 6" xfId="14574" xr:uid="{00000000-0005-0000-0000-0000F1380000}"/>
    <cellStyle name="Normal 15 2 16 7" xfId="14575" xr:uid="{00000000-0005-0000-0000-0000F2380000}"/>
    <cellStyle name="Normal 15 2 17" xfId="14576" xr:uid="{00000000-0005-0000-0000-0000F3380000}"/>
    <cellStyle name="Normal 15 2 17 2" xfId="14577" xr:uid="{00000000-0005-0000-0000-0000F4380000}"/>
    <cellStyle name="Normal 15 2 17 2 2" xfId="14578" xr:uid="{00000000-0005-0000-0000-0000F5380000}"/>
    <cellStyle name="Normal 15 2 17 2 2 2" xfId="14579" xr:uid="{00000000-0005-0000-0000-0000F6380000}"/>
    <cellStyle name="Normal 15 2 17 2 2 3" xfId="14580" xr:uid="{00000000-0005-0000-0000-0000F7380000}"/>
    <cellStyle name="Normal 15 2 17 2 3" xfId="14581" xr:uid="{00000000-0005-0000-0000-0000F8380000}"/>
    <cellStyle name="Normal 15 2 17 2 3 2" xfId="14582" xr:uid="{00000000-0005-0000-0000-0000F9380000}"/>
    <cellStyle name="Normal 15 2 17 2 3 3" xfId="14583" xr:uid="{00000000-0005-0000-0000-0000FA380000}"/>
    <cellStyle name="Normal 15 2 17 2 4" xfId="14584" xr:uid="{00000000-0005-0000-0000-0000FB380000}"/>
    <cellStyle name="Normal 15 2 17 2 5" xfId="14585" xr:uid="{00000000-0005-0000-0000-0000FC380000}"/>
    <cellStyle name="Normal 15 2 17 2 6" xfId="14586" xr:uid="{00000000-0005-0000-0000-0000FD380000}"/>
    <cellStyle name="Normal 15 2 17 3" xfId="14587" xr:uid="{00000000-0005-0000-0000-0000FE380000}"/>
    <cellStyle name="Normal 15 2 17 3 2" xfId="14588" xr:uid="{00000000-0005-0000-0000-0000FF380000}"/>
    <cellStyle name="Normal 15 2 17 3 3" xfId="14589" xr:uid="{00000000-0005-0000-0000-000000390000}"/>
    <cellStyle name="Normal 15 2 17 4" xfId="14590" xr:uid="{00000000-0005-0000-0000-000001390000}"/>
    <cellStyle name="Normal 15 2 17 4 2" xfId="14591" xr:uid="{00000000-0005-0000-0000-000002390000}"/>
    <cellStyle name="Normal 15 2 17 4 3" xfId="14592" xr:uid="{00000000-0005-0000-0000-000003390000}"/>
    <cellStyle name="Normal 15 2 17 5" xfId="14593" xr:uid="{00000000-0005-0000-0000-000004390000}"/>
    <cellStyle name="Normal 15 2 17 6" xfId="14594" xr:uid="{00000000-0005-0000-0000-000005390000}"/>
    <cellStyle name="Normal 15 2 17 7" xfId="14595" xr:uid="{00000000-0005-0000-0000-000006390000}"/>
    <cellStyle name="Normal 15 2 18" xfId="14596" xr:uid="{00000000-0005-0000-0000-000007390000}"/>
    <cellStyle name="Normal 15 2 18 2" xfId="14597" xr:uid="{00000000-0005-0000-0000-000008390000}"/>
    <cellStyle name="Normal 15 2 18 2 2" xfId="14598" xr:uid="{00000000-0005-0000-0000-000009390000}"/>
    <cellStyle name="Normal 15 2 18 2 2 2" xfId="14599" xr:uid="{00000000-0005-0000-0000-00000A390000}"/>
    <cellStyle name="Normal 15 2 18 2 2 3" xfId="14600" xr:uid="{00000000-0005-0000-0000-00000B390000}"/>
    <cellStyle name="Normal 15 2 18 2 3" xfId="14601" xr:uid="{00000000-0005-0000-0000-00000C390000}"/>
    <cellStyle name="Normal 15 2 18 2 3 2" xfId="14602" xr:uid="{00000000-0005-0000-0000-00000D390000}"/>
    <cellStyle name="Normal 15 2 18 2 3 3" xfId="14603" xr:uid="{00000000-0005-0000-0000-00000E390000}"/>
    <cellStyle name="Normal 15 2 18 2 4" xfId="14604" xr:uid="{00000000-0005-0000-0000-00000F390000}"/>
    <cellStyle name="Normal 15 2 18 2 5" xfId="14605" xr:uid="{00000000-0005-0000-0000-000010390000}"/>
    <cellStyle name="Normal 15 2 18 2 6" xfId="14606" xr:uid="{00000000-0005-0000-0000-000011390000}"/>
    <cellStyle name="Normal 15 2 18 3" xfId="14607" xr:uid="{00000000-0005-0000-0000-000012390000}"/>
    <cellStyle name="Normal 15 2 18 3 2" xfId="14608" xr:uid="{00000000-0005-0000-0000-000013390000}"/>
    <cellStyle name="Normal 15 2 18 3 3" xfId="14609" xr:uid="{00000000-0005-0000-0000-000014390000}"/>
    <cellStyle name="Normal 15 2 18 4" xfId="14610" xr:uid="{00000000-0005-0000-0000-000015390000}"/>
    <cellStyle name="Normal 15 2 18 4 2" xfId="14611" xr:uid="{00000000-0005-0000-0000-000016390000}"/>
    <cellStyle name="Normal 15 2 18 4 3" xfId="14612" xr:uid="{00000000-0005-0000-0000-000017390000}"/>
    <cellStyle name="Normal 15 2 18 5" xfId="14613" xr:uid="{00000000-0005-0000-0000-000018390000}"/>
    <cellStyle name="Normal 15 2 18 6" xfId="14614" xr:uid="{00000000-0005-0000-0000-000019390000}"/>
    <cellStyle name="Normal 15 2 18 7" xfId="14615" xr:uid="{00000000-0005-0000-0000-00001A390000}"/>
    <cellStyle name="Normal 15 2 19" xfId="14616" xr:uid="{00000000-0005-0000-0000-00001B390000}"/>
    <cellStyle name="Normal 15 2 19 2" xfId="14617" xr:uid="{00000000-0005-0000-0000-00001C390000}"/>
    <cellStyle name="Normal 15 2 19 2 2" xfId="14618" xr:uid="{00000000-0005-0000-0000-00001D390000}"/>
    <cellStyle name="Normal 15 2 19 2 2 2" xfId="14619" xr:uid="{00000000-0005-0000-0000-00001E390000}"/>
    <cellStyle name="Normal 15 2 19 2 2 3" xfId="14620" xr:uid="{00000000-0005-0000-0000-00001F390000}"/>
    <cellStyle name="Normal 15 2 19 2 3" xfId="14621" xr:uid="{00000000-0005-0000-0000-000020390000}"/>
    <cellStyle name="Normal 15 2 19 2 3 2" xfId="14622" xr:uid="{00000000-0005-0000-0000-000021390000}"/>
    <cellStyle name="Normal 15 2 19 2 3 3" xfId="14623" xr:uid="{00000000-0005-0000-0000-000022390000}"/>
    <cellStyle name="Normal 15 2 19 2 4" xfId="14624" xr:uid="{00000000-0005-0000-0000-000023390000}"/>
    <cellStyle name="Normal 15 2 19 2 5" xfId="14625" xr:uid="{00000000-0005-0000-0000-000024390000}"/>
    <cellStyle name="Normal 15 2 19 2 6" xfId="14626" xr:uid="{00000000-0005-0000-0000-000025390000}"/>
    <cellStyle name="Normal 15 2 19 3" xfId="14627" xr:uid="{00000000-0005-0000-0000-000026390000}"/>
    <cellStyle name="Normal 15 2 19 3 2" xfId="14628" xr:uid="{00000000-0005-0000-0000-000027390000}"/>
    <cellStyle name="Normal 15 2 19 3 3" xfId="14629" xr:uid="{00000000-0005-0000-0000-000028390000}"/>
    <cellStyle name="Normal 15 2 19 4" xfId="14630" xr:uid="{00000000-0005-0000-0000-000029390000}"/>
    <cellStyle name="Normal 15 2 19 4 2" xfId="14631" xr:uid="{00000000-0005-0000-0000-00002A390000}"/>
    <cellStyle name="Normal 15 2 19 4 3" xfId="14632" xr:uid="{00000000-0005-0000-0000-00002B390000}"/>
    <cellStyle name="Normal 15 2 19 5" xfId="14633" xr:uid="{00000000-0005-0000-0000-00002C390000}"/>
    <cellStyle name="Normal 15 2 19 6" xfId="14634" xr:uid="{00000000-0005-0000-0000-00002D390000}"/>
    <cellStyle name="Normal 15 2 19 7" xfId="14635" xr:uid="{00000000-0005-0000-0000-00002E390000}"/>
    <cellStyle name="Normal 15 2 2" xfId="14636" xr:uid="{00000000-0005-0000-0000-00002F390000}"/>
    <cellStyle name="Normal 15 2 2 2" xfId="14637" xr:uid="{00000000-0005-0000-0000-000030390000}"/>
    <cellStyle name="Normal 15 2 2 2 2" xfId="14638" xr:uid="{00000000-0005-0000-0000-000031390000}"/>
    <cellStyle name="Normal 15 2 2 2 2 2" xfId="14639" xr:uid="{00000000-0005-0000-0000-000032390000}"/>
    <cellStyle name="Normal 15 2 2 2 2 3" xfId="14640" xr:uid="{00000000-0005-0000-0000-000033390000}"/>
    <cellStyle name="Normal 15 2 2 2 3" xfId="14641" xr:uid="{00000000-0005-0000-0000-000034390000}"/>
    <cellStyle name="Normal 15 2 2 2 3 2" xfId="14642" xr:uid="{00000000-0005-0000-0000-000035390000}"/>
    <cellStyle name="Normal 15 2 2 2 3 3" xfId="14643" xr:uid="{00000000-0005-0000-0000-000036390000}"/>
    <cellStyle name="Normal 15 2 2 2 4" xfId="14644" xr:uid="{00000000-0005-0000-0000-000037390000}"/>
    <cellStyle name="Normal 15 2 2 2 5" xfId="14645" xr:uid="{00000000-0005-0000-0000-000038390000}"/>
    <cellStyle name="Normal 15 2 2 2 6" xfId="14646" xr:uid="{00000000-0005-0000-0000-000039390000}"/>
    <cellStyle name="Normal 15 2 2 3" xfId="14647" xr:uid="{00000000-0005-0000-0000-00003A390000}"/>
    <cellStyle name="Normal 15 2 2 3 2" xfId="14648" xr:uid="{00000000-0005-0000-0000-00003B390000}"/>
    <cellStyle name="Normal 15 2 2 3 3" xfId="14649" xr:uid="{00000000-0005-0000-0000-00003C390000}"/>
    <cellStyle name="Normal 15 2 2 4" xfId="14650" xr:uid="{00000000-0005-0000-0000-00003D390000}"/>
    <cellStyle name="Normal 15 2 2 4 2" xfId="14651" xr:uid="{00000000-0005-0000-0000-00003E390000}"/>
    <cellStyle name="Normal 15 2 2 4 3" xfId="14652" xr:uid="{00000000-0005-0000-0000-00003F390000}"/>
    <cellStyle name="Normal 15 2 2 5" xfId="14653" xr:uid="{00000000-0005-0000-0000-000040390000}"/>
    <cellStyle name="Normal 15 2 2 6" xfId="14654" xr:uid="{00000000-0005-0000-0000-000041390000}"/>
    <cellStyle name="Normal 15 2 2 7" xfId="14655" xr:uid="{00000000-0005-0000-0000-000042390000}"/>
    <cellStyle name="Normal 15 2 20" xfId="14656" xr:uid="{00000000-0005-0000-0000-000043390000}"/>
    <cellStyle name="Normal 15 2 20 2" xfId="14657" xr:uid="{00000000-0005-0000-0000-000044390000}"/>
    <cellStyle name="Normal 15 2 20 2 2" xfId="14658" xr:uid="{00000000-0005-0000-0000-000045390000}"/>
    <cellStyle name="Normal 15 2 20 2 2 2" xfId="14659" xr:uid="{00000000-0005-0000-0000-000046390000}"/>
    <cellStyle name="Normal 15 2 20 2 2 3" xfId="14660" xr:uid="{00000000-0005-0000-0000-000047390000}"/>
    <cellStyle name="Normal 15 2 20 2 3" xfId="14661" xr:uid="{00000000-0005-0000-0000-000048390000}"/>
    <cellStyle name="Normal 15 2 20 2 3 2" xfId="14662" xr:uid="{00000000-0005-0000-0000-000049390000}"/>
    <cellStyle name="Normal 15 2 20 2 3 3" xfId="14663" xr:uid="{00000000-0005-0000-0000-00004A390000}"/>
    <cellStyle name="Normal 15 2 20 2 4" xfId="14664" xr:uid="{00000000-0005-0000-0000-00004B390000}"/>
    <cellStyle name="Normal 15 2 20 2 5" xfId="14665" xr:uid="{00000000-0005-0000-0000-00004C390000}"/>
    <cellStyle name="Normal 15 2 20 2 6" xfId="14666" xr:uid="{00000000-0005-0000-0000-00004D390000}"/>
    <cellStyle name="Normal 15 2 20 3" xfId="14667" xr:uid="{00000000-0005-0000-0000-00004E390000}"/>
    <cellStyle name="Normal 15 2 20 3 2" xfId="14668" xr:uid="{00000000-0005-0000-0000-00004F390000}"/>
    <cellStyle name="Normal 15 2 20 3 3" xfId="14669" xr:uid="{00000000-0005-0000-0000-000050390000}"/>
    <cellStyle name="Normal 15 2 20 4" xfId="14670" xr:uid="{00000000-0005-0000-0000-000051390000}"/>
    <cellStyle name="Normal 15 2 20 4 2" xfId="14671" xr:uid="{00000000-0005-0000-0000-000052390000}"/>
    <cellStyle name="Normal 15 2 20 4 3" xfId="14672" xr:uid="{00000000-0005-0000-0000-000053390000}"/>
    <cellStyle name="Normal 15 2 20 5" xfId="14673" xr:uid="{00000000-0005-0000-0000-000054390000}"/>
    <cellStyle name="Normal 15 2 20 6" xfId="14674" xr:uid="{00000000-0005-0000-0000-000055390000}"/>
    <cellStyle name="Normal 15 2 20 7" xfId="14675" xr:uid="{00000000-0005-0000-0000-000056390000}"/>
    <cellStyle name="Normal 15 2 21" xfId="14676" xr:uid="{00000000-0005-0000-0000-000057390000}"/>
    <cellStyle name="Normal 15 2 21 2" xfId="14677" xr:uid="{00000000-0005-0000-0000-000058390000}"/>
    <cellStyle name="Normal 15 2 21 2 2" xfId="14678" xr:uid="{00000000-0005-0000-0000-000059390000}"/>
    <cellStyle name="Normal 15 2 21 2 2 2" xfId="14679" xr:uid="{00000000-0005-0000-0000-00005A390000}"/>
    <cellStyle name="Normal 15 2 21 2 2 3" xfId="14680" xr:uid="{00000000-0005-0000-0000-00005B390000}"/>
    <cellStyle name="Normal 15 2 21 2 3" xfId="14681" xr:uid="{00000000-0005-0000-0000-00005C390000}"/>
    <cellStyle name="Normal 15 2 21 2 3 2" xfId="14682" xr:uid="{00000000-0005-0000-0000-00005D390000}"/>
    <cellStyle name="Normal 15 2 21 2 3 3" xfId="14683" xr:uid="{00000000-0005-0000-0000-00005E390000}"/>
    <cellStyle name="Normal 15 2 21 2 4" xfId="14684" xr:uid="{00000000-0005-0000-0000-00005F390000}"/>
    <cellStyle name="Normal 15 2 21 2 5" xfId="14685" xr:uid="{00000000-0005-0000-0000-000060390000}"/>
    <cellStyle name="Normal 15 2 21 2 6" xfId="14686" xr:uid="{00000000-0005-0000-0000-000061390000}"/>
    <cellStyle name="Normal 15 2 21 3" xfId="14687" xr:uid="{00000000-0005-0000-0000-000062390000}"/>
    <cellStyle name="Normal 15 2 21 3 2" xfId="14688" xr:uid="{00000000-0005-0000-0000-000063390000}"/>
    <cellStyle name="Normal 15 2 21 3 3" xfId="14689" xr:uid="{00000000-0005-0000-0000-000064390000}"/>
    <cellStyle name="Normal 15 2 21 4" xfId="14690" xr:uid="{00000000-0005-0000-0000-000065390000}"/>
    <cellStyle name="Normal 15 2 21 4 2" xfId="14691" xr:uid="{00000000-0005-0000-0000-000066390000}"/>
    <cellStyle name="Normal 15 2 21 4 3" xfId="14692" xr:uid="{00000000-0005-0000-0000-000067390000}"/>
    <cellStyle name="Normal 15 2 21 5" xfId="14693" xr:uid="{00000000-0005-0000-0000-000068390000}"/>
    <cellStyle name="Normal 15 2 21 6" xfId="14694" xr:uid="{00000000-0005-0000-0000-000069390000}"/>
    <cellStyle name="Normal 15 2 21 7" xfId="14695" xr:uid="{00000000-0005-0000-0000-00006A390000}"/>
    <cellStyle name="Normal 15 2 22" xfId="14696" xr:uid="{00000000-0005-0000-0000-00006B390000}"/>
    <cellStyle name="Normal 15 2 22 2" xfId="14697" xr:uid="{00000000-0005-0000-0000-00006C390000}"/>
    <cellStyle name="Normal 15 2 22 2 2" xfId="14698" xr:uid="{00000000-0005-0000-0000-00006D390000}"/>
    <cellStyle name="Normal 15 2 22 2 2 2" xfId="14699" xr:uid="{00000000-0005-0000-0000-00006E390000}"/>
    <cellStyle name="Normal 15 2 22 2 2 3" xfId="14700" xr:uid="{00000000-0005-0000-0000-00006F390000}"/>
    <cellStyle name="Normal 15 2 22 2 3" xfId="14701" xr:uid="{00000000-0005-0000-0000-000070390000}"/>
    <cellStyle name="Normal 15 2 22 2 3 2" xfId="14702" xr:uid="{00000000-0005-0000-0000-000071390000}"/>
    <cellStyle name="Normal 15 2 22 2 3 3" xfId="14703" xr:uid="{00000000-0005-0000-0000-000072390000}"/>
    <cellStyle name="Normal 15 2 22 2 4" xfId="14704" xr:uid="{00000000-0005-0000-0000-000073390000}"/>
    <cellStyle name="Normal 15 2 22 2 5" xfId="14705" xr:uid="{00000000-0005-0000-0000-000074390000}"/>
    <cellStyle name="Normal 15 2 22 2 6" xfId="14706" xr:uid="{00000000-0005-0000-0000-000075390000}"/>
    <cellStyle name="Normal 15 2 22 3" xfId="14707" xr:uid="{00000000-0005-0000-0000-000076390000}"/>
    <cellStyle name="Normal 15 2 22 3 2" xfId="14708" xr:uid="{00000000-0005-0000-0000-000077390000}"/>
    <cellStyle name="Normal 15 2 22 3 3" xfId="14709" xr:uid="{00000000-0005-0000-0000-000078390000}"/>
    <cellStyle name="Normal 15 2 22 4" xfId="14710" xr:uid="{00000000-0005-0000-0000-000079390000}"/>
    <cellStyle name="Normal 15 2 22 4 2" xfId="14711" xr:uid="{00000000-0005-0000-0000-00007A390000}"/>
    <cellStyle name="Normal 15 2 22 4 3" xfId="14712" xr:uid="{00000000-0005-0000-0000-00007B390000}"/>
    <cellStyle name="Normal 15 2 22 5" xfId="14713" xr:uid="{00000000-0005-0000-0000-00007C390000}"/>
    <cellStyle name="Normal 15 2 22 6" xfId="14714" xr:uid="{00000000-0005-0000-0000-00007D390000}"/>
    <cellStyle name="Normal 15 2 22 7" xfId="14715" xr:uid="{00000000-0005-0000-0000-00007E390000}"/>
    <cellStyle name="Normal 15 2 23" xfId="14716" xr:uid="{00000000-0005-0000-0000-00007F390000}"/>
    <cellStyle name="Normal 15 2 23 2" xfId="14717" xr:uid="{00000000-0005-0000-0000-000080390000}"/>
    <cellStyle name="Normal 15 2 23 2 2" xfId="14718" xr:uid="{00000000-0005-0000-0000-000081390000}"/>
    <cellStyle name="Normal 15 2 23 2 2 2" xfId="14719" xr:uid="{00000000-0005-0000-0000-000082390000}"/>
    <cellStyle name="Normal 15 2 23 2 2 3" xfId="14720" xr:uid="{00000000-0005-0000-0000-000083390000}"/>
    <cellStyle name="Normal 15 2 23 2 3" xfId="14721" xr:uid="{00000000-0005-0000-0000-000084390000}"/>
    <cellStyle name="Normal 15 2 23 2 3 2" xfId="14722" xr:uid="{00000000-0005-0000-0000-000085390000}"/>
    <cellStyle name="Normal 15 2 23 2 3 3" xfId="14723" xr:uid="{00000000-0005-0000-0000-000086390000}"/>
    <cellStyle name="Normal 15 2 23 2 4" xfId="14724" xr:uid="{00000000-0005-0000-0000-000087390000}"/>
    <cellStyle name="Normal 15 2 23 2 5" xfId="14725" xr:uid="{00000000-0005-0000-0000-000088390000}"/>
    <cellStyle name="Normal 15 2 23 2 6" xfId="14726" xr:uid="{00000000-0005-0000-0000-000089390000}"/>
    <cellStyle name="Normal 15 2 23 3" xfId="14727" xr:uid="{00000000-0005-0000-0000-00008A390000}"/>
    <cellStyle name="Normal 15 2 23 3 2" xfId="14728" xr:uid="{00000000-0005-0000-0000-00008B390000}"/>
    <cellStyle name="Normal 15 2 23 3 3" xfId="14729" xr:uid="{00000000-0005-0000-0000-00008C390000}"/>
    <cellStyle name="Normal 15 2 23 4" xfId="14730" xr:uid="{00000000-0005-0000-0000-00008D390000}"/>
    <cellStyle name="Normal 15 2 23 4 2" xfId="14731" xr:uid="{00000000-0005-0000-0000-00008E390000}"/>
    <cellStyle name="Normal 15 2 23 4 3" xfId="14732" xr:uid="{00000000-0005-0000-0000-00008F390000}"/>
    <cellStyle name="Normal 15 2 23 5" xfId="14733" xr:uid="{00000000-0005-0000-0000-000090390000}"/>
    <cellStyle name="Normal 15 2 23 6" xfId="14734" xr:uid="{00000000-0005-0000-0000-000091390000}"/>
    <cellStyle name="Normal 15 2 23 7" xfId="14735" xr:uid="{00000000-0005-0000-0000-000092390000}"/>
    <cellStyle name="Normal 15 2 24" xfId="14736" xr:uid="{00000000-0005-0000-0000-000093390000}"/>
    <cellStyle name="Normal 15 2 24 2" xfId="14737" xr:uid="{00000000-0005-0000-0000-000094390000}"/>
    <cellStyle name="Normal 15 2 24 2 2" xfId="14738" xr:uid="{00000000-0005-0000-0000-000095390000}"/>
    <cellStyle name="Normal 15 2 24 2 2 2" xfId="14739" xr:uid="{00000000-0005-0000-0000-000096390000}"/>
    <cellStyle name="Normal 15 2 24 2 2 3" xfId="14740" xr:uid="{00000000-0005-0000-0000-000097390000}"/>
    <cellStyle name="Normal 15 2 24 2 3" xfId="14741" xr:uid="{00000000-0005-0000-0000-000098390000}"/>
    <cellStyle name="Normal 15 2 24 2 3 2" xfId="14742" xr:uid="{00000000-0005-0000-0000-000099390000}"/>
    <cellStyle name="Normal 15 2 24 2 3 3" xfId="14743" xr:uid="{00000000-0005-0000-0000-00009A390000}"/>
    <cellStyle name="Normal 15 2 24 2 4" xfId="14744" xr:uid="{00000000-0005-0000-0000-00009B390000}"/>
    <cellStyle name="Normal 15 2 24 2 5" xfId="14745" xr:uid="{00000000-0005-0000-0000-00009C390000}"/>
    <cellStyle name="Normal 15 2 24 2 6" xfId="14746" xr:uid="{00000000-0005-0000-0000-00009D390000}"/>
    <cellStyle name="Normal 15 2 24 3" xfId="14747" xr:uid="{00000000-0005-0000-0000-00009E390000}"/>
    <cellStyle name="Normal 15 2 24 3 2" xfId="14748" xr:uid="{00000000-0005-0000-0000-00009F390000}"/>
    <cellStyle name="Normal 15 2 24 3 3" xfId="14749" xr:uid="{00000000-0005-0000-0000-0000A0390000}"/>
    <cellStyle name="Normal 15 2 24 4" xfId="14750" xr:uid="{00000000-0005-0000-0000-0000A1390000}"/>
    <cellStyle name="Normal 15 2 24 4 2" xfId="14751" xr:uid="{00000000-0005-0000-0000-0000A2390000}"/>
    <cellStyle name="Normal 15 2 24 4 3" xfId="14752" xr:uid="{00000000-0005-0000-0000-0000A3390000}"/>
    <cellStyle name="Normal 15 2 24 5" xfId="14753" xr:uid="{00000000-0005-0000-0000-0000A4390000}"/>
    <cellStyle name="Normal 15 2 24 6" xfId="14754" xr:uid="{00000000-0005-0000-0000-0000A5390000}"/>
    <cellStyle name="Normal 15 2 24 7" xfId="14755" xr:uid="{00000000-0005-0000-0000-0000A6390000}"/>
    <cellStyle name="Normal 15 2 25" xfId="14756" xr:uid="{00000000-0005-0000-0000-0000A7390000}"/>
    <cellStyle name="Normal 15 2 25 2" xfId="14757" xr:uid="{00000000-0005-0000-0000-0000A8390000}"/>
    <cellStyle name="Normal 15 2 25 2 2" xfId="14758" xr:uid="{00000000-0005-0000-0000-0000A9390000}"/>
    <cellStyle name="Normal 15 2 25 2 2 2" xfId="14759" xr:uid="{00000000-0005-0000-0000-0000AA390000}"/>
    <cellStyle name="Normal 15 2 25 2 2 3" xfId="14760" xr:uid="{00000000-0005-0000-0000-0000AB390000}"/>
    <cellStyle name="Normal 15 2 25 2 3" xfId="14761" xr:uid="{00000000-0005-0000-0000-0000AC390000}"/>
    <cellStyle name="Normal 15 2 25 2 3 2" xfId="14762" xr:uid="{00000000-0005-0000-0000-0000AD390000}"/>
    <cellStyle name="Normal 15 2 25 2 3 3" xfId="14763" xr:uid="{00000000-0005-0000-0000-0000AE390000}"/>
    <cellStyle name="Normal 15 2 25 2 4" xfId="14764" xr:uid="{00000000-0005-0000-0000-0000AF390000}"/>
    <cellStyle name="Normal 15 2 25 2 5" xfId="14765" xr:uid="{00000000-0005-0000-0000-0000B0390000}"/>
    <cellStyle name="Normal 15 2 25 2 6" xfId="14766" xr:uid="{00000000-0005-0000-0000-0000B1390000}"/>
    <cellStyle name="Normal 15 2 25 3" xfId="14767" xr:uid="{00000000-0005-0000-0000-0000B2390000}"/>
    <cellStyle name="Normal 15 2 25 3 2" xfId="14768" xr:uid="{00000000-0005-0000-0000-0000B3390000}"/>
    <cellStyle name="Normal 15 2 25 3 3" xfId="14769" xr:uid="{00000000-0005-0000-0000-0000B4390000}"/>
    <cellStyle name="Normal 15 2 25 4" xfId="14770" xr:uid="{00000000-0005-0000-0000-0000B5390000}"/>
    <cellStyle name="Normal 15 2 25 4 2" xfId="14771" xr:uid="{00000000-0005-0000-0000-0000B6390000}"/>
    <cellStyle name="Normal 15 2 25 4 3" xfId="14772" xr:uid="{00000000-0005-0000-0000-0000B7390000}"/>
    <cellStyle name="Normal 15 2 25 5" xfId="14773" xr:uid="{00000000-0005-0000-0000-0000B8390000}"/>
    <cellStyle name="Normal 15 2 25 6" xfId="14774" xr:uid="{00000000-0005-0000-0000-0000B9390000}"/>
    <cellStyle name="Normal 15 2 25 7" xfId="14775" xr:uid="{00000000-0005-0000-0000-0000BA390000}"/>
    <cellStyle name="Normal 15 2 26" xfId="14776" xr:uid="{00000000-0005-0000-0000-0000BB390000}"/>
    <cellStyle name="Normal 15 2 26 2" xfId="14777" xr:uid="{00000000-0005-0000-0000-0000BC390000}"/>
    <cellStyle name="Normal 15 2 26 2 2" xfId="14778" xr:uid="{00000000-0005-0000-0000-0000BD390000}"/>
    <cellStyle name="Normal 15 2 26 2 2 2" xfId="14779" xr:uid="{00000000-0005-0000-0000-0000BE390000}"/>
    <cellStyle name="Normal 15 2 26 2 2 3" xfId="14780" xr:uid="{00000000-0005-0000-0000-0000BF390000}"/>
    <cellStyle name="Normal 15 2 26 2 3" xfId="14781" xr:uid="{00000000-0005-0000-0000-0000C0390000}"/>
    <cellStyle name="Normal 15 2 26 2 3 2" xfId="14782" xr:uid="{00000000-0005-0000-0000-0000C1390000}"/>
    <cellStyle name="Normal 15 2 26 2 3 3" xfId="14783" xr:uid="{00000000-0005-0000-0000-0000C2390000}"/>
    <cellStyle name="Normal 15 2 26 2 4" xfId="14784" xr:uid="{00000000-0005-0000-0000-0000C3390000}"/>
    <cellStyle name="Normal 15 2 26 2 5" xfId="14785" xr:uid="{00000000-0005-0000-0000-0000C4390000}"/>
    <cellStyle name="Normal 15 2 26 2 6" xfId="14786" xr:uid="{00000000-0005-0000-0000-0000C5390000}"/>
    <cellStyle name="Normal 15 2 26 3" xfId="14787" xr:uid="{00000000-0005-0000-0000-0000C6390000}"/>
    <cellStyle name="Normal 15 2 26 3 2" xfId="14788" xr:uid="{00000000-0005-0000-0000-0000C7390000}"/>
    <cellStyle name="Normal 15 2 26 3 3" xfId="14789" xr:uid="{00000000-0005-0000-0000-0000C8390000}"/>
    <cellStyle name="Normal 15 2 26 4" xfId="14790" xr:uid="{00000000-0005-0000-0000-0000C9390000}"/>
    <cellStyle name="Normal 15 2 26 4 2" xfId="14791" xr:uid="{00000000-0005-0000-0000-0000CA390000}"/>
    <cellStyle name="Normal 15 2 26 4 3" xfId="14792" xr:uid="{00000000-0005-0000-0000-0000CB390000}"/>
    <cellStyle name="Normal 15 2 26 5" xfId="14793" xr:uid="{00000000-0005-0000-0000-0000CC390000}"/>
    <cellStyle name="Normal 15 2 26 6" xfId="14794" xr:uid="{00000000-0005-0000-0000-0000CD390000}"/>
    <cellStyle name="Normal 15 2 26 7" xfId="14795" xr:uid="{00000000-0005-0000-0000-0000CE390000}"/>
    <cellStyle name="Normal 15 2 27" xfId="14796" xr:uid="{00000000-0005-0000-0000-0000CF390000}"/>
    <cellStyle name="Normal 15 2 27 2" xfId="14797" xr:uid="{00000000-0005-0000-0000-0000D0390000}"/>
    <cellStyle name="Normal 15 2 27 2 2" xfId="14798" xr:uid="{00000000-0005-0000-0000-0000D1390000}"/>
    <cellStyle name="Normal 15 2 27 2 3" xfId="14799" xr:uid="{00000000-0005-0000-0000-0000D2390000}"/>
    <cellStyle name="Normal 15 2 27 3" xfId="14800" xr:uid="{00000000-0005-0000-0000-0000D3390000}"/>
    <cellStyle name="Normal 15 2 27 3 2" xfId="14801" xr:uid="{00000000-0005-0000-0000-0000D4390000}"/>
    <cellStyle name="Normal 15 2 27 3 3" xfId="14802" xr:uid="{00000000-0005-0000-0000-0000D5390000}"/>
    <cellStyle name="Normal 15 2 27 4" xfId="14803" xr:uid="{00000000-0005-0000-0000-0000D6390000}"/>
    <cellStyle name="Normal 15 2 27 5" xfId="14804" xr:uid="{00000000-0005-0000-0000-0000D7390000}"/>
    <cellStyle name="Normal 15 2 27 6" xfId="14805" xr:uid="{00000000-0005-0000-0000-0000D8390000}"/>
    <cellStyle name="Normal 15 2 28" xfId="14806" xr:uid="{00000000-0005-0000-0000-0000D9390000}"/>
    <cellStyle name="Normal 15 2 28 2" xfId="14807" xr:uid="{00000000-0005-0000-0000-0000DA390000}"/>
    <cellStyle name="Normal 15 2 28 3" xfId="14808" xr:uid="{00000000-0005-0000-0000-0000DB390000}"/>
    <cellStyle name="Normal 15 2 29" xfId="14809" xr:uid="{00000000-0005-0000-0000-0000DC390000}"/>
    <cellStyle name="Normal 15 2 29 2" xfId="14810" xr:uid="{00000000-0005-0000-0000-0000DD390000}"/>
    <cellStyle name="Normal 15 2 29 3" xfId="14811" xr:uid="{00000000-0005-0000-0000-0000DE390000}"/>
    <cellStyle name="Normal 15 2 3" xfId="14812" xr:uid="{00000000-0005-0000-0000-0000DF390000}"/>
    <cellStyle name="Normal 15 2 3 2" xfId="14813" xr:uid="{00000000-0005-0000-0000-0000E0390000}"/>
    <cellStyle name="Normal 15 2 3 2 2" xfId="14814" xr:uid="{00000000-0005-0000-0000-0000E1390000}"/>
    <cellStyle name="Normal 15 2 3 2 2 2" xfId="14815" xr:uid="{00000000-0005-0000-0000-0000E2390000}"/>
    <cellStyle name="Normal 15 2 3 2 2 3" xfId="14816" xr:uid="{00000000-0005-0000-0000-0000E3390000}"/>
    <cellStyle name="Normal 15 2 3 2 3" xfId="14817" xr:uid="{00000000-0005-0000-0000-0000E4390000}"/>
    <cellStyle name="Normal 15 2 3 2 3 2" xfId="14818" xr:uid="{00000000-0005-0000-0000-0000E5390000}"/>
    <cellStyle name="Normal 15 2 3 2 3 3" xfId="14819" xr:uid="{00000000-0005-0000-0000-0000E6390000}"/>
    <cellStyle name="Normal 15 2 3 2 4" xfId="14820" xr:uid="{00000000-0005-0000-0000-0000E7390000}"/>
    <cellStyle name="Normal 15 2 3 2 5" xfId="14821" xr:uid="{00000000-0005-0000-0000-0000E8390000}"/>
    <cellStyle name="Normal 15 2 3 2 6" xfId="14822" xr:uid="{00000000-0005-0000-0000-0000E9390000}"/>
    <cellStyle name="Normal 15 2 3 3" xfId="14823" xr:uid="{00000000-0005-0000-0000-0000EA390000}"/>
    <cellStyle name="Normal 15 2 3 3 2" xfId="14824" xr:uid="{00000000-0005-0000-0000-0000EB390000}"/>
    <cellStyle name="Normal 15 2 3 3 3" xfId="14825" xr:uid="{00000000-0005-0000-0000-0000EC390000}"/>
    <cellStyle name="Normal 15 2 3 4" xfId="14826" xr:uid="{00000000-0005-0000-0000-0000ED390000}"/>
    <cellStyle name="Normal 15 2 3 4 2" xfId="14827" xr:uid="{00000000-0005-0000-0000-0000EE390000}"/>
    <cellStyle name="Normal 15 2 3 4 3" xfId="14828" xr:uid="{00000000-0005-0000-0000-0000EF390000}"/>
    <cellStyle name="Normal 15 2 3 5" xfId="14829" xr:uid="{00000000-0005-0000-0000-0000F0390000}"/>
    <cellStyle name="Normal 15 2 3 6" xfId="14830" xr:uid="{00000000-0005-0000-0000-0000F1390000}"/>
    <cellStyle name="Normal 15 2 3 7" xfId="14831" xr:uid="{00000000-0005-0000-0000-0000F2390000}"/>
    <cellStyle name="Normal 15 2 30" xfId="14832" xr:uid="{00000000-0005-0000-0000-0000F3390000}"/>
    <cellStyle name="Normal 15 2 31" xfId="14833" xr:uid="{00000000-0005-0000-0000-0000F4390000}"/>
    <cellStyle name="Normal 15 2 32" xfId="14834" xr:uid="{00000000-0005-0000-0000-0000F5390000}"/>
    <cellStyle name="Normal 15 2 4" xfId="14835" xr:uid="{00000000-0005-0000-0000-0000F6390000}"/>
    <cellStyle name="Normal 15 2 4 2" xfId="14836" xr:uid="{00000000-0005-0000-0000-0000F7390000}"/>
    <cellStyle name="Normal 15 2 4 2 2" xfId="14837" xr:uid="{00000000-0005-0000-0000-0000F8390000}"/>
    <cellStyle name="Normal 15 2 4 2 2 2" xfId="14838" xr:uid="{00000000-0005-0000-0000-0000F9390000}"/>
    <cellStyle name="Normal 15 2 4 2 2 3" xfId="14839" xr:uid="{00000000-0005-0000-0000-0000FA390000}"/>
    <cellStyle name="Normal 15 2 4 2 3" xfId="14840" xr:uid="{00000000-0005-0000-0000-0000FB390000}"/>
    <cellStyle name="Normal 15 2 4 2 3 2" xfId="14841" xr:uid="{00000000-0005-0000-0000-0000FC390000}"/>
    <cellStyle name="Normal 15 2 4 2 3 3" xfId="14842" xr:uid="{00000000-0005-0000-0000-0000FD390000}"/>
    <cellStyle name="Normal 15 2 4 2 4" xfId="14843" xr:uid="{00000000-0005-0000-0000-0000FE390000}"/>
    <cellStyle name="Normal 15 2 4 2 5" xfId="14844" xr:uid="{00000000-0005-0000-0000-0000FF390000}"/>
    <cellStyle name="Normal 15 2 4 2 6" xfId="14845" xr:uid="{00000000-0005-0000-0000-0000003A0000}"/>
    <cellStyle name="Normal 15 2 4 3" xfId="14846" xr:uid="{00000000-0005-0000-0000-0000013A0000}"/>
    <cellStyle name="Normal 15 2 4 3 2" xfId="14847" xr:uid="{00000000-0005-0000-0000-0000023A0000}"/>
    <cellStyle name="Normal 15 2 4 3 3" xfId="14848" xr:uid="{00000000-0005-0000-0000-0000033A0000}"/>
    <cellStyle name="Normal 15 2 4 4" xfId="14849" xr:uid="{00000000-0005-0000-0000-0000043A0000}"/>
    <cellStyle name="Normal 15 2 4 4 2" xfId="14850" xr:uid="{00000000-0005-0000-0000-0000053A0000}"/>
    <cellStyle name="Normal 15 2 4 4 3" xfId="14851" xr:uid="{00000000-0005-0000-0000-0000063A0000}"/>
    <cellStyle name="Normal 15 2 4 5" xfId="14852" xr:uid="{00000000-0005-0000-0000-0000073A0000}"/>
    <cellStyle name="Normal 15 2 4 6" xfId="14853" xr:uid="{00000000-0005-0000-0000-0000083A0000}"/>
    <cellStyle name="Normal 15 2 4 7" xfId="14854" xr:uid="{00000000-0005-0000-0000-0000093A0000}"/>
    <cellStyle name="Normal 15 2 5" xfId="14855" xr:uid="{00000000-0005-0000-0000-00000A3A0000}"/>
    <cellStyle name="Normal 15 2 5 2" xfId="14856" xr:uid="{00000000-0005-0000-0000-00000B3A0000}"/>
    <cellStyle name="Normal 15 2 5 2 2" xfId="14857" xr:uid="{00000000-0005-0000-0000-00000C3A0000}"/>
    <cellStyle name="Normal 15 2 5 2 2 2" xfId="14858" xr:uid="{00000000-0005-0000-0000-00000D3A0000}"/>
    <cellStyle name="Normal 15 2 5 2 2 3" xfId="14859" xr:uid="{00000000-0005-0000-0000-00000E3A0000}"/>
    <cellStyle name="Normal 15 2 5 2 3" xfId="14860" xr:uid="{00000000-0005-0000-0000-00000F3A0000}"/>
    <cellStyle name="Normal 15 2 5 2 3 2" xfId="14861" xr:uid="{00000000-0005-0000-0000-0000103A0000}"/>
    <cellStyle name="Normal 15 2 5 2 3 3" xfId="14862" xr:uid="{00000000-0005-0000-0000-0000113A0000}"/>
    <cellStyle name="Normal 15 2 5 2 4" xfId="14863" xr:uid="{00000000-0005-0000-0000-0000123A0000}"/>
    <cellStyle name="Normal 15 2 5 2 5" xfId="14864" xr:uid="{00000000-0005-0000-0000-0000133A0000}"/>
    <cellStyle name="Normal 15 2 5 2 6" xfId="14865" xr:uid="{00000000-0005-0000-0000-0000143A0000}"/>
    <cellStyle name="Normal 15 2 5 3" xfId="14866" xr:uid="{00000000-0005-0000-0000-0000153A0000}"/>
    <cellStyle name="Normal 15 2 5 3 2" xfId="14867" xr:uid="{00000000-0005-0000-0000-0000163A0000}"/>
    <cellStyle name="Normal 15 2 5 3 3" xfId="14868" xr:uid="{00000000-0005-0000-0000-0000173A0000}"/>
    <cellStyle name="Normal 15 2 5 4" xfId="14869" xr:uid="{00000000-0005-0000-0000-0000183A0000}"/>
    <cellStyle name="Normal 15 2 5 4 2" xfId="14870" xr:uid="{00000000-0005-0000-0000-0000193A0000}"/>
    <cellStyle name="Normal 15 2 5 4 3" xfId="14871" xr:uid="{00000000-0005-0000-0000-00001A3A0000}"/>
    <cellStyle name="Normal 15 2 5 5" xfId="14872" xr:uid="{00000000-0005-0000-0000-00001B3A0000}"/>
    <cellStyle name="Normal 15 2 5 6" xfId="14873" xr:uid="{00000000-0005-0000-0000-00001C3A0000}"/>
    <cellStyle name="Normal 15 2 5 7" xfId="14874" xr:uid="{00000000-0005-0000-0000-00001D3A0000}"/>
    <cellStyle name="Normal 15 2 6" xfId="14875" xr:uid="{00000000-0005-0000-0000-00001E3A0000}"/>
    <cellStyle name="Normal 15 2 6 2" xfId="14876" xr:uid="{00000000-0005-0000-0000-00001F3A0000}"/>
    <cellStyle name="Normal 15 2 6 2 2" xfId="14877" xr:uid="{00000000-0005-0000-0000-0000203A0000}"/>
    <cellStyle name="Normal 15 2 6 2 2 2" xfId="14878" xr:uid="{00000000-0005-0000-0000-0000213A0000}"/>
    <cellStyle name="Normal 15 2 6 2 2 3" xfId="14879" xr:uid="{00000000-0005-0000-0000-0000223A0000}"/>
    <cellStyle name="Normal 15 2 6 2 3" xfId="14880" xr:uid="{00000000-0005-0000-0000-0000233A0000}"/>
    <cellStyle name="Normal 15 2 6 2 3 2" xfId="14881" xr:uid="{00000000-0005-0000-0000-0000243A0000}"/>
    <cellStyle name="Normal 15 2 6 2 3 3" xfId="14882" xr:uid="{00000000-0005-0000-0000-0000253A0000}"/>
    <cellStyle name="Normal 15 2 6 2 4" xfId="14883" xr:uid="{00000000-0005-0000-0000-0000263A0000}"/>
    <cellStyle name="Normal 15 2 6 2 5" xfId="14884" xr:uid="{00000000-0005-0000-0000-0000273A0000}"/>
    <cellStyle name="Normal 15 2 6 2 6" xfId="14885" xr:uid="{00000000-0005-0000-0000-0000283A0000}"/>
    <cellStyle name="Normal 15 2 6 3" xfId="14886" xr:uid="{00000000-0005-0000-0000-0000293A0000}"/>
    <cellStyle name="Normal 15 2 6 3 2" xfId="14887" xr:uid="{00000000-0005-0000-0000-00002A3A0000}"/>
    <cellStyle name="Normal 15 2 6 3 3" xfId="14888" xr:uid="{00000000-0005-0000-0000-00002B3A0000}"/>
    <cellStyle name="Normal 15 2 6 4" xfId="14889" xr:uid="{00000000-0005-0000-0000-00002C3A0000}"/>
    <cellStyle name="Normal 15 2 6 4 2" xfId="14890" xr:uid="{00000000-0005-0000-0000-00002D3A0000}"/>
    <cellStyle name="Normal 15 2 6 4 3" xfId="14891" xr:uid="{00000000-0005-0000-0000-00002E3A0000}"/>
    <cellStyle name="Normal 15 2 6 5" xfId="14892" xr:uid="{00000000-0005-0000-0000-00002F3A0000}"/>
    <cellStyle name="Normal 15 2 6 6" xfId="14893" xr:uid="{00000000-0005-0000-0000-0000303A0000}"/>
    <cellStyle name="Normal 15 2 6 7" xfId="14894" xr:uid="{00000000-0005-0000-0000-0000313A0000}"/>
    <cellStyle name="Normal 15 2 7" xfId="14895" xr:uid="{00000000-0005-0000-0000-0000323A0000}"/>
    <cellStyle name="Normal 15 2 7 2" xfId="14896" xr:uid="{00000000-0005-0000-0000-0000333A0000}"/>
    <cellStyle name="Normal 15 2 7 2 2" xfId="14897" xr:uid="{00000000-0005-0000-0000-0000343A0000}"/>
    <cellStyle name="Normal 15 2 7 2 2 2" xfId="14898" xr:uid="{00000000-0005-0000-0000-0000353A0000}"/>
    <cellStyle name="Normal 15 2 7 2 2 3" xfId="14899" xr:uid="{00000000-0005-0000-0000-0000363A0000}"/>
    <cellStyle name="Normal 15 2 7 2 3" xfId="14900" xr:uid="{00000000-0005-0000-0000-0000373A0000}"/>
    <cellStyle name="Normal 15 2 7 2 3 2" xfId="14901" xr:uid="{00000000-0005-0000-0000-0000383A0000}"/>
    <cellStyle name="Normal 15 2 7 2 3 3" xfId="14902" xr:uid="{00000000-0005-0000-0000-0000393A0000}"/>
    <cellStyle name="Normal 15 2 7 2 4" xfId="14903" xr:uid="{00000000-0005-0000-0000-00003A3A0000}"/>
    <cellStyle name="Normal 15 2 7 2 5" xfId="14904" xr:uid="{00000000-0005-0000-0000-00003B3A0000}"/>
    <cellStyle name="Normal 15 2 7 2 6" xfId="14905" xr:uid="{00000000-0005-0000-0000-00003C3A0000}"/>
    <cellStyle name="Normal 15 2 7 3" xfId="14906" xr:uid="{00000000-0005-0000-0000-00003D3A0000}"/>
    <cellStyle name="Normal 15 2 7 3 2" xfId="14907" xr:uid="{00000000-0005-0000-0000-00003E3A0000}"/>
    <cellStyle name="Normal 15 2 7 3 3" xfId="14908" xr:uid="{00000000-0005-0000-0000-00003F3A0000}"/>
    <cellStyle name="Normal 15 2 7 4" xfId="14909" xr:uid="{00000000-0005-0000-0000-0000403A0000}"/>
    <cellStyle name="Normal 15 2 7 4 2" xfId="14910" xr:uid="{00000000-0005-0000-0000-0000413A0000}"/>
    <cellStyle name="Normal 15 2 7 4 3" xfId="14911" xr:uid="{00000000-0005-0000-0000-0000423A0000}"/>
    <cellStyle name="Normal 15 2 7 5" xfId="14912" xr:uid="{00000000-0005-0000-0000-0000433A0000}"/>
    <cellStyle name="Normal 15 2 7 6" xfId="14913" xr:uid="{00000000-0005-0000-0000-0000443A0000}"/>
    <cellStyle name="Normal 15 2 7 7" xfId="14914" xr:uid="{00000000-0005-0000-0000-0000453A0000}"/>
    <cellStyle name="Normal 15 2 8" xfId="14915" xr:uid="{00000000-0005-0000-0000-0000463A0000}"/>
    <cellStyle name="Normal 15 2 8 2" xfId="14916" xr:uid="{00000000-0005-0000-0000-0000473A0000}"/>
    <cellStyle name="Normal 15 2 8 2 2" xfId="14917" xr:uid="{00000000-0005-0000-0000-0000483A0000}"/>
    <cellStyle name="Normal 15 2 8 2 2 2" xfId="14918" xr:uid="{00000000-0005-0000-0000-0000493A0000}"/>
    <cellStyle name="Normal 15 2 8 2 2 3" xfId="14919" xr:uid="{00000000-0005-0000-0000-00004A3A0000}"/>
    <cellStyle name="Normal 15 2 8 2 3" xfId="14920" xr:uid="{00000000-0005-0000-0000-00004B3A0000}"/>
    <cellStyle name="Normal 15 2 8 2 3 2" xfId="14921" xr:uid="{00000000-0005-0000-0000-00004C3A0000}"/>
    <cellStyle name="Normal 15 2 8 2 3 3" xfId="14922" xr:uid="{00000000-0005-0000-0000-00004D3A0000}"/>
    <cellStyle name="Normal 15 2 8 2 4" xfId="14923" xr:uid="{00000000-0005-0000-0000-00004E3A0000}"/>
    <cellStyle name="Normal 15 2 8 2 5" xfId="14924" xr:uid="{00000000-0005-0000-0000-00004F3A0000}"/>
    <cellStyle name="Normal 15 2 8 2 6" xfId="14925" xr:uid="{00000000-0005-0000-0000-0000503A0000}"/>
    <cellStyle name="Normal 15 2 8 3" xfId="14926" xr:uid="{00000000-0005-0000-0000-0000513A0000}"/>
    <cellStyle name="Normal 15 2 8 3 2" xfId="14927" xr:uid="{00000000-0005-0000-0000-0000523A0000}"/>
    <cellStyle name="Normal 15 2 8 3 3" xfId="14928" xr:uid="{00000000-0005-0000-0000-0000533A0000}"/>
    <cellStyle name="Normal 15 2 8 4" xfId="14929" xr:uid="{00000000-0005-0000-0000-0000543A0000}"/>
    <cellStyle name="Normal 15 2 8 4 2" xfId="14930" xr:uid="{00000000-0005-0000-0000-0000553A0000}"/>
    <cellStyle name="Normal 15 2 8 4 3" xfId="14931" xr:uid="{00000000-0005-0000-0000-0000563A0000}"/>
    <cellStyle name="Normal 15 2 8 5" xfId="14932" xr:uid="{00000000-0005-0000-0000-0000573A0000}"/>
    <cellStyle name="Normal 15 2 8 6" xfId="14933" xr:uid="{00000000-0005-0000-0000-0000583A0000}"/>
    <cellStyle name="Normal 15 2 8 7" xfId="14934" xr:uid="{00000000-0005-0000-0000-0000593A0000}"/>
    <cellStyle name="Normal 15 2 9" xfId="14935" xr:uid="{00000000-0005-0000-0000-00005A3A0000}"/>
    <cellStyle name="Normal 15 2 9 2" xfId="14936" xr:uid="{00000000-0005-0000-0000-00005B3A0000}"/>
    <cellStyle name="Normal 15 2 9 2 2" xfId="14937" xr:uid="{00000000-0005-0000-0000-00005C3A0000}"/>
    <cellStyle name="Normal 15 2 9 2 2 2" xfId="14938" xr:uid="{00000000-0005-0000-0000-00005D3A0000}"/>
    <cellStyle name="Normal 15 2 9 2 2 3" xfId="14939" xr:uid="{00000000-0005-0000-0000-00005E3A0000}"/>
    <cellStyle name="Normal 15 2 9 2 3" xfId="14940" xr:uid="{00000000-0005-0000-0000-00005F3A0000}"/>
    <cellStyle name="Normal 15 2 9 2 3 2" xfId="14941" xr:uid="{00000000-0005-0000-0000-0000603A0000}"/>
    <cellStyle name="Normal 15 2 9 2 3 3" xfId="14942" xr:uid="{00000000-0005-0000-0000-0000613A0000}"/>
    <cellStyle name="Normal 15 2 9 2 4" xfId="14943" xr:uid="{00000000-0005-0000-0000-0000623A0000}"/>
    <cellStyle name="Normal 15 2 9 2 5" xfId="14944" xr:uid="{00000000-0005-0000-0000-0000633A0000}"/>
    <cellStyle name="Normal 15 2 9 2 6" xfId="14945" xr:uid="{00000000-0005-0000-0000-0000643A0000}"/>
    <cellStyle name="Normal 15 2 9 3" xfId="14946" xr:uid="{00000000-0005-0000-0000-0000653A0000}"/>
    <cellStyle name="Normal 15 2 9 3 2" xfId="14947" xr:uid="{00000000-0005-0000-0000-0000663A0000}"/>
    <cellStyle name="Normal 15 2 9 3 3" xfId="14948" xr:uid="{00000000-0005-0000-0000-0000673A0000}"/>
    <cellStyle name="Normal 15 2 9 4" xfId="14949" xr:uid="{00000000-0005-0000-0000-0000683A0000}"/>
    <cellStyle name="Normal 15 2 9 4 2" xfId="14950" xr:uid="{00000000-0005-0000-0000-0000693A0000}"/>
    <cellStyle name="Normal 15 2 9 4 3" xfId="14951" xr:uid="{00000000-0005-0000-0000-00006A3A0000}"/>
    <cellStyle name="Normal 15 2 9 5" xfId="14952" xr:uid="{00000000-0005-0000-0000-00006B3A0000}"/>
    <cellStyle name="Normal 15 2 9 6" xfId="14953" xr:uid="{00000000-0005-0000-0000-00006C3A0000}"/>
    <cellStyle name="Normal 15 2 9 7" xfId="14954" xr:uid="{00000000-0005-0000-0000-00006D3A0000}"/>
    <cellStyle name="Normal 15 20" xfId="14955" xr:uid="{00000000-0005-0000-0000-00006E3A0000}"/>
    <cellStyle name="Normal 15 20 2" xfId="14956" xr:uid="{00000000-0005-0000-0000-00006F3A0000}"/>
    <cellStyle name="Normal 15 20 2 2" xfId="14957" xr:uid="{00000000-0005-0000-0000-0000703A0000}"/>
    <cellStyle name="Normal 15 20 2 2 2" xfId="14958" xr:uid="{00000000-0005-0000-0000-0000713A0000}"/>
    <cellStyle name="Normal 15 20 2 2 3" xfId="14959" xr:uid="{00000000-0005-0000-0000-0000723A0000}"/>
    <cellStyle name="Normal 15 20 2 3" xfId="14960" xr:uid="{00000000-0005-0000-0000-0000733A0000}"/>
    <cellStyle name="Normal 15 20 2 3 2" xfId="14961" xr:uid="{00000000-0005-0000-0000-0000743A0000}"/>
    <cellStyle name="Normal 15 20 2 3 3" xfId="14962" xr:uid="{00000000-0005-0000-0000-0000753A0000}"/>
    <cellStyle name="Normal 15 20 2 4" xfId="14963" xr:uid="{00000000-0005-0000-0000-0000763A0000}"/>
    <cellStyle name="Normal 15 20 2 5" xfId="14964" xr:uid="{00000000-0005-0000-0000-0000773A0000}"/>
    <cellStyle name="Normal 15 20 2 6" xfId="14965" xr:uid="{00000000-0005-0000-0000-0000783A0000}"/>
    <cellStyle name="Normal 15 20 3" xfId="14966" xr:uid="{00000000-0005-0000-0000-0000793A0000}"/>
    <cellStyle name="Normal 15 20 3 2" xfId="14967" xr:uid="{00000000-0005-0000-0000-00007A3A0000}"/>
    <cellStyle name="Normal 15 20 3 3" xfId="14968" xr:uid="{00000000-0005-0000-0000-00007B3A0000}"/>
    <cellStyle name="Normal 15 20 4" xfId="14969" xr:uid="{00000000-0005-0000-0000-00007C3A0000}"/>
    <cellStyle name="Normal 15 20 4 2" xfId="14970" xr:uid="{00000000-0005-0000-0000-00007D3A0000}"/>
    <cellStyle name="Normal 15 20 4 3" xfId="14971" xr:uid="{00000000-0005-0000-0000-00007E3A0000}"/>
    <cellStyle name="Normal 15 20 5" xfId="14972" xr:uid="{00000000-0005-0000-0000-00007F3A0000}"/>
    <cellStyle name="Normal 15 20 6" xfId="14973" xr:uid="{00000000-0005-0000-0000-0000803A0000}"/>
    <cellStyle name="Normal 15 20 7" xfId="14974" xr:uid="{00000000-0005-0000-0000-0000813A0000}"/>
    <cellStyle name="Normal 15 21" xfId="14975" xr:uid="{00000000-0005-0000-0000-0000823A0000}"/>
    <cellStyle name="Normal 15 21 2" xfId="14976" xr:uid="{00000000-0005-0000-0000-0000833A0000}"/>
    <cellStyle name="Normal 15 21 2 2" xfId="14977" xr:uid="{00000000-0005-0000-0000-0000843A0000}"/>
    <cellStyle name="Normal 15 21 2 2 2" xfId="14978" xr:uid="{00000000-0005-0000-0000-0000853A0000}"/>
    <cellStyle name="Normal 15 21 2 2 3" xfId="14979" xr:uid="{00000000-0005-0000-0000-0000863A0000}"/>
    <cellStyle name="Normal 15 21 2 3" xfId="14980" xr:uid="{00000000-0005-0000-0000-0000873A0000}"/>
    <cellStyle name="Normal 15 21 2 3 2" xfId="14981" xr:uid="{00000000-0005-0000-0000-0000883A0000}"/>
    <cellStyle name="Normal 15 21 2 3 3" xfId="14982" xr:uid="{00000000-0005-0000-0000-0000893A0000}"/>
    <cellStyle name="Normal 15 21 2 4" xfId="14983" xr:uid="{00000000-0005-0000-0000-00008A3A0000}"/>
    <cellStyle name="Normal 15 21 2 5" xfId="14984" xr:uid="{00000000-0005-0000-0000-00008B3A0000}"/>
    <cellStyle name="Normal 15 21 2 6" xfId="14985" xr:uid="{00000000-0005-0000-0000-00008C3A0000}"/>
    <cellStyle name="Normal 15 21 3" xfId="14986" xr:uid="{00000000-0005-0000-0000-00008D3A0000}"/>
    <cellStyle name="Normal 15 21 3 2" xfId="14987" xr:uid="{00000000-0005-0000-0000-00008E3A0000}"/>
    <cellStyle name="Normal 15 21 3 3" xfId="14988" xr:uid="{00000000-0005-0000-0000-00008F3A0000}"/>
    <cellStyle name="Normal 15 21 4" xfId="14989" xr:uid="{00000000-0005-0000-0000-0000903A0000}"/>
    <cellStyle name="Normal 15 21 4 2" xfId="14990" xr:uid="{00000000-0005-0000-0000-0000913A0000}"/>
    <cellStyle name="Normal 15 21 4 3" xfId="14991" xr:uid="{00000000-0005-0000-0000-0000923A0000}"/>
    <cellStyle name="Normal 15 21 5" xfId="14992" xr:uid="{00000000-0005-0000-0000-0000933A0000}"/>
    <cellStyle name="Normal 15 21 6" xfId="14993" xr:uid="{00000000-0005-0000-0000-0000943A0000}"/>
    <cellStyle name="Normal 15 21 7" xfId="14994" xr:uid="{00000000-0005-0000-0000-0000953A0000}"/>
    <cellStyle name="Normal 15 22" xfId="14995" xr:uid="{00000000-0005-0000-0000-0000963A0000}"/>
    <cellStyle name="Normal 15 22 2" xfId="14996" xr:uid="{00000000-0005-0000-0000-0000973A0000}"/>
    <cellStyle name="Normal 15 22 2 2" xfId="14997" xr:uid="{00000000-0005-0000-0000-0000983A0000}"/>
    <cellStyle name="Normal 15 22 2 2 2" xfId="14998" xr:uid="{00000000-0005-0000-0000-0000993A0000}"/>
    <cellStyle name="Normal 15 22 2 2 3" xfId="14999" xr:uid="{00000000-0005-0000-0000-00009A3A0000}"/>
    <cellStyle name="Normal 15 22 2 3" xfId="15000" xr:uid="{00000000-0005-0000-0000-00009B3A0000}"/>
    <cellStyle name="Normal 15 22 2 3 2" xfId="15001" xr:uid="{00000000-0005-0000-0000-00009C3A0000}"/>
    <cellStyle name="Normal 15 22 2 3 3" xfId="15002" xr:uid="{00000000-0005-0000-0000-00009D3A0000}"/>
    <cellStyle name="Normal 15 22 2 4" xfId="15003" xr:uid="{00000000-0005-0000-0000-00009E3A0000}"/>
    <cellStyle name="Normal 15 22 2 5" xfId="15004" xr:uid="{00000000-0005-0000-0000-00009F3A0000}"/>
    <cellStyle name="Normal 15 22 2 6" xfId="15005" xr:uid="{00000000-0005-0000-0000-0000A03A0000}"/>
    <cellStyle name="Normal 15 22 3" xfId="15006" xr:uid="{00000000-0005-0000-0000-0000A13A0000}"/>
    <cellStyle name="Normal 15 22 3 2" xfId="15007" xr:uid="{00000000-0005-0000-0000-0000A23A0000}"/>
    <cellStyle name="Normal 15 22 3 3" xfId="15008" xr:uid="{00000000-0005-0000-0000-0000A33A0000}"/>
    <cellStyle name="Normal 15 22 4" xfId="15009" xr:uid="{00000000-0005-0000-0000-0000A43A0000}"/>
    <cellStyle name="Normal 15 22 4 2" xfId="15010" xr:uid="{00000000-0005-0000-0000-0000A53A0000}"/>
    <cellStyle name="Normal 15 22 4 3" xfId="15011" xr:uid="{00000000-0005-0000-0000-0000A63A0000}"/>
    <cellStyle name="Normal 15 22 5" xfId="15012" xr:uid="{00000000-0005-0000-0000-0000A73A0000}"/>
    <cellStyle name="Normal 15 22 6" xfId="15013" xr:uid="{00000000-0005-0000-0000-0000A83A0000}"/>
    <cellStyle name="Normal 15 22 7" xfId="15014" xr:uid="{00000000-0005-0000-0000-0000A93A0000}"/>
    <cellStyle name="Normal 15 23" xfId="15015" xr:uid="{00000000-0005-0000-0000-0000AA3A0000}"/>
    <cellStyle name="Normal 15 23 2" xfId="15016" xr:uid="{00000000-0005-0000-0000-0000AB3A0000}"/>
    <cellStyle name="Normal 15 23 2 2" xfId="15017" xr:uid="{00000000-0005-0000-0000-0000AC3A0000}"/>
    <cellStyle name="Normal 15 23 2 2 2" xfId="15018" xr:uid="{00000000-0005-0000-0000-0000AD3A0000}"/>
    <cellStyle name="Normal 15 23 2 2 3" xfId="15019" xr:uid="{00000000-0005-0000-0000-0000AE3A0000}"/>
    <cellStyle name="Normal 15 23 2 3" xfId="15020" xr:uid="{00000000-0005-0000-0000-0000AF3A0000}"/>
    <cellStyle name="Normal 15 23 2 3 2" xfId="15021" xr:uid="{00000000-0005-0000-0000-0000B03A0000}"/>
    <cellStyle name="Normal 15 23 2 3 3" xfId="15022" xr:uid="{00000000-0005-0000-0000-0000B13A0000}"/>
    <cellStyle name="Normal 15 23 2 4" xfId="15023" xr:uid="{00000000-0005-0000-0000-0000B23A0000}"/>
    <cellStyle name="Normal 15 23 2 5" xfId="15024" xr:uid="{00000000-0005-0000-0000-0000B33A0000}"/>
    <cellStyle name="Normal 15 23 2 6" xfId="15025" xr:uid="{00000000-0005-0000-0000-0000B43A0000}"/>
    <cellStyle name="Normal 15 23 3" xfId="15026" xr:uid="{00000000-0005-0000-0000-0000B53A0000}"/>
    <cellStyle name="Normal 15 23 3 2" xfId="15027" xr:uid="{00000000-0005-0000-0000-0000B63A0000}"/>
    <cellStyle name="Normal 15 23 3 3" xfId="15028" xr:uid="{00000000-0005-0000-0000-0000B73A0000}"/>
    <cellStyle name="Normal 15 23 4" xfId="15029" xr:uid="{00000000-0005-0000-0000-0000B83A0000}"/>
    <cellStyle name="Normal 15 23 4 2" xfId="15030" xr:uid="{00000000-0005-0000-0000-0000B93A0000}"/>
    <cellStyle name="Normal 15 23 4 3" xfId="15031" xr:uid="{00000000-0005-0000-0000-0000BA3A0000}"/>
    <cellStyle name="Normal 15 23 5" xfId="15032" xr:uid="{00000000-0005-0000-0000-0000BB3A0000}"/>
    <cellStyle name="Normal 15 23 6" xfId="15033" xr:uid="{00000000-0005-0000-0000-0000BC3A0000}"/>
    <cellStyle name="Normal 15 23 7" xfId="15034" xr:uid="{00000000-0005-0000-0000-0000BD3A0000}"/>
    <cellStyle name="Normal 15 24" xfId="15035" xr:uid="{00000000-0005-0000-0000-0000BE3A0000}"/>
    <cellStyle name="Normal 15 24 2" xfId="15036" xr:uid="{00000000-0005-0000-0000-0000BF3A0000}"/>
    <cellStyle name="Normal 15 24 2 2" xfId="15037" xr:uid="{00000000-0005-0000-0000-0000C03A0000}"/>
    <cellStyle name="Normal 15 24 2 2 2" xfId="15038" xr:uid="{00000000-0005-0000-0000-0000C13A0000}"/>
    <cellStyle name="Normal 15 24 2 2 3" xfId="15039" xr:uid="{00000000-0005-0000-0000-0000C23A0000}"/>
    <cellStyle name="Normal 15 24 2 3" xfId="15040" xr:uid="{00000000-0005-0000-0000-0000C33A0000}"/>
    <cellStyle name="Normal 15 24 2 3 2" xfId="15041" xr:uid="{00000000-0005-0000-0000-0000C43A0000}"/>
    <cellStyle name="Normal 15 24 2 3 3" xfId="15042" xr:uid="{00000000-0005-0000-0000-0000C53A0000}"/>
    <cellStyle name="Normal 15 24 2 4" xfId="15043" xr:uid="{00000000-0005-0000-0000-0000C63A0000}"/>
    <cellStyle name="Normal 15 24 2 5" xfId="15044" xr:uid="{00000000-0005-0000-0000-0000C73A0000}"/>
    <cellStyle name="Normal 15 24 2 6" xfId="15045" xr:uid="{00000000-0005-0000-0000-0000C83A0000}"/>
    <cellStyle name="Normal 15 24 3" xfId="15046" xr:uid="{00000000-0005-0000-0000-0000C93A0000}"/>
    <cellStyle name="Normal 15 24 3 2" xfId="15047" xr:uid="{00000000-0005-0000-0000-0000CA3A0000}"/>
    <cellStyle name="Normal 15 24 3 3" xfId="15048" xr:uid="{00000000-0005-0000-0000-0000CB3A0000}"/>
    <cellStyle name="Normal 15 24 4" xfId="15049" xr:uid="{00000000-0005-0000-0000-0000CC3A0000}"/>
    <cellStyle name="Normal 15 24 4 2" xfId="15050" xr:uid="{00000000-0005-0000-0000-0000CD3A0000}"/>
    <cellStyle name="Normal 15 24 4 3" xfId="15051" xr:uid="{00000000-0005-0000-0000-0000CE3A0000}"/>
    <cellStyle name="Normal 15 24 5" xfId="15052" xr:uid="{00000000-0005-0000-0000-0000CF3A0000}"/>
    <cellStyle name="Normal 15 24 6" xfId="15053" xr:uid="{00000000-0005-0000-0000-0000D03A0000}"/>
    <cellStyle name="Normal 15 24 7" xfId="15054" xr:uid="{00000000-0005-0000-0000-0000D13A0000}"/>
    <cellStyle name="Normal 15 25" xfId="15055" xr:uid="{00000000-0005-0000-0000-0000D23A0000}"/>
    <cellStyle name="Normal 15 25 2" xfId="15056" xr:uid="{00000000-0005-0000-0000-0000D33A0000}"/>
    <cellStyle name="Normal 15 25 2 2" xfId="15057" xr:uid="{00000000-0005-0000-0000-0000D43A0000}"/>
    <cellStyle name="Normal 15 25 2 2 2" xfId="15058" xr:uid="{00000000-0005-0000-0000-0000D53A0000}"/>
    <cellStyle name="Normal 15 25 2 2 3" xfId="15059" xr:uid="{00000000-0005-0000-0000-0000D63A0000}"/>
    <cellStyle name="Normal 15 25 2 3" xfId="15060" xr:uid="{00000000-0005-0000-0000-0000D73A0000}"/>
    <cellStyle name="Normal 15 25 2 3 2" xfId="15061" xr:uid="{00000000-0005-0000-0000-0000D83A0000}"/>
    <cellStyle name="Normal 15 25 2 3 3" xfId="15062" xr:uid="{00000000-0005-0000-0000-0000D93A0000}"/>
    <cellStyle name="Normal 15 25 2 4" xfId="15063" xr:uid="{00000000-0005-0000-0000-0000DA3A0000}"/>
    <cellStyle name="Normal 15 25 2 5" xfId="15064" xr:uid="{00000000-0005-0000-0000-0000DB3A0000}"/>
    <cellStyle name="Normal 15 25 2 6" xfId="15065" xr:uid="{00000000-0005-0000-0000-0000DC3A0000}"/>
    <cellStyle name="Normal 15 25 3" xfId="15066" xr:uid="{00000000-0005-0000-0000-0000DD3A0000}"/>
    <cellStyle name="Normal 15 25 3 2" xfId="15067" xr:uid="{00000000-0005-0000-0000-0000DE3A0000}"/>
    <cellStyle name="Normal 15 25 3 3" xfId="15068" xr:uid="{00000000-0005-0000-0000-0000DF3A0000}"/>
    <cellStyle name="Normal 15 25 4" xfId="15069" xr:uid="{00000000-0005-0000-0000-0000E03A0000}"/>
    <cellStyle name="Normal 15 25 4 2" xfId="15070" xr:uid="{00000000-0005-0000-0000-0000E13A0000}"/>
    <cellStyle name="Normal 15 25 4 3" xfId="15071" xr:uid="{00000000-0005-0000-0000-0000E23A0000}"/>
    <cellStyle name="Normal 15 25 5" xfId="15072" xr:uid="{00000000-0005-0000-0000-0000E33A0000}"/>
    <cellStyle name="Normal 15 25 6" xfId="15073" xr:uid="{00000000-0005-0000-0000-0000E43A0000}"/>
    <cellStyle name="Normal 15 25 7" xfId="15074" xr:uid="{00000000-0005-0000-0000-0000E53A0000}"/>
    <cellStyle name="Normal 15 26" xfId="15075" xr:uid="{00000000-0005-0000-0000-0000E63A0000}"/>
    <cellStyle name="Normal 15 26 2" xfId="15076" xr:uid="{00000000-0005-0000-0000-0000E73A0000}"/>
    <cellStyle name="Normal 15 26 2 2" xfId="15077" xr:uid="{00000000-0005-0000-0000-0000E83A0000}"/>
    <cellStyle name="Normal 15 26 2 2 2" xfId="15078" xr:uid="{00000000-0005-0000-0000-0000E93A0000}"/>
    <cellStyle name="Normal 15 26 2 2 3" xfId="15079" xr:uid="{00000000-0005-0000-0000-0000EA3A0000}"/>
    <cellStyle name="Normal 15 26 2 3" xfId="15080" xr:uid="{00000000-0005-0000-0000-0000EB3A0000}"/>
    <cellStyle name="Normal 15 26 2 3 2" xfId="15081" xr:uid="{00000000-0005-0000-0000-0000EC3A0000}"/>
    <cellStyle name="Normal 15 26 2 3 3" xfId="15082" xr:uid="{00000000-0005-0000-0000-0000ED3A0000}"/>
    <cellStyle name="Normal 15 26 2 4" xfId="15083" xr:uid="{00000000-0005-0000-0000-0000EE3A0000}"/>
    <cellStyle name="Normal 15 26 2 5" xfId="15084" xr:uid="{00000000-0005-0000-0000-0000EF3A0000}"/>
    <cellStyle name="Normal 15 26 2 6" xfId="15085" xr:uid="{00000000-0005-0000-0000-0000F03A0000}"/>
    <cellStyle name="Normal 15 26 3" xfId="15086" xr:uid="{00000000-0005-0000-0000-0000F13A0000}"/>
    <cellStyle name="Normal 15 26 3 2" xfId="15087" xr:uid="{00000000-0005-0000-0000-0000F23A0000}"/>
    <cellStyle name="Normal 15 26 3 3" xfId="15088" xr:uid="{00000000-0005-0000-0000-0000F33A0000}"/>
    <cellStyle name="Normal 15 26 4" xfId="15089" xr:uid="{00000000-0005-0000-0000-0000F43A0000}"/>
    <cellStyle name="Normal 15 26 4 2" xfId="15090" xr:uid="{00000000-0005-0000-0000-0000F53A0000}"/>
    <cellStyle name="Normal 15 26 4 3" xfId="15091" xr:uid="{00000000-0005-0000-0000-0000F63A0000}"/>
    <cellStyle name="Normal 15 26 5" xfId="15092" xr:uid="{00000000-0005-0000-0000-0000F73A0000}"/>
    <cellStyle name="Normal 15 26 6" xfId="15093" xr:uid="{00000000-0005-0000-0000-0000F83A0000}"/>
    <cellStyle name="Normal 15 26 7" xfId="15094" xr:uid="{00000000-0005-0000-0000-0000F93A0000}"/>
    <cellStyle name="Normal 15 27" xfId="15095" xr:uid="{00000000-0005-0000-0000-0000FA3A0000}"/>
    <cellStyle name="Normal 15 27 2" xfId="15096" xr:uid="{00000000-0005-0000-0000-0000FB3A0000}"/>
    <cellStyle name="Normal 15 27 2 2" xfId="15097" xr:uid="{00000000-0005-0000-0000-0000FC3A0000}"/>
    <cellStyle name="Normal 15 27 2 3" xfId="15098" xr:uid="{00000000-0005-0000-0000-0000FD3A0000}"/>
    <cellStyle name="Normal 15 27 3" xfId="15099" xr:uid="{00000000-0005-0000-0000-0000FE3A0000}"/>
    <cellStyle name="Normal 15 27 3 2" xfId="15100" xr:uid="{00000000-0005-0000-0000-0000FF3A0000}"/>
    <cellStyle name="Normal 15 27 3 3" xfId="15101" xr:uid="{00000000-0005-0000-0000-0000003B0000}"/>
    <cellStyle name="Normal 15 27 4" xfId="15102" xr:uid="{00000000-0005-0000-0000-0000013B0000}"/>
    <cellStyle name="Normal 15 27 5" xfId="15103" xr:uid="{00000000-0005-0000-0000-0000023B0000}"/>
    <cellStyle name="Normal 15 27 6" xfId="15104" xr:uid="{00000000-0005-0000-0000-0000033B0000}"/>
    <cellStyle name="Normal 15 28" xfId="15105" xr:uid="{00000000-0005-0000-0000-0000043B0000}"/>
    <cellStyle name="Normal 15 28 2" xfId="15106" xr:uid="{00000000-0005-0000-0000-0000053B0000}"/>
    <cellStyle name="Normal 15 28 3" xfId="15107" xr:uid="{00000000-0005-0000-0000-0000063B0000}"/>
    <cellStyle name="Normal 15 28 4" xfId="15108" xr:uid="{00000000-0005-0000-0000-0000073B0000}"/>
    <cellStyle name="Normal 15 29" xfId="15109" xr:uid="{00000000-0005-0000-0000-0000083B0000}"/>
    <cellStyle name="Normal 15 29 2" xfId="15110" xr:uid="{00000000-0005-0000-0000-0000093B0000}"/>
    <cellStyle name="Normal 15 29 3" xfId="15111" xr:uid="{00000000-0005-0000-0000-00000A3B0000}"/>
    <cellStyle name="Normal 15 3" xfId="15112" xr:uid="{00000000-0005-0000-0000-00000B3B0000}"/>
    <cellStyle name="Normal 15 3 2" xfId="15113" xr:uid="{00000000-0005-0000-0000-00000C3B0000}"/>
    <cellStyle name="Normal 15 3 2 2" xfId="15114" xr:uid="{00000000-0005-0000-0000-00000D3B0000}"/>
    <cellStyle name="Normal 15 3 2 2 2" xfId="15115" xr:uid="{00000000-0005-0000-0000-00000E3B0000}"/>
    <cellStyle name="Normal 15 3 2 2 3" xfId="15116" xr:uid="{00000000-0005-0000-0000-00000F3B0000}"/>
    <cellStyle name="Normal 15 3 2 3" xfId="15117" xr:uid="{00000000-0005-0000-0000-0000103B0000}"/>
    <cellStyle name="Normal 15 3 2 3 2" xfId="15118" xr:uid="{00000000-0005-0000-0000-0000113B0000}"/>
    <cellStyle name="Normal 15 3 2 3 3" xfId="15119" xr:uid="{00000000-0005-0000-0000-0000123B0000}"/>
    <cellStyle name="Normal 15 3 2 4" xfId="15120" xr:uid="{00000000-0005-0000-0000-0000133B0000}"/>
    <cellStyle name="Normal 15 3 2 5" xfId="15121" xr:uid="{00000000-0005-0000-0000-0000143B0000}"/>
    <cellStyle name="Normal 15 3 2 6" xfId="15122" xr:uid="{00000000-0005-0000-0000-0000153B0000}"/>
    <cellStyle name="Normal 15 3 3" xfId="15123" xr:uid="{00000000-0005-0000-0000-0000163B0000}"/>
    <cellStyle name="Normal 15 3 3 2" xfId="15124" xr:uid="{00000000-0005-0000-0000-0000173B0000}"/>
    <cellStyle name="Normal 15 3 3 3" xfId="15125" xr:uid="{00000000-0005-0000-0000-0000183B0000}"/>
    <cellStyle name="Normal 15 3 4" xfId="15126" xr:uid="{00000000-0005-0000-0000-0000193B0000}"/>
    <cellStyle name="Normal 15 3 4 2" xfId="15127" xr:uid="{00000000-0005-0000-0000-00001A3B0000}"/>
    <cellStyle name="Normal 15 3 4 3" xfId="15128" xr:uid="{00000000-0005-0000-0000-00001B3B0000}"/>
    <cellStyle name="Normal 15 3 5" xfId="15129" xr:uid="{00000000-0005-0000-0000-00001C3B0000}"/>
    <cellStyle name="Normal 15 3 6" xfId="15130" xr:uid="{00000000-0005-0000-0000-00001D3B0000}"/>
    <cellStyle name="Normal 15 3 7" xfId="15131" xr:uid="{00000000-0005-0000-0000-00001E3B0000}"/>
    <cellStyle name="Normal 15 30" xfId="15132" xr:uid="{00000000-0005-0000-0000-00001F3B0000}"/>
    <cellStyle name="Normal 15 31" xfId="15133" xr:uid="{00000000-0005-0000-0000-0000203B0000}"/>
    <cellStyle name="Normal 15 32" xfId="15134" xr:uid="{00000000-0005-0000-0000-0000213B0000}"/>
    <cellStyle name="Normal 15 4" xfId="15135" xr:uid="{00000000-0005-0000-0000-0000223B0000}"/>
    <cellStyle name="Normal 15 4 2" xfId="15136" xr:uid="{00000000-0005-0000-0000-0000233B0000}"/>
    <cellStyle name="Normal 15 4 2 2" xfId="15137" xr:uid="{00000000-0005-0000-0000-0000243B0000}"/>
    <cellStyle name="Normal 15 4 2 2 2" xfId="15138" xr:uid="{00000000-0005-0000-0000-0000253B0000}"/>
    <cellStyle name="Normal 15 4 2 2 3" xfId="15139" xr:uid="{00000000-0005-0000-0000-0000263B0000}"/>
    <cellStyle name="Normal 15 4 2 3" xfId="15140" xr:uid="{00000000-0005-0000-0000-0000273B0000}"/>
    <cellStyle name="Normal 15 4 2 3 2" xfId="15141" xr:uid="{00000000-0005-0000-0000-0000283B0000}"/>
    <cellStyle name="Normal 15 4 2 3 3" xfId="15142" xr:uid="{00000000-0005-0000-0000-0000293B0000}"/>
    <cellStyle name="Normal 15 4 2 4" xfId="15143" xr:uid="{00000000-0005-0000-0000-00002A3B0000}"/>
    <cellStyle name="Normal 15 4 2 5" xfId="15144" xr:uid="{00000000-0005-0000-0000-00002B3B0000}"/>
    <cellStyle name="Normal 15 4 2 6" xfId="15145" xr:uid="{00000000-0005-0000-0000-00002C3B0000}"/>
    <cellStyle name="Normal 15 4 3" xfId="15146" xr:uid="{00000000-0005-0000-0000-00002D3B0000}"/>
    <cellStyle name="Normal 15 4 3 2" xfId="15147" xr:uid="{00000000-0005-0000-0000-00002E3B0000}"/>
    <cellStyle name="Normal 15 4 3 3" xfId="15148" xr:uid="{00000000-0005-0000-0000-00002F3B0000}"/>
    <cellStyle name="Normal 15 4 4" xfId="15149" xr:uid="{00000000-0005-0000-0000-0000303B0000}"/>
    <cellStyle name="Normal 15 4 4 2" xfId="15150" xr:uid="{00000000-0005-0000-0000-0000313B0000}"/>
    <cellStyle name="Normal 15 4 4 3" xfId="15151" xr:uid="{00000000-0005-0000-0000-0000323B0000}"/>
    <cellStyle name="Normal 15 4 5" xfId="15152" xr:uid="{00000000-0005-0000-0000-0000333B0000}"/>
    <cellStyle name="Normal 15 4 6" xfId="15153" xr:uid="{00000000-0005-0000-0000-0000343B0000}"/>
    <cellStyle name="Normal 15 4 7" xfId="15154" xr:uid="{00000000-0005-0000-0000-0000353B0000}"/>
    <cellStyle name="Normal 15 5" xfId="15155" xr:uid="{00000000-0005-0000-0000-0000363B0000}"/>
    <cellStyle name="Normal 15 5 2" xfId="15156" xr:uid="{00000000-0005-0000-0000-0000373B0000}"/>
    <cellStyle name="Normal 15 5 2 2" xfId="15157" xr:uid="{00000000-0005-0000-0000-0000383B0000}"/>
    <cellStyle name="Normal 15 5 2 2 2" xfId="15158" xr:uid="{00000000-0005-0000-0000-0000393B0000}"/>
    <cellStyle name="Normal 15 5 2 2 3" xfId="15159" xr:uid="{00000000-0005-0000-0000-00003A3B0000}"/>
    <cellStyle name="Normal 15 5 2 3" xfId="15160" xr:uid="{00000000-0005-0000-0000-00003B3B0000}"/>
    <cellStyle name="Normal 15 5 2 3 2" xfId="15161" xr:uid="{00000000-0005-0000-0000-00003C3B0000}"/>
    <cellStyle name="Normal 15 5 2 3 3" xfId="15162" xr:uid="{00000000-0005-0000-0000-00003D3B0000}"/>
    <cellStyle name="Normal 15 5 2 4" xfId="15163" xr:uid="{00000000-0005-0000-0000-00003E3B0000}"/>
    <cellStyle name="Normal 15 5 2 5" xfId="15164" xr:uid="{00000000-0005-0000-0000-00003F3B0000}"/>
    <cellStyle name="Normal 15 5 2 6" xfId="15165" xr:uid="{00000000-0005-0000-0000-0000403B0000}"/>
    <cellStyle name="Normal 15 5 3" xfId="15166" xr:uid="{00000000-0005-0000-0000-0000413B0000}"/>
    <cellStyle name="Normal 15 5 3 2" xfId="15167" xr:uid="{00000000-0005-0000-0000-0000423B0000}"/>
    <cellStyle name="Normal 15 5 3 3" xfId="15168" xr:uid="{00000000-0005-0000-0000-0000433B0000}"/>
    <cellStyle name="Normal 15 5 4" xfId="15169" xr:uid="{00000000-0005-0000-0000-0000443B0000}"/>
    <cellStyle name="Normal 15 5 4 2" xfId="15170" xr:uid="{00000000-0005-0000-0000-0000453B0000}"/>
    <cellStyle name="Normal 15 5 4 3" xfId="15171" xr:uid="{00000000-0005-0000-0000-0000463B0000}"/>
    <cellStyle name="Normal 15 5 5" xfId="15172" xr:uid="{00000000-0005-0000-0000-0000473B0000}"/>
    <cellStyle name="Normal 15 5 6" xfId="15173" xr:uid="{00000000-0005-0000-0000-0000483B0000}"/>
    <cellStyle name="Normal 15 5 7" xfId="15174" xr:uid="{00000000-0005-0000-0000-0000493B0000}"/>
    <cellStyle name="Normal 15 6" xfId="15175" xr:uid="{00000000-0005-0000-0000-00004A3B0000}"/>
    <cellStyle name="Normal 15 6 2" xfId="15176" xr:uid="{00000000-0005-0000-0000-00004B3B0000}"/>
    <cellStyle name="Normal 15 6 2 2" xfId="15177" xr:uid="{00000000-0005-0000-0000-00004C3B0000}"/>
    <cellStyle name="Normal 15 6 2 2 2" xfId="15178" xr:uid="{00000000-0005-0000-0000-00004D3B0000}"/>
    <cellStyle name="Normal 15 6 2 2 3" xfId="15179" xr:uid="{00000000-0005-0000-0000-00004E3B0000}"/>
    <cellStyle name="Normal 15 6 2 3" xfId="15180" xr:uid="{00000000-0005-0000-0000-00004F3B0000}"/>
    <cellStyle name="Normal 15 6 2 3 2" xfId="15181" xr:uid="{00000000-0005-0000-0000-0000503B0000}"/>
    <cellStyle name="Normal 15 6 2 3 3" xfId="15182" xr:uid="{00000000-0005-0000-0000-0000513B0000}"/>
    <cellStyle name="Normal 15 6 2 4" xfId="15183" xr:uid="{00000000-0005-0000-0000-0000523B0000}"/>
    <cellStyle name="Normal 15 6 2 5" xfId="15184" xr:uid="{00000000-0005-0000-0000-0000533B0000}"/>
    <cellStyle name="Normal 15 6 2 6" xfId="15185" xr:uid="{00000000-0005-0000-0000-0000543B0000}"/>
    <cellStyle name="Normal 15 6 3" xfId="15186" xr:uid="{00000000-0005-0000-0000-0000553B0000}"/>
    <cellStyle name="Normal 15 6 3 2" xfId="15187" xr:uid="{00000000-0005-0000-0000-0000563B0000}"/>
    <cellStyle name="Normal 15 6 3 3" xfId="15188" xr:uid="{00000000-0005-0000-0000-0000573B0000}"/>
    <cellStyle name="Normal 15 6 4" xfId="15189" xr:uid="{00000000-0005-0000-0000-0000583B0000}"/>
    <cellStyle name="Normal 15 6 4 2" xfId="15190" xr:uid="{00000000-0005-0000-0000-0000593B0000}"/>
    <cellStyle name="Normal 15 6 4 3" xfId="15191" xr:uid="{00000000-0005-0000-0000-00005A3B0000}"/>
    <cellStyle name="Normal 15 6 5" xfId="15192" xr:uid="{00000000-0005-0000-0000-00005B3B0000}"/>
    <cellStyle name="Normal 15 6 6" xfId="15193" xr:uid="{00000000-0005-0000-0000-00005C3B0000}"/>
    <cellStyle name="Normal 15 6 7" xfId="15194" xr:uid="{00000000-0005-0000-0000-00005D3B0000}"/>
    <cellStyle name="Normal 15 7" xfId="15195" xr:uid="{00000000-0005-0000-0000-00005E3B0000}"/>
    <cellStyle name="Normal 15 7 2" xfId="15196" xr:uid="{00000000-0005-0000-0000-00005F3B0000}"/>
    <cellStyle name="Normal 15 7 2 2" xfId="15197" xr:uid="{00000000-0005-0000-0000-0000603B0000}"/>
    <cellStyle name="Normal 15 7 2 2 2" xfId="15198" xr:uid="{00000000-0005-0000-0000-0000613B0000}"/>
    <cellStyle name="Normal 15 7 2 2 3" xfId="15199" xr:uid="{00000000-0005-0000-0000-0000623B0000}"/>
    <cellStyle name="Normal 15 7 2 3" xfId="15200" xr:uid="{00000000-0005-0000-0000-0000633B0000}"/>
    <cellStyle name="Normal 15 7 2 3 2" xfId="15201" xr:uid="{00000000-0005-0000-0000-0000643B0000}"/>
    <cellStyle name="Normal 15 7 2 3 3" xfId="15202" xr:uid="{00000000-0005-0000-0000-0000653B0000}"/>
    <cellStyle name="Normal 15 7 2 4" xfId="15203" xr:uid="{00000000-0005-0000-0000-0000663B0000}"/>
    <cellStyle name="Normal 15 7 2 5" xfId="15204" xr:uid="{00000000-0005-0000-0000-0000673B0000}"/>
    <cellStyle name="Normal 15 7 2 6" xfId="15205" xr:uid="{00000000-0005-0000-0000-0000683B0000}"/>
    <cellStyle name="Normal 15 7 3" xfId="15206" xr:uid="{00000000-0005-0000-0000-0000693B0000}"/>
    <cellStyle name="Normal 15 7 3 2" xfId="15207" xr:uid="{00000000-0005-0000-0000-00006A3B0000}"/>
    <cellStyle name="Normal 15 7 3 3" xfId="15208" xr:uid="{00000000-0005-0000-0000-00006B3B0000}"/>
    <cellStyle name="Normal 15 7 4" xfId="15209" xr:uid="{00000000-0005-0000-0000-00006C3B0000}"/>
    <cellStyle name="Normal 15 7 4 2" xfId="15210" xr:uid="{00000000-0005-0000-0000-00006D3B0000}"/>
    <cellStyle name="Normal 15 7 4 3" xfId="15211" xr:uid="{00000000-0005-0000-0000-00006E3B0000}"/>
    <cellStyle name="Normal 15 7 5" xfId="15212" xr:uid="{00000000-0005-0000-0000-00006F3B0000}"/>
    <cellStyle name="Normal 15 7 6" xfId="15213" xr:uid="{00000000-0005-0000-0000-0000703B0000}"/>
    <cellStyle name="Normal 15 7 7" xfId="15214" xr:uid="{00000000-0005-0000-0000-0000713B0000}"/>
    <cellStyle name="Normal 15 8" xfId="15215" xr:uid="{00000000-0005-0000-0000-0000723B0000}"/>
    <cellStyle name="Normal 15 8 2" xfId="15216" xr:uid="{00000000-0005-0000-0000-0000733B0000}"/>
    <cellStyle name="Normal 15 8 2 2" xfId="15217" xr:uid="{00000000-0005-0000-0000-0000743B0000}"/>
    <cellStyle name="Normal 15 8 2 2 2" xfId="15218" xr:uid="{00000000-0005-0000-0000-0000753B0000}"/>
    <cellStyle name="Normal 15 8 2 2 3" xfId="15219" xr:uid="{00000000-0005-0000-0000-0000763B0000}"/>
    <cellStyle name="Normal 15 8 2 3" xfId="15220" xr:uid="{00000000-0005-0000-0000-0000773B0000}"/>
    <cellStyle name="Normal 15 8 2 3 2" xfId="15221" xr:uid="{00000000-0005-0000-0000-0000783B0000}"/>
    <cellStyle name="Normal 15 8 2 3 3" xfId="15222" xr:uid="{00000000-0005-0000-0000-0000793B0000}"/>
    <cellStyle name="Normal 15 8 2 4" xfId="15223" xr:uid="{00000000-0005-0000-0000-00007A3B0000}"/>
    <cellStyle name="Normal 15 8 2 5" xfId="15224" xr:uid="{00000000-0005-0000-0000-00007B3B0000}"/>
    <cellStyle name="Normal 15 8 2 6" xfId="15225" xr:uid="{00000000-0005-0000-0000-00007C3B0000}"/>
    <cellStyle name="Normal 15 8 3" xfId="15226" xr:uid="{00000000-0005-0000-0000-00007D3B0000}"/>
    <cellStyle name="Normal 15 8 3 2" xfId="15227" xr:uid="{00000000-0005-0000-0000-00007E3B0000}"/>
    <cellStyle name="Normal 15 8 3 3" xfId="15228" xr:uid="{00000000-0005-0000-0000-00007F3B0000}"/>
    <cellStyle name="Normal 15 8 4" xfId="15229" xr:uid="{00000000-0005-0000-0000-0000803B0000}"/>
    <cellStyle name="Normal 15 8 4 2" xfId="15230" xr:uid="{00000000-0005-0000-0000-0000813B0000}"/>
    <cellStyle name="Normal 15 8 4 3" xfId="15231" xr:uid="{00000000-0005-0000-0000-0000823B0000}"/>
    <cellStyle name="Normal 15 8 5" xfId="15232" xr:uid="{00000000-0005-0000-0000-0000833B0000}"/>
    <cellStyle name="Normal 15 8 6" xfId="15233" xr:uid="{00000000-0005-0000-0000-0000843B0000}"/>
    <cellStyle name="Normal 15 8 7" xfId="15234" xr:uid="{00000000-0005-0000-0000-0000853B0000}"/>
    <cellStyle name="Normal 15 9" xfId="15235" xr:uid="{00000000-0005-0000-0000-0000863B0000}"/>
    <cellStyle name="Normal 15 9 2" xfId="15236" xr:uid="{00000000-0005-0000-0000-0000873B0000}"/>
    <cellStyle name="Normal 15 9 2 2" xfId="15237" xr:uid="{00000000-0005-0000-0000-0000883B0000}"/>
    <cellStyle name="Normal 15 9 2 2 2" xfId="15238" xr:uid="{00000000-0005-0000-0000-0000893B0000}"/>
    <cellStyle name="Normal 15 9 2 2 3" xfId="15239" xr:uid="{00000000-0005-0000-0000-00008A3B0000}"/>
    <cellStyle name="Normal 15 9 2 3" xfId="15240" xr:uid="{00000000-0005-0000-0000-00008B3B0000}"/>
    <cellStyle name="Normal 15 9 2 3 2" xfId="15241" xr:uid="{00000000-0005-0000-0000-00008C3B0000}"/>
    <cellStyle name="Normal 15 9 2 3 3" xfId="15242" xr:uid="{00000000-0005-0000-0000-00008D3B0000}"/>
    <cellStyle name="Normal 15 9 2 4" xfId="15243" xr:uid="{00000000-0005-0000-0000-00008E3B0000}"/>
    <cellStyle name="Normal 15 9 2 5" xfId="15244" xr:uid="{00000000-0005-0000-0000-00008F3B0000}"/>
    <cellStyle name="Normal 15 9 2 6" xfId="15245" xr:uid="{00000000-0005-0000-0000-0000903B0000}"/>
    <cellStyle name="Normal 15 9 3" xfId="15246" xr:uid="{00000000-0005-0000-0000-0000913B0000}"/>
    <cellStyle name="Normal 15 9 3 2" xfId="15247" xr:uid="{00000000-0005-0000-0000-0000923B0000}"/>
    <cellStyle name="Normal 15 9 3 3" xfId="15248" xr:uid="{00000000-0005-0000-0000-0000933B0000}"/>
    <cellStyle name="Normal 15 9 4" xfId="15249" xr:uid="{00000000-0005-0000-0000-0000943B0000}"/>
    <cellStyle name="Normal 15 9 4 2" xfId="15250" xr:uid="{00000000-0005-0000-0000-0000953B0000}"/>
    <cellStyle name="Normal 15 9 4 3" xfId="15251" xr:uid="{00000000-0005-0000-0000-0000963B0000}"/>
    <cellStyle name="Normal 15 9 5" xfId="15252" xr:uid="{00000000-0005-0000-0000-0000973B0000}"/>
    <cellStyle name="Normal 15 9 6" xfId="15253" xr:uid="{00000000-0005-0000-0000-0000983B0000}"/>
    <cellStyle name="Normal 15 9 7" xfId="15254" xr:uid="{00000000-0005-0000-0000-0000993B0000}"/>
    <cellStyle name="Normal 16" xfId="15255" xr:uid="{00000000-0005-0000-0000-00009A3B0000}"/>
    <cellStyle name="Normal 16 10" xfId="15256" xr:uid="{00000000-0005-0000-0000-00009B3B0000}"/>
    <cellStyle name="Normal 16 10 2" xfId="15257" xr:uid="{00000000-0005-0000-0000-00009C3B0000}"/>
    <cellStyle name="Normal 16 10 2 2" xfId="15258" xr:uid="{00000000-0005-0000-0000-00009D3B0000}"/>
    <cellStyle name="Normal 16 10 2 2 2" xfId="15259" xr:uid="{00000000-0005-0000-0000-00009E3B0000}"/>
    <cellStyle name="Normal 16 10 2 2 3" xfId="15260" xr:uid="{00000000-0005-0000-0000-00009F3B0000}"/>
    <cellStyle name="Normal 16 10 2 3" xfId="15261" xr:uid="{00000000-0005-0000-0000-0000A03B0000}"/>
    <cellStyle name="Normal 16 10 2 3 2" xfId="15262" xr:uid="{00000000-0005-0000-0000-0000A13B0000}"/>
    <cellStyle name="Normal 16 10 2 3 3" xfId="15263" xr:uid="{00000000-0005-0000-0000-0000A23B0000}"/>
    <cellStyle name="Normal 16 10 2 4" xfId="15264" xr:uid="{00000000-0005-0000-0000-0000A33B0000}"/>
    <cellStyle name="Normal 16 10 2 5" xfId="15265" xr:uid="{00000000-0005-0000-0000-0000A43B0000}"/>
    <cellStyle name="Normal 16 10 2 6" xfId="15266" xr:uid="{00000000-0005-0000-0000-0000A53B0000}"/>
    <cellStyle name="Normal 16 10 3" xfId="15267" xr:uid="{00000000-0005-0000-0000-0000A63B0000}"/>
    <cellStyle name="Normal 16 10 3 2" xfId="15268" xr:uid="{00000000-0005-0000-0000-0000A73B0000}"/>
    <cellStyle name="Normal 16 10 3 3" xfId="15269" xr:uid="{00000000-0005-0000-0000-0000A83B0000}"/>
    <cellStyle name="Normal 16 10 4" xfId="15270" xr:uid="{00000000-0005-0000-0000-0000A93B0000}"/>
    <cellStyle name="Normal 16 10 4 2" xfId="15271" xr:uid="{00000000-0005-0000-0000-0000AA3B0000}"/>
    <cellStyle name="Normal 16 10 4 3" xfId="15272" xr:uid="{00000000-0005-0000-0000-0000AB3B0000}"/>
    <cellStyle name="Normal 16 10 5" xfId="15273" xr:uid="{00000000-0005-0000-0000-0000AC3B0000}"/>
    <cellStyle name="Normal 16 10 6" xfId="15274" xr:uid="{00000000-0005-0000-0000-0000AD3B0000}"/>
    <cellStyle name="Normal 16 10 7" xfId="15275" xr:uid="{00000000-0005-0000-0000-0000AE3B0000}"/>
    <cellStyle name="Normal 16 11" xfId="15276" xr:uid="{00000000-0005-0000-0000-0000AF3B0000}"/>
    <cellStyle name="Normal 16 11 2" xfId="15277" xr:uid="{00000000-0005-0000-0000-0000B03B0000}"/>
    <cellStyle name="Normal 16 11 2 2" xfId="15278" xr:uid="{00000000-0005-0000-0000-0000B13B0000}"/>
    <cellStyle name="Normal 16 11 2 2 2" xfId="15279" xr:uid="{00000000-0005-0000-0000-0000B23B0000}"/>
    <cellStyle name="Normal 16 11 2 2 3" xfId="15280" xr:uid="{00000000-0005-0000-0000-0000B33B0000}"/>
    <cellStyle name="Normal 16 11 2 3" xfId="15281" xr:uid="{00000000-0005-0000-0000-0000B43B0000}"/>
    <cellStyle name="Normal 16 11 2 3 2" xfId="15282" xr:uid="{00000000-0005-0000-0000-0000B53B0000}"/>
    <cellStyle name="Normal 16 11 2 3 3" xfId="15283" xr:uid="{00000000-0005-0000-0000-0000B63B0000}"/>
    <cellStyle name="Normal 16 11 2 4" xfId="15284" xr:uid="{00000000-0005-0000-0000-0000B73B0000}"/>
    <cellStyle name="Normal 16 11 2 5" xfId="15285" xr:uid="{00000000-0005-0000-0000-0000B83B0000}"/>
    <cellStyle name="Normal 16 11 2 6" xfId="15286" xr:uid="{00000000-0005-0000-0000-0000B93B0000}"/>
    <cellStyle name="Normal 16 11 3" xfId="15287" xr:uid="{00000000-0005-0000-0000-0000BA3B0000}"/>
    <cellStyle name="Normal 16 11 3 2" xfId="15288" xr:uid="{00000000-0005-0000-0000-0000BB3B0000}"/>
    <cellStyle name="Normal 16 11 3 3" xfId="15289" xr:uid="{00000000-0005-0000-0000-0000BC3B0000}"/>
    <cellStyle name="Normal 16 11 4" xfId="15290" xr:uid="{00000000-0005-0000-0000-0000BD3B0000}"/>
    <cellStyle name="Normal 16 11 4 2" xfId="15291" xr:uid="{00000000-0005-0000-0000-0000BE3B0000}"/>
    <cellStyle name="Normal 16 11 4 3" xfId="15292" xr:uid="{00000000-0005-0000-0000-0000BF3B0000}"/>
    <cellStyle name="Normal 16 11 5" xfId="15293" xr:uid="{00000000-0005-0000-0000-0000C03B0000}"/>
    <cellStyle name="Normal 16 11 6" xfId="15294" xr:uid="{00000000-0005-0000-0000-0000C13B0000}"/>
    <cellStyle name="Normal 16 11 7" xfId="15295" xr:uid="{00000000-0005-0000-0000-0000C23B0000}"/>
    <cellStyle name="Normal 16 12" xfId="15296" xr:uid="{00000000-0005-0000-0000-0000C33B0000}"/>
    <cellStyle name="Normal 16 12 2" xfId="15297" xr:uid="{00000000-0005-0000-0000-0000C43B0000}"/>
    <cellStyle name="Normal 16 12 2 2" xfId="15298" xr:uid="{00000000-0005-0000-0000-0000C53B0000}"/>
    <cellStyle name="Normal 16 12 2 2 2" xfId="15299" xr:uid="{00000000-0005-0000-0000-0000C63B0000}"/>
    <cellStyle name="Normal 16 12 2 2 3" xfId="15300" xr:uid="{00000000-0005-0000-0000-0000C73B0000}"/>
    <cellStyle name="Normal 16 12 2 3" xfId="15301" xr:uid="{00000000-0005-0000-0000-0000C83B0000}"/>
    <cellStyle name="Normal 16 12 2 3 2" xfId="15302" xr:uid="{00000000-0005-0000-0000-0000C93B0000}"/>
    <cellStyle name="Normal 16 12 2 3 3" xfId="15303" xr:uid="{00000000-0005-0000-0000-0000CA3B0000}"/>
    <cellStyle name="Normal 16 12 2 4" xfId="15304" xr:uid="{00000000-0005-0000-0000-0000CB3B0000}"/>
    <cellStyle name="Normal 16 12 2 5" xfId="15305" xr:uid="{00000000-0005-0000-0000-0000CC3B0000}"/>
    <cellStyle name="Normal 16 12 2 6" xfId="15306" xr:uid="{00000000-0005-0000-0000-0000CD3B0000}"/>
    <cellStyle name="Normal 16 12 3" xfId="15307" xr:uid="{00000000-0005-0000-0000-0000CE3B0000}"/>
    <cellStyle name="Normal 16 12 3 2" xfId="15308" xr:uid="{00000000-0005-0000-0000-0000CF3B0000}"/>
    <cellStyle name="Normal 16 12 3 3" xfId="15309" xr:uid="{00000000-0005-0000-0000-0000D03B0000}"/>
    <cellStyle name="Normal 16 12 4" xfId="15310" xr:uid="{00000000-0005-0000-0000-0000D13B0000}"/>
    <cellStyle name="Normal 16 12 4 2" xfId="15311" xr:uid="{00000000-0005-0000-0000-0000D23B0000}"/>
    <cellStyle name="Normal 16 12 4 3" xfId="15312" xr:uid="{00000000-0005-0000-0000-0000D33B0000}"/>
    <cellStyle name="Normal 16 12 5" xfId="15313" xr:uid="{00000000-0005-0000-0000-0000D43B0000}"/>
    <cellStyle name="Normal 16 12 6" xfId="15314" xr:uid="{00000000-0005-0000-0000-0000D53B0000}"/>
    <cellStyle name="Normal 16 12 7" xfId="15315" xr:uid="{00000000-0005-0000-0000-0000D63B0000}"/>
    <cellStyle name="Normal 16 13" xfId="15316" xr:uid="{00000000-0005-0000-0000-0000D73B0000}"/>
    <cellStyle name="Normal 16 13 2" xfId="15317" xr:uid="{00000000-0005-0000-0000-0000D83B0000}"/>
    <cellStyle name="Normal 16 13 2 2" xfId="15318" xr:uid="{00000000-0005-0000-0000-0000D93B0000}"/>
    <cellStyle name="Normal 16 13 2 2 2" xfId="15319" xr:uid="{00000000-0005-0000-0000-0000DA3B0000}"/>
    <cellStyle name="Normal 16 13 2 2 3" xfId="15320" xr:uid="{00000000-0005-0000-0000-0000DB3B0000}"/>
    <cellStyle name="Normal 16 13 2 3" xfId="15321" xr:uid="{00000000-0005-0000-0000-0000DC3B0000}"/>
    <cellStyle name="Normal 16 13 2 3 2" xfId="15322" xr:uid="{00000000-0005-0000-0000-0000DD3B0000}"/>
    <cellStyle name="Normal 16 13 2 3 3" xfId="15323" xr:uid="{00000000-0005-0000-0000-0000DE3B0000}"/>
    <cellStyle name="Normal 16 13 2 4" xfId="15324" xr:uid="{00000000-0005-0000-0000-0000DF3B0000}"/>
    <cellStyle name="Normal 16 13 2 5" xfId="15325" xr:uid="{00000000-0005-0000-0000-0000E03B0000}"/>
    <cellStyle name="Normal 16 13 2 6" xfId="15326" xr:uid="{00000000-0005-0000-0000-0000E13B0000}"/>
    <cellStyle name="Normal 16 13 3" xfId="15327" xr:uid="{00000000-0005-0000-0000-0000E23B0000}"/>
    <cellStyle name="Normal 16 13 3 2" xfId="15328" xr:uid="{00000000-0005-0000-0000-0000E33B0000}"/>
    <cellStyle name="Normal 16 13 3 3" xfId="15329" xr:uid="{00000000-0005-0000-0000-0000E43B0000}"/>
    <cellStyle name="Normal 16 13 4" xfId="15330" xr:uid="{00000000-0005-0000-0000-0000E53B0000}"/>
    <cellStyle name="Normal 16 13 4 2" xfId="15331" xr:uid="{00000000-0005-0000-0000-0000E63B0000}"/>
    <cellStyle name="Normal 16 13 4 3" xfId="15332" xr:uid="{00000000-0005-0000-0000-0000E73B0000}"/>
    <cellStyle name="Normal 16 13 5" xfId="15333" xr:uid="{00000000-0005-0000-0000-0000E83B0000}"/>
    <cellStyle name="Normal 16 13 6" xfId="15334" xr:uid="{00000000-0005-0000-0000-0000E93B0000}"/>
    <cellStyle name="Normal 16 13 7" xfId="15335" xr:uid="{00000000-0005-0000-0000-0000EA3B0000}"/>
    <cellStyle name="Normal 16 14" xfId="15336" xr:uid="{00000000-0005-0000-0000-0000EB3B0000}"/>
    <cellStyle name="Normal 16 14 2" xfId="15337" xr:uid="{00000000-0005-0000-0000-0000EC3B0000}"/>
    <cellStyle name="Normal 16 14 2 2" xfId="15338" xr:uid="{00000000-0005-0000-0000-0000ED3B0000}"/>
    <cellStyle name="Normal 16 14 2 2 2" xfId="15339" xr:uid="{00000000-0005-0000-0000-0000EE3B0000}"/>
    <cellStyle name="Normal 16 14 2 2 3" xfId="15340" xr:uid="{00000000-0005-0000-0000-0000EF3B0000}"/>
    <cellStyle name="Normal 16 14 2 3" xfId="15341" xr:uid="{00000000-0005-0000-0000-0000F03B0000}"/>
    <cellStyle name="Normal 16 14 2 3 2" xfId="15342" xr:uid="{00000000-0005-0000-0000-0000F13B0000}"/>
    <cellStyle name="Normal 16 14 2 3 3" xfId="15343" xr:uid="{00000000-0005-0000-0000-0000F23B0000}"/>
    <cellStyle name="Normal 16 14 2 4" xfId="15344" xr:uid="{00000000-0005-0000-0000-0000F33B0000}"/>
    <cellStyle name="Normal 16 14 2 5" xfId="15345" xr:uid="{00000000-0005-0000-0000-0000F43B0000}"/>
    <cellStyle name="Normal 16 14 2 6" xfId="15346" xr:uid="{00000000-0005-0000-0000-0000F53B0000}"/>
    <cellStyle name="Normal 16 14 3" xfId="15347" xr:uid="{00000000-0005-0000-0000-0000F63B0000}"/>
    <cellStyle name="Normal 16 14 3 2" xfId="15348" xr:uid="{00000000-0005-0000-0000-0000F73B0000}"/>
    <cellStyle name="Normal 16 14 3 3" xfId="15349" xr:uid="{00000000-0005-0000-0000-0000F83B0000}"/>
    <cellStyle name="Normal 16 14 4" xfId="15350" xr:uid="{00000000-0005-0000-0000-0000F93B0000}"/>
    <cellStyle name="Normal 16 14 4 2" xfId="15351" xr:uid="{00000000-0005-0000-0000-0000FA3B0000}"/>
    <cellStyle name="Normal 16 14 4 3" xfId="15352" xr:uid="{00000000-0005-0000-0000-0000FB3B0000}"/>
    <cellStyle name="Normal 16 14 5" xfId="15353" xr:uid="{00000000-0005-0000-0000-0000FC3B0000}"/>
    <cellStyle name="Normal 16 14 6" xfId="15354" xr:uid="{00000000-0005-0000-0000-0000FD3B0000}"/>
    <cellStyle name="Normal 16 14 7" xfId="15355" xr:uid="{00000000-0005-0000-0000-0000FE3B0000}"/>
    <cellStyle name="Normal 16 15" xfId="15356" xr:uid="{00000000-0005-0000-0000-0000FF3B0000}"/>
    <cellStyle name="Normal 16 15 2" xfId="15357" xr:uid="{00000000-0005-0000-0000-0000003C0000}"/>
    <cellStyle name="Normal 16 15 2 2" xfId="15358" xr:uid="{00000000-0005-0000-0000-0000013C0000}"/>
    <cellStyle name="Normal 16 15 2 2 2" xfId="15359" xr:uid="{00000000-0005-0000-0000-0000023C0000}"/>
    <cellStyle name="Normal 16 15 2 2 3" xfId="15360" xr:uid="{00000000-0005-0000-0000-0000033C0000}"/>
    <cellStyle name="Normal 16 15 2 3" xfId="15361" xr:uid="{00000000-0005-0000-0000-0000043C0000}"/>
    <cellStyle name="Normal 16 15 2 3 2" xfId="15362" xr:uid="{00000000-0005-0000-0000-0000053C0000}"/>
    <cellStyle name="Normal 16 15 2 3 3" xfId="15363" xr:uid="{00000000-0005-0000-0000-0000063C0000}"/>
    <cellStyle name="Normal 16 15 2 4" xfId="15364" xr:uid="{00000000-0005-0000-0000-0000073C0000}"/>
    <cellStyle name="Normal 16 15 2 5" xfId="15365" xr:uid="{00000000-0005-0000-0000-0000083C0000}"/>
    <cellStyle name="Normal 16 15 2 6" xfId="15366" xr:uid="{00000000-0005-0000-0000-0000093C0000}"/>
    <cellStyle name="Normal 16 15 3" xfId="15367" xr:uid="{00000000-0005-0000-0000-00000A3C0000}"/>
    <cellStyle name="Normal 16 15 3 2" xfId="15368" xr:uid="{00000000-0005-0000-0000-00000B3C0000}"/>
    <cellStyle name="Normal 16 15 3 3" xfId="15369" xr:uid="{00000000-0005-0000-0000-00000C3C0000}"/>
    <cellStyle name="Normal 16 15 4" xfId="15370" xr:uid="{00000000-0005-0000-0000-00000D3C0000}"/>
    <cellStyle name="Normal 16 15 4 2" xfId="15371" xr:uid="{00000000-0005-0000-0000-00000E3C0000}"/>
    <cellStyle name="Normal 16 15 4 3" xfId="15372" xr:uid="{00000000-0005-0000-0000-00000F3C0000}"/>
    <cellStyle name="Normal 16 15 5" xfId="15373" xr:uid="{00000000-0005-0000-0000-0000103C0000}"/>
    <cellStyle name="Normal 16 15 6" xfId="15374" xr:uid="{00000000-0005-0000-0000-0000113C0000}"/>
    <cellStyle name="Normal 16 15 7" xfId="15375" xr:uid="{00000000-0005-0000-0000-0000123C0000}"/>
    <cellStyle name="Normal 16 16" xfId="15376" xr:uid="{00000000-0005-0000-0000-0000133C0000}"/>
    <cellStyle name="Normal 16 16 2" xfId="15377" xr:uid="{00000000-0005-0000-0000-0000143C0000}"/>
    <cellStyle name="Normal 16 16 2 2" xfId="15378" xr:uid="{00000000-0005-0000-0000-0000153C0000}"/>
    <cellStyle name="Normal 16 16 2 2 2" xfId="15379" xr:uid="{00000000-0005-0000-0000-0000163C0000}"/>
    <cellStyle name="Normal 16 16 2 2 3" xfId="15380" xr:uid="{00000000-0005-0000-0000-0000173C0000}"/>
    <cellStyle name="Normal 16 16 2 3" xfId="15381" xr:uid="{00000000-0005-0000-0000-0000183C0000}"/>
    <cellStyle name="Normal 16 16 2 3 2" xfId="15382" xr:uid="{00000000-0005-0000-0000-0000193C0000}"/>
    <cellStyle name="Normal 16 16 2 3 3" xfId="15383" xr:uid="{00000000-0005-0000-0000-00001A3C0000}"/>
    <cellStyle name="Normal 16 16 2 4" xfId="15384" xr:uid="{00000000-0005-0000-0000-00001B3C0000}"/>
    <cellStyle name="Normal 16 16 2 5" xfId="15385" xr:uid="{00000000-0005-0000-0000-00001C3C0000}"/>
    <cellStyle name="Normal 16 16 2 6" xfId="15386" xr:uid="{00000000-0005-0000-0000-00001D3C0000}"/>
    <cellStyle name="Normal 16 16 3" xfId="15387" xr:uid="{00000000-0005-0000-0000-00001E3C0000}"/>
    <cellStyle name="Normal 16 16 3 2" xfId="15388" xr:uid="{00000000-0005-0000-0000-00001F3C0000}"/>
    <cellStyle name="Normal 16 16 3 3" xfId="15389" xr:uid="{00000000-0005-0000-0000-0000203C0000}"/>
    <cellStyle name="Normal 16 16 4" xfId="15390" xr:uid="{00000000-0005-0000-0000-0000213C0000}"/>
    <cellStyle name="Normal 16 16 4 2" xfId="15391" xr:uid="{00000000-0005-0000-0000-0000223C0000}"/>
    <cellStyle name="Normal 16 16 4 3" xfId="15392" xr:uid="{00000000-0005-0000-0000-0000233C0000}"/>
    <cellStyle name="Normal 16 16 5" xfId="15393" xr:uid="{00000000-0005-0000-0000-0000243C0000}"/>
    <cellStyle name="Normal 16 16 6" xfId="15394" xr:uid="{00000000-0005-0000-0000-0000253C0000}"/>
    <cellStyle name="Normal 16 16 7" xfId="15395" xr:uid="{00000000-0005-0000-0000-0000263C0000}"/>
    <cellStyle name="Normal 16 17" xfId="15396" xr:uid="{00000000-0005-0000-0000-0000273C0000}"/>
    <cellStyle name="Normal 16 17 2" xfId="15397" xr:uid="{00000000-0005-0000-0000-0000283C0000}"/>
    <cellStyle name="Normal 16 17 2 2" xfId="15398" xr:uid="{00000000-0005-0000-0000-0000293C0000}"/>
    <cellStyle name="Normal 16 17 2 2 2" xfId="15399" xr:uid="{00000000-0005-0000-0000-00002A3C0000}"/>
    <cellStyle name="Normal 16 17 2 2 3" xfId="15400" xr:uid="{00000000-0005-0000-0000-00002B3C0000}"/>
    <cellStyle name="Normal 16 17 2 3" xfId="15401" xr:uid="{00000000-0005-0000-0000-00002C3C0000}"/>
    <cellStyle name="Normal 16 17 2 3 2" xfId="15402" xr:uid="{00000000-0005-0000-0000-00002D3C0000}"/>
    <cellStyle name="Normal 16 17 2 3 3" xfId="15403" xr:uid="{00000000-0005-0000-0000-00002E3C0000}"/>
    <cellStyle name="Normal 16 17 2 4" xfId="15404" xr:uid="{00000000-0005-0000-0000-00002F3C0000}"/>
    <cellStyle name="Normal 16 17 2 5" xfId="15405" xr:uid="{00000000-0005-0000-0000-0000303C0000}"/>
    <cellStyle name="Normal 16 17 2 6" xfId="15406" xr:uid="{00000000-0005-0000-0000-0000313C0000}"/>
    <cellStyle name="Normal 16 17 3" xfId="15407" xr:uid="{00000000-0005-0000-0000-0000323C0000}"/>
    <cellStyle name="Normal 16 17 3 2" xfId="15408" xr:uid="{00000000-0005-0000-0000-0000333C0000}"/>
    <cellStyle name="Normal 16 17 3 3" xfId="15409" xr:uid="{00000000-0005-0000-0000-0000343C0000}"/>
    <cellStyle name="Normal 16 17 4" xfId="15410" xr:uid="{00000000-0005-0000-0000-0000353C0000}"/>
    <cellStyle name="Normal 16 17 4 2" xfId="15411" xr:uid="{00000000-0005-0000-0000-0000363C0000}"/>
    <cellStyle name="Normal 16 17 4 3" xfId="15412" xr:uid="{00000000-0005-0000-0000-0000373C0000}"/>
    <cellStyle name="Normal 16 17 5" xfId="15413" xr:uid="{00000000-0005-0000-0000-0000383C0000}"/>
    <cellStyle name="Normal 16 17 6" xfId="15414" xr:uid="{00000000-0005-0000-0000-0000393C0000}"/>
    <cellStyle name="Normal 16 17 7" xfId="15415" xr:uid="{00000000-0005-0000-0000-00003A3C0000}"/>
    <cellStyle name="Normal 16 18" xfId="15416" xr:uid="{00000000-0005-0000-0000-00003B3C0000}"/>
    <cellStyle name="Normal 16 18 2" xfId="15417" xr:uid="{00000000-0005-0000-0000-00003C3C0000}"/>
    <cellStyle name="Normal 16 18 2 2" xfId="15418" xr:uid="{00000000-0005-0000-0000-00003D3C0000}"/>
    <cellStyle name="Normal 16 18 2 2 2" xfId="15419" xr:uid="{00000000-0005-0000-0000-00003E3C0000}"/>
    <cellStyle name="Normal 16 18 2 2 3" xfId="15420" xr:uid="{00000000-0005-0000-0000-00003F3C0000}"/>
    <cellStyle name="Normal 16 18 2 3" xfId="15421" xr:uid="{00000000-0005-0000-0000-0000403C0000}"/>
    <cellStyle name="Normal 16 18 2 3 2" xfId="15422" xr:uid="{00000000-0005-0000-0000-0000413C0000}"/>
    <cellStyle name="Normal 16 18 2 3 3" xfId="15423" xr:uid="{00000000-0005-0000-0000-0000423C0000}"/>
    <cellStyle name="Normal 16 18 2 4" xfId="15424" xr:uid="{00000000-0005-0000-0000-0000433C0000}"/>
    <cellStyle name="Normal 16 18 2 5" xfId="15425" xr:uid="{00000000-0005-0000-0000-0000443C0000}"/>
    <cellStyle name="Normal 16 18 2 6" xfId="15426" xr:uid="{00000000-0005-0000-0000-0000453C0000}"/>
    <cellStyle name="Normal 16 18 3" xfId="15427" xr:uid="{00000000-0005-0000-0000-0000463C0000}"/>
    <cellStyle name="Normal 16 18 3 2" xfId="15428" xr:uid="{00000000-0005-0000-0000-0000473C0000}"/>
    <cellStyle name="Normal 16 18 3 3" xfId="15429" xr:uid="{00000000-0005-0000-0000-0000483C0000}"/>
    <cellStyle name="Normal 16 18 4" xfId="15430" xr:uid="{00000000-0005-0000-0000-0000493C0000}"/>
    <cellStyle name="Normal 16 18 4 2" xfId="15431" xr:uid="{00000000-0005-0000-0000-00004A3C0000}"/>
    <cellStyle name="Normal 16 18 4 3" xfId="15432" xr:uid="{00000000-0005-0000-0000-00004B3C0000}"/>
    <cellStyle name="Normal 16 18 5" xfId="15433" xr:uid="{00000000-0005-0000-0000-00004C3C0000}"/>
    <cellStyle name="Normal 16 18 6" xfId="15434" xr:uid="{00000000-0005-0000-0000-00004D3C0000}"/>
    <cellStyle name="Normal 16 18 7" xfId="15435" xr:uid="{00000000-0005-0000-0000-00004E3C0000}"/>
    <cellStyle name="Normal 16 19" xfId="15436" xr:uid="{00000000-0005-0000-0000-00004F3C0000}"/>
    <cellStyle name="Normal 16 19 2" xfId="15437" xr:uid="{00000000-0005-0000-0000-0000503C0000}"/>
    <cellStyle name="Normal 16 19 2 2" xfId="15438" xr:uid="{00000000-0005-0000-0000-0000513C0000}"/>
    <cellStyle name="Normal 16 19 2 2 2" xfId="15439" xr:uid="{00000000-0005-0000-0000-0000523C0000}"/>
    <cellStyle name="Normal 16 19 2 2 3" xfId="15440" xr:uid="{00000000-0005-0000-0000-0000533C0000}"/>
    <cellStyle name="Normal 16 19 2 3" xfId="15441" xr:uid="{00000000-0005-0000-0000-0000543C0000}"/>
    <cellStyle name="Normal 16 19 2 3 2" xfId="15442" xr:uid="{00000000-0005-0000-0000-0000553C0000}"/>
    <cellStyle name="Normal 16 19 2 3 3" xfId="15443" xr:uid="{00000000-0005-0000-0000-0000563C0000}"/>
    <cellStyle name="Normal 16 19 2 4" xfId="15444" xr:uid="{00000000-0005-0000-0000-0000573C0000}"/>
    <cellStyle name="Normal 16 19 2 5" xfId="15445" xr:uid="{00000000-0005-0000-0000-0000583C0000}"/>
    <cellStyle name="Normal 16 19 2 6" xfId="15446" xr:uid="{00000000-0005-0000-0000-0000593C0000}"/>
    <cellStyle name="Normal 16 19 3" xfId="15447" xr:uid="{00000000-0005-0000-0000-00005A3C0000}"/>
    <cellStyle name="Normal 16 19 3 2" xfId="15448" xr:uid="{00000000-0005-0000-0000-00005B3C0000}"/>
    <cellStyle name="Normal 16 19 3 3" xfId="15449" xr:uid="{00000000-0005-0000-0000-00005C3C0000}"/>
    <cellStyle name="Normal 16 19 4" xfId="15450" xr:uid="{00000000-0005-0000-0000-00005D3C0000}"/>
    <cellStyle name="Normal 16 19 4 2" xfId="15451" xr:uid="{00000000-0005-0000-0000-00005E3C0000}"/>
    <cellStyle name="Normal 16 19 4 3" xfId="15452" xr:uid="{00000000-0005-0000-0000-00005F3C0000}"/>
    <cellStyle name="Normal 16 19 5" xfId="15453" xr:uid="{00000000-0005-0000-0000-0000603C0000}"/>
    <cellStyle name="Normal 16 19 6" xfId="15454" xr:uid="{00000000-0005-0000-0000-0000613C0000}"/>
    <cellStyle name="Normal 16 19 7" xfId="15455" xr:uid="{00000000-0005-0000-0000-0000623C0000}"/>
    <cellStyle name="Normal 16 2" xfId="15456" xr:uid="{00000000-0005-0000-0000-0000633C0000}"/>
    <cellStyle name="Normal 16 2 2" xfId="15457" xr:uid="{00000000-0005-0000-0000-0000643C0000}"/>
    <cellStyle name="Normal 16 2 2 2" xfId="15458" xr:uid="{00000000-0005-0000-0000-0000653C0000}"/>
    <cellStyle name="Normal 16 2 2 2 2" xfId="15459" xr:uid="{00000000-0005-0000-0000-0000663C0000}"/>
    <cellStyle name="Normal 16 2 2 2 3" xfId="15460" xr:uid="{00000000-0005-0000-0000-0000673C0000}"/>
    <cellStyle name="Normal 16 2 2 3" xfId="15461" xr:uid="{00000000-0005-0000-0000-0000683C0000}"/>
    <cellStyle name="Normal 16 2 2 3 2" xfId="15462" xr:uid="{00000000-0005-0000-0000-0000693C0000}"/>
    <cellStyle name="Normal 16 2 2 3 3" xfId="15463" xr:uid="{00000000-0005-0000-0000-00006A3C0000}"/>
    <cellStyle name="Normal 16 2 2 4" xfId="15464" xr:uid="{00000000-0005-0000-0000-00006B3C0000}"/>
    <cellStyle name="Normal 16 2 2 5" xfId="15465" xr:uid="{00000000-0005-0000-0000-00006C3C0000}"/>
    <cellStyle name="Normal 16 2 2 6" xfId="15466" xr:uid="{00000000-0005-0000-0000-00006D3C0000}"/>
    <cellStyle name="Normal 16 2 3" xfId="15467" xr:uid="{00000000-0005-0000-0000-00006E3C0000}"/>
    <cellStyle name="Normal 16 2 3 2" xfId="15468" xr:uid="{00000000-0005-0000-0000-00006F3C0000}"/>
    <cellStyle name="Normal 16 2 3 3" xfId="15469" xr:uid="{00000000-0005-0000-0000-0000703C0000}"/>
    <cellStyle name="Normal 16 2 4" xfId="15470" xr:uid="{00000000-0005-0000-0000-0000713C0000}"/>
    <cellStyle name="Normal 16 2 4 2" xfId="15471" xr:uid="{00000000-0005-0000-0000-0000723C0000}"/>
    <cellStyle name="Normal 16 2 4 3" xfId="15472" xr:uid="{00000000-0005-0000-0000-0000733C0000}"/>
    <cellStyle name="Normal 16 2 5" xfId="15473" xr:uid="{00000000-0005-0000-0000-0000743C0000}"/>
    <cellStyle name="Normal 16 2 6" xfId="15474" xr:uid="{00000000-0005-0000-0000-0000753C0000}"/>
    <cellStyle name="Normal 16 2 7" xfId="15475" xr:uid="{00000000-0005-0000-0000-0000763C0000}"/>
    <cellStyle name="Normal 16 20" xfId="15476" xr:uid="{00000000-0005-0000-0000-0000773C0000}"/>
    <cellStyle name="Normal 16 20 2" xfId="15477" xr:uid="{00000000-0005-0000-0000-0000783C0000}"/>
    <cellStyle name="Normal 16 20 2 2" xfId="15478" xr:uid="{00000000-0005-0000-0000-0000793C0000}"/>
    <cellStyle name="Normal 16 20 2 2 2" xfId="15479" xr:uid="{00000000-0005-0000-0000-00007A3C0000}"/>
    <cellStyle name="Normal 16 20 2 2 3" xfId="15480" xr:uid="{00000000-0005-0000-0000-00007B3C0000}"/>
    <cellStyle name="Normal 16 20 2 3" xfId="15481" xr:uid="{00000000-0005-0000-0000-00007C3C0000}"/>
    <cellStyle name="Normal 16 20 2 3 2" xfId="15482" xr:uid="{00000000-0005-0000-0000-00007D3C0000}"/>
    <cellStyle name="Normal 16 20 2 3 3" xfId="15483" xr:uid="{00000000-0005-0000-0000-00007E3C0000}"/>
    <cellStyle name="Normal 16 20 2 4" xfId="15484" xr:uid="{00000000-0005-0000-0000-00007F3C0000}"/>
    <cellStyle name="Normal 16 20 2 5" xfId="15485" xr:uid="{00000000-0005-0000-0000-0000803C0000}"/>
    <cellStyle name="Normal 16 20 2 6" xfId="15486" xr:uid="{00000000-0005-0000-0000-0000813C0000}"/>
    <cellStyle name="Normal 16 20 3" xfId="15487" xr:uid="{00000000-0005-0000-0000-0000823C0000}"/>
    <cellStyle name="Normal 16 20 3 2" xfId="15488" xr:uid="{00000000-0005-0000-0000-0000833C0000}"/>
    <cellStyle name="Normal 16 20 3 3" xfId="15489" xr:uid="{00000000-0005-0000-0000-0000843C0000}"/>
    <cellStyle name="Normal 16 20 4" xfId="15490" xr:uid="{00000000-0005-0000-0000-0000853C0000}"/>
    <cellStyle name="Normal 16 20 4 2" xfId="15491" xr:uid="{00000000-0005-0000-0000-0000863C0000}"/>
    <cellStyle name="Normal 16 20 4 3" xfId="15492" xr:uid="{00000000-0005-0000-0000-0000873C0000}"/>
    <cellStyle name="Normal 16 20 5" xfId="15493" xr:uid="{00000000-0005-0000-0000-0000883C0000}"/>
    <cellStyle name="Normal 16 20 6" xfId="15494" xr:uid="{00000000-0005-0000-0000-0000893C0000}"/>
    <cellStyle name="Normal 16 20 7" xfId="15495" xr:uid="{00000000-0005-0000-0000-00008A3C0000}"/>
    <cellStyle name="Normal 16 21" xfId="15496" xr:uid="{00000000-0005-0000-0000-00008B3C0000}"/>
    <cellStyle name="Normal 16 21 2" xfId="15497" xr:uid="{00000000-0005-0000-0000-00008C3C0000}"/>
    <cellStyle name="Normal 16 21 2 2" xfId="15498" xr:uid="{00000000-0005-0000-0000-00008D3C0000}"/>
    <cellStyle name="Normal 16 21 2 2 2" xfId="15499" xr:uid="{00000000-0005-0000-0000-00008E3C0000}"/>
    <cellStyle name="Normal 16 21 2 2 3" xfId="15500" xr:uid="{00000000-0005-0000-0000-00008F3C0000}"/>
    <cellStyle name="Normal 16 21 2 3" xfId="15501" xr:uid="{00000000-0005-0000-0000-0000903C0000}"/>
    <cellStyle name="Normal 16 21 2 3 2" xfId="15502" xr:uid="{00000000-0005-0000-0000-0000913C0000}"/>
    <cellStyle name="Normal 16 21 2 3 3" xfId="15503" xr:uid="{00000000-0005-0000-0000-0000923C0000}"/>
    <cellStyle name="Normal 16 21 2 4" xfId="15504" xr:uid="{00000000-0005-0000-0000-0000933C0000}"/>
    <cellStyle name="Normal 16 21 2 5" xfId="15505" xr:uid="{00000000-0005-0000-0000-0000943C0000}"/>
    <cellStyle name="Normal 16 21 2 6" xfId="15506" xr:uid="{00000000-0005-0000-0000-0000953C0000}"/>
    <cellStyle name="Normal 16 21 3" xfId="15507" xr:uid="{00000000-0005-0000-0000-0000963C0000}"/>
    <cellStyle name="Normal 16 21 3 2" xfId="15508" xr:uid="{00000000-0005-0000-0000-0000973C0000}"/>
    <cellStyle name="Normal 16 21 3 3" xfId="15509" xr:uid="{00000000-0005-0000-0000-0000983C0000}"/>
    <cellStyle name="Normal 16 21 4" xfId="15510" xr:uid="{00000000-0005-0000-0000-0000993C0000}"/>
    <cellStyle name="Normal 16 21 4 2" xfId="15511" xr:uid="{00000000-0005-0000-0000-00009A3C0000}"/>
    <cellStyle name="Normal 16 21 4 3" xfId="15512" xr:uid="{00000000-0005-0000-0000-00009B3C0000}"/>
    <cellStyle name="Normal 16 21 5" xfId="15513" xr:uid="{00000000-0005-0000-0000-00009C3C0000}"/>
    <cellStyle name="Normal 16 21 6" xfId="15514" xr:uid="{00000000-0005-0000-0000-00009D3C0000}"/>
    <cellStyle name="Normal 16 21 7" xfId="15515" xr:uid="{00000000-0005-0000-0000-00009E3C0000}"/>
    <cellStyle name="Normal 16 22" xfId="15516" xr:uid="{00000000-0005-0000-0000-00009F3C0000}"/>
    <cellStyle name="Normal 16 22 2" xfId="15517" xr:uid="{00000000-0005-0000-0000-0000A03C0000}"/>
    <cellStyle name="Normal 16 22 2 2" xfId="15518" xr:uid="{00000000-0005-0000-0000-0000A13C0000}"/>
    <cellStyle name="Normal 16 22 2 2 2" xfId="15519" xr:uid="{00000000-0005-0000-0000-0000A23C0000}"/>
    <cellStyle name="Normal 16 22 2 2 3" xfId="15520" xr:uid="{00000000-0005-0000-0000-0000A33C0000}"/>
    <cellStyle name="Normal 16 22 2 3" xfId="15521" xr:uid="{00000000-0005-0000-0000-0000A43C0000}"/>
    <cellStyle name="Normal 16 22 2 3 2" xfId="15522" xr:uid="{00000000-0005-0000-0000-0000A53C0000}"/>
    <cellStyle name="Normal 16 22 2 3 3" xfId="15523" xr:uid="{00000000-0005-0000-0000-0000A63C0000}"/>
    <cellStyle name="Normal 16 22 2 4" xfId="15524" xr:uid="{00000000-0005-0000-0000-0000A73C0000}"/>
    <cellStyle name="Normal 16 22 2 5" xfId="15525" xr:uid="{00000000-0005-0000-0000-0000A83C0000}"/>
    <cellStyle name="Normal 16 22 2 6" xfId="15526" xr:uid="{00000000-0005-0000-0000-0000A93C0000}"/>
    <cellStyle name="Normal 16 22 3" xfId="15527" xr:uid="{00000000-0005-0000-0000-0000AA3C0000}"/>
    <cellStyle name="Normal 16 22 3 2" xfId="15528" xr:uid="{00000000-0005-0000-0000-0000AB3C0000}"/>
    <cellStyle name="Normal 16 22 3 3" xfId="15529" xr:uid="{00000000-0005-0000-0000-0000AC3C0000}"/>
    <cellStyle name="Normal 16 22 4" xfId="15530" xr:uid="{00000000-0005-0000-0000-0000AD3C0000}"/>
    <cellStyle name="Normal 16 22 4 2" xfId="15531" xr:uid="{00000000-0005-0000-0000-0000AE3C0000}"/>
    <cellStyle name="Normal 16 22 4 3" xfId="15532" xr:uid="{00000000-0005-0000-0000-0000AF3C0000}"/>
    <cellStyle name="Normal 16 22 5" xfId="15533" xr:uid="{00000000-0005-0000-0000-0000B03C0000}"/>
    <cellStyle name="Normal 16 22 6" xfId="15534" xr:uid="{00000000-0005-0000-0000-0000B13C0000}"/>
    <cellStyle name="Normal 16 22 7" xfId="15535" xr:uid="{00000000-0005-0000-0000-0000B23C0000}"/>
    <cellStyle name="Normal 16 23" xfId="15536" xr:uid="{00000000-0005-0000-0000-0000B33C0000}"/>
    <cellStyle name="Normal 16 23 2" xfId="15537" xr:uid="{00000000-0005-0000-0000-0000B43C0000}"/>
    <cellStyle name="Normal 16 23 2 2" xfId="15538" xr:uid="{00000000-0005-0000-0000-0000B53C0000}"/>
    <cellStyle name="Normal 16 23 2 2 2" xfId="15539" xr:uid="{00000000-0005-0000-0000-0000B63C0000}"/>
    <cellStyle name="Normal 16 23 2 2 3" xfId="15540" xr:uid="{00000000-0005-0000-0000-0000B73C0000}"/>
    <cellStyle name="Normal 16 23 2 3" xfId="15541" xr:uid="{00000000-0005-0000-0000-0000B83C0000}"/>
    <cellStyle name="Normal 16 23 2 3 2" xfId="15542" xr:uid="{00000000-0005-0000-0000-0000B93C0000}"/>
    <cellStyle name="Normal 16 23 2 3 3" xfId="15543" xr:uid="{00000000-0005-0000-0000-0000BA3C0000}"/>
    <cellStyle name="Normal 16 23 2 4" xfId="15544" xr:uid="{00000000-0005-0000-0000-0000BB3C0000}"/>
    <cellStyle name="Normal 16 23 2 5" xfId="15545" xr:uid="{00000000-0005-0000-0000-0000BC3C0000}"/>
    <cellStyle name="Normal 16 23 2 6" xfId="15546" xr:uid="{00000000-0005-0000-0000-0000BD3C0000}"/>
    <cellStyle name="Normal 16 23 3" xfId="15547" xr:uid="{00000000-0005-0000-0000-0000BE3C0000}"/>
    <cellStyle name="Normal 16 23 3 2" xfId="15548" xr:uid="{00000000-0005-0000-0000-0000BF3C0000}"/>
    <cellStyle name="Normal 16 23 3 3" xfId="15549" xr:uid="{00000000-0005-0000-0000-0000C03C0000}"/>
    <cellStyle name="Normal 16 23 4" xfId="15550" xr:uid="{00000000-0005-0000-0000-0000C13C0000}"/>
    <cellStyle name="Normal 16 23 4 2" xfId="15551" xr:uid="{00000000-0005-0000-0000-0000C23C0000}"/>
    <cellStyle name="Normal 16 23 4 3" xfId="15552" xr:uid="{00000000-0005-0000-0000-0000C33C0000}"/>
    <cellStyle name="Normal 16 23 5" xfId="15553" xr:uid="{00000000-0005-0000-0000-0000C43C0000}"/>
    <cellStyle name="Normal 16 23 6" xfId="15554" xr:uid="{00000000-0005-0000-0000-0000C53C0000}"/>
    <cellStyle name="Normal 16 23 7" xfId="15555" xr:uid="{00000000-0005-0000-0000-0000C63C0000}"/>
    <cellStyle name="Normal 16 24" xfId="15556" xr:uid="{00000000-0005-0000-0000-0000C73C0000}"/>
    <cellStyle name="Normal 16 24 2" xfId="15557" xr:uid="{00000000-0005-0000-0000-0000C83C0000}"/>
    <cellStyle name="Normal 16 24 2 2" xfId="15558" xr:uid="{00000000-0005-0000-0000-0000C93C0000}"/>
    <cellStyle name="Normal 16 24 2 2 2" xfId="15559" xr:uid="{00000000-0005-0000-0000-0000CA3C0000}"/>
    <cellStyle name="Normal 16 24 2 2 3" xfId="15560" xr:uid="{00000000-0005-0000-0000-0000CB3C0000}"/>
    <cellStyle name="Normal 16 24 2 3" xfId="15561" xr:uid="{00000000-0005-0000-0000-0000CC3C0000}"/>
    <cellStyle name="Normal 16 24 2 3 2" xfId="15562" xr:uid="{00000000-0005-0000-0000-0000CD3C0000}"/>
    <cellStyle name="Normal 16 24 2 3 3" xfId="15563" xr:uid="{00000000-0005-0000-0000-0000CE3C0000}"/>
    <cellStyle name="Normal 16 24 2 4" xfId="15564" xr:uid="{00000000-0005-0000-0000-0000CF3C0000}"/>
    <cellStyle name="Normal 16 24 2 5" xfId="15565" xr:uid="{00000000-0005-0000-0000-0000D03C0000}"/>
    <cellStyle name="Normal 16 24 2 6" xfId="15566" xr:uid="{00000000-0005-0000-0000-0000D13C0000}"/>
    <cellStyle name="Normal 16 24 3" xfId="15567" xr:uid="{00000000-0005-0000-0000-0000D23C0000}"/>
    <cellStyle name="Normal 16 24 3 2" xfId="15568" xr:uid="{00000000-0005-0000-0000-0000D33C0000}"/>
    <cellStyle name="Normal 16 24 3 3" xfId="15569" xr:uid="{00000000-0005-0000-0000-0000D43C0000}"/>
    <cellStyle name="Normal 16 24 4" xfId="15570" xr:uid="{00000000-0005-0000-0000-0000D53C0000}"/>
    <cellStyle name="Normal 16 24 4 2" xfId="15571" xr:uid="{00000000-0005-0000-0000-0000D63C0000}"/>
    <cellStyle name="Normal 16 24 4 3" xfId="15572" xr:uid="{00000000-0005-0000-0000-0000D73C0000}"/>
    <cellStyle name="Normal 16 24 5" xfId="15573" xr:uid="{00000000-0005-0000-0000-0000D83C0000}"/>
    <cellStyle name="Normal 16 24 6" xfId="15574" xr:uid="{00000000-0005-0000-0000-0000D93C0000}"/>
    <cellStyle name="Normal 16 24 7" xfId="15575" xr:uid="{00000000-0005-0000-0000-0000DA3C0000}"/>
    <cellStyle name="Normal 16 25" xfId="15576" xr:uid="{00000000-0005-0000-0000-0000DB3C0000}"/>
    <cellStyle name="Normal 16 25 2" xfId="15577" xr:uid="{00000000-0005-0000-0000-0000DC3C0000}"/>
    <cellStyle name="Normal 16 25 2 2" xfId="15578" xr:uid="{00000000-0005-0000-0000-0000DD3C0000}"/>
    <cellStyle name="Normal 16 25 2 3" xfId="15579" xr:uid="{00000000-0005-0000-0000-0000DE3C0000}"/>
    <cellStyle name="Normal 16 25 3" xfId="15580" xr:uid="{00000000-0005-0000-0000-0000DF3C0000}"/>
    <cellStyle name="Normal 16 25 3 2" xfId="15581" xr:uid="{00000000-0005-0000-0000-0000E03C0000}"/>
    <cellStyle name="Normal 16 25 3 3" xfId="15582" xr:uid="{00000000-0005-0000-0000-0000E13C0000}"/>
    <cellStyle name="Normal 16 25 4" xfId="15583" xr:uid="{00000000-0005-0000-0000-0000E23C0000}"/>
    <cellStyle name="Normal 16 25 5" xfId="15584" xr:uid="{00000000-0005-0000-0000-0000E33C0000}"/>
    <cellStyle name="Normal 16 25 6" xfId="15585" xr:uid="{00000000-0005-0000-0000-0000E43C0000}"/>
    <cellStyle name="Normal 16 26" xfId="15586" xr:uid="{00000000-0005-0000-0000-0000E53C0000}"/>
    <cellStyle name="Normal 16 26 2" xfId="15587" xr:uid="{00000000-0005-0000-0000-0000E63C0000}"/>
    <cellStyle name="Normal 16 26 3" xfId="15588" xr:uid="{00000000-0005-0000-0000-0000E73C0000}"/>
    <cellStyle name="Normal 16 26 4" xfId="15589" xr:uid="{00000000-0005-0000-0000-0000E83C0000}"/>
    <cellStyle name="Normal 16 27" xfId="15590" xr:uid="{00000000-0005-0000-0000-0000E93C0000}"/>
    <cellStyle name="Normal 16 27 2" xfId="15591" xr:uid="{00000000-0005-0000-0000-0000EA3C0000}"/>
    <cellStyle name="Normal 16 27 3" xfId="15592" xr:uid="{00000000-0005-0000-0000-0000EB3C0000}"/>
    <cellStyle name="Normal 16 28" xfId="15593" xr:uid="{00000000-0005-0000-0000-0000EC3C0000}"/>
    <cellStyle name="Normal 16 29" xfId="15594" xr:uid="{00000000-0005-0000-0000-0000ED3C0000}"/>
    <cellStyle name="Normal 16 3" xfId="15595" xr:uid="{00000000-0005-0000-0000-0000EE3C0000}"/>
    <cellStyle name="Normal 16 3 2" xfId="15596" xr:uid="{00000000-0005-0000-0000-0000EF3C0000}"/>
    <cellStyle name="Normal 16 3 2 2" xfId="15597" xr:uid="{00000000-0005-0000-0000-0000F03C0000}"/>
    <cellStyle name="Normal 16 3 2 2 2" xfId="15598" xr:uid="{00000000-0005-0000-0000-0000F13C0000}"/>
    <cellStyle name="Normal 16 3 2 2 3" xfId="15599" xr:uid="{00000000-0005-0000-0000-0000F23C0000}"/>
    <cellStyle name="Normal 16 3 2 3" xfId="15600" xr:uid="{00000000-0005-0000-0000-0000F33C0000}"/>
    <cellStyle name="Normal 16 3 2 3 2" xfId="15601" xr:uid="{00000000-0005-0000-0000-0000F43C0000}"/>
    <cellStyle name="Normal 16 3 2 3 3" xfId="15602" xr:uid="{00000000-0005-0000-0000-0000F53C0000}"/>
    <cellStyle name="Normal 16 3 2 4" xfId="15603" xr:uid="{00000000-0005-0000-0000-0000F63C0000}"/>
    <cellStyle name="Normal 16 3 2 5" xfId="15604" xr:uid="{00000000-0005-0000-0000-0000F73C0000}"/>
    <cellStyle name="Normal 16 3 2 6" xfId="15605" xr:uid="{00000000-0005-0000-0000-0000F83C0000}"/>
    <cellStyle name="Normal 16 3 3" xfId="15606" xr:uid="{00000000-0005-0000-0000-0000F93C0000}"/>
    <cellStyle name="Normal 16 3 3 2" xfId="15607" xr:uid="{00000000-0005-0000-0000-0000FA3C0000}"/>
    <cellStyle name="Normal 16 3 3 3" xfId="15608" xr:uid="{00000000-0005-0000-0000-0000FB3C0000}"/>
    <cellStyle name="Normal 16 3 4" xfId="15609" xr:uid="{00000000-0005-0000-0000-0000FC3C0000}"/>
    <cellStyle name="Normal 16 3 4 2" xfId="15610" xr:uid="{00000000-0005-0000-0000-0000FD3C0000}"/>
    <cellStyle name="Normal 16 3 4 3" xfId="15611" xr:uid="{00000000-0005-0000-0000-0000FE3C0000}"/>
    <cellStyle name="Normal 16 3 5" xfId="15612" xr:uid="{00000000-0005-0000-0000-0000FF3C0000}"/>
    <cellStyle name="Normal 16 3 6" xfId="15613" xr:uid="{00000000-0005-0000-0000-0000003D0000}"/>
    <cellStyle name="Normal 16 3 7" xfId="15614" xr:uid="{00000000-0005-0000-0000-0000013D0000}"/>
    <cellStyle name="Normal 16 30" xfId="15615" xr:uid="{00000000-0005-0000-0000-0000023D0000}"/>
    <cellStyle name="Normal 16 4" xfId="15616" xr:uid="{00000000-0005-0000-0000-0000033D0000}"/>
    <cellStyle name="Normal 16 4 2" xfId="15617" xr:uid="{00000000-0005-0000-0000-0000043D0000}"/>
    <cellStyle name="Normal 16 4 2 2" xfId="15618" xr:uid="{00000000-0005-0000-0000-0000053D0000}"/>
    <cellStyle name="Normal 16 4 2 2 2" xfId="15619" xr:uid="{00000000-0005-0000-0000-0000063D0000}"/>
    <cellStyle name="Normal 16 4 2 2 3" xfId="15620" xr:uid="{00000000-0005-0000-0000-0000073D0000}"/>
    <cellStyle name="Normal 16 4 2 3" xfId="15621" xr:uid="{00000000-0005-0000-0000-0000083D0000}"/>
    <cellStyle name="Normal 16 4 2 3 2" xfId="15622" xr:uid="{00000000-0005-0000-0000-0000093D0000}"/>
    <cellStyle name="Normal 16 4 2 3 3" xfId="15623" xr:uid="{00000000-0005-0000-0000-00000A3D0000}"/>
    <cellStyle name="Normal 16 4 2 4" xfId="15624" xr:uid="{00000000-0005-0000-0000-00000B3D0000}"/>
    <cellStyle name="Normal 16 4 2 5" xfId="15625" xr:uid="{00000000-0005-0000-0000-00000C3D0000}"/>
    <cellStyle name="Normal 16 4 2 6" xfId="15626" xr:uid="{00000000-0005-0000-0000-00000D3D0000}"/>
    <cellStyle name="Normal 16 4 3" xfId="15627" xr:uid="{00000000-0005-0000-0000-00000E3D0000}"/>
    <cellStyle name="Normal 16 4 3 2" xfId="15628" xr:uid="{00000000-0005-0000-0000-00000F3D0000}"/>
    <cellStyle name="Normal 16 4 3 3" xfId="15629" xr:uid="{00000000-0005-0000-0000-0000103D0000}"/>
    <cellStyle name="Normal 16 4 4" xfId="15630" xr:uid="{00000000-0005-0000-0000-0000113D0000}"/>
    <cellStyle name="Normal 16 4 4 2" xfId="15631" xr:uid="{00000000-0005-0000-0000-0000123D0000}"/>
    <cellStyle name="Normal 16 4 4 3" xfId="15632" xr:uid="{00000000-0005-0000-0000-0000133D0000}"/>
    <cellStyle name="Normal 16 4 5" xfId="15633" xr:uid="{00000000-0005-0000-0000-0000143D0000}"/>
    <cellStyle name="Normal 16 4 6" xfId="15634" xr:uid="{00000000-0005-0000-0000-0000153D0000}"/>
    <cellStyle name="Normal 16 4 7" xfId="15635" xr:uid="{00000000-0005-0000-0000-0000163D0000}"/>
    <cellStyle name="Normal 16 5" xfId="15636" xr:uid="{00000000-0005-0000-0000-0000173D0000}"/>
    <cellStyle name="Normal 16 5 2" xfId="15637" xr:uid="{00000000-0005-0000-0000-0000183D0000}"/>
    <cellStyle name="Normal 16 5 2 2" xfId="15638" xr:uid="{00000000-0005-0000-0000-0000193D0000}"/>
    <cellStyle name="Normal 16 5 2 2 2" xfId="15639" xr:uid="{00000000-0005-0000-0000-00001A3D0000}"/>
    <cellStyle name="Normal 16 5 2 2 3" xfId="15640" xr:uid="{00000000-0005-0000-0000-00001B3D0000}"/>
    <cellStyle name="Normal 16 5 2 3" xfId="15641" xr:uid="{00000000-0005-0000-0000-00001C3D0000}"/>
    <cellStyle name="Normal 16 5 2 3 2" xfId="15642" xr:uid="{00000000-0005-0000-0000-00001D3D0000}"/>
    <cellStyle name="Normal 16 5 2 3 3" xfId="15643" xr:uid="{00000000-0005-0000-0000-00001E3D0000}"/>
    <cellStyle name="Normal 16 5 2 4" xfId="15644" xr:uid="{00000000-0005-0000-0000-00001F3D0000}"/>
    <cellStyle name="Normal 16 5 2 5" xfId="15645" xr:uid="{00000000-0005-0000-0000-0000203D0000}"/>
    <cellStyle name="Normal 16 5 2 6" xfId="15646" xr:uid="{00000000-0005-0000-0000-0000213D0000}"/>
    <cellStyle name="Normal 16 5 3" xfId="15647" xr:uid="{00000000-0005-0000-0000-0000223D0000}"/>
    <cellStyle name="Normal 16 5 3 2" xfId="15648" xr:uid="{00000000-0005-0000-0000-0000233D0000}"/>
    <cellStyle name="Normal 16 5 3 3" xfId="15649" xr:uid="{00000000-0005-0000-0000-0000243D0000}"/>
    <cellStyle name="Normal 16 5 4" xfId="15650" xr:uid="{00000000-0005-0000-0000-0000253D0000}"/>
    <cellStyle name="Normal 16 5 4 2" xfId="15651" xr:uid="{00000000-0005-0000-0000-0000263D0000}"/>
    <cellStyle name="Normal 16 5 4 3" xfId="15652" xr:uid="{00000000-0005-0000-0000-0000273D0000}"/>
    <cellStyle name="Normal 16 5 5" xfId="15653" xr:uid="{00000000-0005-0000-0000-0000283D0000}"/>
    <cellStyle name="Normal 16 5 6" xfId="15654" xr:uid="{00000000-0005-0000-0000-0000293D0000}"/>
    <cellStyle name="Normal 16 5 7" xfId="15655" xr:uid="{00000000-0005-0000-0000-00002A3D0000}"/>
    <cellStyle name="Normal 16 6" xfId="15656" xr:uid="{00000000-0005-0000-0000-00002B3D0000}"/>
    <cellStyle name="Normal 16 6 2" xfId="15657" xr:uid="{00000000-0005-0000-0000-00002C3D0000}"/>
    <cellStyle name="Normal 16 6 2 2" xfId="15658" xr:uid="{00000000-0005-0000-0000-00002D3D0000}"/>
    <cellStyle name="Normal 16 6 2 2 2" xfId="15659" xr:uid="{00000000-0005-0000-0000-00002E3D0000}"/>
    <cellStyle name="Normal 16 6 2 2 3" xfId="15660" xr:uid="{00000000-0005-0000-0000-00002F3D0000}"/>
    <cellStyle name="Normal 16 6 2 3" xfId="15661" xr:uid="{00000000-0005-0000-0000-0000303D0000}"/>
    <cellStyle name="Normal 16 6 2 3 2" xfId="15662" xr:uid="{00000000-0005-0000-0000-0000313D0000}"/>
    <cellStyle name="Normal 16 6 2 3 3" xfId="15663" xr:uid="{00000000-0005-0000-0000-0000323D0000}"/>
    <cellStyle name="Normal 16 6 2 4" xfId="15664" xr:uid="{00000000-0005-0000-0000-0000333D0000}"/>
    <cellStyle name="Normal 16 6 2 5" xfId="15665" xr:uid="{00000000-0005-0000-0000-0000343D0000}"/>
    <cellStyle name="Normal 16 6 2 6" xfId="15666" xr:uid="{00000000-0005-0000-0000-0000353D0000}"/>
    <cellStyle name="Normal 16 6 3" xfId="15667" xr:uid="{00000000-0005-0000-0000-0000363D0000}"/>
    <cellStyle name="Normal 16 6 3 2" xfId="15668" xr:uid="{00000000-0005-0000-0000-0000373D0000}"/>
    <cellStyle name="Normal 16 6 3 3" xfId="15669" xr:uid="{00000000-0005-0000-0000-0000383D0000}"/>
    <cellStyle name="Normal 16 6 4" xfId="15670" xr:uid="{00000000-0005-0000-0000-0000393D0000}"/>
    <cellStyle name="Normal 16 6 4 2" xfId="15671" xr:uid="{00000000-0005-0000-0000-00003A3D0000}"/>
    <cellStyle name="Normal 16 6 4 3" xfId="15672" xr:uid="{00000000-0005-0000-0000-00003B3D0000}"/>
    <cellStyle name="Normal 16 6 5" xfId="15673" xr:uid="{00000000-0005-0000-0000-00003C3D0000}"/>
    <cellStyle name="Normal 16 6 6" xfId="15674" xr:uid="{00000000-0005-0000-0000-00003D3D0000}"/>
    <cellStyle name="Normal 16 6 7" xfId="15675" xr:uid="{00000000-0005-0000-0000-00003E3D0000}"/>
    <cellStyle name="Normal 16 7" xfId="15676" xr:uid="{00000000-0005-0000-0000-00003F3D0000}"/>
    <cellStyle name="Normal 16 7 2" xfId="15677" xr:uid="{00000000-0005-0000-0000-0000403D0000}"/>
    <cellStyle name="Normal 16 7 2 2" xfId="15678" xr:uid="{00000000-0005-0000-0000-0000413D0000}"/>
    <cellStyle name="Normal 16 7 2 2 2" xfId="15679" xr:uid="{00000000-0005-0000-0000-0000423D0000}"/>
    <cellStyle name="Normal 16 7 2 2 3" xfId="15680" xr:uid="{00000000-0005-0000-0000-0000433D0000}"/>
    <cellStyle name="Normal 16 7 2 3" xfId="15681" xr:uid="{00000000-0005-0000-0000-0000443D0000}"/>
    <cellStyle name="Normal 16 7 2 3 2" xfId="15682" xr:uid="{00000000-0005-0000-0000-0000453D0000}"/>
    <cellStyle name="Normal 16 7 2 3 3" xfId="15683" xr:uid="{00000000-0005-0000-0000-0000463D0000}"/>
    <cellStyle name="Normal 16 7 2 4" xfId="15684" xr:uid="{00000000-0005-0000-0000-0000473D0000}"/>
    <cellStyle name="Normal 16 7 2 5" xfId="15685" xr:uid="{00000000-0005-0000-0000-0000483D0000}"/>
    <cellStyle name="Normal 16 7 2 6" xfId="15686" xr:uid="{00000000-0005-0000-0000-0000493D0000}"/>
    <cellStyle name="Normal 16 7 3" xfId="15687" xr:uid="{00000000-0005-0000-0000-00004A3D0000}"/>
    <cellStyle name="Normal 16 7 3 2" xfId="15688" xr:uid="{00000000-0005-0000-0000-00004B3D0000}"/>
    <cellStyle name="Normal 16 7 3 3" xfId="15689" xr:uid="{00000000-0005-0000-0000-00004C3D0000}"/>
    <cellStyle name="Normal 16 7 4" xfId="15690" xr:uid="{00000000-0005-0000-0000-00004D3D0000}"/>
    <cellStyle name="Normal 16 7 4 2" xfId="15691" xr:uid="{00000000-0005-0000-0000-00004E3D0000}"/>
    <cellStyle name="Normal 16 7 4 3" xfId="15692" xr:uid="{00000000-0005-0000-0000-00004F3D0000}"/>
    <cellStyle name="Normal 16 7 5" xfId="15693" xr:uid="{00000000-0005-0000-0000-0000503D0000}"/>
    <cellStyle name="Normal 16 7 6" xfId="15694" xr:uid="{00000000-0005-0000-0000-0000513D0000}"/>
    <cellStyle name="Normal 16 7 7" xfId="15695" xr:uid="{00000000-0005-0000-0000-0000523D0000}"/>
    <cellStyle name="Normal 16 8" xfId="15696" xr:uid="{00000000-0005-0000-0000-0000533D0000}"/>
    <cellStyle name="Normal 16 8 2" xfId="15697" xr:uid="{00000000-0005-0000-0000-0000543D0000}"/>
    <cellStyle name="Normal 16 8 2 2" xfId="15698" xr:uid="{00000000-0005-0000-0000-0000553D0000}"/>
    <cellStyle name="Normal 16 8 2 2 2" xfId="15699" xr:uid="{00000000-0005-0000-0000-0000563D0000}"/>
    <cellStyle name="Normal 16 8 2 2 3" xfId="15700" xr:uid="{00000000-0005-0000-0000-0000573D0000}"/>
    <cellStyle name="Normal 16 8 2 3" xfId="15701" xr:uid="{00000000-0005-0000-0000-0000583D0000}"/>
    <cellStyle name="Normal 16 8 2 3 2" xfId="15702" xr:uid="{00000000-0005-0000-0000-0000593D0000}"/>
    <cellStyle name="Normal 16 8 2 3 3" xfId="15703" xr:uid="{00000000-0005-0000-0000-00005A3D0000}"/>
    <cellStyle name="Normal 16 8 2 4" xfId="15704" xr:uid="{00000000-0005-0000-0000-00005B3D0000}"/>
    <cellStyle name="Normal 16 8 2 5" xfId="15705" xr:uid="{00000000-0005-0000-0000-00005C3D0000}"/>
    <cellStyle name="Normal 16 8 2 6" xfId="15706" xr:uid="{00000000-0005-0000-0000-00005D3D0000}"/>
    <cellStyle name="Normal 16 8 3" xfId="15707" xr:uid="{00000000-0005-0000-0000-00005E3D0000}"/>
    <cellStyle name="Normal 16 8 3 2" xfId="15708" xr:uid="{00000000-0005-0000-0000-00005F3D0000}"/>
    <cellStyle name="Normal 16 8 3 3" xfId="15709" xr:uid="{00000000-0005-0000-0000-0000603D0000}"/>
    <cellStyle name="Normal 16 8 4" xfId="15710" xr:uid="{00000000-0005-0000-0000-0000613D0000}"/>
    <cellStyle name="Normal 16 8 4 2" xfId="15711" xr:uid="{00000000-0005-0000-0000-0000623D0000}"/>
    <cellStyle name="Normal 16 8 4 3" xfId="15712" xr:uid="{00000000-0005-0000-0000-0000633D0000}"/>
    <cellStyle name="Normal 16 8 5" xfId="15713" xr:uid="{00000000-0005-0000-0000-0000643D0000}"/>
    <cellStyle name="Normal 16 8 6" xfId="15714" xr:uid="{00000000-0005-0000-0000-0000653D0000}"/>
    <cellStyle name="Normal 16 8 7" xfId="15715" xr:uid="{00000000-0005-0000-0000-0000663D0000}"/>
    <cellStyle name="Normal 16 9" xfId="15716" xr:uid="{00000000-0005-0000-0000-0000673D0000}"/>
    <cellStyle name="Normal 16 9 2" xfId="15717" xr:uid="{00000000-0005-0000-0000-0000683D0000}"/>
    <cellStyle name="Normal 16 9 2 2" xfId="15718" xr:uid="{00000000-0005-0000-0000-0000693D0000}"/>
    <cellStyle name="Normal 16 9 2 2 2" xfId="15719" xr:uid="{00000000-0005-0000-0000-00006A3D0000}"/>
    <cellStyle name="Normal 16 9 2 2 3" xfId="15720" xr:uid="{00000000-0005-0000-0000-00006B3D0000}"/>
    <cellStyle name="Normal 16 9 2 3" xfId="15721" xr:uid="{00000000-0005-0000-0000-00006C3D0000}"/>
    <cellStyle name="Normal 16 9 2 3 2" xfId="15722" xr:uid="{00000000-0005-0000-0000-00006D3D0000}"/>
    <cellStyle name="Normal 16 9 2 3 3" xfId="15723" xr:uid="{00000000-0005-0000-0000-00006E3D0000}"/>
    <cellStyle name="Normal 16 9 2 4" xfId="15724" xr:uid="{00000000-0005-0000-0000-00006F3D0000}"/>
    <cellStyle name="Normal 16 9 2 5" xfId="15725" xr:uid="{00000000-0005-0000-0000-0000703D0000}"/>
    <cellStyle name="Normal 16 9 2 6" xfId="15726" xr:uid="{00000000-0005-0000-0000-0000713D0000}"/>
    <cellStyle name="Normal 16 9 3" xfId="15727" xr:uid="{00000000-0005-0000-0000-0000723D0000}"/>
    <cellStyle name="Normal 16 9 3 2" xfId="15728" xr:uid="{00000000-0005-0000-0000-0000733D0000}"/>
    <cellStyle name="Normal 16 9 3 3" xfId="15729" xr:uid="{00000000-0005-0000-0000-0000743D0000}"/>
    <cellStyle name="Normal 16 9 4" xfId="15730" xr:uid="{00000000-0005-0000-0000-0000753D0000}"/>
    <cellStyle name="Normal 16 9 4 2" xfId="15731" xr:uid="{00000000-0005-0000-0000-0000763D0000}"/>
    <cellStyle name="Normal 16 9 4 3" xfId="15732" xr:uid="{00000000-0005-0000-0000-0000773D0000}"/>
    <cellStyle name="Normal 16 9 5" xfId="15733" xr:uid="{00000000-0005-0000-0000-0000783D0000}"/>
    <cellStyle name="Normal 16 9 6" xfId="15734" xr:uid="{00000000-0005-0000-0000-0000793D0000}"/>
    <cellStyle name="Normal 16 9 7" xfId="15735" xr:uid="{00000000-0005-0000-0000-00007A3D0000}"/>
    <cellStyle name="Normal 17" xfId="15736" xr:uid="{00000000-0005-0000-0000-00007B3D0000}"/>
    <cellStyle name="Normal 17 10" xfId="15737" xr:uid="{00000000-0005-0000-0000-00007C3D0000}"/>
    <cellStyle name="Normal 17 10 10" xfId="15738" xr:uid="{00000000-0005-0000-0000-00007D3D0000}"/>
    <cellStyle name="Normal 17 10 10 2" xfId="15739" xr:uid="{00000000-0005-0000-0000-00007E3D0000}"/>
    <cellStyle name="Normal 17 10 11" xfId="15740" xr:uid="{00000000-0005-0000-0000-00007F3D0000}"/>
    <cellStyle name="Normal 17 10 11 2" xfId="15741" xr:uid="{00000000-0005-0000-0000-0000803D0000}"/>
    <cellStyle name="Normal 17 10 12" xfId="15742" xr:uid="{00000000-0005-0000-0000-0000813D0000}"/>
    <cellStyle name="Normal 17 10 12 2" xfId="15743" xr:uid="{00000000-0005-0000-0000-0000823D0000}"/>
    <cellStyle name="Normal 17 10 13" xfId="15744" xr:uid="{00000000-0005-0000-0000-0000833D0000}"/>
    <cellStyle name="Normal 17 10 13 2" xfId="15745" xr:uid="{00000000-0005-0000-0000-0000843D0000}"/>
    <cellStyle name="Normal 17 10 14" xfId="15746" xr:uid="{00000000-0005-0000-0000-0000853D0000}"/>
    <cellStyle name="Normal 17 10 14 2" xfId="15747" xr:uid="{00000000-0005-0000-0000-0000863D0000}"/>
    <cellStyle name="Normal 17 10 15" xfId="15748" xr:uid="{00000000-0005-0000-0000-0000873D0000}"/>
    <cellStyle name="Normal 17 10 19" xfId="15749" xr:uid="{00000000-0005-0000-0000-0000883D0000}"/>
    <cellStyle name="Normal 17 10 2" xfId="15750" xr:uid="{00000000-0005-0000-0000-0000893D0000}"/>
    <cellStyle name="Normal 17 10 2 2" xfId="15751" xr:uid="{00000000-0005-0000-0000-00008A3D0000}"/>
    <cellStyle name="Normal 17 10 3" xfId="15752" xr:uid="{00000000-0005-0000-0000-00008B3D0000}"/>
    <cellStyle name="Normal 17 10 3 2" xfId="15753" xr:uid="{00000000-0005-0000-0000-00008C3D0000}"/>
    <cellStyle name="Normal 17 10 4" xfId="15754" xr:uid="{00000000-0005-0000-0000-00008D3D0000}"/>
    <cellStyle name="Normal 17 10 4 2" xfId="15755" xr:uid="{00000000-0005-0000-0000-00008E3D0000}"/>
    <cellStyle name="Normal 17 10 5" xfId="15756" xr:uid="{00000000-0005-0000-0000-00008F3D0000}"/>
    <cellStyle name="Normal 17 10 5 2" xfId="15757" xr:uid="{00000000-0005-0000-0000-0000903D0000}"/>
    <cellStyle name="Normal 17 10 6" xfId="15758" xr:uid="{00000000-0005-0000-0000-0000913D0000}"/>
    <cellStyle name="Normal 17 10 6 2" xfId="15759" xr:uid="{00000000-0005-0000-0000-0000923D0000}"/>
    <cellStyle name="Normal 17 10 7" xfId="15760" xr:uid="{00000000-0005-0000-0000-0000933D0000}"/>
    <cellStyle name="Normal 17 10 7 2" xfId="15761" xr:uid="{00000000-0005-0000-0000-0000943D0000}"/>
    <cellStyle name="Normal 17 10 8" xfId="15762" xr:uid="{00000000-0005-0000-0000-0000953D0000}"/>
    <cellStyle name="Normal 17 10 8 2" xfId="15763" xr:uid="{00000000-0005-0000-0000-0000963D0000}"/>
    <cellStyle name="Normal 17 10 9" xfId="15764" xr:uid="{00000000-0005-0000-0000-0000973D0000}"/>
    <cellStyle name="Normal 17 10 9 2" xfId="15765" xr:uid="{00000000-0005-0000-0000-0000983D0000}"/>
    <cellStyle name="Normal 17 11" xfId="15766" xr:uid="{00000000-0005-0000-0000-0000993D0000}"/>
    <cellStyle name="Normal 17 11 10" xfId="15767" xr:uid="{00000000-0005-0000-0000-00009A3D0000}"/>
    <cellStyle name="Normal 17 11 10 2" xfId="15768" xr:uid="{00000000-0005-0000-0000-00009B3D0000}"/>
    <cellStyle name="Normal 17 11 11" xfId="15769" xr:uid="{00000000-0005-0000-0000-00009C3D0000}"/>
    <cellStyle name="Normal 17 11 11 2" xfId="15770" xr:uid="{00000000-0005-0000-0000-00009D3D0000}"/>
    <cellStyle name="Normal 17 11 12" xfId="15771" xr:uid="{00000000-0005-0000-0000-00009E3D0000}"/>
    <cellStyle name="Normal 17 11 12 2" xfId="15772" xr:uid="{00000000-0005-0000-0000-00009F3D0000}"/>
    <cellStyle name="Normal 17 11 13" xfId="15773" xr:uid="{00000000-0005-0000-0000-0000A03D0000}"/>
    <cellStyle name="Normal 17 11 13 2" xfId="15774" xr:uid="{00000000-0005-0000-0000-0000A13D0000}"/>
    <cellStyle name="Normal 17 11 14" xfId="15775" xr:uid="{00000000-0005-0000-0000-0000A23D0000}"/>
    <cellStyle name="Normal 17 11 14 2" xfId="15776" xr:uid="{00000000-0005-0000-0000-0000A33D0000}"/>
    <cellStyle name="Normal 17 11 15" xfId="15777" xr:uid="{00000000-0005-0000-0000-0000A43D0000}"/>
    <cellStyle name="Normal 17 11 2" xfId="15778" xr:uid="{00000000-0005-0000-0000-0000A53D0000}"/>
    <cellStyle name="Normal 17 11 2 2" xfId="15779" xr:uid="{00000000-0005-0000-0000-0000A63D0000}"/>
    <cellStyle name="Normal 17 11 3" xfId="15780" xr:uid="{00000000-0005-0000-0000-0000A73D0000}"/>
    <cellStyle name="Normal 17 11 3 2" xfId="15781" xr:uid="{00000000-0005-0000-0000-0000A83D0000}"/>
    <cellStyle name="Normal 17 11 4" xfId="15782" xr:uid="{00000000-0005-0000-0000-0000A93D0000}"/>
    <cellStyle name="Normal 17 11 4 2" xfId="15783" xr:uid="{00000000-0005-0000-0000-0000AA3D0000}"/>
    <cellStyle name="Normal 17 11 5" xfId="15784" xr:uid="{00000000-0005-0000-0000-0000AB3D0000}"/>
    <cellStyle name="Normal 17 11 5 2" xfId="15785" xr:uid="{00000000-0005-0000-0000-0000AC3D0000}"/>
    <cellStyle name="Normal 17 11 6" xfId="15786" xr:uid="{00000000-0005-0000-0000-0000AD3D0000}"/>
    <cellStyle name="Normal 17 11 6 2" xfId="15787" xr:uid="{00000000-0005-0000-0000-0000AE3D0000}"/>
    <cellStyle name="Normal 17 11 7" xfId="15788" xr:uid="{00000000-0005-0000-0000-0000AF3D0000}"/>
    <cellStyle name="Normal 17 11 7 2" xfId="15789" xr:uid="{00000000-0005-0000-0000-0000B03D0000}"/>
    <cellStyle name="Normal 17 11 8" xfId="15790" xr:uid="{00000000-0005-0000-0000-0000B13D0000}"/>
    <cellStyle name="Normal 17 11 8 2" xfId="15791" xr:uid="{00000000-0005-0000-0000-0000B23D0000}"/>
    <cellStyle name="Normal 17 11 9" xfId="15792" xr:uid="{00000000-0005-0000-0000-0000B33D0000}"/>
    <cellStyle name="Normal 17 11 9 2" xfId="15793" xr:uid="{00000000-0005-0000-0000-0000B43D0000}"/>
    <cellStyle name="Normal 17 12" xfId="15794" xr:uid="{00000000-0005-0000-0000-0000B53D0000}"/>
    <cellStyle name="Normal 17 12 10" xfId="15795" xr:uid="{00000000-0005-0000-0000-0000B63D0000}"/>
    <cellStyle name="Normal 17 12 10 2" xfId="15796" xr:uid="{00000000-0005-0000-0000-0000B73D0000}"/>
    <cellStyle name="Normal 17 12 11" xfId="15797" xr:uid="{00000000-0005-0000-0000-0000B83D0000}"/>
    <cellStyle name="Normal 17 12 11 2" xfId="15798" xr:uid="{00000000-0005-0000-0000-0000B93D0000}"/>
    <cellStyle name="Normal 17 12 12" xfId="15799" xr:uid="{00000000-0005-0000-0000-0000BA3D0000}"/>
    <cellStyle name="Normal 17 12 12 2" xfId="15800" xr:uid="{00000000-0005-0000-0000-0000BB3D0000}"/>
    <cellStyle name="Normal 17 12 13" xfId="15801" xr:uid="{00000000-0005-0000-0000-0000BC3D0000}"/>
    <cellStyle name="Normal 17 12 13 2" xfId="15802" xr:uid="{00000000-0005-0000-0000-0000BD3D0000}"/>
    <cellStyle name="Normal 17 12 14" xfId="15803" xr:uid="{00000000-0005-0000-0000-0000BE3D0000}"/>
    <cellStyle name="Normal 17 12 14 2" xfId="15804" xr:uid="{00000000-0005-0000-0000-0000BF3D0000}"/>
    <cellStyle name="Normal 17 12 15" xfId="15805" xr:uid="{00000000-0005-0000-0000-0000C03D0000}"/>
    <cellStyle name="Normal 17 12 2" xfId="15806" xr:uid="{00000000-0005-0000-0000-0000C13D0000}"/>
    <cellStyle name="Normal 17 12 2 2" xfId="15807" xr:uid="{00000000-0005-0000-0000-0000C23D0000}"/>
    <cellStyle name="Normal 17 12 3" xfId="15808" xr:uid="{00000000-0005-0000-0000-0000C33D0000}"/>
    <cellStyle name="Normal 17 12 3 2" xfId="15809" xr:uid="{00000000-0005-0000-0000-0000C43D0000}"/>
    <cellStyle name="Normal 17 12 4" xfId="15810" xr:uid="{00000000-0005-0000-0000-0000C53D0000}"/>
    <cellStyle name="Normal 17 12 4 2" xfId="15811" xr:uid="{00000000-0005-0000-0000-0000C63D0000}"/>
    <cellStyle name="Normal 17 12 5" xfId="15812" xr:uid="{00000000-0005-0000-0000-0000C73D0000}"/>
    <cellStyle name="Normal 17 12 5 2" xfId="15813" xr:uid="{00000000-0005-0000-0000-0000C83D0000}"/>
    <cellStyle name="Normal 17 12 6" xfId="15814" xr:uid="{00000000-0005-0000-0000-0000C93D0000}"/>
    <cellStyle name="Normal 17 12 6 2" xfId="15815" xr:uid="{00000000-0005-0000-0000-0000CA3D0000}"/>
    <cellStyle name="Normal 17 12 7" xfId="15816" xr:uid="{00000000-0005-0000-0000-0000CB3D0000}"/>
    <cellStyle name="Normal 17 12 7 2" xfId="15817" xr:uid="{00000000-0005-0000-0000-0000CC3D0000}"/>
    <cellStyle name="Normal 17 12 8" xfId="15818" xr:uid="{00000000-0005-0000-0000-0000CD3D0000}"/>
    <cellStyle name="Normal 17 12 8 2" xfId="15819" xr:uid="{00000000-0005-0000-0000-0000CE3D0000}"/>
    <cellStyle name="Normal 17 12 9" xfId="15820" xr:uid="{00000000-0005-0000-0000-0000CF3D0000}"/>
    <cellStyle name="Normal 17 12 9 2" xfId="15821" xr:uid="{00000000-0005-0000-0000-0000D03D0000}"/>
    <cellStyle name="Normal 17 13" xfId="15822" xr:uid="{00000000-0005-0000-0000-0000D13D0000}"/>
    <cellStyle name="Normal 17 13 10" xfId="15823" xr:uid="{00000000-0005-0000-0000-0000D23D0000}"/>
    <cellStyle name="Normal 17 13 10 2" xfId="15824" xr:uid="{00000000-0005-0000-0000-0000D33D0000}"/>
    <cellStyle name="Normal 17 13 11" xfId="15825" xr:uid="{00000000-0005-0000-0000-0000D43D0000}"/>
    <cellStyle name="Normal 17 13 11 2" xfId="15826" xr:uid="{00000000-0005-0000-0000-0000D53D0000}"/>
    <cellStyle name="Normal 17 13 12" xfId="15827" xr:uid="{00000000-0005-0000-0000-0000D63D0000}"/>
    <cellStyle name="Normal 17 13 12 2" xfId="15828" xr:uid="{00000000-0005-0000-0000-0000D73D0000}"/>
    <cellStyle name="Normal 17 13 13" xfId="15829" xr:uid="{00000000-0005-0000-0000-0000D83D0000}"/>
    <cellStyle name="Normal 17 13 13 2" xfId="15830" xr:uid="{00000000-0005-0000-0000-0000D93D0000}"/>
    <cellStyle name="Normal 17 13 14" xfId="15831" xr:uid="{00000000-0005-0000-0000-0000DA3D0000}"/>
    <cellStyle name="Normal 17 13 14 2" xfId="15832" xr:uid="{00000000-0005-0000-0000-0000DB3D0000}"/>
    <cellStyle name="Normal 17 13 15" xfId="15833" xr:uid="{00000000-0005-0000-0000-0000DC3D0000}"/>
    <cellStyle name="Normal 17 13 2" xfId="15834" xr:uid="{00000000-0005-0000-0000-0000DD3D0000}"/>
    <cellStyle name="Normal 17 13 2 2" xfId="15835" xr:uid="{00000000-0005-0000-0000-0000DE3D0000}"/>
    <cellStyle name="Normal 17 13 3" xfId="15836" xr:uid="{00000000-0005-0000-0000-0000DF3D0000}"/>
    <cellStyle name="Normal 17 13 3 2" xfId="15837" xr:uid="{00000000-0005-0000-0000-0000E03D0000}"/>
    <cellStyle name="Normal 17 13 4" xfId="15838" xr:uid="{00000000-0005-0000-0000-0000E13D0000}"/>
    <cellStyle name="Normal 17 13 4 2" xfId="15839" xr:uid="{00000000-0005-0000-0000-0000E23D0000}"/>
    <cellStyle name="Normal 17 13 5" xfId="15840" xr:uid="{00000000-0005-0000-0000-0000E33D0000}"/>
    <cellStyle name="Normal 17 13 5 2" xfId="15841" xr:uid="{00000000-0005-0000-0000-0000E43D0000}"/>
    <cellStyle name="Normal 17 13 6" xfId="15842" xr:uid="{00000000-0005-0000-0000-0000E53D0000}"/>
    <cellStyle name="Normal 17 13 6 2" xfId="15843" xr:uid="{00000000-0005-0000-0000-0000E63D0000}"/>
    <cellStyle name="Normal 17 13 7" xfId="15844" xr:uid="{00000000-0005-0000-0000-0000E73D0000}"/>
    <cellStyle name="Normal 17 13 7 2" xfId="15845" xr:uid="{00000000-0005-0000-0000-0000E83D0000}"/>
    <cellStyle name="Normal 17 13 8" xfId="15846" xr:uid="{00000000-0005-0000-0000-0000E93D0000}"/>
    <cellStyle name="Normal 17 13 8 2" xfId="15847" xr:uid="{00000000-0005-0000-0000-0000EA3D0000}"/>
    <cellStyle name="Normal 17 13 9" xfId="15848" xr:uid="{00000000-0005-0000-0000-0000EB3D0000}"/>
    <cellStyle name="Normal 17 13 9 2" xfId="15849" xr:uid="{00000000-0005-0000-0000-0000EC3D0000}"/>
    <cellStyle name="Normal 17 14" xfId="15850" xr:uid="{00000000-0005-0000-0000-0000ED3D0000}"/>
    <cellStyle name="Normal 17 14 10" xfId="15851" xr:uid="{00000000-0005-0000-0000-0000EE3D0000}"/>
    <cellStyle name="Normal 17 14 10 2" xfId="15852" xr:uid="{00000000-0005-0000-0000-0000EF3D0000}"/>
    <cellStyle name="Normal 17 14 11" xfId="15853" xr:uid="{00000000-0005-0000-0000-0000F03D0000}"/>
    <cellStyle name="Normal 17 14 11 2" xfId="15854" xr:uid="{00000000-0005-0000-0000-0000F13D0000}"/>
    <cellStyle name="Normal 17 14 12" xfId="15855" xr:uid="{00000000-0005-0000-0000-0000F23D0000}"/>
    <cellStyle name="Normal 17 14 12 2" xfId="15856" xr:uid="{00000000-0005-0000-0000-0000F33D0000}"/>
    <cellStyle name="Normal 17 14 13" xfId="15857" xr:uid="{00000000-0005-0000-0000-0000F43D0000}"/>
    <cellStyle name="Normal 17 14 13 2" xfId="15858" xr:uid="{00000000-0005-0000-0000-0000F53D0000}"/>
    <cellStyle name="Normal 17 14 14" xfId="15859" xr:uid="{00000000-0005-0000-0000-0000F63D0000}"/>
    <cellStyle name="Normal 17 14 14 2" xfId="15860" xr:uid="{00000000-0005-0000-0000-0000F73D0000}"/>
    <cellStyle name="Normal 17 14 15" xfId="15861" xr:uid="{00000000-0005-0000-0000-0000F83D0000}"/>
    <cellStyle name="Normal 17 14 2" xfId="15862" xr:uid="{00000000-0005-0000-0000-0000F93D0000}"/>
    <cellStyle name="Normal 17 14 2 2" xfId="15863" xr:uid="{00000000-0005-0000-0000-0000FA3D0000}"/>
    <cellStyle name="Normal 17 14 3" xfId="15864" xr:uid="{00000000-0005-0000-0000-0000FB3D0000}"/>
    <cellStyle name="Normal 17 14 3 2" xfId="15865" xr:uid="{00000000-0005-0000-0000-0000FC3D0000}"/>
    <cellStyle name="Normal 17 14 4" xfId="15866" xr:uid="{00000000-0005-0000-0000-0000FD3D0000}"/>
    <cellStyle name="Normal 17 14 4 2" xfId="15867" xr:uid="{00000000-0005-0000-0000-0000FE3D0000}"/>
    <cellStyle name="Normal 17 14 5" xfId="15868" xr:uid="{00000000-0005-0000-0000-0000FF3D0000}"/>
    <cellStyle name="Normal 17 14 5 2" xfId="15869" xr:uid="{00000000-0005-0000-0000-0000003E0000}"/>
    <cellStyle name="Normal 17 14 6" xfId="15870" xr:uid="{00000000-0005-0000-0000-0000013E0000}"/>
    <cellStyle name="Normal 17 14 6 2" xfId="15871" xr:uid="{00000000-0005-0000-0000-0000023E0000}"/>
    <cellStyle name="Normal 17 14 7" xfId="15872" xr:uid="{00000000-0005-0000-0000-0000033E0000}"/>
    <cellStyle name="Normal 17 14 7 2" xfId="15873" xr:uid="{00000000-0005-0000-0000-0000043E0000}"/>
    <cellStyle name="Normal 17 14 8" xfId="15874" xr:uid="{00000000-0005-0000-0000-0000053E0000}"/>
    <cellStyle name="Normal 17 14 8 2" xfId="15875" xr:uid="{00000000-0005-0000-0000-0000063E0000}"/>
    <cellStyle name="Normal 17 14 9" xfId="15876" xr:uid="{00000000-0005-0000-0000-0000073E0000}"/>
    <cellStyle name="Normal 17 14 9 2" xfId="15877" xr:uid="{00000000-0005-0000-0000-0000083E0000}"/>
    <cellStyle name="Normal 17 15" xfId="15878" xr:uid="{00000000-0005-0000-0000-0000093E0000}"/>
    <cellStyle name="Normal 17 15 10" xfId="15879" xr:uid="{00000000-0005-0000-0000-00000A3E0000}"/>
    <cellStyle name="Normal 17 15 10 2" xfId="15880" xr:uid="{00000000-0005-0000-0000-00000B3E0000}"/>
    <cellStyle name="Normal 17 15 11" xfId="15881" xr:uid="{00000000-0005-0000-0000-00000C3E0000}"/>
    <cellStyle name="Normal 17 15 11 2" xfId="15882" xr:uid="{00000000-0005-0000-0000-00000D3E0000}"/>
    <cellStyle name="Normal 17 15 12" xfId="15883" xr:uid="{00000000-0005-0000-0000-00000E3E0000}"/>
    <cellStyle name="Normal 17 15 12 2" xfId="15884" xr:uid="{00000000-0005-0000-0000-00000F3E0000}"/>
    <cellStyle name="Normal 17 15 13" xfId="15885" xr:uid="{00000000-0005-0000-0000-0000103E0000}"/>
    <cellStyle name="Normal 17 15 13 2" xfId="15886" xr:uid="{00000000-0005-0000-0000-0000113E0000}"/>
    <cellStyle name="Normal 17 15 14" xfId="15887" xr:uid="{00000000-0005-0000-0000-0000123E0000}"/>
    <cellStyle name="Normal 17 15 14 2" xfId="15888" xr:uid="{00000000-0005-0000-0000-0000133E0000}"/>
    <cellStyle name="Normal 17 15 15" xfId="15889" xr:uid="{00000000-0005-0000-0000-0000143E0000}"/>
    <cellStyle name="Normal 17 15 2" xfId="15890" xr:uid="{00000000-0005-0000-0000-0000153E0000}"/>
    <cellStyle name="Normal 17 15 2 2" xfId="15891" xr:uid="{00000000-0005-0000-0000-0000163E0000}"/>
    <cellStyle name="Normal 17 15 3" xfId="15892" xr:uid="{00000000-0005-0000-0000-0000173E0000}"/>
    <cellStyle name="Normal 17 15 3 2" xfId="15893" xr:uid="{00000000-0005-0000-0000-0000183E0000}"/>
    <cellStyle name="Normal 17 15 4" xfId="15894" xr:uid="{00000000-0005-0000-0000-0000193E0000}"/>
    <cellStyle name="Normal 17 15 4 2" xfId="15895" xr:uid="{00000000-0005-0000-0000-00001A3E0000}"/>
    <cellStyle name="Normal 17 15 5" xfId="15896" xr:uid="{00000000-0005-0000-0000-00001B3E0000}"/>
    <cellStyle name="Normal 17 15 5 2" xfId="15897" xr:uid="{00000000-0005-0000-0000-00001C3E0000}"/>
    <cellStyle name="Normal 17 15 6" xfId="15898" xr:uid="{00000000-0005-0000-0000-00001D3E0000}"/>
    <cellStyle name="Normal 17 15 6 2" xfId="15899" xr:uid="{00000000-0005-0000-0000-00001E3E0000}"/>
    <cellStyle name="Normal 17 15 7" xfId="15900" xr:uid="{00000000-0005-0000-0000-00001F3E0000}"/>
    <cellStyle name="Normal 17 15 7 2" xfId="15901" xr:uid="{00000000-0005-0000-0000-0000203E0000}"/>
    <cellStyle name="Normal 17 15 8" xfId="15902" xr:uid="{00000000-0005-0000-0000-0000213E0000}"/>
    <cellStyle name="Normal 17 15 8 2" xfId="15903" xr:uid="{00000000-0005-0000-0000-0000223E0000}"/>
    <cellStyle name="Normal 17 15 9" xfId="15904" xr:uid="{00000000-0005-0000-0000-0000233E0000}"/>
    <cellStyle name="Normal 17 15 9 2" xfId="15905" xr:uid="{00000000-0005-0000-0000-0000243E0000}"/>
    <cellStyle name="Normal 17 16" xfId="15906" xr:uid="{00000000-0005-0000-0000-0000253E0000}"/>
    <cellStyle name="Normal 17 16 10" xfId="15907" xr:uid="{00000000-0005-0000-0000-0000263E0000}"/>
    <cellStyle name="Normal 17 16 10 2" xfId="15908" xr:uid="{00000000-0005-0000-0000-0000273E0000}"/>
    <cellStyle name="Normal 17 16 11" xfId="15909" xr:uid="{00000000-0005-0000-0000-0000283E0000}"/>
    <cellStyle name="Normal 17 16 11 2" xfId="15910" xr:uid="{00000000-0005-0000-0000-0000293E0000}"/>
    <cellStyle name="Normal 17 16 12" xfId="15911" xr:uid="{00000000-0005-0000-0000-00002A3E0000}"/>
    <cellStyle name="Normal 17 16 12 2" xfId="15912" xr:uid="{00000000-0005-0000-0000-00002B3E0000}"/>
    <cellStyle name="Normal 17 16 13" xfId="15913" xr:uid="{00000000-0005-0000-0000-00002C3E0000}"/>
    <cellStyle name="Normal 17 16 13 2" xfId="15914" xr:uid="{00000000-0005-0000-0000-00002D3E0000}"/>
    <cellStyle name="Normal 17 16 14" xfId="15915" xr:uid="{00000000-0005-0000-0000-00002E3E0000}"/>
    <cellStyle name="Normal 17 16 14 2" xfId="15916" xr:uid="{00000000-0005-0000-0000-00002F3E0000}"/>
    <cellStyle name="Normal 17 16 15" xfId="15917" xr:uid="{00000000-0005-0000-0000-0000303E0000}"/>
    <cellStyle name="Normal 17 16 2" xfId="15918" xr:uid="{00000000-0005-0000-0000-0000313E0000}"/>
    <cellStyle name="Normal 17 16 2 2" xfId="15919" xr:uid="{00000000-0005-0000-0000-0000323E0000}"/>
    <cellStyle name="Normal 17 16 3" xfId="15920" xr:uid="{00000000-0005-0000-0000-0000333E0000}"/>
    <cellStyle name="Normal 17 16 3 2" xfId="15921" xr:uid="{00000000-0005-0000-0000-0000343E0000}"/>
    <cellStyle name="Normal 17 16 4" xfId="15922" xr:uid="{00000000-0005-0000-0000-0000353E0000}"/>
    <cellStyle name="Normal 17 16 4 2" xfId="15923" xr:uid="{00000000-0005-0000-0000-0000363E0000}"/>
    <cellStyle name="Normal 17 16 5" xfId="15924" xr:uid="{00000000-0005-0000-0000-0000373E0000}"/>
    <cellStyle name="Normal 17 16 5 2" xfId="15925" xr:uid="{00000000-0005-0000-0000-0000383E0000}"/>
    <cellStyle name="Normal 17 16 6" xfId="15926" xr:uid="{00000000-0005-0000-0000-0000393E0000}"/>
    <cellStyle name="Normal 17 16 6 2" xfId="15927" xr:uid="{00000000-0005-0000-0000-00003A3E0000}"/>
    <cellStyle name="Normal 17 16 7" xfId="15928" xr:uid="{00000000-0005-0000-0000-00003B3E0000}"/>
    <cellStyle name="Normal 17 16 7 2" xfId="15929" xr:uid="{00000000-0005-0000-0000-00003C3E0000}"/>
    <cellStyle name="Normal 17 16 8" xfId="15930" xr:uid="{00000000-0005-0000-0000-00003D3E0000}"/>
    <cellStyle name="Normal 17 16 8 2" xfId="15931" xr:uid="{00000000-0005-0000-0000-00003E3E0000}"/>
    <cellStyle name="Normal 17 16 9" xfId="15932" xr:uid="{00000000-0005-0000-0000-00003F3E0000}"/>
    <cellStyle name="Normal 17 16 9 2" xfId="15933" xr:uid="{00000000-0005-0000-0000-0000403E0000}"/>
    <cellStyle name="Normal 17 17" xfId="15934" xr:uid="{00000000-0005-0000-0000-0000413E0000}"/>
    <cellStyle name="Normal 17 17 10" xfId="15935" xr:uid="{00000000-0005-0000-0000-0000423E0000}"/>
    <cellStyle name="Normal 17 17 10 2" xfId="15936" xr:uid="{00000000-0005-0000-0000-0000433E0000}"/>
    <cellStyle name="Normal 17 17 11" xfId="15937" xr:uid="{00000000-0005-0000-0000-0000443E0000}"/>
    <cellStyle name="Normal 17 17 11 2" xfId="15938" xr:uid="{00000000-0005-0000-0000-0000453E0000}"/>
    <cellStyle name="Normal 17 17 12" xfId="15939" xr:uid="{00000000-0005-0000-0000-0000463E0000}"/>
    <cellStyle name="Normal 17 17 12 2" xfId="15940" xr:uid="{00000000-0005-0000-0000-0000473E0000}"/>
    <cellStyle name="Normal 17 17 13" xfId="15941" xr:uid="{00000000-0005-0000-0000-0000483E0000}"/>
    <cellStyle name="Normal 17 17 13 2" xfId="15942" xr:uid="{00000000-0005-0000-0000-0000493E0000}"/>
    <cellStyle name="Normal 17 17 14" xfId="15943" xr:uid="{00000000-0005-0000-0000-00004A3E0000}"/>
    <cellStyle name="Normal 17 17 14 2" xfId="15944" xr:uid="{00000000-0005-0000-0000-00004B3E0000}"/>
    <cellStyle name="Normal 17 17 15" xfId="15945" xr:uid="{00000000-0005-0000-0000-00004C3E0000}"/>
    <cellStyle name="Normal 17 17 2" xfId="15946" xr:uid="{00000000-0005-0000-0000-00004D3E0000}"/>
    <cellStyle name="Normal 17 17 2 2" xfId="15947" xr:uid="{00000000-0005-0000-0000-00004E3E0000}"/>
    <cellStyle name="Normal 17 17 3" xfId="15948" xr:uid="{00000000-0005-0000-0000-00004F3E0000}"/>
    <cellStyle name="Normal 17 17 3 2" xfId="15949" xr:uid="{00000000-0005-0000-0000-0000503E0000}"/>
    <cellStyle name="Normal 17 17 4" xfId="15950" xr:uid="{00000000-0005-0000-0000-0000513E0000}"/>
    <cellStyle name="Normal 17 17 4 2" xfId="15951" xr:uid="{00000000-0005-0000-0000-0000523E0000}"/>
    <cellStyle name="Normal 17 17 5" xfId="15952" xr:uid="{00000000-0005-0000-0000-0000533E0000}"/>
    <cellStyle name="Normal 17 17 5 2" xfId="15953" xr:uid="{00000000-0005-0000-0000-0000543E0000}"/>
    <cellStyle name="Normal 17 17 6" xfId="15954" xr:uid="{00000000-0005-0000-0000-0000553E0000}"/>
    <cellStyle name="Normal 17 17 6 2" xfId="15955" xr:uid="{00000000-0005-0000-0000-0000563E0000}"/>
    <cellStyle name="Normal 17 17 7" xfId="15956" xr:uid="{00000000-0005-0000-0000-0000573E0000}"/>
    <cellStyle name="Normal 17 17 7 2" xfId="15957" xr:uid="{00000000-0005-0000-0000-0000583E0000}"/>
    <cellStyle name="Normal 17 17 8" xfId="15958" xr:uid="{00000000-0005-0000-0000-0000593E0000}"/>
    <cellStyle name="Normal 17 17 8 2" xfId="15959" xr:uid="{00000000-0005-0000-0000-00005A3E0000}"/>
    <cellStyle name="Normal 17 17 9" xfId="15960" xr:uid="{00000000-0005-0000-0000-00005B3E0000}"/>
    <cellStyle name="Normal 17 17 9 2" xfId="15961" xr:uid="{00000000-0005-0000-0000-00005C3E0000}"/>
    <cellStyle name="Normal 17 18" xfId="15962" xr:uid="{00000000-0005-0000-0000-00005D3E0000}"/>
    <cellStyle name="Normal 17 18 2" xfId="15963" xr:uid="{00000000-0005-0000-0000-00005E3E0000}"/>
    <cellStyle name="Normal 17 18 2 2" xfId="15964" xr:uid="{00000000-0005-0000-0000-00005F3E0000}"/>
    <cellStyle name="Normal 17 18 2 3" xfId="15965" xr:uid="{00000000-0005-0000-0000-0000603E0000}"/>
    <cellStyle name="Normal 17 18 3" xfId="15966" xr:uid="{00000000-0005-0000-0000-0000613E0000}"/>
    <cellStyle name="Normal 17 18 3 2" xfId="15967" xr:uid="{00000000-0005-0000-0000-0000623E0000}"/>
    <cellStyle name="Normal 17 18 3 3" xfId="15968" xr:uid="{00000000-0005-0000-0000-0000633E0000}"/>
    <cellStyle name="Normal 17 18 4" xfId="15969" xr:uid="{00000000-0005-0000-0000-0000643E0000}"/>
    <cellStyle name="Normal 17 18 5" xfId="15970" xr:uid="{00000000-0005-0000-0000-0000653E0000}"/>
    <cellStyle name="Normal 17 18 6" xfId="15971" xr:uid="{00000000-0005-0000-0000-0000663E0000}"/>
    <cellStyle name="Normal 17 19" xfId="15972" xr:uid="{00000000-0005-0000-0000-0000673E0000}"/>
    <cellStyle name="Normal 17 19 2" xfId="15973" xr:uid="{00000000-0005-0000-0000-0000683E0000}"/>
    <cellStyle name="Normal 17 19 3" xfId="15974" xr:uid="{00000000-0005-0000-0000-0000693E0000}"/>
    <cellStyle name="Normal 17 2" xfId="15975" xr:uid="{00000000-0005-0000-0000-00006A3E0000}"/>
    <cellStyle name="Normal 17 2 10" xfId="15976" xr:uid="{00000000-0005-0000-0000-00006B3E0000}"/>
    <cellStyle name="Normal 17 2 10 2" xfId="15977" xr:uid="{00000000-0005-0000-0000-00006C3E0000}"/>
    <cellStyle name="Normal 17 2 11" xfId="15978" xr:uid="{00000000-0005-0000-0000-00006D3E0000}"/>
    <cellStyle name="Normal 17 2 11 2" xfId="15979" xr:uid="{00000000-0005-0000-0000-00006E3E0000}"/>
    <cellStyle name="Normal 17 2 12" xfId="15980" xr:uid="{00000000-0005-0000-0000-00006F3E0000}"/>
    <cellStyle name="Normal 17 2 12 2" xfId="15981" xr:uid="{00000000-0005-0000-0000-0000703E0000}"/>
    <cellStyle name="Normal 17 2 13" xfId="15982" xr:uid="{00000000-0005-0000-0000-0000713E0000}"/>
    <cellStyle name="Normal 17 2 13 2" xfId="15983" xr:uid="{00000000-0005-0000-0000-0000723E0000}"/>
    <cellStyle name="Normal 17 2 14" xfId="15984" xr:uid="{00000000-0005-0000-0000-0000733E0000}"/>
    <cellStyle name="Normal 17 2 14 2" xfId="15985" xr:uid="{00000000-0005-0000-0000-0000743E0000}"/>
    <cellStyle name="Normal 17 2 15" xfId="15986" xr:uid="{00000000-0005-0000-0000-0000753E0000}"/>
    <cellStyle name="Normal 17 2 2" xfId="15987" xr:uid="{00000000-0005-0000-0000-0000763E0000}"/>
    <cellStyle name="Normal 17 2 2 2" xfId="15988" xr:uid="{00000000-0005-0000-0000-0000773E0000}"/>
    <cellStyle name="Normal 17 2 3" xfId="15989" xr:uid="{00000000-0005-0000-0000-0000783E0000}"/>
    <cellStyle name="Normal 17 2 3 2" xfId="15990" xr:uid="{00000000-0005-0000-0000-0000793E0000}"/>
    <cellStyle name="Normal 17 2 4" xfId="15991" xr:uid="{00000000-0005-0000-0000-00007A3E0000}"/>
    <cellStyle name="Normal 17 2 4 2" xfId="15992" xr:uid="{00000000-0005-0000-0000-00007B3E0000}"/>
    <cellStyle name="Normal 17 2 5" xfId="15993" xr:uid="{00000000-0005-0000-0000-00007C3E0000}"/>
    <cellStyle name="Normal 17 2 5 2" xfId="15994" xr:uid="{00000000-0005-0000-0000-00007D3E0000}"/>
    <cellStyle name="Normal 17 2 6" xfId="15995" xr:uid="{00000000-0005-0000-0000-00007E3E0000}"/>
    <cellStyle name="Normal 17 2 6 2" xfId="15996" xr:uid="{00000000-0005-0000-0000-00007F3E0000}"/>
    <cellStyle name="Normal 17 2 7" xfId="15997" xr:uid="{00000000-0005-0000-0000-0000803E0000}"/>
    <cellStyle name="Normal 17 2 7 2" xfId="15998" xr:uid="{00000000-0005-0000-0000-0000813E0000}"/>
    <cellStyle name="Normal 17 2 8" xfId="15999" xr:uid="{00000000-0005-0000-0000-0000823E0000}"/>
    <cellStyle name="Normal 17 2 8 2" xfId="16000" xr:uid="{00000000-0005-0000-0000-0000833E0000}"/>
    <cellStyle name="Normal 17 2 9" xfId="16001" xr:uid="{00000000-0005-0000-0000-0000843E0000}"/>
    <cellStyle name="Normal 17 2 9 2" xfId="16002" xr:uid="{00000000-0005-0000-0000-0000853E0000}"/>
    <cellStyle name="Normal 17 20" xfId="16003" xr:uid="{00000000-0005-0000-0000-0000863E0000}"/>
    <cellStyle name="Normal 17 20 2" xfId="16004" xr:uid="{00000000-0005-0000-0000-0000873E0000}"/>
    <cellStyle name="Normal 17 20 3" xfId="16005" xr:uid="{00000000-0005-0000-0000-0000883E0000}"/>
    <cellStyle name="Normal 17 21" xfId="16006" xr:uid="{00000000-0005-0000-0000-0000893E0000}"/>
    <cellStyle name="Normal 17 22" xfId="16007" xr:uid="{00000000-0005-0000-0000-00008A3E0000}"/>
    <cellStyle name="Normal 17 23" xfId="16008" xr:uid="{00000000-0005-0000-0000-00008B3E0000}"/>
    <cellStyle name="Normal 17 3" xfId="16009" xr:uid="{00000000-0005-0000-0000-00008C3E0000}"/>
    <cellStyle name="Normal 17 3 10" xfId="16010" xr:uid="{00000000-0005-0000-0000-00008D3E0000}"/>
    <cellStyle name="Normal 17 3 10 2" xfId="16011" xr:uid="{00000000-0005-0000-0000-00008E3E0000}"/>
    <cellStyle name="Normal 17 3 11" xfId="16012" xr:uid="{00000000-0005-0000-0000-00008F3E0000}"/>
    <cellStyle name="Normal 17 3 11 2" xfId="16013" xr:uid="{00000000-0005-0000-0000-0000903E0000}"/>
    <cellStyle name="Normal 17 3 12" xfId="16014" xr:uid="{00000000-0005-0000-0000-0000913E0000}"/>
    <cellStyle name="Normal 17 3 12 2" xfId="16015" xr:uid="{00000000-0005-0000-0000-0000923E0000}"/>
    <cellStyle name="Normal 17 3 13" xfId="16016" xr:uid="{00000000-0005-0000-0000-0000933E0000}"/>
    <cellStyle name="Normal 17 3 13 2" xfId="16017" xr:uid="{00000000-0005-0000-0000-0000943E0000}"/>
    <cellStyle name="Normal 17 3 14" xfId="16018" xr:uid="{00000000-0005-0000-0000-0000953E0000}"/>
    <cellStyle name="Normal 17 3 14 2" xfId="16019" xr:uid="{00000000-0005-0000-0000-0000963E0000}"/>
    <cellStyle name="Normal 17 3 15" xfId="16020" xr:uid="{00000000-0005-0000-0000-0000973E0000}"/>
    <cellStyle name="Normal 17 3 2" xfId="16021" xr:uid="{00000000-0005-0000-0000-0000983E0000}"/>
    <cellStyle name="Normal 17 3 2 2" xfId="16022" xr:uid="{00000000-0005-0000-0000-0000993E0000}"/>
    <cellStyle name="Normal 17 3 3" xfId="16023" xr:uid="{00000000-0005-0000-0000-00009A3E0000}"/>
    <cellStyle name="Normal 17 3 3 2" xfId="16024" xr:uid="{00000000-0005-0000-0000-00009B3E0000}"/>
    <cellStyle name="Normal 17 3 4" xfId="16025" xr:uid="{00000000-0005-0000-0000-00009C3E0000}"/>
    <cellStyle name="Normal 17 3 4 2" xfId="16026" xr:uid="{00000000-0005-0000-0000-00009D3E0000}"/>
    <cellStyle name="Normal 17 3 5" xfId="16027" xr:uid="{00000000-0005-0000-0000-00009E3E0000}"/>
    <cellStyle name="Normal 17 3 5 2" xfId="16028" xr:uid="{00000000-0005-0000-0000-00009F3E0000}"/>
    <cellStyle name="Normal 17 3 6" xfId="16029" xr:uid="{00000000-0005-0000-0000-0000A03E0000}"/>
    <cellStyle name="Normal 17 3 6 2" xfId="16030" xr:uid="{00000000-0005-0000-0000-0000A13E0000}"/>
    <cellStyle name="Normal 17 3 7" xfId="16031" xr:uid="{00000000-0005-0000-0000-0000A23E0000}"/>
    <cellStyle name="Normal 17 3 7 2" xfId="16032" xr:uid="{00000000-0005-0000-0000-0000A33E0000}"/>
    <cellStyle name="Normal 17 3 8" xfId="16033" xr:uid="{00000000-0005-0000-0000-0000A43E0000}"/>
    <cellStyle name="Normal 17 3 8 2" xfId="16034" xr:uid="{00000000-0005-0000-0000-0000A53E0000}"/>
    <cellStyle name="Normal 17 3 9" xfId="16035" xr:uid="{00000000-0005-0000-0000-0000A63E0000}"/>
    <cellStyle name="Normal 17 3 9 2" xfId="16036" xr:uid="{00000000-0005-0000-0000-0000A73E0000}"/>
    <cellStyle name="Normal 17 4" xfId="16037" xr:uid="{00000000-0005-0000-0000-0000A83E0000}"/>
    <cellStyle name="Normal 17 4 10" xfId="16038" xr:uid="{00000000-0005-0000-0000-0000A93E0000}"/>
    <cellStyle name="Normal 17 4 10 2" xfId="16039" xr:uid="{00000000-0005-0000-0000-0000AA3E0000}"/>
    <cellStyle name="Normal 17 4 11" xfId="16040" xr:uid="{00000000-0005-0000-0000-0000AB3E0000}"/>
    <cellStyle name="Normal 17 4 11 2" xfId="16041" xr:uid="{00000000-0005-0000-0000-0000AC3E0000}"/>
    <cellStyle name="Normal 17 4 12" xfId="16042" xr:uid="{00000000-0005-0000-0000-0000AD3E0000}"/>
    <cellStyle name="Normal 17 4 12 2" xfId="16043" xr:uid="{00000000-0005-0000-0000-0000AE3E0000}"/>
    <cellStyle name="Normal 17 4 13" xfId="16044" xr:uid="{00000000-0005-0000-0000-0000AF3E0000}"/>
    <cellStyle name="Normal 17 4 13 2" xfId="16045" xr:uid="{00000000-0005-0000-0000-0000B03E0000}"/>
    <cellStyle name="Normal 17 4 14" xfId="16046" xr:uid="{00000000-0005-0000-0000-0000B13E0000}"/>
    <cellStyle name="Normal 17 4 14 2" xfId="16047" xr:uid="{00000000-0005-0000-0000-0000B23E0000}"/>
    <cellStyle name="Normal 17 4 15" xfId="16048" xr:uid="{00000000-0005-0000-0000-0000B33E0000}"/>
    <cellStyle name="Normal 17 4 2" xfId="16049" xr:uid="{00000000-0005-0000-0000-0000B43E0000}"/>
    <cellStyle name="Normal 17 4 2 2" xfId="16050" xr:uid="{00000000-0005-0000-0000-0000B53E0000}"/>
    <cellStyle name="Normal 17 4 3" xfId="16051" xr:uid="{00000000-0005-0000-0000-0000B63E0000}"/>
    <cellStyle name="Normal 17 4 3 2" xfId="16052" xr:uid="{00000000-0005-0000-0000-0000B73E0000}"/>
    <cellStyle name="Normal 17 4 4" xfId="16053" xr:uid="{00000000-0005-0000-0000-0000B83E0000}"/>
    <cellStyle name="Normal 17 4 4 2" xfId="16054" xr:uid="{00000000-0005-0000-0000-0000B93E0000}"/>
    <cellStyle name="Normal 17 4 5" xfId="16055" xr:uid="{00000000-0005-0000-0000-0000BA3E0000}"/>
    <cellStyle name="Normal 17 4 5 2" xfId="16056" xr:uid="{00000000-0005-0000-0000-0000BB3E0000}"/>
    <cellStyle name="Normal 17 4 6" xfId="16057" xr:uid="{00000000-0005-0000-0000-0000BC3E0000}"/>
    <cellStyle name="Normal 17 4 6 2" xfId="16058" xr:uid="{00000000-0005-0000-0000-0000BD3E0000}"/>
    <cellStyle name="Normal 17 4 7" xfId="16059" xr:uid="{00000000-0005-0000-0000-0000BE3E0000}"/>
    <cellStyle name="Normal 17 4 7 2" xfId="16060" xr:uid="{00000000-0005-0000-0000-0000BF3E0000}"/>
    <cellStyle name="Normal 17 4 8" xfId="16061" xr:uid="{00000000-0005-0000-0000-0000C03E0000}"/>
    <cellStyle name="Normal 17 4 8 2" xfId="16062" xr:uid="{00000000-0005-0000-0000-0000C13E0000}"/>
    <cellStyle name="Normal 17 4 9" xfId="16063" xr:uid="{00000000-0005-0000-0000-0000C23E0000}"/>
    <cellStyle name="Normal 17 4 9 2" xfId="16064" xr:uid="{00000000-0005-0000-0000-0000C33E0000}"/>
    <cellStyle name="Normal 17 5" xfId="16065" xr:uid="{00000000-0005-0000-0000-0000C43E0000}"/>
    <cellStyle name="Normal 17 5 10" xfId="16066" xr:uid="{00000000-0005-0000-0000-0000C53E0000}"/>
    <cellStyle name="Normal 17 5 10 2" xfId="16067" xr:uid="{00000000-0005-0000-0000-0000C63E0000}"/>
    <cellStyle name="Normal 17 5 11" xfId="16068" xr:uid="{00000000-0005-0000-0000-0000C73E0000}"/>
    <cellStyle name="Normal 17 5 11 2" xfId="16069" xr:uid="{00000000-0005-0000-0000-0000C83E0000}"/>
    <cellStyle name="Normal 17 5 12" xfId="16070" xr:uid="{00000000-0005-0000-0000-0000C93E0000}"/>
    <cellStyle name="Normal 17 5 12 2" xfId="16071" xr:uid="{00000000-0005-0000-0000-0000CA3E0000}"/>
    <cellStyle name="Normal 17 5 13" xfId="16072" xr:uid="{00000000-0005-0000-0000-0000CB3E0000}"/>
    <cellStyle name="Normal 17 5 13 2" xfId="16073" xr:uid="{00000000-0005-0000-0000-0000CC3E0000}"/>
    <cellStyle name="Normal 17 5 14" xfId="16074" xr:uid="{00000000-0005-0000-0000-0000CD3E0000}"/>
    <cellStyle name="Normal 17 5 14 2" xfId="16075" xr:uid="{00000000-0005-0000-0000-0000CE3E0000}"/>
    <cellStyle name="Normal 17 5 15" xfId="16076" xr:uid="{00000000-0005-0000-0000-0000CF3E0000}"/>
    <cellStyle name="Normal 17 5 2" xfId="16077" xr:uid="{00000000-0005-0000-0000-0000D03E0000}"/>
    <cellStyle name="Normal 17 5 2 2" xfId="16078" xr:uid="{00000000-0005-0000-0000-0000D13E0000}"/>
    <cellStyle name="Normal 17 5 3" xfId="16079" xr:uid="{00000000-0005-0000-0000-0000D23E0000}"/>
    <cellStyle name="Normal 17 5 3 2" xfId="16080" xr:uid="{00000000-0005-0000-0000-0000D33E0000}"/>
    <cellStyle name="Normal 17 5 4" xfId="16081" xr:uid="{00000000-0005-0000-0000-0000D43E0000}"/>
    <cellStyle name="Normal 17 5 4 2" xfId="16082" xr:uid="{00000000-0005-0000-0000-0000D53E0000}"/>
    <cellStyle name="Normal 17 5 5" xfId="16083" xr:uid="{00000000-0005-0000-0000-0000D63E0000}"/>
    <cellStyle name="Normal 17 5 5 2" xfId="16084" xr:uid="{00000000-0005-0000-0000-0000D73E0000}"/>
    <cellStyle name="Normal 17 5 6" xfId="16085" xr:uid="{00000000-0005-0000-0000-0000D83E0000}"/>
    <cellStyle name="Normal 17 5 6 2" xfId="16086" xr:uid="{00000000-0005-0000-0000-0000D93E0000}"/>
    <cellStyle name="Normal 17 5 7" xfId="16087" xr:uid="{00000000-0005-0000-0000-0000DA3E0000}"/>
    <cellStyle name="Normal 17 5 7 2" xfId="16088" xr:uid="{00000000-0005-0000-0000-0000DB3E0000}"/>
    <cellStyle name="Normal 17 5 8" xfId="16089" xr:uid="{00000000-0005-0000-0000-0000DC3E0000}"/>
    <cellStyle name="Normal 17 5 8 2" xfId="16090" xr:uid="{00000000-0005-0000-0000-0000DD3E0000}"/>
    <cellStyle name="Normal 17 5 9" xfId="16091" xr:uid="{00000000-0005-0000-0000-0000DE3E0000}"/>
    <cellStyle name="Normal 17 5 9 2" xfId="16092" xr:uid="{00000000-0005-0000-0000-0000DF3E0000}"/>
    <cellStyle name="Normal 17 6" xfId="16093" xr:uid="{00000000-0005-0000-0000-0000E03E0000}"/>
    <cellStyle name="Normal 17 6 10" xfId="16094" xr:uid="{00000000-0005-0000-0000-0000E13E0000}"/>
    <cellStyle name="Normal 17 6 10 2" xfId="16095" xr:uid="{00000000-0005-0000-0000-0000E23E0000}"/>
    <cellStyle name="Normal 17 6 11" xfId="16096" xr:uid="{00000000-0005-0000-0000-0000E33E0000}"/>
    <cellStyle name="Normal 17 6 11 2" xfId="16097" xr:uid="{00000000-0005-0000-0000-0000E43E0000}"/>
    <cellStyle name="Normal 17 6 12" xfId="16098" xr:uid="{00000000-0005-0000-0000-0000E53E0000}"/>
    <cellStyle name="Normal 17 6 12 2" xfId="16099" xr:uid="{00000000-0005-0000-0000-0000E63E0000}"/>
    <cellStyle name="Normal 17 6 13" xfId="16100" xr:uid="{00000000-0005-0000-0000-0000E73E0000}"/>
    <cellStyle name="Normal 17 6 13 2" xfId="16101" xr:uid="{00000000-0005-0000-0000-0000E83E0000}"/>
    <cellStyle name="Normal 17 6 14" xfId="16102" xr:uid="{00000000-0005-0000-0000-0000E93E0000}"/>
    <cellStyle name="Normal 17 6 14 2" xfId="16103" xr:uid="{00000000-0005-0000-0000-0000EA3E0000}"/>
    <cellStyle name="Normal 17 6 15" xfId="16104" xr:uid="{00000000-0005-0000-0000-0000EB3E0000}"/>
    <cellStyle name="Normal 17 6 2" xfId="16105" xr:uid="{00000000-0005-0000-0000-0000EC3E0000}"/>
    <cellStyle name="Normal 17 6 2 2" xfId="16106" xr:uid="{00000000-0005-0000-0000-0000ED3E0000}"/>
    <cellStyle name="Normal 17 6 3" xfId="16107" xr:uid="{00000000-0005-0000-0000-0000EE3E0000}"/>
    <cellStyle name="Normal 17 6 3 2" xfId="16108" xr:uid="{00000000-0005-0000-0000-0000EF3E0000}"/>
    <cellStyle name="Normal 17 6 4" xfId="16109" xr:uid="{00000000-0005-0000-0000-0000F03E0000}"/>
    <cellStyle name="Normal 17 6 4 2" xfId="16110" xr:uid="{00000000-0005-0000-0000-0000F13E0000}"/>
    <cellStyle name="Normal 17 6 5" xfId="16111" xr:uid="{00000000-0005-0000-0000-0000F23E0000}"/>
    <cellStyle name="Normal 17 6 5 2" xfId="16112" xr:uid="{00000000-0005-0000-0000-0000F33E0000}"/>
    <cellStyle name="Normal 17 6 6" xfId="16113" xr:uid="{00000000-0005-0000-0000-0000F43E0000}"/>
    <cellStyle name="Normal 17 6 6 2" xfId="16114" xr:uid="{00000000-0005-0000-0000-0000F53E0000}"/>
    <cellStyle name="Normal 17 6 7" xfId="16115" xr:uid="{00000000-0005-0000-0000-0000F63E0000}"/>
    <cellStyle name="Normal 17 6 7 2" xfId="16116" xr:uid="{00000000-0005-0000-0000-0000F73E0000}"/>
    <cellStyle name="Normal 17 6 8" xfId="16117" xr:uid="{00000000-0005-0000-0000-0000F83E0000}"/>
    <cellStyle name="Normal 17 6 8 2" xfId="16118" xr:uid="{00000000-0005-0000-0000-0000F93E0000}"/>
    <cellStyle name="Normal 17 6 9" xfId="16119" xr:uid="{00000000-0005-0000-0000-0000FA3E0000}"/>
    <cellStyle name="Normal 17 6 9 2" xfId="16120" xr:uid="{00000000-0005-0000-0000-0000FB3E0000}"/>
    <cellStyle name="Normal 17 7" xfId="16121" xr:uid="{00000000-0005-0000-0000-0000FC3E0000}"/>
    <cellStyle name="Normal 17 7 10" xfId="16122" xr:uid="{00000000-0005-0000-0000-0000FD3E0000}"/>
    <cellStyle name="Normal 17 7 10 2" xfId="16123" xr:uid="{00000000-0005-0000-0000-0000FE3E0000}"/>
    <cellStyle name="Normal 17 7 11" xfId="16124" xr:uid="{00000000-0005-0000-0000-0000FF3E0000}"/>
    <cellStyle name="Normal 17 7 11 2" xfId="16125" xr:uid="{00000000-0005-0000-0000-0000003F0000}"/>
    <cellStyle name="Normal 17 7 12" xfId="16126" xr:uid="{00000000-0005-0000-0000-0000013F0000}"/>
    <cellStyle name="Normal 17 7 12 2" xfId="16127" xr:uid="{00000000-0005-0000-0000-0000023F0000}"/>
    <cellStyle name="Normal 17 7 13" xfId="16128" xr:uid="{00000000-0005-0000-0000-0000033F0000}"/>
    <cellStyle name="Normal 17 7 13 2" xfId="16129" xr:uid="{00000000-0005-0000-0000-0000043F0000}"/>
    <cellStyle name="Normal 17 7 14" xfId="16130" xr:uid="{00000000-0005-0000-0000-0000053F0000}"/>
    <cellStyle name="Normal 17 7 14 2" xfId="16131" xr:uid="{00000000-0005-0000-0000-0000063F0000}"/>
    <cellStyle name="Normal 17 7 15" xfId="16132" xr:uid="{00000000-0005-0000-0000-0000073F0000}"/>
    <cellStyle name="Normal 17 7 2" xfId="16133" xr:uid="{00000000-0005-0000-0000-0000083F0000}"/>
    <cellStyle name="Normal 17 7 2 2" xfId="16134" xr:uid="{00000000-0005-0000-0000-0000093F0000}"/>
    <cellStyle name="Normal 17 7 3" xfId="16135" xr:uid="{00000000-0005-0000-0000-00000A3F0000}"/>
    <cellStyle name="Normal 17 7 3 2" xfId="16136" xr:uid="{00000000-0005-0000-0000-00000B3F0000}"/>
    <cellStyle name="Normal 17 7 4" xfId="16137" xr:uid="{00000000-0005-0000-0000-00000C3F0000}"/>
    <cellStyle name="Normal 17 7 4 2" xfId="16138" xr:uid="{00000000-0005-0000-0000-00000D3F0000}"/>
    <cellStyle name="Normal 17 7 5" xfId="16139" xr:uid="{00000000-0005-0000-0000-00000E3F0000}"/>
    <cellStyle name="Normal 17 7 5 2" xfId="16140" xr:uid="{00000000-0005-0000-0000-00000F3F0000}"/>
    <cellStyle name="Normal 17 7 6" xfId="16141" xr:uid="{00000000-0005-0000-0000-0000103F0000}"/>
    <cellStyle name="Normal 17 7 6 2" xfId="16142" xr:uid="{00000000-0005-0000-0000-0000113F0000}"/>
    <cellStyle name="Normal 17 7 7" xfId="16143" xr:uid="{00000000-0005-0000-0000-0000123F0000}"/>
    <cellStyle name="Normal 17 7 7 2" xfId="16144" xr:uid="{00000000-0005-0000-0000-0000133F0000}"/>
    <cellStyle name="Normal 17 7 8" xfId="16145" xr:uid="{00000000-0005-0000-0000-0000143F0000}"/>
    <cellStyle name="Normal 17 7 8 2" xfId="16146" xr:uid="{00000000-0005-0000-0000-0000153F0000}"/>
    <cellStyle name="Normal 17 7 9" xfId="16147" xr:uid="{00000000-0005-0000-0000-0000163F0000}"/>
    <cellStyle name="Normal 17 7 9 2" xfId="16148" xr:uid="{00000000-0005-0000-0000-0000173F0000}"/>
    <cellStyle name="Normal 17 8" xfId="16149" xr:uid="{00000000-0005-0000-0000-0000183F0000}"/>
    <cellStyle name="Normal 17 8 10" xfId="16150" xr:uid="{00000000-0005-0000-0000-0000193F0000}"/>
    <cellStyle name="Normal 17 8 10 2" xfId="16151" xr:uid="{00000000-0005-0000-0000-00001A3F0000}"/>
    <cellStyle name="Normal 17 8 11" xfId="16152" xr:uid="{00000000-0005-0000-0000-00001B3F0000}"/>
    <cellStyle name="Normal 17 8 11 2" xfId="16153" xr:uid="{00000000-0005-0000-0000-00001C3F0000}"/>
    <cellStyle name="Normal 17 8 12" xfId="16154" xr:uid="{00000000-0005-0000-0000-00001D3F0000}"/>
    <cellStyle name="Normal 17 8 12 2" xfId="16155" xr:uid="{00000000-0005-0000-0000-00001E3F0000}"/>
    <cellStyle name="Normal 17 8 13" xfId="16156" xr:uid="{00000000-0005-0000-0000-00001F3F0000}"/>
    <cellStyle name="Normal 17 8 13 2" xfId="16157" xr:uid="{00000000-0005-0000-0000-0000203F0000}"/>
    <cellStyle name="Normal 17 8 14" xfId="16158" xr:uid="{00000000-0005-0000-0000-0000213F0000}"/>
    <cellStyle name="Normal 17 8 14 2" xfId="16159" xr:uid="{00000000-0005-0000-0000-0000223F0000}"/>
    <cellStyle name="Normal 17 8 15" xfId="16160" xr:uid="{00000000-0005-0000-0000-0000233F0000}"/>
    <cellStyle name="Normal 17 8 2" xfId="16161" xr:uid="{00000000-0005-0000-0000-0000243F0000}"/>
    <cellStyle name="Normal 17 8 2 2" xfId="16162" xr:uid="{00000000-0005-0000-0000-0000253F0000}"/>
    <cellStyle name="Normal 17 8 3" xfId="16163" xr:uid="{00000000-0005-0000-0000-0000263F0000}"/>
    <cellStyle name="Normal 17 8 3 2" xfId="16164" xr:uid="{00000000-0005-0000-0000-0000273F0000}"/>
    <cellStyle name="Normal 17 8 4" xfId="16165" xr:uid="{00000000-0005-0000-0000-0000283F0000}"/>
    <cellStyle name="Normal 17 8 4 2" xfId="16166" xr:uid="{00000000-0005-0000-0000-0000293F0000}"/>
    <cellStyle name="Normal 17 8 5" xfId="16167" xr:uid="{00000000-0005-0000-0000-00002A3F0000}"/>
    <cellStyle name="Normal 17 8 5 2" xfId="16168" xr:uid="{00000000-0005-0000-0000-00002B3F0000}"/>
    <cellStyle name="Normal 17 8 6" xfId="16169" xr:uid="{00000000-0005-0000-0000-00002C3F0000}"/>
    <cellStyle name="Normal 17 8 6 2" xfId="16170" xr:uid="{00000000-0005-0000-0000-00002D3F0000}"/>
    <cellStyle name="Normal 17 8 7" xfId="16171" xr:uid="{00000000-0005-0000-0000-00002E3F0000}"/>
    <cellStyle name="Normal 17 8 7 2" xfId="16172" xr:uid="{00000000-0005-0000-0000-00002F3F0000}"/>
    <cellStyle name="Normal 17 8 8" xfId="16173" xr:uid="{00000000-0005-0000-0000-0000303F0000}"/>
    <cellStyle name="Normal 17 8 8 2" xfId="16174" xr:uid="{00000000-0005-0000-0000-0000313F0000}"/>
    <cellStyle name="Normal 17 8 9" xfId="16175" xr:uid="{00000000-0005-0000-0000-0000323F0000}"/>
    <cellStyle name="Normal 17 8 9 2" xfId="16176" xr:uid="{00000000-0005-0000-0000-0000333F0000}"/>
    <cellStyle name="Normal 17 9" xfId="16177" xr:uid="{00000000-0005-0000-0000-0000343F0000}"/>
    <cellStyle name="Normal 17 9 10" xfId="16178" xr:uid="{00000000-0005-0000-0000-0000353F0000}"/>
    <cellStyle name="Normal 17 9 10 2" xfId="16179" xr:uid="{00000000-0005-0000-0000-0000363F0000}"/>
    <cellStyle name="Normal 17 9 11" xfId="16180" xr:uid="{00000000-0005-0000-0000-0000373F0000}"/>
    <cellStyle name="Normal 17 9 11 2" xfId="16181" xr:uid="{00000000-0005-0000-0000-0000383F0000}"/>
    <cellStyle name="Normal 17 9 12" xfId="16182" xr:uid="{00000000-0005-0000-0000-0000393F0000}"/>
    <cellStyle name="Normal 17 9 12 2" xfId="16183" xr:uid="{00000000-0005-0000-0000-00003A3F0000}"/>
    <cellStyle name="Normal 17 9 13" xfId="16184" xr:uid="{00000000-0005-0000-0000-00003B3F0000}"/>
    <cellStyle name="Normal 17 9 13 2" xfId="16185" xr:uid="{00000000-0005-0000-0000-00003C3F0000}"/>
    <cellStyle name="Normal 17 9 14" xfId="16186" xr:uid="{00000000-0005-0000-0000-00003D3F0000}"/>
    <cellStyle name="Normal 17 9 14 2" xfId="16187" xr:uid="{00000000-0005-0000-0000-00003E3F0000}"/>
    <cellStyle name="Normal 17 9 15" xfId="16188" xr:uid="{00000000-0005-0000-0000-00003F3F0000}"/>
    <cellStyle name="Normal 17 9 2" xfId="16189" xr:uid="{00000000-0005-0000-0000-0000403F0000}"/>
    <cellStyle name="Normal 17 9 2 2" xfId="16190" xr:uid="{00000000-0005-0000-0000-0000413F0000}"/>
    <cellStyle name="Normal 17 9 3" xfId="16191" xr:uid="{00000000-0005-0000-0000-0000423F0000}"/>
    <cellStyle name="Normal 17 9 3 2" xfId="16192" xr:uid="{00000000-0005-0000-0000-0000433F0000}"/>
    <cellStyle name="Normal 17 9 4" xfId="16193" xr:uid="{00000000-0005-0000-0000-0000443F0000}"/>
    <cellStyle name="Normal 17 9 4 2" xfId="16194" xr:uid="{00000000-0005-0000-0000-0000453F0000}"/>
    <cellStyle name="Normal 17 9 5" xfId="16195" xr:uid="{00000000-0005-0000-0000-0000463F0000}"/>
    <cellStyle name="Normal 17 9 5 2" xfId="16196" xr:uid="{00000000-0005-0000-0000-0000473F0000}"/>
    <cellStyle name="Normal 17 9 6" xfId="16197" xr:uid="{00000000-0005-0000-0000-0000483F0000}"/>
    <cellStyle name="Normal 17 9 6 2" xfId="16198" xr:uid="{00000000-0005-0000-0000-0000493F0000}"/>
    <cellStyle name="Normal 17 9 7" xfId="16199" xr:uid="{00000000-0005-0000-0000-00004A3F0000}"/>
    <cellStyle name="Normal 17 9 7 2" xfId="16200" xr:uid="{00000000-0005-0000-0000-00004B3F0000}"/>
    <cellStyle name="Normal 17 9 8" xfId="16201" xr:uid="{00000000-0005-0000-0000-00004C3F0000}"/>
    <cellStyle name="Normal 17 9 8 2" xfId="16202" xr:uid="{00000000-0005-0000-0000-00004D3F0000}"/>
    <cellStyle name="Normal 17 9 9" xfId="16203" xr:uid="{00000000-0005-0000-0000-00004E3F0000}"/>
    <cellStyle name="Normal 17 9 9 2" xfId="16204" xr:uid="{00000000-0005-0000-0000-00004F3F0000}"/>
    <cellStyle name="Normal 18" xfId="16205" xr:uid="{00000000-0005-0000-0000-0000503F0000}"/>
    <cellStyle name="Normal 18 2" xfId="16206" xr:uid="{00000000-0005-0000-0000-0000513F0000}"/>
    <cellStyle name="Normal 18 2 2" xfId="16207" xr:uid="{00000000-0005-0000-0000-0000523F0000}"/>
    <cellStyle name="Normal 18 2 2 2" xfId="16208" xr:uid="{00000000-0005-0000-0000-0000533F0000}"/>
    <cellStyle name="Normal 18 2 2 3" xfId="16209" xr:uid="{00000000-0005-0000-0000-0000543F0000}"/>
    <cellStyle name="Normal 18 2 3" xfId="16210" xr:uid="{00000000-0005-0000-0000-0000553F0000}"/>
    <cellStyle name="Normal 18 2 3 2" xfId="16211" xr:uid="{00000000-0005-0000-0000-0000563F0000}"/>
    <cellStyle name="Normal 18 2 3 3" xfId="16212" xr:uid="{00000000-0005-0000-0000-0000573F0000}"/>
    <cellStyle name="Normal 18 2 4" xfId="16213" xr:uid="{00000000-0005-0000-0000-0000583F0000}"/>
    <cellStyle name="Normal 18 2 5" xfId="16214" xr:uid="{00000000-0005-0000-0000-0000593F0000}"/>
    <cellStyle name="Normal 18 2 6" xfId="16215" xr:uid="{00000000-0005-0000-0000-00005A3F0000}"/>
    <cellStyle name="Normal 18 3" xfId="16216" xr:uid="{00000000-0005-0000-0000-00005B3F0000}"/>
    <cellStyle name="Normal 18 3 2" xfId="16217" xr:uid="{00000000-0005-0000-0000-00005C3F0000}"/>
    <cellStyle name="Normal 18 3 3" xfId="16218" xr:uid="{00000000-0005-0000-0000-00005D3F0000}"/>
    <cellStyle name="Normal 18 4" xfId="16219" xr:uid="{00000000-0005-0000-0000-00005E3F0000}"/>
    <cellStyle name="Normal 18 4 2" xfId="16220" xr:uid="{00000000-0005-0000-0000-00005F3F0000}"/>
    <cellStyle name="Normal 18 4 3" xfId="16221" xr:uid="{00000000-0005-0000-0000-0000603F0000}"/>
    <cellStyle name="Normal 18 5" xfId="16222" xr:uid="{00000000-0005-0000-0000-0000613F0000}"/>
    <cellStyle name="Normal 18 6" xfId="16223" xr:uid="{00000000-0005-0000-0000-0000623F0000}"/>
    <cellStyle name="Normal 18 7" xfId="16224" xr:uid="{00000000-0005-0000-0000-0000633F0000}"/>
    <cellStyle name="Normal 19" xfId="16225" xr:uid="{00000000-0005-0000-0000-0000643F0000}"/>
    <cellStyle name="Normal 19 10" xfId="16226" xr:uid="{00000000-0005-0000-0000-0000653F0000}"/>
    <cellStyle name="Normal 19 10 10" xfId="16227" xr:uid="{00000000-0005-0000-0000-0000663F0000}"/>
    <cellStyle name="Normal 19 10 10 2" xfId="16228" xr:uid="{00000000-0005-0000-0000-0000673F0000}"/>
    <cellStyle name="Normal 19 10 11" xfId="16229" xr:uid="{00000000-0005-0000-0000-0000683F0000}"/>
    <cellStyle name="Normal 19 10 11 2" xfId="16230" xr:uid="{00000000-0005-0000-0000-0000693F0000}"/>
    <cellStyle name="Normal 19 10 12" xfId="16231" xr:uid="{00000000-0005-0000-0000-00006A3F0000}"/>
    <cellStyle name="Normal 19 10 12 2" xfId="16232" xr:uid="{00000000-0005-0000-0000-00006B3F0000}"/>
    <cellStyle name="Normal 19 10 13" xfId="16233" xr:uid="{00000000-0005-0000-0000-00006C3F0000}"/>
    <cellStyle name="Normal 19 10 13 2" xfId="16234" xr:uid="{00000000-0005-0000-0000-00006D3F0000}"/>
    <cellStyle name="Normal 19 10 14" xfId="16235" xr:uid="{00000000-0005-0000-0000-00006E3F0000}"/>
    <cellStyle name="Normal 19 10 14 2" xfId="16236" xr:uid="{00000000-0005-0000-0000-00006F3F0000}"/>
    <cellStyle name="Normal 19 10 15" xfId="16237" xr:uid="{00000000-0005-0000-0000-0000703F0000}"/>
    <cellStyle name="Normal 19 10 2" xfId="16238" xr:uid="{00000000-0005-0000-0000-0000713F0000}"/>
    <cellStyle name="Normal 19 10 2 2" xfId="16239" xr:uid="{00000000-0005-0000-0000-0000723F0000}"/>
    <cellStyle name="Normal 19 10 3" xfId="16240" xr:uid="{00000000-0005-0000-0000-0000733F0000}"/>
    <cellStyle name="Normal 19 10 3 2" xfId="16241" xr:uid="{00000000-0005-0000-0000-0000743F0000}"/>
    <cellStyle name="Normal 19 10 4" xfId="16242" xr:uid="{00000000-0005-0000-0000-0000753F0000}"/>
    <cellStyle name="Normal 19 10 4 2" xfId="16243" xr:uid="{00000000-0005-0000-0000-0000763F0000}"/>
    <cellStyle name="Normal 19 10 5" xfId="16244" xr:uid="{00000000-0005-0000-0000-0000773F0000}"/>
    <cellStyle name="Normal 19 10 5 2" xfId="16245" xr:uid="{00000000-0005-0000-0000-0000783F0000}"/>
    <cellStyle name="Normal 19 10 6" xfId="16246" xr:uid="{00000000-0005-0000-0000-0000793F0000}"/>
    <cellStyle name="Normal 19 10 6 2" xfId="16247" xr:uid="{00000000-0005-0000-0000-00007A3F0000}"/>
    <cellStyle name="Normal 19 10 7" xfId="16248" xr:uid="{00000000-0005-0000-0000-00007B3F0000}"/>
    <cellStyle name="Normal 19 10 7 2" xfId="16249" xr:uid="{00000000-0005-0000-0000-00007C3F0000}"/>
    <cellStyle name="Normal 19 10 8" xfId="16250" xr:uid="{00000000-0005-0000-0000-00007D3F0000}"/>
    <cellStyle name="Normal 19 10 8 2" xfId="16251" xr:uid="{00000000-0005-0000-0000-00007E3F0000}"/>
    <cellStyle name="Normal 19 10 9" xfId="16252" xr:uid="{00000000-0005-0000-0000-00007F3F0000}"/>
    <cellStyle name="Normal 19 10 9 2" xfId="16253" xr:uid="{00000000-0005-0000-0000-0000803F0000}"/>
    <cellStyle name="Normal 19 11" xfId="16254" xr:uid="{00000000-0005-0000-0000-0000813F0000}"/>
    <cellStyle name="Normal 19 11 10" xfId="16255" xr:uid="{00000000-0005-0000-0000-0000823F0000}"/>
    <cellStyle name="Normal 19 11 10 2" xfId="16256" xr:uid="{00000000-0005-0000-0000-0000833F0000}"/>
    <cellStyle name="Normal 19 11 11" xfId="16257" xr:uid="{00000000-0005-0000-0000-0000843F0000}"/>
    <cellStyle name="Normal 19 11 11 2" xfId="16258" xr:uid="{00000000-0005-0000-0000-0000853F0000}"/>
    <cellStyle name="Normal 19 11 12" xfId="16259" xr:uid="{00000000-0005-0000-0000-0000863F0000}"/>
    <cellStyle name="Normal 19 11 12 2" xfId="16260" xr:uid="{00000000-0005-0000-0000-0000873F0000}"/>
    <cellStyle name="Normal 19 11 13" xfId="16261" xr:uid="{00000000-0005-0000-0000-0000883F0000}"/>
    <cellStyle name="Normal 19 11 13 2" xfId="16262" xr:uid="{00000000-0005-0000-0000-0000893F0000}"/>
    <cellStyle name="Normal 19 11 14" xfId="16263" xr:uid="{00000000-0005-0000-0000-00008A3F0000}"/>
    <cellStyle name="Normal 19 11 14 2" xfId="16264" xr:uid="{00000000-0005-0000-0000-00008B3F0000}"/>
    <cellStyle name="Normal 19 11 15" xfId="16265" xr:uid="{00000000-0005-0000-0000-00008C3F0000}"/>
    <cellStyle name="Normal 19 11 2" xfId="16266" xr:uid="{00000000-0005-0000-0000-00008D3F0000}"/>
    <cellStyle name="Normal 19 11 2 2" xfId="16267" xr:uid="{00000000-0005-0000-0000-00008E3F0000}"/>
    <cellStyle name="Normal 19 11 3" xfId="16268" xr:uid="{00000000-0005-0000-0000-00008F3F0000}"/>
    <cellStyle name="Normal 19 11 3 2" xfId="16269" xr:uid="{00000000-0005-0000-0000-0000903F0000}"/>
    <cellStyle name="Normal 19 11 4" xfId="16270" xr:uid="{00000000-0005-0000-0000-0000913F0000}"/>
    <cellStyle name="Normal 19 11 4 2" xfId="16271" xr:uid="{00000000-0005-0000-0000-0000923F0000}"/>
    <cellStyle name="Normal 19 11 5" xfId="16272" xr:uid="{00000000-0005-0000-0000-0000933F0000}"/>
    <cellStyle name="Normal 19 11 5 2" xfId="16273" xr:uid="{00000000-0005-0000-0000-0000943F0000}"/>
    <cellStyle name="Normal 19 11 6" xfId="16274" xr:uid="{00000000-0005-0000-0000-0000953F0000}"/>
    <cellStyle name="Normal 19 11 6 2" xfId="16275" xr:uid="{00000000-0005-0000-0000-0000963F0000}"/>
    <cellStyle name="Normal 19 11 7" xfId="16276" xr:uid="{00000000-0005-0000-0000-0000973F0000}"/>
    <cellStyle name="Normal 19 11 7 2" xfId="16277" xr:uid="{00000000-0005-0000-0000-0000983F0000}"/>
    <cellStyle name="Normal 19 11 8" xfId="16278" xr:uid="{00000000-0005-0000-0000-0000993F0000}"/>
    <cellStyle name="Normal 19 11 8 2" xfId="16279" xr:uid="{00000000-0005-0000-0000-00009A3F0000}"/>
    <cellStyle name="Normal 19 11 9" xfId="16280" xr:uid="{00000000-0005-0000-0000-00009B3F0000}"/>
    <cellStyle name="Normal 19 11 9 2" xfId="16281" xr:uid="{00000000-0005-0000-0000-00009C3F0000}"/>
    <cellStyle name="Normal 19 12" xfId="16282" xr:uid="{00000000-0005-0000-0000-00009D3F0000}"/>
    <cellStyle name="Normal 19 12 10" xfId="16283" xr:uid="{00000000-0005-0000-0000-00009E3F0000}"/>
    <cellStyle name="Normal 19 12 10 2" xfId="16284" xr:uid="{00000000-0005-0000-0000-00009F3F0000}"/>
    <cellStyle name="Normal 19 12 11" xfId="16285" xr:uid="{00000000-0005-0000-0000-0000A03F0000}"/>
    <cellStyle name="Normal 19 12 11 2" xfId="16286" xr:uid="{00000000-0005-0000-0000-0000A13F0000}"/>
    <cellStyle name="Normal 19 12 12" xfId="16287" xr:uid="{00000000-0005-0000-0000-0000A23F0000}"/>
    <cellStyle name="Normal 19 12 12 2" xfId="16288" xr:uid="{00000000-0005-0000-0000-0000A33F0000}"/>
    <cellStyle name="Normal 19 12 13" xfId="16289" xr:uid="{00000000-0005-0000-0000-0000A43F0000}"/>
    <cellStyle name="Normal 19 12 13 2" xfId="16290" xr:uid="{00000000-0005-0000-0000-0000A53F0000}"/>
    <cellStyle name="Normal 19 12 14" xfId="16291" xr:uid="{00000000-0005-0000-0000-0000A63F0000}"/>
    <cellStyle name="Normal 19 12 14 2" xfId="16292" xr:uid="{00000000-0005-0000-0000-0000A73F0000}"/>
    <cellStyle name="Normal 19 12 15" xfId="16293" xr:uid="{00000000-0005-0000-0000-0000A83F0000}"/>
    <cellStyle name="Normal 19 12 2" xfId="16294" xr:uid="{00000000-0005-0000-0000-0000A93F0000}"/>
    <cellStyle name="Normal 19 12 2 2" xfId="16295" xr:uid="{00000000-0005-0000-0000-0000AA3F0000}"/>
    <cellStyle name="Normal 19 12 3" xfId="16296" xr:uid="{00000000-0005-0000-0000-0000AB3F0000}"/>
    <cellStyle name="Normal 19 12 3 2" xfId="16297" xr:uid="{00000000-0005-0000-0000-0000AC3F0000}"/>
    <cellStyle name="Normal 19 12 4" xfId="16298" xr:uid="{00000000-0005-0000-0000-0000AD3F0000}"/>
    <cellStyle name="Normal 19 12 4 2" xfId="16299" xr:uid="{00000000-0005-0000-0000-0000AE3F0000}"/>
    <cellStyle name="Normal 19 12 5" xfId="16300" xr:uid="{00000000-0005-0000-0000-0000AF3F0000}"/>
    <cellStyle name="Normal 19 12 5 2" xfId="16301" xr:uid="{00000000-0005-0000-0000-0000B03F0000}"/>
    <cellStyle name="Normal 19 12 6" xfId="16302" xr:uid="{00000000-0005-0000-0000-0000B13F0000}"/>
    <cellStyle name="Normal 19 12 6 2" xfId="16303" xr:uid="{00000000-0005-0000-0000-0000B23F0000}"/>
    <cellStyle name="Normal 19 12 7" xfId="16304" xr:uid="{00000000-0005-0000-0000-0000B33F0000}"/>
    <cellStyle name="Normal 19 12 7 2" xfId="16305" xr:uid="{00000000-0005-0000-0000-0000B43F0000}"/>
    <cellStyle name="Normal 19 12 8" xfId="16306" xr:uid="{00000000-0005-0000-0000-0000B53F0000}"/>
    <cellStyle name="Normal 19 12 8 2" xfId="16307" xr:uid="{00000000-0005-0000-0000-0000B63F0000}"/>
    <cellStyle name="Normal 19 12 9" xfId="16308" xr:uid="{00000000-0005-0000-0000-0000B73F0000}"/>
    <cellStyle name="Normal 19 12 9 2" xfId="16309" xr:uid="{00000000-0005-0000-0000-0000B83F0000}"/>
    <cellStyle name="Normal 19 13" xfId="16310" xr:uid="{00000000-0005-0000-0000-0000B93F0000}"/>
    <cellStyle name="Normal 19 13 10" xfId="16311" xr:uid="{00000000-0005-0000-0000-0000BA3F0000}"/>
    <cellStyle name="Normal 19 13 10 2" xfId="16312" xr:uid="{00000000-0005-0000-0000-0000BB3F0000}"/>
    <cellStyle name="Normal 19 13 11" xfId="16313" xr:uid="{00000000-0005-0000-0000-0000BC3F0000}"/>
    <cellStyle name="Normal 19 13 11 2" xfId="16314" xr:uid="{00000000-0005-0000-0000-0000BD3F0000}"/>
    <cellStyle name="Normal 19 13 12" xfId="16315" xr:uid="{00000000-0005-0000-0000-0000BE3F0000}"/>
    <cellStyle name="Normal 19 13 12 2" xfId="16316" xr:uid="{00000000-0005-0000-0000-0000BF3F0000}"/>
    <cellStyle name="Normal 19 13 13" xfId="16317" xr:uid="{00000000-0005-0000-0000-0000C03F0000}"/>
    <cellStyle name="Normal 19 13 13 2" xfId="16318" xr:uid="{00000000-0005-0000-0000-0000C13F0000}"/>
    <cellStyle name="Normal 19 13 14" xfId="16319" xr:uid="{00000000-0005-0000-0000-0000C23F0000}"/>
    <cellStyle name="Normal 19 13 14 2" xfId="16320" xr:uid="{00000000-0005-0000-0000-0000C33F0000}"/>
    <cellStyle name="Normal 19 13 15" xfId="16321" xr:uid="{00000000-0005-0000-0000-0000C43F0000}"/>
    <cellStyle name="Normal 19 13 2" xfId="16322" xr:uid="{00000000-0005-0000-0000-0000C53F0000}"/>
    <cellStyle name="Normal 19 13 2 2" xfId="16323" xr:uid="{00000000-0005-0000-0000-0000C63F0000}"/>
    <cellStyle name="Normal 19 13 3" xfId="16324" xr:uid="{00000000-0005-0000-0000-0000C73F0000}"/>
    <cellStyle name="Normal 19 13 3 2" xfId="16325" xr:uid="{00000000-0005-0000-0000-0000C83F0000}"/>
    <cellStyle name="Normal 19 13 4" xfId="16326" xr:uid="{00000000-0005-0000-0000-0000C93F0000}"/>
    <cellStyle name="Normal 19 13 4 2" xfId="16327" xr:uid="{00000000-0005-0000-0000-0000CA3F0000}"/>
    <cellStyle name="Normal 19 13 5" xfId="16328" xr:uid="{00000000-0005-0000-0000-0000CB3F0000}"/>
    <cellStyle name="Normal 19 13 5 2" xfId="16329" xr:uid="{00000000-0005-0000-0000-0000CC3F0000}"/>
    <cellStyle name="Normal 19 13 6" xfId="16330" xr:uid="{00000000-0005-0000-0000-0000CD3F0000}"/>
    <cellStyle name="Normal 19 13 6 2" xfId="16331" xr:uid="{00000000-0005-0000-0000-0000CE3F0000}"/>
    <cellStyle name="Normal 19 13 7" xfId="16332" xr:uid="{00000000-0005-0000-0000-0000CF3F0000}"/>
    <cellStyle name="Normal 19 13 7 2" xfId="16333" xr:uid="{00000000-0005-0000-0000-0000D03F0000}"/>
    <cellStyle name="Normal 19 13 8" xfId="16334" xr:uid="{00000000-0005-0000-0000-0000D13F0000}"/>
    <cellStyle name="Normal 19 13 8 2" xfId="16335" xr:uid="{00000000-0005-0000-0000-0000D23F0000}"/>
    <cellStyle name="Normal 19 13 9" xfId="16336" xr:uid="{00000000-0005-0000-0000-0000D33F0000}"/>
    <cellStyle name="Normal 19 13 9 2" xfId="16337" xr:uid="{00000000-0005-0000-0000-0000D43F0000}"/>
    <cellStyle name="Normal 19 14" xfId="16338" xr:uid="{00000000-0005-0000-0000-0000D53F0000}"/>
    <cellStyle name="Normal 19 14 10" xfId="16339" xr:uid="{00000000-0005-0000-0000-0000D63F0000}"/>
    <cellStyle name="Normal 19 14 10 2" xfId="16340" xr:uid="{00000000-0005-0000-0000-0000D73F0000}"/>
    <cellStyle name="Normal 19 14 11" xfId="16341" xr:uid="{00000000-0005-0000-0000-0000D83F0000}"/>
    <cellStyle name="Normal 19 14 11 2" xfId="16342" xr:uid="{00000000-0005-0000-0000-0000D93F0000}"/>
    <cellStyle name="Normal 19 14 12" xfId="16343" xr:uid="{00000000-0005-0000-0000-0000DA3F0000}"/>
    <cellStyle name="Normal 19 14 12 2" xfId="16344" xr:uid="{00000000-0005-0000-0000-0000DB3F0000}"/>
    <cellStyle name="Normal 19 14 13" xfId="16345" xr:uid="{00000000-0005-0000-0000-0000DC3F0000}"/>
    <cellStyle name="Normal 19 14 13 2" xfId="16346" xr:uid="{00000000-0005-0000-0000-0000DD3F0000}"/>
    <cellStyle name="Normal 19 14 14" xfId="16347" xr:uid="{00000000-0005-0000-0000-0000DE3F0000}"/>
    <cellStyle name="Normal 19 14 14 2" xfId="16348" xr:uid="{00000000-0005-0000-0000-0000DF3F0000}"/>
    <cellStyle name="Normal 19 14 15" xfId="16349" xr:uid="{00000000-0005-0000-0000-0000E03F0000}"/>
    <cellStyle name="Normal 19 14 2" xfId="16350" xr:uid="{00000000-0005-0000-0000-0000E13F0000}"/>
    <cellStyle name="Normal 19 14 2 2" xfId="16351" xr:uid="{00000000-0005-0000-0000-0000E23F0000}"/>
    <cellStyle name="Normal 19 14 3" xfId="16352" xr:uid="{00000000-0005-0000-0000-0000E33F0000}"/>
    <cellStyle name="Normal 19 14 3 2" xfId="16353" xr:uid="{00000000-0005-0000-0000-0000E43F0000}"/>
    <cellStyle name="Normal 19 14 4" xfId="16354" xr:uid="{00000000-0005-0000-0000-0000E53F0000}"/>
    <cellStyle name="Normal 19 14 4 2" xfId="16355" xr:uid="{00000000-0005-0000-0000-0000E63F0000}"/>
    <cellStyle name="Normal 19 14 5" xfId="16356" xr:uid="{00000000-0005-0000-0000-0000E73F0000}"/>
    <cellStyle name="Normal 19 14 5 2" xfId="16357" xr:uid="{00000000-0005-0000-0000-0000E83F0000}"/>
    <cellStyle name="Normal 19 14 6" xfId="16358" xr:uid="{00000000-0005-0000-0000-0000E93F0000}"/>
    <cellStyle name="Normal 19 14 6 2" xfId="16359" xr:uid="{00000000-0005-0000-0000-0000EA3F0000}"/>
    <cellStyle name="Normal 19 14 7" xfId="16360" xr:uid="{00000000-0005-0000-0000-0000EB3F0000}"/>
    <cellStyle name="Normal 19 14 7 2" xfId="16361" xr:uid="{00000000-0005-0000-0000-0000EC3F0000}"/>
    <cellStyle name="Normal 19 14 8" xfId="16362" xr:uid="{00000000-0005-0000-0000-0000ED3F0000}"/>
    <cellStyle name="Normal 19 14 8 2" xfId="16363" xr:uid="{00000000-0005-0000-0000-0000EE3F0000}"/>
    <cellStyle name="Normal 19 14 9" xfId="16364" xr:uid="{00000000-0005-0000-0000-0000EF3F0000}"/>
    <cellStyle name="Normal 19 14 9 2" xfId="16365" xr:uid="{00000000-0005-0000-0000-0000F03F0000}"/>
    <cellStyle name="Normal 19 15" xfId="16366" xr:uid="{00000000-0005-0000-0000-0000F13F0000}"/>
    <cellStyle name="Normal 19 15 10" xfId="16367" xr:uid="{00000000-0005-0000-0000-0000F23F0000}"/>
    <cellStyle name="Normal 19 15 10 2" xfId="16368" xr:uid="{00000000-0005-0000-0000-0000F33F0000}"/>
    <cellStyle name="Normal 19 15 11" xfId="16369" xr:uid="{00000000-0005-0000-0000-0000F43F0000}"/>
    <cellStyle name="Normal 19 15 11 2" xfId="16370" xr:uid="{00000000-0005-0000-0000-0000F53F0000}"/>
    <cellStyle name="Normal 19 15 12" xfId="16371" xr:uid="{00000000-0005-0000-0000-0000F63F0000}"/>
    <cellStyle name="Normal 19 15 12 2" xfId="16372" xr:uid="{00000000-0005-0000-0000-0000F73F0000}"/>
    <cellStyle name="Normal 19 15 13" xfId="16373" xr:uid="{00000000-0005-0000-0000-0000F83F0000}"/>
    <cellStyle name="Normal 19 15 13 2" xfId="16374" xr:uid="{00000000-0005-0000-0000-0000F93F0000}"/>
    <cellStyle name="Normal 19 15 14" xfId="16375" xr:uid="{00000000-0005-0000-0000-0000FA3F0000}"/>
    <cellStyle name="Normal 19 15 14 2" xfId="16376" xr:uid="{00000000-0005-0000-0000-0000FB3F0000}"/>
    <cellStyle name="Normal 19 15 15" xfId="16377" xr:uid="{00000000-0005-0000-0000-0000FC3F0000}"/>
    <cellStyle name="Normal 19 15 2" xfId="16378" xr:uid="{00000000-0005-0000-0000-0000FD3F0000}"/>
    <cellStyle name="Normal 19 15 2 2" xfId="16379" xr:uid="{00000000-0005-0000-0000-0000FE3F0000}"/>
    <cellStyle name="Normal 19 15 3" xfId="16380" xr:uid="{00000000-0005-0000-0000-0000FF3F0000}"/>
    <cellStyle name="Normal 19 15 3 2" xfId="16381" xr:uid="{00000000-0005-0000-0000-000000400000}"/>
    <cellStyle name="Normal 19 15 4" xfId="16382" xr:uid="{00000000-0005-0000-0000-000001400000}"/>
    <cellStyle name="Normal 19 15 4 2" xfId="16383" xr:uid="{00000000-0005-0000-0000-000002400000}"/>
    <cellStyle name="Normal 19 15 5" xfId="16384" xr:uid="{00000000-0005-0000-0000-000003400000}"/>
    <cellStyle name="Normal 19 15 5 2" xfId="16385" xr:uid="{00000000-0005-0000-0000-000004400000}"/>
    <cellStyle name="Normal 19 15 6" xfId="16386" xr:uid="{00000000-0005-0000-0000-000005400000}"/>
    <cellStyle name="Normal 19 15 6 2" xfId="16387" xr:uid="{00000000-0005-0000-0000-000006400000}"/>
    <cellStyle name="Normal 19 15 7" xfId="16388" xr:uid="{00000000-0005-0000-0000-000007400000}"/>
    <cellStyle name="Normal 19 15 7 2" xfId="16389" xr:uid="{00000000-0005-0000-0000-000008400000}"/>
    <cellStyle name="Normal 19 15 8" xfId="16390" xr:uid="{00000000-0005-0000-0000-000009400000}"/>
    <cellStyle name="Normal 19 15 8 2" xfId="16391" xr:uid="{00000000-0005-0000-0000-00000A400000}"/>
    <cellStyle name="Normal 19 15 9" xfId="16392" xr:uid="{00000000-0005-0000-0000-00000B400000}"/>
    <cellStyle name="Normal 19 15 9 2" xfId="16393" xr:uid="{00000000-0005-0000-0000-00000C400000}"/>
    <cellStyle name="Normal 19 16" xfId="16394" xr:uid="{00000000-0005-0000-0000-00000D400000}"/>
    <cellStyle name="Normal 19 16 10" xfId="16395" xr:uid="{00000000-0005-0000-0000-00000E400000}"/>
    <cellStyle name="Normal 19 16 10 2" xfId="16396" xr:uid="{00000000-0005-0000-0000-00000F400000}"/>
    <cellStyle name="Normal 19 16 11" xfId="16397" xr:uid="{00000000-0005-0000-0000-000010400000}"/>
    <cellStyle name="Normal 19 16 11 2" xfId="16398" xr:uid="{00000000-0005-0000-0000-000011400000}"/>
    <cellStyle name="Normal 19 16 12" xfId="16399" xr:uid="{00000000-0005-0000-0000-000012400000}"/>
    <cellStyle name="Normal 19 16 12 2" xfId="16400" xr:uid="{00000000-0005-0000-0000-000013400000}"/>
    <cellStyle name="Normal 19 16 13" xfId="16401" xr:uid="{00000000-0005-0000-0000-000014400000}"/>
    <cellStyle name="Normal 19 16 13 2" xfId="16402" xr:uid="{00000000-0005-0000-0000-000015400000}"/>
    <cellStyle name="Normal 19 16 14" xfId="16403" xr:uid="{00000000-0005-0000-0000-000016400000}"/>
    <cellStyle name="Normal 19 16 14 2" xfId="16404" xr:uid="{00000000-0005-0000-0000-000017400000}"/>
    <cellStyle name="Normal 19 16 15" xfId="16405" xr:uid="{00000000-0005-0000-0000-000018400000}"/>
    <cellStyle name="Normal 19 16 2" xfId="16406" xr:uid="{00000000-0005-0000-0000-000019400000}"/>
    <cellStyle name="Normal 19 16 2 2" xfId="16407" xr:uid="{00000000-0005-0000-0000-00001A400000}"/>
    <cellStyle name="Normal 19 16 3" xfId="16408" xr:uid="{00000000-0005-0000-0000-00001B400000}"/>
    <cellStyle name="Normal 19 16 3 2" xfId="16409" xr:uid="{00000000-0005-0000-0000-00001C400000}"/>
    <cellStyle name="Normal 19 16 4" xfId="16410" xr:uid="{00000000-0005-0000-0000-00001D400000}"/>
    <cellStyle name="Normal 19 16 4 2" xfId="16411" xr:uid="{00000000-0005-0000-0000-00001E400000}"/>
    <cellStyle name="Normal 19 16 5" xfId="16412" xr:uid="{00000000-0005-0000-0000-00001F400000}"/>
    <cellStyle name="Normal 19 16 5 2" xfId="16413" xr:uid="{00000000-0005-0000-0000-000020400000}"/>
    <cellStyle name="Normal 19 16 6" xfId="16414" xr:uid="{00000000-0005-0000-0000-000021400000}"/>
    <cellStyle name="Normal 19 16 6 2" xfId="16415" xr:uid="{00000000-0005-0000-0000-000022400000}"/>
    <cellStyle name="Normal 19 16 7" xfId="16416" xr:uid="{00000000-0005-0000-0000-000023400000}"/>
    <cellStyle name="Normal 19 16 7 2" xfId="16417" xr:uid="{00000000-0005-0000-0000-000024400000}"/>
    <cellStyle name="Normal 19 16 8" xfId="16418" xr:uid="{00000000-0005-0000-0000-000025400000}"/>
    <cellStyle name="Normal 19 16 8 2" xfId="16419" xr:uid="{00000000-0005-0000-0000-000026400000}"/>
    <cellStyle name="Normal 19 16 9" xfId="16420" xr:uid="{00000000-0005-0000-0000-000027400000}"/>
    <cellStyle name="Normal 19 16 9 2" xfId="16421" xr:uid="{00000000-0005-0000-0000-000028400000}"/>
    <cellStyle name="Normal 19 17" xfId="16422" xr:uid="{00000000-0005-0000-0000-000029400000}"/>
    <cellStyle name="Normal 19 17 10" xfId="16423" xr:uid="{00000000-0005-0000-0000-00002A400000}"/>
    <cellStyle name="Normal 19 17 10 2" xfId="16424" xr:uid="{00000000-0005-0000-0000-00002B400000}"/>
    <cellStyle name="Normal 19 17 11" xfId="16425" xr:uid="{00000000-0005-0000-0000-00002C400000}"/>
    <cellStyle name="Normal 19 17 11 2" xfId="16426" xr:uid="{00000000-0005-0000-0000-00002D400000}"/>
    <cellStyle name="Normal 19 17 12" xfId="16427" xr:uid="{00000000-0005-0000-0000-00002E400000}"/>
    <cellStyle name="Normal 19 17 12 2" xfId="16428" xr:uid="{00000000-0005-0000-0000-00002F400000}"/>
    <cellStyle name="Normal 19 17 13" xfId="16429" xr:uid="{00000000-0005-0000-0000-000030400000}"/>
    <cellStyle name="Normal 19 17 13 2" xfId="16430" xr:uid="{00000000-0005-0000-0000-000031400000}"/>
    <cellStyle name="Normal 19 17 14" xfId="16431" xr:uid="{00000000-0005-0000-0000-000032400000}"/>
    <cellStyle name="Normal 19 17 14 2" xfId="16432" xr:uid="{00000000-0005-0000-0000-000033400000}"/>
    <cellStyle name="Normal 19 17 15" xfId="16433" xr:uid="{00000000-0005-0000-0000-000034400000}"/>
    <cellStyle name="Normal 19 17 2" xfId="16434" xr:uid="{00000000-0005-0000-0000-000035400000}"/>
    <cellStyle name="Normal 19 17 2 2" xfId="16435" xr:uid="{00000000-0005-0000-0000-000036400000}"/>
    <cellStyle name="Normal 19 17 3" xfId="16436" xr:uid="{00000000-0005-0000-0000-000037400000}"/>
    <cellStyle name="Normal 19 17 3 2" xfId="16437" xr:uid="{00000000-0005-0000-0000-000038400000}"/>
    <cellStyle name="Normal 19 17 4" xfId="16438" xr:uid="{00000000-0005-0000-0000-000039400000}"/>
    <cellStyle name="Normal 19 17 4 2" xfId="16439" xr:uid="{00000000-0005-0000-0000-00003A400000}"/>
    <cellStyle name="Normal 19 17 5" xfId="16440" xr:uid="{00000000-0005-0000-0000-00003B400000}"/>
    <cellStyle name="Normal 19 17 5 2" xfId="16441" xr:uid="{00000000-0005-0000-0000-00003C400000}"/>
    <cellStyle name="Normal 19 17 6" xfId="16442" xr:uid="{00000000-0005-0000-0000-00003D400000}"/>
    <cellStyle name="Normal 19 17 6 2" xfId="16443" xr:uid="{00000000-0005-0000-0000-00003E400000}"/>
    <cellStyle name="Normal 19 17 7" xfId="16444" xr:uid="{00000000-0005-0000-0000-00003F400000}"/>
    <cellStyle name="Normal 19 17 7 2" xfId="16445" xr:uid="{00000000-0005-0000-0000-000040400000}"/>
    <cellStyle name="Normal 19 17 8" xfId="16446" xr:uid="{00000000-0005-0000-0000-000041400000}"/>
    <cellStyle name="Normal 19 17 8 2" xfId="16447" xr:uid="{00000000-0005-0000-0000-000042400000}"/>
    <cellStyle name="Normal 19 17 9" xfId="16448" xr:uid="{00000000-0005-0000-0000-000043400000}"/>
    <cellStyle name="Normal 19 17 9 2" xfId="16449" xr:uid="{00000000-0005-0000-0000-000044400000}"/>
    <cellStyle name="Normal 19 18" xfId="16450" xr:uid="{00000000-0005-0000-0000-000045400000}"/>
    <cellStyle name="Normal 19 18 2" xfId="16451" xr:uid="{00000000-0005-0000-0000-000046400000}"/>
    <cellStyle name="Normal 19 18 2 2" xfId="16452" xr:uid="{00000000-0005-0000-0000-000047400000}"/>
    <cellStyle name="Normal 19 18 2 3" xfId="16453" xr:uid="{00000000-0005-0000-0000-000048400000}"/>
    <cellStyle name="Normal 19 18 3" xfId="16454" xr:uid="{00000000-0005-0000-0000-000049400000}"/>
    <cellStyle name="Normal 19 18 3 2" xfId="16455" xr:uid="{00000000-0005-0000-0000-00004A400000}"/>
    <cellStyle name="Normal 19 18 3 3" xfId="16456" xr:uid="{00000000-0005-0000-0000-00004B400000}"/>
    <cellStyle name="Normal 19 18 4" xfId="16457" xr:uid="{00000000-0005-0000-0000-00004C400000}"/>
    <cellStyle name="Normal 19 18 5" xfId="16458" xr:uid="{00000000-0005-0000-0000-00004D400000}"/>
    <cellStyle name="Normal 19 18 6" xfId="16459" xr:uid="{00000000-0005-0000-0000-00004E400000}"/>
    <cellStyle name="Normal 19 19" xfId="16460" xr:uid="{00000000-0005-0000-0000-00004F400000}"/>
    <cellStyle name="Normal 19 19 2" xfId="16461" xr:uid="{00000000-0005-0000-0000-000050400000}"/>
    <cellStyle name="Normal 19 19 3" xfId="16462" xr:uid="{00000000-0005-0000-0000-000051400000}"/>
    <cellStyle name="Normal 19 2" xfId="16463" xr:uid="{00000000-0005-0000-0000-000052400000}"/>
    <cellStyle name="Normal 19 2 10" xfId="16464" xr:uid="{00000000-0005-0000-0000-000053400000}"/>
    <cellStyle name="Normal 19 2 10 2" xfId="16465" xr:uid="{00000000-0005-0000-0000-000054400000}"/>
    <cellStyle name="Normal 19 2 11" xfId="16466" xr:uid="{00000000-0005-0000-0000-000055400000}"/>
    <cellStyle name="Normal 19 2 11 2" xfId="16467" xr:uid="{00000000-0005-0000-0000-000056400000}"/>
    <cellStyle name="Normal 19 2 12" xfId="16468" xr:uid="{00000000-0005-0000-0000-000057400000}"/>
    <cellStyle name="Normal 19 2 12 2" xfId="16469" xr:uid="{00000000-0005-0000-0000-000058400000}"/>
    <cellStyle name="Normal 19 2 13" xfId="16470" xr:uid="{00000000-0005-0000-0000-000059400000}"/>
    <cellStyle name="Normal 19 2 13 2" xfId="16471" xr:uid="{00000000-0005-0000-0000-00005A400000}"/>
    <cellStyle name="Normal 19 2 14" xfId="16472" xr:uid="{00000000-0005-0000-0000-00005B400000}"/>
    <cellStyle name="Normal 19 2 14 2" xfId="16473" xr:uid="{00000000-0005-0000-0000-00005C400000}"/>
    <cellStyle name="Normal 19 2 15" xfId="16474" xr:uid="{00000000-0005-0000-0000-00005D400000}"/>
    <cellStyle name="Normal 19 2 2" xfId="16475" xr:uid="{00000000-0005-0000-0000-00005E400000}"/>
    <cellStyle name="Normal 19 2 2 2" xfId="16476" xr:uid="{00000000-0005-0000-0000-00005F400000}"/>
    <cellStyle name="Normal 19 2 3" xfId="16477" xr:uid="{00000000-0005-0000-0000-000060400000}"/>
    <cellStyle name="Normal 19 2 3 2" xfId="16478" xr:uid="{00000000-0005-0000-0000-000061400000}"/>
    <cellStyle name="Normal 19 2 4" xfId="16479" xr:uid="{00000000-0005-0000-0000-000062400000}"/>
    <cellStyle name="Normal 19 2 4 2" xfId="16480" xr:uid="{00000000-0005-0000-0000-000063400000}"/>
    <cellStyle name="Normal 19 2 5" xfId="16481" xr:uid="{00000000-0005-0000-0000-000064400000}"/>
    <cellStyle name="Normal 19 2 5 2" xfId="16482" xr:uid="{00000000-0005-0000-0000-000065400000}"/>
    <cellStyle name="Normal 19 2 6" xfId="16483" xr:uid="{00000000-0005-0000-0000-000066400000}"/>
    <cellStyle name="Normal 19 2 6 2" xfId="16484" xr:uid="{00000000-0005-0000-0000-000067400000}"/>
    <cellStyle name="Normal 19 2 7" xfId="16485" xr:uid="{00000000-0005-0000-0000-000068400000}"/>
    <cellStyle name="Normal 19 2 7 2" xfId="16486" xr:uid="{00000000-0005-0000-0000-000069400000}"/>
    <cellStyle name="Normal 19 2 8" xfId="16487" xr:uid="{00000000-0005-0000-0000-00006A400000}"/>
    <cellStyle name="Normal 19 2 8 2" xfId="16488" xr:uid="{00000000-0005-0000-0000-00006B400000}"/>
    <cellStyle name="Normal 19 2 9" xfId="16489" xr:uid="{00000000-0005-0000-0000-00006C400000}"/>
    <cellStyle name="Normal 19 2 9 2" xfId="16490" xr:uid="{00000000-0005-0000-0000-00006D400000}"/>
    <cellStyle name="Normal 19 20" xfId="16491" xr:uid="{00000000-0005-0000-0000-00006E400000}"/>
    <cellStyle name="Normal 19 20 2" xfId="16492" xr:uid="{00000000-0005-0000-0000-00006F400000}"/>
    <cellStyle name="Normal 19 20 3" xfId="16493" xr:uid="{00000000-0005-0000-0000-000070400000}"/>
    <cellStyle name="Normal 19 21" xfId="16494" xr:uid="{00000000-0005-0000-0000-000071400000}"/>
    <cellStyle name="Normal 19 22" xfId="16495" xr:uid="{00000000-0005-0000-0000-000072400000}"/>
    <cellStyle name="Normal 19 23" xfId="16496" xr:uid="{00000000-0005-0000-0000-000073400000}"/>
    <cellStyle name="Normal 19 3" xfId="16497" xr:uid="{00000000-0005-0000-0000-000074400000}"/>
    <cellStyle name="Normal 19 3 10" xfId="16498" xr:uid="{00000000-0005-0000-0000-000075400000}"/>
    <cellStyle name="Normal 19 3 10 2" xfId="16499" xr:uid="{00000000-0005-0000-0000-000076400000}"/>
    <cellStyle name="Normal 19 3 11" xfId="16500" xr:uid="{00000000-0005-0000-0000-000077400000}"/>
    <cellStyle name="Normal 19 3 11 2" xfId="16501" xr:uid="{00000000-0005-0000-0000-000078400000}"/>
    <cellStyle name="Normal 19 3 12" xfId="16502" xr:uid="{00000000-0005-0000-0000-000079400000}"/>
    <cellStyle name="Normal 19 3 12 2" xfId="16503" xr:uid="{00000000-0005-0000-0000-00007A400000}"/>
    <cellStyle name="Normal 19 3 13" xfId="16504" xr:uid="{00000000-0005-0000-0000-00007B400000}"/>
    <cellStyle name="Normal 19 3 13 2" xfId="16505" xr:uid="{00000000-0005-0000-0000-00007C400000}"/>
    <cellStyle name="Normal 19 3 14" xfId="16506" xr:uid="{00000000-0005-0000-0000-00007D400000}"/>
    <cellStyle name="Normal 19 3 14 2" xfId="16507" xr:uid="{00000000-0005-0000-0000-00007E400000}"/>
    <cellStyle name="Normal 19 3 15" xfId="16508" xr:uid="{00000000-0005-0000-0000-00007F400000}"/>
    <cellStyle name="Normal 19 3 2" xfId="16509" xr:uid="{00000000-0005-0000-0000-000080400000}"/>
    <cellStyle name="Normal 19 3 2 2" xfId="16510" xr:uid="{00000000-0005-0000-0000-000081400000}"/>
    <cellStyle name="Normal 19 3 3" xfId="16511" xr:uid="{00000000-0005-0000-0000-000082400000}"/>
    <cellStyle name="Normal 19 3 3 2" xfId="16512" xr:uid="{00000000-0005-0000-0000-000083400000}"/>
    <cellStyle name="Normal 19 3 4" xfId="16513" xr:uid="{00000000-0005-0000-0000-000084400000}"/>
    <cellStyle name="Normal 19 3 4 2" xfId="16514" xr:uid="{00000000-0005-0000-0000-000085400000}"/>
    <cellStyle name="Normal 19 3 5" xfId="16515" xr:uid="{00000000-0005-0000-0000-000086400000}"/>
    <cellStyle name="Normal 19 3 5 2" xfId="16516" xr:uid="{00000000-0005-0000-0000-000087400000}"/>
    <cellStyle name="Normal 19 3 6" xfId="16517" xr:uid="{00000000-0005-0000-0000-000088400000}"/>
    <cellStyle name="Normal 19 3 6 2" xfId="16518" xr:uid="{00000000-0005-0000-0000-000089400000}"/>
    <cellStyle name="Normal 19 3 7" xfId="16519" xr:uid="{00000000-0005-0000-0000-00008A400000}"/>
    <cellStyle name="Normal 19 3 7 2" xfId="16520" xr:uid="{00000000-0005-0000-0000-00008B400000}"/>
    <cellStyle name="Normal 19 3 8" xfId="16521" xr:uid="{00000000-0005-0000-0000-00008C400000}"/>
    <cellStyle name="Normal 19 3 8 2" xfId="16522" xr:uid="{00000000-0005-0000-0000-00008D400000}"/>
    <cellStyle name="Normal 19 3 9" xfId="16523" xr:uid="{00000000-0005-0000-0000-00008E400000}"/>
    <cellStyle name="Normal 19 3 9 2" xfId="16524" xr:uid="{00000000-0005-0000-0000-00008F400000}"/>
    <cellStyle name="Normal 19 4" xfId="16525" xr:uid="{00000000-0005-0000-0000-000090400000}"/>
    <cellStyle name="Normal 19 4 10" xfId="16526" xr:uid="{00000000-0005-0000-0000-000091400000}"/>
    <cellStyle name="Normal 19 4 10 2" xfId="16527" xr:uid="{00000000-0005-0000-0000-000092400000}"/>
    <cellStyle name="Normal 19 4 11" xfId="16528" xr:uid="{00000000-0005-0000-0000-000093400000}"/>
    <cellStyle name="Normal 19 4 11 2" xfId="16529" xr:uid="{00000000-0005-0000-0000-000094400000}"/>
    <cellStyle name="Normal 19 4 12" xfId="16530" xr:uid="{00000000-0005-0000-0000-000095400000}"/>
    <cellStyle name="Normal 19 4 12 2" xfId="16531" xr:uid="{00000000-0005-0000-0000-000096400000}"/>
    <cellStyle name="Normal 19 4 13" xfId="16532" xr:uid="{00000000-0005-0000-0000-000097400000}"/>
    <cellStyle name="Normal 19 4 13 2" xfId="16533" xr:uid="{00000000-0005-0000-0000-000098400000}"/>
    <cellStyle name="Normal 19 4 14" xfId="16534" xr:uid="{00000000-0005-0000-0000-000099400000}"/>
    <cellStyle name="Normal 19 4 14 2" xfId="16535" xr:uid="{00000000-0005-0000-0000-00009A400000}"/>
    <cellStyle name="Normal 19 4 15" xfId="16536" xr:uid="{00000000-0005-0000-0000-00009B400000}"/>
    <cellStyle name="Normal 19 4 2" xfId="16537" xr:uid="{00000000-0005-0000-0000-00009C400000}"/>
    <cellStyle name="Normal 19 4 2 2" xfId="16538" xr:uid="{00000000-0005-0000-0000-00009D400000}"/>
    <cellStyle name="Normal 19 4 3" xfId="16539" xr:uid="{00000000-0005-0000-0000-00009E400000}"/>
    <cellStyle name="Normal 19 4 3 2" xfId="16540" xr:uid="{00000000-0005-0000-0000-00009F400000}"/>
    <cellStyle name="Normal 19 4 4" xfId="16541" xr:uid="{00000000-0005-0000-0000-0000A0400000}"/>
    <cellStyle name="Normal 19 4 4 2" xfId="16542" xr:uid="{00000000-0005-0000-0000-0000A1400000}"/>
    <cellStyle name="Normal 19 4 5" xfId="16543" xr:uid="{00000000-0005-0000-0000-0000A2400000}"/>
    <cellStyle name="Normal 19 4 5 2" xfId="16544" xr:uid="{00000000-0005-0000-0000-0000A3400000}"/>
    <cellStyle name="Normal 19 4 6" xfId="16545" xr:uid="{00000000-0005-0000-0000-0000A4400000}"/>
    <cellStyle name="Normal 19 4 6 2" xfId="16546" xr:uid="{00000000-0005-0000-0000-0000A5400000}"/>
    <cellStyle name="Normal 19 4 7" xfId="16547" xr:uid="{00000000-0005-0000-0000-0000A6400000}"/>
    <cellStyle name="Normal 19 4 7 2" xfId="16548" xr:uid="{00000000-0005-0000-0000-0000A7400000}"/>
    <cellStyle name="Normal 19 4 8" xfId="16549" xr:uid="{00000000-0005-0000-0000-0000A8400000}"/>
    <cellStyle name="Normal 19 4 8 2" xfId="16550" xr:uid="{00000000-0005-0000-0000-0000A9400000}"/>
    <cellStyle name="Normal 19 4 9" xfId="16551" xr:uid="{00000000-0005-0000-0000-0000AA400000}"/>
    <cellStyle name="Normal 19 4 9 2" xfId="16552" xr:uid="{00000000-0005-0000-0000-0000AB400000}"/>
    <cellStyle name="Normal 19 5" xfId="16553" xr:uid="{00000000-0005-0000-0000-0000AC400000}"/>
    <cellStyle name="Normal 19 5 10" xfId="16554" xr:uid="{00000000-0005-0000-0000-0000AD400000}"/>
    <cellStyle name="Normal 19 5 10 2" xfId="16555" xr:uid="{00000000-0005-0000-0000-0000AE400000}"/>
    <cellStyle name="Normal 19 5 11" xfId="16556" xr:uid="{00000000-0005-0000-0000-0000AF400000}"/>
    <cellStyle name="Normal 19 5 11 2" xfId="16557" xr:uid="{00000000-0005-0000-0000-0000B0400000}"/>
    <cellStyle name="Normal 19 5 12" xfId="16558" xr:uid="{00000000-0005-0000-0000-0000B1400000}"/>
    <cellStyle name="Normal 19 5 12 2" xfId="16559" xr:uid="{00000000-0005-0000-0000-0000B2400000}"/>
    <cellStyle name="Normal 19 5 13" xfId="16560" xr:uid="{00000000-0005-0000-0000-0000B3400000}"/>
    <cellStyle name="Normal 19 5 13 2" xfId="16561" xr:uid="{00000000-0005-0000-0000-0000B4400000}"/>
    <cellStyle name="Normal 19 5 14" xfId="16562" xr:uid="{00000000-0005-0000-0000-0000B5400000}"/>
    <cellStyle name="Normal 19 5 14 2" xfId="16563" xr:uid="{00000000-0005-0000-0000-0000B6400000}"/>
    <cellStyle name="Normal 19 5 15" xfId="16564" xr:uid="{00000000-0005-0000-0000-0000B7400000}"/>
    <cellStyle name="Normal 19 5 2" xfId="16565" xr:uid="{00000000-0005-0000-0000-0000B8400000}"/>
    <cellStyle name="Normal 19 5 2 2" xfId="16566" xr:uid="{00000000-0005-0000-0000-0000B9400000}"/>
    <cellStyle name="Normal 19 5 3" xfId="16567" xr:uid="{00000000-0005-0000-0000-0000BA400000}"/>
    <cellStyle name="Normal 19 5 3 2" xfId="16568" xr:uid="{00000000-0005-0000-0000-0000BB400000}"/>
    <cellStyle name="Normal 19 5 4" xfId="16569" xr:uid="{00000000-0005-0000-0000-0000BC400000}"/>
    <cellStyle name="Normal 19 5 4 2" xfId="16570" xr:uid="{00000000-0005-0000-0000-0000BD400000}"/>
    <cellStyle name="Normal 19 5 5" xfId="16571" xr:uid="{00000000-0005-0000-0000-0000BE400000}"/>
    <cellStyle name="Normal 19 5 5 2" xfId="16572" xr:uid="{00000000-0005-0000-0000-0000BF400000}"/>
    <cellStyle name="Normal 19 5 6" xfId="16573" xr:uid="{00000000-0005-0000-0000-0000C0400000}"/>
    <cellStyle name="Normal 19 5 6 2" xfId="16574" xr:uid="{00000000-0005-0000-0000-0000C1400000}"/>
    <cellStyle name="Normal 19 5 7" xfId="16575" xr:uid="{00000000-0005-0000-0000-0000C2400000}"/>
    <cellStyle name="Normal 19 5 7 2" xfId="16576" xr:uid="{00000000-0005-0000-0000-0000C3400000}"/>
    <cellStyle name="Normal 19 5 8" xfId="16577" xr:uid="{00000000-0005-0000-0000-0000C4400000}"/>
    <cellStyle name="Normal 19 5 8 2" xfId="16578" xr:uid="{00000000-0005-0000-0000-0000C5400000}"/>
    <cellStyle name="Normal 19 5 9" xfId="16579" xr:uid="{00000000-0005-0000-0000-0000C6400000}"/>
    <cellStyle name="Normal 19 5 9 2" xfId="16580" xr:uid="{00000000-0005-0000-0000-0000C7400000}"/>
    <cellStyle name="Normal 19 6" xfId="16581" xr:uid="{00000000-0005-0000-0000-0000C8400000}"/>
    <cellStyle name="Normal 19 6 10" xfId="16582" xr:uid="{00000000-0005-0000-0000-0000C9400000}"/>
    <cellStyle name="Normal 19 6 10 2" xfId="16583" xr:uid="{00000000-0005-0000-0000-0000CA400000}"/>
    <cellStyle name="Normal 19 6 11" xfId="16584" xr:uid="{00000000-0005-0000-0000-0000CB400000}"/>
    <cellStyle name="Normal 19 6 11 2" xfId="16585" xr:uid="{00000000-0005-0000-0000-0000CC400000}"/>
    <cellStyle name="Normal 19 6 12" xfId="16586" xr:uid="{00000000-0005-0000-0000-0000CD400000}"/>
    <cellStyle name="Normal 19 6 12 2" xfId="16587" xr:uid="{00000000-0005-0000-0000-0000CE400000}"/>
    <cellStyle name="Normal 19 6 13" xfId="16588" xr:uid="{00000000-0005-0000-0000-0000CF400000}"/>
    <cellStyle name="Normal 19 6 13 2" xfId="16589" xr:uid="{00000000-0005-0000-0000-0000D0400000}"/>
    <cellStyle name="Normal 19 6 14" xfId="16590" xr:uid="{00000000-0005-0000-0000-0000D1400000}"/>
    <cellStyle name="Normal 19 6 14 2" xfId="16591" xr:uid="{00000000-0005-0000-0000-0000D2400000}"/>
    <cellStyle name="Normal 19 6 15" xfId="16592" xr:uid="{00000000-0005-0000-0000-0000D3400000}"/>
    <cellStyle name="Normal 19 6 2" xfId="16593" xr:uid="{00000000-0005-0000-0000-0000D4400000}"/>
    <cellStyle name="Normal 19 6 2 2" xfId="16594" xr:uid="{00000000-0005-0000-0000-0000D5400000}"/>
    <cellStyle name="Normal 19 6 3" xfId="16595" xr:uid="{00000000-0005-0000-0000-0000D6400000}"/>
    <cellStyle name="Normal 19 6 3 2" xfId="16596" xr:uid="{00000000-0005-0000-0000-0000D7400000}"/>
    <cellStyle name="Normal 19 6 4" xfId="16597" xr:uid="{00000000-0005-0000-0000-0000D8400000}"/>
    <cellStyle name="Normal 19 6 4 2" xfId="16598" xr:uid="{00000000-0005-0000-0000-0000D9400000}"/>
    <cellStyle name="Normal 19 6 5" xfId="16599" xr:uid="{00000000-0005-0000-0000-0000DA400000}"/>
    <cellStyle name="Normal 19 6 5 2" xfId="16600" xr:uid="{00000000-0005-0000-0000-0000DB400000}"/>
    <cellStyle name="Normal 19 6 6" xfId="16601" xr:uid="{00000000-0005-0000-0000-0000DC400000}"/>
    <cellStyle name="Normal 19 6 6 2" xfId="16602" xr:uid="{00000000-0005-0000-0000-0000DD400000}"/>
    <cellStyle name="Normal 19 6 7" xfId="16603" xr:uid="{00000000-0005-0000-0000-0000DE400000}"/>
    <cellStyle name="Normal 19 6 7 2" xfId="16604" xr:uid="{00000000-0005-0000-0000-0000DF400000}"/>
    <cellStyle name="Normal 19 6 8" xfId="16605" xr:uid="{00000000-0005-0000-0000-0000E0400000}"/>
    <cellStyle name="Normal 19 6 8 2" xfId="16606" xr:uid="{00000000-0005-0000-0000-0000E1400000}"/>
    <cellStyle name="Normal 19 6 9" xfId="16607" xr:uid="{00000000-0005-0000-0000-0000E2400000}"/>
    <cellStyle name="Normal 19 6 9 2" xfId="16608" xr:uid="{00000000-0005-0000-0000-0000E3400000}"/>
    <cellStyle name="Normal 19 7" xfId="16609" xr:uid="{00000000-0005-0000-0000-0000E4400000}"/>
    <cellStyle name="Normal 19 7 10" xfId="16610" xr:uid="{00000000-0005-0000-0000-0000E5400000}"/>
    <cellStyle name="Normal 19 7 10 2" xfId="16611" xr:uid="{00000000-0005-0000-0000-0000E6400000}"/>
    <cellStyle name="Normal 19 7 11" xfId="16612" xr:uid="{00000000-0005-0000-0000-0000E7400000}"/>
    <cellStyle name="Normal 19 7 11 2" xfId="16613" xr:uid="{00000000-0005-0000-0000-0000E8400000}"/>
    <cellStyle name="Normal 19 7 12" xfId="16614" xr:uid="{00000000-0005-0000-0000-0000E9400000}"/>
    <cellStyle name="Normal 19 7 12 2" xfId="16615" xr:uid="{00000000-0005-0000-0000-0000EA400000}"/>
    <cellStyle name="Normal 19 7 13" xfId="16616" xr:uid="{00000000-0005-0000-0000-0000EB400000}"/>
    <cellStyle name="Normal 19 7 13 2" xfId="16617" xr:uid="{00000000-0005-0000-0000-0000EC400000}"/>
    <cellStyle name="Normal 19 7 14" xfId="16618" xr:uid="{00000000-0005-0000-0000-0000ED400000}"/>
    <cellStyle name="Normal 19 7 14 2" xfId="16619" xr:uid="{00000000-0005-0000-0000-0000EE400000}"/>
    <cellStyle name="Normal 19 7 15" xfId="16620" xr:uid="{00000000-0005-0000-0000-0000EF400000}"/>
    <cellStyle name="Normal 19 7 2" xfId="16621" xr:uid="{00000000-0005-0000-0000-0000F0400000}"/>
    <cellStyle name="Normal 19 7 2 2" xfId="16622" xr:uid="{00000000-0005-0000-0000-0000F1400000}"/>
    <cellStyle name="Normal 19 7 3" xfId="16623" xr:uid="{00000000-0005-0000-0000-0000F2400000}"/>
    <cellStyle name="Normal 19 7 3 2" xfId="16624" xr:uid="{00000000-0005-0000-0000-0000F3400000}"/>
    <cellStyle name="Normal 19 7 4" xfId="16625" xr:uid="{00000000-0005-0000-0000-0000F4400000}"/>
    <cellStyle name="Normal 19 7 4 2" xfId="16626" xr:uid="{00000000-0005-0000-0000-0000F5400000}"/>
    <cellStyle name="Normal 19 7 5" xfId="16627" xr:uid="{00000000-0005-0000-0000-0000F6400000}"/>
    <cellStyle name="Normal 19 7 5 2" xfId="16628" xr:uid="{00000000-0005-0000-0000-0000F7400000}"/>
    <cellStyle name="Normal 19 7 6" xfId="16629" xr:uid="{00000000-0005-0000-0000-0000F8400000}"/>
    <cellStyle name="Normal 19 7 6 2" xfId="16630" xr:uid="{00000000-0005-0000-0000-0000F9400000}"/>
    <cellStyle name="Normal 19 7 7" xfId="16631" xr:uid="{00000000-0005-0000-0000-0000FA400000}"/>
    <cellStyle name="Normal 19 7 7 2" xfId="16632" xr:uid="{00000000-0005-0000-0000-0000FB400000}"/>
    <cellStyle name="Normal 19 7 8" xfId="16633" xr:uid="{00000000-0005-0000-0000-0000FC400000}"/>
    <cellStyle name="Normal 19 7 8 2" xfId="16634" xr:uid="{00000000-0005-0000-0000-0000FD400000}"/>
    <cellStyle name="Normal 19 7 9" xfId="16635" xr:uid="{00000000-0005-0000-0000-0000FE400000}"/>
    <cellStyle name="Normal 19 7 9 2" xfId="16636" xr:uid="{00000000-0005-0000-0000-0000FF400000}"/>
    <cellStyle name="Normal 19 8" xfId="16637" xr:uid="{00000000-0005-0000-0000-000000410000}"/>
    <cellStyle name="Normal 19 8 10" xfId="16638" xr:uid="{00000000-0005-0000-0000-000001410000}"/>
    <cellStyle name="Normal 19 8 10 2" xfId="16639" xr:uid="{00000000-0005-0000-0000-000002410000}"/>
    <cellStyle name="Normal 19 8 11" xfId="16640" xr:uid="{00000000-0005-0000-0000-000003410000}"/>
    <cellStyle name="Normal 19 8 11 2" xfId="16641" xr:uid="{00000000-0005-0000-0000-000004410000}"/>
    <cellStyle name="Normal 19 8 12" xfId="16642" xr:uid="{00000000-0005-0000-0000-000005410000}"/>
    <cellStyle name="Normal 19 8 12 2" xfId="16643" xr:uid="{00000000-0005-0000-0000-000006410000}"/>
    <cellStyle name="Normal 19 8 13" xfId="16644" xr:uid="{00000000-0005-0000-0000-000007410000}"/>
    <cellStyle name="Normal 19 8 13 2" xfId="16645" xr:uid="{00000000-0005-0000-0000-000008410000}"/>
    <cellStyle name="Normal 19 8 14" xfId="16646" xr:uid="{00000000-0005-0000-0000-000009410000}"/>
    <cellStyle name="Normal 19 8 14 2" xfId="16647" xr:uid="{00000000-0005-0000-0000-00000A410000}"/>
    <cellStyle name="Normal 19 8 15" xfId="16648" xr:uid="{00000000-0005-0000-0000-00000B410000}"/>
    <cellStyle name="Normal 19 8 2" xfId="16649" xr:uid="{00000000-0005-0000-0000-00000C410000}"/>
    <cellStyle name="Normal 19 8 2 2" xfId="16650" xr:uid="{00000000-0005-0000-0000-00000D410000}"/>
    <cellStyle name="Normal 19 8 3" xfId="16651" xr:uid="{00000000-0005-0000-0000-00000E410000}"/>
    <cellStyle name="Normal 19 8 3 2" xfId="16652" xr:uid="{00000000-0005-0000-0000-00000F410000}"/>
    <cellStyle name="Normal 19 8 4" xfId="16653" xr:uid="{00000000-0005-0000-0000-000010410000}"/>
    <cellStyle name="Normal 19 8 4 2" xfId="16654" xr:uid="{00000000-0005-0000-0000-000011410000}"/>
    <cellStyle name="Normal 19 8 5" xfId="16655" xr:uid="{00000000-0005-0000-0000-000012410000}"/>
    <cellStyle name="Normal 19 8 5 2" xfId="16656" xr:uid="{00000000-0005-0000-0000-000013410000}"/>
    <cellStyle name="Normal 19 8 6" xfId="16657" xr:uid="{00000000-0005-0000-0000-000014410000}"/>
    <cellStyle name="Normal 19 8 6 2" xfId="16658" xr:uid="{00000000-0005-0000-0000-000015410000}"/>
    <cellStyle name="Normal 19 8 7" xfId="16659" xr:uid="{00000000-0005-0000-0000-000016410000}"/>
    <cellStyle name="Normal 19 8 7 2" xfId="16660" xr:uid="{00000000-0005-0000-0000-000017410000}"/>
    <cellStyle name="Normal 19 8 8" xfId="16661" xr:uid="{00000000-0005-0000-0000-000018410000}"/>
    <cellStyle name="Normal 19 8 8 2" xfId="16662" xr:uid="{00000000-0005-0000-0000-000019410000}"/>
    <cellStyle name="Normal 19 8 9" xfId="16663" xr:uid="{00000000-0005-0000-0000-00001A410000}"/>
    <cellStyle name="Normal 19 8 9 2" xfId="16664" xr:uid="{00000000-0005-0000-0000-00001B410000}"/>
    <cellStyle name="Normal 19 9" xfId="16665" xr:uid="{00000000-0005-0000-0000-00001C410000}"/>
    <cellStyle name="Normal 19 9 10" xfId="16666" xr:uid="{00000000-0005-0000-0000-00001D410000}"/>
    <cellStyle name="Normal 19 9 10 2" xfId="16667" xr:uid="{00000000-0005-0000-0000-00001E410000}"/>
    <cellStyle name="Normal 19 9 11" xfId="16668" xr:uid="{00000000-0005-0000-0000-00001F410000}"/>
    <cellStyle name="Normal 19 9 11 2" xfId="16669" xr:uid="{00000000-0005-0000-0000-000020410000}"/>
    <cellStyle name="Normal 19 9 12" xfId="16670" xr:uid="{00000000-0005-0000-0000-000021410000}"/>
    <cellStyle name="Normal 19 9 12 2" xfId="16671" xr:uid="{00000000-0005-0000-0000-000022410000}"/>
    <cellStyle name="Normal 19 9 13" xfId="16672" xr:uid="{00000000-0005-0000-0000-000023410000}"/>
    <cellStyle name="Normal 19 9 13 2" xfId="16673" xr:uid="{00000000-0005-0000-0000-000024410000}"/>
    <cellStyle name="Normal 19 9 14" xfId="16674" xr:uid="{00000000-0005-0000-0000-000025410000}"/>
    <cellStyle name="Normal 19 9 14 2" xfId="16675" xr:uid="{00000000-0005-0000-0000-000026410000}"/>
    <cellStyle name="Normal 19 9 15" xfId="16676" xr:uid="{00000000-0005-0000-0000-000027410000}"/>
    <cellStyle name="Normal 19 9 2" xfId="16677" xr:uid="{00000000-0005-0000-0000-000028410000}"/>
    <cellStyle name="Normal 19 9 2 2" xfId="16678" xr:uid="{00000000-0005-0000-0000-000029410000}"/>
    <cellStyle name="Normal 19 9 3" xfId="16679" xr:uid="{00000000-0005-0000-0000-00002A410000}"/>
    <cellStyle name="Normal 19 9 3 2" xfId="16680" xr:uid="{00000000-0005-0000-0000-00002B410000}"/>
    <cellStyle name="Normal 19 9 4" xfId="16681" xr:uid="{00000000-0005-0000-0000-00002C410000}"/>
    <cellStyle name="Normal 19 9 4 2" xfId="16682" xr:uid="{00000000-0005-0000-0000-00002D410000}"/>
    <cellStyle name="Normal 19 9 5" xfId="16683" xr:uid="{00000000-0005-0000-0000-00002E410000}"/>
    <cellStyle name="Normal 19 9 5 2" xfId="16684" xr:uid="{00000000-0005-0000-0000-00002F410000}"/>
    <cellStyle name="Normal 19 9 6" xfId="16685" xr:uid="{00000000-0005-0000-0000-000030410000}"/>
    <cellStyle name="Normal 19 9 6 2" xfId="16686" xr:uid="{00000000-0005-0000-0000-000031410000}"/>
    <cellStyle name="Normal 19 9 7" xfId="16687" xr:uid="{00000000-0005-0000-0000-000032410000}"/>
    <cellStyle name="Normal 19 9 7 2" xfId="16688" xr:uid="{00000000-0005-0000-0000-000033410000}"/>
    <cellStyle name="Normal 19 9 8" xfId="16689" xr:uid="{00000000-0005-0000-0000-000034410000}"/>
    <cellStyle name="Normal 19 9 8 2" xfId="16690" xr:uid="{00000000-0005-0000-0000-000035410000}"/>
    <cellStyle name="Normal 19 9 9" xfId="16691" xr:uid="{00000000-0005-0000-0000-000036410000}"/>
    <cellStyle name="Normal 19 9 9 2" xfId="16692" xr:uid="{00000000-0005-0000-0000-000037410000}"/>
    <cellStyle name="Normal 2" xfId="16693" xr:uid="{00000000-0005-0000-0000-000038410000}"/>
    <cellStyle name="Normal 2 10" xfId="16694" xr:uid="{00000000-0005-0000-0000-000039410000}"/>
    <cellStyle name="Normal 2 10 10" xfId="16695" xr:uid="{00000000-0005-0000-0000-00003A410000}"/>
    <cellStyle name="Normal 2 10 11" xfId="16696" xr:uid="{00000000-0005-0000-0000-00003B410000}"/>
    <cellStyle name="Normal 2 10 12" xfId="16697" xr:uid="{00000000-0005-0000-0000-00003C410000}"/>
    <cellStyle name="Normal 2 10 2" xfId="16698" xr:uid="{00000000-0005-0000-0000-00003D410000}"/>
    <cellStyle name="Normal 2 10 2 2" xfId="16699" xr:uid="{00000000-0005-0000-0000-00003E410000}"/>
    <cellStyle name="Normal 2 10 2 2 2" xfId="16700" xr:uid="{00000000-0005-0000-0000-00003F410000}"/>
    <cellStyle name="Normal 2 10 2 2 2 2" xfId="16701" xr:uid="{00000000-0005-0000-0000-000040410000}"/>
    <cellStyle name="Normal 2 10 2 2 2 3" xfId="16702" xr:uid="{00000000-0005-0000-0000-000041410000}"/>
    <cellStyle name="Normal 2 10 2 2 3" xfId="16703" xr:uid="{00000000-0005-0000-0000-000042410000}"/>
    <cellStyle name="Normal 2 10 2 2 3 2" xfId="16704" xr:uid="{00000000-0005-0000-0000-000043410000}"/>
    <cellStyle name="Normal 2 10 2 2 3 3" xfId="16705" xr:uid="{00000000-0005-0000-0000-000044410000}"/>
    <cellStyle name="Normal 2 10 2 2 4" xfId="16706" xr:uid="{00000000-0005-0000-0000-000045410000}"/>
    <cellStyle name="Normal 2 10 2 2 5" xfId="16707" xr:uid="{00000000-0005-0000-0000-000046410000}"/>
    <cellStyle name="Normal 2 10 2 2 6" xfId="16708" xr:uid="{00000000-0005-0000-0000-000047410000}"/>
    <cellStyle name="Normal 2 10 2 3" xfId="16709" xr:uid="{00000000-0005-0000-0000-000048410000}"/>
    <cellStyle name="Normal 2 10 2 3 2" xfId="16710" xr:uid="{00000000-0005-0000-0000-000049410000}"/>
    <cellStyle name="Normal 2 10 2 3 3" xfId="16711" xr:uid="{00000000-0005-0000-0000-00004A410000}"/>
    <cellStyle name="Normal 2 10 2 4" xfId="16712" xr:uid="{00000000-0005-0000-0000-00004B410000}"/>
    <cellStyle name="Normal 2 10 2 4 2" xfId="16713" xr:uid="{00000000-0005-0000-0000-00004C410000}"/>
    <cellStyle name="Normal 2 10 2 4 3" xfId="16714" xr:uid="{00000000-0005-0000-0000-00004D410000}"/>
    <cellStyle name="Normal 2 10 2 5" xfId="16715" xr:uid="{00000000-0005-0000-0000-00004E410000}"/>
    <cellStyle name="Normal 2 10 2 5 2" xfId="16716" xr:uid="{00000000-0005-0000-0000-00004F410000}"/>
    <cellStyle name="Normal 2 10 2 5 3" xfId="16717" xr:uid="{00000000-0005-0000-0000-000050410000}"/>
    <cellStyle name="Normal 2 10 2 6" xfId="16718" xr:uid="{00000000-0005-0000-0000-000051410000}"/>
    <cellStyle name="Normal 2 10 2 7" xfId="16719" xr:uid="{00000000-0005-0000-0000-000052410000}"/>
    <cellStyle name="Normal 2 10 2 8" xfId="16720" xr:uid="{00000000-0005-0000-0000-000053410000}"/>
    <cellStyle name="Normal 2 10 3" xfId="16721" xr:uid="{00000000-0005-0000-0000-000054410000}"/>
    <cellStyle name="Normal 2 10 3 2" xfId="16722" xr:uid="{00000000-0005-0000-0000-000055410000}"/>
    <cellStyle name="Normal 2 10 3 2 2" xfId="16723" xr:uid="{00000000-0005-0000-0000-000056410000}"/>
    <cellStyle name="Normal 2 10 3 2 2 2" xfId="16724" xr:uid="{00000000-0005-0000-0000-000057410000}"/>
    <cellStyle name="Normal 2 10 3 2 2 3" xfId="16725" xr:uid="{00000000-0005-0000-0000-000058410000}"/>
    <cellStyle name="Normal 2 10 3 2 3" xfId="16726" xr:uid="{00000000-0005-0000-0000-000059410000}"/>
    <cellStyle name="Normal 2 10 3 2 3 2" xfId="16727" xr:uid="{00000000-0005-0000-0000-00005A410000}"/>
    <cellStyle name="Normal 2 10 3 2 3 3" xfId="16728" xr:uid="{00000000-0005-0000-0000-00005B410000}"/>
    <cellStyle name="Normal 2 10 3 2 4" xfId="16729" xr:uid="{00000000-0005-0000-0000-00005C410000}"/>
    <cellStyle name="Normal 2 10 3 2 5" xfId="16730" xr:uid="{00000000-0005-0000-0000-00005D410000}"/>
    <cellStyle name="Normal 2 10 3 2 6" xfId="16731" xr:uid="{00000000-0005-0000-0000-00005E410000}"/>
    <cellStyle name="Normal 2 10 3 3" xfId="16732" xr:uid="{00000000-0005-0000-0000-00005F410000}"/>
    <cellStyle name="Normal 2 10 3 3 2" xfId="16733" xr:uid="{00000000-0005-0000-0000-000060410000}"/>
    <cellStyle name="Normal 2 10 3 3 3" xfId="16734" xr:uid="{00000000-0005-0000-0000-000061410000}"/>
    <cellStyle name="Normal 2 10 3 4" xfId="16735" xr:uid="{00000000-0005-0000-0000-000062410000}"/>
    <cellStyle name="Normal 2 10 3 4 2" xfId="16736" xr:uid="{00000000-0005-0000-0000-000063410000}"/>
    <cellStyle name="Normal 2 10 3 4 3" xfId="16737" xr:uid="{00000000-0005-0000-0000-000064410000}"/>
    <cellStyle name="Normal 2 10 3 5" xfId="16738" xr:uid="{00000000-0005-0000-0000-000065410000}"/>
    <cellStyle name="Normal 2 10 3 5 2" xfId="16739" xr:uid="{00000000-0005-0000-0000-000066410000}"/>
    <cellStyle name="Normal 2 10 3 5 3" xfId="16740" xr:uid="{00000000-0005-0000-0000-000067410000}"/>
    <cellStyle name="Normal 2 10 3 6" xfId="16741" xr:uid="{00000000-0005-0000-0000-000068410000}"/>
    <cellStyle name="Normal 2 10 3 7" xfId="16742" xr:uid="{00000000-0005-0000-0000-000069410000}"/>
    <cellStyle name="Normal 2 10 3 8" xfId="16743" xr:uid="{00000000-0005-0000-0000-00006A410000}"/>
    <cellStyle name="Normal 2 10 4" xfId="16744" xr:uid="{00000000-0005-0000-0000-00006B410000}"/>
    <cellStyle name="Normal 2 10 4 2" xfId="16745" xr:uid="{00000000-0005-0000-0000-00006C410000}"/>
    <cellStyle name="Normal 2 10 4 2 2" xfId="16746" xr:uid="{00000000-0005-0000-0000-00006D410000}"/>
    <cellStyle name="Normal 2 10 4 2 2 2" xfId="16747" xr:uid="{00000000-0005-0000-0000-00006E410000}"/>
    <cellStyle name="Normal 2 10 4 2 2 2 2" xfId="16748" xr:uid="{00000000-0005-0000-0000-00006F410000}"/>
    <cellStyle name="Normal 2 10 4 2 2 2 3" xfId="16749" xr:uid="{00000000-0005-0000-0000-000070410000}"/>
    <cellStyle name="Normal 2 10 4 2 2 3" xfId="16750" xr:uid="{00000000-0005-0000-0000-000071410000}"/>
    <cellStyle name="Normal 2 10 4 2 2 3 2" xfId="16751" xr:uid="{00000000-0005-0000-0000-000072410000}"/>
    <cellStyle name="Normal 2 10 4 2 2 3 3" xfId="16752" xr:uid="{00000000-0005-0000-0000-000073410000}"/>
    <cellStyle name="Normal 2 10 4 2 2 4" xfId="16753" xr:uid="{00000000-0005-0000-0000-000074410000}"/>
    <cellStyle name="Normal 2 10 4 2 2 5" xfId="16754" xr:uid="{00000000-0005-0000-0000-000075410000}"/>
    <cellStyle name="Normal 2 10 4 2 2 6" xfId="16755" xr:uid="{00000000-0005-0000-0000-000076410000}"/>
    <cellStyle name="Normal 2 10 4 2 3" xfId="16756" xr:uid="{00000000-0005-0000-0000-000077410000}"/>
    <cellStyle name="Normal 2 10 4 2 3 2" xfId="16757" xr:uid="{00000000-0005-0000-0000-000078410000}"/>
    <cellStyle name="Normal 2 10 4 2 3 3" xfId="16758" xr:uid="{00000000-0005-0000-0000-000079410000}"/>
    <cellStyle name="Normal 2 10 4 2 4" xfId="16759" xr:uid="{00000000-0005-0000-0000-00007A410000}"/>
    <cellStyle name="Normal 2 10 4 2 4 2" xfId="16760" xr:uid="{00000000-0005-0000-0000-00007B410000}"/>
    <cellStyle name="Normal 2 10 4 2 4 3" xfId="16761" xr:uid="{00000000-0005-0000-0000-00007C410000}"/>
    <cellStyle name="Normal 2 10 4 2 5" xfId="16762" xr:uid="{00000000-0005-0000-0000-00007D410000}"/>
    <cellStyle name="Normal 2 10 4 2 6" xfId="16763" xr:uid="{00000000-0005-0000-0000-00007E410000}"/>
    <cellStyle name="Normal 2 10 4 2 7" xfId="16764" xr:uid="{00000000-0005-0000-0000-00007F410000}"/>
    <cellStyle name="Normal 2 10 4 3" xfId="16765" xr:uid="{00000000-0005-0000-0000-000080410000}"/>
    <cellStyle name="Normal 2 10 4 3 2" xfId="16766" xr:uid="{00000000-0005-0000-0000-000081410000}"/>
    <cellStyle name="Normal 2 10 4 3 2 2" xfId="16767" xr:uid="{00000000-0005-0000-0000-000082410000}"/>
    <cellStyle name="Normal 2 10 4 3 2 3" xfId="16768" xr:uid="{00000000-0005-0000-0000-000083410000}"/>
    <cellStyle name="Normal 2 10 4 3 3" xfId="16769" xr:uid="{00000000-0005-0000-0000-000084410000}"/>
    <cellStyle name="Normal 2 10 4 3 3 2" xfId="16770" xr:uid="{00000000-0005-0000-0000-000085410000}"/>
    <cellStyle name="Normal 2 10 4 3 3 3" xfId="16771" xr:uid="{00000000-0005-0000-0000-000086410000}"/>
    <cellStyle name="Normal 2 10 4 3 4" xfId="16772" xr:uid="{00000000-0005-0000-0000-000087410000}"/>
    <cellStyle name="Normal 2 10 4 3 5" xfId="16773" xr:uid="{00000000-0005-0000-0000-000088410000}"/>
    <cellStyle name="Normal 2 10 4 3 6" xfId="16774" xr:uid="{00000000-0005-0000-0000-000089410000}"/>
    <cellStyle name="Normal 2 10 4 4" xfId="16775" xr:uid="{00000000-0005-0000-0000-00008A410000}"/>
    <cellStyle name="Normal 2 10 4 4 2" xfId="16776" xr:uid="{00000000-0005-0000-0000-00008B410000}"/>
    <cellStyle name="Normal 2 10 4 4 3" xfId="16777" xr:uid="{00000000-0005-0000-0000-00008C410000}"/>
    <cellStyle name="Normal 2 10 4 5" xfId="16778" xr:uid="{00000000-0005-0000-0000-00008D410000}"/>
    <cellStyle name="Normal 2 10 4 5 2" xfId="16779" xr:uid="{00000000-0005-0000-0000-00008E410000}"/>
    <cellStyle name="Normal 2 10 4 5 3" xfId="16780" xr:uid="{00000000-0005-0000-0000-00008F410000}"/>
    <cellStyle name="Normal 2 10 4 6" xfId="16781" xr:uid="{00000000-0005-0000-0000-000090410000}"/>
    <cellStyle name="Normal 2 10 4 6 2" xfId="16782" xr:uid="{00000000-0005-0000-0000-000091410000}"/>
    <cellStyle name="Normal 2 10 4 6 3" xfId="16783" xr:uid="{00000000-0005-0000-0000-000092410000}"/>
    <cellStyle name="Normal 2 10 4 7" xfId="16784" xr:uid="{00000000-0005-0000-0000-000093410000}"/>
    <cellStyle name="Normal 2 10 4 8" xfId="16785" xr:uid="{00000000-0005-0000-0000-000094410000}"/>
    <cellStyle name="Normal 2 10 4 9" xfId="16786" xr:uid="{00000000-0005-0000-0000-000095410000}"/>
    <cellStyle name="Normal 2 10 5" xfId="16787" xr:uid="{00000000-0005-0000-0000-000096410000}"/>
    <cellStyle name="Normal 2 10 5 2" xfId="16788" xr:uid="{00000000-0005-0000-0000-000097410000}"/>
    <cellStyle name="Normal 2 10 5 2 2" xfId="16789" xr:uid="{00000000-0005-0000-0000-000098410000}"/>
    <cellStyle name="Normal 2 10 5 2 2 2" xfId="16790" xr:uid="{00000000-0005-0000-0000-000099410000}"/>
    <cellStyle name="Normal 2 10 5 2 2 3" xfId="16791" xr:uid="{00000000-0005-0000-0000-00009A410000}"/>
    <cellStyle name="Normal 2 10 5 2 3" xfId="16792" xr:uid="{00000000-0005-0000-0000-00009B410000}"/>
    <cellStyle name="Normal 2 10 5 2 3 2" xfId="16793" xr:uid="{00000000-0005-0000-0000-00009C410000}"/>
    <cellStyle name="Normal 2 10 5 2 3 3" xfId="16794" xr:uid="{00000000-0005-0000-0000-00009D410000}"/>
    <cellStyle name="Normal 2 10 5 2 4" xfId="16795" xr:uid="{00000000-0005-0000-0000-00009E410000}"/>
    <cellStyle name="Normal 2 10 5 2 5" xfId="16796" xr:uid="{00000000-0005-0000-0000-00009F410000}"/>
    <cellStyle name="Normal 2 10 5 2 6" xfId="16797" xr:uid="{00000000-0005-0000-0000-0000A0410000}"/>
    <cellStyle name="Normal 2 10 5 3" xfId="16798" xr:uid="{00000000-0005-0000-0000-0000A1410000}"/>
    <cellStyle name="Normal 2 10 5 3 2" xfId="16799" xr:uid="{00000000-0005-0000-0000-0000A2410000}"/>
    <cellStyle name="Normal 2 10 5 3 3" xfId="16800" xr:uid="{00000000-0005-0000-0000-0000A3410000}"/>
    <cellStyle name="Normal 2 10 5 4" xfId="16801" xr:uid="{00000000-0005-0000-0000-0000A4410000}"/>
    <cellStyle name="Normal 2 10 5 4 2" xfId="16802" xr:uid="{00000000-0005-0000-0000-0000A5410000}"/>
    <cellStyle name="Normal 2 10 5 4 3" xfId="16803" xr:uid="{00000000-0005-0000-0000-0000A6410000}"/>
    <cellStyle name="Normal 2 10 5 5" xfId="16804" xr:uid="{00000000-0005-0000-0000-0000A7410000}"/>
    <cellStyle name="Normal 2 10 5 6" xfId="16805" xr:uid="{00000000-0005-0000-0000-0000A8410000}"/>
    <cellStyle name="Normal 2 10 5 7" xfId="16806" xr:uid="{00000000-0005-0000-0000-0000A9410000}"/>
    <cellStyle name="Normal 2 10 6" xfId="16807" xr:uid="{00000000-0005-0000-0000-0000AA410000}"/>
    <cellStyle name="Normal 2 10 6 2" xfId="16808" xr:uid="{00000000-0005-0000-0000-0000AB410000}"/>
    <cellStyle name="Normal 2 10 6 2 2" xfId="16809" xr:uid="{00000000-0005-0000-0000-0000AC410000}"/>
    <cellStyle name="Normal 2 10 6 2 3" xfId="16810" xr:uid="{00000000-0005-0000-0000-0000AD410000}"/>
    <cellStyle name="Normal 2 10 6 3" xfId="16811" xr:uid="{00000000-0005-0000-0000-0000AE410000}"/>
    <cellStyle name="Normal 2 10 6 3 2" xfId="16812" xr:uid="{00000000-0005-0000-0000-0000AF410000}"/>
    <cellStyle name="Normal 2 10 6 3 3" xfId="16813" xr:uid="{00000000-0005-0000-0000-0000B0410000}"/>
    <cellStyle name="Normal 2 10 6 4" xfId="16814" xr:uid="{00000000-0005-0000-0000-0000B1410000}"/>
    <cellStyle name="Normal 2 10 6 5" xfId="16815" xr:uid="{00000000-0005-0000-0000-0000B2410000}"/>
    <cellStyle name="Normal 2 10 6 6" xfId="16816" xr:uid="{00000000-0005-0000-0000-0000B3410000}"/>
    <cellStyle name="Normal 2 10 7" xfId="16817" xr:uid="{00000000-0005-0000-0000-0000B4410000}"/>
    <cellStyle name="Normal 2 10 7 2" xfId="16818" xr:uid="{00000000-0005-0000-0000-0000B5410000}"/>
    <cellStyle name="Normal 2 10 7 3" xfId="16819" xr:uid="{00000000-0005-0000-0000-0000B6410000}"/>
    <cellStyle name="Normal 2 10 8" xfId="16820" xr:uid="{00000000-0005-0000-0000-0000B7410000}"/>
    <cellStyle name="Normal 2 10 8 2" xfId="16821" xr:uid="{00000000-0005-0000-0000-0000B8410000}"/>
    <cellStyle name="Normal 2 10 8 3" xfId="16822" xr:uid="{00000000-0005-0000-0000-0000B9410000}"/>
    <cellStyle name="Normal 2 10 9" xfId="16823" xr:uid="{00000000-0005-0000-0000-0000BA410000}"/>
    <cellStyle name="Normal 2 10 9 2" xfId="16824" xr:uid="{00000000-0005-0000-0000-0000BB410000}"/>
    <cellStyle name="Normal 2 10 9 3" xfId="16825" xr:uid="{00000000-0005-0000-0000-0000BC410000}"/>
    <cellStyle name="Normal 2 100" xfId="16826" xr:uid="{00000000-0005-0000-0000-0000BD410000}"/>
    <cellStyle name="Normal 2 100 2" xfId="16827" xr:uid="{00000000-0005-0000-0000-0000BE410000}"/>
    <cellStyle name="Normal 2 100 3" xfId="16828" xr:uid="{00000000-0005-0000-0000-0000BF410000}"/>
    <cellStyle name="Normal 2 101" xfId="16829" xr:uid="{00000000-0005-0000-0000-0000C0410000}"/>
    <cellStyle name="Normal 2 101 2" xfId="16830" xr:uid="{00000000-0005-0000-0000-0000C1410000}"/>
    <cellStyle name="Normal 2 102" xfId="16831" xr:uid="{00000000-0005-0000-0000-0000C2410000}"/>
    <cellStyle name="Normal 2 103" xfId="16832" xr:uid="{00000000-0005-0000-0000-0000C3410000}"/>
    <cellStyle name="Normal 2 104" xfId="16833" xr:uid="{00000000-0005-0000-0000-0000C4410000}"/>
    <cellStyle name="Normal 2 11" xfId="16834" xr:uid="{00000000-0005-0000-0000-0000C5410000}"/>
    <cellStyle name="Normal 2 11 2" xfId="16835" xr:uid="{00000000-0005-0000-0000-0000C6410000}"/>
    <cellStyle name="Normal 2 11 2 2" xfId="16836" xr:uid="{00000000-0005-0000-0000-0000C7410000}"/>
    <cellStyle name="Normal 2 11 2 2 2" xfId="16837" xr:uid="{00000000-0005-0000-0000-0000C8410000}"/>
    <cellStyle name="Normal 2 11 2 2 3" xfId="16838" xr:uid="{00000000-0005-0000-0000-0000C9410000}"/>
    <cellStyle name="Normal 2 11 2 3" xfId="16839" xr:uid="{00000000-0005-0000-0000-0000CA410000}"/>
    <cellStyle name="Normal 2 11 2 3 2" xfId="16840" xr:uid="{00000000-0005-0000-0000-0000CB410000}"/>
    <cellStyle name="Normal 2 11 2 3 3" xfId="16841" xr:uid="{00000000-0005-0000-0000-0000CC410000}"/>
    <cellStyle name="Normal 2 11 2 4" xfId="16842" xr:uid="{00000000-0005-0000-0000-0000CD410000}"/>
    <cellStyle name="Normal 2 11 2 5" xfId="16843" xr:uid="{00000000-0005-0000-0000-0000CE410000}"/>
    <cellStyle name="Normal 2 11 2 6" xfId="16844" xr:uid="{00000000-0005-0000-0000-0000CF410000}"/>
    <cellStyle name="Normal 2 11 3" xfId="16845" xr:uid="{00000000-0005-0000-0000-0000D0410000}"/>
    <cellStyle name="Normal 2 11 3 2" xfId="16846" xr:uid="{00000000-0005-0000-0000-0000D1410000}"/>
    <cellStyle name="Normal 2 11 3 3" xfId="16847" xr:uid="{00000000-0005-0000-0000-0000D2410000}"/>
    <cellStyle name="Normal 2 11 4" xfId="16848" xr:uid="{00000000-0005-0000-0000-0000D3410000}"/>
    <cellStyle name="Normal 2 11 4 2" xfId="16849" xr:uid="{00000000-0005-0000-0000-0000D4410000}"/>
    <cellStyle name="Normal 2 11 4 3" xfId="16850" xr:uid="{00000000-0005-0000-0000-0000D5410000}"/>
    <cellStyle name="Normal 2 11 5" xfId="16851" xr:uid="{00000000-0005-0000-0000-0000D6410000}"/>
    <cellStyle name="Normal 2 11 5 2" xfId="16852" xr:uid="{00000000-0005-0000-0000-0000D7410000}"/>
    <cellStyle name="Normal 2 11 5 3" xfId="16853" xr:uid="{00000000-0005-0000-0000-0000D8410000}"/>
    <cellStyle name="Normal 2 11 6" xfId="16854" xr:uid="{00000000-0005-0000-0000-0000D9410000}"/>
    <cellStyle name="Normal 2 11 7" xfId="16855" xr:uid="{00000000-0005-0000-0000-0000DA410000}"/>
    <cellStyle name="Normal 2 11 8" xfId="16856" xr:uid="{00000000-0005-0000-0000-0000DB410000}"/>
    <cellStyle name="Normal 2 12" xfId="16857" xr:uid="{00000000-0005-0000-0000-0000DC410000}"/>
    <cellStyle name="Normal 2 12 2" xfId="16858" xr:uid="{00000000-0005-0000-0000-0000DD410000}"/>
    <cellStyle name="Normal 2 12 2 2" xfId="16859" xr:uid="{00000000-0005-0000-0000-0000DE410000}"/>
    <cellStyle name="Normal 2 12 2 2 2" xfId="16860" xr:uid="{00000000-0005-0000-0000-0000DF410000}"/>
    <cellStyle name="Normal 2 12 2 2 2 2" xfId="16861" xr:uid="{00000000-0005-0000-0000-0000E0410000}"/>
    <cellStyle name="Normal 2 12 2 2 2 3" xfId="16862" xr:uid="{00000000-0005-0000-0000-0000E1410000}"/>
    <cellStyle name="Normal 2 12 2 2 3" xfId="16863" xr:uid="{00000000-0005-0000-0000-0000E2410000}"/>
    <cellStyle name="Normal 2 12 2 2 3 2" xfId="16864" xr:uid="{00000000-0005-0000-0000-0000E3410000}"/>
    <cellStyle name="Normal 2 12 2 2 3 3" xfId="16865" xr:uid="{00000000-0005-0000-0000-0000E4410000}"/>
    <cellStyle name="Normal 2 12 2 2 4" xfId="16866" xr:uid="{00000000-0005-0000-0000-0000E5410000}"/>
    <cellStyle name="Normal 2 12 2 2 5" xfId="16867" xr:uid="{00000000-0005-0000-0000-0000E6410000}"/>
    <cellStyle name="Normal 2 12 2 2 6" xfId="16868" xr:uid="{00000000-0005-0000-0000-0000E7410000}"/>
    <cellStyle name="Normal 2 12 2 3" xfId="16869" xr:uid="{00000000-0005-0000-0000-0000E8410000}"/>
    <cellStyle name="Normal 2 12 2 3 2" xfId="16870" xr:uid="{00000000-0005-0000-0000-0000E9410000}"/>
    <cellStyle name="Normal 2 12 2 3 3" xfId="16871" xr:uid="{00000000-0005-0000-0000-0000EA410000}"/>
    <cellStyle name="Normal 2 12 2 4" xfId="16872" xr:uid="{00000000-0005-0000-0000-0000EB410000}"/>
    <cellStyle name="Normal 2 12 2 4 2" xfId="16873" xr:uid="{00000000-0005-0000-0000-0000EC410000}"/>
    <cellStyle name="Normal 2 12 2 4 3" xfId="16874" xr:uid="{00000000-0005-0000-0000-0000ED410000}"/>
    <cellStyle name="Normal 2 12 2 5" xfId="16875" xr:uid="{00000000-0005-0000-0000-0000EE410000}"/>
    <cellStyle name="Normal 2 12 2 5 2" xfId="16876" xr:uid="{00000000-0005-0000-0000-0000EF410000}"/>
    <cellStyle name="Normal 2 12 2 5 3" xfId="16877" xr:uid="{00000000-0005-0000-0000-0000F0410000}"/>
    <cellStyle name="Normal 2 12 2 6" xfId="16878" xr:uid="{00000000-0005-0000-0000-0000F1410000}"/>
    <cellStyle name="Normal 2 12 2 6 2" xfId="16879" xr:uid="{00000000-0005-0000-0000-0000F2410000}"/>
    <cellStyle name="Normal 2 12 2 7" xfId="16880" xr:uid="{00000000-0005-0000-0000-0000F3410000}"/>
    <cellStyle name="Normal 2 12 2 8" xfId="16881" xr:uid="{00000000-0005-0000-0000-0000F4410000}"/>
    <cellStyle name="Normal 2 12 3" xfId="16882" xr:uid="{00000000-0005-0000-0000-0000F5410000}"/>
    <cellStyle name="Normal 2 12 3 2" xfId="16883" xr:uid="{00000000-0005-0000-0000-0000F6410000}"/>
    <cellStyle name="Normal 2 12 3 2 2" xfId="16884" xr:uid="{00000000-0005-0000-0000-0000F7410000}"/>
    <cellStyle name="Normal 2 12 3 2 3" xfId="16885" xr:uid="{00000000-0005-0000-0000-0000F8410000}"/>
    <cellStyle name="Normal 2 12 3 3" xfId="16886" xr:uid="{00000000-0005-0000-0000-0000F9410000}"/>
    <cellStyle name="Normal 2 12 3 3 2" xfId="16887" xr:uid="{00000000-0005-0000-0000-0000FA410000}"/>
    <cellStyle name="Normal 2 12 3 3 3" xfId="16888" xr:uid="{00000000-0005-0000-0000-0000FB410000}"/>
    <cellStyle name="Normal 2 12 3 4" xfId="16889" xr:uid="{00000000-0005-0000-0000-0000FC410000}"/>
    <cellStyle name="Normal 2 12 3 5" xfId="16890" xr:uid="{00000000-0005-0000-0000-0000FD410000}"/>
    <cellStyle name="Normal 2 12 3 6" xfId="16891" xr:uid="{00000000-0005-0000-0000-0000FE410000}"/>
    <cellStyle name="Normal 2 12 4" xfId="16892" xr:uid="{00000000-0005-0000-0000-0000FF410000}"/>
    <cellStyle name="Normal 2 12 4 2" xfId="16893" xr:uid="{00000000-0005-0000-0000-000000420000}"/>
    <cellStyle name="Normal 2 12 4 3" xfId="16894" xr:uid="{00000000-0005-0000-0000-000001420000}"/>
    <cellStyle name="Normal 2 12 5" xfId="16895" xr:uid="{00000000-0005-0000-0000-000002420000}"/>
    <cellStyle name="Normal 2 12 5 2" xfId="16896" xr:uid="{00000000-0005-0000-0000-000003420000}"/>
    <cellStyle name="Normal 2 12 5 3" xfId="16897" xr:uid="{00000000-0005-0000-0000-000004420000}"/>
    <cellStyle name="Normal 2 12 6" xfId="16898" xr:uid="{00000000-0005-0000-0000-000005420000}"/>
    <cellStyle name="Normal 2 12 6 2" xfId="16899" xr:uid="{00000000-0005-0000-0000-000006420000}"/>
    <cellStyle name="Normal 2 12 6 3" xfId="16900" xr:uid="{00000000-0005-0000-0000-000007420000}"/>
    <cellStyle name="Normal 2 12 7" xfId="16901" xr:uid="{00000000-0005-0000-0000-000008420000}"/>
    <cellStyle name="Normal 2 12 7 2" xfId="16902" xr:uid="{00000000-0005-0000-0000-000009420000}"/>
    <cellStyle name="Normal 2 12 8" xfId="16903" xr:uid="{00000000-0005-0000-0000-00000A420000}"/>
    <cellStyle name="Normal 2 12 9" xfId="16904" xr:uid="{00000000-0005-0000-0000-00000B420000}"/>
    <cellStyle name="Normal 2 13" xfId="16905" xr:uid="{00000000-0005-0000-0000-00000C420000}"/>
    <cellStyle name="Normal 2 13 2" xfId="16906" xr:uid="{00000000-0005-0000-0000-00000D420000}"/>
    <cellStyle name="Normal 2 13 2 2" xfId="16907" xr:uid="{00000000-0005-0000-0000-00000E420000}"/>
    <cellStyle name="Normal 2 13 2 2 2" xfId="16908" xr:uid="{00000000-0005-0000-0000-00000F420000}"/>
    <cellStyle name="Normal 2 13 2 2 3" xfId="16909" xr:uid="{00000000-0005-0000-0000-000010420000}"/>
    <cellStyle name="Normal 2 13 2 3" xfId="16910" xr:uid="{00000000-0005-0000-0000-000011420000}"/>
    <cellStyle name="Normal 2 13 2 3 2" xfId="16911" xr:uid="{00000000-0005-0000-0000-000012420000}"/>
    <cellStyle name="Normal 2 13 2 3 3" xfId="16912" xr:uid="{00000000-0005-0000-0000-000013420000}"/>
    <cellStyle name="Normal 2 13 2 4" xfId="16913" xr:uid="{00000000-0005-0000-0000-000014420000}"/>
    <cellStyle name="Normal 2 13 2 5" xfId="16914" xr:uid="{00000000-0005-0000-0000-000015420000}"/>
    <cellStyle name="Normal 2 13 2 6" xfId="16915" xr:uid="{00000000-0005-0000-0000-000016420000}"/>
    <cellStyle name="Normal 2 13 3" xfId="16916" xr:uid="{00000000-0005-0000-0000-000017420000}"/>
    <cellStyle name="Normal 2 13 3 2" xfId="16917" xr:uid="{00000000-0005-0000-0000-000018420000}"/>
    <cellStyle name="Normal 2 13 3 3" xfId="16918" xr:uid="{00000000-0005-0000-0000-000019420000}"/>
    <cellStyle name="Normal 2 13 4" xfId="16919" xr:uid="{00000000-0005-0000-0000-00001A420000}"/>
    <cellStyle name="Normal 2 13 4 2" xfId="16920" xr:uid="{00000000-0005-0000-0000-00001B420000}"/>
    <cellStyle name="Normal 2 13 4 3" xfId="16921" xr:uid="{00000000-0005-0000-0000-00001C420000}"/>
    <cellStyle name="Normal 2 13 5" xfId="16922" xr:uid="{00000000-0005-0000-0000-00001D420000}"/>
    <cellStyle name="Normal 2 13 5 2" xfId="16923" xr:uid="{00000000-0005-0000-0000-00001E420000}"/>
    <cellStyle name="Normal 2 13 5 3" xfId="16924" xr:uid="{00000000-0005-0000-0000-00001F420000}"/>
    <cellStyle name="Normal 2 13 6" xfId="16925" xr:uid="{00000000-0005-0000-0000-000020420000}"/>
    <cellStyle name="Normal 2 13 7" xfId="16926" xr:uid="{00000000-0005-0000-0000-000021420000}"/>
    <cellStyle name="Normal 2 13 8" xfId="16927" xr:uid="{00000000-0005-0000-0000-000022420000}"/>
    <cellStyle name="Normal 2 14" xfId="16928" xr:uid="{00000000-0005-0000-0000-000023420000}"/>
    <cellStyle name="Normal 2 14 2" xfId="16929" xr:uid="{00000000-0005-0000-0000-000024420000}"/>
    <cellStyle name="Normal 2 14 2 2" xfId="16930" xr:uid="{00000000-0005-0000-0000-000025420000}"/>
    <cellStyle name="Normal 2 14 2 2 2" xfId="16931" xr:uid="{00000000-0005-0000-0000-000026420000}"/>
    <cellStyle name="Normal 2 14 2 2 3" xfId="16932" xr:uid="{00000000-0005-0000-0000-000027420000}"/>
    <cellStyle name="Normal 2 14 2 3" xfId="16933" xr:uid="{00000000-0005-0000-0000-000028420000}"/>
    <cellStyle name="Normal 2 14 2 3 2" xfId="16934" xr:uid="{00000000-0005-0000-0000-000029420000}"/>
    <cellStyle name="Normal 2 14 2 3 3" xfId="16935" xr:uid="{00000000-0005-0000-0000-00002A420000}"/>
    <cellStyle name="Normal 2 14 2 4" xfId="16936" xr:uid="{00000000-0005-0000-0000-00002B420000}"/>
    <cellStyle name="Normal 2 14 2 5" xfId="16937" xr:uid="{00000000-0005-0000-0000-00002C420000}"/>
    <cellStyle name="Normal 2 14 2 6" xfId="16938" xr:uid="{00000000-0005-0000-0000-00002D420000}"/>
    <cellStyle name="Normal 2 14 3" xfId="16939" xr:uid="{00000000-0005-0000-0000-00002E420000}"/>
    <cellStyle name="Normal 2 14 3 2" xfId="16940" xr:uid="{00000000-0005-0000-0000-00002F420000}"/>
    <cellStyle name="Normal 2 14 3 3" xfId="16941" xr:uid="{00000000-0005-0000-0000-000030420000}"/>
    <cellStyle name="Normal 2 14 4" xfId="16942" xr:uid="{00000000-0005-0000-0000-000031420000}"/>
    <cellStyle name="Normal 2 14 4 2" xfId="16943" xr:uid="{00000000-0005-0000-0000-000032420000}"/>
    <cellStyle name="Normal 2 14 4 3" xfId="16944" xr:uid="{00000000-0005-0000-0000-000033420000}"/>
    <cellStyle name="Normal 2 14 5" xfId="16945" xr:uid="{00000000-0005-0000-0000-000034420000}"/>
    <cellStyle name="Normal 2 14 5 2" xfId="16946" xr:uid="{00000000-0005-0000-0000-000035420000}"/>
    <cellStyle name="Normal 2 14 5 3" xfId="16947" xr:uid="{00000000-0005-0000-0000-000036420000}"/>
    <cellStyle name="Normal 2 14 6" xfId="16948" xr:uid="{00000000-0005-0000-0000-000037420000}"/>
    <cellStyle name="Normal 2 14 7" xfId="16949" xr:uid="{00000000-0005-0000-0000-000038420000}"/>
    <cellStyle name="Normal 2 14 8" xfId="16950" xr:uid="{00000000-0005-0000-0000-000039420000}"/>
    <cellStyle name="Normal 2 15" xfId="16951" xr:uid="{00000000-0005-0000-0000-00003A420000}"/>
    <cellStyle name="Normal 2 15 2" xfId="16952" xr:uid="{00000000-0005-0000-0000-00003B420000}"/>
    <cellStyle name="Normal 2 15 2 2" xfId="16953" xr:uid="{00000000-0005-0000-0000-00003C420000}"/>
    <cellStyle name="Normal 2 15 2 2 2" xfId="16954" xr:uid="{00000000-0005-0000-0000-00003D420000}"/>
    <cellStyle name="Normal 2 15 2 2 3" xfId="16955" xr:uid="{00000000-0005-0000-0000-00003E420000}"/>
    <cellStyle name="Normal 2 15 2 3" xfId="16956" xr:uid="{00000000-0005-0000-0000-00003F420000}"/>
    <cellStyle name="Normal 2 15 2 3 2" xfId="16957" xr:uid="{00000000-0005-0000-0000-000040420000}"/>
    <cellStyle name="Normal 2 15 2 3 3" xfId="16958" xr:uid="{00000000-0005-0000-0000-000041420000}"/>
    <cellStyle name="Normal 2 15 2 4" xfId="16959" xr:uid="{00000000-0005-0000-0000-000042420000}"/>
    <cellStyle name="Normal 2 15 2 5" xfId="16960" xr:uid="{00000000-0005-0000-0000-000043420000}"/>
    <cellStyle name="Normal 2 15 2 6" xfId="16961" xr:uid="{00000000-0005-0000-0000-000044420000}"/>
    <cellStyle name="Normal 2 15 3" xfId="16962" xr:uid="{00000000-0005-0000-0000-000045420000}"/>
    <cellStyle name="Normal 2 15 3 2" xfId="16963" xr:uid="{00000000-0005-0000-0000-000046420000}"/>
    <cellStyle name="Normal 2 15 3 3" xfId="16964" xr:uid="{00000000-0005-0000-0000-000047420000}"/>
    <cellStyle name="Normal 2 15 4" xfId="16965" xr:uid="{00000000-0005-0000-0000-000048420000}"/>
    <cellStyle name="Normal 2 15 4 2" xfId="16966" xr:uid="{00000000-0005-0000-0000-000049420000}"/>
    <cellStyle name="Normal 2 15 4 3" xfId="16967" xr:uid="{00000000-0005-0000-0000-00004A420000}"/>
    <cellStyle name="Normal 2 15 5" xfId="16968" xr:uid="{00000000-0005-0000-0000-00004B420000}"/>
    <cellStyle name="Normal 2 15 6" xfId="16969" xr:uid="{00000000-0005-0000-0000-00004C420000}"/>
    <cellStyle name="Normal 2 15 7" xfId="16970" xr:uid="{00000000-0005-0000-0000-00004D420000}"/>
    <cellStyle name="Normal 2 16" xfId="16971" xr:uid="{00000000-0005-0000-0000-00004E420000}"/>
    <cellStyle name="Normal 2 16 2" xfId="16972" xr:uid="{00000000-0005-0000-0000-00004F420000}"/>
    <cellStyle name="Normal 2 16 2 2" xfId="16973" xr:uid="{00000000-0005-0000-0000-000050420000}"/>
    <cellStyle name="Normal 2 16 2 2 2" xfId="16974" xr:uid="{00000000-0005-0000-0000-000051420000}"/>
    <cellStyle name="Normal 2 16 2 2 3" xfId="16975" xr:uid="{00000000-0005-0000-0000-000052420000}"/>
    <cellStyle name="Normal 2 16 2 3" xfId="16976" xr:uid="{00000000-0005-0000-0000-000053420000}"/>
    <cellStyle name="Normal 2 16 2 3 2" xfId="16977" xr:uid="{00000000-0005-0000-0000-000054420000}"/>
    <cellStyle name="Normal 2 16 2 3 3" xfId="16978" xr:uid="{00000000-0005-0000-0000-000055420000}"/>
    <cellStyle name="Normal 2 16 2 4" xfId="16979" xr:uid="{00000000-0005-0000-0000-000056420000}"/>
    <cellStyle name="Normal 2 16 2 5" xfId="16980" xr:uid="{00000000-0005-0000-0000-000057420000}"/>
    <cellStyle name="Normal 2 16 2 6" xfId="16981" xr:uid="{00000000-0005-0000-0000-000058420000}"/>
    <cellStyle name="Normal 2 16 3" xfId="16982" xr:uid="{00000000-0005-0000-0000-000059420000}"/>
    <cellStyle name="Normal 2 16 3 2" xfId="16983" xr:uid="{00000000-0005-0000-0000-00005A420000}"/>
    <cellStyle name="Normal 2 16 3 3" xfId="16984" xr:uid="{00000000-0005-0000-0000-00005B420000}"/>
    <cellStyle name="Normal 2 16 4" xfId="16985" xr:uid="{00000000-0005-0000-0000-00005C420000}"/>
    <cellStyle name="Normal 2 16 4 2" xfId="16986" xr:uid="{00000000-0005-0000-0000-00005D420000}"/>
    <cellStyle name="Normal 2 16 4 3" xfId="16987" xr:uid="{00000000-0005-0000-0000-00005E420000}"/>
    <cellStyle name="Normal 2 16 5" xfId="16988" xr:uid="{00000000-0005-0000-0000-00005F420000}"/>
    <cellStyle name="Normal 2 16 6" xfId="16989" xr:uid="{00000000-0005-0000-0000-000060420000}"/>
    <cellStyle name="Normal 2 16 7" xfId="16990" xr:uid="{00000000-0005-0000-0000-000061420000}"/>
    <cellStyle name="Normal 2 17" xfId="16991" xr:uid="{00000000-0005-0000-0000-000062420000}"/>
    <cellStyle name="Normal 2 17 2" xfId="16992" xr:uid="{00000000-0005-0000-0000-000063420000}"/>
    <cellStyle name="Normal 2 17 2 2" xfId="16993" xr:uid="{00000000-0005-0000-0000-000064420000}"/>
    <cellStyle name="Normal 2 17 2 2 2" xfId="16994" xr:uid="{00000000-0005-0000-0000-000065420000}"/>
    <cellStyle name="Normal 2 17 2 2 3" xfId="16995" xr:uid="{00000000-0005-0000-0000-000066420000}"/>
    <cellStyle name="Normal 2 17 2 3" xfId="16996" xr:uid="{00000000-0005-0000-0000-000067420000}"/>
    <cellStyle name="Normal 2 17 2 3 2" xfId="16997" xr:uid="{00000000-0005-0000-0000-000068420000}"/>
    <cellStyle name="Normal 2 17 2 3 3" xfId="16998" xr:uid="{00000000-0005-0000-0000-000069420000}"/>
    <cellStyle name="Normal 2 17 2 4" xfId="16999" xr:uid="{00000000-0005-0000-0000-00006A420000}"/>
    <cellStyle name="Normal 2 17 2 5" xfId="17000" xr:uid="{00000000-0005-0000-0000-00006B420000}"/>
    <cellStyle name="Normal 2 17 2 6" xfId="17001" xr:uid="{00000000-0005-0000-0000-00006C420000}"/>
    <cellStyle name="Normal 2 17 3" xfId="17002" xr:uid="{00000000-0005-0000-0000-00006D420000}"/>
    <cellStyle name="Normal 2 17 3 2" xfId="17003" xr:uid="{00000000-0005-0000-0000-00006E420000}"/>
    <cellStyle name="Normal 2 17 3 3" xfId="17004" xr:uid="{00000000-0005-0000-0000-00006F420000}"/>
    <cellStyle name="Normal 2 17 4" xfId="17005" xr:uid="{00000000-0005-0000-0000-000070420000}"/>
    <cellStyle name="Normal 2 17 4 2" xfId="17006" xr:uid="{00000000-0005-0000-0000-000071420000}"/>
    <cellStyle name="Normal 2 17 4 3" xfId="17007" xr:uid="{00000000-0005-0000-0000-000072420000}"/>
    <cellStyle name="Normal 2 17 5" xfId="17008" xr:uid="{00000000-0005-0000-0000-000073420000}"/>
    <cellStyle name="Normal 2 17 6" xfId="17009" xr:uid="{00000000-0005-0000-0000-000074420000}"/>
    <cellStyle name="Normal 2 17 7" xfId="17010" xr:uid="{00000000-0005-0000-0000-000075420000}"/>
    <cellStyle name="Normal 2 18" xfId="17011" xr:uid="{00000000-0005-0000-0000-000076420000}"/>
    <cellStyle name="Normal 2 18 2" xfId="17012" xr:uid="{00000000-0005-0000-0000-000077420000}"/>
    <cellStyle name="Normal 2 18 2 2" xfId="17013" xr:uid="{00000000-0005-0000-0000-000078420000}"/>
    <cellStyle name="Normal 2 18 2 2 2" xfId="17014" xr:uid="{00000000-0005-0000-0000-000079420000}"/>
    <cellStyle name="Normal 2 18 2 2 3" xfId="17015" xr:uid="{00000000-0005-0000-0000-00007A420000}"/>
    <cellStyle name="Normal 2 18 2 3" xfId="17016" xr:uid="{00000000-0005-0000-0000-00007B420000}"/>
    <cellStyle name="Normal 2 18 2 3 2" xfId="17017" xr:uid="{00000000-0005-0000-0000-00007C420000}"/>
    <cellStyle name="Normal 2 18 2 3 3" xfId="17018" xr:uid="{00000000-0005-0000-0000-00007D420000}"/>
    <cellStyle name="Normal 2 18 2 4" xfId="17019" xr:uid="{00000000-0005-0000-0000-00007E420000}"/>
    <cellStyle name="Normal 2 18 2 5" xfId="17020" xr:uid="{00000000-0005-0000-0000-00007F420000}"/>
    <cellStyle name="Normal 2 18 2 6" xfId="17021" xr:uid="{00000000-0005-0000-0000-000080420000}"/>
    <cellStyle name="Normal 2 18 3" xfId="17022" xr:uid="{00000000-0005-0000-0000-000081420000}"/>
    <cellStyle name="Normal 2 18 3 2" xfId="17023" xr:uid="{00000000-0005-0000-0000-000082420000}"/>
    <cellStyle name="Normal 2 18 3 3" xfId="17024" xr:uid="{00000000-0005-0000-0000-000083420000}"/>
    <cellStyle name="Normal 2 18 4" xfId="17025" xr:uid="{00000000-0005-0000-0000-000084420000}"/>
    <cellStyle name="Normal 2 18 4 2" xfId="17026" xr:uid="{00000000-0005-0000-0000-000085420000}"/>
    <cellStyle name="Normal 2 18 4 3" xfId="17027" xr:uid="{00000000-0005-0000-0000-000086420000}"/>
    <cellStyle name="Normal 2 18 5" xfId="17028" xr:uid="{00000000-0005-0000-0000-000087420000}"/>
    <cellStyle name="Normal 2 18 6" xfId="17029" xr:uid="{00000000-0005-0000-0000-000088420000}"/>
    <cellStyle name="Normal 2 18 7" xfId="17030" xr:uid="{00000000-0005-0000-0000-000089420000}"/>
    <cellStyle name="Normal 2 19" xfId="17031" xr:uid="{00000000-0005-0000-0000-00008A420000}"/>
    <cellStyle name="Normal 2 19 2" xfId="17032" xr:uid="{00000000-0005-0000-0000-00008B420000}"/>
    <cellStyle name="Normal 2 2" xfId="17033" xr:uid="{00000000-0005-0000-0000-00008C420000}"/>
    <cellStyle name="Normal 2 2 10" xfId="17034" xr:uid="{00000000-0005-0000-0000-00008D420000}"/>
    <cellStyle name="Normal 2 2 10 2" xfId="17035" xr:uid="{00000000-0005-0000-0000-00008E420000}"/>
    <cellStyle name="Normal 2 2 10 2 2" xfId="17036" xr:uid="{00000000-0005-0000-0000-00008F420000}"/>
    <cellStyle name="Normal 2 2 10 2 2 2" xfId="17037" xr:uid="{00000000-0005-0000-0000-000090420000}"/>
    <cellStyle name="Normal 2 2 10 2 2 3" xfId="17038" xr:uid="{00000000-0005-0000-0000-000091420000}"/>
    <cellStyle name="Normal 2 2 10 2 3" xfId="17039" xr:uid="{00000000-0005-0000-0000-000092420000}"/>
    <cellStyle name="Normal 2 2 10 2 3 2" xfId="17040" xr:uid="{00000000-0005-0000-0000-000093420000}"/>
    <cellStyle name="Normal 2 2 10 2 3 3" xfId="17041" xr:uid="{00000000-0005-0000-0000-000094420000}"/>
    <cellStyle name="Normal 2 2 10 2 4" xfId="17042" xr:uid="{00000000-0005-0000-0000-000095420000}"/>
    <cellStyle name="Normal 2 2 10 2 5" xfId="17043" xr:uid="{00000000-0005-0000-0000-000096420000}"/>
    <cellStyle name="Normal 2 2 10 2 6" xfId="17044" xr:uid="{00000000-0005-0000-0000-000097420000}"/>
    <cellStyle name="Normal 2 2 10 3" xfId="17045" xr:uid="{00000000-0005-0000-0000-000098420000}"/>
    <cellStyle name="Normal 2 2 10 3 2" xfId="17046" xr:uid="{00000000-0005-0000-0000-000099420000}"/>
    <cellStyle name="Normal 2 2 10 3 3" xfId="17047" xr:uid="{00000000-0005-0000-0000-00009A420000}"/>
    <cellStyle name="Normal 2 2 10 4" xfId="17048" xr:uid="{00000000-0005-0000-0000-00009B420000}"/>
    <cellStyle name="Normal 2 2 10 4 2" xfId="17049" xr:uid="{00000000-0005-0000-0000-00009C420000}"/>
    <cellStyle name="Normal 2 2 10 4 3" xfId="17050" xr:uid="{00000000-0005-0000-0000-00009D420000}"/>
    <cellStyle name="Normal 2 2 10 5" xfId="17051" xr:uid="{00000000-0005-0000-0000-00009E420000}"/>
    <cellStyle name="Normal 2 2 10 6" xfId="17052" xr:uid="{00000000-0005-0000-0000-00009F420000}"/>
    <cellStyle name="Normal 2 2 10 7" xfId="17053" xr:uid="{00000000-0005-0000-0000-0000A0420000}"/>
    <cellStyle name="Normal 2 2 11" xfId="17054" xr:uid="{00000000-0005-0000-0000-0000A1420000}"/>
    <cellStyle name="Normal 2 2 11 2" xfId="17055" xr:uid="{00000000-0005-0000-0000-0000A2420000}"/>
    <cellStyle name="Normal 2 2 11 2 2" xfId="17056" xr:uid="{00000000-0005-0000-0000-0000A3420000}"/>
    <cellStyle name="Normal 2 2 11 2 2 2" xfId="17057" xr:uid="{00000000-0005-0000-0000-0000A4420000}"/>
    <cellStyle name="Normal 2 2 11 2 2 3" xfId="17058" xr:uid="{00000000-0005-0000-0000-0000A5420000}"/>
    <cellStyle name="Normal 2 2 11 2 3" xfId="17059" xr:uid="{00000000-0005-0000-0000-0000A6420000}"/>
    <cellStyle name="Normal 2 2 11 2 3 2" xfId="17060" xr:uid="{00000000-0005-0000-0000-0000A7420000}"/>
    <cellStyle name="Normal 2 2 11 2 3 3" xfId="17061" xr:uid="{00000000-0005-0000-0000-0000A8420000}"/>
    <cellStyle name="Normal 2 2 11 2 4" xfId="17062" xr:uid="{00000000-0005-0000-0000-0000A9420000}"/>
    <cellStyle name="Normal 2 2 11 2 5" xfId="17063" xr:uid="{00000000-0005-0000-0000-0000AA420000}"/>
    <cellStyle name="Normal 2 2 11 2 6" xfId="17064" xr:uid="{00000000-0005-0000-0000-0000AB420000}"/>
    <cellStyle name="Normal 2 2 11 3" xfId="17065" xr:uid="{00000000-0005-0000-0000-0000AC420000}"/>
    <cellStyle name="Normal 2 2 11 3 2" xfId="17066" xr:uid="{00000000-0005-0000-0000-0000AD420000}"/>
    <cellStyle name="Normal 2 2 11 3 3" xfId="17067" xr:uid="{00000000-0005-0000-0000-0000AE420000}"/>
    <cellStyle name="Normal 2 2 11 4" xfId="17068" xr:uid="{00000000-0005-0000-0000-0000AF420000}"/>
    <cellStyle name="Normal 2 2 11 4 2" xfId="17069" xr:uid="{00000000-0005-0000-0000-0000B0420000}"/>
    <cellStyle name="Normal 2 2 11 4 3" xfId="17070" xr:uid="{00000000-0005-0000-0000-0000B1420000}"/>
    <cellStyle name="Normal 2 2 11 5" xfId="17071" xr:uid="{00000000-0005-0000-0000-0000B2420000}"/>
    <cellStyle name="Normal 2 2 11 6" xfId="17072" xr:uid="{00000000-0005-0000-0000-0000B3420000}"/>
    <cellStyle name="Normal 2 2 11 7" xfId="17073" xr:uid="{00000000-0005-0000-0000-0000B4420000}"/>
    <cellStyle name="Normal 2 2 12" xfId="17074" xr:uid="{00000000-0005-0000-0000-0000B5420000}"/>
    <cellStyle name="Normal 2 2 12 2" xfId="17075" xr:uid="{00000000-0005-0000-0000-0000B6420000}"/>
    <cellStyle name="Normal 2 2 12 2 2" xfId="17076" xr:uid="{00000000-0005-0000-0000-0000B7420000}"/>
    <cellStyle name="Normal 2 2 12 2 2 2" xfId="17077" xr:uid="{00000000-0005-0000-0000-0000B8420000}"/>
    <cellStyle name="Normal 2 2 12 2 2 3" xfId="17078" xr:uid="{00000000-0005-0000-0000-0000B9420000}"/>
    <cellStyle name="Normal 2 2 12 2 3" xfId="17079" xr:uid="{00000000-0005-0000-0000-0000BA420000}"/>
    <cellStyle name="Normal 2 2 12 2 3 2" xfId="17080" xr:uid="{00000000-0005-0000-0000-0000BB420000}"/>
    <cellStyle name="Normal 2 2 12 2 3 3" xfId="17081" xr:uid="{00000000-0005-0000-0000-0000BC420000}"/>
    <cellStyle name="Normal 2 2 12 2 4" xfId="17082" xr:uid="{00000000-0005-0000-0000-0000BD420000}"/>
    <cellStyle name="Normal 2 2 12 2 5" xfId="17083" xr:uid="{00000000-0005-0000-0000-0000BE420000}"/>
    <cellStyle name="Normal 2 2 12 2 6" xfId="17084" xr:uid="{00000000-0005-0000-0000-0000BF420000}"/>
    <cellStyle name="Normal 2 2 12 3" xfId="17085" xr:uid="{00000000-0005-0000-0000-0000C0420000}"/>
    <cellStyle name="Normal 2 2 12 3 2" xfId="17086" xr:uid="{00000000-0005-0000-0000-0000C1420000}"/>
    <cellStyle name="Normal 2 2 12 3 3" xfId="17087" xr:uid="{00000000-0005-0000-0000-0000C2420000}"/>
    <cellStyle name="Normal 2 2 12 4" xfId="17088" xr:uid="{00000000-0005-0000-0000-0000C3420000}"/>
    <cellStyle name="Normal 2 2 12 4 2" xfId="17089" xr:uid="{00000000-0005-0000-0000-0000C4420000}"/>
    <cellStyle name="Normal 2 2 12 4 3" xfId="17090" xr:uid="{00000000-0005-0000-0000-0000C5420000}"/>
    <cellStyle name="Normal 2 2 12 5" xfId="17091" xr:uid="{00000000-0005-0000-0000-0000C6420000}"/>
    <cellStyle name="Normal 2 2 12 6" xfId="17092" xr:uid="{00000000-0005-0000-0000-0000C7420000}"/>
    <cellStyle name="Normal 2 2 12 7" xfId="17093" xr:uid="{00000000-0005-0000-0000-0000C8420000}"/>
    <cellStyle name="Normal 2 2 13" xfId="17094" xr:uid="{00000000-0005-0000-0000-0000C9420000}"/>
    <cellStyle name="Normal 2 2 13 2" xfId="17095" xr:uid="{00000000-0005-0000-0000-0000CA420000}"/>
    <cellStyle name="Normal 2 2 13 2 2" xfId="17096" xr:uid="{00000000-0005-0000-0000-0000CB420000}"/>
    <cellStyle name="Normal 2 2 13 2 2 2" xfId="17097" xr:uid="{00000000-0005-0000-0000-0000CC420000}"/>
    <cellStyle name="Normal 2 2 13 2 2 3" xfId="17098" xr:uid="{00000000-0005-0000-0000-0000CD420000}"/>
    <cellStyle name="Normal 2 2 13 2 3" xfId="17099" xr:uid="{00000000-0005-0000-0000-0000CE420000}"/>
    <cellStyle name="Normal 2 2 13 2 3 2" xfId="17100" xr:uid="{00000000-0005-0000-0000-0000CF420000}"/>
    <cellStyle name="Normal 2 2 13 2 3 3" xfId="17101" xr:uid="{00000000-0005-0000-0000-0000D0420000}"/>
    <cellStyle name="Normal 2 2 13 2 4" xfId="17102" xr:uid="{00000000-0005-0000-0000-0000D1420000}"/>
    <cellStyle name="Normal 2 2 13 2 5" xfId="17103" xr:uid="{00000000-0005-0000-0000-0000D2420000}"/>
    <cellStyle name="Normal 2 2 13 2 6" xfId="17104" xr:uid="{00000000-0005-0000-0000-0000D3420000}"/>
    <cellStyle name="Normal 2 2 13 3" xfId="17105" xr:uid="{00000000-0005-0000-0000-0000D4420000}"/>
    <cellStyle name="Normal 2 2 13 3 2" xfId="17106" xr:uid="{00000000-0005-0000-0000-0000D5420000}"/>
    <cellStyle name="Normal 2 2 13 3 3" xfId="17107" xr:uid="{00000000-0005-0000-0000-0000D6420000}"/>
    <cellStyle name="Normal 2 2 13 4" xfId="17108" xr:uid="{00000000-0005-0000-0000-0000D7420000}"/>
    <cellStyle name="Normal 2 2 13 4 2" xfId="17109" xr:uid="{00000000-0005-0000-0000-0000D8420000}"/>
    <cellStyle name="Normal 2 2 13 4 3" xfId="17110" xr:uid="{00000000-0005-0000-0000-0000D9420000}"/>
    <cellStyle name="Normal 2 2 13 5" xfId="17111" xr:uid="{00000000-0005-0000-0000-0000DA420000}"/>
    <cellStyle name="Normal 2 2 13 6" xfId="17112" xr:uid="{00000000-0005-0000-0000-0000DB420000}"/>
    <cellStyle name="Normal 2 2 13 7" xfId="17113" xr:uid="{00000000-0005-0000-0000-0000DC420000}"/>
    <cellStyle name="Normal 2 2 14" xfId="17114" xr:uid="{00000000-0005-0000-0000-0000DD420000}"/>
    <cellStyle name="Normal 2 2 14 2" xfId="17115" xr:uid="{00000000-0005-0000-0000-0000DE420000}"/>
    <cellStyle name="Normal 2 2 14 2 2" xfId="17116" xr:uid="{00000000-0005-0000-0000-0000DF420000}"/>
    <cellStyle name="Normal 2 2 14 2 2 2" xfId="17117" xr:uid="{00000000-0005-0000-0000-0000E0420000}"/>
    <cellStyle name="Normal 2 2 14 2 2 3" xfId="17118" xr:uid="{00000000-0005-0000-0000-0000E1420000}"/>
    <cellStyle name="Normal 2 2 14 2 3" xfId="17119" xr:uid="{00000000-0005-0000-0000-0000E2420000}"/>
    <cellStyle name="Normal 2 2 14 2 3 2" xfId="17120" xr:uid="{00000000-0005-0000-0000-0000E3420000}"/>
    <cellStyle name="Normal 2 2 14 2 3 3" xfId="17121" xr:uid="{00000000-0005-0000-0000-0000E4420000}"/>
    <cellStyle name="Normal 2 2 14 2 4" xfId="17122" xr:uid="{00000000-0005-0000-0000-0000E5420000}"/>
    <cellStyle name="Normal 2 2 14 2 5" xfId="17123" xr:uid="{00000000-0005-0000-0000-0000E6420000}"/>
    <cellStyle name="Normal 2 2 14 2 6" xfId="17124" xr:uid="{00000000-0005-0000-0000-0000E7420000}"/>
    <cellStyle name="Normal 2 2 14 3" xfId="17125" xr:uid="{00000000-0005-0000-0000-0000E8420000}"/>
    <cellStyle name="Normal 2 2 14 3 2" xfId="17126" xr:uid="{00000000-0005-0000-0000-0000E9420000}"/>
    <cellStyle name="Normal 2 2 14 3 3" xfId="17127" xr:uid="{00000000-0005-0000-0000-0000EA420000}"/>
    <cellStyle name="Normal 2 2 14 4" xfId="17128" xr:uid="{00000000-0005-0000-0000-0000EB420000}"/>
    <cellStyle name="Normal 2 2 14 4 2" xfId="17129" xr:uid="{00000000-0005-0000-0000-0000EC420000}"/>
    <cellStyle name="Normal 2 2 14 4 3" xfId="17130" xr:uid="{00000000-0005-0000-0000-0000ED420000}"/>
    <cellStyle name="Normal 2 2 14 5" xfId="17131" xr:uid="{00000000-0005-0000-0000-0000EE420000}"/>
    <cellStyle name="Normal 2 2 14 6" xfId="17132" xr:uid="{00000000-0005-0000-0000-0000EF420000}"/>
    <cellStyle name="Normal 2 2 14 7" xfId="17133" xr:uid="{00000000-0005-0000-0000-0000F0420000}"/>
    <cellStyle name="Normal 2 2 15" xfId="17134" xr:uid="{00000000-0005-0000-0000-0000F1420000}"/>
    <cellStyle name="Normal 2 2 15 2" xfId="17135" xr:uid="{00000000-0005-0000-0000-0000F2420000}"/>
    <cellStyle name="Normal 2 2 15 2 2" xfId="17136" xr:uid="{00000000-0005-0000-0000-0000F3420000}"/>
    <cellStyle name="Normal 2 2 15 2 2 2" xfId="17137" xr:uid="{00000000-0005-0000-0000-0000F4420000}"/>
    <cellStyle name="Normal 2 2 15 2 2 3" xfId="17138" xr:uid="{00000000-0005-0000-0000-0000F5420000}"/>
    <cellStyle name="Normal 2 2 15 2 3" xfId="17139" xr:uid="{00000000-0005-0000-0000-0000F6420000}"/>
    <cellStyle name="Normal 2 2 15 2 3 2" xfId="17140" xr:uid="{00000000-0005-0000-0000-0000F7420000}"/>
    <cellStyle name="Normal 2 2 15 2 3 3" xfId="17141" xr:uid="{00000000-0005-0000-0000-0000F8420000}"/>
    <cellStyle name="Normal 2 2 15 2 4" xfId="17142" xr:uid="{00000000-0005-0000-0000-0000F9420000}"/>
    <cellStyle name="Normal 2 2 15 2 5" xfId="17143" xr:uid="{00000000-0005-0000-0000-0000FA420000}"/>
    <cellStyle name="Normal 2 2 15 2 6" xfId="17144" xr:uid="{00000000-0005-0000-0000-0000FB420000}"/>
    <cellStyle name="Normal 2 2 15 3" xfId="17145" xr:uid="{00000000-0005-0000-0000-0000FC420000}"/>
    <cellStyle name="Normal 2 2 15 3 2" xfId="17146" xr:uid="{00000000-0005-0000-0000-0000FD420000}"/>
    <cellStyle name="Normal 2 2 15 3 3" xfId="17147" xr:uid="{00000000-0005-0000-0000-0000FE420000}"/>
    <cellStyle name="Normal 2 2 15 4" xfId="17148" xr:uid="{00000000-0005-0000-0000-0000FF420000}"/>
    <cellStyle name="Normal 2 2 15 4 2" xfId="17149" xr:uid="{00000000-0005-0000-0000-000000430000}"/>
    <cellStyle name="Normal 2 2 15 4 3" xfId="17150" xr:uid="{00000000-0005-0000-0000-000001430000}"/>
    <cellStyle name="Normal 2 2 15 5" xfId="17151" xr:uid="{00000000-0005-0000-0000-000002430000}"/>
    <cellStyle name="Normal 2 2 15 6" xfId="17152" xr:uid="{00000000-0005-0000-0000-000003430000}"/>
    <cellStyle name="Normal 2 2 15 7" xfId="17153" xr:uid="{00000000-0005-0000-0000-000004430000}"/>
    <cellStyle name="Normal 2 2 16" xfId="17154" xr:uid="{00000000-0005-0000-0000-000005430000}"/>
    <cellStyle name="Normal 2 2 16 2" xfId="17155" xr:uid="{00000000-0005-0000-0000-000006430000}"/>
    <cellStyle name="Normal 2 2 16 2 2" xfId="17156" xr:uid="{00000000-0005-0000-0000-000007430000}"/>
    <cellStyle name="Normal 2 2 16 2 2 2" xfId="17157" xr:uid="{00000000-0005-0000-0000-000008430000}"/>
    <cellStyle name="Normal 2 2 16 2 2 3" xfId="17158" xr:uid="{00000000-0005-0000-0000-000009430000}"/>
    <cellStyle name="Normal 2 2 16 2 3" xfId="17159" xr:uid="{00000000-0005-0000-0000-00000A430000}"/>
    <cellStyle name="Normal 2 2 16 2 3 2" xfId="17160" xr:uid="{00000000-0005-0000-0000-00000B430000}"/>
    <cellStyle name="Normal 2 2 16 2 3 3" xfId="17161" xr:uid="{00000000-0005-0000-0000-00000C430000}"/>
    <cellStyle name="Normal 2 2 16 2 4" xfId="17162" xr:uid="{00000000-0005-0000-0000-00000D430000}"/>
    <cellStyle name="Normal 2 2 16 2 5" xfId="17163" xr:uid="{00000000-0005-0000-0000-00000E430000}"/>
    <cellStyle name="Normal 2 2 16 2 6" xfId="17164" xr:uid="{00000000-0005-0000-0000-00000F430000}"/>
    <cellStyle name="Normal 2 2 16 3" xfId="17165" xr:uid="{00000000-0005-0000-0000-000010430000}"/>
    <cellStyle name="Normal 2 2 16 3 2" xfId="17166" xr:uid="{00000000-0005-0000-0000-000011430000}"/>
    <cellStyle name="Normal 2 2 16 3 3" xfId="17167" xr:uid="{00000000-0005-0000-0000-000012430000}"/>
    <cellStyle name="Normal 2 2 16 4" xfId="17168" xr:uid="{00000000-0005-0000-0000-000013430000}"/>
    <cellStyle name="Normal 2 2 16 4 2" xfId="17169" xr:uid="{00000000-0005-0000-0000-000014430000}"/>
    <cellStyle name="Normal 2 2 16 4 3" xfId="17170" xr:uid="{00000000-0005-0000-0000-000015430000}"/>
    <cellStyle name="Normal 2 2 16 5" xfId="17171" xr:uid="{00000000-0005-0000-0000-000016430000}"/>
    <cellStyle name="Normal 2 2 16 6" xfId="17172" xr:uid="{00000000-0005-0000-0000-000017430000}"/>
    <cellStyle name="Normal 2 2 16 7" xfId="17173" xr:uid="{00000000-0005-0000-0000-000018430000}"/>
    <cellStyle name="Normal 2 2 17" xfId="17174" xr:uid="{00000000-0005-0000-0000-000019430000}"/>
    <cellStyle name="Normal 2 2 17 2" xfId="17175" xr:uid="{00000000-0005-0000-0000-00001A430000}"/>
    <cellStyle name="Normal 2 2 17 2 2" xfId="17176" xr:uid="{00000000-0005-0000-0000-00001B430000}"/>
    <cellStyle name="Normal 2 2 17 2 2 2" xfId="17177" xr:uid="{00000000-0005-0000-0000-00001C430000}"/>
    <cellStyle name="Normal 2 2 17 2 2 3" xfId="17178" xr:uid="{00000000-0005-0000-0000-00001D430000}"/>
    <cellStyle name="Normal 2 2 17 2 3" xfId="17179" xr:uid="{00000000-0005-0000-0000-00001E430000}"/>
    <cellStyle name="Normal 2 2 17 2 3 2" xfId="17180" xr:uid="{00000000-0005-0000-0000-00001F430000}"/>
    <cellStyle name="Normal 2 2 17 2 3 3" xfId="17181" xr:uid="{00000000-0005-0000-0000-000020430000}"/>
    <cellStyle name="Normal 2 2 17 2 4" xfId="17182" xr:uid="{00000000-0005-0000-0000-000021430000}"/>
    <cellStyle name="Normal 2 2 17 2 5" xfId="17183" xr:uid="{00000000-0005-0000-0000-000022430000}"/>
    <cellStyle name="Normal 2 2 17 2 6" xfId="17184" xr:uid="{00000000-0005-0000-0000-000023430000}"/>
    <cellStyle name="Normal 2 2 17 3" xfId="17185" xr:uid="{00000000-0005-0000-0000-000024430000}"/>
    <cellStyle name="Normal 2 2 17 3 2" xfId="17186" xr:uid="{00000000-0005-0000-0000-000025430000}"/>
    <cellStyle name="Normal 2 2 17 3 3" xfId="17187" xr:uid="{00000000-0005-0000-0000-000026430000}"/>
    <cellStyle name="Normal 2 2 17 4" xfId="17188" xr:uid="{00000000-0005-0000-0000-000027430000}"/>
    <cellStyle name="Normal 2 2 17 4 2" xfId="17189" xr:uid="{00000000-0005-0000-0000-000028430000}"/>
    <cellStyle name="Normal 2 2 17 4 3" xfId="17190" xr:uid="{00000000-0005-0000-0000-000029430000}"/>
    <cellStyle name="Normal 2 2 17 5" xfId="17191" xr:uid="{00000000-0005-0000-0000-00002A430000}"/>
    <cellStyle name="Normal 2 2 17 6" xfId="17192" xr:uid="{00000000-0005-0000-0000-00002B430000}"/>
    <cellStyle name="Normal 2 2 17 7" xfId="17193" xr:uid="{00000000-0005-0000-0000-00002C430000}"/>
    <cellStyle name="Normal 2 2 18" xfId="17194" xr:uid="{00000000-0005-0000-0000-00002D430000}"/>
    <cellStyle name="Normal 2 2 18 2" xfId="17195" xr:uid="{00000000-0005-0000-0000-00002E430000}"/>
    <cellStyle name="Normal 2 2 18 2 2" xfId="17196" xr:uid="{00000000-0005-0000-0000-00002F430000}"/>
    <cellStyle name="Normal 2 2 18 2 2 2" xfId="17197" xr:uid="{00000000-0005-0000-0000-000030430000}"/>
    <cellStyle name="Normal 2 2 18 2 2 3" xfId="17198" xr:uid="{00000000-0005-0000-0000-000031430000}"/>
    <cellStyle name="Normal 2 2 18 2 3" xfId="17199" xr:uid="{00000000-0005-0000-0000-000032430000}"/>
    <cellStyle name="Normal 2 2 18 2 3 2" xfId="17200" xr:uid="{00000000-0005-0000-0000-000033430000}"/>
    <cellStyle name="Normal 2 2 18 2 3 3" xfId="17201" xr:uid="{00000000-0005-0000-0000-000034430000}"/>
    <cellStyle name="Normal 2 2 18 2 4" xfId="17202" xr:uid="{00000000-0005-0000-0000-000035430000}"/>
    <cellStyle name="Normal 2 2 18 2 5" xfId="17203" xr:uid="{00000000-0005-0000-0000-000036430000}"/>
    <cellStyle name="Normal 2 2 18 2 6" xfId="17204" xr:uid="{00000000-0005-0000-0000-000037430000}"/>
    <cellStyle name="Normal 2 2 18 3" xfId="17205" xr:uid="{00000000-0005-0000-0000-000038430000}"/>
    <cellStyle name="Normal 2 2 18 3 2" xfId="17206" xr:uid="{00000000-0005-0000-0000-000039430000}"/>
    <cellStyle name="Normal 2 2 18 3 3" xfId="17207" xr:uid="{00000000-0005-0000-0000-00003A430000}"/>
    <cellStyle name="Normal 2 2 18 4" xfId="17208" xr:uid="{00000000-0005-0000-0000-00003B430000}"/>
    <cellStyle name="Normal 2 2 18 4 2" xfId="17209" xr:uid="{00000000-0005-0000-0000-00003C430000}"/>
    <cellStyle name="Normal 2 2 18 4 3" xfId="17210" xr:uid="{00000000-0005-0000-0000-00003D430000}"/>
    <cellStyle name="Normal 2 2 18 5" xfId="17211" xr:uid="{00000000-0005-0000-0000-00003E430000}"/>
    <cellStyle name="Normal 2 2 18 6" xfId="17212" xr:uid="{00000000-0005-0000-0000-00003F430000}"/>
    <cellStyle name="Normal 2 2 18 7" xfId="17213" xr:uid="{00000000-0005-0000-0000-000040430000}"/>
    <cellStyle name="Normal 2 2 19" xfId="17214" xr:uid="{00000000-0005-0000-0000-000041430000}"/>
    <cellStyle name="Normal 2 2 19 2" xfId="17215" xr:uid="{00000000-0005-0000-0000-000042430000}"/>
    <cellStyle name="Normal 2 2 19 2 2" xfId="17216" xr:uid="{00000000-0005-0000-0000-000043430000}"/>
    <cellStyle name="Normal 2 2 19 2 2 2" xfId="17217" xr:uid="{00000000-0005-0000-0000-000044430000}"/>
    <cellStyle name="Normal 2 2 19 2 2 3" xfId="17218" xr:uid="{00000000-0005-0000-0000-000045430000}"/>
    <cellStyle name="Normal 2 2 19 2 3" xfId="17219" xr:uid="{00000000-0005-0000-0000-000046430000}"/>
    <cellStyle name="Normal 2 2 19 2 3 2" xfId="17220" xr:uid="{00000000-0005-0000-0000-000047430000}"/>
    <cellStyle name="Normal 2 2 19 2 3 3" xfId="17221" xr:uid="{00000000-0005-0000-0000-000048430000}"/>
    <cellStyle name="Normal 2 2 19 2 4" xfId="17222" xr:uid="{00000000-0005-0000-0000-000049430000}"/>
    <cellStyle name="Normal 2 2 19 2 5" xfId="17223" xr:uid="{00000000-0005-0000-0000-00004A430000}"/>
    <cellStyle name="Normal 2 2 19 2 6" xfId="17224" xr:uid="{00000000-0005-0000-0000-00004B430000}"/>
    <cellStyle name="Normal 2 2 19 3" xfId="17225" xr:uid="{00000000-0005-0000-0000-00004C430000}"/>
    <cellStyle name="Normal 2 2 19 3 2" xfId="17226" xr:uid="{00000000-0005-0000-0000-00004D430000}"/>
    <cellStyle name="Normal 2 2 19 3 3" xfId="17227" xr:uid="{00000000-0005-0000-0000-00004E430000}"/>
    <cellStyle name="Normal 2 2 19 4" xfId="17228" xr:uid="{00000000-0005-0000-0000-00004F430000}"/>
    <cellStyle name="Normal 2 2 19 4 2" xfId="17229" xr:uid="{00000000-0005-0000-0000-000050430000}"/>
    <cellStyle name="Normal 2 2 19 4 3" xfId="17230" xr:uid="{00000000-0005-0000-0000-000051430000}"/>
    <cellStyle name="Normal 2 2 19 5" xfId="17231" xr:uid="{00000000-0005-0000-0000-000052430000}"/>
    <cellStyle name="Normal 2 2 19 6" xfId="17232" xr:uid="{00000000-0005-0000-0000-000053430000}"/>
    <cellStyle name="Normal 2 2 19 7" xfId="17233" xr:uid="{00000000-0005-0000-0000-000054430000}"/>
    <cellStyle name="Normal 2 2 2" xfId="17234" xr:uid="{00000000-0005-0000-0000-000055430000}"/>
    <cellStyle name="Normal 2 2 2 10" xfId="17235" xr:uid="{00000000-0005-0000-0000-000056430000}"/>
    <cellStyle name="Normal 2 2 2 10 2" xfId="17236" xr:uid="{00000000-0005-0000-0000-000057430000}"/>
    <cellStyle name="Normal 2 2 2 10 2 2" xfId="17237" xr:uid="{00000000-0005-0000-0000-000058430000}"/>
    <cellStyle name="Normal 2 2 2 10 2 2 2" xfId="17238" xr:uid="{00000000-0005-0000-0000-000059430000}"/>
    <cellStyle name="Normal 2 2 2 10 2 2 3" xfId="17239" xr:uid="{00000000-0005-0000-0000-00005A430000}"/>
    <cellStyle name="Normal 2 2 2 10 2 3" xfId="17240" xr:uid="{00000000-0005-0000-0000-00005B430000}"/>
    <cellStyle name="Normal 2 2 2 10 2 3 2" xfId="17241" xr:uid="{00000000-0005-0000-0000-00005C430000}"/>
    <cellStyle name="Normal 2 2 2 10 2 3 3" xfId="17242" xr:uid="{00000000-0005-0000-0000-00005D430000}"/>
    <cellStyle name="Normal 2 2 2 10 2 4" xfId="17243" xr:uid="{00000000-0005-0000-0000-00005E430000}"/>
    <cellStyle name="Normal 2 2 2 10 2 5" xfId="17244" xr:uid="{00000000-0005-0000-0000-00005F430000}"/>
    <cellStyle name="Normal 2 2 2 10 2 6" xfId="17245" xr:uid="{00000000-0005-0000-0000-000060430000}"/>
    <cellStyle name="Normal 2 2 2 10 3" xfId="17246" xr:uid="{00000000-0005-0000-0000-000061430000}"/>
    <cellStyle name="Normal 2 2 2 10 3 2" xfId="17247" xr:uid="{00000000-0005-0000-0000-000062430000}"/>
    <cellStyle name="Normal 2 2 2 10 3 3" xfId="17248" xr:uid="{00000000-0005-0000-0000-000063430000}"/>
    <cellStyle name="Normal 2 2 2 10 4" xfId="17249" xr:uid="{00000000-0005-0000-0000-000064430000}"/>
    <cellStyle name="Normal 2 2 2 10 4 2" xfId="17250" xr:uid="{00000000-0005-0000-0000-000065430000}"/>
    <cellStyle name="Normal 2 2 2 10 4 3" xfId="17251" xr:uid="{00000000-0005-0000-0000-000066430000}"/>
    <cellStyle name="Normal 2 2 2 10 5" xfId="17252" xr:uid="{00000000-0005-0000-0000-000067430000}"/>
    <cellStyle name="Normal 2 2 2 10 6" xfId="17253" xr:uid="{00000000-0005-0000-0000-000068430000}"/>
    <cellStyle name="Normal 2 2 2 10 7" xfId="17254" xr:uid="{00000000-0005-0000-0000-000069430000}"/>
    <cellStyle name="Normal 2 2 2 11" xfId="17255" xr:uid="{00000000-0005-0000-0000-00006A430000}"/>
    <cellStyle name="Normal 2 2 2 11 2" xfId="17256" xr:uid="{00000000-0005-0000-0000-00006B430000}"/>
    <cellStyle name="Normal 2 2 2 11 2 2" xfId="17257" xr:uid="{00000000-0005-0000-0000-00006C430000}"/>
    <cellStyle name="Normal 2 2 2 11 2 2 2" xfId="17258" xr:uid="{00000000-0005-0000-0000-00006D430000}"/>
    <cellStyle name="Normal 2 2 2 11 2 2 3" xfId="17259" xr:uid="{00000000-0005-0000-0000-00006E430000}"/>
    <cellStyle name="Normal 2 2 2 11 2 3" xfId="17260" xr:uid="{00000000-0005-0000-0000-00006F430000}"/>
    <cellStyle name="Normal 2 2 2 11 2 3 2" xfId="17261" xr:uid="{00000000-0005-0000-0000-000070430000}"/>
    <cellStyle name="Normal 2 2 2 11 2 3 3" xfId="17262" xr:uid="{00000000-0005-0000-0000-000071430000}"/>
    <cellStyle name="Normal 2 2 2 11 2 4" xfId="17263" xr:uid="{00000000-0005-0000-0000-000072430000}"/>
    <cellStyle name="Normal 2 2 2 11 2 5" xfId="17264" xr:uid="{00000000-0005-0000-0000-000073430000}"/>
    <cellStyle name="Normal 2 2 2 11 2 6" xfId="17265" xr:uid="{00000000-0005-0000-0000-000074430000}"/>
    <cellStyle name="Normal 2 2 2 11 3" xfId="17266" xr:uid="{00000000-0005-0000-0000-000075430000}"/>
    <cellStyle name="Normal 2 2 2 11 3 2" xfId="17267" xr:uid="{00000000-0005-0000-0000-000076430000}"/>
    <cellStyle name="Normal 2 2 2 11 3 3" xfId="17268" xr:uid="{00000000-0005-0000-0000-000077430000}"/>
    <cellStyle name="Normal 2 2 2 11 4" xfId="17269" xr:uid="{00000000-0005-0000-0000-000078430000}"/>
    <cellStyle name="Normal 2 2 2 11 4 2" xfId="17270" xr:uid="{00000000-0005-0000-0000-000079430000}"/>
    <cellStyle name="Normal 2 2 2 11 4 3" xfId="17271" xr:uid="{00000000-0005-0000-0000-00007A430000}"/>
    <cellStyle name="Normal 2 2 2 11 5" xfId="17272" xr:uid="{00000000-0005-0000-0000-00007B430000}"/>
    <cellStyle name="Normal 2 2 2 11 6" xfId="17273" xr:uid="{00000000-0005-0000-0000-00007C430000}"/>
    <cellStyle name="Normal 2 2 2 11 7" xfId="17274" xr:uid="{00000000-0005-0000-0000-00007D430000}"/>
    <cellStyle name="Normal 2 2 2 12" xfId="17275" xr:uid="{00000000-0005-0000-0000-00007E430000}"/>
    <cellStyle name="Normal 2 2 2 12 2" xfId="17276" xr:uid="{00000000-0005-0000-0000-00007F430000}"/>
    <cellStyle name="Normal 2 2 2 12 2 2" xfId="17277" xr:uid="{00000000-0005-0000-0000-000080430000}"/>
    <cellStyle name="Normal 2 2 2 12 2 2 2" xfId="17278" xr:uid="{00000000-0005-0000-0000-000081430000}"/>
    <cellStyle name="Normal 2 2 2 12 2 2 3" xfId="17279" xr:uid="{00000000-0005-0000-0000-000082430000}"/>
    <cellStyle name="Normal 2 2 2 12 2 3" xfId="17280" xr:uid="{00000000-0005-0000-0000-000083430000}"/>
    <cellStyle name="Normal 2 2 2 12 2 3 2" xfId="17281" xr:uid="{00000000-0005-0000-0000-000084430000}"/>
    <cellStyle name="Normal 2 2 2 12 2 3 3" xfId="17282" xr:uid="{00000000-0005-0000-0000-000085430000}"/>
    <cellStyle name="Normal 2 2 2 12 2 4" xfId="17283" xr:uid="{00000000-0005-0000-0000-000086430000}"/>
    <cellStyle name="Normal 2 2 2 12 2 5" xfId="17284" xr:uid="{00000000-0005-0000-0000-000087430000}"/>
    <cellStyle name="Normal 2 2 2 12 2 6" xfId="17285" xr:uid="{00000000-0005-0000-0000-000088430000}"/>
    <cellStyle name="Normal 2 2 2 12 3" xfId="17286" xr:uid="{00000000-0005-0000-0000-000089430000}"/>
    <cellStyle name="Normal 2 2 2 12 3 2" xfId="17287" xr:uid="{00000000-0005-0000-0000-00008A430000}"/>
    <cellStyle name="Normal 2 2 2 12 3 3" xfId="17288" xr:uid="{00000000-0005-0000-0000-00008B430000}"/>
    <cellStyle name="Normal 2 2 2 12 4" xfId="17289" xr:uid="{00000000-0005-0000-0000-00008C430000}"/>
    <cellStyle name="Normal 2 2 2 12 4 2" xfId="17290" xr:uid="{00000000-0005-0000-0000-00008D430000}"/>
    <cellStyle name="Normal 2 2 2 12 4 3" xfId="17291" xr:uid="{00000000-0005-0000-0000-00008E430000}"/>
    <cellStyle name="Normal 2 2 2 12 5" xfId="17292" xr:uid="{00000000-0005-0000-0000-00008F430000}"/>
    <cellStyle name="Normal 2 2 2 12 6" xfId="17293" xr:uid="{00000000-0005-0000-0000-000090430000}"/>
    <cellStyle name="Normal 2 2 2 12 7" xfId="17294" xr:uid="{00000000-0005-0000-0000-000091430000}"/>
    <cellStyle name="Normal 2 2 2 13" xfId="17295" xr:uid="{00000000-0005-0000-0000-000092430000}"/>
    <cellStyle name="Normal 2 2 2 13 2" xfId="17296" xr:uid="{00000000-0005-0000-0000-000093430000}"/>
    <cellStyle name="Normal 2 2 2 13 2 2" xfId="17297" xr:uid="{00000000-0005-0000-0000-000094430000}"/>
    <cellStyle name="Normal 2 2 2 13 2 2 2" xfId="17298" xr:uid="{00000000-0005-0000-0000-000095430000}"/>
    <cellStyle name="Normal 2 2 2 13 2 2 3" xfId="17299" xr:uid="{00000000-0005-0000-0000-000096430000}"/>
    <cellStyle name="Normal 2 2 2 13 2 3" xfId="17300" xr:uid="{00000000-0005-0000-0000-000097430000}"/>
    <cellStyle name="Normal 2 2 2 13 2 3 2" xfId="17301" xr:uid="{00000000-0005-0000-0000-000098430000}"/>
    <cellStyle name="Normal 2 2 2 13 2 3 3" xfId="17302" xr:uid="{00000000-0005-0000-0000-000099430000}"/>
    <cellStyle name="Normal 2 2 2 13 2 4" xfId="17303" xr:uid="{00000000-0005-0000-0000-00009A430000}"/>
    <cellStyle name="Normal 2 2 2 13 2 5" xfId="17304" xr:uid="{00000000-0005-0000-0000-00009B430000}"/>
    <cellStyle name="Normal 2 2 2 13 2 6" xfId="17305" xr:uid="{00000000-0005-0000-0000-00009C430000}"/>
    <cellStyle name="Normal 2 2 2 13 3" xfId="17306" xr:uid="{00000000-0005-0000-0000-00009D430000}"/>
    <cellStyle name="Normal 2 2 2 13 3 2" xfId="17307" xr:uid="{00000000-0005-0000-0000-00009E430000}"/>
    <cellStyle name="Normal 2 2 2 13 3 3" xfId="17308" xr:uid="{00000000-0005-0000-0000-00009F430000}"/>
    <cellStyle name="Normal 2 2 2 13 4" xfId="17309" xr:uid="{00000000-0005-0000-0000-0000A0430000}"/>
    <cellStyle name="Normal 2 2 2 13 4 2" xfId="17310" xr:uid="{00000000-0005-0000-0000-0000A1430000}"/>
    <cellStyle name="Normal 2 2 2 13 4 3" xfId="17311" xr:uid="{00000000-0005-0000-0000-0000A2430000}"/>
    <cellStyle name="Normal 2 2 2 13 5" xfId="17312" xr:uid="{00000000-0005-0000-0000-0000A3430000}"/>
    <cellStyle name="Normal 2 2 2 13 6" xfId="17313" xr:uid="{00000000-0005-0000-0000-0000A4430000}"/>
    <cellStyle name="Normal 2 2 2 13 7" xfId="17314" xr:uid="{00000000-0005-0000-0000-0000A5430000}"/>
    <cellStyle name="Normal 2 2 2 14" xfId="17315" xr:uid="{00000000-0005-0000-0000-0000A6430000}"/>
    <cellStyle name="Normal 2 2 2 14 2" xfId="17316" xr:uid="{00000000-0005-0000-0000-0000A7430000}"/>
    <cellStyle name="Normal 2 2 2 14 2 2" xfId="17317" xr:uid="{00000000-0005-0000-0000-0000A8430000}"/>
    <cellStyle name="Normal 2 2 2 14 2 3" xfId="17318" xr:uid="{00000000-0005-0000-0000-0000A9430000}"/>
    <cellStyle name="Normal 2 2 2 14 3" xfId="17319" xr:uid="{00000000-0005-0000-0000-0000AA430000}"/>
    <cellStyle name="Normal 2 2 2 14 3 2" xfId="17320" xr:uid="{00000000-0005-0000-0000-0000AB430000}"/>
    <cellStyle name="Normal 2 2 2 14 3 3" xfId="17321" xr:uid="{00000000-0005-0000-0000-0000AC430000}"/>
    <cellStyle name="Normal 2 2 2 14 4" xfId="17322" xr:uid="{00000000-0005-0000-0000-0000AD430000}"/>
    <cellStyle name="Normal 2 2 2 14 5" xfId="17323" xr:uid="{00000000-0005-0000-0000-0000AE430000}"/>
    <cellStyle name="Normal 2 2 2 14 6" xfId="17324" xr:uid="{00000000-0005-0000-0000-0000AF430000}"/>
    <cellStyle name="Normal 2 2 2 15" xfId="17325" xr:uid="{00000000-0005-0000-0000-0000B0430000}"/>
    <cellStyle name="Normal 2 2 2 15 2" xfId="17326" xr:uid="{00000000-0005-0000-0000-0000B1430000}"/>
    <cellStyle name="Normal 2 2 2 15 3" xfId="17327" xr:uid="{00000000-0005-0000-0000-0000B2430000}"/>
    <cellStyle name="Normal 2 2 2 16" xfId="17328" xr:uid="{00000000-0005-0000-0000-0000B3430000}"/>
    <cellStyle name="Normal 2 2 2 16 2" xfId="17329" xr:uid="{00000000-0005-0000-0000-0000B4430000}"/>
    <cellStyle name="Normal 2 2 2 16 3" xfId="17330" xr:uid="{00000000-0005-0000-0000-0000B5430000}"/>
    <cellStyle name="Normal 2 2 2 17" xfId="17331" xr:uid="{00000000-0005-0000-0000-0000B6430000}"/>
    <cellStyle name="Normal 2 2 2 17 2" xfId="17332" xr:uid="{00000000-0005-0000-0000-0000B7430000}"/>
    <cellStyle name="Normal 2 2 2 17 3" xfId="17333" xr:uid="{00000000-0005-0000-0000-0000B8430000}"/>
    <cellStyle name="Normal 2 2 2 18" xfId="17334" xr:uid="{00000000-0005-0000-0000-0000B9430000}"/>
    <cellStyle name="Normal 2 2 2 19" xfId="17335" xr:uid="{00000000-0005-0000-0000-0000BA430000}"/>
    <cellStyle name="Normal 2 2 2 2" xfId="17336" xr:uid="{00000000-0005-0000-0000-0000BB430000}"/>
    <cellStyle name="Normal 2 2 2 2 2" xfId="17337" xr:uid="{00000000-0005-0000-0000-0000BC430000}"/>
    <cellStyle name="Normal 2 2 2 2 2 2" xfId="17338" xr:uid="{00000000-0005-0000-0000-0000BD430000}"/>
    <cellStyle name="Normal 2 2 2 2 2 2 2" xfId="17339" xr:uid="{00000000-0005-0000-0000-0000BE430000}"/>
    <cellStyle name="Normal 2 2 2 2 2 2 3" xfId="17340" xr:uid="{00000000-0005-0000-0000-0000BF430000}"/>
    <cellStyle name="Normal 2 2 2 2 2 3" xfId="17341" xr:uid="{00000000-0005-0000-0000-0000C0430000}"/>
    <cellStyle name="Normal 2 2 2 2 2 3 2" xfId="17342" xr:uid="{00000000-0005-0000-0000-0000C1430000}"/>
    <cellStyle name="Normal 2 2 2 2 2 3 3" xfId="17343" xr:uid="{00000000-0005-0000-0000-0000C2430000}"/>
    <cellStyle name="Normal 2 2 2 2 2 4" xfId="17344" xr:uid="{00000000-0005-0000-0000-0000C3430000}"/>
    <cellStyle name="Normal 2 2 2 2 2 5" xfId="17345" xr:uid="{00000000-0005-0000-0000-0000C4430000}"/>
    <cellStyle name="Normal 2 2 2 2 2 6" xfId="17346" xr:uid="{00000000-0005-0000-0000-0000C5430000}"/>
    <cellStyle name="Normal 2 2 2 2 3" xfId="17347" xr:uid="{00000000-0005-0000-0000-0000C6430000}"/>
    <cellStyle name="Normal 2 2 2 2 3 2" xfId="17348" xr:uid="{00000000-0005-0000-0000-0000C7430000}"/>
    <cellStyle name="Normal 2 2 2 2 3 3" xfId="17349" xr:uid="{00000000-0005-0000-0000-0000C8430000}"/>
    <cellStyle name="Normal 2 2 2 2 4" xfId="17350" xr:uid="{00000000-0005-0000-0000-0000C9430000}"/>
    <cellStyle name="Normal 2 2 2 2 4 2" xfId="17351" xr:uid="{00000000-0005-0000-0000-0000CA430000}"/>
    <cellStyle name="Normal 2 2 2 2 4 3" xfId="17352" xr:uid="{00000000-0005-0000-0000-0000CB430000}"/>
    <cellStyle name="Normal 2 2 2 2 5" xfId="17353" xr:uid="{00000000-0005-0000-0000-0000CC430000}"/>
    <cellStyle name="Normal 2 2 2 2 5 2" xfId="17354" xr:uid="{00000000-0005-0000-0000-0000CD430000}"/>
    <cellStyle name="Normal 2 2 2 2 5 3" xfId="17355" xr:uid="{00000000-0005-0000-0000-0000CE430000}"/>
    <cellStyle name="Normal 2 2 2 2 6" xfId="17356" xr:uid="{00000000-0005-0000-0000-0000CF430000}"/>
    <cellStyle name="Normal 2 2 2 2 7" xfId="17357" xr:uid="{00000000-0005-0000-0000-0000D0430000}"/>
    <cellStyle name="Normal 2 2 2 2 8" xfId="17358" xr:uid="{00000000-0005-0000-0000-0000D1430000}"/>
    <cellStyle name="Normal 2 2 2 20" xfId="17359" xr:uid="{00000000-0005-0000-0000-0000D2430000}"/>
    <cellStyle name="Normal 2 2 2 3" xfId="17360" xr:uid="{00000000-0005-0000-0000-0000D3430000}"/>
    <cellStyle name="Normal 2 2 2 3 2" xfId="17361" xr:uid="{00000000-0005-0000-0000-0000D4430000}"/>
    <cellStyle name="Normal 2 2 2 3 2 2" xfId="17362" xr:uid="{00000000-0005-0000-0000-0000D5430000}"/>
    <cellStyle name="Normal 2 2 2 3 2 2 2" xfId="17363" xr:uid="{00000000-0005-0000-0000-0000D6430000}"/>
    <cellStyle name="Normal 2 2 2 3 2 2 3" xfId="17364" xr:uid="{00000000-0005-0000-0000-0000D7430000}"/>
    <cellStyle name="Normal 2 2 2 3 2 3" xfId="17365" xr:uid="{00000000-0005-0000-0000-0000D8430000}"/>
    <cellStyle name="Normal 2 2 2 3 2 3 2" xfId="17366" xr:uid="{00000000-0005-0000-0000-0000D9430000}"/>
    <cellStyle name="Normal 2 2 2 3 2 3 3" xfId="17367" xr:uid="{00000000-0005-0000-0000-0000DA430000}"/>
    <cellStyle name="Normal 2 2 2 3 2 4" xfId="17368" xr:uid="{00000000-0005-0000-0000-0000DB430000}"/>
    <cellStyle name="Normal 2 2 2 3 2 5" xfId="17369" xr:uid="{00000000-0005-0000-0000-0000DC430000}"/>
    <cellStyle name="Normal 2 2 2 3 2 6" xfId="17370" xr:uid="{00000000-0005-0000-0000-0000DD430000}"/>
    <cellStyle name="Normal 2 2 2 3 3" xfId="17371" xr:uid="{00000000-0005-0000-0000-0000DE430000}"/>
    <cellStyle name="Normal 2 2 2 3 3 2" xfId="17372" xr:uid="{00000000-0005-0000-0000-0000DF430000}"/>
    <cellStyle name="Normal 2 2 2 3 3 3" xfId="17373" xr:uid="{00000000-0005-0000-0000-0000E0430000}"/>
    <cellStyle name="Normal 2 2 2 3 4" xfId="17374" xr:uid="{00000000-0005-0000-0000-0000E1430000}"/>
    <cellStyle name="Normal 2 2 2 3 4 2" xfId="17375" xr:uid="{00000000-0005-0000-0000-0000E2430000}"/>
    <cellStyle name="Normal 2 2 2 3 4 3" xfId="17376" xr:uid="{00000000-0005-0000-0000-0000E3430000}"/>
    <cellStyle name="Normal 2 2 2 3 5" xfId="17377" xr:uid="{00000000-0005-0000-0000-0000E4430000}"/>
    <cellStyle name="Normal 2 2 2 3 5 2" xfId="17378" xr:uid="{00000000-0005-0000-0000-0000E5430000}"/>
    <cellStyle name="Normal 2 2 2 3 5 3" xfId="17379" xr:uid="{00000000-0005-0000-0000-0000E6430000}"/>
    <cellStyle name="Normal 2 2 2 3 6" xfId="17380" xr:uid="{00000000-0005-0000-0000-0000E7430000}"/>
    <cellStyle name="Normal 2 2 2 3 7" xfId="17381" xr:uid="{00000000-0005-0000-0000-0000E8430000}"/>
    <cellStyle name="Normal 2 2 2 3 8" xfId="17382" xr:uid="{00000000-0005-0000-0000-0000E9430000}"/>
    <cellStyle name="Normal 2 2 2 4" xfId="17383" xr:uid="{00000000-0005-0000-0000-0000EA430000}"/>
    <cellStyle name="Normal 2 2 2 4 2" xfId="17384" xr:uid="{00000000-0005-0000-0000-0000EB430000}"/>
    <cellStyle name="Normal 2 2 2 4 2 2" xfId="17385" xr:uid="{00000000-0005-0000-0000-0000EC430000}"/>
    <cellStyle name="Normal 2 2 2 4 2 2 2" xfId="17386" xr:uid="{00000000-0005-0000-0000-0000ED430000}"/>
    <cellStyle name="Normal 2 2 2 4 2 2 3" xfId="17387" xr:uid="{00000000-0005-0000-0000-0000EE430000}"/>
    <cellStyle name="Normal 2 2 2 4 2 3" xfId="17388" xr:uid="{00000000-0005-0000-0000-0000EF430000}"/>
    <cellStyle name="Normal 2 2 2 4 2 3 2" xfId="17389" xr:uid="{00000000-0005-0000-0000-0000F0430000}"/>
    <cellStyle name="Normal 2 2 2 4 2 3 3" xfId="17390" xr:uid="{00000000-0005-0000-0000-0000F1430000}"/>
    <cellStyle name="Normal 2 2 2 4 2 4" xfId="17391" xr:uid="{00000000-0005-0000-0000-0000F2430000}"/>
    <cellStyle name="Normal 2 2 2 4 2 5" xfId="17392" xr:uid="{00000000-0005-0000-0000-0000F3430000}"/>
    <cellStyle name="Normal 2 2 2 4 2 6" xfId="17393" xr:uid="{00000000-0005-0000-0000-0000F4430000}"/>
    <cellStyle name="Normal 2 2 2 4 3" xfId="17394" xr:uid="{00000000-0005-0000-0000-0000F5430000}"/>
    <cellStyle name="Normal 2 2 2 4 3 2" xfId="17395" xr:uid="{00000000-0005-0000-0000-0000F6430000}"/>
    <cellStyle name="Normal 2 2 2 4 3 3" xfId="17396" xr:uid="{00000000-0005-0000-0000-0000F7430000}"/>
    <cellStyle name="Normal 2 2 2 4 4" xfId="17397" xr:uid="{00000000-0005-0000-0000-0000F8430000}"/>
    <cellStyle name="Normal 2 2 2 4 4 2" xfId="17398" xr:uid="{00000000-0005-0000-0000-0000F9430000}"/>
    <cellStyle name="Normal 2 2 2 4 4 3" xfId="17399" xr:uid="{00000000-0005-0000-0000-0000FA430000}"/>
    <cellStyle name="Normal 2 2 2 4 5" xfId="17400" xr:uid="{00000000-0005-0000-0000-0000FB430000}"/>
    <cellStyle name="Normal 2 2 2 4 6" xfId="17401" xr:uid="{00000000-0005-0000-0000-0000FC430000}"/>
    <cellStyle name="Normal 2 2 2 4 7" xfId="17402" xr:uid="{00000000-0005-0000-0000-0000FD430000}"/>
    <cellStyle name="Normal 2 2 2 5" xfId="17403" xr:uid="{00000000-0005-0000-0000-0000FE430000}"/>
    <cellStyle name="Normal 2 2 2 5 2" xfId="17404" xr:uid="{00000000-0005-0000-0000-0000FF430000}"/>
    <cellStyle name="Normal 2 2 2 5 2 2" xfId="17405" xr:uid="{00000000-0005-0000-0000-000000440000}"/>
    <cellStyle name="Normal 2 2 2 5 2 2 2" xfId="17406" xr:uid="{00000000-0005-0000-0000-000001440000}"/>
    <cellStyle name="Normal 2 2 2 5 2 2 3" xfId="17407" xr:uid="{00000000-0005-0000-0000-000002440000}"/>
    <cellStyle name="Normal 2 2 2 5 2 3" xfId="17408" xr:uid="{00000000-0005-0000-0000-000003440000}"/>
    <cellStyle name="Normal 2 2 2 5 2 3 2" xfId="17409" xr:uid="{00000000-0005-0000-0000-000004440000}"/>
    <cellStyle name="Normal 2 2 2 5 2 3 3" xfId="17410" xr:uid="{00000000-0005-0000-0000-000005440000}"/>
    <cellStyle name="Normal 2 2 2 5 2 4" xfId="17411" xr:uid="{00000000-0005-0000-0000-000006440000}"/>
    <cellStyle name="Normal 2 2 2 5 2 5" xfId="17412" xr:uid="{00000000-0005-0000-0000-000007440000}"/>
    <cellStyle name="Normal 2 2 2 5 2 6" xfId="17413" xr:uid="{00000000-0005-0000-0000-000008440000}"/>
    <cellStyle name="Normal 2 2 2 5 3" xfId="17414" xr:uid="{00000000-0005-0000-0000-000009440000}"/>
    <cellStyle name="Normal 2 2 2 5 3 2" xfId="17415" xr:uid="{00000000-0005-0000-0000-00000A440000}"/>
    <cellStyle name="Normal 2 2 2 5 3 3" xfId="17416" xr:uid="{00000000-0005-0000-0000-00000B440000}"/>
    <cellStyle name="Normal 2 2 2 5 4" xfId="17417" xr:uid="{00000000-0005-0000-0000-00000C440000}"/>
    <cellStyle name="Normal 2 2 2 5 4 2" xfId="17418" xr:uid="{00000000-0005-0000-0000-00000D440000}"/>
    <cellStyle name="Normal 2 2 2 5 4 3" xfId="17419" xr:uid="{00000000-0005-0000-0000-00000E440000}"/>
    <cellStyle name="Normal 2 2 2 5 5" xfId="17420" xr:uid="{00000000-0005-0000-0000-00000F440000}"/>
    <cellStyle name="Normal 2 2 2 5 6" xfId="17421" xr:uid="{00000000-0005-0000-0000-000010440000}"/>
    <cellStyle name="Normal 2 2 2 5 7" xfId="17422" xr:uid="{00000000-0005-0000-0000-000011440000}"/>
    <cellStyle name="Normal 2 2 2 6" xfId="17423" xr:uid="{00000000-0005-0000-0000-000012440000}"/>
    <cellStyle name="Normal 2 2 2 6 2" xfId="17424" xr:uid="{00000000-0005-0000-0000-000013440000}"/>
    <cellStyle name="Normal 2 2 2 6 2 2" xfId="17425" xr:uid="{00000000-0005-0000-0000-000014440000}"/>
    <cellStyle name="Normal 2 2 2 6 2 2 2" xfId="17426" xr:uid="{00000000-0005-0000-0000-000015440000}"/>
    <cellStyle name="Normal 2 2 2 6 2 2 3" xfId="17427" xr:uid="{00000000-0005-0000-0000-000016440000}"/>
    <cellStyle name="Normal 2 2 2 6 2 3" xfId="17428" xr:uid="{00000000-0005-0000-0000-000017440000}"/>
    <cellStyle name="Normal 2 2 2 6 2 3 2" xfId="17429" xr:uid="{00000000-0005-0000-0000-000018440000}"/>
    <cellStyle name="Normal 2 2 2 6 2 3 3" xfId="17430" xr:uid="{00000000-0005-0000-0000-000019440000}"/>
    <cellStyle name="Normal 2 2 2 6 2 4" xfId="17431" xr:uid="{00000000-0005-0000-0000-00001A440000}"/>
    <cellStyle name="Normal 2 2 2 6 2 5" xfId="17432" xr:uid="{00000000-0005-0000-0000-00001B440000}"/>
    <cellStyle name="Normal 2 2 2 6 2 6" xfId="17433" xr:uid="{00000000-0005-0000-0000-00001C440000}"/>
    <cellStyle name="Normal 2 2 2 6 3" xfId="17434" xr:uid="{00000000-0005-0000-0000-00001D440000}"/>
    <cellStyle name="Normal 2 2 2 6 3 2" xfId="17435" xr:uid="{00000000-0005-0000-0000-00001E440000}"/>
    <cellStyle name="Normal 2 2 2 6 3 3" xfId="17436" xr:uid="{00000000-0005-0000-0000-00001F440000}"/>
    <cellStyle name="Normal 2 2 2 6 4" xfId="17437" xr:uid="{00000000-0005-0000-0000-000020440000}"/>
    <cellStyle name="Normal 2 2 2 6 4 2" xfId="17438" xr:uid="{00000000-0005-0000-0000-000021440000}"/>
    <cellStyle name="Normal 2 2 2 6 4 3" xfId="17439" xr:uid="{00000000-0005-0000-0000-000022440000}"/>
    <cellStyle name="Normal 2 2 2 6 5" xfId="17440" xr:uid="{00000000-0005-0000-0000-000023440000}"/>
    <cellStyle name="Normal 2 2 2 6 6" xfId="17441" xr:uid="{00000000-0005-0000-0000-000024440000}"/>
    <cellStyle name="Normal 2 2 2 6 7" xfId="17442" xr:uid="{00000000-0005-0000-0000-000025440000}"/>
    <cellStyle name="Normal 2 2 2 7" xfId="17443" xr:uid="{00000000-0005-0000-0000-000026440000}"/>
    <cellStyle name="Normal 2 2 2 7 2" xfId="17444" xr:uid="{00000000-0005-0000-0000-000027440000}"/>
    <cellStyle name="Normal 2 2 2 7 2 2" xfId="17445" xr:uid="{00000000-0005-0000-0000-000028440000}"/>
    <cellStyle name="Normal 2 2 2 7 2 2 2" xfId="17446" xr:uid="{00000000-0005-0000-0000-000029440000}"/>
    <cellStyle name="Normal 2 2 2 7 2 2 3" xfId="17447" xr:uid="{00000000-0005-0000-0000-00002A440000}"/>
    <cellStyle name="Normal 2 2 2 7 2 3" xfId="17448" xr:uid="{00000000-0005-0000-0000-00002B440000}"/>
    <cellStyle name="Normal 2 2 2 7 2 3 2" xfId="17449" xr:uid="{00000000-0005-0000-0000-00002C440000}"/>
    <cellStyle name="Normal 2 2 2 7 2 3 3" xfId="17450" xr:uid="{00000000-0005-0000-0000-00002D440000}"/>
    <cellStyle name="Normal 2 2 2 7 2 4" xfId="17451" xr:uid="{00000000-0005-0000-0000-00002E440000}"/>
    <cellStyle name="Normal 2 2 2 7 2 5" xfId="17452" xr:uid="{00000000-0005-0000-0000-00002F440000}"/>
    <cellStyle name="Normal 2 2 2 7 2 6" xfId="17453" xr:uid="{00000000-0005-0000-0000-000030440000}"/>
    <cellStyle name="Normal 2 2 2 7 3" xfId="17454" xr:uid="{00000000-0005-0000-0000-000031440000}"/>
    <cellStyle name="Normal 2 2 2 7 3 2" xfId="17455" xr:uid="{00000000-0005-0000-0000-000032440000}"/>
    <cellStyle name="Normal 2 2 2 7 3 3" xfId="17456" xr:uid="{00000000-0005-0000-0000-000033440000}"/>
    <cellStyle name="Normal 2 2 2 7 4" xfId="17457" xr:uid="{00000000-0005-0000-0000-000034440000}"/>
    <cellStyle name="Normal 2 2 2 7 4 2" xfId="17458" xr:uid="{00000000-0005-0000-0000-000035440000}"/>
    <cellStyle name="Normal 2 2 2 7 4 3" xfId="17459" xr:uid="{00000000-0005-0000-0000-000036440000}"/>
    <cellStyle name="Normal 2 2 2 7 5" xfId="17460" xr:uid="{00000000-0005-0000-0000-000037440000}"/>
    <cellStyle name="Normal 2 2 2 7 6" xfId="17461" xr:uid="{00000000-0005-0000-0000-000038440000}"/>
    <cellStyle name="Normal 2 2 2 7 7" xfId="17462" xr:uid="{00000000-0005-0000-0000-000039440000}"/>
    <cellStyle name="Normal 2 2 2 8" xfId="17463" xr:uid="{00000000-0005-0000-0000-00003A440000}"/>
    <cellStyle name="Normal 2 2 2 8 2" xfId="17464" xr:uid="{00000000-0005-0000-0000-00003B440000}"/>
    <cellStyle name="Normal 2 2 2 8 2 2" xfId="17465" xr:uid="{00000000-0005-0000-0000-00003C440000}"/>
    <cellStyle name="Normal 2 2 2 8 2 2 2" xfId="17466" xr:uid="{00000000-0005-0000-0000-00003D440000}"/>
    <cellStyle name="Normal 2 2 2 8 2 2 3" xfId="17467" xr:uid="{00000000-0005-0000-0000-00003E440000}"/>
    <cellStyle name="Normal 2 2 2 8 2 3" xfId="17468" xr:uid="{00000000-0005-0000-0000-00003F440000}"/>
    <cellStyle name="Normal 2 2 2 8 2 3 2" xfId="17469" xr:uid="{00000000-0005-0000-0000-000040440000}"/>
    <cellStyle name="Normal 2 2 2 8 2 3 3" xfId="17470" xr:uid="{00000000-0005-0000-0000-000041440000}"/>
    <cellStyle name="Normal 2 2 2 8 2 4" xfId="17471" xr:uid="{00000000-0005-0000-0000-000042440000}"/>
    <cellStyle name="Normal 2 2 2 8 2 5" xfId="17472" xr:uid="{00000000-0005-0000-0000-000043440000}"/>
    <cellStyle name="Normal 2 2 2 8 2 6" xfId="17473" xr:uid="{00000000-0005-0000-0000-000044440000}"/>
    <cellStyle name="Normal 2 2 2 8 3" xfId="17474" xr:uid="{00000000-0005-0000-0000-000045440000}"/>
    <cellStyle name="Normal 2 2 2 8 3 2" xfId="17475" xr:uid="{00000000-0005-0000-0000-000046440000}"/>
    <cellStyle name="Normal 2 2 2 8 3 3" xfId="17476" xr:uid="{00000000-0005-0000-0000-000047440000}"/>
    <cellStyle name="Normal 2 2 2 8 4" xfId="17477" xr:uid="{00000000-0005-0000-0000-000048440000}"/>
    <cellStyle name="Normal 2 2 2 8 4 2" xfId="17478" xr:uid="{00000000-0005-0000-0000-000049440000}"/>
    <cellStyle name="Normal 2 2 2 8 4 3" xfId="17479" xr:uid="{00000000-0005-0000-0000-00004A440000}"/>
    <cellStyle name="Normal 2 2 2 8 5" xfId="17480" xr:uid="{00000000-0005-0000-0000-00004B440000}"/>
    <cellStyle name="Normal 2 2 2 8 6" xfId="17481" xr:uid="{00000000-0005-0000-0000-00004C440000}"/>
    <cellStyle name="Normal 2 2 2 8 7" xfId="17482" xr:uid="{00000000-0005-0000-0000-00004D440000}"/>
    <cellStyle name="Normal 2 2 2 9" xfId="17483" xr:uid="{00000000-0005-0000-0000-00004E440000}"/>
    <cellStyle name="Normal 2 2 2 9 2" xfId="17484" xr:uid="{00000000-0005-0000-0000-00004F440000}"/>
    <cellStyle name="Normal 2 2 2 9 2 2" xfId="17485" xr:uid="{00000000-0005-0000-0000-000050440000}"/>
    <cellStyle name="Normal 2 2 2 9 2 2 2" xfId="17486" xr:uid="{00000000-0005-0000-0000-000051440000}"/>
    <cellStyle name="Normal 2 2 2 9 2 2 3" xfId="17487" xr:uid="{00000000-0005-0000-0000-000052440000}"/>
    <cellStyle name="Normal 2 2 2 9 2 3" xfId="17488" xr:uid="{00000000-0005-0000-0000-000053440000}"/>
    <cellStyle name="Normal 2 2 2 9 2 3 2" xfId="17489" xr:uid="{00000000-0005-0000-0000-000054440000}"/>
    <cellStyle name="Normal 2 2 2 9 2 3 3" xfId="17490" xr:uid="{00000000-0005-0000-0000-000055440000}"/>
    <cellStyle name="Normal 2 2 2 9 2 4" xfId="17491" xr:uid="{00000000-0005-0000-0000-000056440000}"/>
    <cellStyle name="Normal 2 2 2 9 2 5" xfId="17492" xr:uid="{00000000-0005-0000-0000-000057440000}"/>
    <cellStyle name="Normal 2 2 2 9 2 6" xfId="17493" xr:uid="{00000000-0005-0000-0000-000058440000}"/>
    <cellStyle name="Normal 2 2 2 9 3" xfId="17494" xr:uid="{00000000-0005-0000-0000-000059440000}"/>
    <cellStyle name="Normal 2 2 2 9 3 2" xfId="17495" xr:uid="{00000000-0005-0000-0000-00005A440000}"/>
    <cellStyle name="Normal 2 2 2 9 3 3" xfId="17496" xr:uid="{00000000-0005-0000-0000-00005B440000}"/>
    <cellStyle name="Normal 2 2 2 9 4" xfId="17497" xr:uid="{00000000-0005-0000-0000-00005C440000}"/>
    <cellStyle name="Normal 2 2 2 9 4 2" xfId="17498" xr:uid="{00000000-0005-0000-0000-00005D440000}"/>
    <cellStyle name="Normal 2 2 2 9 4 3" xfId="17499" xr:uid="{00000000-0005-0000-0000-00005E440000}"/>
    <cellStyle name="Normal 2 2 2 9 5" xfId="17500" xr:uid="{00000000-0005-0000-0000-00005F440000}"/>
    <cellStyle name="Normal 2 2 2 9 6" xfId="17501" xr:uid="{00000000-0005-0000-0000-000060440000}"/>
    <cellStyle name="Normal 2 2 2 9 7" xfId="17502" xr:uid="{00000000-0005-0000-0000-000061440000}"/>
    <cellStyle name="Normal 2 2 20" xfId="17503" xr:uid="{00000000-0005-0000-0000-000062440000}"/>
    <cellStyle name="Normal 2 2 20 2" xfId="17504" xr:uid="{00000000-0005-0000-0000-000063440000}"/>
    <cellStyle name="Normal 2 2 20 2 2" xfId="17505" xr:uid="{00000000-0005-0000-0000-000064440000}"/>
    <cellStyle name="Normal 2 2 20 2 2 2" xfId="17506" xr:uid="{00000000-0005-0000-0000-000065440000}"/>
    <cellStyle name="Normal 2 2 20 2 2 3" xfId="17507" xr:uid="{00000000-0005-0000-0000-000066440000}"/>
    <cellStyle name="Normal 2 2 20 2 3" xfId="17508" xr:uid="{00000000-0005-0000-0000-000067440000}"/>
    <cellStyle name="Normal 2 2 20 2 3 2" xfId="17509" xr:uid="{00000000-0005-0000-0000-000068440000}"/>
    <cellStyle name="Normal 2 2 20 2 3 3" xfId="17510" xr:uid="{00000000-0005-0000-0000-000069440000}"/>
    <cellStyle name="Normal 2 2 20 2 4" xfId="17511" xr:uid="{00000000-0005-0000-0000-00006A440000}"/>
    <cellStyle name="Normal 2 2 20 2 5" xfId="17512" xr:uid="{00000000-0005-0000-0000-00006B440000}"/>
    <cellStyle name="Normal 2 2 20 2 6" xfId="17513" xr:uid="{00000000-0005-0000-0000-00006C440000}"/>
    <cellStyle name="Normal 2 2 20 3" xfId="17514" xr:uid="{00000000-0005-0000-0000-00006D440000}"/>
    <cellStyle name="Normal 2 2 20 3 2" xfId="17515" xr:uid="{00000000-0005-0000-0000-00006E440000}"/>
    <cellStyle name="Normal 2 2 20 3 3" xfId="17516" xr:uid="{00000000-0005-0000-0000-00006F440000}"/>
    <cellStyle name="Normal 2 2 20 4" xfId="17517" xr:uid="{00000000-0005-0000-0000-000070440000}"/>
    <cellStyle name="Normal 2 2 20 4 2" xfId="17518" xr:uid="{00000000-0005-0000-0000-000071440000}"/>
    <cellStyle name="Normal 2 2 20 4 3" xfId="17519" xr:uid="{00000000-0005-0000-0000-000072440000}"/>
    <cellStyle name="Normal 2 2 20 5" xfId="17520" xr:uid="{00000000-0005-0000-0000-000073440000}"/>
    <cellStyle name="Normal 2 2 20 6" xfId="17521" xr:uid="{00000000-0005-0000-0000-000074440000}"/>
    <cellStyle name="Normal 2 2 20 7" xfId="17522" xr:uid="{00000000-0005-0000-0000-000075440000}"/>
    <cellStyle name="Normal 2 2 21" xfId="17523" xr:uid="{00000000-0005-0000-0000-000076440000}"/>
    <cellStyle name="Normal 2 2 21 2" xfId="17524" xr:uid="{00000000-0005-0000-0000-000077440000}"/>
    <cellStyle name="Normal 2 2 21 2 2" xfId="17525" xr:uid="{00000000-0005-0000-0000-000078440000}"/>
    <cellStyle name="Normal 2 2 21 2 2 2" xfId="17526" xr:uid="{00000000-0005-0000-0000-000079440000}"/>
    <cellStyle name="Normal 2 2 21 2 2 3" xfId="17527" xr:uid="{00000000-0005-0000-0000-00007A440000}"/>
    <cellStyle name="Normal 2 2 21 2 3" xfId="17528" xr:uid="{00000000-0005-0000-0000-00007B440000}"/>
    <cellStyle name="Normal 2 2 21 2 3 2" xfId="17529" xr:uid="{00000000-0005-0000-0000-00007C440000}"/>
    <cellStyle name="Normal 2 2 21 2 3 3" xfId="17530" xr:uid="{00000000-0005-0000-0000-00007D440000}"/>
    <cellStyle name="Normal 2 2 21 2 4" xfId="17531" xr:uid="{00000000-0005-0000-0000-00007E440000}"/>
    <cellStyle name="Normal 2 2 21 2 5" xfId="17532" xr:uid="{00000000-0005-0000-0000-00007F440000}"/>
    <cellStyle name="Normal 2 2 21 2 6" xfId="17533" xr:uid="{00000000-0005-0000-0000-000080440000}"/>
    <cellStyle name="Normal 2 2 21 3" xfId="17534" xr:uid="{00000000-0005-0000-0000-000081440000}"/>
    <cellStyle name="Normal 2 2 21 3 2" xfId="17535" xr:uid="{00000000-0005-0000-0000-000082440000}"/>
    <cellStyle name="Normal 2 2 21 3 3" xfId="17536" xr:uid="{00000000-0005-0000-0000-000083440000}"/>
    <cellStyle name="Normal 2 2 21 4" xfId="17537" xr:uid="{00000000-0005-0000-0000-000084440000}"/>
    <cellStyle name="Normal 2 2 21 4 2" xfId="17538" xr:uid="{00000000-0005-0000-0000-000085440000}"/>
    <cellStyle name="Normal 2 2 21 4 3" xfId="17539" xr:uid="{00000000-0005-0000-0000-000086440000}"/>
    <cellStyle name="Normal 2 2 21 5" xfId="17540" xr:uid="{00000000-0005-0000-0000-000087440000}"/>
    <cellStyle name="Normal 2 2 21 6" xfId="17541" xr:uid="{00000000-0005-0000-0000-000088440000}"/>
    <cellStyle name="Normal 2 2 21 7" xfId="17542" xr:uid="{00000000-0005-0000-0000-000089440000}"/>
    <cellStyle name="Normal 2 2 22" xfId="17543" xr:uid="{00000000-0005-0000-0000-00008A440000}"/>
    <cellStyle name="Normal 2 2 22 2" xfId="17544" xr:uid="{00000000-0005-0000-0000-00008B440000}"/>
    <cellStyle name="Normal 2 2 22 2 2" xfId="17545" xr:uid="{00000000-0005-0000-0000-00008C440000}"/>
    <cellStyle name="Normal 2 2 22 2 2 2" xfId="17546" xr:uid="{00000000-0005-0000-0000-00008D440000}"/>
    <cellStyle name="Normal 2 2 22 2 2 3" xfId="17547" xr:uid="{00000000-0005-0000-0000-00008E440000}"/>
    <cellStyle name="Normal 2 2 22 2 3" xfId="17548" xr:uid="{00000000-0005-0000-0000-00008F440000}"/>
    <cellStyle name="Normal 2 2 22 2 3 2" xfId="17549" xr:uid="{00000000-0005-0000-0000-000090440000}"/>
    <cellStyle name="Normal 2 2 22 2 3 3" xfId="17550" xr:uid="{00000000-0005-0000-0000-000091440000}"/>
    <cellStyle name="Normal 2 2 22 2 4" xfId="17551" xr:uid="{00000000-0005-0000-0000-000092440000}"/>
    <cellStyle name="Normal 2 2 22 2 5" xfId="17552" xr:uid="{00000000-0005-0000-0000-000093440000}"/>
    <cellStyle name="Normal 2 2 22 2 6" xfId="17553" xr:uid="{00000000-0005-0000-0000-000094440000}"/>
    <cellStyle name="Normal 2 2 22 3" xfId="17554" xr:uid="{00000000-0005-0000-0000-000095440000}"/>
    <cellStyle name="Normal 2 2 22 3 2" xfId="17555" xr:uid="{00000000-0005-0000-0000-000096440000}"/>
    <cellStyle name="Normal 2 2 22 3 3" xfId="17556" xr:uid="{00000000-0005-0000-0000-000097440000}"/>
    <cellStyle name="Normal 2 2 22 4" xfId="17557" xr:uid="{00000000-0005-0000-0000-000098440000}"/>
    <cellStyle name="Normal 2 2 22 4 2" xfId="17558" xr:uid="{00000000-0005-0000-0000-000099440000}"/>
    <cellStyle name="Normal 2 2 22 4 3" xfId="17559" xr:uid="{00000000-0005-0000-0000-00009A440000}"/>
    <cellStyle name="Normal 2 2 22 5" xfId="17560" xr:uid="{00000000-0005-0000-0000-00009B440000}"/>
    <cellStyle name="Normal 2 2 22 6" xfId="17561" xr:uid="{00000000-0005-0000-0000-00009C440000}"/>
    <cellStyle name="Normal 2 2 22 7" xfId="17562" xr:uid="{00000000-0005-0000-0000-00009D440000}"/>
    <cellStyle name="Normal 2 2 23" xfId="17563" xr:uid="{00000000-0005-0000-0000-00009E440000}"/>
    <cellStyle name="Normal 2 2 23 2" xfId="17564" xr:uid="{00000000-0005-0000-0000-00009F440000}"/>
    <cellStyle name="Normal 2 2 23 2 2" xfId="17565" xr:uid="{00000000-0005-0000-0000-0000A0440000}"/>
    <cellStyle name="Normal 2 2 23 2 2 2" xfId="17566" xr:uid="{00000000-0005-0000-0000-0000A1440000}"/>
    <cellStyle name="Normal 2 2 23 2 2 3" xfId="17567" xr:uid="{00000000-0005-0000-0000-0000A2440000}"/>
    <cellStyle name="Normal 2 2 23 2 3" xfId="17568" xr:uid="{00000000-0005-0000-0000-0000A3440000}"/>
    <cellStyle name="Normal 2 2 23 2 3 2" xfId="17569" xr:uid="{00000000-0005-0000-0000-0000A4440000}"/>
    <cellStyle name="Normal 2 2 23 2 3 3" xfId="17570" xr:uid="{00000000-0005-0000-0000-0000A5440000}"/>
    <cellStyle name="Normal 2 2 23 2 4" xfId="17571" xr:uid="{00000000-0005-0000-0000-0000A6440000}"/>
    <cellStyle name="Normal 2 2 23 2 5" xfId="17572" xr:uid="{00000000-0005-0000-0000-0000A7440000}"/>
    <cellStyle name="Normal 2 2 23 2 6" xfId="17573" xr:uid="{00000000-0005-0000-0000-0000A8440000}"/>
    <cellStyle name="Normal 2 2 23 3" xfId="17574" xr:uid="{00000000-0005-0000-0000-0000A9440000}"/>
    <cellStyle name="Normal 2 2 23 3 2" xfId="17575" xr:uid="{00000000-0005-0000-0000-0000AA440000}"/>
    <cellStyle name="Normal 2 2 23 3 3" xfId="17576" xr:uid="{00000000-0005-0000-0000-0000AB440000}"/>
    <cellStyle name="Normal 2 2 23 4" xfId="17577" xr:uid="{00000000-0005-0000-0000-0000AC440000}"/>
    <cellStyle name="Normal 2 2 23 4 2" xfId="17578" xr:uid="{00000000-0005-0000-0000-0000AD440000}"/>
    <cellStyle name="Normal 2 2 23 4 3" xfId="17579" xr:uid="{00000000-0005-0000-0000-0000AE440000}"/>
    <cellStyle name="Normal 2 2 23 5" xfId="17580" xr:uid="{00000000-0005-0000-0000-0000AF440000}"/>
    <cellStyle name="Normal 2 2 23 6" xfId="17581" xr:uid="{00000000-0005-0000-0000-0000B0440000}"/>
    <cellStyle name="Normal 2 2 23 7" xfId="17582" xr:uid="{00000000-0005-0000-0000-0000B1440000}"/>
    <cellStyle name="Normal 2 2 24" xfId="17583" xr:uid="{00000000-0005-0000-0000-0000B2440000}"/>
    <cellStyle name="Normal 2 2 24 2" xfId="17584" xr:uid="{00000000-0005-0000-0000-0000B3440000}"/>
    <cellStyle name="Normal 2 2 24 2 2" xfId="17585" xr:uid="{00000000-0005-0000-0000-0000B4440000}"/>
    <cellStyle name="Normal 2 2 24 2 2 2" xfId="17586" xr:uid="{00000000-0005-0000-0000-0000B5440000}"/>
    <cellStyle name="Normal 2 2 24 2 2 3" xfId="17587" xr:uid="{00000000-0005-0000-0000-0000B6440000}"/>
    <cellStyle name="Normal 2 2 24 2 3" xfId="17588" xr:uid="{00000000-0005-0000-0000-0000B7440000}"/>
    <cellStyle name="Normal 2 2 24 2 3 2" xfId="17589" xr:uid="{00000000-0005-0000-0000-0000B8440000}"/>
    <cellStyle name="Normal 2 2 24 2 3 3" xfId="17590" xr:uid="{00000000-0005-0000-0000-0000B9440000}"/>
    <cellStyle name="Normal 2 2 24 2 4" xfId="17591" xr:uid="{00000000-0005-0000-0000-0000BA440000}"/>
    <cellStyle name="Normal 2 2 24 2 5" xfId="17592" xr:uid="{00000000-0005-0000-0000-0000BB440000}"/>
    <cellStyle name="Normal 2 2 24 2 6" xfId="17593" xr:uid="{00000000-0005-0000-0000-0000BC440000}"/>
    <cellStyle name="Normal 2 2 24 3" xfId="17594" xr:uid="{00000000-0005-0000-0000-0000BD440000}"/>
    <cellStyle name="Normal 2 2 24 3 2" xfId="17595" xr:uid="{00000000-0005-0000-0000-0000BE440000}"/>
    <cellStyle name="Normal 2 2 24 3 3" xfId="17596" xr:uid="{00000000-0005-0000-0000-0000BF440000}"/>
    <cellStyle name="Normal 2 2 24 4" xfId="17597" xr:uid="{00000000-0005-0000-0000-0000C0440000}"/>
    <cellStyle name="Normal 2 2 24 4 2" xfId="17598" xr:uid="{00000000-0005-0000-0000-0000C1440000}"/>
    <cellStyle name="Normal 2 2 24 4 3" xfId="17599" xr:uid="{00000000-0005-0000-0000-0000C2440000}"/>
    <cellStyle name="Normal 2 2 24 5" xfId="17600" xr:uid="{00000000-0005-0000-0000-0000C3440000}"/>
    <cellStyle name="Normal 2 2 24 6" xfId="17601" xr:uid="{00000000-0005-0000-0000-0000C4440000}"/>
    <cellStyle name="Normal 2 2 24 7" xfId="17602" xr:uid="{00000000-0005-0000-0000-0000C5440000}"/>
    <cellStyle name="Normal 2 2 25" xfId="17603" xr:uid="{00000000-0005-0000-0000-0000C6440000}"/>
    <cellStyle name="Normal 2 2 25 2" xfId="17604" xr:uid="{00000000-0005-0000-0000-0000C7440000}"/>
    <cellStyle name="Normal 2 2 25 2 2" xfId="17605" xr:uid="{00000000-0005-0000-0000-0000C8440000}"/>
    <cellStyle name="Normal 2 2 25 2 2 2" xfId="17606" xr:uid="{00000000-0005-0000-0000-0000C9440000}"/>
    <cellStyle name="Normal 2 2 25 2 2 3" xfId="17607" xr:uid="{00000000-0005-0000-0000-0000CA440000}"/>
    <cellStyle name="Normal 2 2 25 2 3" xfId="17608" xr:uid="{00000000-0005-0000-0000-0000CB440000}"/>
    <cellStyle name="Normal 2 2 25 2 3 2" xfId="17609" xr:uid="{00000000-0005-0000-0000-0000CC440000}"/>
    <cellStyle name="Normal 2 2 25 2 3 3" xfId="17610" xr:uid="{00000000-0005-0000-0000-0000CD440000}"/>
    <cellStyle name="Normal 2 2 25 2 4" xfId="17611" xr:uid="{00000000-0005-0000-0000-0000CE440000}"/>
    <cellStyle name="Normal 2 2 25 2 5" xfId="17612" xr:uid="{00000000-0005-0000-0000-0000CF440000}"/>
    <cellStyle name="Normal 2 2 25 2 6" xfId="17613" xr:uid="{00000000-0005-0000-0000-0000D0440000}"/>
    <cellStyle name="Normal 2 2 25 3" xfId="17614" xr:uid="{00000000-0005-0000-0000-0000D1440000}"/>
    <cellStyle name="Normal 2 2 25 3 2" xfId="17615" xr:uid="{00000000-0005-0000-0000-0000D2440000}"/>
    <cellStyle name="Normal 2 2 25 3 3" xfId="17616" xr:uid="{00000000-0005-0000-0000-0000D3440000}"/>
    <cellStyle name="Normal 2 2 25 4" xfId="17617" xr:uid="{00000000-0005-0000-0000-0000D4440000}"/>
    <cellStyle name="Normal 2 2 25 4 2" xfId="17618" xr:uid="{00000000-0005-0000-0000-0000D5440000}"/>
    <cellStyle name="Normal 2 2 25 4 3" xfId="17619" xr:uid="{00000000-0005-0000-0000-0000D6440000}"/>
    <cellStyle name="Normal 2 2 25 5" xfId="17620" xr:uid="{00000000-0005-0000-0000-0000D7440000}"/>
    <cellStyle name="Normal 2 2 25 6" xfId="17621" xr:uid="{00000000-0005-0000-0000-0000D8440000}"/>
    <cellStyle name="Normal 2 2 25 7" xfId="17622" xr:uid="{00000000-0005-0000-0000-0000D9440000}"/>
    <cellStyle name="Normal 2 2 26" xfId="17623" xr:uid="{00000000-0005-0000-0000-0000DA440000}"/>
    <cellStyle name="Normal 2 2 26 2" xfId="17624" xr:uid="{00000000-0005-0000-0000-0000DB440000}"/>
    <cellStyle name="Normal 2 2 26 2 2" xfId="17625" xr:uid="{00000000-0005-0000-0000-0000DC440000}"/>
    <cellStyle name="Normal 2 2 26 2 2 2" xfId="17626" xr:uid="{00000000-0005-0000-0000-0000DD440000}"/>
    <cellStyle name="Normal 2 2 26 2 2 3" xfId="17627" xr:uid="{00000000-0005-0000-0000-0000DE440000}"/>
    <cellStyle name="Normal 2 2 26 2 3" xfId="17628" xr:uid="{00000000-0005-0000-0000-0000DF440000}"/>
    <cellStyle name="Normal 2 2 26 2 3 2" xfId="17629" xr:uid="{00000000-0005-0000-0000-0000E0440000}"/>
    <cellStyle name="Normal 2 2 26 2 3 3" xfId="17630" xr:uid="{00000000-0005-0000-0000-0000E1440000}"/>
    <cellStyle name="Normal 2 2 26 2 4" xfId="17631" xr:uid="{00000000-0005-0000-0000-0000E2440000}"/>
    <cellStyle name="Normal 2 2 26 2 5" xfId="17632" xr:uid="{00000000-0005-0000-0000-0000E3440000}"/>
    <cellStyle name="Normal 2 2 26 2 6" xfId="17633" xr:uid="{00000000-0005-0000-0000-0000E4440000}"/>
    <cellStyle name="Normal 2 2 26 3" xfId="17634" xr:uid="{00000000-0005-0000-0000-0000E5440000}"/>
    <cellStyle name="Normal 2 2 26 3 2" xfId="17635" xr:uid="{00000000-0005-0000-0000-0000E6440000}"/>
    <cellStyle name="Normal 2 2 26 3 3" xfId="17636" xr:uid="{00000000-0005-0000-0000-0000E7440000}"/>
    <cellStyle name="Normal 2 2 26 4" xfId="17637" xr:uid="{00000000-0005-0000-0000-0000E8440000}"/>
    <cellStyle name="Normal 2 2 26 4 2" xfId="17638" xr:uid="{00000000-0005-0000-0000-0000E9440000}"/>
    <cellStyle name="Normal 2 2 26 4 3" xfId="17639" xr:uid="{00000000-0005-0000-0000-0000EA440000}"/>
    <cellStyle name="Normal 2 2 26 5" xfId="17640" xr:uid="{00000000-0005-0000-0000-0000EB440000}"/>
    <cellStyle name="Normal 2 2 26 6" xfId="17641" xr:uid="{00000000-0005-0000-0000-0000EC440000}"/>
    <cellStyle name="Normal 2 2 26 7" xfId="17642" xr:uid="{00000000-0005-0000-0000-0000ED440000}"/>
    <cellStyle name="Normal 2 2 27" xfId="17643" xr:uid="{00000000-0005-0000-0000-0000EE440000}"/>
    <cellStyle name="Normal 2 2 27 2" xfId="17644" xr:uid="{00000000-0005-0000-0000-0000EF440000}"/>
    <cellStyle name="Normal 2 2 27 2 2" xfId="17645" xr:uid="{00000000-0005-0000-0000-0000F0440000}"/>
    <cellStyle name="Normal 2 2 27 2 2 2" xfId="17646" xr:uid="{00000000-0005-0000-0000-0000F1440000}"/>
    <cellStyle name="Normal 2 2 27 2 2 3" xfId="17647" xr:uid="{00000000-0005-0000-0000-0000F2440000}"/>
    <cellStyle name="Normal 2 2 27 2 3" xfId="17648" xr:uid="{00000000-0005-0000-0000-0000F3440000}"/>
    <cellStyle name="Normal 2 2 27 2 3 2" xfId="17649" xr:uid="{00000000-0005-0000-0000-0000F4440000}"/>
    <cellStyle name="Normal 2 2 27 2 3 3" xfId="17650" xr:uid="{00000000-0005-0000-0000-0000F5440000}"/>
    <cellStyle name="Normal 2 2 27 2 4" xfId="17651" xr:uid="{00000000-0005-0000-0000-0000F6440000}"/>
    <cellStyle name="Normal 2 2 27 2 5" xfId="17652" xr:uid="{00000000-0005-0000-0000-0000F7440000}"/>
    <cellStyle name="Normal 2 2 27 2 6" xfId="17653" xr:uid="{00000000-0005-0000-0000-0000F8440000}"/>
    <cellStyle name="Normal 2 2 27 3" xfId="17654" xr:uid="{00000000-0005-0000-0000-0000F9440000}"/>
    <cellStyle name="Normal 2 2 27 3 2" xfId="17655" xr:uid="{00000000-0005-0000-0000-0000FA440000}"/>
    <cellStyle name="Normal 2 2 27 3 3" xfId="17656" xr:uid="{00000000-0005-0000-0000-0000FB440000}"/>
    <cellStyle name="Normal 2 2 27 4" xfId="17657" xr:uid="{00000000-0005-0000-0000-0000FC440000}"/>
    <cellStyle name="Normal 2 2 27 4 2" xfId="17658" xr:uid="{00000000-0005-0000-0000-0000FD440000}"/>
    <cellStyle name="Normal 2 2 27 4 3" xfId="17659" xr:uid="{00000000-0005-0000-0000-0000FE440000}"/>
    <cellStyle name="Normal 2 2 27 5" xfId="17660" xr:uid="{00000000-0005-0000-0000-0000FF440000}"/>
    <cellStyle name="Normal 2 2 27 6" xfId="17661" xr:uid="{00000000-0005-0000-0000-000000450000}"/>
    <cellStyle name="Normal 2 2 27 7" xfId="17662" xr:uid="{00000000-0005-0000-0000-000001450000}"/>
    <cellStyle name="Normal 2 2 28" xfId="17663" xr:uid="{00000000-0005-0000-0000-000002450000}"/>
    <cellStyle name="Normal 2 2 28 2" xfId="17664" xr:uid="{00000000-0005-0000-0000-000003450000}"/>
    <cellStyle name="Normal 2 2 28 2 2" xfId="17665" xr:uid="{00000000-0005-0000-0000-000004450000}"/>
    <cellStyle name="Normal 2 2 28 2 2 2" xfId="17666" xr:uid="{00000000-0005-0000-0000-000005450000}"/>
    <cellStyle name="Normal 2 2 28 2 2 3" xfId="17667" xr:uid="{00000000-0005-0000-0000-000006450000}"/>
    <cellStyle name="Normal 2 2 28 2 3" xfId="17668" xr:uid="{00000000-0005-0000-0000-000007450000}"/>
    <cellStyle name="Normal 2 2 28 2 3 2" xfId="17669" xr:uid="{00000000-0005-0000-0000-000008450000}"/>
    <cellStyle name="Normal 2 2 28 2 3 3" xfId="17670" xr:uid="{00000000-0005-0000-0000-000009450000}"/>
    <cellStyle name="Normal 2 2 28 2 4" xfId="17671" xr:uid="{00000000-0005-0000-0000-00000A450000}"/>
    <cellStyle name="Normal 2 2 28 2 5" xfId="17672" xr:uid="{00000000-0005-0000-0000-00000B450000}"/>
    <cellStyle name="Normal 2 2 28 2 6" xfId="17673" xr:uid="{00000000-0005-0000-0000-00000C450000}"/>
    <cellStyle name="Normal 2 2 28 3" xfId="17674" xr:uid="{00000000-0005-0000-0000-00000D450000}"/>
    <cellStyle name="Normal 2 2 28 3 2" xfId="17675" xr:uid="{00000000-0005-0000-0000-00000E450000}"/>
    <cellStyle name="Normal 2 2 28 3 3" xfId="17676" xr:uid="{00000000-0005-0000-0000-00000F450000}"/>
    <cellStyle name="Normal 2 2 28 4" xfId="17677" xr:uid="{00000000-0005-0000-0000-000010450000}"/>
    <cellStyle name="Normal 2 2 28 4 2" xfId="17678" xr:uid="{00000000-0005-0000-0000-000011450000}"/>
    <cellStyle name="Normal 2 2 28 4 3" xfId="17679" xr:uid="{00000000-0005-0000-0000-000012450000}"/>
    <cellStyle name="Normal 2 2 28 5" xfId="17680" xr:uid="{00000000-0005-0000-0000-000013450000}"/>
    <cellStyle name="Normal 2 2 28 6" xfId="17681" xr:uid="{00000000-0005-0000-0000-000014450000}"/>
    <cellStyle name="Normal 2 2 28 7" xfId="17682" xr:uid="{00000000-0005-0000-0000-000015450000}"/>
    <cellStyle name="Normal 2 2 29" xfId="17683" xr:uid="{00000000-0005-0000-0000-000016450000}"/>
    <cellStyle name="Normal 2 2 29 2" xfId="17684" xr:uid="{00000000-0005-0000-0000-000017450000}"/>
    <cellStyle name="Normal 2 2 29 2 2" xfId="17685" xr:uid="{00000000-0005-0000-0000-000018450000}"/>
    <cellStyle name="Normal 2 2 29 2 2 2" xfId="17686" xr:uid="{00000000-0005-0000-0000-000019450000}"/>
    <cellStyle name="Normal 2 2 29 2 2 3" xfId="17687" xr:uid="{00000000-0005-0000-0000-00001A450000}"/>
    <cellStyle name="Normal 2 2 29 2 3" xfId="17688" xr:uid="{00000000-0005-0000-0000-00001B450000}"/>
    <cellStyle name="Normal 2 2 29 2 3 2" xfId="17689" xr:uid="{00000000-0005-0000-0000-00001C450000}"/>
    <cellStyle name="Normal 2 2 29 2 3 3" xfId="17690" xr:uid="{00000000-0005-0000-0000-00001D450000}"/>
    <cellStyle name="Normal 2 2 29 2 4" xfId="17691" xr:uid="{00000000-0005-0000-0000-00001E450000}"/>
    <cellStyle name="Normal 2 2 29 2 5" xfId="17692" xr:uid="{00000000-0005-0000-0000-00001F450000}"/>
    <cellStyle name="Normal 2 2 29 2 6" xfId="17693" xr:uid="{00000000-0005-0000-0000-000020450000}"/>
    <cellStyle name="Normal 2 2 29 3" xfId="17694" xr:uid="{00000000-0005-0000-0000-000021450000}"/>
    <cellStyle name="Normal 2 2 29 3 2" xfId="17695" xr:uid="{00000000-0005-0000-0000-000022450000}"/>
    <cellStyle name="Normal 2 2 29 3 3" xfId="17696" xr:uid="{00000000-0005-0000-0000-000023450000}"/>
    <cellStyle name="Normal 2 2 29 4" xfId="17697" xr:uid="{00000000-0005-0000-0000-000024450000}"/>
    <cellStyle name="Normal 2 2 29 4 2" xfId="17698" xr:uid="{00000000-0005-0000-0000-000025450000}"/>
    <cellStyle name="Normal 2 2 29 4 3" xfId="17699" xr:uid="{00000000-0005-0000-0000-000026450000}"/>
    <cellStyle name="Normal 2 2 29 5" xfId="17700" xr:uid="{00000000-0005-0000-0000-000027450000}"/>
    <cellStyle name="Normal 2 2 29 6" xfId="17701" xr:uid="{00000000-0005-0000-0000-000028450000}"/>
    <cellStyle name="Normal 2 2 29 7" xfId="17702" xr:uid="{00000000-0005-0000-0000-000029450000}"/>
    <cellStyle name="Normal 2 2 3" xfId="17703" xr:uid="{00000000-0005-0000-0000-00002A450000}"/>
    <cellStyle name="Normal 2 2 3 2" xfId="17704" xr:uid="{00000000-0005-0000-0000-00002B450000}"/>
    <cellStyle name="Normal 2 2 3 2 2" xfId="17705" xr:uid="{00000000-0005-0000-0000-00002C450000}"/>
    <cellStyle name="Normal 2 2 3 2 2 2" xfId="17706" xr:uid="{00000000-0005-0000-0000-00002D450000}"/>
    <cellStyle name="Normal 2 2 3 2 2 3" xfId="17707" xr:uid="{00000000-0005-0000-0000-00002E450000}"/>
    <cellStyle name="Normal 2 2 3 2 3" xfId="17708" xr:uid="{00000000-0005-0000-0000-00002F450000}"/>
    <cellStyle name="Normal 2 2 3 2 3 2" xfId="17709" xr:uid="{00000000-0005-0000-0000-000030450000}"/>
    <cellStyle name="Normal 2 2 3 2 3 3" xfId="17710" xr:uid="{00000000-0005-0000-0000-000031450000}"/>
    <cellStyle name="Normal 2 2 3 2 4" xfId="17711" xr:uid="{00000000-0005-0000-0000-000032450000}"/>
    <cellStyle name="Normal 2 2 3 2 5" xfId="17712" xr:uid="{00000000-0005-0000-0000-000033450000}"/>
    <cellStyle name="Normal 2 2 3 2 6" xfId="17713" xr:uid="{00000000-0005-0000-0000-000034450000}"/>
    <cellStyle name="Normal 2 2 3 3" xfId="17714" xr:uid="{00000000-0005-0000-0000-000035450000}"/>
    <cellStyle name="Normal 2 2 3 3 2" xfId="17715" xr:uid="{00000000-0005-0000-0000-000036450000}"/>
    <cellStyle name="Normal 2 2 3 3 3" xfId="17716" xr:uid="{00000000-0005-0000-0000-000037450000}"/>
    <cellStyle name="Normal 2 2 3 4" xfId="17717" xr:uid="{00000000-0005-0000-0000-000038450000}"/>
    <cellStyle name="Normal 2 2 3 4 2" xfId="17718" xr:uid="{00000000-0005-0000-0000-000039450000}"/>
    <cellStyle name="Normal 2 2 3 4 3" xfId="17719" xr:uid="{00000000-0005-0000-0000-00003A450000}"/>
    <cellStyle name="Normal 2 2 3 5" xfId="17720" xr:uid="{00000000-0005-0000-0000-00003B450000}"/>
    <cellStyle name="Normal 2 2 3 5 2" xfId="17721" xr:uid="{00000000-0005-0000-0000-00003C450000}"/>
    <cellStyle name="Normal 2 2 3 5 3" xfId="17722" xr:uid="{00000000-0005-0000-0000-00003D450000}"/>
    <cellStyle name="Normal 2 2 3 6" xfId="17723" xr:uid="{00000000-0005-0000-0000-00003E450000}"/>
    <cellStyle name="Normal 2 2 3 7" xfId="17724" xr:uid="{00000000-0005-0000-0000-00003F450000}"/>
    <cellStyle name="Normal 2 2 3 8" xfId="17725" xr:uid="{00000000-0005-0000-0000-000040450000}"/>
    <cellStyle name="Normal 2 2 30" xfId="17726" xr:uid="{00000000-0005-0000-0000-000041450000}"/>
    <cellStyle name="Normal 2 2 30 2" xfId="17727" xr:uid="{00000000-0005-0000-0000-000042450000}"/>
    <cellStyle name="Normal 2 2 30 2 2" xfId="17728" xr:uid="{00000000-0005-0000-0000-000043450000}"/>
    <cellStyle name="Normal 2 2 30 2 2 2" xfId="17729" xr:uid="{00000000-0005-0000-0000-000044450000}"/>
    <cellStyle name="Normal 2 2 30 2 2 3" xfId="17730" xr:uid="{00000000-0005-0000-0000-000045450000}"/>
    <cellStyle name="Normal 2 2 30 2 3" xfId="17731" xr:uid="{00000000-0005-0000-0000-000046450000}"/>
    <cellStyle name="Normal 2 2 30 2 3 2" xfId="17732" xr:uid="{00000000-0005-0000-0000-000047450000}"/>
    <cellStyle name="Normal 2 2 30 2 3 3" xfId="17733" xr:uid="{00000000-0005-0000-0000-000048450000}"/>
    <cellStyle name="Normal 2 2 30 2 4" xfId="17734" xr:uid="{00000000-0005-0000-0000-000049450000}"/>
    <cellStyle name="Normal 2 2 30 2 5" xfId="17735" xr:uid="{00000000-0005-0000-0000-00004A450000}"/>
    <cellStyle name="Normal 2 2 30 2 6" xfId="17736" xr:uid="{00000000-0005-0000-0000-00004B450000}"/>
    <cellStyle name="Normal 2 2 30 3" xfId="17737" xr:uid="{00000000-0005-0000-0000-00004C450000}"/>
    <cellStyle name="Normal 2 2 30 3 2" xfId="17738" xr:uid="{00000000-0005-0000-0000-00004D450000}"/>
    <cellStyle name="Normal 2 2 30 3 3" xfId="17739" xr:uid="{00000000-0005-0000-0000-00004E450000}"/>
    <cellStyle name="Normal 2 2 30 4" xfId="17740" xr:uid="{00000000-0005-0000-0000-00004F450000}"/>
    <cellStyle name="Normal 2 2 30 4 2" xfId="17741" xr:uid="{00000000-0005-0000-0000-000050450000}"/>
    <cellStyle name="Normal 2 2 30 4 3" xfId="17742" xr:uid="{00000000-0005-0000-0000-000051450000}"/>
    <cellStyle name="Normal 2 2 30 5" xfId="17743" xr:uid="{00000000-0005-0000-0000-000052450000}"/>
    <cellStyle name="Normal 2 2 30 6" xfId="17744" xr:uid="{00000000-0005-0000-0000-000053450000}"/>
    <cellStyle name="Normal 2 2 30 7" xfId="17745" xr:uid="{00000000-0005-0000-0000-000054450000}"/>
    <cellStyle name="Normal 2 2 31" xfId="17746" xr:uid="{00000000-0005-0000-0000-000055450000}"/>
    <cellStyle name="Normal 2 2 31 2" xfId="17747" xr:uid="{00000000-0005-0000-0000-000056450000}"/>
    <cellStyle name="Normal 2 2 31 2 2" xfId="17748" xr:uid="{00000000-0005-0000-0000-000057450000}"/>
    <cellStyle name="Normal 2 2 31 2 2 2" xfId="17749" xr:uid="{00000000-0005-0000-0000-000058450000}"/>
    <cellStyle name="Normal 2 2 31 2 2 3" xfId="17750" xr:uid="{00000000-0005-0000-0000-000059450000}"/>
    <cellStyle name="Normal 2 2 31 2 3" xfId="17751" xr:uid="{00000000-0005-0000-0000-00005A450000}"/>
    <cellStyle name="Normal 2 2 31 2 3 2" xfId="17752" xr:uid="{00000000-0005-0000-0000-00005B450000}"/>
    <cellStyle name="Normal 2 2 31 2 3 3" xfId="17753" xr:uid="{00000000-0005-0000-0000-00005C450000}"/>
    <cellStyle name="Normal 2 2 31 2 4" xfId="17754" xr:uid="{00000000-0005-0000-0000-00005D450000}"/>
    <cellStyle name="Normal 2 2 31 2 5" xfId="17755" xr:uid="{00000000-0005-0000-0000-00005E450000}"/>
    <cellStyle name="Normal 2 2 31 2 6" xfId="17756" xr:uid="{00000000-0005-0000-0000-00005F450000}"/>
    <cellStyle name="Normal 2 2 31 3" xfId="17757" xr:uid="{00000000-0005-0000-0000-000060450000}"/>
    <cellStyle name="Normal 2 2 31 3 2" xfId="17758" xr:uid="{00000000-0005-0000-0000-000061450000}"/>
    <cellStyle name="Normal 2 2 31 3 3" xfId="17759" xr:uid="{00000000-0005-0000-0000-000062450000}"/>
    <cellStyle name="Normal 2 2 31 4" xfId="17760" xr:uid="{00000000-0005-0000-0000-000063450000}"/>
    <cellStyle name="Normal 2 2 31 4 2" xfId="17761" xr:uid="{00000000-0005-0000-0000-000064450000}"/>
    <cellStyle name="Normal 2 2 31 4 3" xfId="17762" xr:uid="{00000000-0005-0000-0000-000065450000}"/>
    <cellStyle name="Normal 2 2 31 5" xfId="17763" xr:uid="{00000000-0005-0000-0000-000066450000}"/>
    <cellStyle name="Normal 2 2 31 6" xfId="17764" xr:uid="{00000000-0005-0000-0000-000067450000}"/>
    <cellStyle name="Normal 2 2 31 7" xfId="17765" xr:uid="{00000000-0005-0000-0000-000068450000}"/>
    <cellStyle name="Normal 2 2 32" xfId="17766" xr:uid="{00000000-0005-0000-0000-000069450000}"/>
    <cellStyle name="Normal 2 2 32 2" xfId="17767" xr:uid="{00000000-0005-0000-0000-00006A450000}"/>
    <cellStyle name="Normal 2 2 32 2 2" xfId="17768" xr:uid="{00000000-0005-0000-0000-00006B450000}"/>
    <cellStyle name="Normal 2 2 32 2 2 2" xfId="17769" xr:uid="{00000000-0005-0000-0000-00006C450000}"/>
    <cellStyle name="Normal 2 2 32 2 2 3" xfId="17770" xr:uid="{00000000-0005-0000-0000-00006D450000}"/>
    <cellStyle name="Normal 2 2 32 2 3" xfId="17771" xr:uid="{00000000-0005-0000-0000-00006E450000}"/>
    <cellStyle name="Normal 2 2 32 2 3 2" xfId="17772" xr:uid="{00000000-0005-0000-0000-00006F450000}"/>
    <cellStyle name="Normal 2 2 32 2 3 3" xfId="17773" xr:uid="{00000000-0005-0000-0000-000070450000}"/>
    <cellStyle name="Normal 2 2 32 2 4" xfId="17774" xr:uid="{00000000-0005-0000-0000-000071450000}"/>
    <cellStyle name="Normal 2 2 32 2 5" xfId="17775" xr:uid="{00000000-0005-0000-0000-000072450000}"/>
    <cellStyle name="Normal 2 2 32 2 6" xfId="17776" xr:uid="{00000000-0005-0000-0000-000073450000}"/>
    <cellStyle name="Normal 2 2 32 3" xfId="17777" xr:uid="{00000000-0005-0000-0000-000074450000}"/>
    <cellStyle name="Normal 2 2 32 3 2" xfId="17778" xr:uid="{00000000-0005-0000-0000-000075450000}"/>
    <cellStyle name="Normal 2 2 32 3 3" xfId="17779" xr:uid="{00000000-0005-0000-0000-000076450000}"/>
    <cellStyle name="Normal 2 2 32 4" xfId="17780" xr:uid="{00000000-0005-0000-0000-000077450000}"/>
    <cellStyle name="Normal 2 2 32 4 2" xfId="17781" xr:uid="{00000000-0005-0000-0000-000078450000}"/>
    <cellStyle name="Normal 2 2 32 4 3" xfId="17782" xr:uid="{00000000-0005-0000-0000-000079450000}"/>
    <cellStyle name="Normal 2 2 32 5" xfId="17783" xr:uid="{00000000-0005-0000-0000-00007A450000}"/>
    <cellStyle name="Normal 2 2 32 6" xfId="17784" xr:uid="{00000000-0005-0000-0000-00007B450000}"/>
    <cellStyle name="Normal 2 2 32 7" xfId="17785" xr:uid="{00000000-0005-0000-0000-00007C450000}"/>
    <cellStyle name="Normal 2 2 33" xfId="17786" xr:uid="{00000000-0005-0000-0000-00007D450000}"/>
    <cellStyle name="Normal 2 2 33 2" xfId="17787" xr:uid="{00000000-0005-0000-0000-00007E450000}"/>
    <cellStyle name="Normal 2 2 33 2 2" xfId="17788" xr:uid="{00000000-0005-0000-0000-00007F450000}"/>
    <cellStyle name="Normal 2 2 33 2 2 2" xfId="17789" xr:uid="{00000000-0005-0000-0000-000080450000}"/>
    <cellStyle name="Normal 2 2 33 2 2 3" xfId="17790" xr:uid="{00000000-0005-0000-0000-000081450000}"/>
    <cellStyle name="Normal 2 2 33 2 3" xfId="17791" xr:uid="{00000000-0005-0000-0000-000082450000}"/>
    <cellStyle name="Normal 2 2 33 2 3 2" xfId="17792" xr:uid="{00000000-0005-0000-0000-000083450000}"/>
    <cellStyle name="Normal 2 2 33 2 3 3" xfId="17793" xr:uid="{00000000-0005-0000-0000-000084450000}"/>
    <cellStyle name="Normal 2 2 33 2 4" xfId="17794" xr:uid="{00000000-0005-0000-0000-000085450000}"/>
    <cellStyle name="Normal 2 2 33 2 5" xfId="17795" xr:uid="{00000000-0005-0000-0000-000086450000}"/>
    <cellStyle name="Normal 2 2 33 2 6" xfId="17796" xr:uid="{00000000-0005-0000-0000-000087450000}"/>
    <cellStyle name="Normal 2 2 33 3" xfId="17797" xr:uid="{00000000-0005-0000-0000-000088450000}"/>
    <cellStyle name="Normal 2 2 33 3 2" xfId="17798" xr:uid="{00000000-0005-0000-0000-000089450000}"/>
    <cellStyle name="Normal 2 2 33 3 3" xfId="17799" xr:uid="{00000000-0005-0000-0000-00008A450000}"/>
    <cellStyle name="Normal 2 2 33 4" xfId="17800" xr:uid="{00000000-0005-0000-0000-00008B450000}"/>
    <cellStyle name="Normal 2 2 33 4 2" xfId="17801" xr:uid="{00000000-0005-0000-0000-00008C450000}"/>
    <cellStyle name="Normal 2 2 33 4 3" xfId="17802" xr:uid="{00000000-0005-0000-0000-00008D450000}"/>
    <cellStyle name="Normal 2 2 33 5" xfId="17803" xr:uid="{00000000-0005-0000-0000-00008E450000}"/>
    <cellStyle name="Normal 2 2 33 6" xfId="17804" xr:uid="{00000000-0005-0000-0000-00008F450000}"/>
    <cellStyle name="Normal 2 2 33 7" xfId="17805" xr:uid="{00000000-0005-0000-0000-000090450000}"/>
    <cellStyle name="Normal 2 2 34" xfId="17806" xr:uid="{00000000-0005-0000-0000-000091450000}"/>
    <cellStyle name="Normal 2 2 34 2" xfId="17807" xr:uid="{00000000-0005-0000-0000-000092450000}"/>
    <cellStyle name="Normal 2 2 34 2 2" xfId="17808" xr:uid="{00000000-0005-0000-0000-000093450000}"/>
    <cellStyle name="Normal 2 2 34 2 2 2" xfId="17809" xr:uid="{00000000-0005-0000-0000-000094450000}"/>
    <cellStyle name="Normal 2 2 34 2 2 3" xfId="17810" xr:uid="{00000000-0005-0000-0000-000095450000}"/>
    <cellStyle name="Normal 2 2 34 2 3" xfId="17811" xr:uid="{00000000-0005-0000-0000-000096450000}"/>
    <cellStyle name="Normal 2 2 34 2 3 2" xfId="17812" xr:uid="{00000000-0005-0000-0000-000097450000}"/>
    <cellStyle name="Normal 2 2 34 2 3 3" xfId="17813" xr:uid="{00000000-0005-0000-0000-000098450000}"/>
    <cellStyle name="Normal 2 2 34 2 4" xfId="17814" xr:uid="{00000000-0005-0000-0000-000099450000}"/>
    <cellStyle name="Normal 2 2 34 2 5" xfId="17815" xr:uid="{00000000-0005-0000-0000-00009A450000}"/>
    <cellStyle name="Normal 2 2 34 2 6" xfId="17816" xr:uid="{00000000-0005-0000-0000-00009B450000}"/>
    <cellStyle name="Normal 2 2 34 3" xfId="17817" xr:uid="{00000000-0005-0000-0000-00009C450000}"/>
    <cellStyle name="Normal 2 2 34 3 2" xfId="17818" xr:uid="{00000000-0005-0000-0000-00009D450000}"/>
    <cellStyle name="Normal 2 2 34 3 3" xfId="17819" xr:uid="{00000000-0005-0000-0000-00009E450000}"/>
    <cellStyle name="Normal 2 2 34 4" xfId="17820" xr:uid="{00000000-0005-0000-0000-00009F450000}"/>
    <cellStyle name="Normal 2 2 34 4 2" xfId="17821" xr:uid="{00000000-0005-0000-0000-0000A0450000}"/>
    <cellStyle name="Normal 2 2 34 4 3" xfId="17822" xr:uid="{00000000-0005-0000-0000-0000A1450000}"/>
    <cellStyle name="Normal 2 2 34 5" xfId="17823" xr:uid="{00000000-0005-0000-0000-0000A2450000}"/>
    <cellStyle name="Normal 2 2 34 6" xfId="17824" xr:uid="{00000000-0005-0000-0000-0000A3450000}"/>
    <cellStyle name="Normal 2 2 34 7" xfId="17825" xr:uid="{00000000-0005-0000-0000-0000A4450000}"/>
    <cellStyle name="Normal 2 2 35" xfId="17826" xr:uid="{00000000-0005-0000-0000-0000A5450000}"/>
    <cellStyle name="Normal 2 2 35 2" xfId="17827" xr:uid="{00000000-0005-0000-0000-0000A6450000}"/>
    <cellStyle name="Normal 2 2 35 2 2" xfId="17828" xr:uid="{00000000-0005-0000-0000-0000A7450000}"/>
    <cellStyle name="Normal 2 2 35 2 2 2" xfId="17829" xr:uid="{00000000-0005-0000-0000-0000A8450000}"/>
    <cellStyle name="Normal 2 2 35 2 2 3" xfId="17830" xr:uid="{00000000-0005-0000-0000-0000A9450000}"/>
    <cellStyle name="Normal 2 2 35 2 3" xfId="17831" xr:uid="{00000000-0005-0000-0000-0000AA450000}"/>
    <cellStyle name="Normal 2 2 35 2 3 2" xfId="17832" xr:uid="{00000000-0005-0000-0000-0000AB450000}"/>
    <cellStyle name="Normal 2 2 35 2 3 3" xfId="17833" xr:uid="{00000000-0005-0000-0000-0000AC450000}"/>
    <cellStyle name="Normal 2 2 35 2 4" xfId="17834" xr:uid="{00000000-0005-0000-0000-0000AD450000}"/>
    <cellStyle name="Normal 2 2 35 2 5" xfId="17835" xr:uid="{00000000-0005-0000-0000-0000AE450000}"/>
    <cellStyle name="Normal 2 2 35 2 6" xfId="17836" xr:uid="{00000000-0005-0000-0000-0000AF450000}"/>
    <cellStyle name="Normal 2 2 35 3" xfId="17837" xr:uid="{00000000-0005-0000-0000-0000B0450000}"/>
    <cellStyle name="Normal 2 2 35 3 2" xfId="17838" xr:uid="{00000000-0005-0000-0000-0000B1450000}"/>
    <cellStyle name="Normal 2 2 35 3 3" xfId="17839" xr:uid="{00000000-0005-0000-0000-0000B2450000}"/>
    <cellStyle name="Normal 2 2 35 4" xfId="17840" xr:uid="{00000000-0005-0000-0000-0000B3450000}"/>
    <cellStyle name="Normal 2 2 35 4 2" xfId="17841" xr:uid="{00000000-0005-0000-0000-0000B4450000}"/>
    <cellStyle name="Normal 2 2 35 4 3" xfId="17842" xr:uid="{00000000-0005-0000-0000-0000B5450000}"/>
    <cellStyle name="Normal 2 2 35 5" xfId="17843" xr:uid="{00000000-0005-0000-0000-0000B6450000}"/>
    <cellStyle name="Normal 2 2 35 6" xfId="17844" xr:uid="{00000000-0005-0000-0000-0000B7450000}"/>
    <cellStyle name="Normal 2 2 35 7" xfId="17845" xr:uid="{00000000-0005-0000-0000-0000B8450000}"/>
    <cellStyle name="Normal 2 2 36" xfId="17846" xr:uid="{00000000-0005-0000-0000-0000B9450000}"/>
    <cellStyle name="Normal 2 2 36 2" xfId="17847" xr:uid="{00000000-0005-0000-0000-0000BA450000}"/>
    <cellStyle name="Normal 2 2 36 2 2" xfId="17848" xr:uid="{00000000-0005-0000-0000-0000BB450000}"/>
    <cellStyle name="Normal 2 2 36 2 2 2" xfId="17849" xr:uid="{00000000-0005-0000-0000-0000BC450000}"/>
    <cellStyle name="Normal 2 2 36 2 2 3" xfId="17850" xr:uid="{00000000-0005-0000-0000-0000BD450000}"/>
    <cellStyle name="Normal 2 2 36 2 3" xfId="17851" xr:uid="{00000000-0005-0000-0000-0000BE450000}"/>
    <cellStyle name="Normal 2 2 36 2 3 2" xfId="17852" xr:uid="{00000000-0005-0000-0000-0000BF450000}"/>
    <cellStyle name="Normal 2 2 36 2 3 3" xfId="17853" xr:uid="{00000000-0005-0000-0000-0000C0450000}"/>
    <cellStyle name="Normal 2 2 36 2 4" xfId="17854" xr:uid="{00000000-0005-0000-0000-0000C1450000}"/>
    <cellStyle name="Normal 2 2 36 2 5" xfId="17855" xr:uid="{00000000-0005-0000-0000-0000C2450000}"/>
    <cellStyle name="Normal 2 2 36 2 6" xfId="17856" xr:uid="{00000000-0005-0000-0000-0000C3450000}"/>
    <cellStyle name="Normal 2 2 36 3" xfId="17857" xr:uid="{00000000-0005-0000-0000-0000C4450000}"/>
    <cellStyle name="Normal 2 2 36 3 2" xfId="17858" xr:uid="{00000000-0005-0000-0000-0000C5450000}"/>
    <cellStyle name="Normal 2 2 36 3 3" xfId="17859" xr:uid="{00000000-0005-0000-0000-0000C6450000}"/>
    <cellStyle name="Normal 2 2 36 4" xfId="17860" xr:uid="{00000000-0005-0000-0000-0000C7450000}"/>
    <cellStyle name="Normal 2 2 36 4 2" xfId="17861" xr:uid="{00000000-0005-0000-0000-0000C8450000}"/>
    <cellStyle name="Normal 2 2 36 4 3" xfId="17862" xr:uid="{00000000-0005-0000-0000-0000C9450000}"/>
    <cellStyle name="Normal 2 2 36 5" xfId="17863" xr:uid="{00000000-0005-0000-0000-0000CA450000}"/>
    <cellStyle name="Normal 2 2 36 6" xfId="17864" xr:uid="{00000000-0005-0000-0000-0000CB450000}"/>
    <cellStyle name="Normal 2 2 36 7" xfId="17865" xr:uid="{00000000-0005-0000-0000-0000CC450000}"/>
    <cellStyle name="Normal 2 2 37" xfId="17866" xr:uid="{00000000-0005-0000-0000-0000CD450000}"/>
    <cellStyle name="Normal 2 2 37 2" xfId="17867" xr:uid="{00000000-0005-0000-0000-0000CE450000}"/>
    <cellStyle name="Normal 2 2 37 2 2" xfId="17868" xr:uid="{00000000-0005-0000-0000-0000CF450000}"/>
    <cellStyle name="Normal 2 2 37 2 2 2" xfId="17869" xr:uid="{00000000-0005-0000-0000-0000D0450000}"/>
    <cellStyle name="Normal 2 2 37 2 2 3" xfId="17870" xr:uid="{00000000-0005-0000-0000-0000D1450000}"/>
    <cellStyle name="Normal 2 2 37 2 3" xfId="17871" xr:uid="{00000000-0005-0000-0000-0000D2450000}"/>
    <cellStyle name="Normal 2 2 37 2 3 2" xfId="17872" xr:uid="{00000000-0005-0000-0000-0000D3450000}"/>
    <cellStyle name="Normal 2 2 37 2 3 3" xfId="17873" xr:uid="{00000000-0005-0000-0000-0000D4450000}"/>
    <cellStyle name="Normal 2 2 37 2 4" xfId="17874" xr:uid="{00000000-0005-0000-0000-0000D5450000}"/>
    <cellStyle name="Normal 2 2 37 2 5" xfId="17875" xr:uid="{00000000-0005-0000-0000-0000D6450000}"/>
    <cellStyle name="Normal 2 2 37 2 6" xfId="17876" xr:uid="{00000000-0005-0000-0000-0000D7450000}"/>
    <cellStyle name="Normal 2 2 37 3" xfId="17877" xr:uid="{00000000-0005-0000-0000-0000D8450000}"/>
    <cellStyle name="Normal 2 2 37 3 2" xfId="17878" xr:uid="{00000000-0005-0000-0000-0000D9450000}"/>
    <cellStyle name="Normal 2 2 37 3 3" xfId="17879" xr:uid="{00000000-0005-0000-0000-0000DA450000}"/>
    <cellStyle name="Normal 2 2 37 4" xfId="17880" xr:uid="{00000000-0005-0000-0000-0000DB450000}"/>
    <cellStyle name="Normal 2 2 37 4 2" xfId="17881" xr:uid="{00000000-0005-0000-0000-0000DC450000}"/>
    <cellStyle name="Normal 2 2 37 4 3" xfId="17882" xr:uid="{00000000-0005-0000-0000-0000DD450000}"/>
    <cellStyle name="Normal 2 2 37 5" xfId="17883" xr:uid="{00000000-0005-0000-0000-0000DE450000}"/>
    <cellStyle name="Normal 2 2 37 6" xfId="17884" xr:uid="{00000000-0005-0000-0000-0000DF450000}"/>
    <cellStyle name="Normal 2 2 37 7" xfId="17885" xr:uid="{00000000-0005-0000-0000-0000E0450000}"/>
    <cellStyle name="Normal 2 2 38" xfId="17886" xr:uid="{00000000-0005-0000-0000-0000E1450000}"/>
    <cellStyle name="Normal 2 2 38 2" xfId="17887" xr:uid="{00000000-0005-0000-0000-0000E2450000}"/>
    <cellStyle name="Normal 2 2 38 2 2" xfId="17888" xr:uid="{00000000-0005-0000-0000-0000E3450000}"/>
    <cellStyle name="Normal 2 2 38 2 2 2" xfId="17889" xr:uid="{00000000-0005-0000-0000-0000E4450000}"/>
    <cellStyle name="Normal 2 2 38 2 2 3" xfId="17890" xr:uid="{00000000-0005-0000-0000-0000E5450000}"/>
    <cellStyle name="Normal 2 2 38 2 3" xfId="17891" xr:uid="{00000000-0005-0000-0000-0000E6450000}"/>
    <cellStyle name="Normal 2 2 38 2 3 2" xfId="17892" xr:uid="{00000000-0005-0000-0000-0000E7450000}"/>
    <cellStyle name="Normal 2 2 38 2 3 3" xfId="17893" xr:uid="{00000000-0005-0000-0000-0000E8450000}"/>
    <cellStyle name="Normal 2 2 38 2 4" xfId="17894" xr:uid="{00000000-0005-0000-0000-0000E9450000}"/>
    <cellStyle name="Normal 2 2 38 2 5" xfId="17895" xr:uid="{00000000-0005-0000-0000-0000EA450000}"/>
    <cellStyle name="Normal 2 2 38 2 6" xfId="17896" xr:uid="{00000000-0005-0000-0000-0000EB450000}"/>
    <cellStyle name="Normal 2 2 38 3" xfId="17897" xr:uid="{00000000-0005-0000-0000-0000EC450000}"/>
    <cellStyle name="Normal 2 2 38 3 2" xfId="17898" xr:uid="{00000000-0005-0000-0000-0000ED450000}"/>
    <cellStyle name="Normal 2 2 38 3 3" xfId="17899" xr:uid="{00000000-0005-0000-0000-0000EE450000}"/>
    <cellStyle name="Normal 2 2 38 4" xfId="17900" xr:uid="{00000000-0005-0000-0000-0000EF450000}"/>
    <cellStyle name="Normal 2 2 38 4 2" xfId="17901" xr:uid="{00000000-0005-0000-0000-0000F0450000}"/>
    <cellStyle name="Normal 2 2 38 4 3" xfId="17902" xr:uid="{00000000-0005-0000-0000-0000F1450000}"/>
    <cellStyle name="Normal 2 2 38 5" xfId="17903" xr:uid="{00000000-0005-0000-0000-0000F2450000}"/>
    <cellStyle name="Normal 2 2 38 6" xfId="17904" xr:uid="{00000000-0005-0000-0000-0000F3450000}"/>
    <cellStyle name="Normal 2 2 38 7" xfId="17905" xr:uid="{00000000-0005-0000-0000-0000F4450000}"/>
    <cellStyle name="Normal 2 2 39" xfId="17906" xr:uid="{00000000-0005-0000-0000-0000F5450000}"/>
    <cellStyle name="Normal 2 2 39 2" xfId="17907" xr:uid="{00000000-0005-0000-0000-0000F6450000}"/>
    <cellStyle name="Normal 2 2 39 2 2" xfId="17908" xr:uid="{00000000-0005-0000-0000-0000F7450000}"/>
    <cellStyle name="Normal 2 2 39 2 2 2" xfId="17909" xr:uid="{00000000-0005-0000-0000-0000F8450000}"/>
    <cellStyle name="Normal 2 2 39 2 2 3" xfId="17910" xr:uid="{00000000-0005-0000-0000-0000F9450000}"/>
    <cellStyle name="Normal 2 2 39 2 3" xfId="17911" xr:uid="{00000000-0005-0000-0000-0000FA450000}"/>
    <cellStyle name="Normal 2 2 39 2 3 2" xfId="17912" xr:uid="{00000000-0005-0000-0000-0000FB450000}"/>
    <cellStyle name="Normal 2 2 39 2 3 3" xfId="17913" xr:uid="{00000000-0005-0000-0000-0000FC450000}"/>
    <cellStyle name="Normal 2 2 39 2 4" xfId="17914" xr:uid="{00000000-0005-0000-0000-0000FD450000}"/>
    <cellStyle name="Normal 2 2 39 2 5" xfId="17915" xr:uid="{00000000-0005-0000-0000-0000FE450000}"/>
    <cellStyle name="Normal 2 2 39 2 6" xfId="17916" xr:uid="{00000000-0005-0000-0000-0000FF450000}"/>
    <cellStyle name="Normal 2 2 39 3" xfId="17917" xr:uid="{00000000-0005-0000-0000-000000460000}"/>
    <cellStyle name="Normal 2 2 39 3 2" xfId="17918" xr:uid="{00000000-0005-0000-0000-000001460000}"/>
    <cellStyle name="Normal 2 2 39 3 3" xfId="17919" xr:uid="{00000000-0005-0000-0000-000002460000}"/>
    <cellStyle name="Normal 2 2 39 4" xfId="17920" xr:uid="{00000000-0005-0000-0000-000003460000}"/>
    <cellStyle name="Normal 2 2 39 4 2" xfId="17921" xr:uid="{00000000-0005-0000-0000-000004460000}"/>
    <cellStyle name="Normal 2 2 39 4 3" xfId="17922" xr:uid="{00000000-0005-0000-0000-000005460000}"/>
    <cellStyle name="Normal 2 2 39 5" xfId="17923" xr:uid="{00000000-0005-0000-0000-000006460000}"/>
    <cellStyle name="Normal 2 2 39 6" xfId="17924" xr:uid="{00000000-0005-0000-0000-000007460000}"/>
    <cellStyle name="Normal 2 2 39 7" xfId="17925" xr:uid="{00000000-0005-0000-0000-000008460000}"/>
    <cellStyle name="Normal 2 2 4" xfId="17926" xr:uid="{00000000-0005-0000-0000-000009460000}"/>
    <cellStyle name="Normal 2 2 4 2" xfId="17927" xr:uid="{00000000-0005-0000-0000-00000A460000}"/>
    <cellStyle name="Normal 2 2 4 2 2" xfId="17928" xr:uid="{00000000-0005-0000-0000-00000B460000}"/>
    <cellStyle name="Normal 2 2 4 2 2 2" xfId="17929" xr:uid="{00000000-0005-0000-0000-00000C460000}"/>
    <cellStyle name="Normal 2 2 4 2 2 3" xfId="17930" xr:uid="{00000000-0005-0000-0000-00000D460000}"/>
    <cellStyle name="Normal 2 2 4 2 3" xfId="17931" xr:uid="{00000000-0005-0000-0000-00000E460000}"/>
    <cellStyle name="Normal 2 2 4 2 3 2" xfId="17932" xr:uid="{00000000-0005-0000-0000-00000F460000}"/>
    <cellStyle name="Normal 2 2 4 2 3 3" xfId="17933" xr:uid="{00000000-0005-0000-0000-000010460000}"/>
    <cellStyle name="Normal 2 2 4 2 4" xfId="17934" xr:uid="{00000000-0005-0000-0000-000011460000}"/>
    <cellStyle name="Normal 2 2 4 2 5" xfId="17935" xr:uid="{00000000-0005-0000-0000-000012460000}"/>
    <cellStyle name="Normal 2 2 4 2 6" xfId="17936" xr:uid="{00000000-0005-0000-0000-000013460000}"/>
    <cellStyle name="Normal 2 2 4 3" xfId="17937" xr:uid="{00000000-0005-0000-0000-000014460000}"/>
    <cellStyle name="Normal 2 2 4 3 2" xfId="17938" xr:uid="{00000000-0005-0000-0000-000015460000}"/>
    <cellStyle name="Normal 2 2 4 3 3" xfId="17939" xr:uid="{00000000-0005-0000-0000-000016460000}"/>
    <cellStyle name="Normal 2 2 4 4" xfId="17940" xr:uid="{00000000-0005-0000-0000-000017460000}"/>
    <cellStyle name="Normal 2 2 4 4 2" xfId="17941" xr:uid="{00000000-0005-0000-0000-000018460000}"/>
    <cellStyle name="Normal 2 2 4 4 3" xfId="17942" xr:uid="{00000000-0005-0000-0000-000019460000}"/>
    <cellStyle name="Normal 2 2 4 5" xfId="17943" xr:uid="{00000000-0005-0000-0000-00001A460000}"/>
    <cellStyle name="Normal 2 2 4 5 2" xfId="17944" xr:uid="{00000000-0005-0000-0000-00001B460000}"/>
    <cellStyle name="Normal 2 2 4 5 3" xfId="17945" xr:uid="{00000000-0005-0000-0000-00001C460000}"/>
    <cellStyle name="Normal 2 2 4 6" xfId="17946" xr:uid="{00000000-0005-0000-0000-00001D460000}"/>
    <cellStyle name="Normal 2 2 4 7" xfId="17947" xr:uid="{00000000-0005-0000-0000-00001E460000}"/>
    <cellStyle name="Normal 2 2 4 8" xfId="17948" xr:uid="{00000000-0005-0000-0000-00001F460000}"/>
    <cellStyle name="Normal 2 2 40" xfId="17949" xr:uid="{00000000-0005-0000-0000-000020460000}"/>
    <cellStyle name="Normal 2 2 40 2" xfId="17950" xr:uid="{00000000-0005-0000-0000-000021460000}"/>
    <cellStyle name="Normal 2 2 40 2 2" xfId="17951" xr:uid="{00000000-0005-0000-0000-000022460000}"/>
    <cellStyle name="Normal 2 2 40 2 2 2" xfId="17952" xr:uid="{00000000-0005-0000-0000-000023460000}"/>
    <cellStyle name="Normal 2 2 40 2 2 3" xfId="17953" xr:uid="{00000000-0005-0000-0000-000024460000}"/>
    <cellStyle name="Normal 2 2 40 2 3" xfId="17954" xr:uid="{00000000-0005-0000-0000-000025460000}"/>
    <cellStyle name="Normal 2 2 40 2 3 2" xfId="17955" xr:uid="{00000000-0005-0000-0000-000026460000}"/>
    <cellStyle name="Normal 2 2 40 2 3 3" xfId="17956" xr:uid="{00000000-0005-0000-0000-000027460000}"/>
    <cellStyle name="Normal 2 2 40 2 4" xfId="17957" xr:uid="{00000000-0005-0000-0000-000028460000}"/>
    <cellStyle name="Normal 2 2 40 2 5" xfId="17958" xr:uid="{00000000-0005-0000-0000-000029460000}"/>
    <cellStyle name="Normal 2 2 40 2 6" xfId="17959" xr:uid="{00000000-0005-0000-0000-00002A460000}"/>
    <cellStyle name="Normal 2 2 40 3" xfId="17960" xr:uid="{00000000-0005-0000-0000-00002B460000}"/>
    <cellStyle name="Normal 2 2 40 3 2" xfId="17961" xr:uid="{00000000-0005-0000-0000-00002C460000}"/>
    <cellStyle name="Normal 2 2 40 3 3" xfId="17962" xr:uid="{00000000-0005-0000-0000-00002D460000}"/>
    <cellStyle name="Normal 2 2 40 4" xfId="17963" xr:uid="{00000000-0005-0000-0000-00002E460000}"/>
    <cellStyle name="Normal 2 2 40 4 2" xfId="17964" xr:uid="{00000000-0005-0000-0000-00002F460000}"/>
    <cellStyle name="Normal 2 2 40 4 3" xfId="17965" xr:uid="{00000000-0005-0000-0000-000030460000}"/>
    <cellStyle name="Normal 2 2 40 5" xfId="17966" xr:uid="{00000000-0005-0000-0000-000031460000}"/>
    <cellStyle name="Normal 2 2 40 6" xfId="17967" xr:uid="{00000000-0005-0000-0000-000032460000}"/>
    <cellStyle name="Normal 2 2 40 7" xfId="17968" xr:uid="{00000000-0005-0000-0000-000033460000}"/>
    <cellStyle name="Normal 2 2 41" xfId="17969" xr:uid="{00000000-0005-0000-0000-000034460000}"/>
    <cellStyle name="Normal 2 2 41 2" xfId="17970" xr:uid="{00000000-0005-0000-0000-000035460000}"/>
    <cellStyle name="Normal 2 2 41 2 2" xfId="17971" xr:uid="{00000000-0005-0000-0000-000036460000}"/>
    <cellStyle name="Normal 2 2 41 2 2 2" xfId="17972" xr:uid="{00000000-0005-0000-0000-000037460000}"/>
    <cellStyle name="Normal 2 2 41 2 2 3" xfId="17973" xr:uid="{00000000-0005-0000-0000-000038460000}"/>
    <cellStyle name="Normal 2 2 41 2 3" xfId="17974" xr:uid="{00000000-0005-0000-0000-000039460000}"/>
    <cellStyle name="Normal 2 2 41 2 3 2" xfId="17975" xr:uid="{00000000-0005-0000-0000-00003A460000}"/>
    <cellStyle name="Normal 2 2 41 2 3 3" xfId="17976" xr:uid="{00000000-0005-0000-0000-00003B460000}"/>
    <cellStyle name="Normal 2 2 41 2 4" xfId="17977" xr:uid="{00000000-0005-0000-0000-00003C460000}"/>
    <cellStyle name="Normal 2 2 41 2 5" xfId="17978" xr:uid="{00000000-0005-0000-0000-00003D460000}"/>
    <cellStyle name="Normal 2 2 41 2 6" xfId="17979" xr:uid="{00000000-0005-0000-0000-00003E460000}"/>
    <cellStyle name="Normal 2 2 41 3" xfId="17980" xr:uid="{00000000-0005-0000-0000-00003F460000}"/>
    <cellStyle name="Normal 2 2 41 3 2" xfId="17981" xr:uid="{00000000-0005-0000-0000-000040460000}"/>
    <cellStyle name="Normal 2 2 41 3 3" xfId="17982" xr:uid="{00000000-0005-0000-0000-000041460000}"/>
    <cellStyle name="Normal 2 2 41 4" xfId="17983" xr:uid="{00000000-0005-0000-0000-000042460000}"/>
    <cellStyle name="Normal 2 2 41 4 2" xfId="17984" xr:uid="{00000000-0005-0000-0000-000043460000}"/>
    <cellStyle name="Normal 2 2 41 4 3" xfId="17985" xr:uid="{00000000-0005-0000-0000-000044460000}"/>
    <cellStyle name="Normal 2 2 41 5" xfId="17986" xr:uid="{00000000-0005-0000-0000-000045460000}"/>
    <cellStyle name="Normal 2 2 41 6" xfId="17987" xr:uid="{00000000-0005-0000-0000-000046460000}"/>
    <cellStyle name="Normal 2 2 41 7" xfId="17988" xr:uid="{00000000-0005-0000-0000-000047460000}"/>
    <cellStyle name="Normal 2 2 42" xfId="17989" xr:uid="{00000000-0005-0000-0000-000048460000}"/>
    <cellStyle name="Normal 2 2 42 2" xfId="17990" xr:uid="{00000000-0005-0000-0000-000049460000}"/>
    <cellStyle name="Normal 2 2 42 2 2" xfId="17991" xr:uid="{00000000-0005-0000-0000-00004A460000}"/>
    <cellStyle name="Normal 2 2 42 2 2 2" xfId="17992" xr:uid="{00000000-0005-0000-0000-00004B460000}"/>
    <cellStyle name="Normal 2 2 42 2 2 3" xfId="17993" xr:uid="{00000000-0005-0000-0000-00004C460000}"/>
    <cellStyle name="Normal 2 2 42 2 3" xfId="17994" xr:uid="{00000000-0005-0000-0000-00004D460000}"/>
    <cellStyle name="Normal 2 2 42 2 3 2" xfId="17995" xr:uid="{00000000-0005-0000-0000-00004E460000}"/>
    <cellStyle name="Normal 2 2 42 2 3 3" xfId="17996" xr:uid="{00000000-0005-0000-0000-00004F460000}"/>
    <cellStyle name="Normal 2 2 42 2 4" xfId="17997" xr:uid="{00000000-0005-0000-0000-000050460000}"/>
    <cellStyle name="Normal 2 2 42 2 5" xfId="17998" xr:uid="{00000000-0005-0000-0000-000051460000}"/>
    <cellStyle name="Normal 2 2 42 2 6" xfId="17999" xr:uid="{00000000-0005-0000-0000-000052460000}"/>
    <cellStyle name="Normal 2 2 42 3" xfId="18000" xr:uid="{00000000-0005-0000-0000-000053460000}"/>
    <cellStyle name="Normal 2 2 42 3 2" xfId="18001" xr:uid="{00000000-0005-0000-0000-000054460000}"/>
    <cellStyle name="Normal 2 2 42 3 3" xfId="18002" xr:uid="{00000000-0005-0000-0000-000055460000}"/>
    <cellStyle name="Normal 2 2 42 4" xfId="18003" xr:uid="{00000000-0005-0000-0000-000056460000}"/>
    <cellStyle name="Normal 2 2 42 4 2" xfId="18004" xr:uid="{00000000-0005-0000-0000-000057460000}"/>
    <cellStyle name="Normal 2 2 42 4 3" xfId="18005" xr:uid="{00000000-0005-0000-0000-000058460000}"/>
    <cellStyle name="Normal 2 2 42 5" xfId="18006" xr:uid="{00000000-0005-0000-0000-000059460000}"/>
    <cellStyle name="Normal 2 2 42 6" xfId="18007" xr:uid="{00000000-0005-0000-0000-00005A460000}"/>
    <cellStyle name="Normal 2 2 42 7" xfId="18008" xr:uid="{00000000-0005-0000-0000-00005B460000}"/>
    <cellStyle name="Normal 2 2 43" xfId="18009" xr:uid="{00000000-0005-0000-0000-00005C460000}"/>
    <cellStyle name="Normal 2 2 43 2" xfId="18010" xr:uid="{00000000-0005-0000-0000-00005D460000}"/>
    <cellStyle name="Normal 2 2 43 2 2" xfId="18011" xr:uid="{00000000-0005-0000-0000-00005E460000}"/>
    <cellStyle name="Normal 2 2 43 2 2 2" xfId="18012" xr:uid="{00000000-0005-0000-0000-00005F460000}"/>
    <cellStyle name="Normal 2 2 43 2 2 3" xfId="18013" xr:uid="{00000000-0005-0000-0000-000060460000}"/>
    <cellStyle name="Normal 2 2 43 2 3" xfId="18014" xr:uid="{00000000-0005-0000-0000-000061460000}"/>
    <cellStyle name="Normal 2 2 43 2 3 2" xfId="18015" xr:uid="{00000000-0005-0000-0000-000062460000}"/>
    <cellStyle name="Normal 2 2 43 2 3 3" xfId="18016" xr:uid="{00000000-0005-0000-0000-000063460000}"/>
    <cellStyle name="Normal 2 2 43 2 4" xfId="18017" xr:uid="{00000000-0005-0000-0000-000064460000}"/>
    <cellStyle name="Normal 2 2 43 2 5" xfId="18018" xr:uid="{00000000-0005-0000-0000-000065460000}"/>
    <cellStyle name="Normal 2 2 43 2 6" xfId="18019" xr:uid="{00000000-0005-0000-0000-000066460000}"/>
    <cellStyle name="Normal 2 2 43 3" xfId="18020" xr:uid="{00000000-0005-0000-0000-000067460000}"/>
    <cellStyle name="Normal 2 2 43 3 2" xfId="18021" xr:uid="{00000000-0005-0000-0000-000068460000}"/>
    <cellStyle name="Normal 2 2 43 3 3" xfId="18022" xr:uid="{00000000-0005-0000-0000-000069460000}"/>
    <cellStyle name="Normal 2 2 43 4" xfId="18023" xr:uid="{00000000-0005-0000-0000-00006A460000}"/>
    <cellStyle name="Normal 2 2 43 4 2" xfId="18024" xr:uid="{00000000-0005-0000-0000-00006B460000}"/>
    <cellStyle name="Normal 2 2 43 4 3" xfId="18025" xr:uid="{00000000-0005-0000-0000-00006C460000}"/>
    <cellStyle name="Normal 2 2 43 5" xfId="18026" xr:uid="{00000000-0005-0000-0000-00006D460000}"/>
    <cellStyle name="Normal 2 2 43 6" xfId="18027" xr:uid="{00000000-0005-0000-0000-00006E460000}"/>
    <cellStyle name="Normal 2 2 43 7" xfId="18028" xr:uid="{00000000-0005-0000-0000-00006F460000}"/>
    <cellStyle name="Normal 2 2 44" xfId="18029" xr:uid="{00000000-0005-0000-0000-000070460000}"/>
    <cellStyle name="Normal 2 2 44 2" xfId="18030" xr:uid="{00000000-0005-0000-0000-000071460000}"/>
    <cellStyle name="Normal 2 2 44 2 2" xfId="18031" xr:uid="{00000000-0005-0000-0000-000072460000}"/>
    <cellStyle name="Normal 2 2 44 2 2 2" xfId="18032" xr:uid="{00000000-0005-0000-0000-000073460000}"/>
    <cellStyle name="Normal 2 2 44 2 2 3" xfId="18033" xr:uid="{00000000-0005-0000-0000-000074460000}"/>
    <cellStyle name="Normal 2 2 44 2 3" xfId="18034" xr:uid="{00000000-0005-0000-0000-000075460000}"/>
    <cellStyle name="Normal 2 2 44 2 3 2" xfId="18035" xr:uid="{00000000-0005-0000-0000-000076460000}"/>
    <cellStyle name="Normal 2 2 44 2 3 3" xfId="18036" xr:uid="{00000000-0005-0000-0000-000077460000}"/>
    <cellStyle name="Normal 2 2 44 2 4" xfId="18037" xr:uid="{00000000-0005-0000-0000-000078460000}"/>
    <cellStyle name="Normal 2 2 44 2 5" xfId="18038" xr:uid="{00000000-0005-0000-0000-000079460000}"/>
    <cellStyle name="Normal 2 2 44 2 6" xfId="18039" xr:uid="{00000000-0005-0000-0000-00007A460000}"/>
    <cellStyle name="Normal 2 2 44 3" xfId="18040" xr:uid="{00000000-0005-0000-0000-00007B460000}"/>
    <cellStyle name="Normal 2 2 44 3 2" xfId="18041" xr:uid="{00000000-0005-0000-0000-00007C460000}"/>
    <cellStyle name="Normal 2 2 44 3 3" xfId="18042" xr:uid="{00000000-0005-0000-0000-00007D460000}"/>
    <cellStyle name="Normal 2 2 44 4" xfId="18043" xr:uid="{00000000-0005-0000-0000-00007E460000}"/>
    <cellStyle name="Normal 2 2 44 4 2" xfId="18044" xr:uid="{00000000-0005-0000-0000-00007F460000}"/>
    <cellStyle name="Normal 2 2 44 4 3" xfId="18045" xr:uid="{00000000-0005-0000-0000-000080460000}"/>
    <cellStyle name="Normal 2 2 44 5" xfId="18046" xr:uid="{00000000-0005-0000-0000-000081460000}"/>
    <cellStyle name="Normal 2 2 44 6" xfId="18047" xr:uid="{00000000-0005-0000-0000-000082460000}"/>
    <cellStyle name="Normal 2 2 44 7" xfId="18048" xr:uid="{00000000-0005-0000-0000-000083460000}"/>
    <cellStyle name="Normal 2 2 45" xfId="18049" xr:uid="{00000000-0005-0000-0000-000084460000}"/>
    <cellStyle name="Normal 2 2 45 2" xfId="18050" xr:uid="{00000000-0005-0000-0000-000085460000}"/>
    <cellStyle name="Normal 2 2 45 2 2" xfId="18051" xr:uid="{00000000-0005-0000-0000-000086460000}"/>
    <cellStyle name="Normal 2 2 45 2 2 2" xfId="18052" xr:uid="{00000000-0005-0000-0000-000087460000}"/>
    <cellStyle name="Normal 2 2 45 2 2 3" xfId="18053" xr:uid="{00000000-0005-0000-0000-000088460000}"/>
    <cellStyle name="Normal 2 2 45 2 3" xfId="18054" xr:uid="{00000000-0005-0000-0000-000089460000}"/>
    <cellStyle name="Normal 2 2 45 2 3 2" xfId="18055" xr:uid="{00000000-0005-0000-0000-00008A460000}"/>
    <cellStyle name="Normal 2 2 45 2 3 3" xfId="18056" xr:uid="{00000000-0005-0000-0000-00008B460000}"/>
    <cellStyle name="Normal 2 2 45 2 4" xfId="18057" xr:uid="{00000000-0005-0000-0000-00008C460000}"/>
    <cellStyle name="Normal 2 2 45 2 5" xfId="18058" xr:uid="{00000000-0005-0000-0000-00008D460000}"/>
    <cellStyle name="Normal 2 2 45 2 6" xfId="18059" xr:uid="{00000000-0005-0000-0000-00008E460000}"/>
    <cellStyle name="Normal 2 2 45 3" xfId="18060" xr:uid="{00000000-0005-0000-0000-00008F460000}"/>
    <cellStyle name="Normal 2 2 45 3 2" xfId="18061" xr:uid="{00000000-0005-0000-0000-000090460000}"/>
    <cellStyle name="Normal 2 2 45 3 3" xfId="18062" xr:uid="{00000000-0005-0000-0000-000091460000}"/>
    <cellStyle name="Normal 2 2 45 4" xfId="18063" xr:uid="{00000000-0005-0000-0000-000092460000}"/>
    <cellStyle name="Normal 2 2 45 4 2" xfId="18064" xr:uid="{00000000-0005-0000-0000-000093460000}"/>
    <cellStyle name="Normal 2 2 45 4 3" xfId="18065" xr:uid="{00000000-0005-0000-0000-000094460000}"/>
    <cellStyle name="Normal 2 2 45 5" xfId="18066" xr:uid="{00000000-0005-0000-0000-000095460000}"/>
    <cellStyle name="Normal 2 2 45 6" xfId="18067" xr:uid="{00000000-0005-0000-0000-000096460000}"/>
    <cellStyle name="Normal 2 2 45 7" xfId="18068" xr:uid="{00000000-0005-0000-0000-000097460000}"/>
    <cellStyle name="Normal 2 2 46" xfId="18069" xr:uid="{00000000-0005-0000-0000-000098460000}"/>
    <cellStyle name="Normal 2 2 46 2" xfId="18070" xr:uid="{00000000-0005-0000-0000-000099460000}"/>
    <cellStyle name="Normal 2 2 46 2 2" xfId="18071" xr:uid="{00000000-0005-0000-0000-00009A460000}"/>
    <cellStyle name="Normal 2 2 46 2 2 2" xfId="18072" xr:uid="{00000000-0005-0000-0000-00009B460000}"/>
    <cellStyle name="Normal 2 2 46 2 2 3" xfId="18073" xr:uid="{00000000-0005-0000-0000-00009C460000}"/>
    <cellStyle name="Normal 2 2 46 2 3" xfId="18074" xr:uid="{00000000-0005-0000-0000-00009D460000}"/>
    <cellStyle name="Normal 2 2 46 2 3 2" xfId="18075" xr:uid="{00000000-0005-0000-0000-00009E460000}"/>
    <cellStyle name="Normal 2 2 46 2 3 3" xfId="18076" xr:uid="{00000000-0005-0000-0000-00009F460000}"/>
    <cellStyle name="Normal 2 2 46 2 4" xfId="18077" xr:uid="{00000000-0005-0000-0000-0000A0460000}"/>
    <cellStyle name="Normal 2 2 46 2 5" xfId="18078" xr:uid="{00000000-0005-0000-0000-0000A1460000}"/>
    <cellStyle name="Normal 2 2 46 2 6" xfId="18079" xr:uid="{00000000-0005-0000-0000-0000A2460000}"/>
    <cellStyle name="Normal 2 2 46 3" xfId="18080" xr:uid="{00000000-0005-0000-0000-0000A3460000}"/>
    <cellStyle name="Normal 2 2 46 3 2" xfId="18081" xr:uid="{00000000-0005-0000-0000-0000A4460000}"/>
    <cellStyle name="Normal 2 2 46 3 3" xfId="18082" xr:uid="{00000000-0005-0000-0000-0000A5460000}"/>
    <cellStyle name="Normal 2 2 46 4" xfId="18083" xr:uid="{00000000-0005-0000-0000-0000A6460000}"/>
    <cellStyle name="Normal 2 2 46 4 2" xfId="18084" xr:uid="{00000000-0005-0000-0000-0000A7460000}"/>
    <cellStyle name="Normal 2 2 46 4 3" xfId="18085" xr:uid="{00000000-0005-0000-0000-0000A8460000}"/>
    <cellStyle name="Normal 2 2 46 5" xfId="18086" xr:uid="{00000000-0005-0000-0000-0000A9460000}"/>
    <cellStyle name="Normal 2 2 46 6" xfId="18087" xr:uid="{00000000-0005-0000-0000-0000AA460000}"/>
    <cellStyle name="Normal 2 2 46 7" xfId="18088" xr:uid="{00000000-0005-0000-0000-0000AB460000}"/>
    <cellStyle name="Normal 2 2 47" xfId="18089" xr:uid="{00000000-0005-0000-0000-0000AC460000}"/>
    <cellStyle name="Normal 2 2 47 2" xfId="18090" xr:uid="{00000000-0005-0000-0000-0000AD460000}"/>
    <cellStyle name="Normal 2 2 47 2 2" xfId="18091" xr:uid="{00000000-0005-0000-0000-0000AE460000}"/>
    <cellStyle name="Normal 2 2 47 2 2 2" xfId="18092" xr:uid="{00000000-0005-0000-0000-0000AF460000}"/>
    <cellStyle name="Normal 2 2 47 2 2 3" xfId="18093" xr:uid="{00000000-0005-0000-0000-0000B0460000}"/>
    <cellStyle name="Normal 2 2 47 2 3" xfId="18094" xr:uid="{00000000-0005-0000-0000-0000B1460000}"/>
    <cellStyle name="Normal 2 2 47 2 3 2" xfId="18095" xr:uid="{00000000-0005-0000-0000-0000B2460000}"/>
    <cellStyle name="Normal 2 2 47 2 3 3" xfId="18096" xr:uid="{00000000-0005-0000-0000-0000B3460000}"/>
    <cellStyle name="Normal 2 2 47 2 4" xfId="18097" xr:uid="{00000000-0005-0000-0000-0000B4460000}"/>
    <cellStyle name="Normal 2 2 47 2 5" xfId="18098" xr:uid="{00000000-0005-0000-0000-0000B5460000}"/>
    <cellStyle name="Normal 2 2 47 2 6" xfId="18099" xr:uid="{00000000-0005-0000-0000-0000B6460000}"/>
    <cellStyle name="Normal 2 2 47 3" xfId="18100" xr:uid="{00000000-0005-0000-0000-0000B7460000}"/>
    <cellStyle name="Normal 2 2 47 3 2" xfId="18101" xr:uid="{00000000-0005-0000-0000-0000B8460000}"/>
    <cellStyle name="Normal 2 2 47 3 3" xfId="18102" xr:uid="{00000000-0005-0000-0000-0000B9460000}"/>
    <cellStyle name="Normal 2 2 47 4" xfId="18103" xr:uid="{00000000-0005-0000-0000-0000BA460000}"/>
    <cellStyle name="Normal 2 2 47 4 2" xfId="18104" xr:uid="{00000000-0005-0000-0000-0000BB460000}"/>
    <cellStyle name="Normal 2 2 47 4 3" xfId="18105" xr:uid="{00000000-0005-0000-0000-0000BC460000}"/>
    <cellStyle name="Normal 2 2 47 5" xfId="18106" xr:uid="{00000000-0005-0000-0000-0000BD460000}"/>
    <cellStyle name="Normal 2 2 47 6" xfId="18107" xr:uid="{00000000-0005-0000-0000-0000BE460000}"/>
    <cellStyle name="Normal 2 2 47 7" xfId="18108" xr:uid="{00000000-0005-0000-0000-0000BF460000}"/>
    <cellStyle name="Normal 2 2 48" xfId="18109" xr:uid="{00000000-0005-0000-0000-0000C0460000}"/>
    <cellStyle name="Normal 2 2 48 2" xfId="18110" xr:uid="{00000000-0005-0000-0000-0000C1460000}"/>
    <cellStyle name="Normal 2 2 48 2 2" xfId="18111" xr:uid="{00000000-0005-0000-0000-0000C2460000}"/>
    <cellStyle name="Normal 2 2 48 2 2 2" xfId="18112" xr:uid="{00000000-0005-0000-0000-0000C3460000}"/>
    <cellStyle name="Normal 2 2 48 2 2 3" xfId="18113" xr:uid="{00000000-0005-0000-0000-0000C4460000}"/>
    <cellStyle name="Normal 2 2 48 2 3" xfId="18114" xr:uid="{00000000-0005-0000-0000-0000C5460000}"/>
    <cellStyle name="Normal 2 2 48 2 3 2" xfId="18115" xr:uid="{00000000-0005-0000-0000-0000C6460000}"/>
    <cellStyle name="Normal 2 2 48 2 3 3" xfId="18116" xr:uid="{00000000-0005-0000-0000-0000C7460000}"/>
    <cellStyle name="Normal 2 2 48 2 4" xfId="18117" xr:uid="{00000000-0005-0000-0000-0000C8460000}"/>
    <cellStyle name="Normal 2 2 48 2 5" xfId="18118" xr:uid="{00000000-0005-0000-0000-0000C9460000}"/>
    <cellStyle name="Normal 2 2 48 2 6" xfId="18119" xr:uid="{00000000-0005-0000-0000-0000CA460000}"/>
    <cellStyle name="Normal 2 2 48 3" xfId="18120" xr:uid="{00000000-0005-0000-0000-0000CB460000}"/>
    <cellStyle name="Normal 2 2 48 3 2" xfId="18121" xr:uid="{00000000-0005-0000-0000-0000CC460000}"/>
    <cellStyle name="Normal 2 2 48 3 3" xfId="18122" xr:uid="{00000000-0005-0000-0000-0000CD460000}"/>
    <cellStyle name="Normal 2 2 48 4" xfId="18123" xr:uid="{00000000-0005-0000-0000-0000CE460000}"/>
    <cellStyle name="Normal 2 2 48 4 2" xfId="18124" xr:uid="{00000000-0005-0000-0000-0000CF460000}"/>
    <cellStyle name="Normal 2 2 48 4 3" xfId="18125" xr:uid="{00000000-0005-0000-0000-0000D0460000}"/>
    <cellStyle name="Normal 2 2 48 5" xfId="18126" xr:uid="{00000000-0005-0000-0000-0000D1460000}"/>
    <cellStyle name="Normal 2 2 48 6" xfId="18127" xr:uid="{00000000-0005-0000-0000-0000D2460000}"/>
    <cellStyle name="Normal 2 2 48 7" xfId="18128" xr:uid="{00000000-0005-0000-0000-0000D3460000}"/>
    <cellStyle name="Normal 2 2 49" xfId="18129" xr:uid="{00000000-0005-0000-0000-0000D4460000}"/>
    <cellStyle name="Normal 2 2 49 2" xfId="18130" xr:uid="{00000000-0005-0000-0000-0000D5460000}"/>
    <cellStyle name="Normal 2 2 49 2 2" xfId="18131" xr:uid="{00000000-0005-0000-0000-0000D6460000}"/>
    <cellStyle name="Normal 2 2 49 2 2 2" xfId="18132" xr:uid="{00000000-0005-0000-0000-0000D7460000}"/>
    <cellStyle name="Normal 2 2 49 2 2 3" xfId="18133" xr:uid="{00000000-0005-0000-0000-0000D8460000}"/>
    <cellStyle name="Normal 2 2 49 2 3" xfId="18134" xr:uid="{00000000-0005-0000-0000-0000D9460000}"/>
    <cellStyle name="Normal 2 2 49 2 3 2" xfId="18135" xr:uid="{00000000-0005-0000-0000-0000DA460000}"/>
    <cellStyle name="Normal 2 2 49 2 3 3" xfId="18136" xr:uid="{00000000-0005-0000-0000-0000DB460000}"/>
    <cellStyle name="Normal 2 2 49 2 4" xfId="18137" xr:uid="{00000000-0005-0000-0000-0000DC460000}"/>
    <cellStyle name="Normal 2 2 49 2 5" xfId="18138" xr:uid="{00000000-0005-0000-0000-0000DD460000}"/>
    <cellStyle name="Normal 2 2 49 2 6" xfId="18139" xr:uid="{00000000-0005-0000-0000-0000DE460000}"/>
    <cellStyle name="Normal 2 2 49 3" xfId="18140" xr:uid="{00000000-0005-0000-0000-0000DF460000}"/>
    <cellStyle name="Normal 2 2 49 3 2" xfId="18141" xr:uid="{00000000-0005-0000-0000-0000E0460000}"/>
    <cellStyle name="Normal 2 2 49 3 3" xfId="18142" xr:uid="{00000000-0005-0000-0000-0000E1460000}"/>
    <cellStyle name="Normal 2 2 49 4" xfId="18143" xr:uid="{00000000-0005-0000-0000-0000E2460000}"/>
    <cellStyle name="Normal 2 2 49 4 2" xfId="18144" xr:uid="{00000000-0005-0000-0000-0000E3460000}"/>
    <cellStyle name="Normal 2 2 49 4 3" xfId="18145" xr:uid="{00000000-0005-0000-0000-0000E4460000}"/>
    <cellStyle name="Normal 2 2 49 5" xfId="18146" xr:uid="{00000000-0005-0000-0000-0000E5460000}"/>
    <cellStyle name="Normal 2 2 49 6" xfId="18147" xr:uid="{00000000-0005-0000-0000-0000E6460000}"/>
    <cellStyle name="Normal 2 2 49 7" xfId="18148" xr:uid="{00000000-0005-0000-0000-0000E7460000}"/>
    <cellStyle name="Normal 2 2 5" xfId="18149" xr:uid="{00000000-0005-0000-0000-0000E8460000}"/>
    <cellStyle name="Normal 2 2 5 2" xfId="18150" xr:uid="{00000000-0005-0000-0000-0000E9460000}"/>
    <cellStyle name="Normal 2 2 5 2 2" xfId="18151" xr:uid="{00000000-0005-0000-0000-0000EA460000}"/>
    <cellStyle name="Normal 2 2 5 2 2 2" xfId="18152" xr:uid="{00000000-0005-0000-0000-0000EB460000}"/>
    <cellStyle name="Normal 2 2 5 2 2 3" xfId="18153" xr:uid="{00000000-0005-0000-0000-0000EC460000}"/>
    <cellStyle name="Normal 2 2 5 2 3" xfId="18154" xr:uid="{00000000-0005-0000-0000-0000ED460000}"/>
    <cellStyle name="Normal 2 2 5 2 3 2" xfId="18155" xr:uid="{00000000-0005-0000-0000-0000EE460000}"/>
    <cellStyle name="Normal 2 2 5 2 3 3" xfId="18156" xr:uid="{00000000-0005-0000-0000-0000EF460000}"/>
    <cellStyle name="Normal 2 2 5 2 4" xfId="18157" xr:uid="{00000000-0005-0000-0000-0000F0460000}"/>
    <cellStyle name="Normal 2 2 5 2 5" xfId="18158" xr:uid="{00000000-0005-0000-0000-0000F1460000}"/>
    <cellStyle name="Normal 2 2 5 2 6" xfId="18159" xr:uid="{00000000-0005-0000-0000-0000F2460000}"/>
    <cellStyle name="Normal 2 2 5 3" xfId="18160" xr:uid="{00000000-0005-0000-0000-0000F3460000}"/>
    <cellStyle name="Normal 2 2 5 3 2" xfId="18161" xr:uid="{00000000-0005-0000-0000-0000F4460000}"/>
    <cellStyle name="Normal 2 2 5 3 3" xfId="18162" xr:uid="{00000000-0005-0000-0000-0000F5460000}"/>
    <cellStyle name="Normal 2 2 5 4" xfId="18163" xr:uid="{00000000-0005-0000-0000-0000F6460000}"/>
    <cellStyle name="Normal 2 2 5 4 2" xfId="18164" xr:uid="{00000000-0005-0000-0000-0000F7460000}"/>
    <cellStyle name="Normal 2 2 5 4 3" xfId="18165" xr:uid="{00000000-0005-0000-0000-0000F8460000}"/>
    <cellStyle name="Normal 2 2 5 5" xfId="18166" xr:uid="{00000000-0005-0000-0000-0000F9460000}"/>
    <cellStyle name="Normal 2 2 5 5 2" xfId="18167" xr:uid="{00000000-0005-0000-0000-0000FA460000}"/>
    <cellStyle name="Normal 2 2 5 5 3" xfId="18168" xr:uid="{00000000-0005-0000-0000-0000FB460000}"/>
    <cellStyle name="Normal 2 2 5 6" xfId="18169" xr:uid="{00000000-0005-0000-0000-0000FC460000}"/>
    <cellStyle name="Normal 2 2 5 7" xfId="18170" xr:uid="{00000000-0005-0000-0000-0000FD460000}"/>
    <cellStyle name="Normal 2 2 5 8" xfId="18171" xr:uid="{00000000-0005-0000-0000-0000FE460000}"/>
    <cellStyle name="Normal 2 2 50" xfId="18172" xr:uid="{00000000-0005-0000-0000-0000FF460000}"/>
    <cellStyle name="Normal 2 2 50 2" xfId="18173" xr:uid="{00000000-0005-0000-0000-000000470000}"/>
    <cellStyle name="Normal 2 2 50 2 2" xfId="18174" xr:uid="{00000000-0005-0000-0000-000001470000}"/>
    <cellStyle name="Normal 2 2 50 2 2 2" xfId="18175" xr:uid="{00000000-0005-0000-0000-000002470000}"/>
    <cellStyle name="Normal 2 2 50 2 2 3" xfId="18176" xr:uid="{00000000-0005-0000-0000-000003470000}"/>
    <cellStyle name="Normal 2 2 50 2 3" xfId="18177" xr:uid="{00000000-0005-0000-0000-000004470000}"/>
    <cellStyle name="Normal 2 2 50 2 3 2" xfId="18178" xr:uid="{00000000-0005-0000-0000-000005470000}"/>
    <cellStyle name="Normal 2 2 50 2 3 3" xfId="18179" xr:uid="{00000000-0005-0000-0000-000006470000}"/>
    <cellStyle name="Normal 2 2 50 2 4" xfId="18180" xr:uid="{00000000-0005-0000-0000-000007470000}"/>
    <cellStyle name="Normal 2 2 50 2 5" xfId="18181" xr:uid="{00000000-0005-0000-0000-000008470000}"/>
    <cellStyle name="Normal 2 2 50 2 6" xfId="18182" xr:uid="{00000000-0005-0000-0000-000009470000}"/>
    <cellStyle name="Normal 2 2 50 3" xfId="18183" xr:uid="{00000000-0005-0000-0000-00000A470000}"/>
    <cellStyle name="Normal 2 2 50 3 2" xfId="18184" xr:uid="{00000000-0005-0000-0000-00000B470000}"/>
    <cellStyle name="Normal 2 2 50 3 3" xfId="18185" xr:uid="{00000000-0005-0000-0000-00000C470000}"/>
    <cellStyle name="Normal 2 2 50 4" xfId="18186" xr:uid="{00000000-0005-0000-0000-00000D470000}"/>
    <cellStyle name="Normal 2 2 50 4 2" xfId="18187" xr:uid="{00000000-0005-0000-0000-00000E470000}"/>
    <cellStyle name="Normal 2 2 50 4 3" xfId="18188" xr:uid="{00000000-0005-0000-0000-00000F470000}"/>
    <cellStyle name="Normal 2 2 50 5" xfId="18189" xr:uid="{00000000-0005-0000-0000-000010470000}"/>
    <cellStyle name="Normal 2 2 50 6" xfId="18190" xr:uid="{00000000-0005-0000-0000-000011470000}"/>
    <cellStyle name="Normal 2 2 50 7" xfId="18191" xr:uid="{00000000-0005-0000-0000-000012470000}"/>
    <cellStyle name="Normal 2 2 51" xfId="18192" xr:uid="{00000000-0005-0000-0000-000013470000}"/>
    <cellStyle name="Normal 2 2 51 2" xfId="18193" xr:uid="{00000000-0005-0000-0000-000014470000}"/>
    <cellStyle name="Normal 2 2 51 2 2" xfId="18194" xr:uid="{00000000-0005-0000-0000-000015470000}"/>
    <cellStyle name="Normal 2 2 51 2 2 2" xfId="18195" xr:uid="{00000000-0005-0000-0000-000016470000}"/>
    <cellStyle name="Normal 2 2 51 2 2 3" xfId="18196" xr:uid="{00000000-0005-0000-0000-000017470000}"/>
    <cellStyle name="Normal 2 2 51 2 3" xfId="18197" xr:uid="{00000000-0005-0000-0000-000018470000}"/>
    <cellStyle name="Normal 2 2 51 2 3 2" xfId="18198" xr:uid="{00000000-0005-0000-0000-000019470000}"/>
    <cellStyle name="Normal 2 2 51 2 3 3" xfId="18199" xr:uid="{00000000-0005-0000-0000-00001A470000}"/>
    <cellStyle name="Normal 2 2 51 2 4" xfId="18200" xr:uid="{00000000-0005-0000-0000-00001B470000}"/>
    <cellStyle name="Normal 2 2 51 2 5" xfId="18201" xr:uid="{00000000-0005-0000-0000-00001C470000}"/>
    <cellStyle name="Normal 2 2 51 2 6" xfId="18202" xr:uid="{00000000-0005-0000-0000-00001D470000}"/>
    <cellStyle name="Normal 2 2 51 3" xfId="18203" xr:uid="{00000000-0005-0000-0000-00001E470000}"/>
    <cellStyle name="Normal 2 2 51 3 2" xfId="18204" xr:uid="{00000000-0005-0000-0000-00001F470000}"/>
    <cellStyle name="Normal 2 2 51 3 3" xfId="18205" xr:uid="{00000000-0005-0000-0000-000020470000}"/>
    <cellStyle name="Normal 2 2 51 4" xfId="18206" xr:uid="{00000000-0005-0000-0000-000021470000}"/>
    <cellStyle name="Normal 2 2 51 4 2" xfId="18207" xr:uid="{00000000-0005-0000-0000-000022470000}"/>
    <cellStyle name="Normal 2 2 51 4 3" xfId="18208" xr:uid="{00000000-0005-0000-0000-000023470000}"/>
    <cellStyle name="Normal 2 2 51 5" xfId="18209" xr:uid="{00000000-0005-0000-0000-000024470000}"/>
    <cellStyle name="Normal 2 2 51 6" xfId="18210" xr:uid="{00000000-0005-0000-0000-000025470000}"/>
    <cellStyle name="Normal 2 2 51 7" xfId="18211" xr:uid="{00000000-0005-0000-0000-000026470000}"/>
    <cellStyle name="Normal 2 2 52" xfId="18212" xr:uid="{00000000-0005-0000-0000-000027470000}"/>
    <cellStyle name="Normal 2 2 52 2" xfId="18213" xr:uid="{00000000-0005-0000-0000-000028470000}"/>
    <cellStyle name="Normal 2 2 52 2 2" xfId="18214" xr:uid="{00000000-0005-0000-0000-000029470000}"/>
    <cellStyle name="Normal 2 2 52 2 2 2" xfId="18215" xr:uid="{00000000-0005-0000-0000-00002A470000}"/>
    <cellStyle name="Normal 2 2 52 2 2 3" xfId="18216" xr:uid="{00000000-0005-0000-0000-00002B470000}"/>
    <cellStyle name="Normal 2 2 52 2 3" xfId="18217" xr:uid="{00000000-0005-0000-0000-00002C470000}"/>
    <cellStyle name="Normal 2 2 52 2 3 2" xfId="18218" xr:uid="{00000000-0005-0000-0000-00002D470000}"/>
    <cellStyle name="Normal 2 2 52 2 3 3" xfId="18219" xr:uid="{00000000-0005-0000-0000-00002E470000}"/>
    <cellStyle name="Normal 2 2 52 2 4" xfId="18220" xr:uid="{00000000-0005-0000-0000-00002F470000}"/>
    <cellStyle name="Normal 2 2 52 2 5" xfId="18221" xr:uid="{00000000-0005-0000-0000-000030470000}"/>
    <cellStyle name="Normal 2 2 52 2 6" xfId="18222" xr:uid="{00000000-0005-0000-0000-000031470000}"/>
    <cellStyle name="Normal 2 2 52 3" xfId="18223" xr:uid="{00000000-0005-0000-0000-000032470000}"/>
    <cellStyle name="Normal 2 2 52 3 2" xfId="18224" xr:uid="{00000000-0005-0000-0000-000033470000}"/>
    <cellStyle name="Normal 2 2 52 3 3" xfId="18225" xr:uid="{00000000-0005-0000-0000-000034470000}"/>
    <cellStyle name="Normal 2 2 52 4" xfId="18226" xr:uid="{00000000-0005-0000-0000-000035470000}"/>
    <cellStyle name="Normal 2 2 52 4 2" xfId="18227" xr:uid="{00000000-0005-0000-0000-000036470000}"/>
    <cellStyle name="Normal 2 2 52 4 3" xfId="18228" xr:uid="{00000000-0005-0000-0000-000037470000}"/>
    <cellStyle name="Normal 2 2 52 5" xfId="18229" xr:uid="{00000000-0005-0000-0000-000038470000}"/>
    <cellStyle name="Normal 2 2 52 6" xfId="18230" xr:uid="{00000000-0005-0000-0000-000039470000}"/>
    <cellStyle name="Normal 2 2 52 7" xfId="18231" xr:uid="{00000000-0005-0000-0000-00003A470000}"/>
    <cellStyle name="Normal 2 2 53" xfId="18232" xr:uid="{00000000-0005-0000-0000-00003B470000}"/>
    <cellStyle name="Normal 2 2 53 2" xfId="18233" xr:uid="{00000000-0005-0000-0000-00003C470000}"/>
    <cellStyle name="Normal 2 2 53 2 2" xfId="18234" xr:uid="{00000000-0005-0000-0000-00003D470000}"/>
    <cellStyle name="Normal 2 2 53 2 2 2" xfId="18235" xr:uid="{00000000-0005-0000-0000-00003E470000}"/>
    <cellStyle name="Normal 2 2 53 2 2 3" xfId="18236" xr:uid="{00000000-0005-0000-0000-00003F470000}"/>
    <cellStyle name="Normal 2 2 53 2 3" xfId="18237" xr:uid="{00000000-0005-0000-0000-000040470000}"/>
    <cellStyle name="Normal 2 2 53 2 3 2" xfId="18238" xr:uid="{00000000-0005-0000-0000-000041470000}"/>
    <cellStyle name="Normal 2 2 53 2 3 3" xfId="18239" xr:uid="{00000000-0005-0000-0000-000042470000}"/>
    <cellStyle name="Normal 2 2 53 2 4" xfId="18240" xr:uid="{00000000-0005-0000-0000-000043470000}"/>
    <cellStyle name="Normal 2 2 53 2 5" xfId="18241" xr:uid="{00000000-0005-0000-0000-000044470000}"/>
    <cellStyle name="Normal 2 2 53 2 6" xfId="18242" xr:uid="{00000000-0005-0000-0000-000045470000}"/>
    <cellStyle name="Normal 2 2 53 3" xfId="18243" xr:uid="{00000000-0005-0000-0000-000046470000}"/>
    <cellStyle name="Normal 2 2 53 3 2" xfId="18244" xr:uid="{00000000-0005-0000-0000-000047470000}"/>
    <cellStyle name="Normal 2 2 53 3 3" xfId="18245" xr:uid="{00000000-0005-0000-0000-000048470000}"/>
    <cellStyle name="Normal 2 2 53 4" xfId="18246" xr:uid="{00000000-0005-0000-0000-000049470000}"/>
    <cellStyle name="Normal 2 2 53 4 2" xfId="18247" xr:uid="{00000000-0005-0000-0000-00004A470000}"/>
    <cellStyle name="Normal 2 2 53 4 3" xfId="18248" xr:uid="{00000000-0005-0000-0000-00004B470000}"/>
    <cellStyle name="Normal 2 2 53 5" xfId="18249" xr:uid="{00000000-0005-0000-0000-00004C470000}"/>
    <cellStyle name="Normal 2 2 53 6" xfId="18250" xr:uid="{00000000-0005-0000-0000-00004D470000}"/>
    <cellStyle name="Normal 2 2 53 7" xfId="18251" xr:uid="{00000000-0005-0000-0000-00004E470000}"/>
    <cellStyle name="Normal 2 2 54" xfId="18252" xr:uid="{00000000-0005-0000-0000-00004F470000}"/>
    <cellStyle name="Normal 2 2 54 2" xfId="18253" xr:uid="{00000000-0005-0000-0000-000050470000}"/>
    <cellStyle name="Normal 2 2 55" xfId="18254" xr:uid="{00000000-0005-0000-0000-000051470000}"/>
    <cellStyle name="Normal 2 2 55 2" xfId="18255" xr:uid="{00000000-0005-0000-0000-000052470000}"/>
    <cellStyle name="Normal 2 2 56" xfId="18256" xr:uid="{00000000-0005-0000-0000-000053470000}"/>
    <cellStyle name="Normal 2 2 56 2" xfId="18257" xr:uid="{00000000-0005-0000-0000-000054470000}"/>
    <cellStyle name="Normal 2 2 57" xfId="18258" xr:uid="{00000000-0005-0000-0000-000055470000}"/>
    <cellStyle name="Normal 2 2 57 2" xfId="18259" xr:uid="{00000000-0005-0000-0000-000056470000}"/>
    <cellStyle name="Normal 2 2 58" xfId="18260" xr:uid="{00000000-0005-0000-0000-000057470000}"/>
    <cellStyle name="Normal 2 2 58 2" xfId="18261" xr:uid="{00000000-0005-0000-0000-000058470000}"/>
    <cellStyle name="Normal 2 2 59" xfId="18262" xr:uid="{00000000-0005-0000-0000-000059470000}"/>
    <cellStyle name="Normal 2 2 59 2" xfId="18263" xr:uid="{00000000-0005-0000-0000-00005A470000}"/>
    <cellStyle name="Normal 2 2 6" xfId="18264" xr:uid="{00000000-0005-0000-0000-00005B470000}"/>
    <cellStyle name="Normal 2 2 6 2" xfId="18265" xr:uid="{00000000-0005-0000-0000-00005C470000}"/>
    <cellStyle name="Normal 2 2 6 2 2" xfId="18266" xr:uid="{00000000-0005-0000-0000-00005D470000}"/>
    <cellStyle name="Normal 2 2 6 2 2 2" xfId="18267" xr:uid="{00000000-0005-0000-0000-00005E470000}"/>
    <cellStyle name="Normal 2 2 6 2 2 3" xfId="18268" xr:uid="{00000000-0005-0000-0000-00005F470000}"/>
    <cellStyle name="Normal 2 2 6 2 3" xfId="18269" xr:uid="{00000000-0005-0000-0000-000060470000}"/>
    <cellStyle name="Normal 2 2 6 2 3 2" xfId="18270" xr:uid="{00000000-0005-0000-0000-000061470000}"/>
    <cellStyle name="Normal 2 2 6 2 3 3" xfId="18271" xr:uid="{00000000-0005-0000-0000-000062470000}"/>
    <cellStyle name="Normal 2 2 6 2 4" xfId="18272" xr:uid="{00000000-0005-0000-0000-000063470000}"/>
    <cellStyle name="Normal 2 2 6 2 5" xfId="18273" xr:uid="{00000000-0005-0000-0000-000064470000}"/>
    <cellStyle name="Normal 2 2 6 2 6" xfId="18274" xr:uid="{00000000-0005-0000-0000-000065470000}"/>
    <cellStyle name="Normal 2 2 6 3" xfId="18275" xr:uid="{00000000-0005-0000-0000-000066470000}"/>
    <cellStyle name="Normal 2 2 6 3 2" xfId="18276" xr:uid="{00000000-0005-0000-0000-000067470000}"/>
    <cellStyle name="Normal 2 2 6 3 3" xfId="18277" xr:uid="{00000000-0005-0000-0000-000068470000}"/>
    <cellStyle name="Normal 2 2 6 4" xfId="18278" xr:uid="{00000000-0005-0000-0000-000069470000}"/>
    <cellStyle name="Normal 2 2 6 4 2" xfId="18279" xr:uid="{00000000-0005-0000-0000-00006A470000}"/>
    <cellStyle name="Normal 2 2 6 4 3" xfId="18280" xr:uid="{00000000-0005-0000-0000-00006B470000}"/>
    <cellStyle name="Normal 2 2 6 5" xfId="18281" xr:uid="{00000000-0005-0000-0000-00006C470000}"/>
    <cellStyle name="Normal 2 2 6 6" xfId="18282" xr:uid="{00000000-0005-0000-0000-00006D470000}"/>
    <cellStyle name="Normal 2 2 6 7" xfId="18283" xr:uid="{00000000-0005-0000-0000-00006E470000}"/>
    <cellStyle name="Normal 2 2 60" xfId="18284" xr:uid="{00000000-0005-0000-0000-00006F470000}"/>
    <cellStyle name="Normal 2 2 60 2" xfId="18285" xr:uid="{00000000-0005-0000-0000-000070470000}"/>
    <cellStyle name="Normal 2 2 61" xfId="18286" xr:uid="{00000000-0005-0000-0000-000071470000}"/>
    <cellStyle name="Normal 2 2 61 2" xfId="18287" xr:uid="{00000000-0005-0000-0000-000072470000}"/>
    <cellStyle name="Normal 2 2 62" xfId="18288" xr:uid="{00000000-0005-0000-0000-000073470000}"/>
    <cellStyle name="Normal 2 2 62 2" xfId="18289" xr:uid="{00000000-0005-0000-0000-000074470000}"/>
    <cellStyle name="Normal 2 2 63" xfId="18290" xr:uid="{00000000-0005-0000-0000-000075470000}"/>
    <cellStyle name="Normal 2 2 63 2" xfId="18291" xr:uid="{00000000-0005-0000-0000-000076470000}"/>
    <cellStyle name="Normal 2 2 64" xfId="18292" xr:uid="{00000000-0005-0000-0000-000077470000}"/>
    <cellStyle name="Normal 2 2 64 2" xfId="18293" xr:uid="{00000000-0005-0000-0000-000078470000}"/>
    <cellStyle name="Normal 2 2 65" xfId="18294" xr:uid="{00000000-0005-0000-0000-000079470000}"/>
    <cellStyle name="Normal 2 2 65 2" xfId="18295" xr:uid="{00000000-0005-0000-0000-00007A470000}"/>
    <cellStyle name="Normal 2 2 65 2 2" xfId="18296" xr:uid="{00000000-0005-0000-0000-00007B470000}"/>
    <cellStyle name="Normal 2 2 65 2 3" xfId="18297" xr:uid="{00000000-0005-0000-0000-00007C470000}"/>
    <cellStyle name="Normal 2 2 65 3" xfId="18298" xr:uid="{00000000-0005-0000-0000-00007D470000}"/>
    <cellStyle name="Normal 2 2 65 3 2" xfId="18299" xr:uid="{00000000-0005-0000-0000-00007E470000}"/>
    <cellStyle name="Normal 2 2 65 3 3" xfId="18300" xr:uid="{00000000-0005-0000-0000-00007F470000}"/>
    <cellStyle name="Normal 2 2 65 4" xfId="18301" xr:uid="{00000000-0005-0000-0000-000080470000}"/>
    <cellStyle name="Normal 2 2 65 5" xfId="18302" xr:uid="{00000000-0005-0000-0000-000081470000}"/>
    <cellStyle name="Normal 2 2 65 6" xfId="18303" xr:uid="{00000000-0005-0000-0000-000082470000}"/>
    <cellStyle name="Normal 2 2 66" xfId="18304" xr:uid="{00000000-0005-0000-0000-000083470000}"/>
    <cellStyle name="Normal 2 2 66 2" xfId="18305" xr:uid="{00000000-0005-0000-0000-000084470000}"/>
    <cellStyle name="Normal 2 2 66 3" xfId="18306" xr:uid="{00000000-0005-0000-0000-000085470000}"/>
    <cellStyle name="Normal 2 2 67" xfId="18307" xr:uid="{00000000-0005-0000-0000-000086470000}"/>
    <cellStyle name="Normal 2 2 67 2" xfId="18308" xr:uid="{00000000-0005-0000-0000-000087470000}"/>
    <cellStyle name="Normal 2 2 67 3" xfId="18309" xr:uid="{00000000-0005-0000-0000-000088470000}"/>
    <cellStyle name="Normal 2 2 68" xfId="18310" xr:uid="{00000000-0005-0000-0000-000089470000}"/>
    <cellStyle name="Normal 2 2 68 2" xfId="18311" xr:uid="{00000000-0005-0000-0000-00008A470000}"/>
    <cellStyle name="Normal 2 2 68 3" xfId="18312" xr:uid="{00000000-0005-0000-0000-00008B470000}"/>
    <cellStyle name="Normal 2 2 69" xfId="18313" xr:uid="{00000000-0005-0000-0000-00008C470000}"/>
    <cellStyle name="Normal 2 2 7" xfId="18314" xr:uid="{00000000-0005-0000-0000-00008D470000}"/>
    <cellStyle name="Normal 2 2 7 2" xfId="18315" xr:uid="{00000000-0005-0000-0000-00008E470000}"/>
    <cellStyle name="Normal 2 2 7 2 2" xfId="18316" xr:uid="{00000000-0005-0000-0000-00008F470000}"/>
    <cellStyle name="Normal 2 2 7 2 2 2" xfId="18317" xr:uid="{00000000-0005-0000-0000-000090470000}"/>
    <cellStyle name="Normal 2 2 7 2 2 3" xfId="18318" xr:uid="{00000000-0005-0000-0000-000091470000}"/>
    <cellStyle name="Normal 2 2 7 2 3" xfId="18319" xr:uid="{00000000-0005-0000-0000-000092470000}"/>
    <cellStyle name="Normal 2 2 7 2 3 2" xfId="18320" xr:uid="{00000000-0005-0000-0000-000093470000}"/>
    <cellStyle name="Normal 2 2 7 2 3 3" xfId="18321" xr:uid="{00000000-0005-0000-0000-000094470000}"/>
    <cellStyle name="Normal 2 2 7 2 4" xfId="18322" xr:uid="{00000000-0005-0000-0000-000095470000}"/>
    <cellStyle name="Normal 2 2 7 2 5" xfId="18323" xr:uid="{00000000-0005-0000-0000-000096470000}"/>
    <cellStyle name="Normal 2 2 7 2 6" xfId="18324" xr:uid="{00000000-0005-0000-0000-000097470000}"/>
    <cellStyle name="Normal 2 2 7 3" xfId="18325" xr:uid="{00000000-0005-0000-0000-000098470000}"/>
    <cellStyle name="Normal 2 2 7 3 2" xfId="18326" xr:uid="{00000000-0005-0000-0000-000099470000}"/>
    <cellStyle name="Normal 2 2 7 3 3" xfId="18327" xr:uid="{00000000-0005-0000-0000-00009A470000}"/>
    <cellStyle name="Normal 2 2 7 4" xfId="18328" xr:uid="{00000000-0005-0000-0000-00009B470000}"/>
    <cellStyle name="Normal 2 2 7 4 2" xfId="18329" xr:uid="{00000000-0005-0000-0000-00009C470000}"/>
    <cellStyle name="Normal 2 2 7 4 3" xfId="18330" xr:uid="{00000000-0005-0000-0000-00009D470000}"/>
    <cellStyle name="Normal 2 2 7 5" xfId="18331" xr:uid="{00000000-0005-0000-0000-00009E470000}"/>
    <cellStyle name="Normal 2 2 7 6" xfId="18332" xr:uid="{00000000-0005-0000-0000-00009F470000}"/>
    <cellStyle name="Normal 2 2 7 7" xfId="18333" xr:uid="{00000000-0005-0000-0000-0000A0470000}"/>
    <cellStyle name="Normal 2 2 70" xfId="18334" xr:uid="{00000000-0005-0000-0000-0000A1470000}"/>
    <cellStyle name="Normal 2 2 71" xfId="18335" xr:uid="{00000000-0005-0000-0000-0000A2470000}"/>
    <cellStyle name="Normal 2 2 8" xfId="18336" xr:uid="{00000000-0005-0000-0000-0000A3470000}"/>
    <cellStyle name="Normal 2 2 8 2" xfId="18337" xr:uid="{00000000-0005-0000-0000-0000A4470000}"/>
    <cellStyle name="Normal 2 2 8 2 2" xfId="18338" xr:uid="{00000000-0005-0000-0000-0000A5470000}"/>
    <cellStyle name="Normal 2 2 8 2 2 2" xfId="18339" xr:uid="{00000000-0005-0000-0000-0000A6470000}"/>
    <cellStyle name="Normal 2 2 8 2 2 3" xfId="18340" xr:uid="{00000000-0005-0000-0000-0000A7470000}"/>
    <cellStyle name="Normal 2 2 8 2 3" xfId="18341" xr:uid="{00000000-0005-0000-0000-0000A8470000}"/>
    <cellStyle name="Normal 2 2 8 2 3 2" xfId="18342" xr:uid="{00000000-0005-0000-0000-0000A9470000}"/>
    <cellStyle name="Normal 2 2 8 2 3 3" xfId="18343" xr:uid="{00000000-0005-0000-0000-0000AA470000}"/>
    <cellStyle name="Normal 2 2 8 2 4" xfId="18344" xr:uid="{00000000-0005-0000-0000-0000AB470000}"/>
    <cellStyle name="Normal 2 2 8 2 5" xfId="18345" xr:uid="{00000000-0005-0000-0000-0000AC470000}"/>
    <cellStyle name="Normal 2 2 8 2 6" xfId="18346" xr:uid="{00000000-0005-0000-0000-0000AD470000}"/>
    <cellStyle name="Normal 2 2 8 3" xfId="18347" xr:uid="{00000000-0005-0000-0000-0000AE470000}"/>
    <cellStyle name="Normal 2 2 8 3 2" xfId="18348" xr:uid="{00000000-0005-0000-0000-0000AF470000}"/>
    <cellStyle name="Normal 2 2 8 3 3" xfId="18349" xr:uid="{00000000-0005-0000-0000-0000B0470000}"/>
    <cellStyle name="Normal 2 2 8 4" xfId="18350" xr:uid="{00000000-0005-0000-0000-0000B1470000}"/>
    <cellStyle name="Normal 2 2 8 4 2" xfId="18351" xr:uid="{00000000-0005-0000-0000-0000B2470000}"/>
    <cellStyle name="Normal 2 2 8 4 3" xfId="18352" xr:uid="{00000000-0005-0000-0000-0000B3470000}"/>
    <cellStyle name="Normal 2 2 8 5" xfId="18353" xr:uid="{00000000-0005-0000-0000-0000B4470000}"/>
    <cellStyle name="Normal 2 2 8 6" xfId="18354" xr:uid="{00000000-0005-0000-0000-0000B5470000}"/>
    <cellStyle name="Normal 2 2 8 7" xfId="18355" xr:uid="{00000000-0005-0000-0000-0000B6470000}"/>
    <cellStyle name="Normal 2 2 9" xfId="18356" xr:uid="{00000000-0005-0000-0000-0000B7470000}"/>
    <cellStyle name="Normal 2 2 9 2" xfId="18357" xr:uid="{00000000-0005-0000-0000-0000B8470000}"/>
    <cellStyle name="Normal 2 2 9 2 2" xfId="18358" xr:uid="{00000000-0005-0000-0000-0000B9470000}"/>
    <cellStyle name="Normal 2 2 9 2 2 2" xfId="18359" xr:uid="{00000000-0005-0000-0000-0000BA470000}"/>
    <cellStyle name="Normal 2 2 9 2 2 3" xfId="18360" xr:uid="{00000000-0005-0000-0000-0000BB470000}"/>
    <cellStyle name="Normal 2 2 9 2 3" xfId="18361" xr:uid="{00000000-0005-0000-0000-0000BC470000}"/>
    <cellStyle name="Normal 2 2 9 2 3 2" xfId="18362" xr:uid="{00000000-0005-0000-0000-0000BD470000}"/>
    <cellStyle name="Normal 2 2 9 2 3 3" xfId="18363" xr:uid="{00000000-0005-0000-0000-0000BE470000}"/>
    <cellStyle name="Normal 2 2 9 2 4" xfId="18364" xr:uid="{00000000-0005-0000-0000-0000BF470000}"/>
    <cellStyle name="Normal 2 2 9 2 5" xfId="18365" xr:uid="{00000000-0005-0000-0000-0000C0470000}"/>
    <cellStyle name="Normal 2 2 9 2 6" xfId="18366" xr:uid="{00000000-0005-0000-0000-0000C1470000}"/>
    <cellStyle name="Normal 2 2 9 3" xfId="18367" xr:uid="{00000000-0005-0000-0000-0000C2470000}"/>
    <cellStyle name="Normal 2 2 9 3 2" xfId="18368" xr:uid="{00000000-0005-0000-0000-0000C3470000}"/>
    <cellStyle name="Normal 2 2 9 3 3" xfId="18369" xr:uid="{00000000-0005-0000-0000-0000C4470000}"/>
    <cellStyle name="Normal 2 2 9 4" xfId="18370" xr:uid="{00000000-0005-0000-0000-0000C5470000}"/>
    <cellStyle name="Normal 2 2 9 4 2" xfId="18371" xr:uid="{00000000-0005-0000-0000-0000C6470000}"/>
    <cellStyle name="Normal 2 2 9 4 3" xfId="18372" xr:uid="{00000000-0005-0000-0000-0000C7470000}"/>
    <cellStyle name="Normal 2 2 9 5" xfId="18373" xr:uid="{00000000-0005-0000-0000-0000C8470000}"/>
    <cellStyle name="Normal 2 2 9 6" xfId="18374" xr:uid="{00000000-0005-0000-0000-0000C9470000}"/>
    <cellStyle name="Normal 2 2 9 7" xfId="18375" xr:uid="{00000000-0005-0000-0000-0000CA470000}"/>
    <cellStyle name="Normal 2 20" xfId="18376" xr:uid="{00000000-0005-0000-0000-0000CB470000}"/>
    <cellStyle name="Normal 2 20 2" xfId="18377" xr:uid="{00000000-0005-0000-0000-0000CC470000}"/>
    <cellStyle name="Normal 2 21" xfId="18378" xr:uid="{00000000-0005-0000-0000-0000CD470000}"/>
    <cellStyle name="Normal 2 21 2" xfId="18379" xr:uid="{00000000-0005-0000-0000-0000CE470000}"/>
    <cellStyle name="Normal 2 22" xfId="18380" xr:uid="{00000000-0005-0000-0000-0000CF470000}"/>
    <cellStyle name="Normal 2 22 2" xfId="18381" xr:uid="{00000000-0005-0000-0000-0000D0470000}"/>
    <cellStyle name="Normal 2 23" xfId="18382" xr:uid="{00000000-0005-0000-0000-0000D1470000}"/>
    <cellStyle name="Normal 2 23 2" xfId="18383" xr:uid="{00000000-0005-0000-0000-0000D2470000}"/>
    <cellStyle name="Normal 2 24" xfId="18384" xr:uid="{00000000-0005-0000-0000-0000D3470000}"/>
    <cellStyle name="Normal 2 24 2" xfId="18385" xr:uid="{00000000-0005-0000-0000-0000D4470000}"/>
    <cellStyle name="Normal 2 25" xfId="18386" xr:uid="{00000000-0005-0000-0000-0000D5470000}"/>
    <cellStyle name="Normal 2 25 2" xfId="18387" xr:uid="{00000000-0005-0000-0000-0000D6470000}"/>
    <cellStyle name="Normal 2 26" xfId="18388" xr:uid="{00000000-0005-0000-0000-0000D7470000}"/>
    <cellStyle name="Normal 2 26 2" xfId="18389" xr:uid="{00000000-0005-0000-0000-0000D8470000}"/>
    <cellStyle name="Normal 2 27" xfId="18390" xr:uid="{00000000-0005-0000-0000-0000D9470000}"/>
    <cellStyle name="Normal 2 27 2" xfId="18391" xr:uid="{00000000-0005-0000-0000-0000DA470000}"/>
    <cellStyle name="Normal 2 28" xfId="18392" xr:uid="{00000000-0005-0000-0000-0000DB470000}"/>
    <cellStyle name="Normal 2 28 2" xfId="18393" xr:uid="{00000000-0005-0000-0000-0000DC470000}"/>
    <cellStyle name="Normal 2 29" xfId="18394" xr:uid="{00000000-0005-0000-0000-0000DD470000}"/>
    <cellStyle name="Normal 2 29 2" xfId="18395" xr:uid="{00000000-0005-0000-0000-0000DE470000}"/>
    <cellStyle name="Normal 2 3" xfId="18396" xr:uid="{00000000-0005-0000-0000-0000DF470000}"/>
    <cellStyle name="Normal 2 3 10" xfId="18397" xr:uid="{00000000-0005-0000-0000-0000E0470000}"/>
    <cellStyle name="Normal 2 3 11" xfId="18398" xr:uid="{00000000-0005-0000-0000-0000E1470000}"/>
    <cellStyle name="Normal 2 3 12" xfId="18399" xr:uid="{00000000-0005-0000-0000-0000E2470000}"/>
    <cellStyle name="Normal 2 3 2" xfId="18400" xr:uid="{00000000-0005-0000-0000-0000E3470000}"/>
    <cellStyle name="Normal 2 3 2 10" xfId="18401" xr:uid="{00000000-0005-0000-0000-0000E4470000}"/>
    <cellStyle name="Normal 2 3 2 2" xfId="18402" xr:uid="{00000000-0005-0000-0000-0000E5470000}"/>
    <cellStyle name="Normal 2 3 2 2 2" xfId="18403" xr:uid="{00000000-0005-0000-0000-0000E6470000}"/>
    <cellStyle name="Normal 2 3 2 2 2 2" xfId="18404" xr:uid="{00000000-0005-0000-0000-0000E7470000}"/>
    <cellStyle name="Normal 2 3 2 2 2 2 2" xfId="18405" xr:uid="{00000000-0005-0000-0000-0000E8470000}"/>
    <cellStyle name="Normal 2 3 2 2 2 2 3" xfId="18406" xr:uid="{00000000-0005-0000-0000-0000E9470000}"/>
    <cellStyle name="Normal 2 3 2 2 2 3" xfId="18407" xr:uid="{00000000-0005-0000-0000-0000EA470000}"/>
    <cellStyle name="Normal 2 3 2 2 2 3 2" xfId="18408" xr:uid="{00000000-0005-0000-0000-0000EB470000}"/>
    <cellStyle name="Normal 2 3 2 2 2 3 3" xfId="18409" xr:uid="{00000000-0005-0000-0000-0000EC470000}"/>
    <cellStyle name="Normal 2 3 2 2 2 4" xfId="18410" xr:uid="{00000000-0005-0000-0000-0000ED470000}"/>
    <cellStyle name="Normal 2 3 2 2 2 5" xfId="18411" xr:uid="{00000000-0005-0000-0000-0000EE470000}"/>
    <cellStyle name="Normal 2 3 2 2 2 6" xfId="18412" xr:uid="{00000000-0005-0000-0000-0000EF470000}"/>
    <cellStyle name="Normal 2 3 2 2 3" xfId="18413" xr:uid="{00000000-0005-0000-0000-0000F0470000}"/>
    <cellStyle name="Normal 2 3 2 2 3 2" xfId="18414" xr:uid="{00000000-0005-0000-0000-0000F1470000}"/>
    <cellStyle name="Normal 2 3 2 2 3 3" xfId="18415" xr:uid="{00000000-0005-0000-0000-0000F2470000}"/>
    <cellStyle name="Normal 2 3 2 2 4" xfId="18416" xr:uid="{00000000-0005-0000-0000-0000F3470000}"/>
    <cellStyle name="Normal 2 3 2 2 4 2" xfId="18417" xr:uid="{00000000-0005-0000-0000-0000F4470000}"/>
    <cellStyle name="Normal 2 3 2 2 4 3" xfId="18418" xr:uid="{00000000-0005-0000-0000-0000F5470000}"/>
    <cellStyle name="Normal 2 3 2 2 5" xfId="18419" xr:uid="{00000000-0005-0000-0000-0000F6470000}"/>
    <cellStyle name="Normal 2 3 2 2 5 2" xfId="18420" xr:uid="{00000000-0005-0000-0000-0000F7470000}"/>
    <cellStyle name="Normal 2 3 2 2 5 3" xfId="18421" xr:uid="{00000000-0005-0000-0000-0000F8470000}"/>
    <cellStyle name="Normal 2 3 2 2 6" xfId="18422" xr:uid="{00000000-0005-0000-0000-0000F9470000}"/>
    <cellStyle name="Normal 2 3 2 2 7" xfId="18423" xr:uid="{00000000-0005-0000-0000-0000FA470000}"/>
    <cellStyle name="Normal 2 3 2 2 8" xfId="18424" xr:uid="{00000000-0005-0000-0000-0000FB470000}"/>
    <cellStyle name="Normal 2 3 2 3" xfId="18425" xr:uid="{00000000-0005-0000-0000-0000FC470000}"/>
    <cellStyle name="Normal 2 3 2 3 2" xfId="18426" xr:uid="{00000000-0005-0000-0000-0000FD470000}"/>
    <cellStyle name="Normal 2 3 2 3 2 2" xfId="18427" xr:uid="{00000000-0005-0000-0000-0000FE470000}"/>
    <cellStyle name="Normal 2 3 2 3 2 2 2" xfId="18428" xr:uid="{00000000-0005-0000-0000-0000FF470000}"/>
    <cellStyle name="Normal 2 3 2 3 2 2 3" xfId="18429" xr:uid="{00000000-0005-0000-0000-000000480000}"/>
    <cellStyle name="Normal 2 3 2 3 2 3" xfId="18430" xr:uid="{00000000-0005-0000-0000-000001480000}"/>
    <cellStyle name="Normal 2 3 2 3 2 3 2" xfId="18431" xr:uid="{00000000-0005-0000-0000-000002480000}"/>
    <cellStyle name="Normal 2 3 2 3 2 3 3" xfId="18432" xr:uid="{00000000-0005-0000-0000-000003480000}"/>
    <cellStyle name="Normal 2 3 2 3 2 4" xfId="18433" xr:uid="{00000000-0005-0000-0000-000004480000}"/>
    <cellStyle name="Normal 2 3 2 3 2 5" xfId="18434" xr:uid="{00000000-0005-0000-0000-000005480000}"/>
    <cellStyle name="Normal 2 3 2 3 2 6" xfId="18435" xr:uid="{00000000-0005-0000-0000-000006480000}"/>
    <cellStyle name="Normal 2 3 2 3 3" xfId="18436" xr:uid="{00000000-0005-0000-0000-000007480000}"/>
    <cellStyle name="Normal 2 3 2 3 3 2" xfId="18437" xr:uid="{00000000-0005-0000-0000-000008480000}"/>
    <cellStyle name="Normal 2 3 2 3 3 3" xfId="18438" xr:uid="{00000000-0005-0000-0000-000009480000}"/>
    <cellStyle name="Normal 2 3 2 3 4" xfId="18439" xr:uid="{00000000-0005-0000-0000-00000A480000}"/>
    <cellStyle name="Normal 2 3 2 3 4 2" xfId="18440" xr:uid="{00000000-0005-0000-0000-00000B480000}"/>
    <cellStyle name="Normal 2 3 2 3 4 3" xfId="18441" xr:uid="{00000000-0005-0000-0000-00000C480000}"/>
    <cellStyle name="Normal 2 3 2 3 5" xfId="18442" xr:uid="{00000000-0005-0000-0000-00000D480000}"/>
    <cellStyle name="Normal 2 3 2 3 5 2" xfId="18443" xr:uid="{00000000-0005-0000-0000-00000E480000}"/>
    <cellStyle name="Normal 2 3 2 3 5 3" xfId="18444" xr:uid="{00000000-0005-0000-0000-00000F480000}"/>
    <cellStyle name="Normal 2 3 2 3 6" xfId="18445" xr:uid="{00000000-0005-0000-0000-000010480000}"/>
    <cellStyle name="Normal 2 3 2 3 7" xfId="18446" xr:uid="{00000000-0005-0000-0000-000011480000}"/>
    <cellStyle name="Normal 2 3 2 3 8" xfId="18447" xr:uid="{00000000-0005-0000-0000-000012480000}"/>
    <cellStyle name="Normal 2 3 2 4" xfId="18448" xr:uid="{00000000-0005-0000-0000-000013480000}"/>
    <cellStyle name="Normal 2 3 2 4 2" xfId="18449" xr:uid="{00000000-0005-0000-0000-000014480000}"/>
    <cellStyle name="Normal 2 3 2 4 2 2" xfId="18450" xr:uid="{00000000-0005-0000-0000-000015480000}"/>
    <cellStyle name="Normal 2 3 2 4 2 3" xfId="18451" xr:uid="{00000000-0005-0000-0000-000016480000}"/>
    <cellStyle name="Normal 2 3 2 4 3" xfId="18452" xr:uid="{00000000-0005-0000-0000-000017480000}"/>
    <cellStyle name="Normal 2 3 2 4 3 2" xfId="18453" xr:uid="{00000000-0005-0000-0000-000018480000}"/>
    <cellStyle name="Normal 2 3 2 4 3 3" xfId="18454" xr:uid="{00000000-0005-0000-0000-000019480000}"/>
    <cellStyle name="Normal 2 3 2 4 4" xfId="18455" xr:uid="{00000000-0005-0000-0000-00001A480000}"/>
    <cellStyle name="Normal 2 3 2 4 5" xfId="18456" xr:uid="{00000000-0005-0000-0000-00001B480000}"/>
    <cellStyle name="Normal 2 3 2 4 6" xfId="18457" xr:uid="{00000000-0005-0000-0000-00001C480000}"/>
    <cellStyle name="Normal 2 3 2 5" xfId="18458" xr:uid="{00000000-0005-0000-0000-00001D480000}"/>
    <cellStyle name="Normal 2 3 2 5 2" xfId="18459" xr:uid="{00000000-0005-0000-0000-00001E480000}"/>
    <cellStyle name="Normal 2 3 2 5 3" xfId="18460" xr:uid="{00000000-0005-0000-0000-00001F480000}"/>
    <cellStyle name="Normal 2 3 2 6" xfId="18461" xr:uid="{00000000-0005-0000-0000-000020480000}"/>
    <cellStyle name="Normal 2 3 2 6 2" xfId="18462" xr:uid="{00000000-0005-0000-0000-000021480000}"/>
    <cellStyle name="Normal 2 3 2 6 3" xfId="18463" xr:uid="{00000000-0005-0000-0000-000022480000}"/>
    <cellStyle name="Normal 2 3 2 7" xfId="18464" xr:uid="{00000000-0005-0000-0000-000023480000}"/>
    <cellStyle name="Normal 2 3 2 7 2" xfId="18465" xr:uid="{00000000-0005-0000-0000-000024480000}"/>
    <cellStyle name="Normal 2 3 2 7 3" xfId="18466" xr:uid="{00000000-0005-0000-0000-000025480000}"/>
    <cellStyle name="Normal 2 3 2 8" xfId="18467" xr:uid="{00000000-0005-0000-0000-000026480000}"/>
    <cellStyle name="Normal 2 3 2 9" xfId="18468" xr:uid="{00000000-0005-0000-0000-000027480000}"/>
    <cellStyle name="Normal 2 3 3" xfId="18469" xr:uid="{00000000-0005-0000-0000-000028480000}"/>
    <cellStyle name="Normal 2 3 3 2" xfId="18470" xr:uid="{00000000-0005-0000-0000-000029480000}"/>
    <cellStyle name="Normal 2 3 3 2 2" xfId="18471" xr:uid="{00000000-0005-0000-0000-00002A480000}"/>
    <cellStyle name="Normal 2 3 3 2 2 2" xfId="18472" xr:uid="{00000000-0005-0000-0000-00002B480000}"/>
    <cellStyle name="Normal 2 3 3 2 2 3" xfId="18473" xr:uid="{00000000-0005-0000-0000-00002C480000}"/>
    <cellStyle name="Normal 2 3 3 2 3" xfId="18474" xr:uid="{00000000-0005-0000-0000-00002D480000}"/>
    <cellStyle name="Normal 2 3 3 2 3 2" xfId="18475" xr:uid="{00000000-0005-0000-0000-00002E480000}"/>
    <cellStyle name="Normal 2 3 3 2 3 3" xfId="18476" xr:uid="{00000000-0005-0000-0000-00002F480000}"/>
    <cellStyle name="Normal 2 3 3 2 4" xfId="18477" xr:uid="{00000000-0005-0000-0000-000030480000}"/>
    <cellStyle name="Normal 2 3 3 2 5" xfId="18478" xr:uid="{00000000-0005-0000-0000-000031480000}"/>
    <cellStyle name="Normal 2 3 3 2 6" xfId="18479" xr:uid="{00000000-0005-0000-0000-000032480000}"/>
    <cellStyle name="Normal 2 3 3 3" xfId="18480" xr:uid="{00000000-0005-0000-0000-000033480000}"/>
    <cellStyle name="Normal 2 3 3 3 2" xfId="18481" xr:uid="{00000000-0005-0000-0000-000034480000}"/>
    <cellStyle name="Normal 2 3 3 3 3" xfId="18482" xr:uid="{00000000-0005-0000-0000-000035480000}"/>
    <cellStyle name="Normal 2 3 3 4" xfId="18483" xr:uid="{00000000-0005-0000-0000-000036480000}"/>
    <cellStyle name="Normal 2 3 3 4 2" xfId="18484" xr:uid="{00000000-0005-0000-0000-000037480000}"/>
    <cellStyle name="Normal 2 3 3 4 3" xfId="18485" xr:uid="{00000000-0005-0000-0000-000038480000}"/>
    <cellStyle name="Normal 2 3 3 5" xfId="18486" xr:uid="{00000000-0005-0000-0000-000039480000}"/>
    <cellStyle name="Normal 2 3 3 5 2" xfId="18487" xr:uid="{00000000-0005-0000-0000-00003A480000}"/>
    <cellStyle name="Normal 2 3 3 5 3" xfId="18488" xr:uid="{00000000-0005-0000-0000-00003B480000}"/>
    <cellStyle name="Normal 2 3 3 6" xfId="18489" xr:uid="{00000000-0005-0000-0000-00003C480000}"/>
    <cellStyle name="Normal 2 3 3 7" xfId="18490" xr:uid="{00000000-0005-0000-0000-00003D480000}"/>
    <cellStyle name="Normal 2 3 3 8" xfId="18491" xr:uid="{00000000-0005-0000-0000-00003E480000}"/>
    <cellStyle name="Normal 2 3 4" xfId="18492" xr:uid="{00000000-0005-0000-0000-00003F480000}"/>
    <cellStyle name="Normal 2 3 4 2" xfId="18493" xr:uid="{00000000-0005-0000-0000-000040480000}"/>
    <cellStyle name="Normal 2 3 4 2 2" xfId="18494" xr:uid="{00000000-0005-0000-0000-000041480000}"/>
    <cellStyle name="Normal 2 3 4 2 2 2" xfId="18495" xr:uid="{00000000-0005-0000-0000-000042480000}"/>
    <cellStyle name="Normal 2 3 4 2 2 3" xfId="18496" xr:uid="{00000000-0005-0000-0000-000043480000}"/>
    <cellStyle name="Normal 2 3 4 2 3" xfId="18497" xr:uid="{00000000-0005-0000-0000-000044480000}"/>
    <cellStyle name="Normal 2 3 4 2 3 2" xfId="18498" xr:uid="{00000000-0005-0000-0000-000045480000}"/>
    <cellStyle name="Normal 2 3 4 2 3 3" xfId="18499" xr:uid="{00000000-0005-0000-0000-000046480000}"/>
    <cellStyle name="Normal 2 3 4 2 4" xfId="18500" xr:uid="{00000000-0005-0000-0000-000047480000}"/>
    <cellStyle name="Normal 2 3 4 2 5" xfId="18501" xr:uid="{00000000-0005-0000-0000-000048480000}"/>
    <cellStyle name="Normal 2 3 4 2 6" xfId="18502" xr:uid="{00000000-0005-0000-0000-000049480000}"/>
    <cellStyle name="Normal 2 3 4 3" xfId="18503" xr:uid="{00000000-0005-0000-0000-00004A480000}"/>
    <cellStyle name="Normal 2 3 4 3 2" xfId="18504" xr:uid="{00000000-0005-0000-0000-00004B480000}"/>
    <cellStyle name="Normal 2 3 4 3 3" xfId="18505" xr:uid="{00000000-0005-0000-0000-00004C480000}"/>
    <cellStyle name="Normal 2 3 4 4" xfId="18506" xr:uid="{00000000-0005-0000-0000-00004D480000}"/>
    <cellStyle name="Normal 2 3 4 4 2" xfId="18507" xr:uid="{00000000-0005-0000-0000-00004E480000}"/>
    <cellStyle name="Normal 2 3 4 4 3" xfId="18508" xr:uid="{00000000-0005-0000-0000-00004F480000}"/>
    <cellStyle name="Normal 2 3 4 5" xfId="18509" xr:uid="{00000000-0005-0000-0000-000050480000}"/>
    <cellStyle name="Normal 2 3 4 5 2" xfId="18510" xr:uid="{00000000-0005-0000-0000-000051480000}"/>
    <cellStyle name="Normal 2 3 4 5 3" xfId="18511" xr:uid="{00000000-0005-0000-0000-000052480000}"/>
    <cellStyle name="Normal 2 3 4 6" xfId="18512" xr:uid="{00000000-0005-0000-0000-000053480000}"/>
    <cellStyle name="Normal 2 3 4 7" xfId="18513" xr:uid="{00000000-0005-0000-0000-000054480000}"/>
    <cellStyle name="Normal 2 3 4 8" xfId="18514" xr:uid="{00000000-0005-0000-0000-000055480000}"/>
    <cellStyle name="Normal 2 3 5" xfId="18515" xr:uid="{00000000-0005-0000-0000-000056480000}"/>
    <cellStyle name="Normal 2 3 5 2" xfId="18516" xr:uid="{00000000-0005-0000-0000-000057480000}"/>
    <cellStyle name="Normal 2 3 5 2 2" xfId="18517" xr:uid="{00000000-0005-0000-0000-000058480000}"/>
    <cellStyle name="Normal 2 3 5 2 2 2" xfId="18518" xr:uid="{00000000-0005-0000-0000-000059480000}"/>
    <cellStyle name="Normal 2 3 5 2 2 3" xfId="18519" xr:uid="{00000000-0005-0000-0000-00005A480000}"/>
    <cellStyle name="Normal 2 3 5 2 3" xfId="18520" xr:uid="{00000000-0005-0000-0000-00005B480000}"/>
    <cellStyle name="Normal 2 3 5 2 3 2" xfId="18521" xr:uid="{00000000-0005-0000-0000-00005C480000}"/>
    <cellStyle name="Normal 2 3 5 2 3 3" xfId="18522" xr:uid="{00000000-0005-0000-0000-00005D480000}"/>
    <cellStyle name="Normal 2 3 5 2 4" xfId="18523" xr:uid="{00000000-0005-0000-0000-00005E480000}"/>
    <cellStyle name="Normal 2 3 5 2 5" xfId="18524" xr:uid="{00000000-0005-0000-0000-00005F480000}"/>
    <cellStyle name="Normal 2 3 5 2 6" xfId="18525" xr:uid="{00000000-0005-0000-0000-000060480000}"/>
    <cellStyle name="Normal 2 3 5 3" xfId="18526" xr:uid="{00000000-0005-0000-0000-000061480000}"/>
    <cellStyle name="Normal 2 3 5 3 2" xfId="18527" xr:uid="{00000000-0005-0000-0000-000062480000}"/>
    <cellStyle name="Normal 2 3 5 3 3" xfId="18528" xr:uid="{00000000-0005-0000-0000-000063480000}"/>
    <cellStyle name="Normal 2 3 5 4" xfId="18529" xr:uid="{00000000-0005-0000-0000-000064480000}"/>
    <cellStyle name="Normal 2 3 5 4 2" xfId="18530" xr:uid="{00000000-0005-0000-0000-000065480000}"/>
    <cellStyle name="Normal 2 3 5 4 3" xfId="18531" xr:uid="{00000000-0005-0000-0000-000066480000}"/>
    <cellStyle name="Normal 2 3 5 5" xfId="18532" xr:uid="{00000000-0005-0000-0000-000067480000}"/>
    <cellStyle name="Normal 2 3 5 5 2" xfId="18533" xr:uid="{00000000-0005-0000-0000-000068480000}"/>
    <cellStyle name="Normal 2 3 5 5 3" xfId="18534" xr:uid="{00000000-0005-0000-0000-000069480000}"/>
    <cellStyle name="Normal 2 3 5 6" xfId="18535" xr:uid="{00000000-0005-0000-0000-00006A480000}"/>
    <cellStyle name="Normal 2 3 5 7" xfId="18536" xr:uid="{00000000-0005-0000-0000-00006B480000}"/>
    <cellStyle name="Normal 2 3 5 8" xfId="18537" xr:uid="{00000000-0005-0000-0000-00006C480000}"/>
    <cellStyle name="Normal 2 3 6" xfId="18538" xr:uid="{00000000-0005-0000-0000-00006D480000}"/>
    <cellStyle name="Normal 2 3 6 2" xfId="18539" xr:uid="{00000000-0005-0000-0000-00006E480000}"/>
    <cellStyle name="Normal 2 3 6 2 2" xfId="18540" xr:uid="{00000000-0005-0000-0000-00006F480000}"/>
    <cellStyle name="Normal 2 3 6 2 3" xfId="18541" xr:uid="{00000000-0005-0000-0000-000070480000}"/>
    <cellStyle name="Normal 2 3 6 3" xfId="18542" xr:uid="{00000000-0005-0000-0000-000071480000}"/>
    <cellStyle name="Normal 2 3 6 3 2" xfId="18543" xr:uid="{00000000-0005-0000-0000-000072480000}"/>
    <cellStyle name="Normal 2 3 6 3 3" xfId="18544" xr:uid="{00000000-0005-0000-0000-000073480000}"/>
    <cellStyle name="Normal 2 3 6 4" xfId="18545" xr:uid="{00000000-0005-0000-0000-000074480000}"/>
    <cellStyle name="Normal 2 3 6 5" xfId="18546" xr:uid="{00000000-0005-0000-0000-000075480000}"/>
    <cellStyle name="Normal 2 3 6 6" xfId="18547" xr:uid="{00000000-0005-0000-0000-000076480000}"/>
    <cellStyle name="Normal 2 3 7" xfId="18548" xr:uid="{00000000-0005-0000-0000-000077480000}"/>
    <cellStyle name="Normal 2 3 7 2" xfId="18549" xr:uid="{00000000-0005-0000-0000-000078480000}"/>
    <cellStyle name="Normal 2 3 7 3" xfId="18550" xr:uid="{00000000-0005-0000-0000-000079480000}"/>
    <cellStyle name="Normal 2 3 8" xfId="18551" xr:uid="{00000000-0005-0000-0000-00007A480000}"/>
    <cellStyle name="Normal 2 3 8 2" xfId="18552" xr:uid="{00000000-0005-0000-0000-00007B480000}"/>
    <cellStyle name="Normal 2 3 8 3" xfId="18553" xr:uid="{00000000-0005-0000-0000-00007C480000}"/>
    <cellStyle name="Normal 2 3 9" xfId="18554" xr:uid="{00000000-0005-0000-0000-00007D480000}"/>
    <cellStyle name="Normal 2 3 9 2" xfId="18555" xr:uid="{00000000-0005-0000-0000-00007E480000}"/>
    <cellStyle name="Normal 2 3 9 3" xfId="18556" xr:uid="{00000000-0005-0000-0000-00007F480000}"/>
    <cellStyle name="Normal 2 30" xfId="18557" xr:uid="{00000000-0005-0000-0000-000080480000}"/>
    <cellStyle name="Normal 2 30 2" xfId="18558" xr:uid="{00000000-0005-0000-0000-000081480000}"/>
    <cellStyle name="Normal 2 31" xfId="18559" xr:uid="{00000000-0005-0000-0000-000082480000}"/>
    <cellStyle name="Normal 2 31 2" xfId="18560" xr:uid="{00000000-0005-0000-0000-000083480000}"/>
    <cellStyle name="Normal 2 32" xfId="18561" xr:uid="{00000000-0005-0000-0000-000084480000}"/>
    <cellStyle name="Normal 2 32 2" xfId="18562" xr:uid="{00000000-0005-0000-0000-000085480000}"/>
    <cellStyle name="Normal 2 33" xfId="18563" xr:uid="{00000000-0005-0000-0000-000086480000}"/>
    <cellStyle name="Normal 2 33 2" xfId="18564" xr:uid="{00000000-0005-0000-0000-000087480000}"/>
    <cellStyle name="Normal 2 34" xfId="18565" xr:uid="{00000000-0005-0000-0000-000088480000}"/>
    <cellStyle name="Normal 2 34 2" xfId="18566" xr:uid="{00000000-0005-0000-0000-000089480000}"/>
    <cellStyle name="Normal 2 35" xfId="18567" xr:uid="{00000000-0005-0000-0000-00008A480000}"/>
    <cellStyle name="Normal 2 35 2" xfId="18568" xr:uid="{00000000-0005-0000-0000-00008B480000}"/>
    <cellStyle name="Normal 2 36" xfId="18569" xr:uid="{00000000-0005-0000-0000-00008C480000}"/>
    <cellStyle name="Normal 2 36 2" xfId="18570" xr:uid="{00000000-0005-0000-0000-00008D480000}"/>
    <cellStyle name="Normal 2 37" xfId="18571" xr:uid="{00000000-0005-0000-0000-00008E480000}"/>
    <cellStyle name="Normal 2 37 2" xfId="18572" xr:uid="{00000000-0005-0000-0000-00008F480000}"/>
    <cellStyle name="Normal 2 38" xfId="18573" xr:uid="{00000000-0005-0000-0000-000090480000}"/>
    <cellStyle name="Normal 2 38 2" xfId="18574" xr:uid="{00000000-0005-0000-0000-000091480000}"/>
    <cellStyle name="Normal 2 39" xfId="18575" xr:uid="{00000000-0005-0000-0000-000092480000}"/>
    <cellStyle name="Normal 2 39 2" xfId="18576" xr:uid="{00000000-0005-0000-0000-000093480000}"/>
    <cellStyle name="Normal 2 4" xfId="18577" xr:uid="{00000000-0005-0000-0000-000094480000}"/>
    <cellStyle name="Normal 2 4 10" xfId="18578" xr:uid="{00000000-0005-0000-0000-000095480000}"/>
    <cellStyle name="Normal 2 4 11" xfId="18579" xr:uid="{00000000-0005-0000-0000-000096480000}"/>
    <cellStyle name="Normal 2 4 12" xfId="18580" xr:uid="{00000000-0005-0000-0000-000097480000}"/>
    <cellStyle name="Normal 2 4 2" xfId="18581" xr:uid="{00000000-0005-0000-0000-000098480000}"/>
    <cellStyle name="Normal 2 4 2 10" xfId="18582" xr:uid="{00000000-0005-0000-0000-000099480000}"/>
    <cellStyle name="Normal 2 4 2 2" xfId="18583" xr:uid="{00000000-0005-0000-0000-00009A480000}"/>
    <cellStyle name="Normal 2 4 2 2 2" xfId="18584" xr:uid="{00000000-0005-0000-0000-00009B480000}"/>
    <cellStyle name="Normal 2 4 2 2 2 2" xfId="18585" xr:uid="{00000000-0005-0000-0000-00009C480000}"/>
    <cellStyle name="Normal 2 4 2 2 2 2 2" xfId="18586" xr:uid="{00000000-0005-0000-0000-00009D480000}"/>
    <cellStyle name="Normal 2 4 2 2 2 2 3" xfId="18587" xr:uid="{00000000-0005-0000-0000-00009E480000}"/>
    <cellStyle name="Normal 2 4 2 2 2 3" xfId="18588" xr:uid="{00000000-0005-0000-0000-00009F480000}"/>
    <cellStyle name="Normal 2 4 2 2 2 3 2" xfId="18589" xr:uid="{00000000-0005-0000-0000-0000A0480000}"/>
    <cellStyle name="Normal 2 4 2 2 2 3 3" xfId="18590" xr:uid="{00000000-0005-0000-0000-0000A1480000}"/>
    <cellStyle name="Normal 2 4 2 2 2 4" xfId="18591" xr:uid="{00000000-0005-0000-0000-0000A2480000}"/>
    <cellStyle name="Normal 2 4 2 2 2 5" xfId="18592" xr:uid="{00000000-0005-0000-0000-0000A3480000}"/>
    <cellStyle name="Normal 2 4 2 2 2 6" xfId="18593" xr:uid="{00000000-0005-0000-0000-0000A4480000}"/>
    <cellStyle name="Normal 2 4 2 2 3" xfId="18594" xr:uid="{00000000-0005-0000-0000-0000A5480000}"/>
    <cellStyle name="Normal 2 4 2 2 3 2" xfId="18595" xr:uid="{00000000-0005-0000-0000-0000A6480000}"/>
    <cellStyle name="Normal 2 4 2 2 3 3" xfId="18596" xr:uid="{00000000-0005-0000-0000-0000A7480000}"/>
    <cellStyle name="Normal 2 4 2 2 4" xfId="18597" xr:uid="{00000000-0005-0000-0000-0000A8480000}"/>
    <cellStyle name="Normal 2 4 2 2 4 2" xfId="18598" xr:uid="{00000000-0005-0000-0000-0000A9480000}"/>
    <cellStyle name="Normal 2 4 2 2 4 3" xfId="18599" xr:uid="{00000000-0005-0000-0000-0000AA480000}"/>
    <cellStyle name="Normal 2 4 2 2 5" xfId="18600" xr:uid="{00000000-0005-0000-0000-0000AB480000}"/>
    <cellStyle name="Normal 2 4 2 2 5 2" xfId="18601" xr:uid="{00000000-0005-0000-0000-0000AC480000}"/>
    <cellStyle name="Normal 2 4 2 2 5 3" xfId="18602" xr:uid="{00000000-0005-0000-0000-0000AD480000}"/>
    <cellStyle name="Normal 2 4 2 2 6" xfId="18603" xr:uid="{00000000-0005-0000-0000-0000AE480000}"/>
    <cellStyle name="Normal 2 4 2 2 7" xfId="18604" xr:uid="{00000000-0005-0000-0000-0000AF480000}"/>
    <cellStyle name="Normal 2 4 2 2 8" xfId="18605" xr:uid="{00000000-0005-0000-0000-0000B0480000}"/>
    <cellStyle name="Normal 2 4 2 3" xfId="18606" xr:uid="{00000000-0005-0000-0000-0000B1480000}"/>
    <cellStyle name="Normal 2 4 2 3 2" xfId="18607" xr:uid="{00000000-0005-0000-0000-0000B2480000}"/>
    <cellStyle name="Normal 2 4 2 3 2 2" xfId="18608" xr:uid="{00000000-0005-0000-0000-0000B3480000}"/>
    <cellStyle name="Normal 2 4 2 3 2 2 2" xfId="18609" xr:uid="{00000000-0005-0000-0000-0000B4480000}"/>
    <cellStyle name="Normal 2 4 2 3 2 2 3" xfId="18610" xr:uid="{00000000-0005-0000-0000-0000B5480000}"/>
    <cellStyle name="Normal 2 4 2 3 2 3" xfId="18611" xr:uid="{00000000-0005-0000-0000-0000B6480000}"/>
    <cellStyle name="Normal 2 4 2 3 2 3 2" xfId="18612" xr:uid="{00000000-0005-0000-0000-0000B7480000}"/>
    <cellStyle name="Normal 2 4 2 3 2 3 3" xfId="18613" xr:uid="{00000000-0005-0000-0000-0000B8480000}"/>
    <cellStyle name="Normal 2 4 2 3 2 4" xfId="18614" xr:uid="{00000000-0005-0000-0000-0000B9480000}"/>
    <cellStyle name="Normal 2 4 2 3 2 5" xfId="18615" xr:uid="{00000000-0005-0000-0000-0000BA480000}"/>
    <cellStyle name="Normal 2 4 2 3 2 6" xfId="18616" xr:uid="{00000000-0005-0000-0000-0000BB480000}"/>
    <cellStyle name="Normal 2 4 2 3 3" xfId="18617" xr:uid="{00000000-0005-0000-0000-0000BC480000}"/>
    <cellStyle name="Normal 2 4 2 3 3 2" xfId="18618" xr:uid="{00000000-0005-0000-0000-0000BD480000}"/>
    <cellStyle name="Normal 2 4 2 3 3 3" xfId="18619" xr:uid="{00000000-0005-0000-0000-0000BE480000}"/>
    <cellStyle name="Normal 2 4 2 3 4" xfId="18620" xr:uid="{00000000-0005-0000-0000-0000BF480000}"/>
    <cellStyle name="Normal 2 4 2 3 4 2" xfId="18621" xr:uid="{00000000-0005-0000-0000-0000C0480000}"/>
    <cellStyle name="Normal 2 4 2 3 4 3" xfId="18622" xr:uid="{00000000-0005-0000-0000-0000C1480000}"/>
    <cellStyle name="Normal 2 4 2 3 5" xfId="18623" xr:uid="{00000000-0005-0000-0000-0000C2480000}"/>
    <cellStyle name="Normal 2 4 2 3 5 2" xfId="18624" xr:uid="{00000000-0005-0000-0000-0000C3480000}"/>
    <cellStyle name="Normal 2 4 2 3 5 3" xfId="18625" xr:uid="{00000000-0005-0000-0000-0000C4480000}"/>
    <cellStyle name="Normal 2 4 2 3 6" xfId="18626" xr:uid="{00000000-0005-0000-0000-0000C5480000}"/>
    <cellStyle name="Normal 2 4 2 3 7" xfId="18627" xr:uid="{00000000-0005-0000-0000-0000C6480000}"/>
    <cellStyle name="Normal 2 4 2 3 8" xfId="18628" xr:uid="{00000000-0005-0000-0000-0000C7480000}"/>
    <cellStyle name="Normal 2 4 2 4" xfId="18629" xr:uid="{00000000-0005-0000-0000-0000C8480000}"/>
    <cellStyle name="Normal 2 4 2 4 2" xfId="18630" xr:uid="{00000000-0005-0000-0000-0000C9480000}"/>
    <cellStyle name="Normal 2 4 2 4 2 2" xfId="18631" xr:uid="{00000000-0005-0000-0000-0000CA480000}"/>
    <cellStyle name="Normal 2 4 2 4 2 3" xfId="18632" xr:uid="{00000000-0005-0000-0000-0000CB480000}"/>
    <cellStyle name="Normal 2 4 2 4 3" xfId="18633" xr:uid="{00000000-0005-0000-0000-0000CC480000}"/>
    <cellStyle name="Normal 2 4 2 4 3 2" xfId="18634" xr:uid="{00000000-0005-0000-0000-0000CD480000}"/>
    <cellStyle name="Normal 2 4 2 4 3 3" xfId="18635" xr:uid="{00000000-0005-0000-0000-0000CE480000}"/>
    <cellStyle name="Normal 2 4 2 4 4" xfId="18636" xr:uid="{00000000-0005-0000-0000-0000CF480000}"/>
    <cellStyle name="Normal 2 4 2 4 5" xfId="18637" xr:uid="{00000000-0005-0000-0000-0000D0480000}"/>
    <cellStyle name="Normal 2 4 2 4 6" xfId="18638" xr:uid="{00000000-0005-0000-0000-0000D1480000}"/>
    <cellStyle name="Normal 2 4 2 5" xfId="18639" xr:uid="{00000000-0005-0000-0000-0000D2480000}"/>
    <cellStyle name="Normal 2 4 2 5 2" xfId="18640" xr:uid="{00000000-0005-0000-0000-0000D3480000}"/>
    <cellStyle name="Normal 2 4 2 5 3" xfId="18641" xr:uid="{00000000-0005-0000-0000-0000D4480000}"/>
    <cellStyle name="Normal 2 4 2 6" xfId="18642" xr:uid="{00000000-0005-0000-0000-0000D5480000}"/>
    <cellStyle name="Normal 2 4 2 6 2" xfId="18643" xr:uid="{00000000-0005-0000-0000-0000D6480000}"/>
    <cellStyle name="Normal 2 4 2 6 3" xfId="18644" xr:uid="{00000000-0005-0000-0000-0000D7480000}"/>
    <cellStyle name="Normal 2 4 2 7" xfId="18645" xr:uid="{00000000-0005-0000-0000-0000D8480000}"/>
    <cellStyle name="Normal 2 4 2 7 2" xfId="18646" xr:uid="{00000000-0005-0000-0000-0000D9480000}"/>
    <cellStyle name="Normal 2 4 2 7 3" xfId="18647" xr:uid="{00000000-0005-0000-0000-0000DA480000}"/>
    <cellStyle name="Normal 2 4 2 8" xfId="18648" xr:uid="{00000000-0005-0000-0000-0000DB480000}"/>
    <cellStyle name="Normal 2 4 2 9" xfId="18649" xr:uid="{00000000-0005-0000-0000-0000DC480000}"/>
    <cellStyle name="Normal 2 4 3" xfId="18650" xr:uid="{00000000-0005-0000-0000-0000DD480000}"/>
    <cellStyle name="Normal 2 4 3 2" xfId="18651" xr:uid="{00000000-0005-0000-0000-0000DE480000}"/>
    <cellStyle name="Normal 2 4 3 2 2" xfId="18652" xr:uid="{00000000-0005-0000-0000-0000DF480000}"/>
    <cellStyle name="Normal 2 4 3 2 2 2" xfId="18653" xr:uid="{00000000-0005-0000-0000-0000E0480000}"/>
    <cellStyle name="Normal 2 4 3 2 2 3" xfId="18654" xr:uid="{00000000-0005-0000-0000-0000E1480000}"/>
    <cellStyle name="Normal 2 4 3 2 3" xfId="18655" xr:uid="{00000000-0005-0000-0000-0000E2480000}"/>
    <cellStyle name="Normal 2 4 3 2 3 2" xfId="18656" xr:uid="{00000000-0005-0000-0000-0000E3480000}"/>
    <cellStyle name="Normal 2 4 3 2 3 3" xfId="18657" xr:uid="{00000000-0005-0000-0000-0000E4480000}"/>
    <cellStyle name="Normal 2 4 3 2 4" xfId="18658" xr:uid="{00000000-0005-0000-0000-0000E5480000}"/>
    <cellStyle name="Normal 2 4 3 2 5" xfId="18659" xr:uid="{00000000-0005-0000-0000-0000E6480000}"/>
    <cellStyle name="Normal 2 4 3 2 6" xfId="18660" xr:uid="{00000000-0005-0000-0000-0000E7480000}"/>
    <cellStyle name="Normal 2 4 3 3" xfId="18661" xr:uid="{00000000-0005-0000-0000-0000E8480000}"/>
    <cellStyle name="Normal 2 4 3 3 2" xfId="18662" xr:uid="{00000000-0005-0000-0000-0000E9480000}"/>
    <cellStyle name="Normal 2 4 3 3 3" xfId="18663" xr:uid="{00000000-0005-0000-0000-0000EA480000}"/>
    <cellStyle name="Normal 2 4 3 4" xfId="18664" xr:uid="{00000000-0005-0000-0000-0000EB480000}"/>
    <cellStyle name="Normal 2 4 3 4 2" xfId="18665" xr:uid="{00000000-0005-0000-0000-0000EC480000}"/>
    <cellStyle name="Normal 2 4 3 4 3" xfId="18666" xr:uid="{00000000-0005-0000-0000-0000ED480000}"/>
    <cellStyle name="Normal 2 4 3 5" xfId="18667" xr:uid="{00000000-0005-0000-0000-0000EE480000}"/>
    <cellStyle name="Normal 2 4 3 5 2" xfId="18668" xr:uid="{00000000-0005-0000-0000-0000EF480000}"/>
    <cellStyle name="Normal 2 4 3 5 3" xfId="18669" xr:uid="{00000000-0005-0000-0000-0000F0480000}"/>
    <cellStyle name="Normal 2 4 3 6" xfId="18670" xr:uid="{00000000-0005-0000-0000-0000F1480000}"/>
    <cellStyle name="Normal 2 4 3 7" xfId="18671" xr:uid="{00000000-0005-0000-0000-0000F2480000}"/>
    <cellStyle name="Normal 2 4 3 8" xfId="18672" xr:uid="{00000000-0005-0000-0000-0000F3480000}"/>
    <cellStyle name="Normal 2 4 4" xfId="18673" xr:uid="{00000000-0005-0000-0000-0000F4480000}"/>
    <cellStyle name="Normal 2 4 4 2" xfId="18674" xr:uid="{00000000-0005-0000-0000-0000F5480000}"/>
    <cellStyle name="Normal 2 4 4 2 2" xfId="18675" xr:uid="{00000000-0005-0000-0000-0000F6480000}"/>
    <cellStyle name="Normal 2 4 4 2 2 2" xfId="18676" xr:uid="{00000000-0005-0000-0000-0000F7480000}"/>
    <cellStyle name="Normal 2 4 4 2 2 3" xfId="18677" xr:uid="{00000000-0005-0000-0000-0000F8480000}"/>
    <cellStyle name="Normal 2 4 4 2 3" xfId="18678" xr:uid="{00000000-0005-0000-0000-0000F9480000}"/>
    <cellStyle name="Normal 2 4 4 2 3 2" xfId="18679" xr:uid="{00000000-0005-0000-0000-0000FA480000}"/>
    <cellStyle name="Normal 2 4 4 2 3 3" xfId="18680" xr:uid="{00000000-0005-0000-0000-0000FB480000}"/>
    <cellStyle name="Normal 2 4 4 2 4" xfId="18681" xr:uid="{00000000-0005-0000-0000-0000FC480000}"/>
    <cellStyle name="Normal 2 4 4 2 5" xfId="18682" xr:uid="{00000000-0005-0000-0000-0000FD480000}"/>
    <cellStyle name="Normal 2 4 4 2 6" xfId="18683" xr:uid="{00000000-0005-0000-0000-0000FE480000}"/>
    <cellStyle name="Normal 2 4 4 3" xfId="18684" xr:uid="{00000000-0005-0000-0000-0000FF480000}"/>
    <cellStyle name="Normal 2 4 4 3 2" xfId="18685" xr:uid="{00000000-0005-0000-0000-000000490000}"/>
    <cellStyle name="Normal 2 4 4 3 3" xfId="18686" xr:uid="{00000000-0005-0000-0000-000001490000}"/>
    <cellStyle name="Normal 2 4 4 4" xfId="18687" xr:uid="{00000000-0005-0000-0000-000002490000}"/>
    <cellStyle name="Normal 2 4 4 4 2" xfId="18688" xr:uid="{00000000-0005-0000-0000-000003490000}"/>
    <cellStyle name="Normal 2 4 4 4 3" xfId="18689" xr:uid="{00000000-0005-0000-0000-000004490000}"/>
    <cellStyle name="Normal 2 4 4 5" xfId="18690" xr:uid="{00000000-0005-0000-0000-000005490000}"/>
    <cellStyle name="Normal 2 4 4 5 2" xfId="18691" xr:uid="{00000000-0005-0000-0000-000006490000}"/>
    <cellStyle name="Normal 2 4 4 5 3" xfId="18692" xr:uid="{00000000-0005-0000-0000-000007490000}"/>
    <cellStyle name="Normal 2 4 4 6" xfId="18693" xr:uid="{00000000-0005-0000-0000-000008490000}"/>
    <cellStyle name="Normal 2 4 4 7" xfId="18694" xr:uid="{00000000-0005-0000-0000-000009490000}"/>
    <cellStyle name="Normal 2 4 4 8" xfId="18695" xr:uid="{00000000-0005-0000-0000-00000A490000}"/>
    <cellStyle name="Normal 2 4 5" xfId="18696" xr:uid="{00000000-0005-0000-0000-00000B490000}"/>
    <cellStyle name="Normal 2 4 5 2" xfId="18697" xr:uid="{00000000-0005-0000-0000-00000C490000}"/>
    <cellStyle name="Normal 2 4 5 2 2" xfId="18698" xr:uid="{00000000-0005-0000-0000-00000D490000}"/>
    <cellStyle name="Normal 2 4 5 2 2 2" xfId="18699" xr:uid="{00000000-0005-0000-0000-00000E490000}"/>
    <cellStyle name="Normal 2 4 5 2 2 3" xfId="18700" xr:uid="{00000000-0005-0000-0000-00000F490000}"/>
    <cellStyle name="Normal 2 4 5 2 3" xfId="18701" xr:uid="{00000000-0005-0000-0000-000010490000}"/>
    <cellStyle name="Normal 2 4 5 2 3 2" xfId="18702" xr:uid="{00000000-0005-0000-0000-000011490000}"/>
    <cellStyle name="Normal 2 4 5 2 3 3" xfId="18703" xr:uid="{00000000-0005-0000-0000-000012490000}"/>
    <cellStyle name="Normal 2 4 5 2 4" xfId="18704" xr:uid="{00000000-0005-0000-0000-000013490000}"/>
    <cellStyle name="Normal 2 4 5 2 5" xfId="18705" xr:uid="{00000000-0005-0000-0000-000014490000}"/>
    <cellStyle name="Normal 2 4 5 2 6" xfId="18706" xr:uid="{00000000-0005-0000-0000-000015490000}"/>
    <cellStyle name="Normal 2 4 5 3" xfId="18707" xr:uid="{00000000-0005-0000-0000-000016490000}"/>
    <cellStyle name="Normal 2 4 5 3 2" xfId="18708" xr:uid="{00000000-0005-0000-0000-000017490000}"/>
    <cellStyle name="Normal 2 4 5 3 3" xfId="18709" xr:uid="{00000000-0005-0000-0000-000018490000}"/>
    <cellStyle name="Normal 2 4 5 4" xfId="18710" xr:uid="{00000000-0005-0000-0000-000019490000}"/>
    <cellStyle name="Normal 2 4 5 4 2" xfId="18711" xr:uid="{00000000-0005-0000-0000-00001A490000}"/>
    <cellStyle name="Normal 2 4 5 4 3" xfId="18712" xr:uid="{00000000-0005-0000-0000-00001B490000}"/>
    <cellStyle name="Normal 2 4 5 5" xfId="18713" xr:uid="{00000000-0005-0000-0000-00001C490000}"/>
    <cellStyle name="Normal 2 4 5 5 2" xfId="18714" xr:uid="{00000000-0005-0000-0000-00001D490000}"/>
    <cellStyle name="Normal 2 4 5 5 3" xfId="18715" xr:uid="{00000000-0005-0000-0000-00001E490000}"/>
    <cellStyle name="Normal 2 4 5 6" xfId="18716" xr:uid="{00000000-0005-0000-0000-00001F490000}"/>
    <cellStyle name="Normal 2 4 5 7" xfId="18717" xr:uid="{00000000-0005-0000-0000-000020490000}"/>
    <cellStyle name="Normal 2 4 5 8" xfId="18718" xr:uid="{00000000-0005-0000-0000-000021490000}"/>
    <cellStyle name="Normal 2 4 6" xfId="18719" xr:uid="{00000000-0005-0000-0000-000022490000}"/>
    <cellStyle name="Normal 2 4 6 2" xfId="18720" xr:uid="{00000000-0005-0000-0000-000023490000}"/>
    <cellStyle name="Normal 2 4 6 2 2" xfId="18721" xr:uid="{00000000-0005-0000-0000-000024490000}"/>
    <cellStyle name="Normal 2 4 6 2 3" xfId="18722" xr:uid="{00000000-0005-0000-0000-000025490000}"/>
    <cellStyle name="Normal 2 4 6 3" xfId="18723" xr:uid="{00000000-0005-0000-0000-000026490000}"/>
    <cellStyle name="Normal 2 4 6 3 2" xfId="18724" xr:uid="{00000000-0005-0000-0000-000027490000}"/>
    <cellStyle name="Normal 2 4 6 3 3" xfId="18725" xr:uid="{00000000-0005-0000-0000-000028490000}"/>
    <cellStyle name="Normal 2 4 6 4" xfId="18726" xr:uid="{00000000-0005-0000-0000-000029490000}"/>
    <cellStyle name="Normal 2 4 6 5" xfId="18727" xr:uid="{00000000-0005-0000-0000-00002A490000}"/>
    <cellStyle name="Normal 2 4 6 6" xfId="18728" xr:uid="{00000000-0005-0000-0000-00002B490000}"/>
    <cellStyle name="Normal 2 4 7" xfId="18729" xr:uid="{00000000-0005-0000-0000-00002C490000}"/>
    <cellStyle name="Normal 2 4 7 2" xfId="18730" xr:uid="{00000000-0005-0000-0000-00002D490000}"/>
    <cellStyle name="Normal 2 4 7 3" xfId="18731" xr:uid="{00000000-0005-0000-0000-00002E490000}"/>
    <cellStyle name="Normal 2 4 8" xfId="18732" xr:uid="{00000000-0005-0000-0000-00002F490000}"/>
    <cellStyle name="Normal 2 4 8 2" xfId="18733" xr:uid="{00000000-0005-0000-0000-000030490000}"/>
    <cellStyle name="Normal 2 4 8 3" xfId="18734" xr:uid="{00000000-0005-0000-0000-000031490000}"/>
    <cellStyle name="Normal 2 4 9" xfId="18735" xr:uid="{00000000-0005-0000-0000-000032490000}"/>
    <cellStyle name="Normal 2 4 9 2" xfId="18736" xr:uid="{00000000-0005-0000-0000-000033490000}"/>
    <cellStyle name="Normal 2 4 9 3" xfId="18737" xr:uid="{00000000-0005-0000-0000-000034490000}"/>
    <cellStyle name="Normal 2 40" xfId="18738" xr:uid="{00000000-0005-0000-0000-000035490000}"/>
    <cellStyle name="Normal 2 40 2" xfId="18739" xr:uid="{00000000-0005-0000-0000-000036490000}"/>
    <cellStyle name="Normal 2 41" xfId="18740" xr:uid="{00000000-0005-0000-0000-000037490000}"/>
    <cellStyle name="Normal 2 41 2" xfId="18741" xr:uid="{00000000-0005-0000-0000-000038490000}"/>
    <cellStyle name="Normal 2 42" xfId="18742" xr:uid="{00000000-0005-0000-0000-000039490000}"/>
    <cellStyle name="Normal 2 42 2" xfId="18743" xr:uid="{00000000-0005-0000-0000-00003A490000}"/>
    <cellStyle name="Normal 2 43" xfId="18744" xr:uid="{00000000-0005-0000-0000-00003B490000}"/>
    <cellStyle name="Normal 2 43 2" xfId="18745" xr:uid="{00000000-0005-0000-0000-00003C490000}"/>
    <cellStyle name="Normal 2 44" xfId="18746" xr:uid="{00000000-0005-0000-0000-00003D490000}"/>
    <cellStyle name="Normal 2 44 2" xfId="18747" xr:uid="{00000000-0005-0000-0000-00003E490000}"/>
    <cellStyle name="Normal 2 45" xfId="18748" xr:uid="{00000000-0005-0000-0000-00003F490000}"/>
    <cellStyle name="Normal 2 45 2" xfId="18749" xr:uid="{00000000-0005-0000-0000-000040490000}"/>
    <cellStyle name="Normal 2 46" xfId="18750" xr:uid="{00000000-0005-0000-0000-000041490000}"/>
    <cellStyle name="Normal 2 46 2" xfId="18751" xr:uid="{00000000-0005-0000-0000-000042490000}"/>
    <cellStyle name="Normal 2 47" xfId="18752" xr:uid="{00000000-0005-0000-0000-000043490000}"/>
    <cellStyle name="Normal 2 47 2" xfId="18753" xr:uid="{00000000-0005-0000-0000-000044490000}"/>
    <cellStyle name="Normal 2 48" xfId="18754" xr:uid="{00000000-0005-0000-0000-000045490000}"/>
    <cellStyle name="Normal 2 48 2" xfId="18755" xr:uid="{00000000-0005-0000-0000-000046490000}"/>
    <cellStyle name="Normal 2 49" xfId="18756" xr:uid="{00000000-0005-0000-0000-000047490000}"/>
    <cellStyle name="Normal 2 49 2" xfId="18757" xr:uid="{00000000-0005-0000-0000-000048490000}"/>
    <cellStyle name="Normal 2 5" xfId="18758" xr:uid="{00000000-0005-0000-0000-000049490000}"/>
    <cellStyle name="Normal 2 5 10" xfId="18759" xr:uid="{00000000-0005-0000-0000-00004A490000}"/>
    <cellStyle name="Normal 2 5 11" xfId="18760" xr:uid="{00000000-0005-0000-0000-00004B490000}"/>
    <cellStyle name="Normal 2 5 12" xfId="18761" xr:uid="{00000000-0005-0000-0000-00004C490000}"/>
    <cellStyle name="Normal 2 5 2" xfId="18762" xr:uid="{00000000-0005-0000-0000-00004D490000}"/>
    <cellStyle name="Normal 2 5 2 10" xfId="18763" xr:uid="{00000000-0005-0000-0000-00004E490000}"/>
    <cellStyle name="Normal 2 5 2 2" xfId="18764" xr:uid="{00000000-0005-0000-0000-00004F490000}"/>
    <cellStyle name="Normal 2 5 2 2 2" xfId="18765" xr:uid="{00000000-0005-0000-0000-000050490000}"/>
    <cellStyle name="Normal 2 5 2 2 2 2" xfId="18766" xr:uid="{00000000-0005-0000-0000-000051490000}"/>
    <cellStyle name="Normal 2 5 2 2 2 2 2" xfId="18767" xr:uid="{00000000-0005-0000-0000-000052490000}"/>
    <cellStyle name="Normal 2 5 2 2 2 2 3" xfId="18768" xr:uid="{00000000-0005-0000-0000-000053490000}"/>
    <cellStyle name="Normal 2 5 2 2 2 3" xfId="18769" xr:uid="{00000000-0005-0000-0000-000054490000}"/>
    <cellStyle name="Normal 2 5 2 2 2 3 2" xfId="18770" xr:uid="{00000000-0005-0000-0000-000055490000}"/>
    <cellStyle name="Normal 2 5 2 2 2 3 3" xfId="18771" xr:uid="{00000000-0005-0000-0000-000056490000}"/>
    <cellStyle name="Normal 2 5 2 2 2 4" xfId="18772" xr:uid="{00000000-0005-0000-0000-000057490000}"/>
    <cellStyle name="Normal 2 5 2 2 2 5" xfId="18773" xr:uid="{00000000-0005-0000-0000-000058490000}"/>
    <cellStyle name="Normal 2 5 2 2 2 6" xfId="18774" xr:uid="{00000000-0005-0000-0000-000059490000}"/>
    <cellStyle name="Normal 2 5 2 2 3" xfId="18775" xr:uid="{00000000-0005-0000-0000-00005A490000}"/>
    <cellStyle name="Normal 2 5 2 2 3 2" xfId="18776" xr:uid="{00000000-0005-0000-0000-00005B490000}"/>
    <cellStyle name="Normal 2 5 2 2 3 3" xfId="18777" xr:uid="{00000000-0005-0000-0000-00005C490000}"/>
    <cellStyle name="Normal 2 5 2 2 4" xfId="18778" xr:uid="{00000000-0005-0000-0000-00005D490000}"/>
    <cellStyle name="Normal 2 5 2 2 4 2" xfId="18779" xr:uid="{00000000-0005-0000-0000-00005E490000}"/>
    <cellStyle name="Normal 2 5 2 2 4 3" xfId="18780" xr:uid="{00000000-0005-0000-0000-00005F490000}"/>
    <cellStyle name="Normal 2 5 2 2 5" xfId="18781" xr:uid="{00000000-0005-0000-0000-000060490000}"/>
    <cellStyle name="Normal 2 5 2 2 5 2" xfId="18782" xr:uid="{00000000-0005-0000-0000-000061490000}"/>
    <cellStyle name="Normal 2 5 2 2 5 3" xfId="18783" xr:uid="{00000000-0005-0000-0000-000062490000}"/>
    <cellStyle name="Normal 2 5 2 2 6" xfId="18784" xr:uid="{00000000-0005-0000-0000-000063490000}"/>
    <cellStyle name="Normal 2 5 2 2 7" xfId="18785" xr:uid="{00000000-0005-0000-0000-000064490000}"/>
    <cellStyle name="Normal 2 5 2 2 8" xfId="18786" xr:uid="{00000000-0005-0000-0000-000065490000}"/>
    <cellStyle name="Normal 2 5 2 3" xfId="18787" xr:uid="{00000000-0005-0000-0000-000066490000}"/>
    <cellStyle name="Normal 2 5 2 3 2" xfId="18788" xr:uid="{00000000-0005-0000-0000-000067490000}"/>
    <cellStyle name="Normal 2 5 2 3 2 2" xfId="18789" xr:uid="{00000000-0005-0000-0000-000068490000}"/>
    <cellStyle name="Normal 2 5 2 3 2 2 2" xfId="18790" xr:uid="{00000000-0005-0000-0000-000069490000}"/>
    <cellStyle name="Normal 2 5 2 3 2 2 3" xfId="18791" xr:uid="{00000000-0005-0000-0000-00006A490000}"/>
    <cellStyle name="Normal 2 5 2 3 2 3" xfId="18792" xr:uid="{00000000-0005-0000-0000-00006B490000}"/>
    <cellStyle name="Normal 2 5 2 3 2 3 2" xfId="18793" xr:uid="{00000000-0005-0000-0000-00006C490000}"/>
    <cellStyle name="Normal 2 5 2 3 2 3 3" xfId="18794" xr:uid="{00000000-0005-0000-0000-00006D490000}"/>
    <cellStyle name="Normal 2 5 2 3 2 4" xfId="18795" xr:uid="{00000000-0005-0000-0000-00006E490000}"/>
    <cellStyle name="Normal 2 5 2 3 2 5" xfId="18796" xr:uid="{00000000-0005-0000-0000-00006F490000}"/>
    <cellStyle name="Normal 2 5 2 3 2 6" xfId="18797" xr:uid="{00000000-0005-0000-0000-000070490000}"/>
    <cellStyle name="Normal 2 5 2 3 3" xfId="18798" xr:uid="{00000000-0005-0000-0000-000071490000}"/>
    <cellStyle name="Normal 2 5 2 3 3 2" xfId="18799" xr:uid="{00000000-0005-0000-0000-000072490000}"/>
    <cellStyle name="Normal 2 5 2 3 3 3" xfId="18800" xr:uid="{00000000-0005-0000-0000-000073490000}"/>
    <cellStyle name="Normal 2 5 2 3 4" xfId="18801" xr:uid="{00000000-0005-0000-0000-000074490000}"/>
    <cellStyle name="Normal 2 5 2 3 4 2" xfId="18802" xr:uid="{00000000-0005-0000-0000-000075490000}"/>
    <cellStyle name="Normal 2 5 2 3 4 3" xfId="18803" xr:uid="{00000000-0005-0000-0000-000076490000}"/>
    <cellStyle name="Normal 2 5 2 3 5" xfId="18804" xr:uid="{00000000-0005-0000-0000-000077490000}"/>
    <cellStyle name="Normal 2 5 2 3 5 2" xfId="18805" xr:uid="{00000000-0005-0000-0000-000078490000}"/>
    <cellStyle name="Normal 2 5 2 3 5 3" xfId="18806" xr:uid="{00000000-0005-0000-0000-000079490000}"/>
    <cellStyle name="Normal 2 5 2 3 6" xfId="18807" xr:uid="{00000000-0005-0000-0000-00007A490000}"/>
    <cellStyle name="Normal 2 5 2 3 7" xfId="18808" xr:uid="{00000000-0005-0000-0000-00007B490000}"/>
    <cellStyle name="Normal 2 5 2 3 8" xfId="18809" xr:uid="{00000000-0005-0000-0000-00007C490000}"/>
    <cellStyle name="Normal 2 5 2 4" xfId="18810" xr:uid="{00000000-0005-0000-0000-00007D490000}"/>
    <cellStyle name="Normal 2 5 2 4 2" xfId="18811" xr:uid="{00000000-0005-0000-0000-00007E490000}"/>
    <cellStyle name="Normal 2 5 2 4 2 2" xfId="18812" xr:uid="{00000000-0005-0000-0000-00007F490000}"/>
    <cellStyle name="Normal 2 5 2 4 2 3" xfId="18813" xr:uid="{00000000-0005-0000-0000-000080490000}"/>
    <cellStyle name="Normal 2 5 2 4 3" xfId="18814" xr:uid="{00000000-0005-0000-0000-000081490000}"/>
    <cellStyle name="Normal 2 5 2 4 3 2" xfId="18815" xr:uid="{00000000-0005-0000-0000-000082490000}"/>
    <cellStyle name="Normal 2 5 2 4 3 3" xfId="18816" xr:uid="{00000000-0005-0000-0000-000083490000}"/>
    <cellStyle name="Normal 2 5 2 4 4" xfId="18817" xr:uid="{00000000-0005-0000-0000-000084490000}"/>
    <cellStyle name="Normal 2 5 2 4 5" xfId="18818" xr:uid="{00000000-0005-0000-0000-000085490000}"/>
    <cellStyle name="Normal 2 5 2 4 6" xfId="18819" xr:uid="{00000000-0005-0000-0000-000086490000}"/>
    <cellStyle name="Normal 2 5 2 5" xfId="18820" xr:uid="{00000000-0005-0000-0000-000087490000}"/>
    <cellStyle name="Normal 2 5 2 5 2" xfId="18821" xr:uid="{00000000-0005-0000-0000-000088490000}"/>
    <cellStyle name="Normal 2 5 2 5 3" xfId="18822" xr:uid="{00000000-0005-0000-0000-000089490000}"/>
    <cellStyle name="Normal 2 5 2 6" xfId="18823" xr:uid="{00000000-0005-0000-0000-00008A490000}"/>
    <cellStyle name="Normal 2 5 2 6 2" xfId="18824" xr:uid="{00000000-0005-0000-0000-00008B490000}"/>
    <cellStyle name="Normal 2 5 2 6 3" xfId="18825" xr:uid="{00000000-0005-0000-0000-00008C490000}"/>
    <cellStyle name="Normal 2 5 2 7" xfId="18826" xr:uid="{00000000-0005-0000-0000-00008D490000}"/>
    <cellStyle name="Normal 2 5 2 7 2" xfId="18827" xr:uid="{00000000-0005-0000-0000-00008E490000}"/>
    <cellStyle name="Normal 2 5 2 7 3" xfId="18828" xr:uid="{00000000-0005-0000-0000-00008F490000}"/>
    <cellStyle name="Normal 2 5 2 8" xfId="18829" xr:uid="{00000000-0005-0000-0000-000090490000}"/>
    <cellStyle name="Normal 2 5 2 9" xfId="18830" xr:uid="{00000000-0005-0000-0000-000091490000}"/>
    <cellStyle name="Normal 2 5 3" xfId="18831" xr:uid="{00000000-0005-0000-0000-000092490000}"/>
    <cellStyle name="Normal 2 5 3 2" xfId="18832" xr:uid="{00000000-0005-0000-0000-000093490000}"/>
    <cellStyle name="Normal 2 5 3 2 2" xfId="18833" xr:uid="{00000000-0005-0000-0000-000094490000}"/>
    <cellStyle name="Normal 2 5 3 2 2 2" xfId="18834" xr:uid="{00000000-0005-0000-0000-000095490000}"/>
    <cellStyle name="Normal 2 5 3 2 2 3" xfId="18835" xr:uid="{00000000-0005-0000-0000-000096490000}"/>
    <cellStyle name="Normal 2 5 3 2 3" xfId="18836" xr:uid="{00000000-0005-0000-0000-000097490000}"/>
    <cellStyle name="Normal 2 5 3 2 3 2" xfId="18837" xr:uid="{00000000-0005-0000-0000-000098490000}"/>
    <cellStyle name="Normal 2 5 3 2 3 3" xfId="18838" xr:uid="{00000000-0005-0000-0000-000099490000}"/>
    <cellStyle name="Normal 2 5 3 2 4" xfId="18839" xr:uid="{00000000-0005-0000-0000-00009A490000}"/>
    <cellStyle name="Normal 2 5 3 2 5" xfId="18840" xr:uid="{00000000-0005-0000-0000-00009B490000}"/>
    <cellStyle name="Normal 2 5 3 2 6" xfId="18841" xr:uid="{00000000-0005-0000-0000-00009C490000}"/>
    <cellStyle name="Normal 2 5 3 3" xfId="18842" xr:uid="{00000000-0005-0000-0000-00009D490000}"/>
    <cellStyle name="Normal 2 5 3 3 2" xfId="18843" xr:uid="{00000000-0005-0000-0000-00009E490000}"/>
    <cellStyle name="Normal 2 5 3 3 3" xfId="18844" xr:uid="{00000000-0005-0000-0000-00009F490000}"/>
    <cellStyle name="Normal 2 5 3 4" xfId="18845" xr:uid="{00000000-0005-0000-0000-0000A0490000}"/>
    <cellStyle name="Normal 2 5 3 4 2" xfId="18846" xr:uid="{00000000-0005-0000-0000-0000A1490000}"/>
    <cellStyle name="Normal 2 5 3 4 3" xfId="18847" xr:uid="{00000000-0005-0000-0000-0000A2490000}"/>
    <cellStyle name="Normal 2 5 3 5" xfId="18848" xr:uid="{00000000-0005-0000-0000-0000A3490000}"/>
    <cellStyle name="Normal 2 5 3 5 2" xfId="18849" xr:uid="{00000000-0005-0000-0000-0000A4490000}"/>
    <cellStyle name="Normal 2 5 3 5 3" xfId="18850" xr:uid="{00000000-0005-0000-0000-0000A5490000}"/>
    <cellStyle name="Normal 2 5 3 6" xfId="18851" xr:uid="{00000000-0005-0000-0000-0000A6490000}"/>
    <cellStyle name="Normal 2 5 3 7" xfId="18852" xr:uid="{00000000-0005-0000-0000-0000A7490000}"/>
    <cellStyle name="Normal 2 5 3 8" xfId="18853" xr:uid="{00000000-0005-0000-0000-0000A8490000}"/>
    <cellStyle name="Normal 2 5 4" xfId="18854" xr:uid="{00000000-0005-0000-0000-0000A9490000}"/>
    <cellStyle name="Normal 2 5 4 2" xfId="18855" xr:uid="{00000000-0005-0000-0000-0000AA490000}"/>
    <cellStyle name="Normal 2 5 4 2 2" xfId="18856" xr:uid="{00000000-0005-0000-0000-0000AB490000}"/>
    <cellStyle name="Normal 2 5 4 2 2 2" xfId="18857" xr:uid="{00000000-0005-0000-0000-0000AC490000}"/>
    <cellStyle name="Normal 2 5 4 2 2 3" xfId="18858" xr:uid="{00000000-0005-0000-0000-0000AD490000}"/>
    <cellStyle name="Normal 2 5 4 2 3" xfId="18859" xr:uid="{00000000-0005-0000-0000-0000AE490000}"/>
    <cellStyle name="Normal 2 5 4 2 3 2" xfId="18860" xr:uid="{00000000-0005-0000-0000-0000AF490000}"/>
    <cellStyle name="Normal 2 5 4 2 3 3" xfId="18861" xr:uid="{00000000-0005-0000-0000-0000B0490000}"/>
    <cellStyle name="Normal 2 5 4 2 4" xfId="18862" xr:uid="{00000000-0005-0000-0000-0000B1490000}"/>
    <cellStyle name="Normal 2 5 4 2 5" xfId="18863" xr:uid="{00000000-0005-0000-0000-0000B2490000}"/>
    <cellStyle name="Normal 2 5 4 2 6" xfId="18864" xr:uid="{00000000-0005-0000-0000-0000B3490000}"/>
    <cellStyle name="Normal 2 5 4 3" xfId="18865" xr:uid="{00000000-0005-0000-0000-0000B4490000}"/>
    <cellStyle name="Normal 2 5 4 3 2" xfId="18866" xr:uid="{00000000-0005-0000-0000-0000B5490000}"/>
    <cellStyle name="Normal 2 5 4 3 3" xfId="18867" xr:uid="{00000000-0005-0000-0000-0000B6490000}"/>
    <cellStyle name="Normal 2 5 4 4" xfId="18868" xr:uid="{00000000-0005-0000-0000-0000B7490000}"/>
    <cellStyle name="Normal 2 5 4 4 2" xfId="18869" xr:uid="{00000000-0005-0000-0000-0000B8490000}"/>
    <cellStyle name="Normal 2 5 4 4 3" xfId="18870" xr:uid="{00000000-0005-0000-0000-0000B9490000}"/>
    <cellStyle name="Normal 2 5 4 5" xfId="18871" xr:uid="{00000000-0005-0000-0000-0000BA490000}"/>
    <cellStyle name="Normal 2 5 4 5 2" xfId="18872" xr:uid="{00000000-0005-0000-0000-0000BB490000}"/>
    <cellStyle name="Normal 2 5 4 5 3" xfId="18873" xr:uid="{00000000-0005-0000-0000-0000BC490000}"/>
    <cellStyle name="Normal 2 5 4 6" xfId="18874" xr:uid="{00000000-0005-0000-0000-0000BD490000}"/>
    <cellStyle name="Normal 2 5 4 7" xfId="18875" xr:uid="{00000000-0005-0000-0000-0000BE490000}"/>
    <cellStyle name="Normal 2 5 4 8" xfId="18876" xr:uid="{00000000-0005-0000-0000-0000BF490000}"/>
    <cellStyle name="Normal 2 5 5" xfId="18877" xr:uid="{00000000-0005-0000-0000-0000C0490000}"/>
    <cellStyle name="Normal 2 5 5 2" xfId="18878" xr:uid="{00000000-0005-0000-0000-0000C1490000}"/>
    <cellStyle name="Normal 2 5 5 2 2" xfId="18879" xr:uid="{00000000-0005-0000-0000-0000C2490000}"/>
    <cellStyle name="Normal 2 5 5 2 2 2" xfId="18880" xr:uid="{00000000-0005-0000-0000-0000C3490000}"/>
    <cellStyle name="Normal 2 5 5 2 2 3" xfId="18881" xr:uid="{00000000-0005-0000-0000-0000C4490000}"/>
    <cellStyle name="Normal 2 5 5 2 3" xfId="18882" xr:uid="{00000000-0005-0000-0000-0000C5490000}"/>
    <cellStyle name="Normal 2 5 5 2 3 2" xfId="18883" xr:uid="{00000000-0005-0000-0000-0000C6490000}"/>
    <cellStyle name="Normal 2 5 5 2 3 3" xfId="18884" xr:uid="{00000000-0005-0000-0000-0000C7490000}"/>
    <cellStyle name="Normal 2 5 5 2 4" xfId="18885" xr:uid="{00000000-0005-0000-0000-0000C8490000}"/>
    <cellStyle name="Normal 2 5 5 2 5" xfId="18886" xr:uid="{00000000-0005-0000-0000-0000C9490000}"/>
    <cellStyle name="Normal 2 5 5 2 6" xfId="18887" xr:uid="{00000000-0005-0000-0000-0000CA490000}"/>
    <cellStyle name="Normal 2 5 5 3" xfId="18888" xr:uid="{00000000-0005-0000-0000-0000CB490000}"/>
    <cellStyle name="Normal 2 5 5 3 2" xfId="18889" xr:uid="{00000000-0005-0000-0000-0000CC490000}"/>
    <cellStyle name="Normal 2 5 5 3 3" xfId="18890" xr:uid="{00000000-0005-0000-0000-0000CD490000}"/>
    <cellStyle name="Normal 2 5 5 4" xfId="18891" xr:uid="{00000000-0005-0000-0000-0000CE490000}"/>
    <cellStyle name="Normal 2 5 5 4 2" xfId="18892" xr:uid="{00000000-0005-0000-0000-0000CF490000}"/>
    <cellStyle name="Normal 2 5 5 4 3" xfId="18893" xr:uid="{00000000-0005-0000-0000-0000D0490000}"/>
    <cellStyle name="Normal 2 5 5 5" xfId="18894" xr:uid="{00000000-0005-0000-0000-0000D1490000}"/>
    <cellStyle name="Normal 2 5 5 5 2" xfId="18895" xr:uid="{00000000-0005-0000-0000-0000D2490000}"/>
    <cellStyle name="Normal 2 5 5 5 3" xfId="18896" xr:uid="{00000000-0005-0000-0000-0000D3490000}"/>
    <cellStyle name="Normal 2 5 5 6" xfId="18897" xr:uid="{00000000-0005-0000-0000-0000D4490000}"/>
    <cellStyle name="Normal 2 5 5 7" xfId="18898" xr:uid="{00000000-0005-0000-0000-0000D5490000}"/>
    <cellStyle name="Normal 2 5 5 8" xfId="18899" xr:uid="{00000000-0005-0000-0000-0000D6490000}"/>
    <cellStyle name="Normal 2 5 6" xfId="18900" xr:uid="{00000000-0005-0000-0000-0000D7490000}"/>
    <cellStyle name="Normal 2 5 6 2" xfId="18901" xr:uid="{00000000-0005-0000-0000-0000D8490000}"/>
    <cellStyle name="Normal 2 5 6 2 2" xfId="18902" xr:uid="{00000000-0005-0000-0000-0000D9490000}"/>
    <cellStyle name="Normal 2 5 6 2 3" xfId="18903" xr:uid="{00000000-0005-0000-0000-0000DA490000}"/>
    <cellStyle name="Normal 2 5 6 3" xfId="18904" xr:uid="{00000000-0005-0000-0000-0000DB490000}"/>
    <cellStyle name="Normal 2 5 6 3 2" xfId="18905" xr:uid="{00000000-0005-0000-0000-0000DC490000}"/>
    <cellStyle name="Normal 2 5 6 3 3" xfId="18906" xr:uid="{00000000-0005-0000-0000-0000DD490000}"/>
    <cellStyle name="Normal 2 5 6 4" xfId="18907" xr:uid="{00000000-0005-0000-0000-0000DE490000}"/>
    <cellStyle name="Normal 2 5 6 5" xfId="18908" xr:uid="{00000000-0005-0000-0000-0000DF490000}"/>
    <cellStyle name="Normal 2 5 6 6" xfId="18909" xr:uid="{00000000-0005-0000-0000-0000E0490000}"/>
    <cellStyle name="Normal 2 5 7" xfId="18910" xr:uid="{00000000-0005-0000-0000-0000E1490000}"/>
    <cellStyle name="Normal 2 5 7 2" xfId="18911" xr:uid="{00000000-0005-0000-0000-0000E2490000}"/>
    <cellStyle name="Normal 2 5 7 3" xfId="18912" xr:uid="{00000000-0005-0000-0000-0000E3490000}"/>
    <cellStyle name="Normal 2 5 8" xfId="18913" xr:uid="{00000000-0005-0000-0000-0000E4490000}"/>
    <cellStyle name="Normal 2 5 8 2" xfId="18914" xr:uid="{00000000-0005-0000-0000-0000E5490000}"/>
    <cellStyle name="Normal 2 5 8 3" xfId="18915" xr:uid="{00000000-0005-0000-0000-0000E6490000}"/>
    <cellStyle name="Normal 2 5 9" xfId="18916" xr:uid="{00000000-0005-0000-0000-0000E7490000}"/>
    <cellStyle name="Normal 2 5 9 2" xfId="18917" xr:uid="{00000000-0005-0000-0000-0000E8490000}"/>
    <cellStyle name="Normal 2 5 9 3" xfId="18918" xr:uid="{00000000-0005-0000-0000-0000E9490000}"/>
    <cellStyle name="Normal 2 50" xfId="18919" xr:uid="{00000000-0005-0000-0000-0000EA490000}"/>
    <cellStyle name="Normal 2 50 2" xfId="18920" xr:uid="{00000000-0005-0000-0000-0000EB490000}"/>
    <cellStyle name="Normal 2 51" xfId="18921" xr:uid="{00000000-0005-0000-0000-0000EC490000}"/>
    <cellStyle name="Normal 2 51 2" xfId="18922" xr:uid="{00000000-0005-0000-0000-0000ED490000}"/>
    <cellStyle name="Normal 2 52" xfId="18923" xr:uid="{00000000-0005-0000-0000-0000EE490000}"/>
    <cellStyle name="Normal 2 52 2" xfId="18924" xr:uid="{00000000-0005-0000-0000-0000EF490000}"/>
    <cellStyle name="Normal 2 53" xfId="18925" xr:uid="{00000000-0005-0000-0000-0000F0490000}"/>
    <cellStyle name="Normal 2 53 2" xfId="18926" xr:uid="{00000000-0005-0000-0000-0000F1490000}"/>
    <cellStyle name="Normal 2 54" xfId="18927" xr:uid="{00000000-0005-0000-0000-0000F2490000}"/>
    <cellStyle name="Normal 2 54 2" xfId="18928" xr:uid="{00000000-0005-0000-0000-0000F3490000}"/>
    <cellStyle name="Normal 2 55" xfId="18929" xr:uid="{00000000-0005-0000-0000-0000F4490000}"/>
    <cellStyle name="Normal 2 55 2" xfId="18930" xr:uid="{00000000-0005-0000-0000-0000F5490000}"/>
    <cellStyle name="Normal 2 56" xfId="18931" xr:uid="{00000000-0005-0000-0000-0000F6490000}"/>
    <cellStyle name="Normal 2 56 2" xfId="18932" xr:uid="{00000000-0005-0000-0000-0000F7490000}"/>
    <cellStyle name="Normal 2 57" xfId="18933" xr:uid="{00000000-0005-0000-0000-0000F8490000}"/>
    <cellStyle name="Normal 2 57 2" xfId="18934" xr:uid="{00000000-0005-0000-0000-0000F9490000}"/>
    <cellStyle name="Normal 2 58" xfId="18935" xr:uid="{00000000-0005-0000-0000-0000FA490000}"/>
    <cellStyle name="Normal 2 58 2" xfId="18936" xr:uid="{00000000-0005-0000-0000-0000FB490000}"/>
    <cellStyle name="Normal 2 59" xfId="18937" xr:uid="{00000000-0005-0000-0000-0000FC490000}"/>
    <cellStyle name="Normal 2 59 2" xfId="18938" xr:uid="{00000000-0005-0000-0000-0000FD490000}"/>
    <cellStyle name="Normal 2 6" xfId="18939" xr:uid="{00000000-0005-0000-0000-0000FE490000}"/>
    <cellStyle name="Normal 2 6 10" xfId="18940" xr:uid="{00000000-0005-0000-0000-0000FF490000}"/>
    <cellStyle name="Normal 2 6 11" xfId="18941" xr:uid="{00000000-0005-0000-0000-0000004A0000}"/>
    <cellStyle name="Normal 2 6 12" xfId="18942" xr:uid="{00000000-0005-0000-0000-0000014A0000}"/>
    <cellStyle name="Normal 2 6 2" xfId="18943" xr:uid="{00000000-0005-0000-0000-0000024A0000}"/>
    <cellStyle name="Normal 2 6 2 10" xfId="18944" xr:uid="{00000000-0005-0000-0000-0000034A0000}"/>
    <cellStyle name="Normal 2 6 2 2" xfId="18945" xr:uid="{00000000-0005-0000-0000-0000044A0000}"/>
    <cellStyle name="Normal 2 6 2 2 2" xfId="18946" xr:uid="{00000000-0005-0000-0000-0000054A0000}"/>
    <cellStyle name="Normal 2 6 2 2 2 2" xfId="18947" xr:uid="{00000000-0005-0000-0000-0000064A0000}"/>
    <cellStyle name="Normal 2 6 2 2 2 2 2" xfId="18948" xr:uid="{00000000-0005-0000-0000-0000074A0000}"/>
    <cellStyle name="Normal 2 6 2 2 2 2 3" xfId="18949" xr:uid="{00000000-0005-0000-0000-0000084A0000}"/>
    <cellStyle name="Normal 2 6 2 2 2 3" xfId="18950" xr:uid="{00000000-0005-0000-0000-0000094A0000}"/>
    <cellStyle name="Normal 2 6 2 2 2 3 2" xfId="18951" xr:uid="{00000000-0005-0000-0000-00000A4A0000}"/>
    <cellStyle name="Normal 2 6 2 2 2 3 3" xfId="18952" xr:uid="{00000000-0005-0000-0000-00000B4A0000}"/>
    <cellStyle name="Normal 2 6 2 2 2 4" xfId="18953" xr:uid="{00000000-0005-0000-0000-00000C4A0000}"/>
    <cellStyle name="Normal 2 6 2 2 2 5" xfId="18954" xr:uid="{00000000-0005-0000-0000-00000D4A0000}"/>
    <cellStyle name="Normal 2 6 2 2 2 6" xfId="18955" xr:uid="{00000000-0005-0000-0000-00000E4A0000}"/>
    <cellStyle name="Normal 2 6 2 2 3" xfId="18956" xr:uid="{00000000-0005-0000-0000-00000F4A0000}"/>
    <cellStyle name="Normal 2 6 2 2 3 2" xfId="18957" xr:uid="{00000000-0005-0000-0000-0000104A0000}"/>
    <cellStyle name="Normal 2 6 2 2 3 3" xfId="18958" xr:uid="{00000000-0005-0000-0000-0000114A0000}"/>
    <cellStyle name="Normal 2 6 2 2 4" xfId="18959" xr:uid="{00000000-0005-0000-0000-0000124A0000}"/>
    <cellStyle name="Normal 2 6 2 2 4 2" xfId="18960" xr:uid="{00000000-0005-0000-0000-0000134A0000}"/>
    <cellStyle name="Normal 2 6 2 2 4 3" xfId="18961" xr:uid="{00000000-0005-0000-0000-0000144A0000}"/>
    <cellStyle name="Normal 2 6 2 2 5" xfId="18962" xr:uid="{00000000-0005-0000-0000-0000154A0000}"/>
    <cellStyle name="Normal 2 6 2 2 5 2" xfId="18963" xr:uid="{00000000-0005-0000-0000-0000164A0000}"/>
    <cellStyle name="Normal 2 6 2 2 5 3" xfId="18964" xr:uid="{00000000-0005-0000-0000-0000174A0000}"/>
    <cellStyle name="Normal 2 6 2 2 6" xfId="18965" xr:uid="{00000000-0005-0000-0000-0000184A0000}"/>
    <cellStyle name="Normal 2 6 2 2 7" xfId="18966" xr:uid="{00000000-0005-0000-0000-0000194A0000}"/>
    <cellStyle name="Normal 2 6 2 2 8" xfId="18967" xr:uid="{00000000-0005-0000-0000-00001A4A0000}"/>
    <cellStyle name="Normal 2 6 2 3" xfId="18968" xr:uid="{00000000-0005-0000-0000-00001B4A0000}"/>
    <cellStyle name="Normal 2 6 2 3 2" xfId="18969" xr:uid="{00000000-0005-0000-0000-00001C4A0000}"/>
    <cellStyle name="Normal 2 6 2 3 2 2" xfId="18970" xr:uid="{00000000-0005-0000-0000-00001D4A0000}"/>
    <cellStyle name="Normal 2 6 2 3 2 2 2" xfId="18971" xr:uid="{00000000-0005-0000-0000-00001E4A0000}"/>
    <cellStyle name="Normal 2 6 2 3 2 2 3" xfId="18972" xr:uid="{00000000-0005-0000-0000-00001F4A0000}"/>
    <cellStyle name="Normal 2 6 2 3 2 3" xfId="18973" xr:uid="{00000000-0005-0000-0000-0000204A0000}"/>
    <cellStyle name="Normal 2 6 2 3 2 3 2" xfId="18974" xr:uid="{00000000-0005-0000-0000-0000214A0000}"/>
    <cellStyle name="Normal 2 6 2 3 2 3 3" xfId="18975" xr:uid="{00000000-0005-0000-0000-0000224A0000}"/>
    <cellStyle name="Normal 2 6 2 3 2 4" xfId="18976" xr:uid="{00000000-0005-0000-0000-0000234A0000}"/>
    <cellStyle name="Normal 2 6 2 3 2 5" xfId="18977" xr:uid="{00000000-0005-0000-0000-0000244A0000}"/>
    <cellStyle name="Normal 2 6 2 3 2 6" xfId="18978" xr:uid="{00000000-0005-0000-0000-0000254A0000}"/>
    <cellStyle name="Normal 2 6 2 3 3" xfId="18979" xr:uid="{00000000-0005-0000-0000-0000264A0000}"/>
    <cellStyle name="Normal 2 6 2 3 3 2" xfId="18980" xr:uid="{00000000-0005-0000-0000-0000274A0000}"/>
    <cellStyle name="Normal 2 6 2 3 3 3" xfId="18981" xr:uid="{00000000-0005-0000-0000-0000284A0000}"/>
    <cellStyle name="Normal 2 6 2 3 4" xfId="18982" xr:uid="{00000000-0005-0000-0000-0000294A0000}"/>
    <cellStyle name="Normal 2 6 2 3 4 2" xfId="18983" xr:uid="{00000000-0005-0000-0000-00002A4A0000}"/>
    <cellStyle name="Normal 2 6 2 3 4 3" xfId="18984" xr:uid="{00000000-0005-0000-0000-00002B4A0000}"/>
    <cellStyle name="Normal 2 6 2 3 5" xfId="18985" xr:uid="{00000000-0005-0000-0000-00002C4A0000}"/>
    <cellStyle name="Normal 2 6 2 3 5 2" xfId="18986" xr:uid="{00000000-0005-0000-0000-00002D4A0000}"/>
    <cellStyle name="Normal 2 6 2 3 5 3" xfId="18987" xr:uid="{00000000-0005-0000-0000-00002E4A0000}"/>
    <cellStyle name="Normal 2 6 2 3 6" xfId="18988" xr:uid="{00000000-0005-0000-0000-00002F4A0000}"/>
    <cellStyle name="Normal 2 6 2 3 7" xfId="18989" xr:uid="{00000000-0005-0000-0000-0000304A0000}"/>
    <cellStyle name="Normal 2 6 2 3 8" xfId="18990" xr:uid="{00000000-0005-0000-0000-0000314A0000}"/>
    <cellStyle name="Normal 2 6 2 4" xfId="18991" xr:uid="{00000000-0005-0000-0000-0000324A0000}"/>
    <cellStyle name="Normal 2 6 2 4 2" xfId="18992" xr:uid="{00000000-0005-0000-0000-0000334A0000}"/>
    <cellStyle name="Normal 2 6 2 4 2 2" xfId="18993" xr:uid="{00000000-0005-0000-0000-0000344A0000}"/>
    <cellStyle name="Normal 2 6 2 4 2 3" xfId="18994" xr:uid="{00000000-0005-0000-0000-0000354A0000}"/>
    <cellStyle name="Normal 2 6 2 4 3" xfId="18995" xr:uid="{00000000-0005-0000-0000-0000364A0000}"/>
    <cellStyle name="Normal 2 6 2 4 3 2" xfId="18996" xr:uid="{00000000-0005-0000-0000-0000374A0000}"/>
    <cellStyle name="Normal 2 6 2 4 3 3" xfId="18997" xr:uid="{00000000-0005-0000-0000-0000384A0000}"/>
    <cellStyle name="Normal 2 6 2 4 4" xfId="18998" xr:uid="{00000000-0005-0000-0000-0000394A0000}"/>
    <cellStyle name="Normal 2 6 2 4 5" xfId="18999" xr:uid="{00000000-0005-0000-0000-00003A4A0000}"/>
    <cellStyle name="Normal 2 6 2 4 6" xfId="19000" xr:uid="{00000000-0005-0000-0000-00003B4A0000}"/>
    <cellStyle name="Normal 2 6 2 5" xfId="19001" xr:uid="{00000000-0005-0000-0000-00003C4A0000}"/>
    <cellStyle name="Normal 2 6 2 5 2" xfId="19002" xr:uid="{00000000-0005-0000-0000-00003D4A0000}"/>
    <cellStyle name="Normal 2 6 2 5 3" xfId="19003" xr:uid="{00000000-0005-0000-0000-00003E4A0000}"/>
    <cellStyle name="Normal 2 6 2 6" xfId="19004" xr:uid="{00000000-0005-0000-0000-00003F4A0000}"/>
    <cellStyle name="Normal 2 6 2 6 2" xfId="19005" xr:uid="{00000000-0005-0000-0000-0000404A0000}"/>
    <cellStyle name="Normal 2 6 2 6 3" xfId="19006" xr:uid="{00000000-0005-0000-0000-0000414A0000}"/>
    <cellStyle name="Normal 2 6 2 7" xfId="19007" xr:uid="{00000000-0005-0000-0000-0000424A0000}"/>
    <cellStyle name="Normal 2 6 2 7 2" xfId="19008" xr:uid="{00000000-0005-0000-0000-0000434A0000}"/>
    <cellStyle name="Normal 2 6 2 7 3" xfId="19009" xr:uid="{00000000-0005-0000-0000-0000444A0000}"/>
    <cellStyle name="Normal 2 6 2 8" xfId="19010" xr:uid="{00000000-0005-0000-0000-0000454A0000}"/>
    <cellStyle name="Normal 2 6 2 9" xfId="19011" xr:uid="{00000000-0005-0000-0000-0000464A0000}"/>
    <cellStyle name="Normal 2 6 3" xfId="19012" xr:uid="{00000000-0005-0000-0000-0000474A0000}"/>
    <cellStyle name="Normal 2 6 3 2" xfId="19013" xr:uid="{00000000-0005-0000-0000-0000484A0000}"/>
    <cellStyle name="Normal 2 6 3 2 2" xfId="19014" xr:uid="{00000000-0005-0000-0000-0000494A0000}"/>
    <cellStyle name="Normal 2 6 3 2 2 2" xfId="19015" xr:uid="{00000000-0005-0000-0000-00004A4A0000}"/>
    <cellStyle name="Normal 2 6 3 2 2 3" xfId="19016" xr:uid="{00000000-0005-0000-0000-00004B4A0000}"/>
    <cellStyle name="Normal 2 6 3 2 3" xfId="19017" xr:uid="{00000000-0005-0000-0000-00004C4A0000}"/>
    <cellStyle name="Normal 2 6 3 2 3 2" xfId="19018" xr:uid="{00000000-0005-0000-0000-00004D4A0000}"/>
    <cellStyle name="Normal 2 6 3 2 3 3" xfId="19019" xr:uid="{00000000-0005-0000-0000-00004E4A0000}"/>
    <cellStyle name="Normal 2 6 3 2 4" xfId="19020" xr:uid="{00000000-0005-0000-0000-00004F4A0000}"/>
    <cellStyle name="Normal 2 6 3 2 5" xfId="19021" xr:uid="{00000000-0005-0000-0000-0000504A0000}"/>
    <cellStyle name="Normal 2 6 3 2 6" xfId="19022" xr:uid="{00000000-0005-0000-0000-0000514A0000}"/>
    <cellStyle name="Normal 2 6 3 3" xfId="19023" xr:uid="{00000000-0005-0000-0000-0000524A0000}"/>
    <cellStyle name="Normal 2 6 3 3 2" xfId="19024" xr:uid="{00000000-0005-0000-0000-0000534A0000}"/>
    <cellStyle name="Normal 2 6 3 3 3" xfId="19025" xr:uid="{00000000-0005-0000-0000-0000544A0000}"/>
    <cellStyle name="Normal 2 6 3 4" xfId="19026" xr:uid="{00000000-0005-0000-0000-0000554A0000}"/>
    <cellStyle name="Normal 2 6 3 4 2" xfId="19027" xr:uid="{00000000-0005-0000-0000-0000564A0000}"/>
    <cellStyle name="Normal 2 6 3 4 3" xfId="19028" xr:uid="{00000000-0005-0000-0000-0000574A0000}"/>
    <cellStyle name="Normal 2 6 3 5" xfId="19029" xr:uid="{00000000-0005-0000-0000-0000584A0000}"/>
    <cellStyle name="Normal 2 6 3 5 2" xfId="19030" xr:uid="{00000000-0005-0000-0000-0000594A0000}"/>
    <cellStyle name="Normal 2 6 3 5 3" xfId="19031" xr:uid="{00000000-0005-0000-0000-00005A4A0000}"/>
    <cellStyle name="Normal 2 6 3 6" xfId="19032" xr:uid="{00000000-0005-0000-0000-00005B4A0000}"/>
    <cellStyle name="Normal 2 6 3 7" xfId="19033" xr:uid="{00000000-0005-0000-0000-00005C4A0000}"/>
    <cellStyle name="Normal 2 6 3 8" xfId="19034" xr:uid="{00000000-0005-0000-0000-00005D4A0000}"/>
    <cellStyle name="Normal 2 6 4" xfId="19035" xr:uid="{00000000-0005-0000-0000-00005E4A0000}"/>
    <cellStyle name="Normal 2 6 4 2" xfId="19036" xr:uid="{00000000-0005-0000-0000-00005F4A0000}"/>
    <cellStyle name="Normal 2 6 4 2 2" xfId="19037" xr:uid="{00000000-0005-0000-0000-0000604A0000}"/>
    <cellStyle name="Normal 2 6 4 2 2 2" xfId="19038" xr:uid="{00000000-0005-0000-0000-0000614A0000}"/>
    <cellStyle name="Normal 2 6 4 2 2 3" xfId="19039" xr:uid="{00000000-0005-0000-0000-0000624A0000}"/>
    <cellStyle name="Normal 2 6 4 2 3" xfId="19040" xr:uid="{00000000-0005-0000-0000-0000634A0000}"/>
    <cellStyle name="Normal 2 6 4 2 3 2" xfId="19041" xr:uid="{00000000-0005-0000-0000-0000644A0000}"/>
    <cellStyle name="Normal 2 6 4 2 3 3" xfId="19042" xr:uid="{00000000-0005-0000-0000-0000654A0000}"/>
    <cellStyle name="Normal 2 6 4 2 4" xfId="19043" xr:uid="{00000000-0005-0000-0000-0000664A0000}"/>
    <cellStyle name="Normal 2 6 4 2 5" xfId="19044" xr:uid="{00000000-0005-0000-0000-0000674A0000}"/>
    <cellStyle name="Normal 2 6 4 2 6" xfId="19045" xr:uid="{00000000-0005-0000-0000-0000684A0000}"/>
    <cellStyle name="Normal 2 6 4 3" xfId="19046" xr:uid="{00000000-0005-0000-0000-0000694A0000}"/>
    <cellStyle name="Normal 2 6 4 3 2" xfId="19047" xr:uid="{00000000-0005-0000-0000-00006A4A0000}"/>
    <cellStyle name="Normal 2 6 4 3 3" xfId="19048" xr:uid="{00000000-0005-0000-0000-00006B4A0000}"/>
    <cellStyle name="Normal 2 6 4 4" xfId="19049" xr:uid="{00000000-0005-0000-0000-00006C4A0000}"/>
    <cellStyle name="Normal 2 6 4 4 2" xfId="19050" xr:uid="{00000000-0005-0000-0000-00006D4A0000}"/>
    <cellStyle name="Normal 2 6 4 4 3" xfId="19051" xr:uid="{00000000-0005-0000-0000-00006E4A0000}"/>
    <cellStyle name="Normal 2 6 4 5" xfId="19052" xr:uid="{00000000-0005-0000-0000-00006F4A0000}"/>
    <cellStyle name="Normal 2 6 4 5 2" xfId="19053" xr:uid="{00000000-0005-0000-0000-0000704A0000}"/>
    <cellStyle name="Normal 2 6 4 5 3" xfId="19054" xr:uid="{00000000-0005-0000-0000-0000714A0000}"/>
    <cellStyle name="Normal 2 6 4 6" xfId="19055" xr:uid="{00000000-0005-0000-0000-0000724A0000}"/>
    <cellStyle name="Normal 2 6 4 7" xfId="19056" xr:uid="{00000000-0005-0000-0000-0000734A0000}"/>
    <cellStyle name="Normal 2 6 4 8" xfId="19057" xr:uid="{00000000-0005-0000-0000-0000744A0000}"/>
    <cellStyle name="Normal 2 6 5" xfId="19058" xr:uid="{00000000-0005-0000-0000-0000754A0000}"/>
    <cellStyle name="Normal 2 6 5 2" xfId="19059" xr:uid="{00000000-0005-0000-0000-0000764A0000}"/>
    <cellStyle name="Normal 2 6 5 2 2" xfId="19060" xr:uid="{00000000-0005-0000-0000-0000774A0000}"/>
    <cellStyle name="Normal 2 6 5 2 2 2" xfId="19061" xr:uid="{00000000-0005-0000-0000-0000784A0000}"/>
    <cellStyle name="Normal 2 6 5 2 2 3" xfId="19062" xr:uid="{00000000-0005-0000-0000-0000794A0000}"/>
    <cellStyle name="Normal 2 6 5 2 3" xfId="19063" xr:uid="{00000000-0005-0000-0000-00007A4A0000}"/>
    <cellStyle name="Normal 2 6 5 2 3 2" xfId="19064" xr:uid="{00000000-0005-0000-0000-00007B4A0000}"/>
    <cellStyle name="Normal 2 6 5 2 3 3" xfId="19065" xr:uid="{00000000-0005-0000-0000-00007C4A0000}"/>
    <cellStyle name="Normal 2 6 5 2 4" xfId="19066" xr:uid="{00000000-0005-0000-0000-00007D4A0000}"/>
    <cellStyle name="Normal 2 6 5 2 5" xfId="19067" xr:uid="{00000000-0005-0000-0000-00007E4A0000}"/>
    <cellStyle name="Normal 2 6 5 2 6" xfId="19068" xr:uid="{00000000-0005-0000-0000-00007F4A0000}"/>
    <cellStyle name="Normal 2 6 5 3" xfId="19069" xr:uid="{00000000-0005-0000-0000-0000804A0000}"/>
    <cellStyle name="Normal 2 6 5 3 2" xfId="19070" xr:uid="{00000000-0005-0000-0000-0000814A0000}"/>
    <cellStyle name="Normal 2 6 5 3 3" xfId="19071" xr:uid="{00000000-0005-0000-0000-0000824A0000}"/>
    <cellStyle name="Normal 2 6 5 4" xfId="19072" xr:uid="{00000000-0005-0000-0000-0000834A0000}"/>
    <cellStyle name="Normal 2 6 5 4 2" xfId="19073" xr:uid="{00000000-0005-0000-0000-0000844A0000}"/>
    <cellStyle name="Normal 2 6 5 4 3" xfId="19074" xr:uid="{00000000-0005-0000-0000-0000854A0000}"/>
    <cellStyle name="Normal 2 6 5 5" xfId="19075" xr:uid="{00000000-0005-0000-0000-0000864A0000}"/>
    <cellStyle name="Normal 2 6 5 5 2" xfId="19076" xr:uid="{00000000-0005-0000-0000-0000874A0000}"/>
    <cellStyle name="Normal 2 6 5 5 3" xfId="19077" xr:uid="{00000000-0005-0000-0000-0000884A0000}"/>
    <cellStyle name="Normal 2 6 5 6" xfId="19078" xr:uid="{00000000-0005-0000-0000-0000894A0000}"/>
    <cellStyle name="Normal 2 6 5 7" xfId="19079" xr:uid="{00000000-0005-0000-0000-00008A4A0000}"/>
    <cellStyle name="Normal 2 6 5 8" xfId="19080" xr:uid="{00000000-0005-0000-0000-00008B4A0000}"/>
    <cellStyle name="Normal 2 6 6" xfId="19081" xr:uid="{00000000-0005-0000-0000-00008C4A0000}"/>
    <cellStyle name="Normal 2 6 6 2" xfId="19082" xr:uid="{00000000-0005-0000-0000-00008D4A0000}"/>
    <cellStyle name="Normal 2 6 6 2 2" xfId="19083" xr:uid="{00000000-0005-0000-0000-00008E4A0000}"/>
    <cellStyle name="Normal 2 6 6 2 3" xfId="19084" xr:uid="{00000000-0005-0000-0000-00008F4A0000}"/>
    <cellStyle name="Normal 2 6 6 3" xfId="19085" xr:uid="{00000000-0005-0000-0000-0000904A0000}"/>
    <cellStyle name="Normal 2 6 6 3 2" xfId="19086" xr:uid="{00000000-0005-0000-0000-0000914A0000}"/>
    <cellStyle name="Normal 2 6 6 3 3" xfId="19087" xr:uid="{00000000-0005-0000-0000-0000924A0000}"/>
    <cellStyle name="Normal 2 6 6 4" xfId="19088" xr:uid="{00000000-0005-0000-0000-0000934A0000}"/>
    <cellStyle name="Normal 2 6 6 5" xfId="19089" xr:uid="{00000000-0005-0000-0000-0000944A0000}"/>
    <cellStyle name="Normal 2 6 6 6" xfId="19090" xr:uid="{00000000-0005-0000-0000-0000954A0000}"/>
    <cellStyle name="Normal 2 6 7" xfId="19091" xr:uid="{00000000-0005-0000-0000-0000964A0000}"/>
    <cellStyle name="Normal 2 6 7 2" xfId="19092" xr:uid="{00000000-0005-0000-0000-0000974A0000}"/>
    <cellStyle name="Normal 2 6 7 3" xfId="19093" xr:uid="{00000000-0005-0000-0000-0000984A0000}"/>
    <cellStyle name="Normal 2 6 8" xfId="19094" xr:uid="{00000000-0005-0000-0000-0000994A0000}"/>
    <cellStyle name="Normal 2 6 8 2" xfId="19095" xr:uid="{00000000-0005-0000-0000-00009A4A0000}"/>
    <cellStyle name="Normal 2 6 8 3" xfId="19096" xr:uid="{00000000-0005-0000-0000-00009B4A0000}"/>
    <cellStyle name="Normal 2 6 9" xfId="19097" xr:uid="{00000000-0005-0000-0000-00009C4A0000}"/>
    <cellStyle name="Normal 2 6 9 2" xfId="19098" xr:uid="{00000000-0005-0000-0000-00009D4A0000}"/>
    <cellStyle name="Normal 2 6 9 3" xfId="19099" xr:uid="{00000000-0005-0000-0000-00009E4A0000}"/>
    <cellStyle name="Normal 2 60" xfId="19100" xr:uid="{00000000-0005-0000-0000-00009F4A0000}"/>
    <cellStyle name="Normal 2 60 2" xfId="19101" xr:uid="{00000000-0005-0000-0000-0000A04A0000}"/>
    <cellStyle name="Normal 2 61" xfId="19102" xr:uid="{00000000-0005-0000-0000-0000A14A0000}"/>
    <cellStyle name="Normal 2 61 2" xfId="19103" xr:uid="{00000000-0005-0000-0000-0000A24A0000}"/>
    <cellStyle name="Normal 2 62" xfId="19104" xr:uid="{00000000-0005-0000-0000-0000A34A0000}"/>
    <cellStyle name="Normal 2 62 2" xfId="19105" xr:uid="{00000000-0005-0000-0000-0000A44A0000}"/>
    <cellStyle name="Normal 2 63" xfId="19106" xr:uid="{00000000-0005-0000-0000-0000A54A0000}"/>
    <cellStyle name="Normal 2 63 2" xfId="19107" xr:uid="{00000000-0005-0000-0000-0000A64A0000}"/>
    <cellStyle name="Normal 2 64" xfId="19108" xr:uid="{00000000-0005-0000-0000-0000A74A0000}"/>
    <cellStyle name="Normal 2 64 2" xfId="19109" xr:uid="{00000000-0005-0000-0000-0000A84A0000}"/>
    <cellStyle name="Normal 2 65" xfId="19110" xr:uid="{00000000-0005-0000-0000-0000A94A0000}"/>
    <cellStyle name="Normal 2 65 2" xfId="19111" xr:uid="{00000000-0005-0000-0000-0000AA4A0000}"/>
    <cellStyle name="Normal 2 66" xfId="19112" xr:uid="{00000000-0005-0000-0000-0000AB4A0000}"/>
    <cellStyle name="Normal 2 66 2" xfId="19113" xr:uid="{00000000-0005-0000-0000-0000AC4A0000}"/>
    <cellStyle name="Normal 2 67" xfId="19114" xr:uid="{00000000-0005-0000-0000-0000AD4A0000}"/>
    <cellStyle name="Normal 2 67 2" xfId="19115" xr:uid="{00000000-0005-0000-0000-0000AE4A0000}"/>
    <cellStyle name="Normal 2 68" xfId="19116" xr:uid="{00000000-0005-0000-0000-0000AF4A0000}"/>
    <cellStyle name="Normal 2 68 2" xfId="19117" xr:uid="{00000000-0005-0000-0000-0000B04A0000}"/>
    <cellStyle name="Normal 2 69" xfId="19118" xr:uid="{00000000-0005-0000-0000-0000B14A0000}"/>
    <cellStyle name="Normal 2 69 2" xfId="19119" xr:uid="{00000000-0005-0000-0000-0000B24A0000}"/>
    <cellStyle name="Normal 2 7" xfId="19120" xr:uid="{00000000-0005-0000-0000-0000B34A0000}"/>
    <cellStyle name="Normal 2 7 10" xfId="19121" xr:uid="{00000000-0005-0000-0000-0000B44A0000}"/>
    <cellStyle name="Normal 2 7 11" xfId="19122" xr:uid="{00000000-0005-0000-0000-0000B54A0000}"/>
    <cellStyle name="Normal 2 7 12" xfId="19123" xr:uid="{00000000-0005-0000-0000-0000B64A0000}"/>
    <cellStyle name="Normal 2 7 2" xfId="19124" xr:uid="{00000000-0005-0000-0000-0000B74A0000}"/>
    <cellStyle name="Normal 2 7 2 10" xfId="19125" xr:uid="{00000000-0005-0000-0000-0000B84A0000}"/>
    <cellStyle name="Normal 2 7 2 2" xfId="19126" xr:uid="{00000000-0005-0000-0000-0000B94A0000}"/>
    <cellStyle name="Normal 2 7 2 2 2" xfId="19127" xr:uid="{00000000-0005-0000-0000-0000BA4A0000}"/>
    <cellStyle name="Normal 2 7 2 2 2 2" xfId="19128" xr:uid="{00000000-0005-0000-0000-0000BB4A0000}"/>
    <cellStyle name="Normal 2 7 2 2 2 2 2" xfId="19129" xr:uid="{00000000-0005-0000-0000-0000BC4A0000}"/>
    <cellStyle name="Normal 2 7 2 2 2 2 3" xfId="19130" xr:uid="{00000000-0005-0000-0000-0000BD4A0000}"/>
    <cellStyle name="Normal 2 7 2 2 2 3" xfId="19131" xr:uid="{00000000-0005-0000-0000-0000BE4A0000}"/>
    <cellStyle name="Normal 2 7 2 2 2 3 2" xfId="19132" xr:uid="{00000000-0005-0000-0000-0000BF4A0000}"/>
    <cellStyle name="Normal 2 7 2 2 2 3 3" xfId="19133" xr:uid="{00000000-0005-0000-0000-0000C04A0000}"/>
    <cellStyle name="Normal 2 7 2 2 2 4" xfId="19134" xr:uid="{00000000-0005-0000-0000-0000C14A0000}"/>
    <cellStyle name="Normal 2 7 2 2 2 5" xfId="19135" xr:uid="{00000000-0005-0000-0000-0000C24A0000}"/>
    <cellStyle name="Normal 2 7 2 2 2 6" xfId="19136" xr:uid="{00000000-0005-0000-0000-0000C34A0000}"/>
    <cellStyle name="Normal 2 7 2 2 3" xfId="19137" xr:uid="{00000000-0005-0000-0000-0000C44A0000}"/>
    <cellStyle name="Normal 2 7 2 2 3 2" xfId="19138" xr:uid="{00000000-0005-0000-0000-0000C54A0000}"/>
    <cellStyle name="Normal 2 7 2 2 3 3" xfId="19139" xr:uid="{00000000-0005-0000-0000-0000C64A0000}"/>
    <cellStyle name="Normal 2 7 2 2 4" xfId="19140" xr:uid="{00000000-0005-0000-0000-0000C74A0000}"/>
    <cellStyle name="Normal 2 7 2 2 4 2" xfId="19141" xr:uid="{00000000-0005-0000-0000-0000C84A0000}"/>
    <cellStyle name="Normal 2 7 2 2 4 3" xfId="19142" xr:uid="{00000000-0005-0000-0000-0000C94A0000}"/>
    <cellStyle name="Normal 2 7 2 2 5" xfId="19143" xr:uid="{00000000-0005-0000-0000-0000CA4A0000}"/>
    <cellStyle name="Normal 2 7 2 2 5 2" xfId="19144" xr:uid="{00000000-0005-0000-0000-0000CB4A0000}"/>
    <cellStyle name="Normal 2 7 2 2 5 3" xfId="19145" xr:uid="{00000000-0005-0000-0000-0000CC4A0000}"/>
    <cellStyle name="Normal 2 7 2 2 6" xfId="19146" xr:uid="{00000000-0005-0000-0000-0000CD4A0000}"/>
    <cellStyle name="Normal 2 7 2 2 7" xfId="19147" xr:uid="{00000000-0005-0000-0000-0000CE4A0000}"/>
    <cellStyle name="Normal 2 7 2 2 8" xfId="19148" xr:uid="{00000000-0005-0000-0000-0000CF4A0000}"/>
    <cellStyle name="Normal 2 7 2 3" xfId="19149" xr:uid="{00000000-0005-0000-0000-0000D04A0000}"/>
    <cellStyle name="Normal 2 7 2 3 2" xfId="19150" xr:uid="{00000000-0005-0000-0000-0000D14A0000}"/>
    <cellStyle name="Normal 2 7 2 3 2 2" xfId="19151" xr:uid="{00000000-0005-0000-0000-0000D24A0000}"/>
    <cellStyle name="Normal 2 7 2 3 2 2 2" xfId="19152" xr:uid="{00000000-0005-0000-0000-0000D34A0000}"/>
    <cellStyle name="Normal 2 7 2 3 2 2 3" xfId="19153" xr:uid="{00000000-0005-0000-0000-0000D44A0000}"/>
    <cellStyle name="Normal 2 7 2 3 2 3" xfId="19154" xr:uid="{00000000-0005-0000-0000-0000D54A0000}"/>
    <cellStyle name="Normal 2 7 2 3 2 3 2" xfId="19155" xr:uid="{00000000-0005-0000-0000-0000D64A0000}"/>
    <cellStyle name="Normal 2 7 2 3 2 3 3" xfId="19156" xr:uid="{00000000-0005-0000-0000-0000D74A0000}"/>
    <cellStyle name="Normal 2 7 2 3 2 4" xfId="19157" xr:uid="{00000000-0005-0000-0000-0000D84A0000}"/>
    <cellStyle name="Normal 2 7 2 3 2 5" xfId="19158" xr:uid="{00000000-0005-0000-0000-0000D94A0000}"/>
    <cellStyle name="Normal 2 7 2 3 2 6" xfId="19159" xr:uid="{00000000-0005-0000-0000-0000DA4A0000}"/>
    <cellStyle name="Normal 2 7 2 3 3" xfId="19160" xr:uid="{00000000-0005-0000-0000-0000DB4A0000}"/>
    <cellStyle name="Normal 2 7 2 3 3 2" xfId="19161" xr:uid="{00000000-0005-0000-0000-0000DC4A0000}"/>
    <cellStyle name="Normal 2 7 2 3 3 3" xfId="19162" xr:uid="{00000000-0005-0000-0000-0000DD4A0000}"/>
    <cellStyle name="Normal 2 7 2 3 4" xfId="19163" xr:uid="{00000000-0005-0000-0000-0000DE4A0000}"/>
    <cellStyle name="Normal 2 7 2 3 4 2" xfId="19164" xr:uid="{00000000-0005-0000-0000-0000DF4A0000}"/>
    <cellStyle name="Normal 2 7 2 3 4 3" xfId="19165" xr:uid="{00000000-0005-0000-0000-0000E04A0000}"/>
    <cellStyle name="Normal 2 7 2 3 5" xfId="19166" xr:uid="{00000000-0005-0000-0000-0000E14A0000}"/>
    <cellStyle name="Normal 2 7 2 3 5 2" xfId="19167" xr:uid="{00000000-0005-0000-0000-0000E24A0000}"/>
    <cellStyle name="Normal 2 7 2 3 5 3" xfId="19168" xr:uid="{00000000-0005-0000-0000-0000E34A0000}"/>
    <cellStyle name="Normal 2 7 2 3 6" xfId="19169" xr:uid="{00000000-0005-0000-0000-0000E44A0000}"/>
    <cellStyle name="Normal 2 7 2 3 7" xfId="19170" xr:uid="{00000000-0005-0000-0000-0000E54A0000}"/>
    <cellStyle name="Normal 2 7 2 3 8" xfId="19171" xr:uid="{00000000-0005-0000-0000-0000E64A0000}"/>
    <cellStyle name="Normal 2 7 2 4" xfId="19172" xr:uid="{00000000-0005-0000-0000-0000E74A0000}"/>
    <cellStyle name="Normal 2 7 2 4 2" xfId="19173" xr:uid="{00000000-0005-0000-0000-0000E84A0000}"/>
    <cellStyle name="Normal 2 7 2 4 2 2" xfId="19174" xr:uid="{00000000-0005-0000-0000-0000E94A0000}"/>
    <cellStyle name="Normal 2 7 2 4 2 3" xfId="19175" xr:uid="{00000000-0005-0000-0000-0000EA4A0000}"/>
    <cellStyle name="Normal 2 7 2 4 3" xfId="19176" xr:uid="{00000000-0005-0000-0000-0000EB4A0000}"/>
    <cellStyle name="Normal 2 7 2 4 3 2" xfId="19177" xr:uid="{00000000-0005-0000-0000-0000EC4A0000}"/>
    <cellStyle name="Normal 2 7 2 4 3 3" xfId="19178" xr:uid="{00000000-0005-0000-0000-0000ED4A0000}"/>
    <cellStyle name="Normal 2 7 2 4 4" xfId="19179" xr:uid="{00000000-0005-0000-0000-0000EE4A0000}"/>
    <cellStyle name="Normal 2 7 2 4 5" xfId="19180" xr:uid="{00000000-0005-0000-0000-0000EF4A0000}"/>
    <cellStyle name="Normal 2 7 2 4 6" xfId="19181" xr:uid="{00000000-0005-0000-0000-0000F04A0000}"/>
    <cellStyle name="Normal 2 7 2 5" xfId="19182" xr:uid="{00000000-0005-0000-0000-0000F14A0000}"/>
    <cellStyle name="Normal 2 7 2 5 2" xfId="19183" xr:uid="{00000000-0005-0000-0000-0000F24A0000}"/>
    <cellStyle name="Normal 2 7 2 5 3" xfId="19184" xr:uid="{00000000-0005-0000-0000-0000F34A0000}"/>
    <cellStyle name="Normal 2 7 2 6" xfId="19185" xr:uid="{00000000-0005-0000-0000-0000F44A0000}"/>
    <cellStyle name="Normal 2 7 2 6 2" xfId="19186" xr:uid="{00000000-0005-0000-0000-0000F54A0000}"/>
    <cellStyle name="Normal 2 7 2 6 3" xfId="19187" xr:uid="{00000000-0005-0000-0000-0000F64A0000}"/>
    <cellStyle name="Normal 2 7 2 7" xfId="19188" xr:uid="{00000000-0005-0000-0000-0000F74A0000}"/>
    <cellStyle name="Normal 2 7 2 7 2" xfId="19189" xr:uid="{00000000-0005-0000-0000-0000F84A0000}"/>
    <cellStyle name="Normal 2 7 2 7 3" xfId="19190" xr:uid="{00000000-0005-0000-0000-0000F94A0000}"/>
    <cellStyle name="Normal 2 7 2 8" xfId="19191" xr:uid="{00000000-0005-0000-0000-0000FA4A0000}"/>
    <cellStyle name="Normal 2 7 2 9" xfId="19192" xr:uid="{00000000-0005-0000-0000-0000FB4A0000}"/>
    <cellStyle name="Normal 2 7 3" xfId="19193" xr:uid="{00000000-0005-0000-0000-0000FC4A0000}"/>
    <cellStyle name="Normal 2 7 3 2" xfId="19194" xr:uid="{00000000-0005-0000-0000-0000FD4A0000}"/>
    <cellStyle name="Normal 2 7 3 2 2" xfId="19195" xr:uid="{00000000-0005-0000-0000-0000FE4A0000}"/>
    <cellStyle name="Normal 2 7 3 2 2 2" xfId="19196" xr:uid="{00000000-0005-0000-0000-0000FF4A0000}"/>
    <cellStyle name="Normal 2 7 3 2 2 3" xfId="19197" xr:uid="{00000000-0005-0000-0000-0000004B0000}"/>
    <cellStyle name="Normal 2 7 3 2 3" xfId="19198" xr:uid="{00000000-0005-0000-0000-0000014B0000}"/>
    <cellStyle name="Normal 2 7 3 2 3 2" xfId="19199" xr:uid="{00000000-0005-0000-0000-0000024B0000}"/>
    <cellStyle name="Normal 2 7 3 2 3 3" xfId="19200" xr:uid="{00000000-0005-0000-0000-0000034B0000}"/>
    <cellStyle name="Normal 2 7 3 2 4" xfId="19201" xr:uid="{00000000-0005-0000-0000-0000044B0000}"/>
    <cellStyle name="Normal 2 7 3 2 5" xfId="19202" xr:uid="{00000000-0005-0000-0000-0000054B0000}"/>
    <cellStyle name="Normal 2 7 3 2 6" xfId="19203" xr:uid="{00000000-0005-0000-0000-0000064B0000}"/>
    <cellStyle name="Normal 2 7 3 3" xfId="19204" xr:uid="{00000000-0005-0000-0000-0000074B0000}"/>
    <cellStyle name="Normal 2 7 3 3 2" xfId="19205" xr:uid="{00000000-0005-0000-0000-0000084B0000}"/>
    <cellStyle name="Normal 2 7 3 3 3" xfId="19206" xr:uid="{00000000-0005-0000-0000-0000094B0000}"/>
    <cellStyle name="Normal 2 7 3 4" xfId="19207" xr:uid="{00000000-0005-0000-0000-00000A4B0000}"/>
    <cellStyle name="Normal 2 7 3 4 2" xfId="19208" xr:uid="{00000000-0005-0000-0000-00000B4B0000}"/>
    <cellStyle name="Normal 2 7 3 4 3" xfId="19209" xr:uid="{00000000-0005-0000-0000-00000C4B0000}"/>
    <cellStyle name="Normal 2 7 3 5" xfId="19210" xr:uid="{00000000-0005-0000-0000-00000D4B0000}"/>
    <cellStyle name="Normal 2 7 3 5 2" xfId="19211" xr:uid="{00000000-0005-0000-0000-00000E4B0000}"/>
    <cellStyle name="Normal 2 7 3 5 3" xfId="19212" xr:uid="{00000000-0005-0000-0000-00000F4B0000}"/>
    <cellStyle name="Normal 2 7 3 6" xfId="19213" xr:uid="{00000000-0005-0000-0000-0000104B0000}"/>
    <cellStyle name="Normal 2 7 3 7" xfId="19214" xr:uid="{00000000-0005-0000-0000-0000114B0000}"/>
    <cellStyle name="Normal 2 7 3 8" xfId="19215" xr:uid="{00000000-0005-0000-0000-0000124B0000}"/>
    <cellStyle name="Normal 2 7 4" xfId="19216" xr:uid="{00000000-0005-0000-0000-0000134B0000}"/>
    <cellStyle name="Normal 2 7 4 2" xfId="19217" xr:uid="{00000000-0005-0000-0000-0000144B0000}"/>
    <cellStyle name="Normal 2 7 4 2 2" xfId="19218" xr:uid="{00000000-0005-0000-0000-0000154B0000}"/>
    <cellStyle name="Normal 2 7 4 2 2 2" xfId="19219" xr:uid="{00000000-0005-0000-0000-0000164B0000}"/>
    <cellStyle name="Normal 2 7 4 2 2 3" xfId="19220" xr:uid="{00000000-0005-0000-0000-0000174B0000}"/>
    <cellStyle name="Normal 2 7 4 2 3" xfId="19221" xr:uid="{00000000-0005-0000-0000-0000184B0000}"/>
    <cellStyle name="Normal 2 7 4 2 3 2" xfId="19222" xr:uid="{00000000-0005-0000-0000-0000194B0000}"/>
    <cellStyle name="Normal 2 7 4 2 3 3" xfId="19223" xr:uid="{00000000-0005-0000-0000-00001A4B0000}"/>
    <cellStyle name="Normal 2 7 4 2 4" xfId="19224" xr:uid="{00000000-0005-0000-0000-00001B4B0000}"/>
    <cellStyle name="Normal 2 7 4 2 5" xfId="19225" xr:uid="{00000000-0005-0000-0000-00001C4B0000}"/>
    <cellStyle name="Normal 2 7 4 2 6" xfId="19226" xr:uid="{00000000-0005-0000-0000-00001D4B0000}"/>
    <cellStyle name="Normal 2 7 4 3" xfId="19227" xr:uid="{00000000-0005-0000-0000-00001E4B0000}"/>
    <cellStyle name="Normal 2 7 4 3 2" xfId="19228" xr:uid="{00000000-0005-0000-0000-00001F4B0000}"/>
    <cellStyle name="Normal 2 7 4 3 3" xfId="19229" xr:uid="{00000000-0005-0000-0000-0000204B0000}"/>
    <cellStyle name="Normal 2 7 4 4" xfId="19230" xr:uid="{00000000-0005-0000-0000-0000214B0000}"/>
    <cellStyle name="Normal 2 7 4 4 2" xfId="19231" xr:uid="{00000000-0005-0000-0000-0000224B0000}"/>
    <cellStyle name="Normal 2 7 4 4 3" xfId="19232" xr:uid="{00000000-0005-0000-0000-0000234B0000}"/>
    <cellStyle name="Normal 2 7 4 5" xfId="19233" xr:uid="{00000000-0005-0000-0000-0000244B0000}"/>
    <cellStyle name="Normal 2 7 4 5 2" xfId="19234" xr:uid="{00000000-0005-0000-0000-0000254B0000}"/>
    <cellStyle name="Normal 2 7 4 5 3" xfId="19235" xr:uid="{00000000-0005-0000-0000-0000264B0000}"/>
    <cellStyle name="Normal 2 7 4 6" xfId="19236" xr:uid="{00000000-0005-0000-0000-0000274B0000}"/>
    <cellStyle name="Normal 2 7 4 7" xfId="19237" xr:uid="{00000000-0005-0000-0000-0000284B0000}"/>
    <cellStyle name="Normal 2 7 4 8" xfId="19238" xr:uid="{00000000-0005-0000-0000-0000294B0000}"/>
    <cellStyle name="Normal 2 7 5" xfId="19239" xr:uid="{00000000-0005-0000-0000-00002A4B0000}"/>
    <cellStyle name="Normal 2 7 5 2" xfId="19240" xr:uid="{00000000-0005-0000-0000-00002B4B0000}"/>
    <cellStyle name="Normal 2 7 5 2 2" xfId="19241" xr:uid="{00000000-0005-0000-0000-00002C4B0000}"/>
    <cellStyle name="Normal 2 7 5 2 2 2" xfId="19242" xr:uid="{00000000-0005-0000-0000-00002D4B0000}"/>
    <cellStyle name="Normal 2 7 5 2 2 3" xfId="19243" xr:uid="{00000000-0005-0000-0000-00002E4B0000}"/>
    <cellStyle name="Normal 2 7 5 2 3" xfId="19244" xr:uid="{00000000-0005-0000-0000-00002F4B0000}"/>
    <cellStyle name="Normal 2 7 5 2 3 2" xfId="19245" xr:uid="{00000000-0005-0000-0000-0000304B0000}"/>
    <cellStyle name="Normal 2 7 5 2 3 3" xfId="19246" xr:uid="{00000000-0005-0000-0000-0000314B0000}"/>
    <cellStyle name="Normal 2 7 5 2 4" xfId="19247" xr:uid="{00000000-0005-0000-0000-0000324B0000}"/>
    <cellStyle name="Normal 2 7 5 2 5" xfId="19248" xr:uid="{00000000-0005-0000-0000-0000334B0000}"/>
    <cellStyle name="Normal 2 7 5 2 6" xfId="19249" xr:uid="{00000000-0005-0000-0000-0000344B0000}"/>
    <cellStyle name="Normal 2 7 5 3" xfId="19250" xr:uid="{00000000-0005-0000-0000-0000354B0000}"/>
    <cellStyle name="Normal 2 7 5 3 2" xfId="19251" xr:uid="{00000000-0005-0000-0000-0000364B0000}"/>
    <cellStyle name="Normal 2 7 5 3 3" xfId="19252" xr:uid="{00000000-0005-0000-0000-0000374B0000}"/>
    <cellStyle name="Normal 2 7 5 4" xfId="19253" xr:uid="{00000000-0005-0000-0000-0000384B0000}"/>
    <cellStyle name="Normal 2 7 5 4 2" xfId="19254" xr:uid="{00000000-0005-0000-0000-0000394B0000}"/>
    <cellStyle name="Normal 2 7 5 4 3" xfId="19255" xr:uid="{00000000-0005-0000-0000-00003A4B0000}"/>
    <cellStyle name="Normal 2 7 5 5" xfId="19256" xr:uid="{00000000-0005-0000-0000-00003B4B0000}"/>
    <cellStyle name="Normal 2 7 5 5 2" xfId="19257" xr:uid="{00000000-0005-0000-0000-00003C4B0000}"/>
    <cellStyle name="Normal 2 7 5 5 3" xfId="19258" xr:uid="{00000000-0005-0000-0000-00003D4B0000}"/>
    <cellStyle name="Normal 2 7 5 6" xfId="19259" xr:uid="{00000000-0005-0000-0000-00003E4B0000}"/>
    <cellStyle name="Normal 2 7 5 7" xfId="19260" xr:uid="{00000000-0005-0000-0000-00003F4B0000}"/>
    <cellStyle name="Normal 2 7 5 8" xfId="19261" xr:uid="{00000000-0005-0000-0000-0000404B0000}"/>
    <cellStyle name="Normal 2 7 6" xfId="19262" xr:uid="{00000000-0005-0000-0000-0000414B0000}"/>
    <cellStyle name="Normal 2 7 6 2" xfId="19263" xr:uid="{00000000-0005-0000-0000-0000424B0000}"/>
    <cellStyle name="Normal 2 7 6 2 2" xfId="19264" xr:uid="{00000000-0005-0000-0000-0000434B0000}"/>
    <cellStyle name="Normal 2 7 6 2 3" xfId="19265" xr:uid="{00000000-0005-0000-0000-0000444B0000}"/>
    <cellStyle name="Normal 2 7 6 3" xfId="19266" xr:uid="{00000000-0005-0000-0000-0000454B0000}"/>
    <cellStyle name="Normal 2 7 6 3 2" xfId="19267" xr:uid="{00000000-0005-0000-0000-0000464B0000}"/>
    <cellStyle name="Normal 2 7 6 3 3" xfId="19268" xr:uid="{00000000-0005-0000-0000-0000474B0000}"/>
    <cellStyle name="Normal 2 7 6 4" xfId="19269" xr:uid="{00000000-0005-0000-0000-0000484B0000}"/>
    <cellStyle name="Normal 2 7 6 5" xfId="19270" xr:uid="{00000000-0005-0000-0000-0000494B0000}"/>
    <cellStyle name="Normal 2 7 6 6" xfId="19271" xr:uid="{00000000-0005-0000-0000-00004A4B0000}"/>
    <cellStyle name="Normal 2 7 7" xfId="19272" xr:uid="{00000000-0005-0000-0000-00004B4B0000}"/>
    <cellStyle name="Normal 2 7 7 2" xfId="19273" xr:uid="{00000000-0005-0000-0000-00004C4B0000}"/>
    <cellStyle name="Normal 2 7 7 3" xfId="19274" xr:uid="{00000000-0005-0000-0000-00004D4B0000}"/>
    <cellStyle name="Normal 2 7 8" xfId="19275" xr:uid="{00000000-0005-0000-0000-00004E4B0000}"/>
    <cellStyle name="Normal 2 7 8 2" xfId="19276" xr:uid="{00000000-0005-0000-0000-00004F4B0000}"/>
    <cellStyle name="Normal 2 7 8 3" xfId="19277" xr:uid="{00000000-0005-0000-0000-0000504B0000}"/>
    <cellStyle name="Normal 2 7 9" xfId="19278" xr:uid="{00000000-0005-0000-0000-0000514B0000}"/>
    <cellStyle name="Normal 2 7 9 2" xfId="19279" xr:uid="{00000000-0005-0000-0000-0000524B0000}"/>
    <cellStyle name="Normal 2 7 9 3" xfId="19280" xr:uid="{00000000-0005-0000-0000-0000534B0000}"/>
    <cellStyle name="Normal 2 70" xfId="19281" xr:uid="{00000000-0005-0000-0000-0000544B0000}"/>
    <cellStyle name="Normal 2 70 2" xfId="19282" xr:uid="{00000000-0005-0000-0000-0000554B0000}"/>
    <cellStyle name="Normal 2 70 2 2" xfId="19283" xr:uid="{00000000-0005-0000-0000-0000564B0000}"/>
    <cellStyle name="Normal 2 70 2 2 2" xfId="19284" xr:uid="{00000000-0005-0000-0000-0000574B0000}"/>
    <cellStyle name="Normal 2 70 2 2 3" xfId="19285" xr:uid="{00000000-0005-0000-0000-0000584B0000}"/>
    <cellStyle name="Normal 2 70 2 3" xfId="19286" xr:uid="{00000000-0005-0000-0000-0000594B0000}"/>
    <cellStyle name="Normal 2 70 2 3 2" xfId="19287" xr:uid="{00000000-0005-0000-0000-00005A4B0000}"/>
    <cellStyle name="Normal 2 70 2 3 3" xfId="19288" xr:uid="{00000000-0005-0000-0000-00005B4B0000}"/>
    <cellStyle name="Normal 2 70 2 4" xfId="19289" xr:uid="{00000000-0005-0000-0000-00005C4B0000}"/>
    <cellStyle name="Normal 2 70 2 5" xfId="19290" xr:uid="{00000000-0005-0000-0000-00005D4B0000}"/>
    <cellStyle name="Normal 2 70 2 6" xfId="19291" xr:uid="{00000000-0005-0000-0000-00005E4B0000}"/>
    <cellStyle name="Normal 2 70 3" xfId="19292" xr:uid="{00000000-0005-0000-0000-00005F4B0000}"/>
    <cellStyle name="Normal 2 70 3 2" xfId="19293" xr:uid="{00000000-0005-0000-0000-0000604B0000}"/>
    <cellStyle name="Normal 2 70 3 3" xfId="19294" xr:uid="{00000000-0005-0000-0000-0000614B0000}"/>
    <cellStyle name="Normal 2 70 4" xfId="19295" xr:uid="{00000000-0005-0000-0000-0000624B0000}"/>
    <cellStyle name="Normal 2 70 4 2" xfId="19296" xr:uid="{00000000-0005-0000-0000-0000634B0000}"/>
    <cellStyle name="Normal 2 70 4 3" xfId="19297" xr:uid="{00000000-0005-0000-0000-0000644B0000}"/>
    <cellStyle name="Normal 2 70 5" xfId="19298" xr:uid="{00000000-0005-0000-0000-0000654B0000}"/>
    <cellStyle name="Normal 2 70 6" xfId="19299" xr:uid="{00000000-0005-0000-0000-0000664B0000}"/>
    <cellStyle name="Normal 2 70 7" xfId="19300" xr:uid="{00000000-0005-0000-0000-0000674B0000}"/>
    <cellStyle name="Normal 2 71" xfId="19301" xr:uid="{00000000-0005-0000-0000-0000684B0000}"/>
    <cellStyle name="Normal 2 71 2" xfId="19302" xr:uid="{00000000-0005-0000-0000-0000694B0000}"/>
    <cellStyle name="Normal 2 71 2 2" xfId="19303" xr:uid="{00000000-0005-0000-0000-00006A4B0000}"/>
    <cellStyle name="Normal 2 71 2 2 2" xfId="19304" xr:uid="{00000000-0005-0000-0000-00006B4B0000}"/>
    <cellStyle name="Normal 2 71 2 2 3" xfId="19305" xr:uid="{00000000-0005-0000-0000-00006C4B0000}"/>
    <cellStyle name="Normal 2 71 2 3" xfId="19306" xr:uid="{00000000-0005-0000-0000-00006D4B0000}"/>
    <cellStyle name="Normal 2 71 2 3 2" xfId="19307" xr:uid="{00000000-0005-0000-0000-00006E4B0000}"/>
    <cellStyle name="Normal 2 71 2 3 3" xfId="19308" xr:uid="{00000000-0005-0000-0000-00006F4B0000}"/>
    <cellStyle name="Normal 2 71 2 4" xfId="19309" xr:uid="{00000000-0005-0000-0000-0000704B0000}"/>
    <cellStyle name="Normal 2 71 2 5" xfId="19310" xr:uid="{00000000-0005-0000-0000-0000714B0000}"/>
    <cellStyle name="Normal 2 71 2 6" xfId="19311" xr:uid="{00000000-0005-0000-0000-0000724B0000}"/>
    <cellStyle name="Normal 2 71 3" xfId="19312" xr:uid="{00000000-0005-0000-0000-0000734B0000}"/>
    <cellStyle name="Normal 2 71 3 2" xfId="19313" xr:uid="{00000000-0005-0000-0000-0000744B0000}"/>
    <cellStyle name="Normal 2 71 3 3" xfId="19314" xr:uid="{00000000-0005-0000-0000-0000754B0000}"/>
    <cellStyle name="Normal 2 71 4" xfId="19315" xr:uid="{00000000-0005-0000-0000-0000764B0000}"/>
    <cellStyle name="Normal 2 71 4 2" xfId="19316" xr:uid="{00000000-0005-0000-0000-0000774B0000}"/>
    <cellStyle name="Normal 2 71 4 3" xfId="19317" xr:uid="{00000000-0005-0000-0000-0000784B0000}"/>
    <cellStyle name="Normal 2 71 5" xfId="19318" xr:uid="{00000000-0005-0000-0000-0000794B0000}"/>
    <cellStyle name="Normal 2 71 6" xfId="19319" xr:uid="{00000000-0005-0000-0000-00007A4B0000}"/>
    <cellStyle name="Normal 2 71 7" xfId="19320" xr:uid="{00000000-0005-0000-0000-00007B4B0000}"/>
    <cellStyle name="Normal 2 72" xfId="19321" xr:uid="{00000000-0005-0000-0000-00007C4B0000}"/>
    <cellStyle name="Normal 2 72 2" xfId="19322" xr:uid="{00000000-0005-0000-0000-00007D4B0000}"/>
    <cellStyle name="Normal 2 72 2 2" xfId="19323" xr:uid="{00000000-0005-0000-0000-00007E4B0000}"/>
    <cellStyle name="Normal 2 72 2 2 2" xfId="19324" xr:uid="{00000000-0005-0000-0000-00007F4B0000}"/>
    <cellStyle name="Normal 2 72 2 2 3" xfId="19325" xr:uid="{00000000-0005-0000-0000-0000804B0000}"/>
    <cellStyle name="Normal 2 72 2 3" xfId="19326" xr:uid="{00000000-0005-0000-0000-0000814B0000}"/>
    <cellStyle name="Normal 2 72 2 3 2" xfId="19327" xr:uid="{00000000-0005-0000-0000-0000824B0000}"/>
    <cellStyle name="Normal 2 72 2 3 3" xfId="19328" xr:uid="{00000000-0005-0000-0000-0000834B0000}"/>
    <cellStyle name="Normal 2 72 2 4" xfId="19329" xr:uid="{00000000-0005-0000-0000-0000844B0000}"/>
    <cellStyle name="Normal 2 72 2 5" xfId="19330" xr:uid="{00000000-0005-0000-0000-0000854B0000}"/>
    <cellStyle name="Normal 2 72 2 6" xfId="19331" xr:uid="{00000000-0005-0000-0000-0000864B0000}"/>
    <cellStyle name="Normal 2 72 3" xfId="19332" xr:uid="{00000000-0005-0000-0000-0000874B0000}"/>
    <cellStyle name="Normal 2 72 3 2" xfId="19333" xr:uid="{00000000-0005-0000-0000-0000884B0000}"/>
    <cellStyle name="Normal 2 72 3 3" xfId="19334" xr:uid="{00000000-0005-0000-0000-0000894B0000}"/>
    <cellStyle name="Normal 2 72 4" xfId="19335" xr:uid="{00000000-0005-0000-0000-00008A4B0000}"/>
    <cellStyle name="Normal 2 72 4 2" xfId="19336" xr:uid="{00000000-0005-0000-0000-00008B4B0000}"/>
    <cellStyle name="Normal 2 72 4 3" xfId="19337" xr:uid="{00000000-0005-0000-0000-00008C4B0000}"/>
    <cellStyle name="Normal 2 72 5" xfId="19338" xr:uid="{00000000-0005-0000-0000-00008D4B0000}"/>
    <cellStyle name="Normal 2 72 6" xfId="19339" xr:uid="{00000000-0005-0000-0000-00008E4B0000}"/>
    <cellStyle name="Normal 2 72 7" xfId="19340" xr:uid="{00000000-0005-0000-0000-00008F4B0000}"/>
    <cellStyle name="Normal 2 73" xfId="19341" xr:uid="{00000000-0005-0000-0000-0000904B0000}"/>
    <cellStyle name="Normal 2 73 2" xfId="19342" xr:uid="{00000000-0005-0000-0000-0000914B0000}"/>
    <cellStyle name="Normal 2 73 2 2" xfId="19343" xr:uid="{00000000-0005-0000-0000-0000924B0000}"/>
    <cellStyle name="Normal 2 73 2 2 2" xfId="19344" xr:uid="{00000000-0005-0000-0000-0000934B0000}"/>
    <cellStyle name="Normal 2 73 2 2 3" xfId="19345" xr:uid="{00000000-0005-0000-0000-0000944B0000}"/>
    <cellStyle name="Normal 2 73 2 3" xfId="19346" xr:uid="{00000000-0005-0000-0000-0000954B0000}"/>
    <cellStyle name="Normal 2 73 2 3 2" xfId="19347" xr:uid="{00000000-0005-0000-0000-0000964B0000}"/>
    <cellStyle name="Normal 2 73 2 3 3" xfId="19348" xr:uid="{00000000-0005-0000-0000-0000974B0000}"/>
    <cellStyle name="Normal 2 73 2 4" xfId="19349" xr:uid="{00000000-0005-0000-0000-0000984B0000}"/>
    <cellStyle name="Normal 2 73 2 5" xfId="19350" xr:uid="{00000000-0005-0000-0000-0000994B0000}"/>
    <cellStyle name="Normal 2 73 2 6" xfId="19351" xr:uid="{00000000-0005-0000-0000-00009A4B0000}"/>
    <cellStyle name="Normal 2 73 3" xfId="19352" xr:uid="{00000000-0005-0000-0000-00009B4B0000}"/>
    <cellStyle name="Normal 2 73 3 2" xfId="19353" xr:uid="{00000000-0005-0000-0000-00009C4B0000}"/>
    <cellStyle name="Normal 2 73 3 3" xfId="19354" xr:uid="{00000000-0005-0000-0000-00009D4B0000}"/>
    <cellStyle name="Normal 2 73 4" xfId="19355" xr:uid="{00000000-0005-0000-0000-00009E4B0000}"/>
    <cellStyle name="Normal 2 73 4 2" xfId="19356" xr:uid="{00000000-0005-0000-0000-00009F4B0000}"/>
    <cellStyle name="Normal 2 73 4 3" xfId="19357" xr:uid="{00000000-0005-0000-0000-0000A04B0000}"/>
    <cellStyle name="Normal 2 73 5" xfId="19358" xr:uid="{00000000-0005-0000-0000-0000A14B0000}"/>
    <cellStyle name="Normal 2 73 6" xfId="19359" xr:uid="{00000000-0005-0000-0000-0000A24B0000}"/>
    <cellStyle name="Normal 2 73 7" xfId="19360" xr:uid="{00000000-0005-0000-0000-0000A34B0000}"/>
    <cellStyle name="Normal 2 74" xfId="19361" xr:uid="{00000000-0005-0000-0000-0000A44B0000}"/>
    <cellStyle name="Normal 2 74 2" xfId="19362" xr:uid="{00000000-0005-0000-0000-0000A54B0000}"/>
    <cellStyle name="Normal 2 74 2 2" xfId="19363" xr:uid="{00000000-0005-0000-0000-0000A64B0000}"/>
    <cellStyle name="Normal 2 74 2 2 2" xfId="19364" xr:uid="{00000000-0005-0000-0000-0000A74B0000}"/>
    <cellStyle name="Normal 2 74 2 2 3" xfId="19365" xr:uid="{00000000-0005-0000-0000-0000A84B0000}"/>
    <cellStyle name="Normal 2 74 2 3" xfId="19366" xr:uid="{00000000-0005-0000-0000-0000A94B0000}"/>
    <cellStyle name="Normal 2 74 2 3 2" xfId="19367" xr:uid="{00000000-0005-0000-0000-0000AA4B0000}"/>
    <cellStyle name="Normal 2 74 2 3 3" xfId="19368" xr:uid="{00000000-0005-0000-0000-0000AB4B0000}"/>
    <cellStyle name="Normal 2 74 2 4" xfId="19369" xr:uid="{00000000-0005-0000-0000-0000AC4B0000}"/>
    <cellStyle name="Normal 2 74 2 5" xfId="19370" xr:uid="{00000000-0005-0000-0000-0000AD4B0000}"/>
    <cellStyle name="Normal 2 74 2 6" xfId="19371" xr:uid="{00000000-0005-0000-0000-0000AE4B0000}"/>
    <cellStyle name="Normal 2 74 3" xfId="19372" xr:uid="{00000000-0005-0000-0000-0000AF4B0000}"/>
    <cellStyle name="Normal 2 74 3 2" xfId="19373" xr:uid="{00000000-0005-0000-0000-0000B04B0000}"/>
    <cellStyle name="Normal 2 74 3 3" xfId="19374" xr:uid="{00000000-0005-0000-0000-0000B14B0000}"/>
    <cellStyle name="Normal 2 74 4" xfId="19375" xr:uid="{00000000-0005-0000-0000-0000B24B0000}"/>
    <cellStyle name="Normal 2 74 4 2" xfId="19376" xr:uid="{00000000-0005-0000-0000-0000B34B0000}"/>
    <cellStyle name="Normal 2 74 4 3" xfId="19377" xr:uid="{00000000-0005-0000-0000-0000B44B0000}"/>
    <cellStyle name="Normal 2 74 5" xfId="19378" xr:uid="{00000000-0005-0000-0000-0000B54B0000}"/>
    <cellStyle name="Normal 2 74 6" xfId="19379" xr:uid="{00000000-0005-0000-0000-0000B64B0000}"/>
    <cellStyle name="Normal 2 74 7" xfId="19380" xr:uid="{00000000-0005-0000-0000-0000B74B0000}"/>
    <cellStyle name="Normal 2 75" xfId="19381" xr:uid="{00000000-0005-0000-0000-0000B84B0000}"/>
    <cellStyle name="Normal 2 75 2" xfId="19382" xr:uid="{00000000-0005-0000-0000-0000B94B0000}"/>
    <cellStyle name="Normal 2 75 2 2" xfId="19383" xr:uid="{00000000-0005-0000-0000-0000BA4B0000}"/>
    <cellStyle name="Normal 2 75 2 2 2" xfId="19384" xr:uid="{00000000-0005-0000-0000-0000BB4B0000}"/>
    <cellStyle name="Normal 2 75 2 2 3" xfId="19385" xr:uid="{00000000-0005-0000-0000-0000BC4B0000}"/>
    <cellStyle name="Normal 2 75 2 3" xfId="19386" xr:uid="{00000000-0005-0000-0000-0000BD4B0000}"/>
    <cellStyle name="Normal 2 75 2 3 2" xfId="19387" xr:uid="{00000000-0005-0000-0000-0000BE4B0000}"/>
    <cellStyle name="Normal 2 75 2 3 3" xfId="19388" xr:uid="{00000000-0005-0000-0000-0000BF4B0000}"/>
    <cellStyle name="Normal 2 75 2 4" xfId="19389" xr:uid="{00000000-0005-0000-0000-0000C04B0000}"/>
    <cellStyle name="Normal 2 75 2 5" xfId="19390" xr:uid="{00000000-0005-0000-0000-0000C14B0000}"/>
    <cellStyle name="Normal 2 75 2 6" xfId="19391" xr:uid="{00000000-0005-0000-0000-0000C24B0000}"/>
    <cellStyle name="Normal 2 75 3" xfId="19392" xr:uid="{00000000-0005-0000-0000-0000C34B0000}"/>
    <cellStyle name="Normal 2 75 3 2" xfId="19393" xr:uid="{00000000-0005-0000-0000-0000C44B0000}"/>
    <cellStyle name="Normal 2 75 3 3" xfId="19394" xr:uid="{00000000-0005-0000-0000-0000C54B0000}"/>
    <cellStyle name="Normal 2 75 4" xfId="19395" xr:uid="{00000000-0005-0000-0000-0000C64B0000}"/>
    <cellStyle name="Normal 2 75 4 2" xfId="19396" xr:uid="{00000000-0005-0000-0000-0000C74B0000}"/>
    <cellStyle name="Normal 2 75 4 3" xfId="19397" xr:uid="{00000000-0005-0000-0000-0000C84B0000}"/>
    <cellStyle name="Normal 2 75 5" xfId="19398" xr:uid="{00000000-0005-0000-0000-0000C94B0000}"/>
    <cellStyle name="Normal 2 75 6" xfId="19399" xr:uid="{00000000-0005-0000-0000-0000CA4B0000}"/>
    <cellStyle name="Normal 2 75 7" xfId="19400" xr:uid="{00000000-0005-0000-0000-0000CB4B0000}"/>
    <cellStyle name="Normal 2 76" xfId="19401" xr:uid="{00000000-0005-0000-0000-0000CC4B0000}"/>
    <cellStyle name="Normal 2 76 2" xfId="19402" xr:uid="{00000000-0005-0000-0000-0000CD4B0000}"/>
    <cellStyle name="Normal 2 76 2 2" xfId="19403" xr:uid="{00000000-0005-0000-0000-0000CE4B0000}"/>
    <cellStyle name="Normal 2 76 2 2 2" xfId="19404" xr:uid="{00000000-0005-0000-0000-0000CF4B0000}"/>
    <cellStyle name="Normal 2 76 2 2 3" xfId="19405" xr:uid="{00000000-0005-0000-0000-0000D04B0000}"/>
    <cellStyle name="Normal 2 76 2 3" xfId="19406" xr:uid="{00000000-0005-0000-0000-0000D14B0000}"/>
    <cellStyle name="Normal 2 76 2 3 2" xfId="19407" xr:uid="{00000000-0005-0000-0000-0000D24B0000}"/>
    <cellStyle name="Normal 2 76 2 3 3" xfId="19408" xr:uid="{00000000-0005-0000-0000-0000D34B0000}"/>
    <cellStyle name="Normal 2 76 2 4" xfId="19409" xr:uid="{00000000-0005-0000-0000-0000D44B0000}"/>
    <cellStyle name="Normal 2 76 2 5" xfId="19410" xr:uid="{00000000-0005-0000-0000-0000D54B0000}"/>
    <cellStyle name="Normal 2 76 2 6" xfId="19411" xr:uid="{00000000-0005-0000-0000-0000D64B0000}"/>
    <cellStyle name="Normal 2 76 3" xfId="19412" xr:uid="{00000000-0005-0000-0000-0000D74B0000}"/>
    <cellStyle name="Normal 2 76 3 2" xfId="19413" xr:uid="{00000000-0005-0000-0000-0000D84B0000}"/>
    <cellStyle name="Normal 2 76 3 3" xfId="19414" xr:uid="{00000000-0005-0000-0000-0000D94B0000}"/>
    <cellStyle name="Normal 2 76 4" xfId="19415" xr:uid="{00000000-0005-0000-0000-0000DA4B0000}"/>
    <cellStyle name="Normal 2 76 4 2" xfId="19416" xr:uid="{00000000-0005-0000-0000-0000DB4B0000}"/>
    <cellStyle name="Normal 2 76 4 3" xfId="19417" xr:uid="{00000000-0005-0000-0000-0000DC4B0000}"/>
    <cellStyle name="Normal 2 76 5" xfId="19418" xr:uid="{00000000-0005-0000-0000-0000DD4B0000}"/>
    <cellStyle name="Normal 2 76 6" xfId="19419" xr:uid="{00000000-0005-0000-0000-0000DE4B0000}"/>
    <cellStyle name="Normal 2 76 7" xfId="19420" xr:uid="{00000000-0005-0000-0000-0000DF4B0000}"/>
    <cellStyle name="Normal 2 77" xfId="19421" xr:uid="{00000000-0005-0000-0000-0000E04B0000}"/>
    <cellStyle name="Normal 2 77 2" xfId="19422" xr:uid="{00000000-0005-0000-0000-0000E14B0000}"/>
    <cellStyle name="Normal 2 77 2 2" xfId="19423" xr:uid="{00000000-0005-0000-0000-0000E24B0000}"/>
    <cellStyle name="Normal 2 77 2 2 2" xfId="19424" xr:uid="{00000000-0005-0000-0000-0000E34B0000}"/>
    <cellStyle name="Normal 2 77 2 2 3" xfId="19425" xr:uid="{00000000-0005-0000-0000-0000E44B0000}"/>
    <cellStyle name="Normal 2 77 2 3" xfId="19426" xr:uid="{00000000-0005-0000-0000-0000E54B0000}"/>
    <cellStyle name="Normal 2 77 2 3 2" xfId="19427" xr:uid="{00000000-0005-0000-0000-0000E64B0000}"/>
    <cellStyle name="Normal 2 77 2 3 3" xfId="19428" xr:uid="{00000000-0005-0000-0000-0000E74B0000}"/>
    <cellStyle name="Normal 2 77 2 4" xfId="19429" xr:uid="{00000000-0005-0000-0000-0000E84B0000}"/>
    <cellStyle name="Normal 2 77 2 5" xfId="19430" xr:uid="{00000000-0005-0000-0000-0000E94B0000}"/>
    <cellStyle name="Normal 2 77 2 6" xfId="19431" xr:uid="{00000000-0005-0000-0000-0000EA4B0000}"/>
    <cellStyle name="Normal 2 77 3" xfId="19432" xr:uid="{00000000-0005-0000-0000-0000EB4B0000}"/>
    <cellStyle name="Normal 2 77 3 2" xfId="19433" xr:uid="{00000000-0005-0000-0000-0000EC4B0000}"/>
    <cellStyle name="Normal 2 77 3 3" xfId="19434" xr:uid="{00000000-0005-0000-0000-0000ED4B0000}"/>
    <cellStyle name="Normal 2 77 4" xfId="19435" xr:uid="{00000000-0005-0000-0000-0000EE4B0000}"/>
    <cellStyle name="Normal 2 77 4 2" xfId="19436" xr:uid="{00000000-0005-0000-0000-0000EF4B0000}"/>
    <cellStyle name="Normal 2 77 4 3" xfId="19437" xr:uid="{00000000-0005-0000-0000-0000F04B0000}"/>
    <cellStyle name="Normal 2 77 5" xfId="19438" xr:uid="{00000000-0005-0000-0000-0000F14B0000}"/>
    <cellStyle name="Normal 2 77 6" xfId="19439" xr:uid="{00000000-0005-0000-0000-0000F24B0000}"/>
    <cellStyle name="Normal 2 77 7" xfId="19440" xr:uid="{00000000-0005-0000-0000-0000F34B0000}"/>
    <cellStyle name="Normal 2 78" xfId="19441" xr:uid="{00000000-0005-0000-0000-0000F44B0000}"/>
    <cellStyle name="Normal 2 78 2" xfId="19442" xr:uid="{00000000-0005-0000-0000-0000F54B0000}"/>
    <cellStyle name="Normal 2 78 2 2" xfId="19443" xr:uid="{00000000-0005-0000-0000-0000F64B0000}"/>
    <cellStyle name="Normal 2 78 2 2 2" xfId="19444" xr:uid="{00000000-0005-0000-0000-0000F74B0000}"/>
    <cellStyle name="Normal 2 78 2 2 3" xfId="19445" xr:uid="{00000000-0005-0000-0000-0000F84B0000}"/>
    <cellStyle name="Normal 2 78 2 3" xfId="19446" xr:uid="{00000000-0005-0000-0000-0000F94B0000}"/>
    <cellStyle name="Normal 2 78 2 3 2" xfId="19447" xr:uid="{00000000-0005-0000-0000-0000FA4B0000}"/>
    <cellStyle name="Normal 2 78 2 3 3" xfId="19448" xr:uid="{00000000-0005-0000-0000-0000FB4B0000}"/>
    <cellStyle name="Normal 2 78 2 4" xfId="19449" xr:uid="{00000000-0005-0000-0000-0000FC4B0000}"/>
    <cellStyle name="Normal 2 78 2 5" xfId="19450" xr:uid="{00000000-0005-0000-0000-0000FD4B0000}"/>
    <cellStyle name="Normal 2 78 2 6" xfId="19451" xr:uid="{00000000-0005-0000-0000-0000FE4B0000}"/>
    <cellStyle name="Normal 2 78 3" xfId="19452" xr:uid="{00000000-0005-0000-0000-0000FF4B0000}"/>
    <cellStyle name="Normal 2 78 3 2" xfId="19453" xr:uid="{00000000-0005-0000-0000-0000004C0000}"/>
    <cellStyle name="Normal 2 78 3 3" xfId="19454" xr:uid="{00000000-0005-0000-0000-0000014C0000}"/>
    <cellStyle name="Normal 2 78 4" xfId="19455" xr:uid="{00000000-0005-0000-0000-0000024C0000}"/>
    <cellStyle name="Normal 2 78 4 2" xfId="19456" xr:uid="{00000000-0005-0000-0000-0000034C0000}"/>
    <cellStyle name="Normal 2 78 4 3" xfId="19457" xr:uid="{00000000-0005-0000-0000-0000044C0000}"/>
    <cellStyle name="Normal 2 78 5" xfId="19458" xr:uid="{00000000-0005-0000-0000-0000054C0000}"/>
    <cellStyle name="Normal 2 78 6" xfId="19459" xr:uid="{00000000-0005-0000-0000-0000064C0000}"/>
    <cellStyle name="Normal 2 78 7" xfId="19460" xr:uid="{00000000-0005-0000-0000-0000074C0000}"/>
    <cellStyle name="Normal 2 79" xfId="19461" xr:uid="{00000000-0005-0000-0000-0000084C0000}"/>
    <cellStyle name="Normal 2 79 2" xfId="19462" xr:uid="{00000000-0005-0000-0000-0000094C0000}"/>
    <cellStyle name="Normal 2 79 2 2" xfId="19463" xr:uid="{00000000-0005-0000-0000-00000A4C0000}"/>
    <cellStyle name="Normal 2 79 2 2 2" xfId="19464" xr:uid="{00000000-0005-0000-0000-00000B4C0000}"/>
    <cellStyle name="Normal 2 79 2 2 3" xfId="19465" xr:uid="{00000000-0005-0000-0000-00000C4C0000}"/>
    <cellStyle name="Normal 2 79 2 3" xfId="19466" xr:uid="{00000000-0005-0000-0000-00000D4C0000}"/>
    <cellStyle name="Normal 2 79 2 3 2" xfId="19467" xr:uid="{00000000-0005-0000-0000-00000E4C0000}"/>
    <cellStyle name="Normal 2 79 2 3 3" xfId="19468" xr:uid="{00000000-0005-0000-0000-00000F4C0000}"/>
    <cellStyle name="Normal 2 79 2 4" xfId="19469" xr:uid="{00000000-0005-0000-0000-0000104C0000}"/>
    <cellStyle name="Normal 2 79 2 5" xfId="19470" xr:uid="{00000000-0005-0000-0000-0000114C0000}"/>
    <cellStyle name="Normal 2 79 2 6" xfId="19471" xr:uid="{00000000-0005-0000-0000-0000124C0000}"/>
    <cellStyle name="Normal 2 79 3" xfId="19472" xr:uid="{00000000-0005-0000-0000-0000134C0000}"/>
    <cellStyle name="Normal 2 79 3 2" xfId="19473" xr:uid="{00000000-0005-0000-0000-0000144C0000}"/>
    <cellStyle name="Normal 2 79 3 3" xfId="19474" xr:uid="{00000000-0005-0000-0000-0000154C0000}"/>
    <cellStyle name="Normal 2 79 4" xfId="19475" xr:uid="{00000000-0005-0000-0000-0000164C0000}"/>
    <cellStyle name="Normal 2 79 4 2" xfId="19476" xr:uid="{00000000-0005-0000-0000-0000174C0000}"/>
    <cellStyle name="Normal 2 79 4 3" xfId="19477" xr:uid="{00000000-0005-0000-0000-0000184C0000}"/>
    <cellStyle name="Normal 2 79 5" xfId="19478" xr:uid="{00000000-0005-0000-0000-0000194C0000}"/>
    <cellStyle name="Normal 2 79 6" xfId="19479" xr:uid="{00000000-0005-0000-0000-00001A4C0000}"/>
    <cellStyle name="Normal 2 79 7" xfId="19480" xr:uid="{00000000-0005-0000-0000-00001B4C0000}"/>
    <cellStyle name="Normal 2 8" xfId="19481" xr:uid="{00000000-0005-0000-0000-00001C4C0000}"/>
    <cellStyle name="Normal 2 8 10" xfId="19482" xr:uid="{00000000-0005-0000-0000-00001D4C0000}"/>
    <cellStyle name="Normal 2 8 11" xfId="19483" xr:uid="{00000000-0005-0000-0000-00001E4C0000}"/>
    <cellStyle name="Normal 2 8 12" xfId="19484" xr:uid="{00000000-0005-0000-0000-00001F4C0000}"/>
    <cellStyle name="Normal 2 8 2" xfId="19485" xr:uid="{00000000-0005-0000-0000-0000204C0000}"/>
    <cellStyle name="Normal 2 8 2 10" xfId="19486" xr:uid="{00000000-0005-0000-0000-0000214C0000}"/>
    <cellStyle name="Normal 2 8 2 2" xfId="19487" xr:uid="{00000000-0005-0000-0000-0000224C0000}"/>
    <cellStyle name="Normal 2 8 2 2 2" xfId="19488" xr:uid="{00000000-0005-0000-0000-0000234C0000}"/>
    <cellStyle name="Normal 2 8 2 2 2 2" xfId="19489" xr:uid="{00000000-0005-0000-0000-0000244C0000}"/>
    <cellStyle name="Normal 2 8 2 2 2 2 2" xfId="19490" xr:uid="{00000000-0005-0000-0000-0000254C0000}"/>
    <cellStyle name="Normal 2 8 2 2 2 2 3" xfId="19491" xr:uid="{00000000-0005-0000-0000-0000264C0000}"/>
    <cellStyle name="Normal 2 8 2 2 2 3" xfId="19492" xr:uid="{00000000-0005-0000-0000-0000274C0000}"/>
    <cellStyle name="Normal 2 8 2 2 2 3 2" xfId="19493" xr:uid="{00000000-0005-0000-0000-0000284C0000}"/>
    <cellStyle name="Normal 2 8 2 2 2 3 3" xfId="19494" xr:uid="{00000000-0005-0000-0000-0000294C0000}"/>
    <cellStyle name="Normal 2 8 2 2 2 4" xfId="19495" xr:uid="{00000000-0005-0000-0000-00002A4C0000}"/>
    <cellStyle name="Normal 2 8 2 2 2 5" xfId="19496" xr:uid="{00000000-0005-0000-0000-00002B4C0000}"/>
    <cellStyle name="Normal 2 8 2 2 2 6" xfId="19497" xr:uid="{00000000-0005-0000-0000-00002C4C0000}"/>
    <cellStyle name="Normal 2 8 2 2 3" xfId="19498" xr:uid="{00000000-0005-0000-0000-00002D4C0000}"/>
    <cellStyle name="Normal 2 8 2 2 3 2" xfId="19499" xr:uid="{00000000-0005-0000-0000-00002E4C0000}"/>
    <cellStyle name="Normal 2 8 2 2 3 3" xfId="19500" xr:uid="{00000000-0005-0000-0000-00002F4C0000}"/>
    <cellStyle name="Normal 2 8 2 2 4" xfId="19501" xr:uid="{00000000-0005-0000-0000-0000304C0000}"/>
    <cellStyle name="Normal 2 8 2 2 4 2" xfId="19502" xr:uid="{00000000-0005-0000-0000-0000314C0000}"/>
    <cellStyle name="Normal 2 8 2 2 4 3" xfId="19503" xr:uid="{00000000-0005-0000-0000-0000324C0000}"/>
    <cellStyle name="Normal 2 8 2 2 5" xfId="19504" xr:uid="{00000000-0005-0000-0000-0000334C0000}"/>
    <cellStyle name="Normal 2 8 2 2 5 2" xfId="19505" xr:uid="{00000000-0005-0000-0000-0000344C0000}"/>
    <cellStyle name="Normal 2 8 2 2 5 3" xfId="19506" xr:uid="{00000000-0005-0000-0000-0000354C0000}"/>
    <cellStyle name="Normal 2 8 2 2 6" xfId="19507" xr:uid="{00000000-0005-0000-0000-0000364C0000}"/>
    <cellStyle name="Normal 2 8 2 2 7" xfId="19508" xr:uid="{00000000-0005-0000-0000-0000374C0000}"/>
    <cellStyle name="Normal 2 8 2 2 8" xfId="19509" xr:uid="{00000000-0005-0000-0000-0000384C0000}"/>
    <cellStyle name="Normal 2 8 2 3" xfId="19510" xr:uid="{00000000-0005-0000-0000-0000394C0000}"/>
    <cellStyle name="Normal 2 8 2 3 2" xfId="19511" xr:uid="{00000000-0005-0000-0000-00003A4C0000}"/>
    <cellStyle name="Normal 2 8 2 3 2 2" xfId="19512" xr:uid="{00000000-0005-0000-0000-00003B4C0000}"/>
    <cellStyle name="Normal 2 8 2 3 2 2 2" xfId="19513" xr:uid="{00000000-0005-0000-0000-00003C4C0000}"/>
    <cellStyle name="Normal 2 8 2 3 2 2 3" xfId="19514" xr:uid="{00000000-0005-0000-0000-00003D4C0000}"/>
    <cellStyle name="Normal 2 8 2 3 2 3" xfId="19515" xr:uid="{00000000-0005-0000-0000-00003E4C0000}"/>
    <cellStyle name="Normal 2 8 2 3 2 3 2" xfId="19516" xr:uid="{00000000-0005-0000-0000-00003F4C0000}"/>
    <cellStyle name="Normal 2 8 2 3 2 3 3" xfId="19517" xr:uid="{00000000-0005-0000-0000-0000404C0000}"/>
    <cellStyle name="Normal 2 8 2 3 2 4" xfId="19518" xr:uid="{00000000-0005-0000-0000-0000414C0000}"/>
    <cellStyle name="Normal 2 8 2 3 2 5" xfId="19519" xr:uid="{00000000-0005-0000-0000-0000424C0000}"/>
    <cellStyle name="Normal 2 8 2 3 2 6" xfId="19520" xr:uid="{00000000-0005-0000-0000-0000434C0000}"/>
    <cellStyle name="Normal 2 8 2 3 3" xfId="19521" xr:uid="{00000000-0005-0000-0000-0000444C0000}"/>
    <cellStyle name="Normal 2 8 2 3 3 2" xfId="19522" xr:uid="{00000000-0005-0000-0000-0000454C0000}"/>
    <cellStyle name="Normal 2 8 2 3 3 3" xfId="19523" xr:uid="{00000000-0005-0000-0000-0000464C0000}"/>
    <cellStyle name="Normal 2 8 2 3 4" xfId="19524" xr:uid="{00000000-0005-0000-0000-0000474C0000}"/>
    <cellStyle name="Normal 2 8 2 3 4 2" xfId="19525" xr:uid="{00000000-0005-0000-0000-0000484C0000}"/>
    <cellStyle name="Normal 2 8 2 3 4 3" xfId="19526" xr:uid="{00000000-0005-0000-0000-0000494C0000}"/>
    <cellStyle name="Normal 2 8 2 3 5" xfId="19527" xr:uid="{00000000-0005-0000-0000-00004A4C0000}"/>
    <cellStyle name="Normal 2 8 2 3 5 2" xfId="19528" xr:uid="{00000000-0005-0000-0000-00004B4C0000}"/>
    <cellStyle name="Normal 2 8 2 3 5 3" xfId="19529" xr:uid="{00000000-0005-0000-0000-00004C4C0000}"/>
    <cellStyle name="Normal 2 8 2 3 6" xfId="19530" xr:uid="{00000000-0005-0000-0000-00004D4C0000}"/>
    <cellStyle name="Normal 2 8 2 3 7" xfId="19531" xr:uid="{00000000-0005-0000-0000-00004E4C0000}"/>
    <cellStyle name="Normal 2 8 2 3 8" xfId="19532" xr:uid="{00000000-0005-0000-0000-00004F4C0000}"/>
    <cellStyle name="Normal 2 8 2 4" xfId="19533" xr:uid="{00000000-0005-0000-0000-0000504C0000}"/>
    <cellStyle name="Normal 2 8 2 4 2" xfId="19534" xr:uid="{00000000-0005-0000-0000-0000514C0000}"/>
    <cellStyle name="Normal 2 8 2 4 2 2" xfId="19535" xr:uid="{00000000-0005-0000-0000-0000524C0000}"/>
    <cellStyle name="Normal 2 8 2 4 2 3" xfId="19536" xr:uid="{00000000-0005-0000-0000-0000534C0000}"/>
    <cellStyle name="Normal 2 8 2 4 3" xfId="19537" xr:uid="{00000000-0005-0000-0000-0000544C0000}"/>
    <cellStyle name="Normal 2 8 2 4 3 2" xfId="19538" xr:uid="{00000000-0005-0000-0000-0000554C0000}"/>
    <cellStyle name="Normal 2 8 2 4 3 3" xfId="19539" xr:uid="{00000000-0005-0000-0000-0000564C0000}"/>
    <cellStyle name="Normal 2 8 2 4 4" xfId="19540" xr:uid="{00000000-0005-0000-0000-0000574C0000}"/>
    <cellStyle name="Normal 2 8 2 4 5" xfId="19541" xr:uid="{00000000-0005-0000-0000-0000584C0000}"/>
    <cellStyle name="Normal 2 8 2 4 6" xfId="19542" xr:uid="{00000000-0005-0000-0000-0000594C0000}"/>
    <cellStyle name="Normal 2 8 2 5" xfId="19543" xr:uid="{00000000-0005-0000-0000-00005A4C0000}"/>
    <cellStyle name="Normal 2 8 2 5 2" xfId="19544" xr:uid="{00000000-0005-0000-0000-00005B4C0000}"/>
    <cellStyle name="Normal 2 8 2 5 3" xfId="19545" xr:uid="{00000000-0005-0000-0000-00005C4C0000}"/>
    <cellStyle name="Normal 2 8 2 6" xfId="19546" xr:uid="{00000000-0005-0000-0000-00005D4C0000}"/>
    <cellStyle name="Normal 2 8 2 6 2" xfId="19547" xr:uid="{00000000-0005-0000-0000-00005E4C0000}"/>
    <cellStyle name="Normal 2 8 2 6 3" xfId="19548" xr:uid="{00000000-0005-0000-0000-00005F4C0000}"/>
    <cellStyle name="Normal 2 8 2 7" xfId="19549" xr:uid="{00000000-0005-0000-0000-0000604C0000}"/>
    <cellStyle name="Normal 2 8 2 7 2" xfId="19550" xr:uid="{00000000-0005-0000-0000-0000614C0000}"/>
    <cellStyle name="Normal 2 8 2 7 3" xfId="19551" xr:uid="{00000000-0005-0000-0000-0000624C0000}"/>
    <cellStyle name="Normal 2 8 2 8" xfId="19552" xr:uid="{00000000-0005-0000-0000-0000634C0000}"/>
    <cellStyle name="Normal 2 8 2 9" xfId="19553" xr:uid="{00000000-0005-0000-0000-0000644C0000}"/>
    <cellStyle name="Normal 2 8 3" xfId="19554" xr:uid="{00000000-0005-0000-0000-0000654C0000}"/>
    <cellStyle name="Normal 2 8 3 2" xfId="19555" xr:uid="{00000000-0005-0000-0000-0000664C0000}"/>
    <cellStyle name="Normal 2 8 3 2 2" xfId="19556" xr:uid="{00000000-0005-0000-0000-0000674C0000}"/>
    <cellStyle name="Normal 2 8 3 2 2 2" xfId="19557" xr:uid="{00000000-0005-0000-0000-0000684C0000}"/>
    <cellStyle name="Normal 2 8 3 2 2 3" xfId="19558" xr:uid="{00000000-0005-0000-0000-0000694C0000}"/>
    <cellStyle name="Normal 2 8 3 2 3" xfId="19559" xr:uid="{00000000-0005-0000-0000-00006A4C0000}"/>
    <cellStyle name="Normal 2 8 3 2 3 2" xfId="19560" xr:uid="{00000000-0005-0000-0000-00006B4C0000}"/>
    <cellStyle name="Normal 2 8 3 2 3 3" xfId="19561" xr:uid="{00000000-0005-0000-0000-00006C4C0000}"/>
    <cellStyle name="Normal 2 8 3 2 4" xfId="19562" xr:uid="{00000000-0005-0000-0000-00006D4C0000}"/>
    <cellStyle name="Normal 2 8 3 2 5" xfId="19563" xr:uid="{00000000-0005-0000-0000-00006E4C0000}"/>
    <cellStyle name="Normal 2 8 3 2 6" xfId="19564" xr:uid="{00000000-0005-0000-0000-00006F4C0000}"/>
    <cellStyle name="Normal 2 8 3 3" xfId="19565" xr:uid="{00000000-0005-0000-0000-0000704C0000}"/>
    <cellStyle name="Normal 2 8 3 3 2" xfId="19566" xr:uid="{00000000-0005-0000-0000-0000714C0000}"/>
    <cellStyle name="Normal 2 8 3 3 3" xfId="19567" xr:uid="{00000000-0005-0000-0000-0000724C0000}"/>
    <cellStyle name="Normal 2 8 3 4" xfId="19568" xr:uid="{00000000-0005-0000-0000-0000734C0000}"/>
    <cellStyle name="Normal 2 8 3 4 2" xfId="19569" xr:uid="{00000000-0005-0000-0000-0000744C0000}"/>
    <cellStyle name="Normal 2 8 3 4 3" xfId="19570" xr:uid="{00000000-0005-0000-0000-0000754C0000}"/>
    <cellStyle name="Normal 2 8 3 5" xfId="19571" xr:uid="{00000000-0005-0000-0000-0000764C0000}"/>
    <cellStyle name="Normal 2 8 3 5 2" xfId="19572" xr:uid="{00000000-0005-0000-0000-0000774C0000}"/>
    <cellStyle name="Normal 2 8 3 5 3" xfId="19573" xr:uid="{00000000-0005-0000-0000-0000784C0000}"/>
    <cellStyle name="Normal 2 8 3 6" xfId="19574" xr:uid="{00000000-0005-0000-0000-0000794C0000}"/>
    <cellStyle name="Normal 2 8 3 7" xfId="19575" xr:uid="{00000000-0005-0000-0000-00007A4C0000}"/>
    <cellStyle name="Normal 2 8 3 8" xfId="19576" xr:uid="{00000000-0005-0000-0000-00007B4C0000}"/>
    <cellStyle name="Normal 2 8 4" xfId="19577" xr:uid="{00000000-0005-0000-0000-00007C4C0000}"/>
    <cellStyle name="Normal 2 8 4 2" xfId="19578" xr:uid="{00000000-0005-0000-0000-00007D4C0000}"/>
    <cellStyle name="Normal 2 8 4 2 2" xfId="19579" xr:uid="{00000000-0005-0000-0000-00007E4C0000}"/>
    <cellStyle name="Normal 2 8 4 2 2 2" xfId="19580" xr:uid="{00000000-0005-0000-0000-00007F4C0000}"/>
    <cellStyle name="Normal 2 8 4 2 2 3" xfId="19581" xr:uid="{00000000-0005-0000-0000-0000804C0000}"/>
    <cellStyle name="Normal 2 8 4 2 3" xfId="19582" xr:uid="{00000000-0005-0000-0000-0000814C0000}"/>
    <cellStyle name="Normal 2 8 4 2 3 2" xfId="19583" xr:uid="{00000000-0005-0000-0000-0000824C0000}"/>
    <cellStyle name="Normal 2 8 4 2 3 3" xfId="19584" xr:uid="{00000000-0005-0000-0000-0000834C0000}"/>
    <cellStyle name="Normal 2 8 4 2 4" xfId="19585" xr:uid="{00000000-0005-0000-0000-0000844C0000}"/>
    <cellStyle name="Normal 2 8 4 2 5" xfId="19586" xr:uid="{00000000-0005-0000-0000-0000854C0000}"/>
    <cellStyle name="Normal 2 8 4 2 6" xfId="19587" xr:uid="{00000000-0005-0000-0000-0000864C0000}"/>
    <cellStyle name="Normal 2 8 4 3" xfId="19588" xr:uid="{00000000-0005-0000-0000-0000874C0000}"/>
    <cellStyle name="Normal 2 8 4 3 2" xfId="19589" xr:uid="{00000000-0005-0000-0000-0000884C0000}"/>
    <cellStyle name="Normal 2 8 4 3 3" xfId="19590" xr:uid="{00000000-0005-0000-0000-0000894C0000}"/>
    <cellStyle name="Normal 2 8 4 4" xfId="19591" xr:uid="{00000000-0005-0000-0000-00008A4C0000}"/>
    <cellStyle name="Normal 2 8 4 4 2" xfId="19592" xr:uid="{00000000-0005-0000-0000-00008B4C0000}"/>
    <cellStyle name="Normal 2 8 4 4 3" xfId="19593" xr:uid="{00000000-0005-0000-0000-00008C4C0000}"/>
    <cellStyle name="Normal 2 8 4 5" xfId="19594" xr:uid="{00000000-0005-0000-0000-00008D4C0000}"/>
    <cellStyle name="Normal 2 8 4 5 2" xfId="19595" xr:uid="{00000000-0005-0000-0000-00008E4C0000}"/>
    <cellStyle name="Normal 2 8 4 5 3" xfId="19596" xr:uid="{00000000-0005-0000-0000-00008F4C0000}"/>
    <cellStyle name="Normal 2 8 4 6" xfId="19597" xr:uid="{00000000-0005-0000-0000-0000904C0000}"/>
    <cellStyle name="Normal 2 8 4 7" xfId="19598" xr:uid="{00000000-0005-0000-0000-0000914C0000}"/>
    <cellStyle name="Normal 2 8 4 8" xfId="19599" xr:uid="{00000000-0005-0000-0000-0000924C0000}"/>
    <cellStyle name="Normal 2 8 5" xfId="19600" xr:uid="{00000000-0005-0000-0000-0000934C0000}"/>
    <cellStyle name="Normal 2 8 5 2" xfId="19601" xr:uid="{00000000-0005-0000-0000-0000944C0000}"/>
    <cellStyle name="Normal 2 8 5 2 2" xfId="19602" xr:uid="{00000000-0005-0000-0000-0000954C0000}"/>
    <cellStyle name="Normal 2 8 5 2 2 2" xfId="19603" xr:uid="{00000000-0005-0000-0000-0000964C0000}"/>
    <cellStyle name="Normal 2 8 5 2 2 3" xfId="19604" xr:uid="{00000000-0005-0000-0000-0000974C0000}"/>
    <cellStyle name="Normal 2 8 5 2 3" xfId="19605" xr:uid="{00000000-0005-0000-0000-0000984C0000}"/>
    <cellStyle name="Normal 2 8 5 2 3 2" xfId="19606" xr:uid="{00000000-0005-0000-0000-0000994C0000}"/>
    <cellStyle name="Normal 2 8 5 2 3 3" xfId="19607" xr:uid="{00000000-0005-0000-0000-00009A4C0000}"/>
    <cellStyle name="Normal 2 8 5 2 4" xfId="19608" xr:uid="{00000000-0005-0000-0000-00009B4C0000}"/>
    <cellStyle name="Normal 2 8 5 2 5" xfId="19609" xr:uid="{00000000-0005-0000-0000-00009C4C0000}"/>
    <cellStyle name="Normal 2 8 5 2 6" xfId="19610" xr:uid="{00000000-0005-0000-0000-00009D4C0000}"/>
    <cellStyle name="Normal 2 8 5 3" xfId="19611" xr:uid="{00000000-0005-0000-0000-00009E4C0000}"/>
    <cellStyle name="Normal 2 8 5 3 2" xfId="19612" xr:uid="{00000000-0005-0000-0000-00009F4C0000}"/>
    <cellStyle name="Normal 2 8 5 3 3" xfId="19613" xr:uid="{00000000-0005-0000-0000-0000A04C0000}"/>
    <cellStyle name="Normal 2 8 5 4" xfId="19614" xr:uid="{00000000-0005-0000-0000-0000A14C0000}"/>
    <cellStyle name="Normal 2 8 5 4 2" xfId="19615" xr:uid="{00000000-0005-0000-0000-0000A24C0000}"/>
    <cellStyle name="Normal 2 8 5 4 3" xfId="19616" xr:uid="{00000000-0005-0000-0000-0000A34C0000}"/>
    <cellStyle name="Normal 2 8 5 5" xfId="19617" xr:uid="{00000000-0005-0000-0000-0000A44C0000}"/>
    <cellStyle name="Normal 2 8 5 5 2" xfId="19618" xr:uid="{00000000-0005-0000-0000-0000A54C0000}"/>
    <cellStyle name="Normal 2 8 5 5 3" xfId="19619" xr:uid="{00000000-0005-0000-0000-0000A64C0000}"/>
    <cellStyle name="Normal 2 8 5 6" xfId="19620" xr:uid="{00000000-0005-0000-0000-0000A74C0000}"/>
    <cellStyle name="Normal 2 8 5 7" xfId="19621" xr:uid="{00000000-0005-0000-0000-0000A84C0000}"/>
    <cellStyle name="Normal 2 8 5 8" xfId="19622" xr:uid="{00000000-0005-0000-0000-0000A94C0000}"/>
    <cellStyle name="Normal 2 8 6" xfId="19623" xr:uid="{00000000-0005-0000-0000-0000AA4C0000}"/>
    <cellStyle name="Normal 2 8 6 2" xfId="19624" xr:uid="{00000000-0005-0000-0000-0000AB4C0000}"/>
    <cellStyle name="Normal 2 8 6 2 2" xfId="19625" xr:uid="{00000000-0005-0000-0000-0000AC4C0000}"/>
    <cellStyle name="Normal 2 8 6 2 3" xfId="19626" xr:uid="{00000000-0005-0000-0000-0000AD4C0000}"/>
    <cellStyle name="Normal 2 8 6 3" xfId="19627" xr:uid="{00000000-0005-0000-0000-0000AE4C0000}"/>
    <cellStyle name="Normal 2 8 6 3 2" xfId="19628" xr:uid="{00000000-0005-0000-0000-0000AF4C0000}"/>
    <cellStyle name="Normal 2 8 6 3 3" xfId="19629" xr:uid="{00000000-0005-0000-0000-0000B04C0000}"/>
    <cellStyle name="Normal 2 8 6 4" xfId="19630" xr:uid="{00000000-0005-0000-0000-0000B14C0000}"/>
    <cellStyle name="Normal 2 8 6 5" xfId="19631" xr:uid="{00000000-0005-0000-0000-0000B24C0000}"/>
    <cellStyle name="Normal 2 8 6 6" xfId="19632" xr:uid="{00000000-0005-0000-0000-0000B34C0000}"/>
    <cellStyle name="Normal 2 8 7" xfId="19633" xr:uid="{00000000-0005-0000-0000-0000B44C0000}"/>
    <cellStyle name="Normal 2 8 7 2" xfId="19634" xr:uid="{00000000-0005-0000-0000-0000B54C0000}"/>
    <cellStyle name="Normal 2 8 7 3" xfId="19635" xr:uid="{00000000-0005-0000-0000-0000B64C0000}"/>
    <cellStyle name="Normal 2 8 8" xfId="19636" xr:uid="{00000000-0005-0000-0000-0000B74C0000}"/>
    <cellStyle name="Normal 2 8 8 2" xfId="19637" xr:uid="{00000000-0005-0000-0000-0000B84C0000}"/>
    <cellStyle name="Normal 2 8 8 3" xfId="19638" xr:uid="{00000000-0005-0000-0000-0000B94C0000}"/>
    <cellStyle name="Normal 2 8 9" xfId="19639" xr:uid="{00000000-0005-0000-0000-0000BA4C0000}"/>
    <cellStyle name="Normal 2 8 9 2" xfId="19640" xr:uid="{00000000-0005-0000-0000-0000BB4C0000}"/>
    <cellStyle name="Normal 2 8 9 3" xfId="19641" xr:uid="{00000000-0005-0000-0000-0000BC4C0000}"/>
    <cellStyle name="Normal 2 80" xfId="19642" xr:uid="{00000000-0005-0000-0000-0000BD4C0000}"/>
    <cellStyle name="Normal 2 80 2" xfId="19643" xr:uid="{00000000-0005-0000-0000-0000BE4C0000}"/>
    <cellStyle name="Normal 2 80 2 2" xfId="19644" xr:uid="{00000000-0005-0000-0000-0000BF4C0000}"/>
    <cellStyle name="Normal 2 80 2 2 2" xfId="19645" xr:uid="{00000000-0005-0000-0000-0000C04C0000}"/>
    <cellStyle name="Normal 2 80 2 2 3" xfId="19646" xr:uid="{00000000-0005-0000-0000-0000C14C0000}"/>
    <cellStyle name="Normal 2 80 2 3" xfId="19647" xr:uid="{00000000-0005-0000-0000-0000C24C0000}"/>
    <cellStyle name="Normal 2 80 2 3 2" xfId="19648" xr:uid="{00000000-0005-0000-0000-0000C34C0000}"/>
    <cellStyle name="Normal 2 80 2 3 3" xfId="19649" xr:uid="{00000000-0005-0000-0000-0000C44C0000}"/>
    <cellStyle name="Normal 2 80 2 4" xfId="19650" xr:uid="{00000000-0005-0000-0000-0000C54C0000}"/>
    <cellStyle name="Normal 2 80 2 5" xfId="19651" xr:uid="{00000000-0005-0000-0000-0000C64C0000}"/>
    <cellStyle name="Normal 2 80 2 6" xfId="19652" xr:uid="{00000000-0005-0000-0000-0000C74C0000}"/>
    <cellStyle name="Normal 2 80 3" xfId="19653" xr:uid="{00000000-0005-0000-0000-0000C84C0000}"/>
    <cellStyle name="Normal 2 80 3 2" xfId="19654" xr:uid="{00000000-0005-0000-0000-0000C94C0000}"/>
    <cellStyle name="Normal 2 80 3 3" xfId="19655" xr:uid="{00000000-0005-0000-0000-0000CA4C0000}"/>
    <cellStyle name="Normal 2 80 4" xfId="19656" xr:uid="{00000000-0005-0000-0000-0000CB4C0000}"/>
    <cellStyle name="Normal 2 80 4 2" xfId="19657" xr:uid="{00000000-0005-0000-0000-0000CC4C0000}"/>
    <cellStyle name="Normal 2 80 4 3" xfId="19658" xr:uid="{00000000-0005-0000-0000-0000CD4C0000}"/>
    <cellStyle name="Normal 2 80 5" xfId="19659" xr:uid="{00000000-0005-0000-0000-0000CE4C0000}"/>
    <cellStyle name="Normal 2 80 6" xfId="19660" xr:uid="{00000000-0005-0000-0000-0000CF4C0000}"/>
    <cellStyle name="Normal 2 80 7" xfId="19661" xr:uid="{00000000-0005-0000-0000-0000D04C0000}"/>
    <cellStyle name="Normal 2 81" xfId="19662" xr:uid="{00000000-0005-0000-0000-0000D14C0000}"/>
    <cellStyle name="Normal 2 81 2" xfId="19663" xr:uid="{00000000-0005-0000-0000-0000D24C0000}"/>
    <cellStyle name="Normal 2 81 2 2" xfId="19664" xr:uid="{00000000-0005-0000-0000-0000D34C0000}"/>
    <cellStyle name="Normal 2 81 2 2 2" xfId="19665" xr:uid="{00000000-0005-0000-0000-0000D44C0000}"/>
    <cellStyle name="Normal 2 81 2 2 3" xfId="19666" xr:uid="{00000000-0005-0000-0000-0000D54C0000}"/>
    <cellStyle name="Normal 2 81 2 3" xfId="19667" xr:uid="{00000000-0005-0000-0000-0000D64C0000}"/>
    <cellStyle name="Normal 2 81 2 3 2" xfId="19668" xr:uid="{00000000-0005-0000-0000-0000D74C0000}"/>
    <cellStyle name="Normal 2 81 2 3 3" xfId="19669" xr:uid="{00000000-0005-0000-0000-0000D84C0000}"/>
    <cellStyle name="Normal 2 81 2 4" xfId="19670" xr:uid="{00000000-0005-0000-0000-0000D94C0000}"/>
    <cellStyle name="Normal 2 81 2 5" xfId="19671" xr:uid="{00000000-0005-0000-0000-0000DA4C0000}"/>
    <cellStyle name="Normal 2 81 2 6" xfId="19672" xr:uid="{00000000-0005-0000-0000-0000DB4C0000}"/>
    <cellStyle name="Normal 2 81 3" xfId="19673" xr:uid="{00000000-0005-0000-0000-0000DC4C0000}"/>
    <cellStyle name="Normal 2 81 3 2" xfId="19674" xr:uid="{00000000-0005-0000-0000-0000DD4C0000}"/>
    <cellStyle name="Normal 2 81 3 3" xfId="19675" xr:uid="{00000000-0005-0000-0000-0000DE4C0000}"/>
    <cellStyle name="Normal 2 81 4" xfId="19676" xr:uid="{00000000-0005-0000-0000-0000DF4C0000}"/>
    <cellStyle name="Normal 2 81 4 2" xfId="19677" xr:uid="{00000000-0005-0000-0000-0000E04C0000}"/>
    <cellStyle name="Normal 2 81 4 3" xfId="19678" xr:uid="{00000000-0005-0000-0000-0000E14C0000}"/>
    <cellStyle name="Normal 2 81 5" xfId="19679" xr:uid="{00000000-0005-0000-0000-0000E24C0000}"/>
    <cellStyle name="Normal 2 81 6" xfId="19680" xr:uid="{00000000-0005-0000-0000-0000E34C0000}"/>
    <cellStyle name="Normal 2 81 7" xfId="19681" xr:uid="{00000000-0005-0000-0000-0000E44C0000}"/>
    <cellStyle name="Normal 2 82" xfId="19682" xr:uid="{00000000-0005-0000-0000-0000E54C0000}"/>
    <cellStyle name="Normal 2 82 2" xfId="19683" xr:uid="{00000000-0005-0000-0000-0000E64C0000}"/>
    <cellStyle name="Normal 2 82 2 2" xfId="19684" xr:uid="{00000000-0005-0000-0000-0000E74C0000}"/>
    <cellStyle name="Normal 2 82 2 2 2" xfId="19685" xr:uid="{00000000-0005-0000-0000-0000E84C0000}"/>
    <cellStyle name="Normal 2 82 2 2 3" xfId="19686" xr:uid="{00000000-0005-0000-0000-0000E94C0000}"/>
    <cellStyle name="Normal 2 82 2 3" xfId="19687" xr:uid="{00000000-0005-0000-0000-0000EA4C0000}"/>
    <cellStyle name="Normal 2 82 2 3 2" xfId="19688" xr:uid="{00000000-0005-0000-0000-0000EB4C0000}"/>
    <cellStyle name="Normal 2 82 2 3 3" xfId="19689" xr:uid="{00000000-0005-0000-0000-0000EC4C0000}"/>
    <cellStyle name="Normal 2 82 2 4" xfId="19690" xr:uid="{00000000-0005-0000-0000-0000ED4C0000}"/>
    <cellStyle name="Normal 2 82 2 5" xfId="19691" xr:uid="{00000000-0005-0000-0000-0000EE4C0000}"/>
    <cellStyle name="Normal 2 82 2 6" xfId="19692" xr:uid="{00000000-0005-0000-0000-0000EF4C0000}"/>
    <cellStyle name="Normal 2 82 3" xfId="19693" xr:uid="{00000000-0005-0000-0000-0000F04C0000}"/>
    <cellStyle name="Normal 2 82 3 2" xfId="19694" xr:uid="{00000000-0005-0000-0000-0000F14C0000}"/>
    <cellStyle name="Normal 2 82 3 3" xfId="19695" xr:uid="{00000000-0005-0000-0000-0000F24C0000}"/>
    <cellStyle name="Normal 2 82 4" xfId="19696" xr:uid="{00000000-0005-0000-0000-0000F34C0000}"/>
    <cellStyle name="Normal 2 82 4 2" xfId="19697" xr:uid="{00000000-0005-0000-0000-0000F44C0000}"/>
    <cellStyle name="Normal 2 82 4 3" xfId="19698" xr:uid="{00000000-0005-0000-0000-0000F54C0000}"/>
    <cellStyle name="Normal 2 82 5" xfId="19699" xr:uid="{00000000-0005-0000-0000-0000F64C0000}"/>
    <cellStyle name="Normal 2 82 6" xfId="19700" xr:uid="{00000000-0005-0000-0000-0000F74C0000}"/>
    <cellStyle name="Normal 2 82 7" xfId="19701" xr:uid="{00000000-0005-0000-0000-0000F84C0000}"/>
    <cellStyle name="Normal 2 83" xfId="19702" xr:uid="{00000000-0005-0000-0000-0000F94C0000}"/>
    <cellStyle name="Normal 2 83 2" xfId="19703" xr:uid="{00000000-0005-0000-0000-0000FA4C0000}"/>
    <cellStyle name="Normal 2 83 2 2" xfId="19704" xr:uid="{00000000-0005-0000-0000-0000FB4C0000}"/>
    <cellStyle name="Normal 2 83 2 2 2" xfId="19705" xr:uid="{00000000-0005-0000-0000-0000FC4C0000}"/>
    <cellStyle name="Normal 2 83 2 2 3" xfId="19706" xr:uid="{00000000-0005-0000-0000-0000FD4C0000}"/>
    <cellStyle name="Normal 2 83 2 3" xfId="19707" xr:uid="{00000000-0005-0000-0000-0000FE4C0000}"/>
    <cellStyle name="Normal 2 83 2 3 2" xfId="19708" xr:uid="{00000000-0005-0000-0000-0000FF4C0000}"/>
    <cellStyle name="Normal 2 83 2 3 3" xfId="19709" xr:uid="{00000000-0005-0000-0000-0000004D0000}"/>
    <cellStyle name="Normal 2 83 2 4" xfId="19710" xr:uid="{00000000-0005-0000-0000-0000014D0000}"/>
    <cellStyle name="Normal 2 83 2 5" xfId="19711" xr:uid="{00000000-0005-0000-0000-0000024D0000}"/>
    <cellStyle name="Normal 2 83 2 6" xfId="19712" xr:uid="{00000000-0005-0000-0000-0000034D0000}"/>
    <cellStyle name="Normal 2 83 3" xfId="19713" xr:uid="{00000000-0005-0000-0000-0000044D0000}"/>
    <cellStyle name="Normal 2 83 3 2" xfId="19714" xr:uid="{00000000-0005-0000-0000-0000054D0000}"/>
    <cellStyle name="Normal 2 83 3 3" xfId="19715" xr:uid="{00000000-0005-0000-0000-0000064D0000}"/>
    <cellStyle name="Normal 2 83 4" xfId="19716" xr:uid="{00000000-0005-0000-0000-0000074D0000}"/>
    <cellStyle name="Normal 2 83 4 2" xfId="19717" xr:uid="{00000000-0005-0000-0000-0000084D0000}"/>
    <cellStyle name="Normal 2 83 4 3" xfId="19718" xr:uid="{00000000-0005-0000-0000-0000094D0000}"/>
    <cellStyle name="Normal 2 83 5" xfId="19719" xr:uid="{00000000-0005-0000-0000-00000A4D0000}"/>
    <cellStyle name="Normal 2 83 6" xfId="19720" xr:uid="{00000000-0005-0000-0000-00000B4D0000}"/>
    <cellStyle name="Normal 2 83 7" xfId="19721" xr:uid="{00000000-0005-0000-0000-00000C4D0000}"/>
    <cellStyle name="Normal 2 84" xfId="19722" xr:uid="{00000000-0005-0000-0000-00000D4D0000}"/>
    <cellStyle name="Normal 2 84 2" xfId="19723" xr:uid="{00000000-0005-0000-0000-00000E4D0000}"/>
    <cellStyle name="Normal 2 84 2 2" xfId="19724" xr:uid="{00000000-0005-0000-0000-00000F4D0000}"/>
    <cellStyle name="Normal 2 84 2 2 2" xfId="19725" xr:uid="{00000000-0005-0000-0000-0000104D0000}"/>
    <cellStyle name="Normal 2 84 2 2 3" xfId="19726" xr:uid="{00000000-0005-0000-0000-0000114D0000}"/>
    <cellStyle name="Normal 2 84 2 3" xfId="19727" xr:uid="{00000000-0005-0000-0000-0000124D0000}"/>
    <cellStyle name="Normal 2 84 2 3 2" xfId="19728" xr:uid="{00000000-0005-0000-0000-0000134D0000}"/>
    <cellStyle name="Normal 2 84 2 3 3" xfId="19729" xr:uid="{00000000-0005-0000-0000-0000144D0000}"/>
    <cellStyle name="Normal 2 84 2 4" xfId="19730" xr:uid="{00000000-0005-0000-0000-0000154D0000}"/>
    <cellStyle name="Normal 2 84 2 5" xfId="19731" xr:uid="{00000000-0005-0000-0000-0000164D0000}"/>
    <cellStyle name="Normal 2 84 2 6" xfId="19732" xr:uid="{00000000-0005-0000-0000-0000174D0000}"/>
    <cellStyle name="Normal 2 84 3" xfId="19733" xr:uid="{00000000-0005-0000-0000-0000184D0000}"/>
    <cellStyle name="Normal 2 84 3 2" xfId="19734" xr:uid="{00000000-0005-0000-0000-0000194D0000}"/>
    <cellStyle name="Normal 2 84 3 3" xfId="19735" xr:uid="{00000000-0005-0000-0000-00001A4D0000}"/>
    <cellStyle name="Normal 2 84 4" xfId="19736" xr:uid="{00000000-0005-0000-0000-00001B4D0000}"/>
    <cellStyle name="Normal 2 84 4 2" xfId="19737" xr:uid="{00000000-0005-0000-0000-00001C4D0000}"/>
    <cellStyle name="Normal 2 84 4 3" xfId="19738" xr:uid="{00000000-0005-0000-0000-00001D4D0000}"/>
    <cellStyle name="Normal 2 84 5" xfId="19739" xr:uid="{00000000-0005-0000-0000-00001E4D0000}"/>
    <cellStyle name="Normal 2 84 6" xfId="19740" xr:uid="{00000000-0005-0000-0000-00001F4D0000}"/>
    <cellStyle name="Normal 2 84 7" xfId="19741" xr:uid="{00000000-0005-0000-0000-0000204D0000}"/>
    <cellStyle name="Normal 2 85" xfId="19742" xr:uid="{00000000-0005-0000-0000-0000214D0000}"/>
    <cellStyle name="Normal 2 85 2" xfId="19743" xr:uid="{00000000-0005-0000-0000-0000224D0000}"/>
    <cellStyle name="Normal 2 85 2 2" xfId="19744" xr:uid="{00000000-0005-0000-0000-0000234D0000}"/>
    <cellStyle name="Normal 2 85 2 2 2" xfId="19745" xr:uid="{00000000-0005-0000-0000-0000244D0000}"/>
    <cellStyle name="Normal 2 85 2 2 3" xfId="19746" xr:uid="{00000000-0005-0000-0000-0000254D0000}"/>
    <cellStyle name="Normal 2 85 2 3" xfId="19747" xr:uid="{00000000-0005-0000-0000-0000264D0000}"/>
    <cellStyle name="Normal 2 85 2 3 2" xfId="19748" xr:uid="{00000000-0005-0000-0000-0000274D0000}"/>
    <cellStyle name="Normal 2 85 2 3 3" xfId="19749" xr:uid="{00000000-0005-0000-0000-0000284D0000}"/>
    <cellStyle name="Normal 2 85 2 4" xfId="19750" xr:uid="{00000000-0005-0000-0000-0000294D0000}"/>
    <cellStyle name="Normal 2 85 2 5" xfId="19751" xr:uid="{00000000-0005-0000-0000-00002A4D0000}"/>
    <cellStyle name="Normal 2 85 2 6" xfId="19752" xr:uid="{00000000-0005-0000-0000-00002B4D0000}"/>
    <cellStyle name="Normal 2 85 3" xfId="19753" xr:uid="{00000000-0005-0000-0000-00002C4D0000}"/>
    <cellStyle name="Normal 2 85 3 2" xfId="19754" xr:uid="{00000000-0005-0000-0000-00002D4D0000}"/>
    <cellStyle name="Normal 2 85 3 3" xfId="19755" xr:uid="{00000000-0005-0000-0000-00002E4D0000}"/>
    <cellStyle name="Normal 2 85 4" xfId="19756" xr:uid="{00000000-0005-0000-0000-00002F4D0000}"/>
    <cellStyle name="Normal 2 85 4 2" xfId="19757" xr:uid="{00000000-0005-0000-0000-0000304D0000}"/>
    <cellStyle name="Normal 2 85 4 3" xfId="19758" xr:uid="{00000000-0005-0000-0000-0000314D0000}"/>
    <cellStyle name="Normal 2 85 5" xfId="19759" xr:uid="{00000000-0005-0000-0000-0000324D0000}"/>
    <cellStyle name="Normal 2 85 6" xfId="19760" xr:uid="{00000000-0005-0000-0000-0000334D0000}"/>
    <cellStyle name="Normal 2 85 7" xfId="19761" xr:uid="{00000000-0005-0000-0000-0000344D0000}"/>
    <cellStyle name="Normal 2 86" xfId="19762" xr:uid="{00000000-0005-0000-0000-0000354D0000}"/>
    <cellStyle name="Normal 2 86 2" xfId="19763" xr:uid="{00000000-0005-0000-0000-0000364D0000}"/>
    <cellStyle name="Normal 2 86 2 2" xfId="19764" xr:uid="{00000000-0005-0000-0000-0000374D0000}"/>
    <cellStyle name="Normal 2 86 2 2 2" xfId="19765" xr:uid="{00000000-0005-0000-0000-0000384D0000}"/>
    <cellStyle name="Normal 2 86 2 2 3" xfId="19766" xr:uid="{00000000-0005-0000-0000-0000394D0000}"/>
    <cellStyle name="Normal 2 86 2 3" xfId="19767" xr:uid="{00000000-0005-0000-0000-00003A4D0000}"/>
    <cellStyle name="Normal 2 86 2 3 2" xfId="19768" xr:uid="{00000000-0005-0000-0000-00003B4D0000}"/>
    <cellStyle name="Normal 2 86 2 3 3" xfId="19769" xr:uid="{00000000-0005-0000-0000-00003C4D0000}"/>
    <cellStyle name="Normal 2 86 2 4" xfId="19770" xr:uid="{00000000-0005-0000-0000-00003D4D0000}"/>
    <cellStyle name="Normal 2 86 2 5" xfId="19771" xr:uid="{00000000-0005-0000-0000-00003E4D0000}"/>
    <cellStyle name="Normal 2 86 2 6" xfId="19772" xr:uid="{00000000-0005-0000-0000-00003F4D0000}"/>
    <cellStyle name="Normal 2 86 3" xfId="19773" xr:uid="{00000000-0005-0000-0000-0000404D0000}"/>
    <cellStyle name="Normal 2 86 3 2" xfId="19774" xr:uid="{00000000-0005-0000-0000-0000414D0000}"/>
    <cellStyle name="Normal 2 86 3 3" xfId="19775" xr:uid="{00000000-0005-0000-0000-0000424D0000}"/>
    <cellStyle name="Normal 2 86 4" xfId="19776" xr:uid="{00000000-0005-0000-0000-0000434D0000}"/>
    <cellStyle name="Normal 2 86 4 2" xfId="19777" xr:uid="{00000000-0005-0000-0000-0000444D0000}"/>
    <cellStyle name="Normal 2 86 4 3" xfId="19778" xr:uid="{00000000-0005-0000-0000-0000454D0000}"/>
    <cellStyle name="Normal 2 86 5" xfId="19779" xr:uid="{00000000-0005-0000-0000-0000464D0000}"/>
    <cellStyle name="Normal 2 86 6" xfId="19780" xr:uid="{00000000-0005-0000-0000-0000474D0000}"/>
    <cellStyle name="Normal 2 86 7" xfId="19781" xr:uid="{00000000-0005-0000-0000-0000484D0000}"/>
    <cellStyle name="Normal 2 87" xfId="19782" xr:uid="{00000000-0005-0000-0000-0000494D0000}"/>
    <cellStyle name="Normal 2 87 2" xfId="19783" xr:uid="{00000000-0005-0000-0000-00004A4D0000}"/>
    <cellStyle name="Normal 2 87 2 2" xfId="19784" xr:uid="{00000000-0005-0000-0000-00004B4D0000}"/>
    <cellStyle name="Normal 2 87 2 2 2" xfId="19785" xr:uid="{00000000-0005-0000-0000-00004C4D0000}"/>
    <cellStyle name="Normal 2 87 2 2 3" xfId="19786" xr:uid="{00000000-0005-0000-0000-00004D4D0000}"/>
    <cellStyle name="Normal 2 87 2 3" xfId="19787" xr:uid="{00000000-0005-0000-0000-00004E4D0000}"/>
    <cellStyle name="Normal 2 87 2 3 2" xfId="19788" xr:uid="{00000000-0005-0000-0000-00004F4D0000}"/>
    <cellStyle name="Normal 2 87 2 3 3" xfId="19789" xr:uid="{00000000-0005-0000-0000-0000504D0000}"/>
    <cellStyle name="Normal 2 87 2 4" xfId="19790" xr:uid="{00000000-0005-0000-0000-0000514D0000}"/>
    <cellStyle name="Normal 2 87 2 5" xfId="19791" xr:uid="{00000000-0005-0000-0000-0000524D0000}"/>
    <cellStyle name="Normal 2 87 2 6" xfId="19792" xr:uid="{00000000-0005-0000-0000-0000534D0000}"/>
    <cellStyle name="Normal 2 87 3" xfId="19793" xr:uid="{00000000-0005-0000-0000-0000544D0000}"/>
    <cellStyle name="Normal 2 87 3 2" xfId="19794" xr:uid="{00000000-0005-0000-0000-0000554D0000}"/>
    <cellStyle name="Normal 2 87 3 3" xfId="19795" xr:uid="{00000000-0005-0000-0000-0000564D0000}"/>
    <cellStyle name="Normal 2 87 4" xfId="19796" xr:uid="{00000000-0005-0000-0000-0000574D0000}"/>
    <cellStyle name="Normal 2 87 4 2" xfId="19797" xr:uid="{00000000-0005-0000-0000-0000584D0000}"/>
    <cellStyle name="Normal 2 87 4 3" xfId="19798" xr:uid="{00000000-0005-0000-0000-0000594D0000}"/>
    <cellStyle name="Normal 2 87 5" xfId="19799" xr:uid="{00000000-0005-0000-0000-00005A4D0000}"/>
    <cellStyle name="Normal 2 87 6" xfId="19800" xr:uid="{00000000-0005-0000-0000-00005B4D0000}"/>
    <cellStyle name="Normal 2 87 7" xfId="19801" xr:uid="{00000000-0005-0000-0000-00005C4D0000}"/>
    <cellStyle name="Normal 2 88" xfId="19802" xr:uid="{00000000-0005-0000-0000-00005D4D0000}"/>
    <cellStyle name="Normal 2 88 2" xfId="19803" xr:uid="{00000000-0005-0000-0000-00005E4D0000}"/>
    <cellStyle name="Normal 2 88 2 2" xfId="19804" xr:uid="{00000000-0005-0000-0000-00005F4D0000}"/>
    <cellStyle name="Normal 2 88 2 2 2" xfId="19805" xr:uid="{00000000-0005-0000-0000-0000604D0000}"/>
    <cellStyle name="Normal 2 88 2 2 3" xfId="19806" xr:uid="{00000000-0005-0000-0000-0000614D0000}"/>
    <cellStyle name="Normal 2 88 2 3" xfId="19807" xr:uid="{00000000-0005-0000-0000-0000624D0000}"/>
    <cellStyle name="Normal 2 88 2 3 2" xfId="19808" xr:uid="{00000000-0005-0000-0000-0000634D0000}"/>
    <cellStyle name="Normal 2 88 2 3 3" xfId="19809" xr:uid="{00000000-0005-0000-0000-0000644D0000}"/>
    <cellStyle name="Normal 2 88 2 4" xfId="19810" xr:uid="{00000000-0005-0000-0000-0000654D0000}"/>
    <cellStyle name="Normal 2 88 2 5" xfId="19811" xr:uid="{00000000-0005-0000-0000-0000664D0000}"/>
    <cellStyle name="Normal 2 88 2 6" xfId="19812" xr:uid="{00000000-0005-0000-0000-0000674D0000}"/>
    <cellStyle name="Normal 2 88 3" xfId="19813" xr:uid="{00000000-0005-0000-0000-0000684D0000}"/>
    <cellStyle name="Normal 2 88 3 2" xfId="19814" xr:uid="{00000000-0005-0000-0000-0000694D0000}"/>
    <cellStyle name="Normal 2 88 3 3" xfId="19815" xr:uid="{00000000-0005-0000-0000-00006A4D0000}"/>
    <cellStyle name="Normal 2 88 4" xfId="19816" xr:uid="{00000000-0005-0000-0000-00006B4D0000}"/>
    <cellStyle name="Normal 2 88 4 2" xfId="19817" xr:uid="{00000000-0005-0000-0000-00006C4D0000}"/>
    <cellStyle name="Normal 2 88 4 3" xfId="19818" xr:uid="{00000000-0005-0000-0000-00006D4D0000}"/>
    <cellStyle name="Normal 2 88 5" xfId="19819" xr:uid="{00000000-0005-0000-0000-00006E4D0000}"/>
    <cellStyle name="Normal 2 88 6" xfId="19820" xr:uid="{00000000-0005-0000-0000-00006F4D0000}"/>
    <cellStyle name="Normal 2 88 7" xfId="19821" xr:uid="{00000000-0005-0000-0000-0000704D0000}"/>
    <cellStyle name="Normal 2 89" xfId="19822" xr:uid="{00000000-0005-0000-0000-0000714D0000}"/>
    <cellStyle name="Normal 2 89 2" xfId="19823" xr:uid="{00000000-0005-0000-0000-0000724D0000}"/>
    <cellStyle name="Normal 2 89 2 2" xfId="19824" xr:uid="{00000000-0005-0000-0000-0000734D0000}"/>
    <cellStyle name="Normal 2 89 2 2 2" xfId="19825" xr:uid="{00000000-0005-0000-0000-0000744D0000}"/>
    <cellStyle name="Normal 2 89 2 2 3" xfId="19826" xr:uid="{00000000-0005-0000-0000-0000754D0000}"/>
    <cellStyle name="Normal 2 89 2 3" xfId="19827" xr:uid="{00000000-0005-0000-0000-0000764D0000}"/>
    <cellStyle name="Normal 2 89 2 3 2" xfId="19828" xr:uid="{00000000-0005-0000-0000-0000774D0000}"/>
    <cellStyle name="Normal 2 89 2 3 3" xfId="19829" xr:uid="{00000000-0005-0000-0000-0000784D0000}"/>
    <cellStyle name="Normal 2 89 2 4" xfId="19830" xr:uid="{00000000-0005-0000-0000-0000794D0000}"/>
    <cellStyle name="Normal 2 89 2 5" xfId="19831" xr:uid="{00000000-0005-0000-0000-00007A4D0000}"/>
    <cellStyle name="Normal 2 89 2 6" xfId="19832" xr:uid="{00000000-0005-0000-0000-00007B4D0000}"/>
    <cellStyle name="Normal 2 89 3" xfId="19833" xr:uid="{00000000-0005-0000-0000-00007C4D0000}"/>
    <cellStyle name="Normal 2 89 3 2" xfId="19834" xr:uid="{00000000-0005-0000-0000-00007D4D0000}"/>
    <cellStyle name="Normal 2 89 3 3" xfId="19835" xr:uid="{00000000-0005-0000-0000-00007E4D0000}"/>
    <cellStyle name="Normal 2 89 4" xfId="19836" xr:uid="{00000000-0005-0000-0000-00007F4D0000}"/>
    <cellStyle name="Normal 2 89 4 2" xfId="19837" xr:uid="{00000000-0005-0000-0000-0000804D0000}"/>
    <cellStyle name="Normal 2 89 4 3" xfId="19838" xr:uid="{00000000-0005-0000-0000-0000814D0000}"/>
    <cellStyle name="Normal 2 89 5" xfId="19839" xr:uid="{00000000-0005-0000-0000-0000824D0000}"/>
    <cellStyle name="Normal 2 89 6" xfId="19840" xr:uid="{00000000-0005-0000-0000-0000834D0000}"/>
    <cellStyle name="Normal 2 89 7" xfId="19841" xr:uid="{00000000-0005-0000-0000-0000844D0000}"/>
    <cellStyle name="Normal 2 9" xfId="19842" xr:uid="{00000000-0005-0000-0000-0000854D0000}"/>
    <cellStyle name="Normal 2 9 10" xfId="19843" xr:uid="{00000000-0005-0000-0000-0000864D0000}"/>
    <cellStyle name="Normal 2 9 11" xfId="19844" xr:uid="{00000000-0005-0000-0000-0000874D0000}"/>
    <cellStyle name="Normal 2 9 12" xfId="19845" xr:uid="{00000000-0005-0000-0000-0000884D0000}"/>
    <cellStyle name="Normal 2 9 2" xfId="19846" xr:uid="{00000000-0005-0000-0000-0000894D0000}"/>
    <cellStyle name="Normal 2 9 2 10" xfId="19847" xr:uid="{00000000-0005-0000-0000-00008A4D0000}"/>
    <cellStyle name="Normal 2 9 2 2" xfId="19848" xr:uid="{00000000-0005-0000-0000-00008B4D0000}"/>
    <cellStyle name="Normal 2 9 2 2 2" xfId="19849" xr:uid="{00000000-0005-0000-0000-00008C4D0000}"/>
    <cellStyle name="Normal 2 9 2 2 2 2" xfId="19850" xr:uid="{00000000-0005-0000-0000-00008D4D0000}"/>
    <cellStyle name="Normal 2 9 2 2 2 2 2" xfId="19851" xr:uid="{00000000-0005-0000-0000-00008E4D0000}"/>
    <cellStyle name="Normal 2 9 2 2 2 2 3" xfId="19852" xr:uid="{00000000-0005-0000-0000-00008F4D0000}"/>
    <cellStyle name="Normal 2 9 2 2 2 3" xfId="19853" xr:uid="{00000000-0005-0000-0000-0000904D0000}"/>
    <cellStyle name="Normal 2 9 2 2 2 3 2" xfId="19854" xr:uid="{00000000-0005-0000-0000-0000914D0000}"/>
    <cellStyle name="Normal 2 9 2 2 2 3 3" xfId="19855" xr:uid="{00000000-0005-0000-0000-0000924D0000}"/>
    <cellStyle name="Normal 2 9 2 2 2 4" xfId="19856" xr:uid="{00000000-0005-0000-0000-0000934D0000}"/>
    <cellStyle name="Normal 2 9 2 2 2 5" xfId="19857" xr:uid="{00000000-0005-0000-0000-0000944D0000}"/>
    <cellStyle name="Normal 2 9 2 2 2 6" xfId="19858" xr:uid="{00000000-0005-0000-0000-0000954D0000}"/>
    <cellStyle name="Normal 2 9 2 2 3" xfId="19859" xr:uid="{00000000-0005-0000-0000-0000964D0000}"/>
    <cellStyle name="Normal 2 9 2 2 3 2" xfId="19860" xr:uid="{00000000-0005-0000-0000-0000974D0000}"/>
    <cellStyle name="Normal 2 9 2 2 3 3" xfId="19861" xr:uid="{00000000-0005-0000-0000-0000984D0000}"/>
    <cellStyle name="Normal 2 9 2 2 4" xfId="19862" xr:uid="{00000000-0005-0000-0000-0000994D0000}"/>
    <cellStyle name="Normal 2 9 2 2 4 2" xfId="19863" xr:uid="{00000000-0005-0000-0000-00009A4D0000}"/>
    <cellStyle name="Normal 2 9 2 2 4 3" xfId="19864" xr:uid="{00000000-0005-0000-0000-00009B4D0000}"/>
    <cellStyle name="Normal 2 9 2 2 5" xfId="19865" xr:uid="{00000000-0005-0000-0000-00009C4D0000}"/>
    <cellStyle name="Normal 2 9 2 2 5 2" xfId="19866" xr:uid="{00000000-0005-0000-0000-00009D4D0000}"/>
    <cellStyle name="Normal 2 9 2 2 5 3" xfId="19867" xr:uid="{00000000-0005-0000-0000-00009E4D0000}"/>
    <cellStyle name="Normal 2 9 2 2 6" xfId="19868" xr:uid="{00000000-0005-0000-0000-00009F4D0000}"/>
    <cellStyle name="Normal 2 9 2 2 7" xfId="19869" xr:uid="{00000000-0005-0000-0000-0000A04D0000}"/>
    <cellStyle name="Normal 2 9 2 2 8" xfId="19870" xr:uid="{00000000-0005-0000-0000-0000A14D0000}"/>
    <cellStyle name="Normal 2 9 2 3" xfId="19871" xr:uid="{00000000-0005-0000-0000-0000A24D0000}"/>
    <cellStyle name="Normal 2 9 2 3 2" xfId="19872" xr:uid="{00000000-0005-0000-0000-0000A34D0000}"/>
    <cellStyle name="Normal 2 9 2 3 2 2" xfId="19873" xr:uid="{00000000-0005-0000-0000-0000A44D0000}"/>
    <cellStyle name="Normal 2 9 2 3 2 2 2" xfId="19874" xr:uid="{00000000-0005-0000-0000-0000A54D0000}"/>
    <cellStyle name="Normal 2 9 2 3 2 2 3" xfId="19875" xr:uid="{00000000-0005-0000-0000-0000A64D0000}"/>
    <cellStyle name="Normal 2 9 2 3 2 3" xfId="19876" xr:uid="{00000000-0005-0000-0000-0000A74D0000}"/>
    <cellStyle name="Normal 2 9 2 3 2 3 2" xfId="19877" xr:uid="{00000000-0005-0000-0000-0000A84D0000}"/>
    <cellStyle name="Normal 2 9 2 3 2 3 3" xfId="19878" xr:uid="{00000000-0005-0000-0000-0000A94D0000}"/>
    <cellStyle name="Normal 2 9 2 3 2 4" xfId="19879" xr:uid="{00000000-0005-0000-0000-0000AA4D0000}"/>
    <cellStyle name="Normal 2 9 2 3 2 5" xfId="19880" xr:uid="{00000000-0005-0000-0000-0000AB4D0000}"/>
    <cellStyle name="Normal 2 9 2 3 2 6" xfId="19881" xr:uid="{00000000-0005-0000-0000-0000AC4D0000}"/>
    <cellStyle name="Normal 2 9 2 3 3" xfId="19882" xr:uid="{00000000-0005-0000-0000-0000AD4D0000}"/>
    <cellStyle name="Normal 2 9 2 3 3 2" xfId="19883" xr:uid="{00000000-0005-0000-0000-0000AE4D0000}"/>
    <cellStyle name="Normal 2 9 2 3 3 3" xfId="19884" xr:uid="{00000000-0005-0000-0000-0000AF4D0000}"/>
    <cellStyle name="Normal 2 9 2 3 4" xfId="19885" xr:uid="{00000000-0005-0000-0000-0000B04D0000}"/>
    <cellStyle name="Normal 2 9 2 3 4 2" xfId="19886" xr:uid="{00000000-0005-0000-0000-0000B14D0000}"/>
    <cellStyle name="Normal 2 9 2 3 4 3" xfId="19887" xr:uid="{00000000-0005-0000-0000-0000B24D0000}"/>
    <cellStyle name="Normal 2 9 2 3 5" xfId="19888" xr:uid="{00000000-0005-0000-0000-0000B34D0000}"/>
    <cellStyle name="Normal 2 9 2 3 5 2" xfId="19889" xr:uid="{00000000-0005-0000-0000-0000B44D0000}"/>
    <cellStyle name="Normal 2 9 2 3 5 3" xfId="19890" xr:uid="{00000000-0005-0000-0000-0000B54D0000}"/>
    <cellStyle name="Normal 2 9 2 3 6" xfId="19891" xr:uid="{00000000-0005-0000-0000-0000B64D0000}"/>
    <cellStyle name="Normal 2 9 2 3 7" xfId="19892" xr:uid="{00000000-0005-0000-0000-0000B74D0000}"/>
    <cellStyle name="Normal 2 9 2 3 8" xfId="19893" xr:uid="{00000000-0005-0000-0000-0000B84D0000}"/>
    <cellStyle name="Normal 2 9 2 4" xfId="19894" xr:uid="{00000000-0005-0000-0000-0000B94D0000}"/>
    <cellStyle name="Normal 2 9 2 4 2" xfId="19895" xr:uid="{00000000-0005-0000-0000-0000BA4D0000}"/>
    <cellStyle name="Normal 2 9 2 4 2 2" xfId="19896" xr:uid="{00000000-0005-0000-0000-0000BB4D0000}"/>
    <cellStyle name="Normal 2 9 2 4 2 3" xfId="19897" xr:uid="{00000000-0005-0000-0000-0000BC4D0000}"/>
    <cellStyle name="Normal 2 9 2 4 3" xfId="19898" xr:uid="{00000000-0005-0000-0000-0000BD4D0000}"/>
    <cellStyle name="Normal 2 9 2 4 3 2" xfId="19899" xr:uid="{00000000-0005-0000-0000-0000BE4D0000}"/>
    <cellStyle name="Normal 2 9 2 4 3 3" xfId="19900" xr:uid="{00000000-0005-0000-0000-0000BF4D0000}"/>
    <cellStyle name="Normal 2 9 2 4 4" xfId="19901" xr:uid="{00000000-0005-0000-0000-0000C04D0000}"/>
    <cellStyle name="Normal 2 9 2 4 5" xfId="19902" xr:uid="{00000000-0005-0000-0000-0000C14D0000}"/>
    <cellStyle name="Normal 2 9 2 4 6" xfId="19903" xr:uid="{00000000-0005-0000-0000-0000C24D0000}"/>
    <cellStyle name="Normal 2 9 2 5" xfId="19904" xr:uid="{00000000-0005-0000-0000-0000C34D0000}"/>
    <cellStyle name="Normal 2 9 2 5 2" xfId="19905" xr:uid="{00000000-0005-0000-0000-0000C44D0000}"/>
    <cellStyle name="Normal 2 9 2 5 3" xfId="19906" xr:uid="{00000000-0005-0000-0000-0000C54D0000}"/>
    <cellStyle name="Normal 2 9 2 6" xfId="19907" xr:uid="{00000000-0005-0000-0000-0000C64D0000}"/>
    <cellStyle name="Normal 2 9 2 6 2" xfId="19908" xr:uid="{00000000-0005-0000-0000-0000C74D0000}"/>
    <cellStyle name="Normal 2 9 2 6 3" xfId="19909" xr:uid="{00000000-0005-0000-0000-0000C84D0000}"/>
    <cellStyle name="Normal 2 9 2 7" xfId="19910" xr:uid="{00000000-0005-0000-0000-0000C94D0000}"/>
    <cellStyle name="Normal 2 9 2 7 2" xfId="19911" xr:uid="{00000000-0005-0000-0000-0000CA4D0000}"/>
    <cellStyle name="Normal 2 9 2 7 3" xfId="19912" xr:uid="{00000000-0005-0000-0000-0000CB4D0000}"/>
    <cellStyle name="Normal 2 9 2 8" xfId="19913" xr:uid="{00000000-0005-0000-0000-0000CC4D0000}"/>
    <cellStyle name="Normal 2 9 2 9" xfId="19914" xr:uid="{00000000-0005-0000-0000-0000CD4D0000}"/>
    <cellStyle name="Normal 2 9 3" xfId="19915" xr:uid="{00000000-0005-0000-0000-0000CE4D0000}"/>
    <cellStyle name="Normal 2 9 3 2" xfId="19916" xr:uid="{00000000-0005-0000-0000-0000CF4D0000}"/>
    <cellStyle name="Normal 2 9 3 2 2" xfId="19917" xr:uid="{00000000-0005-0000-0000-0000D04D0000}"/>
    <cellStyle name="Normal 2 9 3 2 2 2" xfId="19918" xr:uid="{00000000-0005-0000-0000-0000D14D0000}"/>
    <cellStyle name="Normal 2 9 3 2 2 3" xfId="19919" xr:uid="{00000000-0005-0000-0000-0000D24D0000}"/>
    <cellStyle name="Normal 2 9 3 2 3" xfId="19920" xr:uid="{00000000-0005-0000-0000-0000D34D0000}"/>
    <cellStyle name="Normal 2 9 3 2 3 2" xfId="19921" xr:uid="{00000000-0005-0000-0000-0000D44D0000}"/>
    <cellStyle name="Normal 2 9 3 2 3 3" xfId="19922" xr:uid="{00000000-0005-0000-0000-0000D54D0000}"/>
    <cellStyle name="Normal 2 9 3 2 4" xfId="19923" xr:uid="{00000000-0005-0000-0000-0000D64D0000}"/>
    <cellStyle name="Normal 2 9 3 2 5" xfId="19924" xr:uid="{00000000-0005-0000-0000-0000D74D0000}"/>
    <cellStyle name="Normal 2 9 3 2 6" xfId="19925" xr:uid="{00000000-0005-0000-0000-0000D84D0000}"/>
    <cellStyle name="Normal 2 9 3 3" xfId="19926" xr:uid="{00000000-0005-0000-0000-0000D94D0000}"/>
    <cellStyle name="Normal 2 9 3 3 2" xfId="19927" xr:uid="{00000000-0005-0000-0000-0000DA4D0000}"/>
    <cellStyle name="Normal 2 9 3 3 3" xfId="19928" xr:uid="{00000000-0005-0000-0000-0000DB4D0000}"/>
    <cellStyle name="Normal 2 9 3 4" xfId="19929" xr:uid="{00000000-0005-0000-0000-0000DC4D0000}"/>
    <cellStyle name="Normal 2 9 3 4 2" xfId="19930" xr:uid="{00000000-0005-0000-0000-0000DD4D0000}"/>
    <cellStyle name="Normal 2 9 3 4 3" xfId="19931" xr:uid="{00000000-0005-0000-0000-0000DE4D0000}"/>
    <cellStyle name="Normal 2 9 3 5" xfId="19932" xr:uid="{00000000-0005-0000-0000-0000DF4D0000}"/>
    <cellStyle name="Normal 2 9 3 5 2" xfId="19933" xr:uid="{00000000-0005-0000-0000-0000E04D0000}"/>
    <cellStyle name="Normal 2 9 3 5 3" xfId="19934" xr:uid="{00000000-0005-0000-0000-0000E14D0000}"/>
    <cellStyle name="Normal 2 9 3 6" xfId="19935" xr:uid="{00000000-0005-0000-0000-0000E24D0000}"/>
    <cellStyle name="Normal 2 9 3 7" xfId="19936" xr:uid="{00000000-0005-0000-0000-0000E34D0000}"/>
    <cellStyle name="Normal 2 9 3 8" xfId="19937" xr:uid="{00000000-0005-0000-0000-0000E44D0000}"/>
    <cellStyle name="Normal 2 9 4" xfId="19938" xr:uid="{00000000-0005-0000-0000-0000E54D0000}"/>
    <cellStyle name="Normal 2 9 4 2" xfId="19939" xr:uid="{00000000-0005-0000-0000-0000E64D0000}"/>
    <cellStyle name="Normal 2 9 4 2 2" xfId="19940" xr:uid="{00000000-0005-0000-0000-0000E74D0000}"/>
    <cellStyle name="Normal 2 9 4 2 2 2" xfId="19941" xr:uid="{00000000-0005-0000-0000-0000E84D0000}"/>
    <cellStyle name="Normal 2 9 4 2 2 3" xfId="19942" xr:uid="{00000000-0005-0000-0000-0000E94D0000}"/>
    <cellStyle name="Normal 2 9 4 2 3" xfId="19943" xr:uid="{00000000-0005-0000-0000-0000EA4D0000}"/>
    <cellStyle name="Normal 2 9 4 2 3 2" xfId="19944" xr:uid="{00000000-0005-0000-0000-0000EB4D0000}"/>
    <cellStyle name="Normal 2 9 4 2 3 3" xfId="19945" xr:uid="{00000000-0005-0000-0000-0000EC4D0000}"/>
    <cellStyle name="Normal 2 9 4 2 4" xfId="19946" xr:uid="{00000000-0005-0000-0000-0000ED4D0000}"/>
    <cellStyle name="Normal 2 9 4 2 5" xfId="19947" xr:uid="{00000000-0005-0000-0000-0000EE4D0000}"/>
    <cellStyle name="Normal 2 9 4 2 6" xfId="19948" xr:uid="{00000000-0005-0000-0000-0000EF4D0000}"/>
    <cellStyle name="Normal 2 9 4 3" xfId="19949" xr:uid="{00000000-0005-0000-0000-0000F04D0000}"/>
    <cellStyle name="Normal 2 9 4 3 2" xfId="19950" xr:uid="{00000000-0005-0000-0000-0000F14D0000}"/>
    <cellStyle name="Normal 2 9 4 3 3" xfId="19951" xr:uid="{00000000-0005-0000-0000-0000F24D0000}"/>
    <cellStyle name="Normal 2 9 4 4" xfId="19952" xr:uid="{00000000-0005-0000-0000-0000F34D0000}"/>
    <cellStyle name="Normal 2 9 4 4 2" xfId="19953" xr:uid="{00000000-0005-0000-0000-0000F44D0000}"/>
    <cellStyle name="Normal 2 9 4 4 3" xfId="19954" xr:uid="{00000000-0005-0000-0000-0000F54D0000}"/>
    <cellStyle name="Normal 2 9 4 5" xfId="19955" xr:uid="{00000000-0005-0000-0000-0000F64D0000}"/>
    <cellStyle name="Normal 2 9 4 5 2" xfId="19956" xr:uid="{00000000-0005-0000-0000-0000F74D0000}"/>
    <cellStyle name="Normal 2 9 4 5 3" xfId="19957" xr:uid="{00000000-0005-0000-0000-0000F84D0000}"/>
    <cellStyle name="Normal 2 9 4 6" xfId="19958" xr:uid="{00000000-0005-0000-0000-0000F94D0000}"/>
    <cellStyle name="Normal 2 9 4 7" xfId="19959" xr:uid="{00000000-0005-0000-0000-0000FA4D0000}"/>
    <cellStyle name="Normal 2 9 4 8" xfId="19960" xr:uid="{00000000-0005-0000-0000-0000FB4D0000}"/>
    <cellStyle name="Normal 2 9 5" xfId="19961" xr:uid="{00000000-0005-0000-0000-0000FC4D0000}"/>
    <cellStyle name="Normal 2 9 5 2" xfId="19962" xr:uid="{00000000-0005-0000-0000-0000FD4D0000}"/>
    <cellStyle name="Normal 2 9 5 2 2" xfId="19963" xr:uid="{00000000-0005-0000-0000-0000FE4D0000}"/>
    <cellStyle name="Normal 2 9 5 2 2 2" xfId="19964" xr:uid="{00000000-0005-0000-0000-0000FF4D0000}"/>
    <cellStyle name="Normal 2 9 5 2 2 3" xfId="19965" xr:uid="{00000000-0005-0000-0000-0000004E0000}"/>
    <cellStyle name="Normal 2 9 5 2 3" xfId="19966" xr:uid="{00000000-0005-0000-0000-0000014E0000}"/>
    <cellStyle name="Normal 2 9 5 2 3 2" xfId="19967" xr:uid="{00000000-0005-0000-0000-0000024E0000}"/>
    <cellStyle name="Normal 2 9 5 2 3 3" xfId="19968" xr:uid="{00000000-0005-0000-0000-0000034E0000}"/>
    <cellStyle name="Normal 2 9 5 2 4" xfId="19969" xr:uid="{00000000-0005-0000-0000-0000044E0000}"/>
    <cellStyle name="Normal 2 9 5 2 5" xfId="19970" xr:uid="{00000000-0005-0000-0000-0000054E0000}"/>
    <cellStyle name="Normal 2 9 5 2 6" xfId="19971" xr:uid="{00000000-0005-0000-0000-0000064E0000}"/>
    <cellStyle name="Normal 2 9 5 3" xfId="19972" xr:uid="{00000000-0005-0000-0000-0000074E0000}"/>
    <cellStyle name="Normal 2 9 5 3 2" xfId="19973" xr:uid="{00000000-0005-0000-0000-0000084E0000}"/>
    <cellStyle name="Normal 2 9 5 3 3" xfId="19974" xr:uid="{00000000-0005-0000-0000-0000094E0000}"/>
    <cellStyle name="Normal 2 9 5 4" xfId="19975" xr:uid="{00000000-0005-0000-0000-00000A4E0000}"/>
    <cellStyle name="Normal 2 9 5 4 2" xfId="19976" xr:uid="{00000000-0005-0000-0000-00000B4E0000}"/>
    <cellStyle name="Normal 2 9 5 4 3" xfId="19977" xr:uid="{00000000-0005-0000-0000-00000C4E0000}"/>
    <cellStyle name="Normal 2 9 5 5" xfId="19978" xr:uid="{00000000-0005-0000-0000-00000D4E0000}"/>
    <cellStyle name="Normal 2 9 5 5 2" xfId="19979" xr:uid="{00000000-0005-0000-0000-00000E4E0000}"/>
    <cellStyle name="Normal 2 9 5 5 3" xfId="19980" xr:uid="{00000000-0005-0000-0000-00000F4E0000}"/>
    <cellStyle name="Normal 2 9 5 6" xfId="19981" xr:uid="{00000000-0005-0000-0000-0000104E0000}"/>
    <cellStyle name="Normal 2 9 5 7" xfId="19982" xr:uid="{00000000-0005-0000-0000-0000114E0000}"/>
    <cellStyle name="Normal 2 9 5 8" xfId="19983" xr:uid="{00000000-0005-0000-0000-0000124E0000}"/>
    <cellStyle name="Normal 2 9 6" xfId="19984" xr:uid="{00000000-0005-0000-0000-0000134E0000}"/>
    <cellStyle name="Normal 2 9 6 2" xfId="19985" xr:uid="{00000000-0005-0000-0000-0000144E0000}"/>
    <cellStyle name="Normal 2 9 6 2 2" xfId="19986" xr:uid="{00000000-0005-0000-0000-0000154E0000}"/>
    <cellStyle name="Normal 2 9 6 2 3" xfId="19987" xr:uid="{00000000-0005-0000-0000-0000164E0000}"/>
    <cellStyle name="Normal 2 9 6 3" xfId="19988" xr:uid="{00000000-0005-0000-0000-0000174E0000}"/>
    <cellStyle name="Normal 2 9 6 3 2" xfId="19989" xr:uid="{00000000-0005-0000-0000-0000184E0000}"/>
    <cellStyle name="Normal 2 9 6 3 3" xfId="19990" xr:uid="{00000000-0005-0000-0000-0000194E0000}"/>
    <cellStyle name="Normal 2 9 6 4" xfId="19991" xr:uid="{00000000-0005-0000-0000-00001A4E0000}"/>
    <cellStyle name="Normal 2 9 6 5" xfId="19992" xr:uid="{00000000-0005-0000-0000-00001B4E0000}"/>
    <cellStyle name="Normal 2 9 6 6" xfId="19993" xr:uid="{00000000-0005-0000-0000-00001C4E0000}"/>
    <cellStyle name="Normal 2 9 7" xfId="19994" xr:uid="{00000000-0005-0000-0000-00001D4E0000}"/>
    <cellStyle name="Normal 2 9 7 2" xfId="19995" xr:uid="{00000000-0005-0000-0000-00001E4E0000}"/>
    <cellStyle name="Normal 2 9 7 3" xfId="19996" xr:uid="{00000000-0005-0000-0000-00001F4E0000}"/>
    <cellStyle name="Normal 2 9 8" xfId="19997" xr:uid="{00000000-0005-0000-0000-0000204E0000}"/>
    <cellStyle name="Normal 2 9 8 2" xfId="19998" xr:uid="{00000000-0005-0000-0000-0000214E0000}"/>
    <cellStyle name="Normal 2 9 8 3" xfId="19999" xr:uid="{00000000-0005-0000-0000-0000224E0000}"/>
    <cellStyle name="Normal 2 9 9" xfId="20000" xr:uid="{00000000-0005-0000-0000-0000234E0000}"/>
    <cellStyle name="Normal 2 9 9 2" xfId="20001" xr:uid="{00000000-0005-0000-0000-0000244E0000}"/>
    <cellStyle name="Normal 2 9 9 3" xfId="20002" xr:uid="{00000000-0005-0000-0000-0000254E0000}"/>
    <cellStyle name="Normal 2 90" xfId="20003" xr:uid="{00000000-0005-0000-0000-0000264E0000}"/>
    <cellStyle name="Normal 2 90 2" xfId="20004" xr:uid="{00000000-0005-0000-0000-0000274E0000}"/>
    <cellStyle name="Normal 2 90 2 2" xfId="20005" xr:uid="{00000000-0005-0000-0000-0000284E0000}"/>
    <cellStyle name="Normal 2 90 2 2 2" xfId="20006" xr:uid="{00000000-0005-0000-0000-0000294E0000}"/>
    <cellStyle name="Normal 2 90 2 2 3" xfId="20007" xr:uid="{00000000-0005-0000-0000-00002A4E0000}"/>
    <cellStyle name="Normal 2 90 2 3" xfId="20008" xr:uid="{00000000-0005-0000-0000-00002B4E0000}"/>
    <cellStyle name="Normal 2 90 2 3 2" xfId="20009" xr:uid="{00000000-0005-0000-0000-00002C4E0000}"/>
    <cellStyle name="Normal 2 90 2 3 3" xfId="20010" xr:uid="{00000000-0005-0000-0000-00002D4E0000}"/>
    <cellStyle name="Normal 2 90 2 4" xfId="20011" xr:uid="{00000000-0005-0000-0000-00002E4E0000}"/>
    <cellStyle name="Normal 2 90 2 5" xfId="20012" xr:uid="{00000000-0005-0000-0000-00002F4E0000}"/>
    <cellStyle name="Normal 2 90 2 6" xfId="20013" xr:uid="{00000000-0005-0000-0000-0000304E0000}"/>
    <cellStyle name="Normal 2 90 3" xfId="20014" xr:uid="{00000000-0005-0000-0000-0000314E0000}"/>
    <cellStyle name="Normal 2 90 3 2" xfId="20015" xr:uid="{00000000-0005-0000-0000-0000324E0000}"/>
    <cellStyle name="Normal 2 90 3 3" xfId="20016" xr:uid="{00000000-0005-0000-0000-0000334E0000}"/>
    <cellStyle name="Normal 2 90 4" xfId="20017" xr:uid="{00000000-0005-0000-0000-0000344E0000}"/>
    <cellStyle name="Normal 2 90 4 2" xfId="20018" xr:uid="{00000000-0005-0000-0000-0000354E0000}"/>
    <cellStyle name="Normal 2 90 4 3" xfId="20019" xr:uid="{00000000-0005-0000-0000-0000364E0000}"/>
    <cellStyle name="Normal 2 90 5" xfId="20020" xr:uid="{00000000-0005-0000-0000-0000374E0000}"/>
    <cellStyle name="Normal 2 90 6" xfId="20021" xr:uid="{00000000-0005-0000-0000-0000384E0000}"/>
    <cellStyle name="Normal 2 90 7" xfId="20022" xr:uid="{00000000-0005-0000-0000-0000394E0000}"/>
    <cellStyle name="Normal 2 91" xfId="20023" xr:uid="{00000000-0005-0000-0000-00003A4E0000}"/>
    <cellStyle name="Normal 2 91 2" xfId="20024" xr:uid="{00000000-0005-0000-0000-00003B4E0000}"/>
    <cellStyle name="Normal 2 91 2 2" xfId="20025" xr:uid="{00000000-0005-0000-0000-00003C4E0000}"/>
    <cellStyle name="Normal 2 91 2 2 2" xfId="20026" xr:uid="{00000000-0005-0000-0000-00003D4E0000}"/>
    <cellStyle name="Normal 2 91 2 2 3" xfId="20027" xr:uid="{00000000-0005-0000-0000-00003E4E0000}"/>
    <cellStyle name="Normal 2 91 2 3" xfId="20028" xr:uid="{00000000-0005-0000-0000-00003F4E0000}"/>
    <cellStyle name="Normal 2 91 2 3 2" xfId="20029" xr:uid="{00000000-0005-0000-0000-0000404E0000}"/>
    <cellStyle name="Normal 2 91 2 3 3" xfId="20030" xr:uid="{00000000-0005-0000-0000-0000414E0000}"/>
    <cellStyle name="Normal 2 91 2 4" xfId="20031" xr:uid="{00000000-0005-0000-0000-0000424E0000}"/>
    <cellStyle name="Normal 2 91 2 5" xfId="20032" xr:uid="{00000000-0005-0000-0000-0000434E0000}"/>
    <cellStyle name="Normal 2 91 2 6" xfId="20033" xr:uid="{00000000-0005-0000-0000-0000444E0000}"/>
    <cellStyle name="Normal 2 91 3" xfId="20034" xr:uid="{00000000-0005-0000-0000-0000454E0000}"/>
    <cellStyle name="Normal 2 91 3 2" xfId="20035" xr:uid="{00000000-0005-0000-0000-0000464E0000}"/>
    <cellStyle name="Normal 2 91 3 3" xfId="20036" xr:uid="{00000000-0005-0000-0000-0000474E0000}"/>
    <cellStyle name="Normal 2 91 4" xfId="20037" xr:uid="{00000000-0005-0000-0000-0000484E0000}"/>
    <cellStyle name="Normal 2 91 4 2" xfId="20038" xr:uid="{00000000-0005-0000-0000-0000494E0000}"/>
    <cellStyle name="Normal 2 91 4 3" xfId="20039" xr:uid="{00000000-0005-0000-0000-00004A4E0000}"/>
    <cellStyle name="Normal 2 91 5" xfId="20040" xr:uid="{00000000-0005-0000-0000-00004B4E0000}"/>
    <cellStyle name="Normal 2 91 6" xfId="20041" xr:uid="{00000000-0005-0000-0000-00004C4E0000}"/>
    <cellStyle name="Normal 2 91 7" xfId="20042" xr:uid="{00000000-0005-0000-0000-00004D4E0000}"/>
    <cellStyle name="Normal 2 92" xfId="20043" xr:uid="{00000000-0005-0000-0000-00004E4E0000}"/>
    <cellStyle name="Normal 2 92 2" xfId="20044" xr:uid="{00000000-0005-0000-0000-00004F4E0000}"/>
    <cellStyle name="Normal 2 92 2 2" xfId="20045" xr:uid="{00000000-0005-0000-0000-0000504E0000}"/>
    <cellStyle name="Normal 2 92 2 2 2" xfId="20046" xr:uid="{00000000-0005-0000-0000-0000514E0000}"/>
    <cellStyle name="Normal 2 92 2 2 3" xfId="20047" xr:uid="{00000000-0005-0000-0000-0000524E0000}"/>
    <cellStyle name="Normal 2 92 2 3" xfId="20048" xr:uid="{00000000-0005-0000-0000-0000534E0000}"/>
    <cellStyle name="Normal 2 92 2 3 2" xfId="20049" xr:uid="{00000000-0005-0000-0000-0000544E0000}"/>
    <cellStyle name="Normal 2 92 2 3 3" xfId="20050" xr:uid="{00000000-0005-0000-0000-0000554E0000}"/>
    <cellStyle name="Normal 2 92 2 4" xfId="20051" xr:uid="{00000000-0005-0000-0000-0000564E0000}"/>
    <cellStyle name="Normal 2 92 2 5" xfId="20052" xr:uid="{00000000-0005-0000-0000-0000574E0000}"/>
    <cellStyle name="Normal 2 92 2 6" xfId="20053" xr:uid="{00000000-0005-0000-0000-0000584E0000}"/>
    <cellStyle name="Normal 2 92 3" xfId="20054" xr:uid="{00000000-0005-0000-0000-0000594E0000}"/>
    <cellStyle name="Normal 2 92 3 2" xfId="20055" xr:uid="{00000000-0005-0000-0000-00005A4E0000}"/>
    <cellStyle name="Normal 2 92 3 3" xfId="20056" xr:uid="{00000000-0005-0000-0000-00005B4E0000}"/>
    <cellStyle name="Normal 2 92 4" xfId="20057" xr:uid="{00000000-0005-0000-0000-00005C4E0000}"/>
    <cellStyle name="Normal 2 92 4 2" xfId="20058" xr:uid="{00000000-0005-0000-0000-00005D4E0000}"/>
    <cellStyle name="Normal 2 92 4 3" xfId="20059" xr:uid="{00000000-0005-0000-0000-00005E4E0000}"/>
    <cellStyle name="Normal 2 92 5" xfId="20060" xr:uid="{00000000-0005-0000-0000-00005F4E0000}"/>
    <cellStyle name="Normal 2 92 6" xfId="20061" xr:uid="{00000000-0005-0000-0000-0000604E0000}"/>
    <cellStyle name="Normal 2 92 7" xfId="20062" xr:uid="{00000000-0005-0000-0000-0000614E0000}"/>
    <cellStyle name="Normal 2 93" xfId="20063" xr:uid="{00000000-0005-0000-0000-0000624E0000}"/>
    <cellStyle name="Normal 2 93 2" xfId="20064" xr:uid="{00000000-0005-0000-0000-0000634E0000}"/>
    <cellStyle name="Normal 2 93 2 2" xfId="20065" xr:uid="{00000000-0005-0000-0000-0000644E0000}"/>
    <cellStyle name="Normal 2 93 2 2 2" xfId="20066" xr:uid="{00000000-0005-0000-0000-0000654E0000}"/>
    <cellStyle name="Normal 2 93 2 2 3" xfId="20067" xr:uid="{00000000-0005-0000-0000-0000664E0000}"/>
    <cellStyle name="Normal 2 93 2 3" xfId="20068" xr:uid="{00000000-0005-0000-0000-0000674E0000}"/>
    <cellStyle name="Normal 2 93 2 3 2" xfId="20069" xr:uid="{00000000-0005-0000-0000-0000684E0000}"/>
    <cellStyle name="Normal 2 93 2 3 3" xfId="20070" xr:uid="{00000000-0005-0000-0000-0000694E0000}"/>
    <cellStyle name="Normal 2 93 2 4" xfId="20071" xr:uid="{00000000-0005-0000-0000-00006A4E0000}"/>
    <cellStyle name="Normal 2 93 2 5" xfId="20072" xr:uid="{00000000-0005-0000-0000-00006B4E0000}"/>
    <cellStyle name="Normal 2 93 2 6" xfId="20073" xr:uid="{00000000-0005-0000-0000-00006C4E0000}"/>
    <cellStyle name="Normal 2 93 3" xfId="20074" xr:uid="{00000000-0005-0000-0000-00006D4E0000}"/>
    <cellStyle name="Normal 2 93 3 2" xfId="20075" xr:uid="{00000000-0005-0000-0000-00006E4E0000}"/>
    <cellStyle name="Normal 2 93 3 3" xfId="20076" xr:uid="{00000000-0005-0000-0000-00006F4E0000}"/>
    <cellStyle name="Normal 2 93 4" xfId="20077" xr:uid="{00000000-0005-0000-0000-0000704E0000}"/>
    <cellStyle name="Normal 2 93 4 2" xfId="20078" xr:uid="{00000000-0005-0000-0000-0000714E0000}"/>
    <cellStyle name="Normal 2 93 4 3" xfId="20079" xr:uid="{00000000-0005-0000-0000-0000724E0000}"/>
    <cellStyle name="Normal 2 93 5" xfId="20080" xr:uid="{00000000-0005-0000-0000-0000734E0000}"/>
    <cellStyle name="Normal 2 93 6" xfId="20081" xr:uid="{00000000-0005-0000-0000-0000744E0000}"/>
    <cellStyle name="Normal 2 93 7" xfId="20082" xr:uid="{00000000-0005-0000-0000-0000754E0000}"/>
    <cellStyle name="Normal 2 94" xfId="20083" xr:uid="{00000000-0005-0000-0000-0000764E0000}"/>
    <cellStyle name="Normal 2 94 2" xfId="20084" xr:uid="{00000000-0005-0000-0000-0000774E0000}"/>
    <cellStyle name="Normal 2 94 2 2" xfId="20085" xr:uid="{00000000-0005-0000-0000-0000784E0000}"/>
    <cellStyle name="Normal 2 94 2 2 2" xfId="20086" xr:uid="{00000000-0005-0000-0000-0000794E0000}"/>
    <cellStyle name="Normal 2 94 2 2 3" xfId="20087" xr:uid="{00000000-0005-0000-0000-00007A4E0000}"/>
    <cellStyle name="Normal 2 94 2 3" xfId="20088" xr:uid="{00000000-0005-0000-0000-00007B4E0000}"/>
    <cellStyle name="Normal 2 94 2 3 2" xfId="20089" xr:uid="{00000000-0005-0000-0000-00007C4E0000}"/>
    <cellStyle name="Normal 2 94 2 3 3" xfId="20090" xr:uid="{00000000-0005-0000-0000-00007D4E0000}"/>
    <cellStyle name="Normal 2 94 2 4" xfId="20091" xr:uid="{00000000-0005-0000-0000-00007E4E0000}"/>
    <cellStyle name="Normal 2 94 2 5" xfId="20092" xr:uid="{00000000-0005-0000-0000-00007F4E0000}"/>
    <cellStyle name="Normal 2 94 2 6" xfId="20093" xr:uid="{00000000-0005-0000-0000-0000804E0000}"/>
    <cellStyle name="Normal 2 94 3" xfId="20094" xr:uid="{00000000-0005-0000-0000-0000814E0000}"/>
    <cellStyle name="Normal 2 94 3 2" xfId="20095" xr:uid="{00000000-0005-0000-0000-0000824E0000}"/>
    <cellStyle name="Normal 2 94 3 3" xfId="20096" xr:uid="{00000000-0005-0000-0000-0000834E0000}"/>
    <cellStyle name="Normal 2 94 4" xfId="20097" xr:uid="{00000000-0005-0000-0000-0000844E0000}"/>
    <cellStyle name="Normal 2 94 4 2" xfId="20098" xr:uid="{00000000-0005-0000-0000-0000854E0000}"/>
    <cellStyle name="Normal 2 94 4 3" xfId="20099" xr:uid="{00000000-0005-0000-0000-0000864E0000}"/>
    <cellStyle name="Normal 2 94 5" xfId="20100" xr:uid="{00000000-0005-0000-0000-0000874E0000}"/>
    <cellStyle name="Normal 2 94 6" xfId="20101" xr:uid="{00000000-0005-0000-0000-0000884E0000}"/>
    <cellStyle name="Normal 2 94 7" xfId="20102" xr:uid="{00000000-0005-0000-0000-0000894E0000}"/>
    <cellStyle name="Normal 2 95" xfId="20103" xr:uid="{00000000-0005-0000-0000-00008A4E0000}"/>
    <cellStyle name="Normal 2 95 2" xfId="20104" xr:uid="{00000000-0005-0000-0000-00008B4E0000}"/>
    <cellStyle name="Normal 2 95 2 2" xfId="20105" xr:uid="{00000000-0005-0000-0000-00008C4E0000}"/>
    <cellStyle name="Normal 2 95 2 2 2" xfId="20106" xr:uid="{00000000-0005-0000-0000-00008D4E0000}"/>
    <cellStyle name="Normal 2 95 2 2 3" xfId="20107" xr:uid="{00000000-0005-0000-0000-00008E4E0000}"/>
    <cellStyle name="Normal 2 95 2 3" xfId="20108" xr:uid="{00000000-0005-0000-0000-00008F4E0000}"/>
    <cellStyle name="Normal 2 95 2 3 2" xfId="20109" xr:uid="{00000000-0005-0000-0000-0000904E0000}"/>
    <cellStyle name="Normal 2 95 2 3 3" xfId="20110" xr:uid="{00000000-0005-0000-0000-0000914E0000}"/>
    <cellStyle name="Normal 2 95 2 4" xfId="20111" xr:uid="{00000000-0005-0000-0000-0000924E0000}"/>
    <cellStyle name="Normal 2 95 2 5" xfId="20112" xr:uid="{00000000-0005-0000-0000-0000934E0000}"/>
    <cellStyle name="Normal 2 95 2 6" xfId="20113" xr:uid="{00000000-0005-0000-0000-0000944E0000}"/>
    <cellStyle name="Normal 2 95 3" xfId="20114" xr:uid="{00000000-0005-0000-0000-0000954E0000}"/>
    <cellStyle name="Normal 2 95 3 2" xfId="20115" xr:uid="{00000000-0005-0000-0000-0000964E0000}"/>
    <cellStyle name="Normal 2 95 3 3" xfId="20116" xr:uid="{00000000-0005-0000-0000-0000974E0000}"/>
    <cellStyle name="Normal 2 95 4" xfId="20117" xr:uid="{00000000-0005-0000-0000-0000984E0000}"/>
    <cellStyle name="Normal 2 95 4 2" xfId="20118" xr:uid="{00000000-0005-0000-0000-0000994E0000}"/>
    <cellStyle name="Normal 2 95 4 3" xfId="20119" xr:uid="{00000000-0005-0000-0000-00009A4E0000}"/>
    <cellStyle name="Normal 2 95 5" xfId="20120" xr:uid="{00000000-0005-0000-0000-00009B4E0000}"/>
    <cellStyle name="Normal 2 95 6" xfId="20121" xr:uid="{00000000-0005-0000-0000-00009C4E0000}"/>
    <cellStyle name="Normal 2 95 7" xfId="20122" xr:uid="{00000000-0005-0000-0000-00009D4E0000}"/>
    <cellStyle name="Normal 2 96" xfId="20123" xr:uid="{00000000-0005-0000-0000-00009E4E0000}"/>
    <cellStyle name="Normal 2 96 2" xfId="20124" xr:uid="{00000000-0005-0000-0000-00009F4E0000}"/>
    <cellStyle name="Normal 2 96 2 2" xfId="20125" xr:uid="{00000000-0005-0000-0000-0000A04E0000}"/>
    <cellStyle name="Normal 2 96 2 2 2" xfId="20126" xr:uid="{00000000-0005-0000-0000-0000A14E0000}"/>
    <cellStyle name="Normal 2 96 2 2 3" xfId="20127" xr:uid="{00000000-0005-0000-0000-0000A24E0000}"/>
    <cellStyle name="Normal 2 96 2 3" xfId="20128" xr:uid="{00000000-0005-0000-0000-0000A34E0000}"/>
    <cellStyle name="Normal 2 96 2 3 2" xfId="20129" xr:uid="{00000000-0005-0000-0000-0000A44E0000}"/>
    <cellStyle name="Normal 2 96 2 3 3" xfId="20130" xr:uid="{00000000-0005-0000-0000-0000A54E0000}"/>
    <cellStyle name="Normal 2 96 2 4" xfId="20131" xr:uid="{00000000-0005-0000-0000-0000A64E0000}"/>
    <cellStyle name="Normal 2 96 2 5" xfId="20132" xr:uid="{00000000-0005-0000-0000-0000A74E0000}"/>
    <cellStyle name="Normal 2 96 2 6" xfId="20133" xr:uid="{00000000-0005-0000-0000-0000A84E0000}"/>
    <cellStyle name="Normal 2 96 3" xfId="20134" xr:uid="{00000000-0005-0000-0000-0000A94E0000}"/>
    <cellStyle name="Normal 2 96 3 2" xfId="20135" xr:uid="{00000000-0005-0000-0000-0000AA4E0000}"/>
    <cellStyle name="Normal 2 96 3 3" xfId="20136" xr:uid="{00000000-0005-0000-0000-0000AB4E0000}"/>
    <cellStyle name="Normal 2 96 4" xfId="20137" xr:uid="{00000000-0005-0000-0000-0000AC4E0000}"/>
    <cellStyle name="Normal 2 96 4 2" xfId="20138" xr:uid="{00000000-0005-0000-0000-0000AD4E0000}"/>
    <cellStyle name="Normal 2 96 4 3" xfId="20139" xr:uid="{00000000-0005-0000-0000-0000AE4E0000}"/>
    <cellStyle name="Normal 2 96 5" xfId="20140" xr:uid="{00000000-0005-0000-0000-0000AF4E0000}"/>
    <cellStyle name="Normal 2 96 6" xfId="20141" xr:uid="{00000000-0005-0000-0000-0000B04E0000}"/>
    <cellStyle name="Normal 2 96 7" xfId="20142" xr:uid="{00000000-0005-0000-0000-0000B14E0000}"/>
    <cellStyle name="Normal 2 97" xfId="20143" xr:uid="{00000000-0005-0000-0000-0000B24E0000}"/>
    <cellStyle name="Normal 2 97 2" xfId="20144" xr:uid="{00000000-0005-0000-0000-0000B34E0000}"/>
    <cellStyle name="Normal 2 97 2 2" xfId="20145" xr:uid="{00000000-0005-0000-0000-0000B44E0000}"/>
    <cellStyle name="Normal 2 97 2 3" xfId="20146" xr:uid="{00000000-0005-0000-0000-0000B54E0000}"/>
    <cellStyle name="Normal 2 97 3" xfId="20147" xr:uid="{00000000-0005-0000-0000-0000B64E0000}"/>
    <cellStyle name="Normal 2 97 3 2" xfId="20148" xr:uid="{00000000-0005-0000-0000-0000B74E0000}"/>
    <cellStyle name="Normal 2 97 3 3" xfId="20149" xr:uid="{00000000-0005-0000-0000-0000B84E0000}"/>
    <cellStyle name="Normal 2 97 4" xfId="20150" xr:uid="{00000000-0005-0000-0000-0000B94E0000}"/>
    <cellStyle name="Normal 2 97 5" xfId="20151" xr:uid="{00000000-0005-0000-0000-0000BA4E0000}"/>
    <cellStyle name="Normal 2 97 6" xfId="20152" xr:uid="{00000000-0005-0000-0000-0000BB4E0000}"/>
    <cellStyle name="Normal 2 98" xfId="20153" xr:uid="{00000000-0005-0000-0000-0000BC4E0000}"/>
    <cellStyle name="Normal 2 98 2" xfId="20154" xr:uid="{00000000-0005-0000-0000-0000BD4E0000}"/>
    <cellStyle name="Normal 2 98 3" xfId="20155" xr:uid="{00000000-0005-0000-0000-0000BE4E0000}"/>
    <cellStyle name="Normal 2 99" xfId="20156" xr:uid="{00000000-0005-0000-0000-0000BF4E0000}"/>
    <cellStyle name="Normal 2 99 2" xfId="20157" xr:uid="{00000000-0005-0000-0000-0000C04E0000}"/>
    <cellStyle name="Normal 2 99 3" xfId="20158" xr:uid="{00000000-0005-0000-0000-0000C14E0000}"/>
    <cellStyle name="Normal 20" xfId="20159" xr:uid="{00000000-0005-0000-0000-0000C24E0000}"/>
    <cellStyle name="Normal 20 10" xfId="20160" xr:uid="{00000000-0005-0000-0000-0000C34E0000}"/>
    <cellStyle name="Normal 20 10 2" xfId="20161" xr:uid="{00000000-0005-0000-0000-0000C44E0000}"/>
    <cellStyle name="Normal 20 11" xfId="20162" xr:uid="{00000000-0005-0000-0000-0000C54E0000}"/>
    <cellStyle name="Normal 20 11 2" xfId="20163" xr:uid="{00000000-0005-0000-0000-0000C64E0000}"/>
    <cellStyle name="Normal 20 12" xfId="20164" xr:uid="{00000000-0005-0000-0000-0000C74E0000}"/>
    <cellStyle name="Normal 20 12 2" xfId="20165" xr:uid="{00000000-0005-0000-0000-0000C84E0000}"/>
    <cellStyle name="Normal 20 13" xfId="20166" xr:uid="{00000000-0005-0000-0000-0000C94E0000}"/>
    <cellStyle name="Normal 20 13 2" xfId="20167" xr:uid="{00000000-0005-0000-0000-0000CA4E0000}"/>
    <cellStyle name="Normal 20 14" xfId="20168" xr:uid="{00000000-0005-0000-0000-0000CB4E0000}"/>
    <cellStyle name="Normal 20 14 2" xfId="20169" xr:uid="{00000000-0005-0000-0000-0000CC4E0000}"/>
    <cellStyle name="Normal 20 15" xfId="20170" xr:uid="{00000000-0005-0000-0000-0000CD4E0000}"/>
    <cellStyle name="Normal 20 15 2" xfId="20171" xr:uid="{00000000-0005-0000-0000-0000CE4E0000}"/>
    <cellStyle name="Normal 20 16" xfId="20172" xr:uid="{00000000-0005-0000-0000-0000CF4E0000}"/>
    <cellStyle name="Normal 20 16 2" xfId="20173" xr:uid="{00000000-0005-0000-0000-0000D04E0000}"/>
    <cellStyle name="Normal 20 17" xfId="20174" xr:uid="{00000000-0005-0000-0000-0000D14E0000}"/>
    <cellStyle name="Normal 20 18" xfId="20175" xr:uid="{00000000-0005-0000-0000-0000D24E0000}"/>
    <cellStyle name="Normal 20 2" xfId="20176" xr:uid="{00000000-0005-0000-0000-0000D34E0000}"/>
    <cellStyle name="Normal 20 2 10" xfId="20177" xr:uid="{00000000-0005-0000-0000-0000D44E0000}"/>
    <cellStyle name="Normal 20 2 10 2" xfId="20178" xr:uid="{00000000-0005-0000-0000-0000D54E0000}"/>
    <cellStyle name="Normal 20 2 11" xfId="20179" xr:uid="{00000000-0005-0000-0000-0000D64E0000}"/>
    <cellStyle name="Normal 20 2 11 2" xfId="20180" xr:uid="{00000000-0005-0000-0000-0000D74E0000}"/>
    <cellStyle name="Normal 20 2 12" xfId="20181" xr:uid="{00000000-0005-0000-0000-0000D84E0000}"/>
    <cellStyle name="Normal 20 2 12 2" xfId="20182" xr:uid="{00000000-0005-0000-0000-0000D94E0000}"/>
    <cellStyle name="Normal 20 2 13" xfId="20183" xr:uid="{00000000-0005-0000-0000-0000DA4E0000}"/>
    <cellStyle name="Normal 20 2 13 2" xfId="20184" xr:uid="{00000000-0005-0000-0000-0000DB4E0000}"/>
    <cellStyle name="Normal 20 2 14" xfId="20185" xr:uid="{00000000-0005-0000-0000-0000DC4E0000}"/>
    <cellStyle name="Normal 20 2 14 2" xfId="20186" xr:uid="{00000000-0005-0000-0000-0000DD4E0000}"/>
    <cellStyle name="Normal 20 2 15" xfId="20187" xr:uid="{00000000-0005-0000-0000-0000DE4E0000}"/>
    <cellStyle name="Normal 20 2 2" xfId="20188" xr:uid="{00000000-0005-0000-0000-0000DF4E0000}"/>
    <cellStyle name="Normal 20 2 2 2" xfId="20189" xr:uid="{00000000-0005-0000-0000-0000E04E0000}"/>
    <cellStyle name="Normal 20 2 3" xfId="20190" xr:uid="{00000000-0005-0000-0000-0000E14E0000}"/>
    <cellStyle name="Normal 20 2 3 2" xfId="20191" xr:uid="{00000000-0005-0000-0000-0000E24E0000}"/>
    <cellStyle name="Normal 20 2 4" xfId="20192" xr:uid="{00000000-0005-0000-0000-0000E34E0000}"/>
    <cellStyle name="Normal 20 2 4 2" xfId="20193" xr:uid="{00000000-0005-0000-0000-0000E44E0000}"/>
    <cellStyle name="Normal 20 2 5" xfId="20194" xr:uid="{00000000-0005-0000-0000-0000E54E0000}"/>
    <cellStyle name="Normal 20 2 5 2" xfId="20195" xr:uid="{00000000-0005-0000-0000-0000E64E0000}"/>
    <cellStyle name="Normal 20 2 6" xfId="20196" xr:uid="{00000000-0005-0000-0000-0000E74E0000}"/>
    <cellStyle name="Normal 20 2 6 2" xfId="20197" xr:uid="{00000000-0005-0000-0000-0000E84E0000}"/>
    <cellStyle name="Normal 20 2 7" xfId="20198" xr:uid="{00000000-0005-0000-0000-0000E94E0000}"/>
    <cellStyle name="Normal 20 2 7 2" xfId="20199" xr:uid="{00000000-0005-0000-0000-0000EA4E0000}"/>
    <cellStyle name="Normal 20 2 8" xfId="20200" xr:uid="{00000000-0005-0000-0000-0000EB4E0000}"/>
    <cellStyle name="Normal 20 2 8 2" xfId="20201" xr:uid="{00000000-0005-0000-0000-0000EC4E0000}"/>
    <cellStyle name="Normal 20 2 9" xfId="20202" xr:uid="{00000000-0005-0000-0000-0000ED4E0000}"/>
    <cellStyle name="Normal 20 2 9 2" xfId="20203" xr:uid="{00000000-0005-0000-0000-0000EE4E0000}"/>
    <cellStyle name="Normal 20 3" xfId="20204" xr:uid="{00000000-0005-0000-0000-0000EF4E0000}"/>
    <cellStyle name="Normal 20 3 10" xfId="20205" xr:uid="{00000000-0005-0000-0000-0000F04E0000}"/>
    <cellStyle name="Normal 20 3 10 2" xfId="20206" xr:uid="{00000000-0005-0000-0000-0000F14E0000}"/>
    <cellStyle name="Normal 20 3 11" xfId="20207" xr:uid="{00000000-0005-0000-0000-0000F24E0000}"/>
    <cellStyle name="Normal 20 3 11 2" xfId="20208" xr:uid="{00000000-0005-0000-0000-0000F34E0000}"/>
    <cellStyle name="Normal 20 3 12" xfId="20209" xr:uid="{00000000-0005-0000-0000-0000F44E0000}"/>
    <cellStyle name="Normal 20 3 12 2" xfId="20210" xr:uid="{00000000-0005-0000-0000-0000F54E0000}"/>
    <cellStyle name="Normal 20 3 13" xfId="20211" xr:uid="{00000000-0005-0000-0000-0000F64E0000}"/>
    <cellStyle name="Normal 20 3 13 2" xfId="20212" xr:uid="{00000000-0005-0000-0000-0000F74E0000}"/>
    <cellStyle name="Normal 20 3 14" xfId="20213" xr:uid="{00000000-0005-0000-0000-0000F84E0000}"/>
    <cellStyle name="Normal 20 3 14 2" xfId="20214" xr:uid="{00000000-0005-0000-0000-0000F94E0000}"/>
    <cellStyle name="Normal 20 3 15" xfId="20215" xr:uid="{00000000-0005-0000-0000-0000FA4E0000}"/>
    <cellStyle name="Normal 20 3 2" xfId="20216" xr:uid="{00000000-0005-0000-0000-0000FB4E0000}"/>
    <cellStyle name="Normal 20 3 2 2" xfId="20217" xr:uid="{00000000-0005-0000-0000-0000FC4E0000}"/>
    <cellStyle name="Normal 20 3 3" xfId="20218" xr:uid="{00000000-0005-0000-0000-0000FD4E0000}"/>
    <cellStyle name="Normal 20 3 3 2" xfId="20219" xr:uid="{00000000-0005-0000-0000-0000FE4E0000}"/>
    <cellStyle name="Normal 20 3 4" xfId="20220" xr:uid="{00000000-0005-0000-0000-0000FF4E0000}"/>
    <cellStyle name="Normal 20 3 4 2" xfId="20221" xr:uid="{00000000-0005-0000-0000-0000004F0000}"/>
    <cellStyle name="Normal 20 3 5" xfId="20222" xr:uid="{00000000-0005-0000-0000-0000014F0000}"/>
    <cellStyle name="Normal 20 3 5 2" xfId="20223" xr:uid="{00000000-0005-0000-0000-0000024F0000}"/>
    <cellStyle name="Normal 20 3 6" xfId="20224" xr:uid="{00000000-0005-0000-0000-0000034F0000}"/>
    <cellStyle name="Normal 20 3 6 2" xfId="20225" xr:uid="{00000000-0005-0000-0000-0000044F0000}"/>
    <cellStyle name="Normal 20 3 7" xfId="20226" xr:uid="{00000000-0005-0000-0000-0000054F0000}"/>
    <cellStyle name="Normal 20 3 7 2" xfId="20227" xr:uid="{00000000-0005-0000-0000-0000064F0000}"/>
    <cellStyle name="Normal 20 3 8" xfId="20228" xr:uid="{00000000-0005-0000-0000-0000074F0000}"/>
    <cellStyle name="Normal 20 3 8 2" xfId="20229" xr:uid="{00000000-0005-0000-0000-0000084F0000}"/>
    <cellStyle name="Normal 20 3 9" xfId="20230" xr:uid="{00000000-0005-0000-0000-0000094F0000}"/>
    <cellStyle name="Normal 20 3 9 2" xfId="20231" xr:uid="{00000000-0005-0000-0000-00000A4F0000}"/>
    <cellStyle name="Normal 20 4" xfId="20232" xr:uid="{00000000-0005-0000-0000-00000B4F0000}"/>
    <cellStyle name="Normal 20 4 2" xfId="20233" xr:uid="{00000000-0005-0000-0000-00000C4F0000}"/>
    <cellStyle name="Normal 20 5" xfId="20234" xr:uid="{00000000-0005-0000-0000-00000D4F0000}"/>
    <cellStyle name="Normal 20 5 2" xfId="20235" xr:uid="{00000000-0005-0000-0000-00000E4F0000}"/>
    <cellStyle name="Normal 20 6" xfId="20236" xr:uid="{00000000-0005-0000-0000-00000F4F0000}"/>
    <cellStyle name="Normal 20 6 2" xfId="20237" xr:uid="{00000000-0005-0000-0000-0000104F0000}"/>
    <cellStyle name="Normal 20 7" xfId="20238" xr:uid="{00000000-0005-0000-0000-0000114F0000}"/>
    <cellStyle name="Normal 20 7 2" xfId="20239" xr:uid="{00000000-0005-0000-0000-0000124F0000}"/>
    <cellStyle name="Normal 20 8" xfId="20240" xr:uid="{00000000-0005-0000-0000-0000134F0000}"/>
    <cellStyle name="Normal 20 8 2" xfId="20241" xr:uid="{00000000-0005-0000-0000-0000144F0000}"/>
    <cellStyle name="Normal 20 9" xfId="20242" xr:uid="{00000000-0005-0000-0000-0000154F0000}"/>
    <cellStyle name="Normal 20 9 2" xfId="20243" xr:uid="{00000000-0005-0000-0000-0000164F0000}"/>
    <cellStyle name="Normal 21" xfId="20244" xr:uid="{00000000-0005-0000-0000-0000174F0000}"/>
    <cellStyle name="Normal 21 10" xfId="20245" xr:uid="{00000000-0005-0000-0000-0000184F0000}"/>
    <cellStyle name="Normal 21 10 2" xfId="20246" xr:uid="{00000000-0005-0000-0000-0000194F0000}"/>
    <cellStyle name="Normal 21 11" xfId="20247" xr:uid="{00000000-0005-0000-0000-00001A4F0000}"/>
    <cellStyle name="Normal 21 11 2" xfId="20248" xr:uid="{00000000-0005-0000-0000-00001B4F0000}"/>
    <cellStyle name="Normal 21 12" xfId="20249" xr:uid="{00000000-0005-0000-0000-00001C4F0000}"/>
    <cellStyle name="Normal 21 12 2" xfId="20250" xr:uid="{00000000-0005-0000-0000-00001D4F0000}"/>
    <cellStyle name="Normal 21 13" xfId="20251" xr:uid="{00000000-0005-0000-0000-00001E4F0000}"/>
    <cellStyle name="Normal 21 13 2" xfId="20252" xr:uid="{00000000-0005-0000-0000-00001F4F0000}"/>
    <cellStyle name="Normal 21 14" xfId="20253" xr:uid="{00000000-0005-0000-0000-0000204F0000}"/>
    <cellStyle name="Normal 21 14 2" xfId="20254" xr:uid="{00000000-0005-0000-0000-0000214F0000}"/>
    <cellStyle name="Normal 21 15" xfId="20255" xr:uid="{00000000-0005-0000-0000-0000224F0000}"/>
    <cellStyle name="Normal 21 15 2" xfId="20256" xr:uid="{00000000-0005-0000-0000-0000234F0000}"/>
    <cellStyle name="Normal 21 16" xfId="20257" xr:uid="{00000000-0005-0000-0000-0000244F0000}"/>
    <cellStyle name="Normal 21 16 2" xfId="20258" xr:uid="{00000000-0005-0000-0000-0000254F0000}"/>
    <cellStyle name="Normal 21 17" xfId="20259" xr:uid="{00000000-0005-0000-0000-0000264F0000}"/>
    <cellStyle name="Normal 21 18" xfId="20260" xr:uid="{00000000-0005-0000-0000-0000274F0000}"/>
    <cellStyle name="Normal 21 2" xfId="20261" xr:uid="{00000000-0005-0000-0000-0000284F0000}"/>
    <cellStyle name="Normal 21 2 10" xfId="20262" xr:uid="{00000000-0005-0000-0000-0000294F0000}"/>
    <cellStyle name="Normal 21 2 10 2" xfId="20263" xr:uid="{00000000-0005-0000-0000-00002A4F0000}"/>
    <cellStyle name="Normal 21 2 11" xfId="20264" xr:uid="{00000000-0005-0000-0000-00002B4F0000}"/>
    <cellStyle name="Normal 21 2 11 2" xfId="20265" xr:uid="{00000000-0005-0000-0000-00002C4F0000}"/>
    <cellStyle name="Normal 21 2 12" xfId="20266" xr:uid="{00000000-0005-0000-0000-00002D4F0000}"/>
    <cellStyle name="Normal 21 2 12 2" xfId="20267" xr:uid="{00000000-0005-0000-0000-00002E4F0000}"/>
    <cellStyle name="Normal 21 2 13" xfId="20268" xr:uid="{00000000-0005-0000-0000-00002F4F0000}"/>
    <cellStyle name="Normal 21 2 13 2" xfId="20269" xr:uid="{00000000-0005-0000-0000-0000304F0000}"/>
    <cellStyle name="Normal 21 2 14" xfId="20270" xr:uid="{00000000-0005-0000-0000-0000314F0000}"/>
    <cellStyle name="Normal 21 2 14 2" xfId="20271" xr:uid="{00000000-0005-0000-0000-0000324F0000}"/>
    <cellStyle name="Normal 21 2 15" xfId="20272" xr:uid="{00000000-0005-0000-0000-0000334F0000}"/>
    <cellStyle name="Normal 21 2 2" xfId="20273" xr:uid="{00000000-0005-0000-0000-0000344F0000}"/>
    <cellStyle name="Normal 21 2 2 2" xfId="20274" xr:uid="{00000000-0005-0000-0000-0000354F0000}"/>
    <cellStyle name="Normal 21 2 3" xfId="20275" xr:uid="{00000000-0005-0000-0000-0000364F0000}"/>
    <cellStyle name="Normal 21 2 3 2" xfId="20276" xr:uid="{00000000-0005-0000-0000-0000374F0000}"/>
    <cellStyle name="Normal 21 2 4" xfId="20277" xr:uid="{00000000-0005-0000-0000-0000384F0000}"/>
    <cellStyle name="Normal 21 2 4 2" xfId="20278" xr:uid="{00000000-0005-0000-0000-0000394F0000}"/>
    <cellStyle name="Normal 21 2 5" xfId="20279" xr:uid="{00000000-0005-0000-0000-00003A4F0000}"/>
    <cellStyle name="Normal 21 2 5 2" xfId="20280" xr:uid="{00000000-0005-0000-0000-00003B4F0000}"/>
    <cellStyle name="Normal 21 2 6" xfId="20281" xr:uid="{00000000-0005-0000-0000-00003C4F0000}"/>
    <cellStyle name="Normal 21 2 6 2" xfId="20282" xr:uid="{00000000-0005-0000-0000-00003D4F0000}"/>
    <cellStyle name="Normal 21 2 7" xfId="20283" xr:uid="{00000000-0005-0000-0000-00003E4F0000}"/>
    <cellStyle name="Normal 21 2 7 2" xfId="20284" xr:uid="{00000000-0005-0000-0000-00003F4F0000}"/>
    <cellStyle name="Normal 21 2 8" xfId="20285" xr:uid="{00000000-0005-0000-0000-0000404F0000}"/>
    <cellStyle name="Normal 21 2 8 2" xfId="20286" xr:uid="{00000000-0005-0000-0000-0000414F0000}"/>
    <cellStyle name="Normal 21 2 9" xfId="20287" xr:uid="{00000000-0005-0000-0000-0000424F0000}"/>
    <cellStyle name="Normal 21 2 9 2" xfId="20288" xr:uid="{00000000-0005-0000-0000-0000434F0000}"/>
    <cellStyle name="Normal 21 3" xfId="20289" xr:uid="{00000000-0005-0000-0000-0000444F0000}"/>
    <cellStyle name="Normal 21 3 10" xfId="20290" xr:uid="{00000000-0005-0000-0000-0000454F0000}"/>
    <cellStyle name="Normal 21 3 10 2" xfId="20291" xr:uid="{00000000-0005-0000-0000-0000464F0000}"/>
    <cellStyle name="Normal 21 3 11" xfId="20292" xr:uid="{00000000-0005-0000-0000-0000474F0000}"/>
    <cellStyle name="Normal 21 3 11 2" xfId="20293" xr:uid="{00000000-0005-0000-0000-0000484F0000}"/>
    <cellStyle name="Normal 21 3 12" xfId="20294" xr:uid="{00000000-0005-0000-0000-0000494F0000}"/>
    <cellStyle name="Normal 21 3 12 2" xfId="20295" xr:uid="{00000000-0005-0000-0000-00004A4F0000}"/>
    <cellStyle name="Normal 21 3 13" xfId="20296" xr:uid="{00000000-0005-0000-0000-00004B4F0000}"/>
    <cellStyle name="Normal 21 3 13 2" xfId="20297" xr:uid="{00000000-0005-0000-0000-00004C4F0000}"/>
    <cellStyle name="Normal 21 3 14" xfId="20298" xr:uid="{00000000-0005-0000-0000-00004D4F0000}"/>
    <cellStyle name="Normal 21 3 14 2" xfId="20299" xr:uid="{00000000-0005-0000-0000-00004E4F0000}"/>
    <cellStyle name="Normal 21 3 15" xfId="20300" xr:uid="{00000000-0005-0000-0000-00004F4F0000}"/>
    <cellStyle name="Normal 21 3 2" xfId="20301" xr:uid="{00000000-0005-0000-0000-0000504F0000}"/>
    <cellStyle name="Normal 21 3 2 2" xfId="20302" xr:uid="{00000000-0005-0000-0000-0000514F0000}"/>
    <cellStyle name="Normal 21 3 3" xfId="20303" xr:uid="{00000000-0005-0000-0000-0000524F0000}"/>
    <cellStyle name="Normal 21 3 3 2" xfId="20304" xr:uid="{00000000-0005-0000-0000-0000534F0000}"/>
    <cellStyle name="Normal 21 3 4" xfId="20305" xr:uid="{00000000-0005-0000-0000-0000544F0000}"/>
    <cellStyle name="Normal 21 3 4 2" xfId="20306" xr:uid="{00000000-0005-0000-0000-0000554F0000}"/>
    <cellStyle name="Normal 21 3 5" xfId="20307" xr:uid="{00000000-0005-0000-0000-0000564F0000}"/>
    <cellStyle name="Normal 21 3 5 2" xfId="20308" xr:uid="{00000000-0005-0000-0000-0000574F0000}"/>
    <cellStyle name="Normal 21 3 6" xfId="20309" xr:uid="{00000000-0005-0000-0000-0000584F0000}"/>
    <cellStyle name="Normal 21 3 6 2" xfId="20310" xr:uid="{00000000-0005-0000-0000-0000594F0000}"/>
    <cellStyle name="Normal 21 3 7" xfId="20311" xr:uid="{00000000-0005-0000-0000-00005A4F0000}"/>
    <cellStyle name="Normal 21 3 7 2" xfId="20312" xr:uid="{00000000-0005-0000-0000-00005B4F0000}"/>
    <cellStyle name="Normal 21 3 8" xfId="20313" xr:uid="{00000000-0005-0000-0000-00005C4F0000}"/>
    <cellStyle name="Normal 21 3 8 2" xfId="20314" xr:uid="{00000000-0005-0000-0000-00005D4F0000}"/>
    <cellStyle name="Normal 21 3 9" xfId="20315" xr:uid="{00000000-0005-0000-0000-00005E4F0000}"/>
    <cellStyle name="Normal 21 3 9 2" xfId="20316" xr:uid="{00000000-0005-0000-0000-00005F4F0000}"/>
    <cellStyle name="Normal 21 4" xfId="20317" xr:uid="{00000000-0005-0000-0000-0000604F0000}"/>
    <cellStyle name="Normal 21 4 2" xfId="20318" xr:uid="{00000000-0005-0000-0000-0000614F0000}"/>
    <cellStyle name="Normal 21 5" xfId="20319" xr:uid="{00000000-0005-0000-0000-0000624F0000}"/>
    <cellStyle name="Normal 21 5 2" xfId="20320" xr:uid="{00000000-0005-0000-0000-0000634F0000}"/>
    <cellStyle name="Normal 21 6" xfId="20321" xr:uid="{00000000-0005-0000-0000-0000644F0000}"/>
    <cellStyle name="Normal 21 6 2" xfId="20322" xr:uid="{00000000-0005-0000-0000-0000654F0000}"/>
    <cellStyle name="Normal 21 7" xfId="20323" xr:uid="{00000000-0005-0000-0000-0000664F0000}"/>
    <cellStyle name="Normal 21 7 2" xfId="20324" xr:uid="{00000000-0005-0000-0000-0000674F0000}"/>
    <cellStyle name="Normal 21 8" xfId="20325" xr:uid="{00000000-0005-0000-0000-0000684F0000}"/>
    <cellStyle name="Normal 21 8 2" xfId="20326" xr:uid="{00000000-0005-0000-0000-0000694F0000}"/>
    <cellStyle name="Normal 21 9" xfId="20327" xr:uid="{00000000-0005-0000-0000-00006A4F0000}"/>
    <cellStyle name="Normal 21 9 2" xfId="20328" xr:uid="{00000000-0005-0000-0000-00006B4F0000}"/>
    <cellStyle name="Normal 22" xfId="20329" xr:uid="{00000000-0005-0000-0000-00006C4F0000}"/>
    <cellStyle name="Normal 22 2" xfId="20330" xr:uid="{00000000-0005-0000-0000-00006D4F0000}"/>
    <cellStyle name="Normal 22 2 2" xfId="20331" xr:uid="{00000000-0005-0000-0000-00006E4F0000}"/>
    <cellStyle name="Normal 22 2 2 2" xfId="20332" xr:uid="{00000000-0005-0000-0000-00006F4F0000}"/>
    <cellStyle name="Normal 22 2 2 3" xfId="20333" xr:uid="{00000000-0005-0000-0000-0000704F0000}"/>
    <cellStyle name="Normal 22 2 3" xfId="20334" xr:uid="{00000000-0005-0000-0000-0000714F0000}"/>
    <cellStyle name="Normal 22 2 3 2" xfId="20335" xr:uid="{00000000-0005-0000-0000-0000724F0000}"/>
    <cellStyle name="Normal 22 2 3 3" xfId="20336" xr:uid="{00000000-0005-0000-0000-0000734F0000}"/>
    <cellStyle name="Normal 22 2 4" xfId="20337" xr:uid="{00000000-0005-0000-0000-0000744F0000}"/>
    <cellStyle name="Normal 22 2 5" xfId="20338" xr:uid="{00000000-0005-0000-0000-0000754F0000}"/>
    <cellStyle name="Normal 22 2 6" xfId="20339" xr:uid="{00000000-0005-0000-0000-0000764F0000}"/>
    <cellStyle name="Normal 22 3" xfId="20340" xr:uid="{00000000-0005-0000-0000-0000774F0000}"/>
    <cellStyle name="Normal 22 3 2" xfId="20341" xr:uid="{00000000-0005-0000-0000-0000784F0000}"/>
    <cellStyle name="Normal 22 3 3" xfId="20342" xr:uid="{00000000-0005-0000-0000-0000794F0000}"/>
    <cellStyle name="Normal 22 4" xfId="20343" xr:uid="{00000000-0005-0000-0000-00007A4F0000}"/>
    <cellStyle name="Normal 22 4 2" xfId="20344" xr:uid="{00000000-0005-0000-0000-00007B4F0000}"/>
    <cellStyle name="Normal 22 4 3" xfId="20345" xr:uid="{00000000-0005-0000-0000-00007C4F0000}"/>
    <cellStyle name="Normal 22 5" xfId="20346" xr:uid="{00000000-0005-0000-0000-00007D4F0000}"/>
    <cellStyle name="Normal 22 6" xfId="20347" xr:uid="{00000000-0005-0000-0000-00007E4F0000}"/>
    <cellStyle name="Normal 22 7" xfId="20348" xr:uid="{00000000-0005-0000-0000-00007F4F0000}"/>
    <cellStyle name="Normal 23" xfId="20349" xr:uid="{00000000-0005-0000-0000-0000804F0000}"/>
    <cellStyle name="Normal 23 2" xfId="20350" xr:uid="{00000000-0005-0000-0000-0000814F0000}"/>
    <cellStyle name="Normal 23 2 2" xfId="20351" xr:uid="{00000000-0005-0000-0000-0000824F0000}"/>
    <cellStyle name="Normal 23 2 2 2" xfId="20352" xr:uid="{00000000-0005-0000-0000-0000834F0000}"/>
    <cellStyle name="Normal 23 2 2 3" xfId="20353" xr:uid="{00000000-0005-0000-0000-0000844F0000}"/>
    <cellStyle name="Normal 23 2 3" xfId="20354" xr:uid="{00000000-0005-0000-0000-0000854F0000}"/>
    <cellStyle name="Normal 23 2 3 2" xfId="20355" xr:uid="{00000000-0005-0000-0000-0000864F0000}"/>
    <cellStyle name="Normal 23 2 3 3" xfId="20356" xr:uid="{00000000-0005-0000-0000-0000874F0000}"/>
    <cellStyle name="Normal 23 2 4" xfId="20357" xr:uid="{00000000-0005-0000-0000-0000884F0000}"/>
    <cellStyle name="Normal 23 2 5" xfId="20358" xr:uid="{00000000-0005-0000-0000-0000894F0000}"/>
    <cellStyle name="Normal 23 2 6" xfId="20359" xr:uid="{00000000-0005-0000-0000-00008A4F0000}"/>
    <cellStyle name="Normal 23 3" xfId="20360" xr:uid="{00000000-0005-0000-0000-00008B4F0000}"/>
    <cellStyle name="Normal 23 3 2" xfId="20361" xr:uid="{00000000-0005-0000-0000-00008C4F0000}"/>
    <cellStyle name="Normal 23 3 3" xfId="20362" xr:uid="{00000000-0005-0000-0000-00008D4F0000}"/>
    <cellStyle name="Normal 23 3 4" xfId="20363" xr:uid="{00000000-0005-0000-0000-00008E4F0000}"/>
    <cellStyle name="Normal 23 4" xfId="20364" xr:uid="{00000000-0005-0000-0000-00008F4F0000}"/>
    <cellStyle name="Normal 23 4 2" xfId="20365" xr:uid="{00000000-0005-0000-0000-0000904F0000}"/>
    <cellStyle name="Normal 23 4 3" xfId="20366" xr:uid="{00000000-0005-0000-0000-0000914F0000}"/>
    <cellStyle name="Normal 23 5" xfId="20367" xr:uid="{00000000-0005-0000-0000-0000924F0000}"/>
    <cellStyle name="Normal 23 6" xfId="20368" xr:uid="{00000000-0005-0000-0000-0000934F0000}"/>
    <cellStyle name="Normal 23 7" xfId="20369" xr:uid="{00000000-0005-0000-0000-0000944F0000}"/>
    <cellStyle name="Normal 24" xfId="20370" xr:uid="{00000000-0005-0000-0000-0000954F0000}"/>
    <cellStyle name="Normal 24 10" xfId="20371" xr:uid="{00000000-0005-0000-0000-0000964F0000}"/>
    <cellStyle name="Normal 24 10 2" xfId="20372" xr:uid="{00000000-0005-0000-0000-0000974F0000}"/>
    <cellStyle name="Normal 24 10 2 2" xfId="20373" xr:uid="{00000000-0005-0000-0000-0000984F0000}"/>
    <cellStyle name="Normal 24 10 2 2 2" xfId="20374" xr:uid="{00000000-0005-0000-0000-0000994F0000}"/>
    <cellStyle name="Normal 24 10 2 2 3" xfId="20375" xr:uid="{00000000-0005-0000-0000-00009A4F0000}"/>
    <cellStyle name="Normal 24 10 2 3" xfId="20376" xr:uid="{00000000-0005-0000-0000-00009B4F0000}"/>
    <cellStyle name="Normal 24 10 2 3 2" xfId="20377" xr:uid="{00000000-0005-0000-0000-00009C4F0000}"/>
    <cellStyle name="Normal 24 10 2 3 3" xfId="20378" xr:uid="{00000000-0005-0000-0000-00009D4F0000}"/>
    <cellStyle name="Normal 24 10 2 4" xfId="20379" xr:uid="{00000000-0005-0000-0000-00009E4F0000}"/>
    <cellStyle name="Normal 24 10 2 5" xfId="20380" xr:uid="{00000000-0005-0000-0000-00009F4F0000}"/>
    <cellStyle name="Normal 24 10 2 6" xfId="20381" xr:uid="{00000000-0005-0000-0000-0000A04F0000}"/>
    <cellStyle name="Normal 24 10 3" xfId="20382" xr:uid="{00000000-0005-0000-0000-0000A14F0000}"/>
    <cellStyle name="Normal 24 10 3 2" xfId="20383" xr:uid="{00000000-0005-0000-0000-0000A24F0000}"/>
    <cellStyle name="Normal 24 10 3 3" xfId="20384" xr:uid="{00000000-0005-0000-0000-0000A34F0000}"/>
    <cellStyle name="Normal 24 10 4" xfId="20385" xr:uid="{00000000-0005-0000-0000-0000A44F0000}"/>
    <cellStyle name="Normal 24 10 4 2" xfId="20386" xr:uid="{00000000-0005-0000-0000-0000A54F0000}"/>
    <cellStyle name="Normal 24 10 4 3" xfId="20387" xr:uid="{00000000-0005-0000-0000-0000A64F0000}"/>
    <cellStyle name="Normal 24 10 5" xfId="20388" xr:uid="{00000000-0005-0000-0000-0000A74F0000}"/>
    <cellStyle name="Normal 24 10 6" xfId="20389" xr:uid="{00000000-0005-0000-0000-0000A84F0000}"/>
    <cellStyle name="Normal 24 10 7" xfId="20390" xr:uid="{00000000-0005-0000-0000-0000A94F0000}"/>
    <cellStyle name="Normal 24 11" xfId="20391" xr:uid="{00000000-0005-0000-0000-0000AA4F0000}"/>
    <cellStyle name="Normal 24 11 2" xfId="20392" xr:uid="{00000000-0005-0000-0000-0000AB4F0000}"/>
    <cellStyle name="Normal 24 11 2 2" xfId="20393" xr:uid="{00000000-0005-0000-0000-0000AC4F0000}"/>
    <cellStyle name="Normal 24 11 2 2 2" xfId="20394" xr:uid="{00000000-0005-0000-0000-0000AD4F0000}"/>
    <cellStyle name="Normal 24 11 2 2 3" xfId="20395" xr:uid="{00000000-0005-0000-0000-0000AE4F0000}"/>
    <cellStyle name="Normal 24 11 2 3" xfId="20396" xr:uid="{00000000-0005-0000-0000-0000AF4F0000}"/>
    <cellStyle name="Normal 24 11 2 3 2" xfId="20397" xr:uid="{00000000-0005-0000-0000-0000B04F0000}"/>
    <cellStyle name="Normal 24 11 2 3 3" xfId="20398" xr:uid="{00000000-0005-0000-0000-0000B14F0000}"/>
    <cellStyle name="Normal 24 11 2 4" xfId="20399" xr:uid="{00000000-0005-0000-0000-0000B24F0000}"/>
    <cellStyle name="Normal 24 11 2 5" xfId="20400" xr:uid="{00000000-0005-0000-0000-0000B34F0000}"/>
    <cellStyle name="Normal 24 11 2 6" xfId="20401" xr:uid="{00000000-0005-0000-0000-0000B44F0000}"/>
    <cellStyle name="Normal 24 11 3" xfId="20402" xr:uid="{00000000-0005-0000-0000-0000B54F0000}"/>
    <cellStyle name="Normal 24 11 3 2" xfId="20403" xr:uid="{00000000-0005-0000-0000-0000B64F0000}"/>
    <cellStyle name="Normal 24 11 3 3" xfId="20404" xr:uid="{00000000-0005-0000-0000-0000B74F0000}"/>
    <cellStyle name="Normal 24 11 4" xfId="20405" xr:uid="{00000000-0005-0000-0000-0000B84F0000}"/>
    <cellStyle name="Normal 24 11 4 2" xfId="20406" xr:uid="{00000000-0005-0000-0000-0000B94F0000}"/>
    <cellStyle name="Normal 24 11 4 3" xfId="20407" xr:uid="{00000000-0005-0000-0000-0000BA4F0000}"/>
    <cellStyle name="Normal 24 11 5" xfId="20408" xr:uid="{00000000-0005-0000-0000-0000BB4F0000}"/>
    <cellStyle name="Normal 24 11 6" xfId="20409" xr:uid="{00000000-0005-0000-0000-0000BC4F0000}"/>
    <cellStyle name="Normal 24 11 7" xfId="20410" xr:uid="{00000000-0005-0000-0000-0000BD4F0000}"/>
    <cellStyle name="Normal 24 12" xfId="20411" xr:uid="{00000000-0005-0000-0000-0000BE4F0000}"/>
    <cellStyle name="Normal 24 12 2" xfId="20412" xr:uid="{00000000-0005-0000-0000-0000BF4F0000}"/>
    <cellStyle name="Normal 24 12 2 2" xfId="20413" xr:uid="{00000000-0005-0000-0000-0000C04F0000}"/>
    <cellStyle name="Normal 24 12 2 2 2" xfId="20414" xr:uid="{00000000-0005-0000-0000-0000C14F0000}"/>
    <cellStyle name="Normal 24 12 2 2 3" xfId="20415" xr:uid="{00000000-0005-0000-0000-0000C24F0000}"/>
    <cellStyle name="Normal 24 12 2 3" xfId="20416" xr:uid="{00000000-0005-0000-0000-0000C34F0000}"/>
    <cellStyle name="Normal 24 12 2 3 2" xfId="20417" xr:uid="{00000000-0005-0000-0000-0000C44F0000}"/>
    <cellStyle name="Normal 24 12 2 3 3" xfId="20418" xr:uid="{00000000-0005-0000-0000-0000C54F0000}"/>
    <cellStyle name="Normal 24 12 2 4" xfId="20419" xr:uid="{00000000-0005-0000-0000-0000C64F0000}"/>
    <cellStyle name="Normal 24 12 2 5" xfId="20420" xr:uid="{00000000-0005-0000-0000-0000C74F0000}"/>
    <cellStyle name="Normal 24 12 2 6" xfId="20421" xr:uid="{00000000-0005-0000-0000-0000C84F0000}"/>
    <cellStyle name="Normal 24 12 3" xfId="20422" xr:uid="{00000000-0005-0000-0000-0000C94F0000}"/>
    <cellStyle name="Normal 24 12 3 2" xfId="20423" xr:uid="{00000000-0005-0000-0000-0000CA4F0000}"/>
    <cellStyle name="Normal 24 12 3 3" xfId="20424" xr:uid="{00000000-0005-0000-0000-0000CB4F0000}"/>
    <cellStyle name="Normal 24 12 4" xfId="20425" xr:uid="{00000000-0005-0000-0000-0000CC4F0000}"/>
    <cellStyle name="Normal 24 12 4 2" xfId="20426" xr:uid="{00000000-0005-0000-0000-0000CD4F0000}"/>
    <cellStyle name="Normal 24 12 4 3" xfId="20427" xr:uid="{00000000-0005-0000-0000-0000CE4F0000}"/>
    <cellStyle name="Normal 24 12 5" xfId="20428" xr:uid="{00000000-0005-0000-0000-0000CF4F0000}"/>
    <cellStyle name="Normal 24 12 6" xfId="20429" xr:uid="{00000000-0005-0000-0000-0000D04F0000}"/>
    <cellStyle name="Normal 24 12 7" xfId="20430" xr:uid="{00000000-0005-0000-0000-0000D14F0000}"/>
    <cellStyle name="Normal 24 13" xfId="20431" xr:uid="{00000000-0005-0000-0000-0000D24F0000}"/>
    <cellStyle name="Normal 24 13 2" xfId="20432" xr:uid="{00000000-0005-0000-0000-0000D34F0000}"/>
    <cellStyle name="Normal 24 13 2 2" xfId="20433" xr:uid="{00000000-0005-0000-0000-0000D44F0000}"/>
    <cellStyle name="Normal 24 13 2 2 2" xfId="20434" xr:uid="{00000000-0005-0000-0000-0000D54F0000}"/>
    <cellStyle name="Normal 24 13 2 2 3" xfId="20435" xr:uid="{00000000-0005-0000-0000-0000D64F0000}"/>
    <cellStyle name="Normal 24 13 2 3" xfId="20436" xr:uid="{00000000-0005-0000-0000-0000D74F0000}"/>
    <cellStyle name="Normal 24 13 2 3 2" xfId="20437" xr:uid="{00000000-0005-0000-0000-0000D84F0000}"/>
    <cellStyle name="Normal 24 13 2 3 3" xfId="20438" xr:uid="{00000000-0005-0000-0000-0000D94F0000}"/>
    <cellStyle name="Normal 24 13 2 4" xfId="20439" xr:uid="{00000000-0005-0000-0000-0000DA4F0000}"/>
    <cellStyle name="Normal 24 13 2 5" xfId="20440" xr:uid="{00000000-0005-0000-0000-0000DB4F0000}"/>
    <cellStyle name="Normal 24 13 2 6" xfId="20441" xr:uid="{00000000-0005-0000-0000-0000DC4F0000}"/>
    <cellStyle name="Normal 24 13 3" xfId="20442" xr:uid="{00000000-0005-0000-0000-0000DD4F0000}"/>
    <cellStyle name="Normal 24 13 3 2" xfId="20443" xr:uid="{00000000-0005-0000-0000-0000DE4F0000}"/>
    <cellStyle name="Normal 24 13 3 3" xfId="20444" xr:uid="{00000000-0005-0000-0000-0000DF4F0000}"/>
    <cellStyle name="Normal 24 13 4" xfId="20445" xr:uid="{00000000-0005-0000-0000-0000E04F0000}"/>
    <cellStyle name="Normal 24 13 4 2" xfId="20446" xr:uid="{00000000-0005-0000-0000-0000E14F0000}"/>
    <cellStyle name="Normal 24 13 4 3" xfId="20447" xr:uid="{00000000-0005-0000-0000-0000E24F0000}"/>
    <cellStyle name="Normal 24 13 5" xfId="20448" xr:uid="{00000000-0005-0000-0000-0000E34F0000}"/>
    <cellStyle name="Normal 24 13 6" xfId="20449" xr:uid="{00000000-0005-0000-0000-0000E44F0000}"/>
    <cellStyle name="Normal 24 13 7" xfId="20450" xr:uid="{00000000-0005-0000-0000-0000E54F0000}"/>
    <cellStyle name="Normal 24 14" xfId="20451" xr:uid="{00000000-0005-0000-0000-0000E64F0000}"/>
    <cellStyle name="Normal 24 14 2" xfId="20452" xr:uid="{00000000-0005-0000-0000-0000E74F0000}"/>
    <cellStyle name="Normal 24 14 2 2" xfId="20453" xr:uid="{00000000-0005-0000-0000-0000E84F0000}"/>
    <cellStyle name="Normal 24 14 2 2 2" xfId="20454" xr:uid="{00000000-0005-0000-0000-0000E94F0000}"/>
    <cellStyle name="Normal 24 14 2 2 3" xfId="20455" xr:uid="{00000000-0005-0000-0000-0000EA4F0000}"/>
    <cellStyle name="Normal 24 14 2 3" xfId="20456" xr:uid="{00000000-0005-0000-0000-0000EB4F0000}"/>
    <cellStyle name="Normal 24 14 2 3 2" xfId="20457" xr:uid="{00000000-0005-0000-0000-0000EC4F0000}"/>
    <cellStyle name="Normal 24 14 2 3 3" xfId="20458" xr:uid="{00000000-0005-0000-0000-0000ED4F0000}"/>
    <cellStyle name="Normal 24 14 2 4" xfId="20459" xr:uid="{00000000-0005-0000-0000-0000EE4F0000}"/>
    <cellStyle name="Normal 24 14 2 5" xfId="20460" xr:uid="{00000000-0005-0000-0000-0000EF4F0000}"/>
    <cellStyle name="Normal 24 14 2 6" xfId="20461" xr:uid="{00000000-0005-0000-0000-0000F04F0000}"/>
    <cellStyle name="Normal 24 14 3" xfId="20462" xr:uid="{00000000-0005-0000-0000-0000F14F0000}"/>
    <cellStyle name="Normal 24 14 3 2" xfId="20463" xr:uid="{00000000-0005-0000-0000-0000F24F0000}"/>
    <cellStyle name="Normal 24 14 3 3" xfId="20464" xr:uid="{00000000-0005-0000-0000-0000F34F0000}"/>
    <cellStyle name="Normal 24 14 4" xfId="20465" xr:uid="{00000000-0005-0000-0000-0000F44F0000}"/>
    <cellStyle name="Normal 24 14 4 2" xfId="20466" xr:uid="{00000000-0005-0000-0000-0000F54F0000}"/>
    <cellStyle name="Normal 24 14 4 3" xfId="20467" xr:uid="{00000000-0005-0000-0000-0000F64F0000}"/>
    <cellStyle name="Normal 24 14 5" xfId="20468" xr:uid="{00000000-0005-0000-0000-0000F74F0000}"/>
    <cellStyle name="Normal 24 14 6" xfId="20469" xr:uid="{00000000-0005-0000-0000-0000F84F0000}"/>
    <cellStyle name="Normal 24 14 7" xfId="20470" xr:uid="{00000000-0005-0000-0000-0000F94F0000}"/>
    <cellStyle name="Normal 24 15" xfId="20471" xr:uid="{00000000-0005-0000-0000-0000FA4F0000}"/>
    <cellStyle name="Normal 24 15 2" xfId="20472" xr:uid="{00000000-0005-0000-0000-0000FB4F0000}"/>
    <cellStyle name="Normal 24 15 2 2" xfId="20473" xr:uid="{00000000-0005-0000-0000-0000FC4F0000}"/>
    <cellStyle name="Normal 24 15 2 3" xfId="20474" xr:uid="{00000000-0005-0000-0000-0000FD4F0000}"/>
    <cellStyle name="Normal 24 15 3" xfId="20475" xr:uid="{00000000-0005-0000-0000-0000FE4F0000}"/>
    <cellStyle name="Normal 24 15 3 2" xfId="20476" xr:uid="{00000000-0005-0000-0000-0000FF4F0000}"/>
    <cellStyle name="Normal 24 15 3 3" xfId="20477" xr:uid="{00000000-0005-0000-0000-000000500000}"/>
    <cellStyle name="Normal 24 15 4" xfId="20478" xr:uid="{00000000-0005-0000-0000-000001500000}"/>
    <cellStyle name="Normal 24 15 5" xfId="20479" xr:uid="{00000000-0005-0000-0000-000002500000}"/>
    <cellStyle name="Normal 24 15 6" xfId="20480" xr:uid="{00000000-0005-0000-0000-000003500000}"/>
    <cellStyle name="Normal 24 16" xfId="20481" xr:uid="{00000000-0005-0000-0000-000004500000}"/>
    <cellStyle name="Normal 24 16 2" xfId="20482" xr:uid="{00000000-0005-0000-0000-000005500000}"/>
    <cellStyle name="Normal 24 16 3" xfId="20483" xr:uid="{00000000-0005-0000-0000-000006500000}"/>
    <cellStyle name="Normal 24 16 4" xfId="20484" xr:uid="{00000000-0005-0000-0000-000007500000}"/>
    <cellStyle name="Normal 24 17" xfId="20485" xr:uid="{00000000-0005-0000-0000-000008500000}"/>
    <cellStyle name="Normal 24 17 2" xfId="20486" xr:uid="{00000000-0005-0000-0000-000009500000}"/>
    <cellStyle name="Normal 24 17 3" xfId="20487" xr:uid="{00000000-0005-0000-0000-00000A500000}"/>
    <cellStyle name="Normal 24 18" xfId="20488" xr:uid="{00000000-0005-0000-0000-00000B500000}"/>
    <cellStyle name="Normal 24 19" xfId="20489" xr:uid="{00000000-0005-0000-0000-00000C500000}"/>
    <cellStyle name="Normal 24 2" xfId="20490" xr:uid="{00000000-0005-0000-0000-00000D500000}"/>
    <cellStyle name="Normal 24 2 2" xfId="20491" xr:uid="{00000000-0005-0000-0000-00000E500000}"/>
    <cellStyle name="Normal 24 2 2 2" xfId="20492" xr:uid="{00000000-0005-0000-0000-00000F500000}"/>
    <cellStyle name="Normal 24 2 2 2 2" xfId="20493" xr:uid="{00000000-0005-0000-0000-000010500000}"/>
    <cellStyle name="Normal 24 2 2 2 3" xfId="20494" xr:uid="{00000000-0005-0000-0000-000011500000}"/>
    <cellStyle name="Normal 24 2 2 3" xfId="20495" xr:uid="{00000000-0005-0000-0000-000012500000}"/>
    <cellStyle name="Normal 24 2 2 3 2" xfId="20496" xr:uid="{00000000-0005-0000-0000-000013500000}"/>
    <cellStyle name="Normal 24 2 2 3 3" xfId="20497" xr:uid="{00000000-0005-0000-0000-000014500000}"/>
    <cellStyle name="Normal 24 2 2 4" xfId="20498" xr:uid="{00000000-0005-0000-0000-000015500000}"/>
    <cellStyle name="Normal 24 2 2 5" xfId="20499" xr:uid="{00000000-0005-0000-0000-000016500000}"/>
    <cellStyle name="Normal 24 2 2 6" xfId="20500" xr:uid="{00000000-0005-0000-0000-000017500000}"/>
    <cellStyle name="Normal 24 2 3" xfId="20501" xr:uid="{00000000-0005-0000-0000-000018500000}"/>
    <cellStyle name="Normal 24 2 3 2" xfId="20502" xr:uid="{00000000-0005-0000-0000-000019500000}"/>
    <cellStyle name="Normal 24 2 3 3" xfId="20503" xr:uid="{00000000-0005-0000-0000-00001A500000}"/>
    <cellStyle name="Normal 24 2 4" xfId="20504" xr:uid="{00000000-0005-0000-0000-00001B500000}"/>
    <cellStyle name="Normal 24 2 4 2" xfId="20505" xr:uid="{00000000-0005-0000-0000-00001C500000}"/>
    <cellStyle name="Normal 24 2 4 3" xfId="20506" xr:uid="{00000000-0005-0000-0000-00001D500000}"/>
    <cellStyle name="Normal 24 2 5" xfId="20507" xr:uid="{00000000-0005-0000-0000-00001E500000}"/>
    <cellStyle name="Normal 24 2 6" xfId="20508" xr:uid="{00000000-0005-0000-0000-00001F500000}"/>
    <cellStyle name="Normal 24 2 7" xfId="20509" xr:uid="{00000000-0005-0000-0000-000020500000}"/>
    <cellStyle name="Normal 24 20" xfId="20510" xr:uid="{00000000-0005-0000-0000-000021500000}"/>
    <cellStyle name="Normal 24 3" xfId="20511" xr:uid="{00000000-0005-0000-0000-000022500000}"/>
    <cellStyle name="Normal 24 3 2" xfId="20512" xr:uid="{00000000-0005-0000-0000-000023500000}"/>
    <cellStyle name="Normal 24 3 2 2" xfId="20513" xr:uid="{00000000-0005-0000-0000-000024500000}"/>
    <cellStyle name="Normal 24 3 2 2 2" xfId="20514" xr:uid="{00000000-0005-0000-0000-000025500000}"/>
    <cellStyle name="Normal 24 3 2 2 3" xfId="20515" xr:uid="{00000000-0005-0000-0000-000026500000}"/>
    <cellStyle name="Normal 24 3 2 3" xfId="20516" xr:uid="{00000000-0005-0000-0000-000027500000}"/>
    <cellStyle name="Normal 24 3 2 3 2" xfId="20517" xr:uid="{00000000-0005-0000-0000-000028500000}"/>
    <cellStyle name="Normal 24 3 2 3 3" xfId="20518" xr:uid="{00000000-0005-0000-0000-000029500000}"/>
    <cellStyle name="Normal 24 3 2 4" xfId="20519" xr:uid="{00000000-0005-0000-0000-00002A500000}"/>
    <cellStyle name="Normal 24 3 2 5" xfId="20520" xr:uid="{00000000-0005-0000-0000-00002B500000}"/>
    <cellStyle name="Normal 24 3 2 6" xfId="20521" xr:uid="{00000000-0005-0000-0000-00002C500000}"/>
    <cellStyle name="Normal 24 3 3" xfId="20522" xr:uid="{00000000-0005-0000-0000-00002D500000}"/>
    <cellStyle name="Normal 24 3 3 2" xfId="20523" xr:uid="{00000000-0005-0000-0000-00002E500000}"/>
    <cellStyle name="Normal 24 3 3 3" xfId="20524" xr:uid="{00000000-0005-0000-0000-00002F500000}"/>
    <cellStyle name="Normal 24 3 4" xfId="20525" xr:uid="{00000000-0005-0000-0000-000030500000}"/>
    <cellStyle name="Normal 24 3 4 2" xfId="20526" xr:uid="{00000000-0005-0000-0000-000031500000}"/>
    <cellStyle name="Normal 24 3 4 3" xfId="20527" xr:uid="{00000000-0005-0000-0000-000032500000}"/>
    <cellStyle name="Normal 24 3 5" xfId="20528" xr:uid="{00000000-0005-0000-0000-000033500000}"/>
    <cellStyle name="Normal 24 3 6" xfId="20529" xr:uid="{00000000-0005-0000-0000-000034500000}"/>
    <cellStyle name="Normal 24 3 7" xfId="20530" xr:uid="{00000000-0005-0000-0000-000035500000}"/>
    <cellStyle name="Normal 24 4" xfId="20531" xr:uid="{00000000-0005-0000-0000-000036500000}"/>
    <cellStyle name="Normal 24 4 2" xfId="20532" xr:uid="{00000000-0005-0000-0000-000037500000}"/>
    <cellStyle name="Normal 24 4 2 2" xfId="20533" xr:uid="{00000000-0005-0000-0000-000038500000}"/>
    <cellStyle name="Normal 24 4 2 2 2" xfId="20534" xr:uid="{00000000-0005-0000-0000-000039500000}"/>
    <cellStyle name="Normal 24 4 2 2 3" xfId="20535" xr:uid="{00000000-0005-0000-0000-00003A500000}"/>
    <cellStyle name="Normal 24 4 2 3" xfId="20536" xr:uid="{00000000-0005-0000-0000-00003B500000}"/>
    <cellStyle name="Normal 24 4 2 3 2" xfId="20537" xr:uid="{00000000-0005-0000-0000-00003C500000}"/>
    <cellStyle name="Normal 24 4 2 3 3" xfId="20538" xr:uid="{00000000-0005-0000-0000-00003D500000}"/>
    <cellStyle name="Normal 24 4 2 4" xfId="20539" xr:uid="{00000000-0005-0000-0000-00003E500000}"/>
    <cellStyle name="Normal 24 4 2 5" xfId="20540" xr:uid="{00000000-0005-0000-0000-00003F500000}"/>
    <cellStyle name="Normal 24 4 2 6" xfId="20541" xr:uid="{00000000-0005-0000-0000-000040500000}"/>
    <cellStyle name="Normal 24 4 3" xfId="20542" xr:uid="{00000000-0005-0000-0000-000041500000}"/>
    <cellStyle name="Normal 24 4 3 2" xfId="20543" xr:uid="{00000000-0005-0000-0000-000042500000}"/>
    <cellStyle name="Normal 24 4 3 3" xfId="20544" xr:uid="{00000000-0005-0000-0000-000043500000}"/>
    <cellStyle name="Normal 24 4 4" xfId="20545" xr:uid="{00000000-0005-0000-0000-000044500000}"/>
    <cellStyle name="Normal 24 4 4 2" xfId="20546" xr:uid="{00000000-0005-0000-0000-000045500000}"/>
    <cellStyle name="Normal 24 4 4 3" xfId="20547" xr:uid="{00000000-0005-0000-0000-000046500000}"/>
    <cellStyle name="Normal 24 4 5" xfId="20548" xr:uid="{00000000-0005-0000-0000-000047500000}"/>
    <cellStyle name="Normal 24 4 6" xfId="20549" xr:uid="{00000000-0005-0000-0000-000048500000}"/>
    <cellStyle name="Normal 24 4 7" xfId="20550" xr:uid="{00000000-0005-0000-0000-000049500000}"/>
    <cellStyle name="Normal 24 5" xfId="20551" xr:uid="{00000000-0005-0000-0000-00004A500000}"/>
    <cellStyle name="Normal 24 5 2" xfId="20552" xr:uid="{00000000-0005-0000-0000-00004B500000}"/>
    <cellStyle name="Normal 24 5 2 2" xfId="20553" xr:uid="{00000000-0005-0000-0000-00004C500000}"/>
    <cellStyle name="Normal 24 5 2 2 2" xfId="20554" xr:uid="{00000000-0005-0000-0000-00004D500000}"/>
    <cellStyle name="Normal 24 5 2 2 3" xfId="20555" xr:uid="{00000000-0005-0000-0000-00004E500000}"/>
    <cellStyle name="Normal 24 5 2 3" xfId="20556" xr:uid="{00000000-0005-0000-0000-00004F500000}"/>
    <cellStyle name="Normal 24 5 2 3 2" xfId="20557" xr:uid="{00000000-0005-0000-0000-000050500000}"/>
    <cellStyle name="Normal 24 5 2 3 3" xfId="20558" xr:uid="{00000000-0005-0000-0000-000051500000}"/>
    <cellStyle name="Normal 24 5 2 4" xfId="20559" xr:uid="{00000000-0005-0000-0000-000052500000}"/>
    <cellStyle name="Normal 24 5 2 5" xfId="20560" xr:uid="{00000000-0005-0000-0000-000053500000}"/>
    <cellStyle name="Normal 24 5 2 6" xfId="20561" xr:uid="{00000000-0005-0000-0000-000054500000}"/>
    <cellStyle name="Normal 24 5 3" xfId="20562" xr:uid="{00000000-0005-0000-0000-000055500000}"/>
    <cellStyle name="Normal 24 5 3 2" xfId="20563" xr:uid="{00000000-0005-0000-0000-000056500000}"/>
    <cellStyle name="Normal 24 5 3 3" xfId="20564" xr:uid="{00000000-0005-0000-0000-000057500000}"/>
    <cellStyle name="Normal 24 5 4" xfId="20565" xr:uid="{00000000-0005-0000-0000-000058500000}"/>
    <cellStyle name="Normal 24 5 4 2" xfId="20566" xr:uid="{00000000-0005-0000-0000-000059500000}"/>
    <cellStyle name="Normal 24 5 4 3" xfId="20567" xr:uid="{00000000-0005-0000-0000-00005A500000}"/>
    <cellStyle name="Normal 24 5 5" xfId="20568" xr:uid="{00000000-0005-0000-0000-00005B500000}"/>
    <cellStyle name="Normal 24 5 6" xfId="20569" xr:uid="{00000000-0005-0000-0000-00005C500000}"/>
    <cellStyle name="Normal 24 5 7" xfId="20570" xr:uid="{00000000-0005-0000-0000-00005D500000}"/>
    <cellStyle name="Normal 24 6" xfId="20571" xr:uid="{00000000-0005-0000-0000-00005E500000}"/>
    <cellStyle name="Normal 24 6 2" xfId="20572" xr:uid="{00000000-0005-0000-0000-00005F500000}"/>
    <cellStyle name="Normal 24 6 2 2" xfId="20573" xr:uid="{00000000-0005-0000-0000-000060500000}"/>
    <cellStyle name="Normal 24 6 2 2 2" xfId="20574" xr:uid="{00000000-0005-0000-0000-000061500000}"/>
    <cellStyle name="Normal 24 6 2 2 3" xfId="20575" xr:uid="{00000000-0005-0000-0000-000062500000}"/>
    <cellStyle name="Normal 24 6 2 3" xfId="20576" xr:uid="{00000000-0005-0000-0000-000063500000}"/>
    <cellStyle name="Normal 24 6 2 3 2" xfId="20577" xr:uid="{00000000-0005-0000-0000-000064500000}"/>
    <cellStyle name="Normal 24 6 2 3 3" xfId="20578" xr:uid="{00000000-0005-0000-0000-000065500000}"/>
    <cellStyle name="Normal 24 6 2 4" xfId="20579" xr:uid="{00000000-0005-0000-0000-000066500000}"/>
    <cellStyle name="Normal 24 6 2 5" xfId="20580" xr:uid="{00000000-0005-0000-0000-000067500000}"/>
    <cellStyle name="Normal 24 6 2 6" xfId="20581" xr:uid="{00000000-0005-0000-0000-000068500000}"/>
    <cellStyle name="Normal 24 6 3" xfId="20582" xr:uid="{00000000-0005-0000-0000-000069500000}"/>
    <cellStyle name="Normal 24 6 3 2" xfId="20583" xr:uid="{00000000-0005-0000-0000-00006A500000}"/>
    <cellStyle name="Normal 24 6 3 3" xfId="20584" xr:uid="{00000000-0005-0000-0000-00006B500000}"/>
    <cellStyle name="Normal 24 6 4" xfId="20585" xr:uid="{00000000-0005-0000-0000-00006C500000}"/>
    <cellStyle name="Normal 24 6 4 2" xfId="20586" xr:uid="{00000000-0005-0000-0000-00006D500000}"/>
    <cellStyle name="Normal 24 6 4 3" xfId="20587" xr:uid="{00000000-0005-0000-0000-00006E500000}"/>
    <cellStyle name="Normal 24 6 5" xfId="20588" xr:uid="{00000000-0005-0000-0000-00006F500000}"/>
    <cellStyle name="Normal 24 6 6" xfId="20589" xr:uid="{00000000-0005-0000-0000-000070500000}"/>
    <cellStyle name="Normal 24 6 7" xfId="20590" xr:uid="{00000000-0005-0000-0000-000071500000}"/>
    <cellStyle name="Normal 24 7" xfId="20591" xr:uid="{00000000-0005-0000-0000-000072500000}"/>
    <cellStyle name="Normal 24 7 2" xfId="20592" xr:uid="{00000000-0005-0000-0000-000073500000}"/>
    <cellStyle name="Normal 24 7 2 2" xfId="20593" xr:uid="{00000000-0005-0000-0000-000074500000}"/>
    <cellStyle name="Normal 24 7 2 2 2" xfId="20594" xr:uid="{00000000-0005-0000-0000-000075500000}"/>
    <cellStyle name="Normal 24 7 2 2 3" xfId="20595" xr:uid="{00000000-0005-0000-0000-000076500000}"/>
    <cellStyle name="Normal 24 7 2 3" xfId="20596" xr:uid="{00000000-0005-0000-0000-000077500000}"/>
    <cellStyle name="Normal 24 7 2 3 2" xfId="20597" xr:uid="{00000000-0005-0000-0000-000078500000}"/>
    <cellStyle name="Normal 24 7 2 3 3" xfId="20598" xr:uid="{00000000-0005-0000-0000-000079500000}"/>
    <cellStyle name="Normal 24 7 2 4" xfId="20599" xr:uid="{00000000-0005-0000-0000-00007A500000}"/>
    <cellStyle name="Normal 24 7 2 5" xfId="20600" xr:uid="{00000000-0005-0000-0000-00007B500000}"/>
    <cellStyle name="Normal 24 7 2 6" xfId="20601" xr:uid="{00000000-0005-0000-0000-00007C500000}"/>
    <cellStyle name="Normal 24 7 3" xfId="20602" xr:uid="{00000000-0005-0000-0000-00007D500000}"/>
    <cellStyle name="Normal 24 7 3 2" xfId="20603" xr:uid="{00000000-0005-0000-0000-00007E500000}"/>
    <cellStyle name="Normal 24 7 3 3" xfId="20604" xr:uid="{00000000-0005-0000-0000-00007F500000}"/>
    <cellStyle name="Normal 24 7 4" xfId="20605" xr:uid="{00000000-0005-0000-0000-000080500000}"/>
    <cellStyle name="Normal 24 7 4 2" xfId="20606" xr:uid="{00000000-0005-0000-0000-000081500000}"/>
    <cellStyle name="Normal 24 7 4 3" xfId="20607" xr:uid="{00000000-0005-0000-0000-000082500000}"/>
    <cellStyle name="Normal 24 7 5" xfId="20608" xr:uid="{00000000-0005-0000-0000-000083500000}"/>
    <cellStyle name="Normal 24 7 6" xfId="20609" xr:uid="{00000000-0005-0000-0000-000084500000}"/>
    <cellStyle name="Normal 24 7 7" xfId="20610" xr:uid="{00000000-0005-0000-0000-000085500000}"/>
    <cellStyle name="Normal 24 8" xfId="20611" xr:uid="{00000000-0005-0000-0000-000086500000}"/>
    <cellStyle name="Normal 24 8 2" xfId="20612" xr:uid="{00000000-0005-0000-0000-000087500000}"/>
    <cellStyle name="Normal 24 8 2 2" xfId="20613" xr:uid="{00000000-0005-0000-0000-000088500000}"/>
    <cellStyle name="Normal 24 8 2 2 2" xfId="20614" xr:uid="{00000000-0005-0000-0000-000089500000}"/>
    <cellStyle name="Normal 24 8 2 2 3" xfId="20615" xr:uid="{00000000-0005-0000-0000-00008A500000}"/>
    <cellStyle name="Normal 24 8 2 3" xfId="20616" xr:uid="{00000000-0005-0000-0000-00008B500000}"/>
    <cellStyle name="Normal 24 8 2 3 2" xfId="20617" xr:uid="{00000000-0005-0000-0000-00008C500000}"/>
    <cellStyle name="Normal 24 8 2 3 3" xfId="20618" xr:uid="{00000000-0005-0000-0000-00008D500000}"/>
    <cellStyle name="Normal 24 8 2 4" xfId="20619" xr:uid="{00000000-0005-0000-0000-00008E500000}"/>
    <cellStyle name="Normal 24 8 2 5" xfId="20620" xr:uid="{00000000-0005-0000-0000-00008F500000}"/>
    <cellStyle name="Normal 24 8 2 6" xfId="20621" xr:uid="{00000000-0005-0000-0000-000090500000}"/>
    <cellStyle name="Normal 24 8 3" xfId="20622" xr:uid="{00000000-0005-0000-0000-000091500000}"/>
    <cellStyle name="Normal 24 8 3 2" xfId="20623" xr:uid="{00000000-0005-0000-0000-000092500000}"/>
    <cellStyle name="Normal 24 8 3 3" xfId="20624" xr:uid="{00000000-0005-0000-0000-000093500000}"/>
    <cellStyle name="Normal 24 8 4" xfId="20625" xr:uid="{00000000-0005-0000-0000-000094500000}"/>
    <cellStyle name="Normal 24 8 4 2" xfId="20626" xr:uid="{00000000-0005-0000-0000-000095500000}"/>
    <cellStyle name="Normal 24 8 4 3" xfId="20627" xr:uid="{00000000-0005-0000-0000-000096500000}"/>
    <cellStyle name="Normal 24 8 5" xfId="20628" xr:uid="{00000000-0005-0000-0000-000097500000}"/>
    <cellStyle name="Normal 24 8 6" xfId="20629" xr:uid="{00000000-0005-0000-0000-000098500000}"/>
    <cellStyle name="Normal 24 8 7" xfId="20630" xr:uid="{00000000-0005-0000-0000-000099500000}"/>
    <cellStyle name="Normal 24 9" xfId="20631" xr:uid="{00000000-0005-0000-0000-00009A500000}"/>
    <cellStyle name="Normal 24 9 2" xfId="20632" xr:uid="{00000000-0005-0000-0000-00009B500000}"/>
    <cellStyle name="Normal 24 9 2 2" xfId="20633" xr:uid="{00000000-0005-0000-0000-00009C500000}"/>
    <cellStyle name="Normal 24 9 2 2 2" xfId="20634" xr:uid="{00000000-0005-0000-0000-00009D500000}"/>
    <cellStyle name="Normal 24 9 2 2 3" xfId="20635" xr:uid="{00000000-0005-0000-0000-00009E500000}"/>
    <cellStyle name="Normal 24 9 2 3" xfId="20636" xr:uid="{00000000-0005-0000-0000-00009F500000}"/>
    <cellStyle name="Normal 24 9 2 3 2" xfId="20637" xr:uid="{00000000-0005-0000-0000-0000A0500000}"/>
    <cellStyle name="Normal 24 9 2 3 3" xfId="20638" xr:uid="{00000000-0005-0000-0000-0000A1500000}"/>
    <cellStyle name="Normal 24 9 2 4" xfId="20639" xr:uid="{00000000-0005-0000-0000-0000A2500000}"/>
    <cellStyle name="Normal 24 9 2 5" xfId="20640" xr:uid="{00000000-0005-0000-0000-0000A3500000}"/>
    <cellStyle name="Normal 24 9 2 6" xfId="20641" xr:uid="{00000000-0005-0000-0000-0000A4500000}"/>
    <cellStyle name="Normal 24 9 3" xfId="20642" xr:uid="{00000000-0005-0000-0000-0000A5500000}"/>
    <cellStyle name="Normal 24 9 3 2" xfId="20643" xr:uid="{00000000-0005-0000-0000-0000A6500000}"/>
    <cellStyle name="Normal 24 9 3 3" xfId="20644" xr:uid="{00000000-0005-0000-0000-0000A7500000}"/>
    <cellStyle name="Normal 24 9 4" xfId="20645" xr:uid="{00000000-0005-0000-0000-0000A8500000}"/>
    <cellStyle name="Normal 24 9 4 2" xfId="20646" xr:uid="{00000000-0005-0000-0000-0000A9500000}"/>
    <cellStyle name="Normal 24 9 4 3" xfId="20647" xr:uid="{00000000-0005-0000-0000-0000AA500000}"/>
    <cellStyle name="Normal 24 9 5" xfId="20648" xr:uid="{00000000-0005-0000-0000-0000AB500000}"/>
    <cellStyle name="Normal 24 9 6" xfId="20649" xr:uid="{00000000-0005-0000-0000-0000AC500000}"/>
    <cellStyle name="Normal 24 9 7" xfId="20650" xr:uid="{00000000-0005-0000-0000-0000AD500000}"/>
    <cellStyle name="Normal 25" xfId="20651" xr:uid="{00000000-0005-0000-0000-0000AE500000}"/>
    <cellStyle name="Normal 25 2" xfId="20652" xr:uid="{00000000-0005-0000-0000-0000AF500000}"/>
    <cellStyle name="Normal 25 2 2" xfId="20653" xr:uid="{00000000-0005-0000-0000-0000B0500000}"/>
    <cellStyle name="Normal 25 2 2 2" xfId="20654" xr:uid="{00000000-0005-0000-0000-0000B1500000}"/>
    <cellStyle name="Normal 25 2 2 3" xfId="20655" xr:uid="{00000000-0005-0000-0000-0000B2500000}"/>
    <cellStyle name="Normal 25 2 3" xfId="20656" xr:uid="{00000000-0005-0000-0000-0000B3500000}"/>
    <cellStyle name="Normal 25 2 3 2" xfId="20657" xr:uid="{00000000-0005-0000-0000-0000B4500000}"/>
    <cellStyle name="Normal 25 2 3 3" xfId="20658" xr:uid="{00000000-0005-0000-0000-0000B5500000}"/>
    <cellStyle name="Normal 25 2 4" xfId="20659" xr:uid="{00000000-0005-0000-0000-0000B6500000}"/>
    <cellStyle name="Normal 25 2 5" xfId="20660" xr:uid="{00000000-0005-0000-0000-0000B7500000}"/>
    <cellStyle name="Normal 25 2 6" xfId="20661" xr:uid="{00000000-0005-0000-0000-0000B8500000}"/>
    <cellStyle name="Normal 25 3" xfId="20662" xr:uid="{00000000-0005-0000-0000-0000B9500000}"/>
    <cellStyle name="Normal 25 3 2" xfId="20663" xr:uid="{00000000-0005-0000-0000-0000BA500000}"/>
    <cellStyle name="Normal 25 3 3" xfId="20664" xr:uid="{00000000-0005-0000-0000-0000BB500000}"/>
    <cellStyle name="Normal 25 3 4" xfId="20665" xr:uid="{00000000-0005-0000-0000-0000BC500000}"/>
    <cellStyle name="Normal 25 4" xfId="20666" xr:uid="{00000000-0005-0000-0000-0000BD500000}"/>
    <cellStyle name="Normal 25 4 2" xfId="20667" xr:uid="{00000000-0005-0000-0000-0000BE500000}"/>
    <cellStyle name="Normal 25 4 3" xfId="20668" xr:uid="{00000000-0005-0000-0000-0000BF500000}"/>
    <cellStyle name="Normal 25 5" xfId="20669" xr:uid="{00000000-0005-0000-0000-0000C0500000}"/>
    <cellStyle name="Normal 25 6" xfId="20670" xr:uid="{00000000-0005-0000-0000-0000C1500000}"/>
    <cellStyle name="Normal 25 7" xfId="20671" xr:uid="{00000000-0005-0000-0000-0000C2500000}"/>
    <cellStyle name="Normal 26" xfId="20672" xr:uid="{00000000-0005-0000-0000-0000C3500000}"/>
    <cellStyle name="Normal 26 2" xfId="20673" xr:uid="{00000000-0005-0000-0000-0000C4500000}"/>
    <cellStyle name="Normal 26 2 2" xfId="20674" xr:uid="{00000000-0005-0000-0000-0000C5500000}"/>
    <cellStyle name="Normal 26 2 2 2" xfId="20675" xr:uid="{00000000-0005-0000-0000-0000C6500000}"/>
    <cellStyle name="Normal 26 2 2 3" xfId="20676" xr:uid="{00000000-0005-0000-0000-0000C7500000}"/>
    <cellStyle name="Normal 26 2 3" xfId="20677" xr:uid="{00000000-0005-0000-0000-0000C8500000}"/>
    <cellStyle name="Normal 26 2 3 2" xfId="20678" xr:uid="{00000000-0005-0000-0000-0000C9500000}"/>
    <cellStyle name="Normal 26 2 3 3" xfId="20679" xr:uid="{00000000-0005-0000-0000-0000CA500000}"/>
    <cellStyle name="Normal 26 2 4" xfId="20680" xr:uid="{00000000-0005-0000-0000-0000CB500000}"/>
    <cellStyle name="Normal 26 2 5" xfId="20681" xr:uid="{00000000-0005-0000-0000-0000CC500000}"/>
    <cellStyle name="Normal 26 2 6" xfId="20682" xr:uid="{00000000-0005-0000-0000-0000CD500000}"/>
    <cellStyle name="Normal 26 3" xfId="20683" xr:uid="{00000000-0005-0000-0000-0000CE500000}"/>
    <cellStyle name="Normal 26 3 2" xfId="20684" xr:uid="{00000000-0005-0000-0000-0000CF500000}"/>
    <cellStyle name="Normal 26 3 3" xfId="20685" xr:uid="{00000000-0005-0000-0000-0000D0500000}"/>
    <cellStyle name="Normal 26 4" xfId="20686" xr:uid="{00000000-0005-0000-0000-0000D1500000}"/>
    <cellStyle name="Normal 26 4 2" xfId="20687" xr:uid="{00000000-0005-0000-0000-0000D2500000}"/>
    <cellStyle name="Normal 26 4 3" xfId="20688" xr:uid="{00000000-0005-0000-0000-0000D3500000}"/>
    <cellStyle name="Normal 26 5" xfId="20689" xr:uid="{00000000-0005-0000-0000-0000D4500000}"/>
    <cellStyle name="Normal 26 6" xfId="20690" xr:uid="{00000000-0005-0000-0000-0000D5500000}"/>
    <cellStyle name="Normal 26 7" xfId="20691" xr:uid="{00000000-0005-0000-0000-0000D6500000}"/>
    <cellStyle name="Normal 27" xfId="20692" xr:uid="{00000000-0005-0000-0000-0000D7500000}"/>
    <cellStyle name="Normal 27 2" xfId="20693" xr:uid="{00000000-0005-0000-0000-0000D8500000}"/>
    <cellStyle name="Normal 27 2 2" xfId="20694" xr:uid="{00000000-0005-0000-0000-0000D9500000}"/>
    <cellStyle name="Normal 27 2 2 2" xfId="20695" xr:uid="{00000000-0005-0000-0000-0000DA500000}"/>
    <cellStyle name="Normal 27 2 2 3" xfId="20696" xr:uid="{00000000-0005-0000-0000-0000DB500000}"/>
    <cellStyle name="Normal 27 2 3" xfId="20697" xr:uid="{00000000-0005-0000-0000-0000DC500000}"/>
    <cellStyle name="Normal 27 2 3 2" xfId="20698" xr:uid="{00000000-0005-0000-0000-0000DD500000}"/>
    <cellStyle name="Normal 27 2 3 3" xfId="20699" xr:uid="{00000000-0005-0000-0000-0000DE500000}"/>
    <cellStyle name="Normal 27 2 4" xfId="20700" xr:uid="{00000000-0005-0000-0000-0000DF500000}"/>
    <cellStyle name="Normal 27 2 5" xfId="20701" xr:uid="{00000000-0005-0000-0000-0000E0500000}"/>
    <cellStyle name="Normal 27 2 6" xfId="20702" xr:uid="{00000000-0005-0000-0000-0000E1500000}"/>
    <cellStyle name="Normal 27 3" xfId="20703" xr:uid="{00000000-0005-0000-0000-0000E2500000}"/>
    <cellStyle name="Normal 27 3 2" xfId="20704" xr:uid="{00000000-0005-0000-0000-0000E3500000}"/>
    <cellStyle name="Normal 27 3 3" xfId="20705" xr:uid="{00000000-0005-0000-0000-0000E4500000}"/>
    <cellStyle name="Normal 27 4" xfId="20706" xr:uid="{00000000-0005-0000-0000-0000E5500000}"/>
    <cellStyle name="Normal 27 4 2" xfId="20707" xr:uid="{00000000-0005-0000-0000-0000E6500000}"/>
    <cellStyle name="Normal 27 4 3" xfId="20708" xr:uid="{00000000-0005-0000-0000-0000E7500000}"/>
    <cellStyle name="Normal 27 5" xfId="20709" xr:uid="{00000000-0005-0000-0000-0000E8500000}"/>
    <cellStyle name="Normal 27 6" xfId="20710" xr:uid="{00000000-0005-0000-0000-0000E9500000}"/>
    <cellStyle name="Normal 27 7" xfId="20711" xr:uid="{00000000-0005-0000-0000-0000EA500000}"/>
    <cellStyle name="Normal 28" xfId="20712" xr:uid="{00000000-0005-0000-0000-0000EB500000}"/>
    <cellStyle name="Normal 28 2" xfId="20713" xr:uid="{00000000-0005-0000-0000-0000EC500000}"/>
    <cellStyle name="Normal 28 2 2" xfId="20714" xr:uid="{00000000-0005-0000-0000-0000ED500000}"/>
    <cellStyle name="Normal 28 2 2 2" xfId="20715" xr:uid="{00000000-0005-0000-0000-0000EE500000}"/>
    <cellStyle name="Normal 28 2 2 3" xfId="20716" xr:uid="{00000000-0005-0000-0000-0000EF500000}"/>
    <cellStyle name="Normal 28 2 3" xfId="20717" xr:uid="{00000000-0005-0000-0000-0000F0500000}"/>
    <cellStyle name="Normal 28 2 3 2" xfId="20718" xr:uid="{00000000-0005-0000-0000-0000F1500000}"/>
    <cellStyle name="Normal 28 2 3 3" xfId="20719" xr:uid="{00000000-0005-0000-0000-0000F2500000}"/>
    <cellStyle name="Normal 28 2 4" xfId="20720" xr:uid="{00000000-0005-0000-0000-0000F3500000}"/>
    <cellStyle name="Normal 28 2 5" xfId="20721" xr:uid="{00000000-0005-0000-0000-0000F4500000}"/>
    <cellStyle name="Normal 28 2 6" xfId="20722" xr:uid="{00000000-0005-0000-0000-0000F5500000}"/>
    <cellStyle name="Normal 28 3" xfId="20723" xr:uid="{00000000-0005-0000-0000-0000F6500000}"/>
    <cellStyle name="Normal 28 3 2" xfId="20724" xr:uid="{00000000-0005-0000-0000-0000F7500000}"/>
    <cellStyle name="Normal 28 3 3" xfId="20725" xr:uid="{00000000-0005-0000-0000-0000F8500000}"/>
    <cellStyle name="Normal 28 4" xfId="20726" xr:uid="{00000000-0005-0000-0000-0000F9500000}"/>
    <cellStyle name="Normal 28 4 2" xfId="20727" xr:uid="{00000000-0005-0000-0000-0000FA500000}"/>
    <cellStyle name="Normal 28 4 3" xfId="20728" xr:uid="{00000000-0005-0000-0000-0000FB500000}"/>
    <cellStyle name="Normal 28 5" xfId="20729" xr:uid="{00000000-0005-0000-0000-0000FC500000}"/>
    <cellStyle name="Normal 28 6" xfId="20730" xr:uid="{00000000-0005-0000-0000-0000FD500000}"/>
    <cellStyle name="Normal 28 7" xfId="20731" xr:uid="{00000000-0005-0000-0000-0000FE500000}"/>
    <cellStyle name="Normal 29" xfId="20732" xr:uid="{00000000-0005-0000-0000-0000FF500000}"/>
    <cellStyle name="Normal 29 2" xfId="20733" xr:uid="{00000000-0005-0000-0000-000000510000}"/>
    <cellStyle name="Normal 29 2 2" xfId="20734" xr:uid="{00000000-0005-0000-0000-000001510000}"/>
    <cellStyle name="Normal 29 2 2 2" xfId="20735" xr:uid="{00000000-0005-0000-0000-000002510000}"/>
    <cellStyle name="Normal 29 2 2 3" xfId="20736" xr:uid="{00000000-0005-0000-0000-000003510000}"/>
    <cellStyle name="Normal 29 2 3" xfId="20737" xr:uid="{00000000-0005-0000-0000-000004510000}"/>
    <cellStyle name="Normal 29 2 3 2" xfId="20738" xr:uid="{00000000-0005-0000-0000-000005510000}"/>
    <cellStyle name="Normal 29 2 3 3" xfId="20739" xr:uid="{00000000-0005-0000-0000-000006510000}"/>
    <cellStyle name="Normal 29 2 4" xfId="20740" xr:uid="{00000000-0005-0000-0000-000007510000}"/>
    <cellStyle name="Normal 29 2 5" xfId="20741" xr:uid="{00000000-0005-0000-0000-000008510000}"/>
    <cellStyle name="Normal 29 2 6" xfId="20742" xr:uid="{00000000-0005-0000-0000-000009510000}"/>
    <cellStyle name="Normal 29 3" xfId="20743" xr:uid="{00000000-0005-0000-0000-00000A510000}"/>
    <cellStyle name="Normal 29 3 2" xfId="20744" xr:uid="{00000000-0005-0000-0000-00000B510000}"/>
    <cellStyle name="Normal 29 3 3" xfId="20745" xr:uid="{00000000-0005-0000-0000-00000C510000}"/>
    <cellStyle name="Normal 29 3 4" xfId="20746" xr:uid="{00000000-0005-0000-0000-00000D510000}"/>
    <cellStyle name="Normal 29 4" xfId="20747" xr:uid="{00000000-0005-0000-0000-00000E510000}"/>
    <cellStyle name="Normal 29 4 2" xfId="20748" xr:uid="{00000000-0005-0000-0000-00000F510000}"/>
    <cellStyle name="Normal 29 4 3" xfId="20749" xr:uid="{00000000-0005-0000-0000-000010510000}"/>
    <cellStyle name="Normal 29 5" xfId="20750" xr:uid="{00000000-0005-0000-0000-000011510000}"/>
    <cellStyle name="Normal 29 5 2" xfId="20751" xr:uid="{00000000-0005-0000-0000-000012510000}"/>
    <cellStyle name="Normal 29 5 3" xfId="20752" xr:uid="{00000000-0005-0000-0000-000013510000}"/>
    <cellStyle name="Normal 29 6" xfId="20753" xr:uid="{00000000-0005-0000-0000-000014510000}"/>
    <cellStyle name="Normal 29 7" xfId="20754" xr:uid="{00000000-0005-0000-0000-000015510000}"/>
    <cellStyle name="Normal 29 8" xfId="20755" xr:uid="{00000000-0005-0000-0000-000016510000}"/>
    <cellStyle name="Normal 3" xfId="20756" xr:uid="{00000000-0005-0000-0000-000017510000}"/>
    <cellStyle name="Normal 3 10" xfId="20757" xr:uid="{00000000-0005-0000-0000-000018510000}"/>
    <cellStyle name="Normal 3 10 2" xfId="20758" xr:uid="{00000000-0005-0000-0000-000019510000}"/>
    <cellStyle name="Normal 3 10 2 2" xfId="20759" xr:uid="{00000000-0005-0000-0000-00001A510000}"/>
    <cellStyle name="Normal 3 10 2 2 2" xfId="20760" xr:uid="{00000000-0005-0000-0000-00001B510000}"/>
    <cellStyle name="Normal 3 10 2 2 3" xfId="20761" xr:uid="{00000000-0005-0000-0000-00001C510000}"/>
    <cellStyle name="Normal 3 10 2 3" xfId="20762" xr:uid="{00000000-0005-0000-0000-00001D510000}"/>
    <cellStyle name="Normal 3 10 2 3 2" xfId="20763" xr:uid="{00000000-0005-0000-0000-00001E510000}"/>
    <cellStyle name="Normal 3 10 2 3 3" xfId="20764" xr:uid="{00000000-0005-0000-0000-00001F510000}"/>
    <cellStyle name="Normal 3 10 2 4" xfId="20765" xr:uid="{00000000-0005-0000-0000-000020510000}"/>
    <cellStyle name="Normal 3 10 2 5" xfId="20766" xr:uid="{00000000-0005-0000-0000-000021510000}"/>
    <cellStyle name="Normal 3 10 2 6" xfId="20767" xr:uid="{00000000-0005-0000-0000-000022510000}"/>
    <cellStyle name="Normal 3 10 3" xfId="20768" xr:uid="{00000000-0005-0000-0000-000023510000}"/>
    <cellStyle name="Normal 3 10 3 2" xfId="20769" xr:uid="{00000000-0005-0000-0000-000024510000}"/>
    <cellStyle name="Normal 3 10 3 3" xfId="20770" xr:uid="{00000000-0005-0000-0000-000025510000}"/>
    <cellStyle name="Normal 3 10 4" xfId="20771" xr:uid="{00000000-0005-0000-0000-000026510000}"/>
    <cellStyle name="Normal 3 10 4 2" xfId="20772" xr:uid="{00000000-0005-0000-0000-000027510000}"/>
    <cellStyle name="Normal 3 10 4 3" xfId="20773" xr:uid="{00000000-0005-0000-0000-000028510000}"/>
    <cellStyle name="Normal 3 10 5" xfId="20774" xr:uid="{00000000-0005-0000-0000-000029510000}"/>
    <cellStyle name="Normal 3 10 5 2" xfId="20775" xr:uid="{00000000-0005-0000-0000-00002A510000}"/>
    <cellStyle name="Normal 3 10 5 3" xfId="20776" xr:uid="{00000000-0005-0000-0000-00002B510000}"/>
    <cellStyle name="Normal 3 10 6" xfId="20777" xr:uid="{00000000-0005-0000-0000-00002C510000}"/>
    <cellStyle name="Normal 3 10 7" xfId="20778" xr:uid="{00000000-0005-0000-0000-00002D510000}"/>
    <cellStyle name="Normal 3 10 8" xfId="20779" xr:uid="{00000000-0005-0000-0000-00002E510000}"/>
    <cellStyle name="Normal 3 11" xfId="20780" xr:uid="{00000000-0005-0000-0000-00002F510000}"/>
    <cellStyle name="Normal 3 11 2" xfId="20781" xr:uid="{00000000-0005-0000-0000-000030510000}"/>
    <cellStyle name="Normal 3 11 2 2" xfId="20782" xr:uid="{00000000-0005-0000-0000-000031510000}"/>
    <cellStyle name="Normal 3 11 2 2 2" xfId="20783" xr:uid="{00000000-0005-0000-0000-000032510000}"/>
    <cellStyle name="Normal 3 11 2 2 3" xfId="20784" xr:uid="{00000000-0005-0000-0000-000033510000}"/>
    <cellStyle name="Normal 3 11 2 3" xfId="20785" xr:uid="{00000000-0005-0000-0000-000034510000}"/>
    <cellStyle name="Normal 3 11 2 3 2" xfId="20786" xr:uid="{00000000-0005-0000-0000-000035510000}"/>
    <cellStyle name="Normal 3 11 2 3 3" xfId="20787" xr:uid="{00000000-0005-0000-0000-000036510000}"/>
    <cellStyle name="Normal 3 11 2 4" xfId="20788" xr:uid="{00000000-0005-0000-0000-000037510000}"/>
    <cellStyle name="Normal 3 11 2 5" xfId="20789" xr:uid="{00000000-0005-0000-0000-000038510000}"/>
    <cellStyle name="Normal 3 11 2 6" xfId="20790" xr:uid="{00000000-0005-0000-0000-000039510000}"/>
    <cellStyle name="Normal 3 11 3" xfId="20791" xr:uid="{00000000-0005-0000-0000-00003A510000}"/>
    <cellStyle name="Normal 3 11 3 2" xfId="20792" xr:uid="{00000000-0005-0000-0000-00003B510000}"/>
    <cellStyle name="Normal 3 11 3 3" xfId="20793" xr:uid="{00000000-0005-0000-0000-00003C510000}"/>
    <cellStyle name="Normal 3 11 4" xfId="20794" xr:uid="{00000000-0005-0000-0000-00003D510000}"/>
    <cellStyle name="Normal 3 11 4 2" xfId="20795" xr:uid="{00000000-0005-0000-0000-00003E510000}"/>
    <cellStyle name="Normal 3 11 4 3" xfId="20796" xr:uid="{00000000-0005-0000-0000-00003F510000}"/>
    <cellStyle name="Normal 3 11 5" xfId="20797" xr:uid="{00000000-0005-0000-0000-000040510000}"/>
    <cellStyle name="Normal 3 11 5 2" xfId="20798" xr:uid="{00000000-0005-0000-0000-000041510000}"/>
    <cellStyle name="Normal 3 11 5 3" xfId="20799" xr:uid="{00000000-0005-0000-0000-000042510000}"/>
    <cellStyle name="Normal 3 11 6" xfId="20800" xr:uid="{00000000-0005-0000-0000-000043510000}"/>
    <cellStyle name="Normal 3 11 7" xfId="20801" xr:uid="{00000000-0005-0000-0000-000044510000}"/>
    <cellStyle name="Normal 3 11 8" xfId="20802" xr:uid="{00000000-0005-0000-0000-000045510000}"/>
    <cellStyle name="Normal 3 12" xfId="20803" xr:uid="{00000000-0005-0000-0000-000046510000}"/>
    <cellStyle name="Normal 3 12 2" xfId="20804" xr:uid="{00000000-0005-0000-0000-000047510000}"/>
    <cellStyle name="Normal 3 12 2 2" xfId="20805" xr:uid="{00000000-0005-0000-0000-000048510000}"/>
    <cellStyle name="Normal 3 12 2 2 2" xfId="20806" xr:uid="{00000000-0005-0000-0000-000049510000}"/>
    <cellStyle name="Normal 3 12 2 2 3" xfId="20807" xr:uid="{00000000-0005-0000-0000-00004A510000}"/>
    <cellStyle name="Normal 3 12 2 3" xfId="20808" xr:uid="{00000000-0005-0000-0000-00004B510000}"/>
    <cellStyle name="Normal 3 12 2 3 2" xfId="20809" xr:uid="{00000000-0005-0000-0000-00004C510000}"/>
    <cellStyle name="Normal 3 12 2 3 3" xfId="20810" xr:uid="{00000000-0005-0000-0000-00004D510000}"/>
    <cellStyle name="Normal 3 12 2 4" xfId="20811" xr:uid="{00000000-0005-0000-0000-00004E510000}"/>
    <cellStyle name="Normal 3 12 2 5" xfId="20812" xr:uid="{00000000-0005-0000-0000-00004F510000}"/>
    <cellStyle name="Normal 3 12 2 6" xfId="20813" xr:uid="{00000000-0005-0000-0000-000050510000}"/>
    <cellStyle name="Normal 3 12 3" xfId="20814" xr:uid="{00000000-0005-0000-0000-000051510000}"/>
    <cellStyle name="Normal 3 12 3 2" xfId="20815" xr:uid="{00000000-0005-0000-0000-000052510000}"/>
    <cellStyle name="Normal 3 12 3 3" xfId="20816" xr:uid="{00000000-0005-0000-0000-000053510000}"/>
    <cellStyle name="Normal 3 12 4" xfId="20817" xr:uid="{00000000-0005-0000-0000-000054510000}"/>
    <cellStyle name="Normal 3 12 4 2" xfId="20818" xr:uid="{00000000-0005-0000-0000-000055510000}"/>
    <cellStyle name="Normal 3 12 4 3" xfId="20819" xr:uid="{00000000-0005-0000-0000-000056510000}"/>
    <cellStyle name="Normal 3 12 5" xfId="20820" xr:uid="{00000000-0005-0000-0000-000057510000}"/>
    <cellStyle name="Normal 3 12 6" xfId="20821" xr:uid="{00000000-0005-0000-0000-000058510000}"/>
    <cellStyle name="Normal 3 12 7" xfId="20822" xr:uid="{00000000-0005-0000-0000-000059510000}"/>
    <cellStyle name="Normal 3 13" xfId="20823" xr:uid="{00000000-0005-0000-0000-00005A510000}"/>
    <cellStyle name="Normal 3 13 2" xfId="20824" xr:uid="{00000000-0005-0000-0000-00005B510000}"/>
    <cellStyle name="Normal 3 13 2 2" xfId="20825" xr:uid="{00000000-0005-0000-0000-00005C510000}"/>
    <cellStyle name="Normal 3 13 2 2 2" xfId="20826" xr:uid="{00000000-0005-0000-0000-00005D510000}"/>
    <cellStyle name="Normal 3 13 2 2 3" xfId="20827" xr:uid="{00000000-0005-0000-0000-00005E510000}"/>
    <cellStyle name="Normal 3 13 2 3" xfId="20828" xr:uid="{00000000-0005-0000-0000-00005F510000}"/>
    <cellStyle name="Normal 3 13 2 3 2" xfId="20829" xr:uid="{00000000-0005-0000-0000-000060510000}"/>
    <cellStyle name="Normal 3 13 2 3 3" xfId="20830" xr:uid="{00000000-0005-0000-0000-000061510000}"/>
    <cellStyle name="Normal 3 13 2 4" xfId="20831" xr:uid="{00000000-0005-0000-0000-000062510000}"/>
    <cellStyle name="Normal 3 13 2 5" xfId="20832" xr:uid="{00000000-0005-0000-0000-000063510000}"/>
    <cellStyle name="Normal 3 13 2 6" xfId="20833" xr:uid="{00000000-0005-0000-0000-000064510000}"/>
    <cellStyle name="Normal 3 13 3" xfId="20834" xr:uid="{00000000-0005-0000-0000-000065510000}"/>
    <cellStyle name="Normal 3 13 3 2" xfId="20835" xr:uid="{00000000-0005-0000-0000-000066510000}"/>
    <cellStyle name="Normal 3 13 3 3" xfId="20836" xr:uid="{00000000-0005-0000-0000-000067510000}"/>
    <cellStyle name="Normal 3 13 4" xfId="20837" xr:uid="{00000000-0005-0000-0000-000068510000}"/>
    <cellStyle name="Normal 3 13 4 2" xfId="20838" xr:uid="{00000000-0005-0000-0000-000069510000}"/>
    <cellStyle name="Normal 3 13 4 3" xfId="20839" xr:uid="{00000000-0005-0000-0000-00006A510000}"/>
    <cellStyle name="Normal 3 13 5" xfId="20840" xr:uid="{00000000-0005-0000-0000-00006B510000}"/>
    <cellStyle name="Normal 3 13 6" xfId="20841" xr:uid="{00000000-0005-0000-0000-00006C510000}"/>
    <cellStyle name="Normal 3 13 7" xfId="20842" xr:uid="{00000000-0005-0000-0000-00006D510000}"/>
    <cellStyle name="Normal 3 14" xfId="20843" xr:uid="{00000000-0005-0000-0000-00006E510000}"/>
    <cellStyle name="Normal 3 14 2" xfId="20844" xr:uid="{00000000-0005-0000-0000-00006F510000}"/>
    <cellStyle name="Normal 3 14 2 2" xfId="20845" xr:uid="{00000000-0005-0000-0000-000070510000}"/>
    <cellStyle name="Normal 3 14 2 2 2" xfId="20846" xr:uid="{00000000-0005-0000-0000-000071510000}"/>
    <cellStyle name="Normal 3 14 2 2 3" xfId="20847" xr:uid="{00000000-0005-0000-0000-000072510000}"/>
    <cellStyle name="Normal 3 14 2 3" xfId="20848" xr:uid="{00000000-0005-0000-0000-000073510000}"/>
    <cellStyle name="Normal 3 14 2 3 2" xfId="20849" xr:uid="{00000000-0005-0000-0000-000074510000}"/>
    <cellStyle name="Normal 3 14 2 3 3" xfId="20850" xr:uid="{00000000-0005-0000-0000-000075510000}"/>
    <cellStyle name="Normal 3 14 2 4" xfId="20851" xr:uid="{00000000-0005-0000-0000-000076510000}"/>
    <cellStyle name="Normal 3 14 2 5" xfId="20852" xr:uid="{00000000-0005-0000-0000-000077510000}"/>
    <cellStyle name="Normal 3 14 2 6" xfId="20853" xr:uid="{00000000-0005-0000-0000-000078510000}"/>
    <cellStyle name="Normal 3 14 3" xfId="20854" xr:uid="{00000000-0005-0000-0000-000079510000}"/>
    <cellStyle name="Normal 3 14 3 2" xfId="20855" xr:uid="{00000000-0005-0000-0000-00007A510000}"/>
    <cellStyle name="Normal 3 14 3 3" xfId="20856" xr:uid="{00000000-0005-0000-0000-00007B510000}"/>
    <cellStyle name="Normal 3 14 4" xfId="20857" xr:uid="{00000000-0005-0000-0000-00007C510000}"/>
    <cellStyle name="Normal 3 14 4 2" xfId="20858" xr:uid="{00000000-0005-0000-0000-00007D510000}"/>
    <cellStyle name="Normal 3 14 4 3" xfId="20859" xr:uid="{00000000-0005-0000-0000-00007E510000}"/>
    <cellStyle name="Normal 3 14 5" xfId="20860" xr:uid="{00000000-0005-0000-0000-00007F510000}"/>
    <cellStyle name="Normal 3 14 6" xfId="20861" xr:uid="{00000000-0005-0000-0000-000080510000}"/>
    <cellStyle name="Normal 3 14 7" xfId="20862" xr:uid="{00000000-0005-0000-0000-000081510000}"/>
    <cellStyle name="Normal 3 15" xfId="20863" xr:uid="{00000000-0005-0000-0000-000082510000}"/>
    <cellStyle name="Normal 3 15 2" xfId="20864" xr:uid="{00000000-0005-0000-0000-000083510000}"/>
    <cellStyle name="Normal 3 15 2 2" xfId="20865" xr:uid="{00000000-0005-0000-0000-000084510000}"/>
    <cellStyle name="Normal 3 15 2 2 2" xfId="20866" xr:uid="{00000000-0005-0000-0000-000085510000}"/>
    <cellStyle name="Normal 3 15 2 2 3" xfId="20867" xr:uid="{00000000-0005-0000-0000-000086510000}"/>
    <cellStyle name="Normal 3 15 2 3" xfId="20868" xr:uid="{00000000-0005-0000-0000-000087510000}"/>
    <cellStyle name="Normal 3 15 2 3 2" xfId="20869" xr:uid="{00000000-0005-0000-0000-000088510000}"/>
    <cellStyle name="Normal 3 15 2 3 3" xfId="20870" xr:uid="{00000000-0005-0000-0000-000089510000}"/>
    <cellStyle name="Normal 3 15 2 4" xfId="20871" xr:uid="{00000000-0005-0000-0000-00008A510000}"/>
    <cellStyle name="Normal 3 15 2 5" xfId="20872" xr:uid="{00000000-0005-0000-0000-00008B510000}"/>
    <cellStyle name="Normal 3 15 2 6" xfId="20873" xr:uid="{00000000-0005-0000-0000-00008C510000}"/>
    <cellStyle name="Normal 3 15 3" xfId="20874" xr:uid="{00000000-0005-0000-0000-00008D510000}"/>
    <cellStyle name="Normal 3 15 3 2" xfId="20875" xr:uid="{00000000-0005-0000-0000-00008E510000}"/>
    <cellStyle name="Normal 3 15 3 3" xfId="20876" xr:uid="{00000000-0005-0000-0000-00008F510000}"/>
    <cellStyle name="Normal 3 15 4" xfId="20877" xr:uid="{00000000-0005-0000-0000-000090510000}"/>
    <cellStyle name="Normal 3 15 4 2" xfId="20878" xr:uid="{00000000-0005-0000-0000-000091510000}"/>
    <cellStyle name="Normal 3 15 4 3" xfId="20879" xr:uid="{00000000-0005-0000-0000-000092510000}"/>
    <cellStyle name="Normal 3 15 5" xfId="20880" xr:uid="{00000000-0005-0000-0000-000093510000}"/>
    <cellStyle name="Normal 3 15 6" xfId="20881" xr:uid="{00000000-0005-0000-0000-000094510000}"/>
    <cellStyle name="Normal 3 15 7" xfId="20882" xr:uid="{00000000-0005-0000-0000-000095510000}"/>
    <cellStyle name="Normal 3 16" xfId="20883" xr:uid="{00000000-0005-0000-0000-000096510000}"/>
    <cellStyle name="Normal 3 16 2" xfId="20884" xr:uid="{00000000-0005-0000-0000-000097510000}"/>
    <cellStyle name="Normal 3 16 2 2" xfId="20885" xr:uid="{00000000-0005-0000-0000-000098510000}"/>
    <cellStyle name="Normal 3 16 2 2 2" xfId="20886" xr:uid="{00000000-0005-0000-0000-000099510000}"/>
    <cellStyle name="Normal 3 16 2 2 3" xfId="20887" xr:uid="{00000000-0005-0000-0000-00009A510000}"/>
    <cellStyle name="Normal 3 16 2 3" xfId="20888" xr:uid="{00000000-0005-0000-0000-00009B510000}"/>
    <cellStyle name="Normal 3 16 2 3 2" xfId="20889" xr:uid="{00000000-0005-0000-0000-00009C510000}"/>
    <cellStyle name="Normal 3 16 2 3 3" xfId="20890" xr:uid="{00000000-0005-0000-0000-00009D510000}"/>
    <cellStyle name="Normal 3 16 2 4" xfId="20891" xr:uid="{00000000-0005-0000-0000-00009E510000}"/>
    <cellStyle name="Normal 3 16 2 5" xfId="20892" xr:uid="{00000000-0005-0000-0000-00009F510000}"/>
    <cellStyle name="Normal 3 16 2 6" xfId="20893" xr:uid="{00000000-0005-0000-0000-0000A0510000}"/>
    <cellStyle name="Normal 3 16 3" xfId="20894" xr:uid="{00000000-0005-0000-0000-0000A1510000}"/>
    <cellStyle name="Normal 3 16 3 2" xfId="20895" xr:uid="{00000000-0005-0000-0000-0000A2510000}"/>
    <cellStyle name="Normal 3 16 3 3" xfId="20896" xr:uid="{00000000-0005-0000-0000-0000A3510000}"/>
    <cellStyle name="Normal 3 16 4" xfId="20897" xr:uid="{00000000-0005-0000-0000-0000A4510000}"/>
    <cellStyle name="Normal 3 16 4 2" xfId="20898" xr:uid="{00000000-0005-0000-0000-0000A5510000}"/>
    <cellStyle name="Normal 3 16 4 3" xfId="20899" xr:uid="{00000000-0005-0000-0000-0000A6510000}"/>
    <cellStyle name="Normal 3 16 5" xfId="20900" xr:uid="{00000000-0005-0000-0000-0000A7510000}"/>
    <cellStyle name="Normal 3 16 6" xfId="20901" xr:uid="{00000000-0005-0000-0000-0000A8510000}"/>
    <cellStyle name="Normal 3 16 7" xfId="20902" xr:uid="{00000000-0005-0000-0000-0000A9510000}"/>
    <cellStyle name="Normal 3 17" xfId="20903" xr:uid="{00000000-0005-0000-0000-0000AA510000}"/>
    <cellStyle name="Normal 3 17 2" xfId="20904" xr:uid="{00000000-0005-0000-0000-0000AB510000}"/>
    <cellStyle name="Normal 3 17 2 2" xfId="20905" xr:uid="{00000000-0005-0000-0000-0000AC510000}"/>
    <cellStyle name="Normal 3 17 2 2 2" xfId="20906" xr:uid="{00000000-0005-0000-0000-0000AD510000}"/>
    <cellStyle name="Normal 3 17 2 2 3" xfId="20907" xr:uid="{00000000-0005-0000-0000-0000AE510000}"/>
    <cellStyle name="Normal 3 17 2 3" xfId="20908" xr:uid="{00000000-0005-0000-0000-0000AF510000}"/>
    <cellStyle name="Normal 3 17 2 3 2" xfId="20909" xr:uid="{00000000-0005-0000-0000-0000B0510000}"/>
    <cellStyle name="Normal 3 17 2 3 3" xfId="20910" xr:uid="{00000000-0005-0000-0000-0000B1510000}"/>
    <cellStyle name="Normal 3 17 2 4" xfId="20911" xr:uid="{00000000-0005-0000-0000-0000B2510000}"/>
    <cellStyle name="Normal 3 17 2 5" xfId="20912" xr:uid="{00000000-0005-0000-0000-0000B3510000}"/>
    <cellStyle name="Normal 3 17 2 6" xfId="20913" xr:uid="{00000000-0005-0000-0000-0000B4510000}"/>
    <cellStyle name="Normal 3 17 3" xfId="20914" xr:uid="{00000000-0005-0000-0000-0000B5510000}"/>
    <cellStyle name="Normal 3 17 3 2" xfId="20915" xr:uid="{00000000-0005-0000-0000-0000B6510000}"/>
    <cellStyle name="Normal 3 17 3 3" xfId="20916" xr:uid="{00000000-0005-0000-0000-0000B7510000}"/>
    <cellStyle name="Normal 3 17 4" xfId="20917" xr:uid="{00000000-0005-0000-0000-0000B8510000}"/>
    <cellStyle name="Normal 3 17 4 2" xfId="20918" xr:uid="{00000000-0005-0000-0000-0000B9510000}"/>
    <cellStyle name="Normal 3 17 4 3" xfId="20919" xr:uid="{00000000-0005-0000-0000-0000BA510000}"/>
    <cellStyle name="Normal 3 17 5" xfId="20920" xr:uid="{00000000-0005-0000-0000-0000BB510000}"/>
    <cellStyle name="Normal 3 17 6" xfId="20921" xr:uid="{00000000-0005-0000-0000-0000BC510000}"/>
    <cellStyle name="Normal 3 17 7" xfId="20922" xr:uid="{00000000-0005-0000-0000-0000BD510000}"/>
    <cellStyle name="Normal 3 18" xfId="20923" xr:uid="{00000000-0005-0000-0000-0000BE510000}"/>
    <cellStyle name="Normal 3 18 2" xfId="20924" xr:uid="{00000000-0005-0000-0000-0000BF510000}"/>
    <cellStyle name="Normal 3 18 2 2" xfId="20925" xr:uid="{00000000-0005-0000-0000-0000C0510000}"/>
    <cellStyle name="Normal 3 18 2 2 2" xfId="20926" xr:uid="{00000000-0005-0000-0000-0000C1510000}"/>
    <cellStyle name="Normal 3 18 2 2 3" xfId="20927" xr:uid="{00000000-0005-0000-0000-0000C2510000}"/>
    <cellStyle name="Normal 3 18 2 3" xfId="20928" xr:uid="{00000000-0005-0000-0000-0000C3510000}"/>
    <cellStyle name="Normal 3 18 2 3 2" xfId="20929" xr:uid="{00000000-0005-0000-0000-0000C4510000}"/>
    <cellStyle name="Normal 3 18 2 3 3" xfId="20930" xr:uid="{00000000-0005-0000-0000-0000C5510000}"/>
    <cellStyle name="Normal 3 18 2 4" xfId="20931" xr:uid="{00000000-0005-0000-0000-0000C6510000}"/>
    <cellStyle name="Normal 3 18 2 5" xfId="20932" xr:uid="{00000000-0005-0000-0000-0000C7510000}"/>
    <cellStyle name="Normal 3 18 2 6" xfId="20933" xr:uid="{00000000-0005-0000-0000-0000C8510000}"/>
    <cellStyle name="Normal 3 18 3" xfId="20934" xr:uid="{00000000-0005-0000-0000-0000C9510000}"/>
    <cellStyle name="Normal 3 18 3 2" xfId="20935" xr:uid="{00000000-0005-0000-0000-0000CA510000}"/>
    <cellStyle name="Normal 3 18 3 3" xfId="20936" xr:uid="{00000000-0005-0000-0000-0000CB510000}"/>
    <cellStyle name="Normal 3 18 4" xfId="20937" xr:uid="{00000000-0005-0000-0000-0000CC510000}"/>
    <cellStyle name="Normal 3 18 4 2" xfId="20938" xr:uid="{00000000-0005-0000-0000-0000CD510000}"/>
    <cellStyle name="Normal 3 18 4 3" xfId="20939" xr:uid="{00000000-0005-0000-0000-0000CE510000}"/>
    <cellStyle name="Normal 3 18 5" xfId="20940" xr:uid="{00000000-0005-0000-0000-0000CF510000}"/>
    <cellStyle name="Normal 3 18 6" xfId="20941" xr:uid="{00000000-0005-0000-0000-0000D0510000}"/>
    <cellStyle name="Normal 3 18 7" xfId="20942" xr:uid="{00000000-0005-0000-0000-0000D1510000}"/>
    <cellStyle name="Normal 3 19" xfId="20943" xr:uid="{00000000-0005-0000-0000-0000D2510000}"/>
    <cellStyle name="Normal 3 19 2" xfId="20944" xr:uid="{00000000-0005-0000-0000-0000D3510000}"/>
    <cellStyle name="Normal 3 19 2 2" xfId="20945" xr:uid="{00000000-0005-0000-0000-0000D4510000}"/>
    <cellStyle name="Normal 3 19 2 2 2" xfId="20946" xr:uid="{00000000-0005-0000-0000-0000D5510000}"/>
    <cellStyle name="Normal 3 19 2 2 3" xfId="20947" xr:uid="{00000000-0005-0000-0000-0000D6510000}"/>
    <cellStyle name="Normal 3 19 2 3" xfId="20948" xr:uid="{00000000-0005-0000-0000-0000D7510000}"/>
    <cellStyle name="Normal 3 19 2 3 2" xfId="20949" xr:uid="{00000000-0005-0000-0000-0000D8510000}"/>
    <cellStyle name="Normal 3 19 2 3 3" xfId="20950" xr:uid="{00000000-0005-0000-0000-0000D9510000}"/>
    <cellStyle name="Normal 3 19 2 4" xfId="20951" xr:uid="{00000000-0005-0000-0000-0000DA510000}"/>
    <cellStyle name="Normal 3 19 2 5" xfId="20952" xr:uid="{00000000-0005-0000-0000-0000DB510000}"/>
    <cellStyle name="Normal 3 19 2 6" xfId="20953" xr:uid="{00000000-0005-0000-0000-0000DC510000}"/>
    <cellStyle name="Normal 3 19 3" xfId="20954" xr:uid="{00000000-0005-0000-0000-0000DD510000}"/>
    <cellStyle name="Normal 3 19 3 2" xfId="20955" xr:uid="{00000000-0005-0000-0000-0000DE510000}"/>
    <cellStyle name="Normal 3 19 3 3" xfId="20956" xr:uid="{00000000-0005-0000-0000-0000DF510000}"/>
    <cellStyle name="Normal 3 19 4" xfId="20957" xr:uid="{00000000-0005-0000-0000-0000E0510000}"/>
    <cellStyle name="Normal 3 19 4 2" xfId="20958" xr:uid="{00000000-0005-0000-0000-0000E1510000}"/>
    <cellStyle name="Normal 3 19 4 3" xfId="20959" xr:uid="{00000000-0005-0000-0000-0000E2510000}"/>
    <cellStyle name="Normal 3 19 5" xfId="20960" xr:uid="{00000000-0005-0000-0000-0000E3510000}"/>
    <cellStyle name="Normal 3 19 6" xfId="20961" xr:uid="{00000000-0005-0000-0000-0000E4510000}"/>
    <cellStyle name="Normal 3 19 7" xfId="20962" xr:uid="{00000000-0005-0000-0000-0000E5510000}"/>
    <cellStyle name="Normal 3 2" xfId="20963" xr:uid="{00000000-0005-0000-0000-0000E6510000}"/>
    <cellStyle name="Normal 3 2 10" xfId="20964" xr:uid="{00000000-0005-0000-0000-0000E7510000}"/>
    <cellStyle name="Normal 3 2 11" xfId="20965" xr:uid="{00000000-0005-0000-0000-0000E8510000}"/>
    <cellStyle name="Normal 3 2 12" xfId="20966" xr:uid="{00000000-0005-0000-0000-0000E9510000}"/>
    <cellStyle name="Normal 3 2 2" xfId="20967" xr:uid="{00000000-0005-0000-0000-0000EA510000}"/>
    <cellStyle name="Normal 3 2 2 10" xfId="20968" xr:uid="{00000000-0005-0000-0000-0000EB510000}"/>
    <cellStyle name="Normal 3 2 2 2" xfId="20969" xr:uid="{00000000-0005-0000-0000-0000EC510000}"/>
    <cellStyle name="Normal 3 2 2 2 2" xfId="20970" xr:uid="{00000000-0005-0000-0000-0000ED510000}"/>
    <cellStyle name="Normal 3 2 2 2 2 2" xfId="20971" xr:uid="{00000000-0005-0000-0000-0000EE510000}"/>
    <cellStyle name="Normal 3 2 2 2 2 2 2" xfId="20972" xr:uid="{00000000-0005-0000-0000-0000EF510000}"/>
    <cellStyle name="Normal 3 2 2 2 2 2 3" xfId="20973" xr:uid="{00000000-0005-0000-0000-0000F0510000}"/>
    <cellStyle name="Normal 3 2 2 2 2 3" xfId="20974" xr:uid="{00000000-0005-0000-0000-0000F1510000}"/>
    <cellStyle name="Normal 3 2 2 2 2 3 2" xfId="20975" xr:uid="{00000000-0005-0000-0000-0000F2510000}"/>
    <cellStyle name="Normal 3 2 2 2 2 3 3" xfId="20976" xr:uid="{00000000-0005-0000-0000-0000F3510000}"/>
    <cellStyle name="Normal 3 2 2 2 2 4" xfId="20977" xr:uid="{00000000-0005-0000-0000-0000F4510000}"/>
    <cellStyle name="Normal 3 2 2 2 2 5" xfId="20978" xr:uid="{00000000-0005-0000-0000-0000F5510000}"/>
    <cellStyle name="Normal 3 2 2 2 2 6" xfId="20979" xr:uid="{00000000-0005-0000-0000-0000F6510000}"/>
    <cellStyle name="Normal 3 2 2 2 3" xfId="20980" xr:uid="{00000000-0005-0000-0000-0000F7510000}"/>
    <cellStyle name="Normal 3 2 2 2 3 2" xfId="20981" xr:uid="{00000000-0005-0000-0000-0000F8510000}"/>
    <cellStyle name="Normal 3 2 2 2 3 3" xfId="20982" xr:uid="{00000000-0005-0000-0000-0000F9510000}"/>
    <cellStyle name="Normal 3 2 2 2 4" xfId="20983" xr:uid="{00000000-0005-0000-0000-0000FA510000}"/>
    <cellStyle name="Normal 3 2 2 2 4 2" xfId="20984" xr:uid="{00000000-0005-0000-0000-0000FB510000}"/>
    <cellStyle name="Normal 3 2 2 2 4 3" xfId="20985" xr:uid="{00000000-0005-0000-0000-0000FC510000}"/>
    <cellStyle name="Normal 3 2 2 2 5" xfId="20986" xr:uid="{00000000-0005-0000-0000-0000FD510000}"/>
    <cellStyle name="Normal 3 2 2 2 5 2" xfId="20987" xr:uid="{00000000-0005-0000-0000-0000FE510000}"/>
    <cellStyle name="Normal 3 2 2 2 5 3" xfId="20988" xr:uid="{00000000-0005-0000-0000-0000FF510000}"/>
    <cellStyle name="Normal 3 2 2 2 6" xfId="20989" xr:uid="{00000000-0005-0000-0000-000000520000}"/>
    <cellStyle name="Normal 3 2 2 2 7" xfId="20990" xr:uid="{00000000-0005-0000-0000-000001520000}"/>
    <cellStyle name="Normal 3 2 2 2 8" xfId="20991" xr:uid="{00000000-0005-0000-0000-000002520000}"/>
    <cellStyle name="Normal 3 2 2 3" xfId="20992" xr:uid="{00000000-0005-0000-0000-000003520000}"/>
    <cellStyle name="Normal 3 2 2 3 2" xfId="20993" xr:uid="{00000000-0005-0000-0000-000004520000}"/>
    <cellStyle name="Normal 3 2 2 3 2 2" xfId="20994" xr:uid="{00000000-0005-0000-0000-000005520000}"/>
    <cellStyle name="Normal 3 2 2 3 2 2 2" xfId="20995" xr:uid="{00000000-0005-0000-0000-000006520000}"/>
    <cellStyle name="Normal 3 2 2 3 2 2 3" xfId="20996" xr:uid="{00000000-0005-0000-0000-000007520000}"/>
    <cellStyle name="Normal 3 2 2 3 2 3" xfId="20997" xr:uid="{00000000-0005-0000-0000-000008520000}"/>
    <cellStyle name="Normal 3 2 2 3 2 3 2" xfId="20998" xr:uid="{00000000-0005-0000-0000-000009520000}"/>
    <cellStyle name="Normal 3 2 2 3 2 3 3" xfId="20999" xr:uid="{00000000-0005-0000-0000-00000A520000}"/>
    <cellStyle name="Normal 3 2 2 3 2 4" xfId="21000" xr:uid="{00000000-0005-0000-0000-00000B520000}"/>
    <cellStyle name="Normal 3 2 2 3 2 5" xfId="21001" xr:uid="{00000000-0005-0000-0000-00000C520000}"/>
    <cellStyle name="Normal 3 2 2 3 2 6" xfId="21002" xr:uid="{00000000-0005-0000-0000-00000D520000}"/>
    <cellStyle name="Normal 3 2 2 3 3" xfId="21003" xr:uid="{00000000-0005-0000-0000-00000E520000}"/>
    <cellStyle name="Normal 3 2 2 3 3 2" xfId="21004" xr:uid="{00000000-0005-0000-0000-00000F520000}"/>
    <cellStyle name="Normal 3 2 2 3 3 3" xfId="21005" xr:uid="{00000000-0005-0000-0000-000010520000}"/>
    <cellStyle name="Normal 3 2 2 3 4" xfId="21006" xr:uid="{00000000-0005-0000-0000-000011520000}"/>
    <cellStyle name="Normal 3 2 2 3 4 2" xfId="21007" xr:uid="{00000000-0005-0000-0000-000012520000}"/>
    <cellStyle name="Normal 3 2 2 3 4 3" xfId="21008" xr:uid="{00000000-0005-0000-0000-000013520000}"/>
    <cellStyle name="Normal 3 2 2 3 5" xfId="21009" xr:uid="{00000000-0005-0000-0000-000014520000}"/>
    <cellStyle name="Normal 3 2 2 3 5 2" xfId="21010" xr:uid="{00000000-0005-0000-0000-000015520000}"/>
    <cellStyle name="Normal 3 2 2 3 5 3" xfId="21011" xr:uid="{00000000-0005-0000-0000-000016520000}"/>
    <cellStyle name="Normal 3 2 2 3 6" xfId="21012" xr:uid="{00000000-0005-0000-0000-000017520000}"/>
    <cellStyle name="Normal 3 2 2 3 7" xfId="21013" xr:uid="{00000000-0005-0000-0000-000018520000}"/>
    <cellStyle name="Normal 3 2 2 3 8" xfId="21014" xr:uid="{00000000-0005-0000-0000-000019520000}"/>
    <cellStyle name="Normal 3 2 2 4" xfId="21015" xr:uid="{00000000-0005-0000-0000-00001A520000}"/>
    <cellStyle name="Normal 3 2 2 4 2" xfId="21016" xr:uid="{00000000-0005-0000-0000-00001B520000}"/>
    <cellStyle name="Normal 3 2 2 4 2 2" xfId="21017" xr:uid="{00000000-0005-0000-0000-00001C520000}"/>
    <cellStyle name="Normal 3 2 2 4 2 3" xfId="21018" xr:uid="{00000000-0005-0000-0000-00001D520000}"/>
    <cellStyle name="Normal 3 2 2 4 3" xfId="21019" xr:uid="{00000000-0005-0000-0000-00001E520000}"/>
    <cellStyle name="Normal 3 2 2 4 3 2" xfId="21020" xr:uid="{00000000-0005-0000-0000-00001F520000}"/>
    <cellStyle name="Normal 3 2 2 4 3 3" xfId="21021" xr:uid="{00000000-0005-0000-0000-000020520000}"/>
    <cellStyle name="Normal 3 2 2 4 4" xfId="21022" xr:uid="{00000000-0005-0000-0000-000021520000}"/>
    <cellStyle name="Normal 3 2 2 4 5" xfId="21023" xr:uid="{00000000-0005-0000-0000-000022520000}"/>
    <cellStyle name="Normal 3 2 2 4 6" xfId="21024" xr:uid="{00000000-0005-0000-0000-000023520000}"/>
    <cellStyle name="Normal 3 2 2 5" xfId="21025" xr:uid="{00000000-0005-0000-0000-000024520000}"/>
    <cellStyle name="Normal 3 2 2 5 2" xfId="21026" xr:uid="{00000000-0005-0000-0000-000025520000}"/>
    <cellStyle name="Normal 3 2 2 5 3" xfId="21027" xr:uid="{00000000-0005-0000-0000-000026520000}"/>
    <cellStyle name="Normal 3 2 2 6" xfId="21028" xr:uid="{00000000-0005-0000-0000-000027520000}"/>
    <cellStyle name="Normal 3 2 2 6 2" xfId="21029" xr:uid="{00000000-0005-0000-0000-000028520000}"/>
    <cellStyle name="Normal 3 2 2 6 3" xfId="21030" xr:uid="{00000000-0005-0000-0000-000029520000}"/>
    <cellStyle name="Normal 3 2 2 7" xfId="21031" xr:uid="{00000000-0005-0000-0000-00002A520000}"/>
    <cellStyle name="Normal 3 2 2 7 2" xfId="21032" xr:uid="{00000000-0005-0000-0000-00002B520000}"/>
    <cellStyle name="Normal 3 2 2 7 3" xfId="21033" xr:uid="{00000000-0005-0000-0000-00002C520000}"/>
    <cellStyle name="Normal 3 2 2 8" xfId="21034" xr:uid="{00000000-0005-0000-0000-00002D520000}"/>
    <cellStyle name="Normal 3 2 2 9" xfId="21035" xr:uid="{00000000-0005-0000-0000-00002E520000}"/>
    <cellStyle name="Normal 3 2 3" xfId="21036" xr:uid="{00000000-0005-0000-0000-00002F520000}"/>
    <cellStyle name="Normal 3 2 3 2" xfId="21037" xr:uid="{00000000-0005-0000-0000-000030520000}"/>
    <cellStyle name="Normal 3 2 3 2 2" xfId="21038" xr:uid="{00000000-0005-0000-0000-000031520000}"/>
    <cellStyle name="Normal 3 2 3 2 2 2" xfId="21039" xr:uid="{00000000-0005-0000-0000-000032520000}"/>
    <cellStyle name="Normal 3 2 3 2 2 3" xfId="21040" xr:uid="{00000000-0005-0000-0000-000033520000}"/>
    <cellStyle name="Normal 3 2 3 2 3" xfId="21041" xr:uid="{00000000-0005-0000-0000-000034520000}"/>
    <cellStyle name="Normal 3 2 3 2 3 2" xfId="21042" xr:uid="{00000000-0005-0000-0000-000035520000}"/>
    <cellStyle name="Normal 3 2 3 2 3 3" xfId="21043" xr:uid="{00000000-0005-0000-0000-000036520000}"/>
    <cellStyle name="Normal 3 2 3 2 4" xfId="21044" xr:uid="{00000000-0005-0000-0000-000037520000}"/>
    <cellStyle name="Normal 3 2 3 2 5" xfId="21045" xr:uid="{00000000-0005-0000-0000-000038520000}"/>
    <cellStyle name="Normal 3 2 3 2 6" xfId="21046" xr:uid="{00000000-0005-0000-0000-000039520000}"/>
    <cellStyle name="Normal 3 2 3 3" xfId="21047" xr:uid="{00000000-0005-0000-0000-00003A520000}"/>
    <cellStyle name="Normal 3 2 3 3 2" xfId="21048" xr:uid="{00000000-0005-0000-0000-00003B520000}"/>
    <cellStyle name="Normal 3 2 3 3 3" xfId="21049" xr:uid="{00000000-0005-0000-0000-00003C520000}"/>
    <cellStyle name="Normal 3 2 3 4" xfId="21050" xr:uid="{00000000-0005-0000-0000-00003D520000}"/>
    <cellStyle name="Normal 3 2 3 4 2" xfId="21051" xr:uid="{00000000-0005-0000-0000-00003E520000}"/>
    <cellStyle name="Normal 3 2 3 4 3" xfId="21052" xr:uid="{00000000-0005-0000-0000-00003F520000}"/>
    <cellStyle name="Normal 3 2 3 5" xfId="21053" xr:uid="{00000000-0005-0000-0000-000040520000}"/>
    <cellStyle name="Normal 3 2 3 5 2" xfId="21054" xr:uid="{00000000-0005-0000-0000-000041520000}"/>
    <cellStyle name="Normal 3 2 3 5 3" xfId="21055" xr:uid="{00000000-0005-0000-0000-000042520000}"/>
    <cellStyle name="Normal 3 2 3 6" xfId="21056" xr:uid="{00000000-0005-0000-0000-000043520000}"/>
    <cellStyle name="Normal 3 2 3 7" xfId="21057" xr:uid="{00000000-0005-0000-0000-000044520000}"/>
    <cellStyle name="Normal 3 2 3 8" xfId="21058" xr:uid="{00000000-0005-0000-0000-000045520000}"/>
    <cellStyle name="Normal 3 2 4" xfId="21059" xr:uid="{00000000-0005-0000-0000-000046520000}"/>
    <cellStyle name="Normal 3 2 4 2" xfId="21060" xr:uid="{00000000-0005-0000-0000-000047520000}"/>
    <cellStyle name="Normal 3 2 4 2 2" xfId="21061" xr:uid="{00000000-0005-0000-0000-000048520000}"/>
    <cellStyle name="Normal 3 2 4 2 2 2" xfId="21062" xr:uid="{00000000-0005-0000-0000-000049520000}"/>
    <cellStyle name="Normal 3 2 4 2 2 3" xfId="21063" xr:uid="{00000000-0005-0000-0000-00004A520000}"/>
    <cellStyle name="Normal 3 2 4 2 3" xfId="21064" xr:uid="{00000000-0005-0000-0000-00004B520000}"/>
    <cellStyle name="Normal 3 2 4 2 3 2" xfId="21065" xr:uid="{00000000-0005-0000-0000-00004C520000}"/>
    <cellStyle name="Normal 3 2 4 2 3 3" xfId="21066" xr:uid="{00000000-0005-0000-0000-00004D520000}"/>
    <cellStyle name="Normal 3 2 4 2 4" xfId="21067" xr:uid="{00000000-0005-0000-0000-00004E520000}"/>
    <cellStyle name="Normal 3 2 4 2 5" xfId="21068" xr:uid="{00000000-0005-0000-0000-00004F520000}"/>
    <cellStyle name="Normal 3 2 4 2 6" xfId="21069" xr:uid="{00000000-0005-0000-0000-000050520000}"/>
    <cellStyle name="Normal 3 2 4 3" xfId="21070" xr:uid="{00000000-0005-0000-0000-000051520000}"/>
    <cellStyle name="Normal 3 2 4 3 2" xfId="21071" xr:uid="{00000000-0005-0000-0000-000052520000}"/>
    <cellStyle name="Normal 3 2 4 3 3" xfId="21072" xr:uid="{00000000-0005-0000-0000-000053520000}"/>
    <cellStyle name="Normal 3 2 4 4" xfId="21073" xr:uid="{00000000-0005-0000-0000-000054520000}"/>
    <cellStyle name="Normal 3 2 4 4 2" xfId="21074" xr:uid="{00000000-0005-0000-0000-000055520000}"/>
    <cellStyle name="Normal 3 2 4 4 3" xfId="21075" xr:uid="{00000000-0005-0000-0000-000056520000}"/>
    <cellStyle name="Normal 3 2 4 5" xfId="21076" xr:uid="{00000000-0005-0000-0000-000057520000}"/>
    <cellStyle name="Normal 3 2 4 5 2" xfId="21077" xr:uid="{00000000-0005-0000-0000-000058520000}"/>
    <cellStyle name="Normal 3 2 4 5 3" xfId="21078" xr:uid="{00000000-0005-0000-0000-000059520000}"/>
    <cellStyle name="Normal 3 2 4 6" xfId="21079" xr:uid="{00000000-0005-0000-0000-00005A520000}"/>
    <cellStyle name="Normal 3 2 4 7" xfId="21080" xr:uid="{00000000-0005-0000-0000-00005B520000}"/>
    <cellStyle name="Normal 3 2 4 8" xfId="21081" xr:uid="{00000000-0005-0000-0000-00005C520000}"/>
    <cellStyle name="Normal 3 2 5" xfId="21082" xr:uid="{00000000-0005-0000-0000-00005D520000}"/>
    <cellStyle name="Normal 3 2 5 2" xfId="21083" xr:uid="{00000000-0005-0000-0000-00005E520000}"/>
    <cellStyle name="Normal 3 2 5 2 2" xfId="21084" xr:uid="{00000000-0005-0000-0000-00005F520000}"/>
    <cellStyle name="Normal 3 2 5 2 2 2" xfId="21085" xr:uid="{00000000-0005-0000-0000-000060520000}"/>
    <cellStyle name="Normal 3 2 5 2 2 3" xfId="21086" xr:uid="{00000000-0005-0000-0000-000061520000}"/>
    <cellStyle name="Normal 3 2 5 2 3" xfId="21087" xr:uid="{00000000-0005-0000-0000-000062520000}"/>
    <cellStyle name="Normal 3 2 5 2 3 2" xfId="21088" xr:uid="{00000000-0005-0000-0000-000063520000}"/>
    <cellStyle name="Normal 3 2 5 2 3 3" xfId="21089" xr:uid="{00000000-0005-0000-0000-000064520000}"/>
    <cellStyle name="Normal 3 2 5 2 4" xfId="21090" xr:uid="{00000000-0005-0000-0000-000065520000}"/>
    <cellStyle name="Normal 3 2 5 2 5" xfId="21091" xr:uid="{00000000-0005-0000-0000-000066520000}"/>
    <cellStyle name="Normal 3 2 5 2 6" xfId="21092" xr:uid="{00000000-0005-0000-0000-000067520000}"/>
    <cellStyle name="Normal 3 2 5 3" xfId="21093" xr:uid="{00000000-0005-0000-0000-000068520000}"/>
    <cellStyle name="Normal 3 2 5 3 2" xfId="21094" xr:uid="{00000000-0005-0000-0000-000069520000}"/>
    <cellStyle name="Normal 3 2 5 3 3" xfId="21095" xr:uid="{00000000-0005-0000-0000-00006A520000}"/>
    <cellStyle name="Normal 3 2 5 4" xfId="21096" xr:uid="{00000000-0005-0000-0000-00006B520000}"/>
    <cellStyle name="Normal 3 2 5 4 2" xfId="21097" xr:uid="{00000000-0005-0000-0000-00006C520000}"/>
    <cellStyle name="Normal 3 2 5 4 3" xfId="21098" xr:uid="{00000000-0005-0000-0000-00006D520000}"/>
    <cellStyle name="Normal 3 2 5 5" xfId="21099" xr:uid="{00000000-0005-0000-0000-00006E520000}"/>
    <cellStyle name="Normal 3 2 5 5 2" xfId="21100" xr:uid="{00000000-0005-0000-0000-00006F520000}"/>
    <cellStyle name="Normal 3 2 5 5 3" xfId="21101" xr:uid="{00000000-0005-0000-0000-000070520000}"/>
    <cellStyle name="Normal 3 2 5 6" xfId="21102" xr:uid="{00000000-0005-0000-0000-000071520000}"/>
    <cellStyle name="Normal 3 2 5 7" xfId="21103" xr:uid="{00000000-0005-0000-0000-000072520000}"/>
    <cellStyle name="Normal 3 2 5 8" xfId="21104" xr:uid="{00000000-0005-0000-0000-000073520000}"/>
    <cellStyle name="Normal 3 2 6" xfId="21105" xr:uid="{00000000-0005-0000-0000-000074520000}"/>
    <cellStyle name="Normal 3 2 6 2" xfId="21106" xr:uid="{00000000-0005-0000-0000-000075520000}"/>
    <cellStyle name="Normal 3 2 6 2 2" xfId="21107" xr:uid="{00000000-0005-0000-0000-000076520000}"/>
    <cellStyle name="Normal 3 2 6 2 3" xfId="21108" xr:uid="{00000000-0005-0000-0000-000077520000}"/>
    <cellStyle name="Normal 3 2 6 3" xfId="21109" xr:uid="{00000000-0005-0000-0000-000078520000}"/>
    <cellStyle name="Normal 3 2 6 3 2" xfId="21110" xr:uid="{00000000-0005-0000-0000-000079520000}"/>
    <cellStyle name="Normal 3 2 6 3 3" xfId="21111" xr:uid="{00000000-0005-0000-0000-00007A520000}"/>
    <cellStyle name="Normal 3 2 6 4" xfId="21112" xr:uid="{00000000-0005-0000-0000-00007B520000}"/>
    <cellStyle name="Normal 3 2 6 5" xfId="21113" xr:uid="{00000000-0005-0000-0000-00007C520000}"/>
    <cellStyle name="Normal 3 2 6 6" xfId="21114" xr:uid="{00000000-0005-0000-0000-00007D520000}"/>
    <cellStyle name="Normal 3 2 7" xfId="21115" xr:uid="{00000000-0005-0000-0000-00007E520000}"/>
    <cellStyle name="Normal 3 2 7 2" xfId="21116" xr:uid="{00000000-0005-0000-0000-00007F520000}"/>
    <cellStyle name="Normal 3 2 7 3" xfId="21117" xr:uid="{00000000-0005-0000-0000-000080520000}"/>
    <cellStyle name="Normal 3 2 8" xfId="21118" xr:uid="{00000000-0005-0000-0000-000081520000}"/>
    <cellStyle name="Normal 3 2 8 2" xfId="21119" xr:uid="{00000000-0005-0000-0000-000082520000}"/>
    <cellStyle name="Normal 3 2 8 3" xfId="21120" xr:uid="{00000000-0005-0000-0000-000083520000}"/>
    <cellStyle name="Normal 3 2 9" xfId="21121" xr:uid="{00000000-0005-0000-0000-000084520000}"/>
    <cellStyle name="Normal 3 2 9 2" xfId="21122" xr:uid="{00000000-0005-0000-0000-000085520000}"/>
    <cellStyle name="Normal 3 2 9 3" xfId="21123" xr:uid="{00000000-0005-0000-0000-000086520000}"/>
    <cellStyle name="Normal 3 20" xfId="21124" xr:uid="{00000000-0005-0000-0000-000087520000}"/>
    <cellStyle name="Normal 3 20 2" xfId="21125" xr:uid="{00000000-0005-0000-0000-000088520000}"/>
    <cellStyle name="Normal 3 20 2 2" xfId="21126" xr:uid="{00000000-0005-0000-0000-000089520000}"/>
    <cellStyle name="Normal 3 20 2 2 2" xfId="21127" xr:uid="{00000000-0005-0000-0000-00008A520000}"/>
    <cellStyle name="Normal 3 20 2 2 3" xfId="21128" xr:uid="{00000000-0005-0000-0000-00008B520000}"/>
    <cellStyle name="Normal 3 20 2 3" xfId="21129" xr:uid="{00000000-0005-0000-0000-00008C520000}"/>
    <cellStyle name="Normal 3 20 2 3 2" xfId="21130" xr:uid="{00000000-0005-0000-0000-00008D520000}"/>
    <cellStyle name="Normal 3 20 2 3 3" xfId="21131" xr:uid="{00000000-0005-0000-0000-00008E520000}"/>
    <cellStyle name="Normal 3 20 2 4" xfId="21132" xr:uid="{00000000-0005-0000-0000-00008F520000}"/>
    <cellStyle name="Normal 3 20 2 5" xfId="21133" xr:uid="{00000000-0005-0000-0000-000090520000}"/>
    <cellStyle name="Normal 3 20 2 6" xfId="21134" xr:uid="{00000000-0005-0000-0000-000091520000}"/>
    <cellStyle name="Normal 3 20 3" xfId="21135" xr:uid="{00000000-0005-0000-0000-000092520000}"/>
    <cellStyle name="Normal 3 20 3 2" xfId="21136" xr:uid="{00000000-0005-0000-0000-000093520000}"/>
    <cellStyle name="Normal 3 20 3 3" xfId="21137" xr:uid="{00000000-0005-0000-0000-000094520000}"/>
    <cellStyle name="Normal 3 20 4" xfId="21138" xr:uid="{00000000-0005-0000-0000-000095520000}"/>
    <cellStyle name="Normal 3 20 4 2" xfId="21139" xr:uid="{00000000-0005-0000-0000-000096520000}"/>
    <cellStyle name="Normal 3 20 4 3" xfId="21140" xr:uid="{00000000-0005-0000-0000-000097520000}"/>
    <cellStyle name="Normal 3 20 5" xfId="21141" xr:uid="{00000000-0005-0000-0000-000098520000}"/>
    <cellStyle name="Normal 3 20 6" xfId="21142" xr:uid="{00000000-0005-0000-0000-000099520000}"/>
    <cellStyle name="Normal 3 20 7" xfId="21143" xr:uid="{00000000-0005-0000-0000-00009A520000}"/>
    <cellStyle name="Normal 3 21" xfId="21144" xr:uid="{00000000-0005-0000-0000-00009B520000}"/>
    <cellStyle name="Normal 3 21 2" xfId="21145" xr:uid="{00000000-0005-0000-0000-00009C520000}"/>
    <cellStyle name="Normal 3 21 2 2" xfId="21146" xr:uid="{00000000-0005-0000-0000-00009D520000}"/>
    <cellStyle name="Normal 3 21 2 2 2" xfId="21147" xr:uid="{00000000-0005-0000-0000-00009E520000}"/>
    <cellStyle name="Normal 3 21 2 2 3" xfId="21148" xr:uid="{00000000-0005-0000-0000-00009F520000}"/>
    <cellStyle name="Normal 3 21 2 3" xfId="21149" xr:uid="{00000000-0005-0000-0000-0000A0520000}"/>
    <cellStyle name="Normal 3 21 2 3 2" xfId="21150" xr:uid="{00000000-0005-0000-0000-0000A1520000}"/>
    <cellStyle name="Normal 3 21 2 3 3" xfId="21151" xr:uid="{00000000-0005-0000-0000-0000A2520000}"/>
    <cellStyle name="Normal 3 21 2 4" xfId="21152" xr:uid="{00000000-0005-0000-0000-0000A3520000}"/>
    <cellStyle name="Normal 3 21 2 5" xfId="21153" xr:uid="{00000000-0005-0000-0000-0000A4520000}"/>
    <cellStyle name="Normal 3 21 2 6" xfId="21154" xr:uid="{00000000-0005-0000-0000-0000A5520000}"/>
    <cellStyle name="Normal 3 21 3" xfId="21155" xr:uid="{00000000-0005-0000-0000-0000A6520000}"/>
    <cellStyle name="Normal 3 21 3 2" xfId="21156" xr:uid="{00000000-0005-0000-0000-0000A7520000}"/>
    <cellStyle name="Normal 3 21 3 3" xfId="21157" xr:uid="{00000000-0005-0000-0000-0000A8520000}"/>
    <cellStyle name="Normal 3 21 4" xfId="21158" xr:uid="{00000000-0005-0000-0000-0000A9520000}"/>
    <cellStyle name="Normal 3 21 4 2" xfId="21159" xr:uid="{00000000-0005-0000-0000-0000AA520000}"/>
    <cellStyle name="Normal 3 21 4 3" xfId="21160" xr:uid="{00000000-0005-0000-0000-0000AB520000}"/>
    <cellStyle name="Normal 3 21 5" xfId="21161" xr:uid="{00000000-0005-0000-0000-0000AC520000}"/>
    <cellStyle name="Normal 3 21 6" xfId="21162" xr:uid="{00000000-0005-0000-0000-0000AD520000}"/>
    <cellStyle name="Normal 3 21 7" xfId="21163" xr:uid="{00000000-0005-0000-0000-0000AE520000}"/>
    <cellStyle name="Normal 3 22" xfId="21164" xr:uid="{00000000-0005-0000-0000-0000AF520000}"/>
    <cellStyle name="Normal 3 22 2" xfId="21165" xr:uid="{00000000-0005-0000-0000-0000B0520000}"/>
    <cellStyle name="Normal 3 22 2 2" xfId="21166" xr:uid="{00000000-0005-0000-0000-0000B1520000}"/>
    <cellStyle name="Normal 3 22 2 2 2" xfId="21167" xr:uid="{00000000-0005-0000-0000-0000B2520000}"/>
    <cellStyle name="Normal 3 22 2 2 3" xfId="21168" xr:uid="{00000000-0005-0000-0000-0000B3520000}"/>
    <cellStyle name="Normal 3 22 2 3" xfId="21169" xr:uid="{00000000-0005-0000-0000-0000B4520000}"/>
    <cellStyle name="Normal 3 22 2 3 2" xfId="21170" xr:uid="{00000000-0005-0000-0000-0000B5520000}"/>
    <cellStyle name="Normal 3 22 2 3 3" xfId="21171" xr:uid="{00000000-0005-0000-0000-0000B6520000}"/>
    <cellStyle name="Normal 3 22 2 4" xfId="21172" xr:uid="{00000000-0005-0000-0000-0000B7520000}"/>
    <cellStyle name="Normal 3 22 2 5" xfId="21173" xr:uid="{00000000-0005-0000-0000-0000B8520000}"/>
    <cellStyle name="Normal 3 22 2 6" xfId="21174" xr:uid="{00000000-0005-0000-0000-0000B9520000}"/>
    <cellStyle name="Normal 3 22 3" xfId="21175" xr:uid="{00000000-0005-0000-0000-0000BA520000}"/>
    <cellStyle name="Normal 3 22 3 2" xfId="21176" xr:uid="{00000000-0005-0000-0000-0000BB520000}"/>
    <cellStyle name="Normal 3 22 3 3" xfId="21177" xr:uid="{00000000-0005-0000-0000-0000BC520000}"/>
    <cellStyle name="Normal 3 22 4" xfId="21178" xr:uid="{00000000-0005-0000-0000-0000BD520000}"/>
    <cellStyle name="Normal 3 22 4 2" xfId="21179" xr:uid="{00000000-0005-0000-0000-0000BE520000}"/>
    <cellStyle name="Normal 3 22 4 3" xfId="21180" xr:uid="{00000000-0005-0000-0000-0000BF520000}"/>
    <cellStyle name="Normal 3 22 5" xfId="21181" xr:uid="{00000000-0005-0000-0000-0000C0520000}"/>
    <cellStyle name="Normal 3 22 6" xfId="21182" xr:uid="{00000000-0005-0000-0000-0000C1520000}"/>
    <cellStyle name="Normal 3 22 7" xfId="21183" xr:uid="{00000000-0005-0000-0000-0000C2520000}"/>
    <cellStyle name="Normal 3 23" xfId="21184" xr:uid="{00000000-0005-0000-0000-0000C3520000}"/>
    <cellStyle name="Normal 3 23 10" xfId="21185" xr:uid="{00000000-0005-0000-0000-0000C4520000}"/>
    <cellStyle name="Normal 3 23 2" xfId="21186" xr:uid="{00000000-0005-0000-0000-0000C5520000}"/>
    <cellStyle name="Normal 3 23 2 2" xfId="21187" xr:uid="{00000000-0005-0000-0000-0000C6520000}"/>
    <cellStyle name="Normal 3 23 2 2 2" xfId="21188" xr:uid="{00000000-0005-0000-0000-0000C7520000}"/>
    <cellStyle name="Normal 3 23 2 2 3" xfId="21189" xr:uid="{00000000-0005-0000-0000-0000C8520000}"/>
    <cellStyle name="Normal 3 23 2 3" xfId="21190" xr:uid="{00000000-0005-0000-0000-0000C9520000}"/>
    <cellStyle name="Normal 3 23 2 3 2" xfId="21191" xr:uid="{00000000-0005-0000-0000-0000CA520000}"/>
    <cellStyle name="Normal 3 23 2 3 3" xfId="21192" xr:uid="{00000000-0005-0000-0000-0000CB520000}"/>
    <cellStyle name="Normal 3 23 2 4" xfId="21193" xr:uid="{00000000-0005-0000-0000-0000CC520000}"/>
    <cellStyle name="Normal 3 23 2 5" xfId="21194" xr:uid="{00000000-0005-0000-0000-0000CD520000}"/>
    <cellStyle name="Normal 3 23 2 6" xfId="21195" xr:uid="{00000000-0005-0000-0000-0000CE520000}"/>
    <cellStyle name="Normal 3 23 3" xfId="21196" xr:uid="{00000000-0005-0000-0000-0000CF520000}"/>
    <cellStyle name="Normal 3 23 3 2" xfId="21197" xr:uid="{00000000-0005-0000-0000-0000D0520000}"/>
    <cellStyle name="Normal 3 23 3 3" xfId="21198" xr:uid="{00000000-0005-0000-0000-0000D1520000}"/>
    <cellStyle name="Normal 3 23 4" xfId="21199" xr:uid="{00000000-0005-0000-0000-0000D2520000}"/>
    <cellStyle name="Normal 3 23 4 2" xfId="21200" xr:uid="{00000000-0005-0000-0000-0000D3520000}"/>
    <cellStyle name="Normal 3 23 4 3" xfId="21201" xr:uid="{00000000-0005-0000-0000-0000D4520000}"/>
    <cellStyle name="Normal 3 23 5" xfId="21202" xr:uid="{00000000-0005-0000-0000-0000D5520000}"/>
    <cellStyle name="Normal 3 23 6" xfId="21203" xr:uid="{00000000-0005-0000-0000-0000D6520000}"/>
    <cellStyle name="Normal 3 23 7" xfId="21204" xr:uid="{00000000-0005-0000-0000-0000D7520000}"/>
    <cellStyle name="Normal 3 24" xfId="21205" xr:uid="{00000000-0005-0000-0000-0000D8520000}"/>
    <cellStyle name="Normal 3 24 2" xfId="21206" xr:uid="{00000000-0005-0000-0000-0000D9520000}"/>
    <cellStyle name="Normal 3 24 2 2" xfId="21207" xr:uid="{00000000-0005-0000-0000-0000DA520000}"/>
    <cellStyle name="Normal 3 24 2 2 2" xfId="21208" xr:uid="{00000000-0005-0000-0000-0000DB520000}"/>
    <cellStyle name="Normal 3 24 2 2 3" xfId="21209" xr:uid="{00000000-0005-0000-0000-0000DC520000}"/>
    <cellStyle name="Normal 3 24 2 3" xfId="21210" xr:uid="{00000000-0005-0000-0000-0000DD520000}"/>
    <cellStyle name="Normal 3 24 2 3 2" xfId="21211" xr:uid="{00000000-0005-0000-0000-0000DE520000}"/>
    <cellStyle name="Normal 3 24 2 3 3" xfId="21212" xr:uid="{00000000-0005-0000-0000-0000DF520000}"/>
    <cellStyle name="Normal 3 24 2 4" xfId="21213" xr:uid="{00000000-0005-0000-0000-0000E0520000}"/>
    <cellStyle name="Normal 3 24 2 5" xfId="21214" xr:uid="{00000000-0005-0000-0000-0000E1520000}"/>
    <cellStyle name="Normal 3 24 2 6" xfId="21215" xr:uid="{00000000-0005-0000-0000-0000E2520000}"/>
    <cellStyle name="Normal 3 24 3" xfId="21216" xr:uid="{00000000-0005-0000-0000-0000E3520000}"/>
    <cellStyle name="Normal 3 24 3 2" xfId="21217" xr:uid="{00000000-0005-0000-0000-0000E4520000}"/>
    <cellStyle name="Normal 3 24 3 3" xfId="21218" xr:uid="{00000000-0005-0000-0000-0000E5520000}"/>
    <cellStyle name="Normal 3 24 4" xfId="21219" xr:uid="{00000000-0005-0000-0000-0000E6520000}"/>
    <cellStyle name="Normal 3 24 4 2" xfId="21220" xr:uid="{00000000-0005-0000-0000-0000E7520000}"/>
    <cellStyle name="Normal 3 24 4 3" xfId="21221" xr:uid="{00000000-0005-0000-0000-0000E8520000}"/>
    <cellStyle name="Normal 3 24 5" xfId="21222" xr:uid="{00000000-0005-0000-0000-0000E9520000}"/>
    <cellStyle name="Normal 3 24 6" xfId="21223" xr:uid="{00000000-0005-0000-0000-0000EA520000}"/>
    <cellStyle name="Normal 3 24 7" xfId="21224" xr:uid="{00000000-0005-0000-0000-0000EB520000}"/>
    <cellStyle name="Normal 3 25" xfId="21225" xr:uid="{00000000-0005-0000-0000-0000EC520000}"/>
    <cellStyle name="Normal 3 25 2" xfId="21226" xr:uid="{00000000-0005-0000-0000-0000ED520000}"/>
    <cellStyle name="Normal 3 25 2 2" xfId="21227" xr:uid="{00000000-0005-0000-0000-0000EE520000}"/>
    <cellStyle name="Normal 3 25 2 3" xfId="21228" xr:uid="{00000000-0005-0000-0000-0000EF520000}"/>
    <cellStyle name="Normal 3 25 3" xfId="21229" xr:uid="{00000000-0005-0000-0000-0000F0520000}"/>
    <cellStyle name="Normal 3 25 3 2" xfId="21230" xr:uid="{00000000-0005-0000-0000-0000F1520000}"/>
    <cellStyle name="Normal 3 25 3 3" xfId="21231" xr:uid="{00000000-0005-0000-0000-0000F2520000}"/>
    <cellStyle name="Normal 3 25 4" xfId="21232" xr:uid="{00000000-0005-0000-0000-0000F3520000}"/>
    <cellStyle name="Normal 3 25 5" xfId="21233" xr:uid="{00000000-0005-0000-0000-0000F4520000}"/>
    <cellStyle name="Normal 3 25 6" xfId="21234" xr:uid="{00000000-0005-0000-0000-0000F5520000}"/>
    <cellStyle name="Normal 3 26" xfId="21235" xr:uid="{00000000-0005-0000-0000-0000F6520000}"/>
    <cellStyle name="Normal 3 26 2" xfId="21236" xr:uid="{00000000-0005-0000-0000-0000F7520000}"/>
    <cellStyle name="Normal 3 26 3" xfId="21237" xr:uid="{00000000-0005-0000-0000-0000F8520000}"/>
    <cellStyle name="Normal 3 26 4" xfId="21238" xr:uid="{00000000-0005-0000-0000-0000F9520000}"/>
    <cellStyle name="Normal 3 27" xfId="21239" xr:uid="{00000000-0005-0000-0000-0000FA520000}"/>
    <cellStyle name="Normal 3 27 2" xfId="21240" xr:uid="{00000000-0005-0000-0000-0000FB520000}"/>
    <cellStyle name="Normal 3 27 3" xfId="21241" xr:uid="{00000000-0005-0000-0000-0000FC520000}"/>
    <cellStyle name="Normal 3 28" xfId="21242" xr:uid="{00000000-0005-0000-0000-0000FD520000}"/>
    <cellStyle name="Normal 3 28 2" xfId="21243" xr:uid="{00000000-0005-0000-0000-0000FE520000}"/>
    <cellStyle name="Normal 3 28 3" xfId="21244" xr:uid="{00000000-0005-0000-0000-0000FF520000}"/>
    <cellStyle name="Normal 3 29" xfId="21245" xr:uid="{00000000-0005-0000-0000-000000530000}"/>
    <cellStyle name="Normal 3 3" xfId="21246" xr:uid="{00000000-0005-0000-0000-000001530000}"/>
    <cellStyle name="Normal 3 3 10" xfId="21247" xr:uid="{00000000-0005-0000-0000-000002530000}"/>
    <cellStyle name="Normal 3 3 11" xfId="21248" xr:uid="{00000000-0005-0000-0000-000003530000}"/>
    <cellStyle name="Normal 3 3 12" xfId="21249" xr:uid="{00000000-0005-0000-0000-000004530000}"/>
    <cellStyle name="Normal 3 3 2" xfId="21250" xr:uid="{00000000-0005-0000-0000-000005530000}"/>
    <cellStyle name="Normal 3 3 2 10" xfId="21251" xr:uid="{00000000-0005-0000-0000-000006530000}"/>
    <cellStyle name="Normal 3 3 2 2" xfId="21252" xr:uid="{00000000-0005-0000-0000-000007530000}"/>
    <cellStyle name="Normal 3 3 2 2 2" xfId="21253" xr:uid="{00000000-0005-0000-0000-000008530000}"/>
    <cellStyle name="Normal 3 3 2 2 2 2" xfId="21254" xr:uid="{00000000-0005-0000-0000-000009530000}"/>
    <cellStyle name="Normal 3 3 2 2 2 2 2" xfId="21255" xr:uid="{00000000-0005-0000-0000-00000A530000}"/>
    <cellStyle name="Normal 3 3 2 2 2 2 3" xfId="21256" xr:uid="{00000000-0005-0000-0000-00000B530000}"/>
    <cellStyle name="Normal 3 3 2 2 2 3" xfId="21257" xr:uid="{00000000-0005-0000-0000-00000C530000}"/>
    <cellStyle name="Normal 3 3 2 2 2 3 2" xfId="21258" xr:uid="{00000000-0005-0000-0000-00000D530000}"/>
    <cellStyle name="Normal 3 3 2 2 2 3 3" xfId="21259" xr:uid="{00000000-0005-0000-0000-00000E530000}"/>
    <cellStyle name="Normal 3 3 2 2 2 4" xfId="21260" xr:uid="{00000000-0005-0000-0000-00000F530000}"/>
    <cellStyle name="Normal 3 3 2 2 2 5" xfId="21261" xr:uid="{00000000-0005-0000-0000-000010530000}"/>
    <cellStyle name="Normal 3 3 2 2 2 6" xfId="21262" xr:uid="{00000000-0005-0000-0000-000011530000}"/>
    <cellStyle name="Normal 3 3 2 2 3" xfId="21263" xr:uid="{00000000-0005-0000-0000-000012530000}"/>
    <cellStyle name="Normal 3 3 2 2 3 2" xfId="21264" xr:uid="{00000000-0005-0000-0000-000013530000}"/>
    <cellStyle name="Normal 3 3 2 2 3 3" xfId="21265" xr:uid="{00000000-0005-0000-0000-000014530000}"/>
    <cellStyle name="Normal 3 3 2 2 4" xfId="21266" xr:uid="{00000000-0005-0000-0000-000015530000}"/>
    <cellStyle name="Normal 3 3 2 2 4 2" xfId="21267" xr:uid="{00000000-0005-0000-0000-000016530000}"/>
    <cellStyle name="Normal 3 3 2 2 4 3" xfId="21268" xr:uid="{00000000-0005-0000-0000-000017530000}"/>
    <cellStyle name="Normal 3 3 2 2 5" xfId="21269" xr:uid="{00000000-0005-0000-0000-000018530000}"/>
    <cellStyle name="Normal 3 3 2 2 5 2" xfId="21270" xr:uid="{00000000-0005-0000-0000-000019530000}"/>
    <cellStyle name="Normal 3 3 2 2 5 3" xfId="21271" xr:uid="{00000000-0005-0000-0000-00001A530000}"/>
    <cellStyle name="Normal 3 3 2 2 6" xfId="21272" xr:uid="{00000000-0005-0000-0000-00001B530000}"/>
    <cellStyle name="Normal 3 3 2 2 7" xfId="21273" xr:uid="{00000000-0005-0000-0000-00001C530000}"/>
    <cellStyle name="Normal 3 3 2 2 8" xfId="21274" xr:uid="{00000000-0005-0000-0000-00001D530000}"/>
    <cellStyle name="Normal 3 3 2 3" xfId="21275" xr:uid="{00000000-0005-0000-0000-00001E530000}"/>
    <cellStyle name="Normal 3 3 2 3 2" xfId="21276" xr:uid="{00000000-0005-0000-0000-00001F530000}"/>
    <cellStyle name="Normal 3 3 2 3 2 2" xfId="21277" xr:uid="{00000000-0005-0000-0000-000020530000}"/>
    <cellStyle name="Normal 3 3 2 3 2 2 2" xfId="21278" xr:uid="{00000000-0005-0000-0000-000021530000}"/>
    <cellStyle name="Normal 3 3 2 3 2 2 3" xfId="21279" xr:uid="{00000000-0005-0000-0000-000022530000}"/>
    <cellStyle name="Normal 3 3 2 3 2 3" xfId="21280" xr:uid="{00000000-0005-0000-0000-000023530000}"/>
    <cellStyle name="Normal 3 3 2 3 2 3 2" xfId="21281" xr:uid="{00000000-0005-0000-0000-000024530000}"/>
    <cellStyle name="Normal 3 3 2 3 2 3 3" xfId="21282" xr:uid="{00000000-0005-0000-0000-000025530000}"/>
    <cellStyle name="Normal 3 3 2 3 2 4" xfId="21283" xr:uid="{00000000-0005-0000-0000-000026530000}"/>
    <cellStyle name="Normal 3 3 2 3 2 5" xfId="21284" xr:uid="{00000000-0005-0000-0000-000027530000}"/>
    <cellStyle name="Normal 3 3 2 3 2 6" xfId="21285" xr:uid="{00000000-0005-0000-0000-000028530000}"/>
    <cellStyle name="Normal 3 3 2 3 3" xfId="21286" xr:uid="{00000000-0005-0000-0000-000029530000}"/>
    <cellStyle name="Normal 3 3 2 3 3 2" xfId="21287" xr:uid="{00000000-0005-0000-0000-00002A530000}"/>
    <cellStyle name="Normal 3 3 2 3 3 3" xfId="21288" xr:uid="{00000000-0005-0000-0000-00002B530000}"/>
    <cellStyle name="Normal 3 3 2 3 4" xfId="21289" xr:uid="{00000000-0005-0000-0000-00002C530000}"/>
    <cellStyle name="Normal 3 3 2 3 4 2" xfId="21290" xr:uid="{00000000-0005-0000-0000-00002D530000}"/>
    <cellStyle name="Normal 3 3 2 3 4 3" xfId="21291" xr:uid="{00000000-0005-0000-0000-00002E530000}"/>
    <cellStyle name="Normal 3 3 2 3 5" xfId="21292" xr:uid="{00000000-0005-0000-0000-00002F530000}"/>
    <cellStyle name="Normal 3 3 2 3 5 2" xfId="21293" xr:uid="{00000000-0005-0000-0000-000030530000}"/>
    <cellStyle name="Normal 3 3 2 3 5 3" xfId="21294" xr:uid="{00000000-0005-0000-0000-000031530000}"/>
    <cellStyle name="Normal 3 3 2 3 6" xfId="21295" xr:uid="{00000000-0005-0000-0000-000032530000}"/>
    <cellStyle name="Normal 3 3 2 3 7" xfId="21296" xr:uid="{00000000-0005-0000-0000-000033530000}"/>
    <cellStyle name="Normal 3 3 2 3 8" xfId="21297" xr:uid="{00000000-0005-0000-0000-000034530000}"/>
    <cellStyle name="Normal 3 3 2 4" xfId="21298" xr:uid="{00000000-0005-0000-0000-000035530000}"/>
    <cellStyle name="Normal 3 3 2 4 2" xfId="21299" xr:uid="{00000000-0005-0000-0000-000036530000}"/>
    <cellStyle name="Normal 3 3 2 4 2 2" xfId="21300" xr:uid="{00000000-0005-0000-0000-000037530000}"/>
    <cellStyle name="Normal 3 3 2 4 2 3" xfId="21301" xr:uid="{00000000-0005-0000-0000-000038530000}"/>
    <cellStyle name="Normal 3 3 2 4 3" xfId="21302" xr:uid="{00000000-0005-0000-0000-000039530000}"/>
    <cellStyle name="Normal 3 3 2 4 3 2" xfId="21303" xr:uid="{00000000-0005-0000-0000-00003A530000}"/>
    <cellStyle name="Normal 3 3 2 4 3 3" xfId="21304" xr:uid="{00000000-0005-0000-0000-00003B530000}"/>
    <cellStyle name="Normal 3 3 2 4 4" xfId="21305" xr:uid="{00000000-0005-0000-0000-00003C530000}"/>
    <cellStyle name="Normal 3 3 2 4 5" xfId="21306" xr:uid="{00000000-0005-0000-0000-00003D530000}"/>
    <cellStyle name="Normal 3 3 2 4 6" xfId="21307" xr:uid="{00000000-0005-0000-0000-00003E530000}"/>
    <cellStyle name="Normal 3 3 2 5" xfId="21308" xr:uid="{00000000-0005-0000-0000-00003F530000}"/>
    <cellStyle name="Normal 3 3 2 5 2" xfId="21309" xr:uid="{00000000-0005-0000-0000-000040530000}"/>
    <cellStyle name="Normal 3 3 2 5 3" xfId="21310" xr:uid="{00000000-0005-0000-0000-000041530000}"/>
    <cellStyle name="Normal 3 3 2 6" xfId="21311" xr:uid="{00000000-0005-0000-0000-000042530000}"/>
    <cellStyle name="Normal 3 3 2 6 2" xfId="21312" xr:uid="{00000000-0005-0000-0000-000043530000}"/>
    <cellStyle name="Normal 3 3 2 6 3" xfId="21313" xr:uid="{00000000-0005-0000-0000-000044530000}"/>
    <cellStyle name="Normal 3 3 2 7" xfId="21314" xr:uid="{00000000-0005-0000-0000-000045530000}"/>
    <cellStyle name="Normal 3 3 2 7 2" xfId="21315" xr:uid="{00000000-0005-0000-0000-000046530000}"/>
    <cellStyle name="Normal 3 3 2 7 3" xfId="21316" xr:uid="{00000000-0005-0000-0000-000047530000}"/>
    <cellStyle name="Normal 3 3 2 8" xfId="21317" xr:uid="{00000000-0005-0000-0000-000048530000}"/>
    <cellStyle name="Normal 3 3 2 9" xfId="21318" xr:uid="{00000000-0005-0000-0000-000049530000}"/>
    <cellStyle name="Normal 3 3 3" xfId="21319" xr:uid="{00000000-0005-0000-0000-00004A530000}"/>
    <cellStyle name="Normal 3 3 3 2" xfId="21320" xr:uid="{00000000-0005-0000-0000-00004B530000}"/>
    <cellStyle name="Normal 3 3 3 2 2" xfId="21321" xr:uid="{00000000-0005-0000-0000-00004C530000}"/>
    <cellStyle name="Normal 3 3 3 2 2 2" xfId="21322" xr:uid="{00000000-0005-0000-0000-00004D530000}"/>
    <cellStyle name="Normal 3 3 3 2 2 3" xfId="21323" xr:uid="{00000000-0005-0000-0000-00004E530000}"/>
    <cellStyle name="Normal 3 3 3 2 3" xfId="21324" xr:uid="{00000000-0005-0000-0000-00004F530000}"/>
    <cellStyle name="Normal 3 3 3 2 3 2" xfId="21325" xr:uid="{00000000-0005-0000-0000-000050530000}"/>
    <cellStyle name="Normal 3 3 3 2 3 3" xfId="21326" xr:uid="{00000000-0005-0000-0000-000051530000}"/>
    <cellStyle name="Normal 3 3 3 2 4" xfId="21327" xr:uid="{00000000-0005-0000-0000-000052530000}"/>
    <cellStyle name="Normal 3 3 3 2 5" xfId="21328" xr:uid="{00000000-0005-0000-0000-000053530000}"/>
    <cellStyle name="Normal 3 3 3 2 6" xfId="21329" xr:uid="{00000000-0005-0000-0000-000054530000}"/>
    <cellStyle name="Normal 3 3 3 3" xfId="21330" xr:uid="{00000000-0005-0000-0000-000055530000}"/>
    <cellStyle name="Normal 3 3 3 3 2" xfId="21331" xr:uid="{00000000-0005-0000-0000-000056530000}"/>
    <cellStyle name="Normal 3 3 3 3 3" xfId="21332" xr:uid="{00000000-0005-0000-0000-000057530000}"/>
    <cellStyle name="Normal 3 3 3 4" xfId="21333" xr:uid="{00000000-0005-0000-0000-000058530000}"/>
    <cellStyle name="Normal 3 3 3 4 2" xfId="21334" xr:uid="{00000000-0005-0000-0000-000059530000}"/>
    <cellStyle name="Normal 3 3 3 4 3" xfId="21335" xr:uid="{00000000-0005-0000-0000-00005A530000}"/>
    <cellStyle name="Normal 3 3 3 5" xfId="21336" xr:uid="{00000000-0005-0000-0000-00005B530000}"/>
    <cellStyle name="Normal 3 3 3 5 2" xfId="21337" xr:uid="{00000000-0005-0000-0000-00005C530000}"/>
    <cellStyle name="Normal 3 3 3 5 3" xfId="21338" xr:uid="{00000000-0005-0000-0000-00005D530000}"/>
    <cellStyle name="Normal 3 3 3 6" xfId="21339" xr:uid="{00000000-0005-0000-0000-00005E530000}"/>
    <cellStyle name="Normal 3 3 3 7" xfId="21340" xr:uid="{00000000-0005-0000-0000-00005F530000}"/>
    <cellStyle name="Normal 3 3 3 8" xfId="21341" xr:uid="{00000000-0005-0000-0000-000060530000}"/>
    <cellStyle name="Normal 3 3 4" xfId="21342" xr:uid="{00000000-0005-0000-0000-000061530000}"/>
    <cellStyle name="Normal 3 3 4 2" xfId="21343" xr:uid="{00000000-0005-0000-0000-000062530000}"/>
    <cellStyle name="Normal 3 3 4 2 2" xfId="21344" xr:uid="{00000000-0005-0000-0000-000063530000}"/>
    <cellStyle name="Normal 3 3 4 2 2 2" xfId="21345" xr:uid="{00000000-0005-0000-0000-000064530000}"/>
    <cellStyle name="Normal 3 3 4 2 2 3" xfId="21346" xr:uid="{00000000-0005-0000-0000-000065530000}"/>
    <cellStyle name="Normal 3 3 4 2 3" xfId="21347" xr:uid="{00000000-0005-0000-0000-000066530000}"/>
    <cellStyle name="Normal 3 3 4 2 3 2" xfId="21348" xr:uid="{00000000-0005-0000-0000-000067530000}"/>
    <cellStyle name="Normal 3 3 4 2 3 3" xfId="21349" xr:uid="{00000000-0005-0000-0000-000068530000}"/>
    <cellStyle name="Normal 3 3 4 2 4" xfId="21350" xr:uid="{00000000-0005-0000-0000-000069530000}"/>
    <cellStyle name="Normal 3 3 4 2 5" xfId="21351" xr:uid="{00000000-0005-0000-0000-00006A530000}"/>
    <cellStyle name="Normal 3 3 4 2 6" xfId="21352" xr:uid="{00000000-0005-0000-0000-00006B530000}"/>
    <cellStyle name="Normal 3 3 4 3" xfId="21353" xr:uid="{00000000-0005-0000-0000-00006C530000}"/>
    <cellStyle name="Normal 3 3 4 3 2" xfId="21354" xr:uid="{00000000-0005-0000-0000-00006D530000}"/>
    <cellStyle name="Normal 3 3 4 3 3" xfId="21355" xr:uid="{00000000-0005-0000-0000-00006E530000}"/>
    <cellStyle name="Normal 3 3 4 4" xfId="21356" xr:uid="{00000000-0005-0000-0000-00006F530000}"/>
    <cellStyle name="Normal 3 3 4 4 2" xfId="21357" xr:uid="{00000000-0005-0000-0000-000070530000}"/>
    <cellStyle name="Normal 3 3 4 4 3" xfId="21358" xr:uid="{00000000-0005-0000-0000-000071530000}"/>
    <cellStyle name="Normal 3 3 4 5" xfId="21359" xr:uid="{00000000-0005-0000-0000-000072530000}"/>
    <cellStyle name="Normal 3 3 4 5 2" xfId="21360" xr:uid="{00000000-0005-0000-0000-000073530000}"/>
    <cellStyle name="Normal 3 3 4 5 3" xfId="21361" xr:uid="{00000000-0005-0000-0000-000074530000}"/>
    <cellStyle name="Normal 3 3 4 6" xfId="21362" xr:uid="{00000000-0005-0000-0000-000075530000}"/>
    <cellStyle name="Normal 3 3 4 7" xfId="21363" xr:uid="{00000000-0005-0000-0000-000076530000}"/>
    <cellStyle name="Normal 3 3 4 8" xfId="21364" xr:uid="{00000000-0005-0000-0000-000077530000}"/>
    <cellStyle name="Normal 3 3 5" xfId="21365" xr:uid="{00000000-0005-0000-0000-000078530000}"/>
    <cellStyle name="Normal 3 3 5 2" xfId="21366" xr:uid="{00000000-0005-0000-0000-000079530000}"/>
    <cellStyle name="Normal 3 3 5 2 2" xfId="21367" xr:uid="{00000000-0005-0000-0000-00007A530000}"/>
    <cellStyle name="Normal 3 3 5 2 2 2" xfId="21368" xr:uid="{00000000-0005-0000-0000-00007B530000}"/>
    <cellStyle name="Normal 3 3 5 2 2 3" xfId="21369" xr:uid="{00000000-0005-0000-0000-00007C530000}"/>
    <cellStyle name="Normal 3 3 5 2 3" xfId="21370" xr:uid="{00000000-0005-0000-0000-00007D530000}"/>
    <cellStyle name="Normal 3 3 5 2 3 2" xfId="21371" xr:uid="{00000000-0005-0000-0000-00007E530000}"/>
    <cellStyle name="Normal 3 3 5 2 3 3" xfId="21372" xr:uid="{00000000-0005-0000-0000-00007F530000}"/>
    <cellStyle name="Normal 3 3 5 2 4" xfId="21373" xr:uid="{00000000-0005-0000-0000-000080530000}"/>
    <cellStyle name="Normal 3 3 5 2 5" xfId="21374" xr:uid="{00000000-0005-0000-0000-000081530000}"/>
    <cellStyle name="Normal 3 3 5 2 6" xfId="21375" xr:uid="{00000000-0005-0000-0000-000082530000}"/>
    <cellStyle name="Normal 3 3 5 3" xfId="21376" xr:uid="{00000000-0005-0000-0000-000083530000}"/>
    <cellStyle name="Normal 3 3 5 3 2" xfId="21377" xr:uid="{00000000-0005-0000-0000-000084530000}"/>
    <cellStyle name="Normal 3 3 5 3 3" xfId="21378" xr:uid="{00000000-0005-0000-0000-000085530000}"/>
    <cellStyle name="Normal 3 3 5 4" xfId="21379" xr:uid="{00000000-0005-0000-0000-000086530000}"/>
    <cellStyle name="Normal 3 3 5 4 2" xfId="21380" xr:uid="{00000000-0005-0000-0000-000087530000}"/>
    <cellStyle name="Normal 3 3 5 4 3" xfId="21381" xr:uid="{00000000-0005-0000-0000-000088530000}"/>
    <cellStyle name="Normal 3 3 5 5" xfId="21382" xr:uid="{00000000-0005-0000-0000-000089530000}"/>
    <cellStyle name="Normal 3 3 5 5 2" xfId="21383" xr:uid="{00000000-0005-0000-0000-00008A530000}"/>
    <cellStyle name="Normal 3 3 5 5 3" xfId="21384" xr:uid="{00000000-0005-0000-0000-00008B530000}"/>
    <cellStyle name="Normal 3 3 5 6" xfId="21385" xr:uid="{00000000-0005-0000-0000-00008C530000}"/>
    <cellStyle name="Normal 3 3 5 7" xfId="21386" xr:uid="{00000000-0005-0000-0000-00008D530000}"/>
    <cellStyle name="Normal 3 3 5 8" xfId="21387" xr:uid="{00000000-0005-0000-0000-00008E530000}"/>
    <cellStyle name="Normal 3 3 6" xfId="21388" xr:uid="{00000000-0005-0000-0000-00008F530000}"/>
    <cellStyle name="Normal 3 3 6 2" xfId="21389" xr:uid="{00000000-0005-0000-0000-000090530000}"/>
    <cellStyle name="Normal 3 3 6 2 2" xfId="21390" xr:uid="{00000000-0005-0000-0000-000091530000}"/>
    <cellStyle name="Normal 3 3 6 2 3" xfId="21391" xr:uid="{00000000-0005-0000-0000-000092530000}"/>
    <cellStyle name="Normal 3 3 6 3" xfId="21392" xr:uid="{00000000-0005-0000-0000-000093530000}"/>
    <cellStyle name="Normal 3 3 6 3 2" xfId="21393" xr:uid="{00000000-0005-0000-0000-000094530000}"/>
    <cellStyle name="Normal 3 3 6 3 3" xfId="21394" xr:uid="{00000000-0005-0000-0000-000095530000}"/>
    <cellStyle name="Normal 3 3 6 4" xfId="21395" xr:uid="{00000000-0005-0000-0000-000096530000}"/>
    <cellStyle name="Normal 3 3 6 5" xfId="21396" xr:uid="{00000000-0005-0000-0000-000097530000}"/>
    <cellStyle name="Normal 3 3 6 6" xfId="21397" xr:uid="{00000000-0005-0000-0000-000098530000}"/>
    <cellStyle name="Normal 3 3 7" xfId="21398" xr:uid="{00000000-0005-0000-0000-000099530000}"/>
    <cellStyle name="Normal 3 3 7 2" xfId="21399" xr:uid="{00000000-0005-0000-0000-00009A530000}"/>
    <cellStyle name="Normal 3 3 7 3" xfId="21400" xr:uid="{00000000-0005-0000-0000-00009B530000}"/>
    <cellStyle name="Normal 3 3 8" xfId="21401" xr:uid="{00000000-0005-0000-0000-00009C530000}"/>
    <cellStyle name="Normal 3 3 8 2" xfId="21402" xr:uid="{00000000-0005-0000-0000-00009D530000}"/>
    <cellStyle name="Normal 3 3 8 3" xfId="21403" xr:uid="{00000000-0005-0000-0000-00009E530000}"/>
    <cellStyle name="Normal 3 3 9" xfId="21404" xr:uid="{00000000-0005-0000-0000-00009F530000}"/>
    <cellStyle name="Normal 3 3 9 2" xfId="21405" xr:uid="{00000000-0005-0000-0000-0000A0530000}"/>
    <cellStyle name="Normal 3 3 9 3" xfId="21406" xr:uid="{00000000-0005-0000-0000-0000A1530000}"/>
    <cellStyle name="Normal 3 30" xfId="21407" xr:uid="{00000000-0005-0000-0000-0000A2530000}"/>
    <cellStyle name="Normal 3 31" xfId="21408" xr:uid="{00000000-0005-0000-0000-0000A3530000}"/>
    <cellStyle name="Normal 3 4" xfId="21409" xr:uid="{00000000-0005-0000-0000-0000A4530000}"/>
    <cellStyle name="Normal 3 4 10" xfId="21410" xr:uid="{00000000-0005-0000-0000-0000A5530000}"/>
    <cellStyle name="Normal 3 4 11" xfId="21411" xr:uid="{00000000-0005-0000-0000-0000A6530000}"/>
    <cellStyle name="Normal 3 4 12" xfId="21412" xr:uid="{00000000-0005-0000-0000-0000A7530000}"/>
    <cellStyle name="Normal 3 4 2" xfId="21413" xr:uid="{00000000-0005-0000-0000-0000A8530000}"/>
    <cellStyle name="Normal 3 4 2 10" xfId="21414" xr:uid="{00000000-0005-0000-0000-0000A9530000}"/>
    <cellStyle name="Normal 3 4 2 2" xfId="21415" xr:uid="{00000000-0005-0000-0000-0000AA530000}"/>
    <cellStyle name="Normal 3 4 2 2 2" xfId="21416" xr:uid="{00000000-0005-0000-0000-0000AB530000}"/>
    <cellStyle name="Normal 3 4 2 2 2 2" xfId="21417" xr:uid="{00000000-0005-0000-0000-0000AC530000}"/>
    <cellStyle name="Normal 3 4 2 2 2 2 2" xfId="21418" xr:uid="{00000000-0005-0000-0000-0000AD530000}"/>
    <cellStyle name="Normal 3 4 2 2 2 2 3" xfId="21419" xr:uid="{00000000-0005-0000-0000-0000AE530000}"/>
    <cellStyle name="Normal 3 4 2 2 2 3" xfId="21420" xr:uid="{00000000-0005-0000-0000-0000AF530000}"/>
    <cellStyle name="Normal 3 4 2 2 2 3 2" xfId="21421" xr:uid="{00000000-0005-0000-0000-0000B0530000}"/>
    <cellStyle name="Normal 3 4 2 2 2 3 3" xfId="21422" xr:uid="{00000000-0005-0000-0000-0000B1530000}"/>
    <cellStyle name="Normal 3 4 2 2 2 4" xfId="21423" xr:uid="{00000000-0005-0000-0000-0000B2530000}"/>
    <cellStyle name="Normal 3 4 2 2 2 5" xfId="21424" xr:uid="{00000000-0005-0000-0000-0000B3530000}"/>
    <cellStyle name="Normal 3 4 2 2 2 6" xfId="21425" xr:uid="{00000000-0005-0000-0000-0000B4530000}"/>
    <cellStyle name="Normal 3 4 2 2 3" xfId="21426" xr:uid="{00000000-0005-0000-0000-0000B5530000}"/>
    <cellStyle name="Normal 3 4 2 2 3 2" xfId="21427" xr:uid="{00000000-0005-0000-0000-0000B6530000}"/>
    <cellStyle name="Normal 3 4 2 2 3 3" xfId="21428" xr:uid="{00000000-0005-0000-0000-0000B7530000}"/>
    <cellStyle name="Normal 3 4 2 2 4" xfId="21429" xr:uid="{00000000-0005-0000-0000-0000B8530000}"/>
    <cellStyle name="Normal 3 4 2 2 4 2" xfId="21430" xr:uid="{00000000-0005-0000-0000-0000B9530000}"/>
    <cellStyle name="Normal 3 4 2 2 4 3" xfId="21431" xr:uid="{00000000-0005-0000-0000-0000BA530000}"/>
    <cellStyle name="Normal 3 4 2 2 5" xfId="21432" xr:uid="{00000000-0005-0000-0000-0000BB530000}"/>
    <cellStyle name="Normal 3 4 2 2 5 2" xfId="21433" xr:uid="{00000000-0005-0000-0000-0000BC530000}"/>
    <cellStyle name="Normal 3 4 2 2 5 3" xfId="21434" xr:uid="{00000000-0005-0000-0000-0000BD530000}"/>
    <cellStyle name="Normal 3 4 2 2 6" xfId="21435" xr:uid="{00000000-0005-0000-0000-0000BE530000}"/>
    <cellStyle name="Normal 3 4 2 2 7" xfId="21436" xr:uid="{00000000-0005-0000-0000-0000BF530000}"/>
    <cellStyle name="Normal 3 4 2 2 8" xfId="21437" xr:uid="{00000000-0005-0000-0000-0000C0530000}"/>
    <cellStyle name="Normal 3 4 2 3" xfId="21438" xr:uid="{00000000-0005-0000-0000-0000C1530000}"/>
    <cellStyle name="Normal 3 4 2 3 2" xfId="21439" xr:uid="{00000000-0005-0000-0000-0000C2530000}"/>
    <cellStyle name="Normal 3 4 2 3 2 2" xfId="21440" xr:uid="{00000000-0005-0000-0000-0000C3530000}"/>
    <cellStyle name="Normal 3 4 2 3 2 2 2" xfId="21441" xr:uid="{00000000-0005-0000-0000-0000C4530000}"/>
    <cellStyle name="Normal 3 4 2 3 2 2 3" xfId="21442" xr:uid="{00000000-0005-0000-0000-0000C5530000}"/>
    <cellStyle name="Normal 3 4 2 3 2 3" xfId="21443" xr:uid="{00000000-0005-0000-0000-0000C6530000}"/>
    <cellStyle name="Normal 3 4 2 3 2 3 2" xfId="21444" xr:uid="{00000000-0005-0000-0000-0000C7530000}"/>
    <cellStyle name="Normal 3 4 2 3 2 3 3" xfId="21445" xr:uid="{00000000-0005-0000-0000-0000C8530000}"/>
    <cellStyle name="Normal 3 4 2 3 2 4" xfId="21446" xr:uid="{00000000-0005-0000-0000-0000C9530000}"/>
    <cellStyle name="Normal 3 4 2 3 2 5" xfId="21447" xr:uid="{00000000-0005-0000-0000-0000CA530000}"/>
    <cellStyle name="Normal 3 4 2 3 2 6" xfId="21448" xr:uid="{00000000-0005-0000-0000-0000CB530000}"/>
    <cellStyle name="Normal 3 4 2 3 3" xfId="21449" xr:uid="{00000000-0005-0000-0000-0000CC530000}"/>
    <cellStyle name="Normal 3 4 2 3 3 2" xfId="21450" xr:uid="{00000000-0005-0000-0000-0000CD530000}"/>
    <cellStyle name="Normal 3 4 2 3 3 3" xfId="21451" xr:uid="{00000000-0005-0000-0000-0000CE530000}"/>
    <cellStyle name="Normal 3 4 2 3 4" xfId="21452" xr:uid="{00000000-0005-0000-0000-0000CF530000}"/>
    <cellStyle name="Normal 3 4 2 3 4 2" xfId="21453" xr:uid="{00000000-0005-0000-0000-0000D0530000}"/>
    <cellStyle name="Normal 3 4 2 3 4 3" xfId="21454" xr:uid="{00000000-0005-0000-0000-0000D1530000}"/>
    <cellStyle name="Normal 3 4 2 3 5" xfId="21455" xr:uid="{00000000-0005-0000-0000-0000D2530000}"/>
    <cellStyle name="Normal 3 4 2 3 5 2" xfId="21456" xr:uid="{00000000-0005-0000-0000-0000D3530000}"/>
    <cellStyle name="Normal 3 4 2 3 5 3" xfId="21457" xr:uid="{00000000-0005-0000-0000-0000D4530000}"/>
    <cellStyle name="Normal 3 4 2 3 6" xfId="21458" xr:uid="{00000000-0005-0000-0000-0000D5530000}"/>
    <cellStyle name="Normal 3 4 2 3 7" xfId="21459" xr:uid="{00000000-0005-0000-0000-0000D6530000}"/>
    <cellStyle name="Normal 3 4 2 3 8" xfId="21460" xr:uid="{00000000-0005-0000-0000-0000D7530000}"/>
    <cellStyle name="Normal 3 4 2 4" xfId="21461" xr:uid="{00000000-0005-0000-0000-0000D8530000}"/>
    <cellStyle name="Normal 3 4 2 4 2" xfId="21462" xr:uid="{00000000-0005-0000-0000-0000D9530000}"/>
    <cellStyle name="Normal 3 4 2 4 2 2" xfId="21463" xr:uid="{00000000-0005-0000-0000-0000DA530000}"/>
    <cellStyle name="Normal 3 4 2 4 2 3" xfId="21464" xr:uid="{00000000-0005-0000-0000-0000DB530000}"/>
    <cellStyle name="Normal 3 4 2 4 3" xfId="21465" xr:uid="{00000000-0005-0000-0000-0000DC530000}"/>
    <cellStyle name="Normal 3 4 2 4 3 2" xfId="21466" xr:uid="{00000000-0005-0000-0000-0000DD530000}"/>
    <cellStyle name="Normal 3 4 2 4 3 3" xfId="21467" xr:uid="{00000000-0005-0000-0000-0000DE530000}"/>
    <cellStyle name="Normal 3 4 2 4 4" xfId="21468" xr:uid="{00000000-0005-0000-0000-0000DF530000}"/>
    <cellStyle name="Normal 3 4 2 4 5" xfId="21469" xr:uid="{00000000-0005-0000-0000-0000E0530000}"/>
    <cellStyle name="Normal 3 4 2 4 6" xfId="21470" xr:uid="{00000000-0005-0000-0000-0000E1530000}"/>
    <cellStyle name="Normal 3 4 2 5" xfId="21471" xr:uid="{00000000-0005-0000-0000-0000E2530000}"/>
    <cellStyle name="Normal 3 4 2 5 2" xfId="21472" xr:uid="{00000000-0005-0000-0000-0000E3530000}"/>
    <cellStyle name="Normal 3 4 2 5 3" xfId="21473" xr:uid="{00000000-0005-0000-0000-0000E4530000}"/>
    <cellStyle name="Normal 3 4 2 6" xfId="21474" xr:uid="{00000000-0005-0000-0000-0000E5530000}"/>
    <cellStyle name="Normal 3 4 2 6 2" xfId="21475" xr:uid="{00000000-0005-0000-0000-0000E6530000}"/>
    <cellStyle name="Normal 3 4 2 6 3" xfId="21476" xr:uid="{00000000-0005-0000-0000-0000E7530000}"/>
    <cellStyle name="Normal 3 4 2 7" xfId="21477" xr:uid="{00000000-0005-0000-0000-0000E8530000}"/>
    <cellStyle name="Normal 3 4 2 7 2" xfId="21478" xr:uid="{00000000-0005-0000-0000-0000E9530000}"/>
    <cellStyle name="Normal 3 4 2 7 3" xfId="21479" xr:uid="{00000000-0005-0000-0000-0000EA530000}"/>
    <cellStyle name="Normal 3 4 2 8" xfId="21480" xr:uid="{00000000-0005-0000-0000-0000EB530000}"/>
    <cellStyle name="Normal 3 4 2 9" xfId="21481" xr:uid="{00000000-0005-0000-0000-0000EC530000}"/>
    <cellStyle name="Normal 3 4 3" xfId="21482" xr:uid="{00000000-0005-0000-0000-0000ED530000}"/>
    <cellStyle name="Normal 3 4 3 2" xfId="21483" xr:uid="{00000000-0005-0000-0000-0000EE530000}"/>
    <cellStyle name="Normal 3 4 3 2 2" xfId="21484" xr:uid="{00000000-0005-0000-0000-0000EF530000}"/>
    <cellStyle name="Normal 3 4 3 2 2 2" xfId="21485" xr:uid="{00000000-0005-0000-0000-0000F0530000}"/>
    <cellStyle name="Normal 3 4 3 2 2 3" xfId="21486" xr:uid="{00000000-0005-0000-0000-0000F1530000}"/>
    <cellStyle name="Normal 3 4 3 2 3" xfId="21487" xr:uid="{00000000-0005-0000-0000-0000F2530000}"/>
    <cellStyle name="Normal 3 4 3 2 3 2" xfId="21488" xr:uid="{00000000-0005-0000-0000-0000F3530000}"/>
    <cellStyle name="Normal 3 4 3 2 3 3" xfId="21489" xr:uid="{00000000-0005-0000-0000-0000F4530000}"/>
    <cellStyle name="Normal 3 4 3 2 4" xfId="21490" xr:uid="{00000000-0005-0000-0000-0000F5530000}"/>
    <cellStyle name="Normal 3 4 3 2 5" xfId="21491" xr:uid="{00000000-0005-0000-0000-0000F6530000}"/>
    <cellStyle name="Normal 3 4 3 2 6" xfId="21492" xr:uid="{00000000-0005-0000-0000-0000F7530000}"/>
    <cellStyle name="Normal 3 4 3 3" xfId="21493" xr:uid="{00000000-0005-0000-0000-0000F8530000}"/>
    <cellStyle name="Normal 3 4 3 3 2" xfId="21494" xr:uid="{00000000-0005-0000-0000-0000F9530000}"/>
    <cellStyle name="Normal 3 4 3 3 3" xfId="21495" xr:uid="{00000000-0005-0000-0000-0000FA530000}"/>
    <cellStyle name="Normal 3 4 3 4" xfId="21496" xr:uid="{00000000-0005-0000-0000-0000FB530000}"/>
    <cellStyle name="Normal 3 4 3 4 2" xfId="21497" xr:uid="{00000000-0005-0000-0000-0000FC530000}"/>
    <cellStyle name="Normal 3 4 3 4 3" xfId="21498" xr:uid="{00000000-0005-0000-0000-0000FD530000}"/>
    <cellStyle name="Normal 3 4 3 5" xfId="21499" xr:uid="{00000000-0005-0000-0000-0000FE530000}"/>
    <cellStyle name="Normal 3 4 3 5 2" xfId="21500" xr:uid="{00000000-0005-0000-0000-0000FF530000}"/>
    <cellStyle name="Normal 3 4 3 5 3" xfId="21501" xr:uid="{00000000-0005-0000-0000-000000540000}"/>
    <cellStyle name="Normal 3 4 3 6" xfId="21502" xr:uid="{00000000-0005-0000-0000-000001540000}"/>
    <cellStyle name="Normal 3 4 3 7" xfId="21503" xr:uid="{00000000-0005-0000-0000-000002540000}"/>
    <cellStyle name="Normal 3 4 3 8" xfId="21504" xr:uid="{00000000-0005-0000-0000-000003540000}"/>
    <cellStyle name="Normal 3 4 4" xfId="21505" xr:uid="{00000000-0005-0000-0000-000004540000}"/>
    <cellStyle name="Normal 3 4 4 2" xfId="21506" xr:uid="{00000000-0005-0000-0000-000005540000}"/>
    <cellStyle name="Normal 3 4 4 2 2" xfId="21507" xr:uid="{00000000-0005-0000-0000-000006540000}"/>
    <cellStyle name="Normal 3 4 4 2 2 2" xfId="21508" xr:uid="{00000000-0005-0000-0000-000007540000}"/>
    <cellStyle name="Normal 3 4 4 2 2 3" xfId="21509" xr:uid="{00000000-0005-0000-0000-000008540000}"/>
    <cellStyle name="Normal 3 4 4 2 3" xfId="21510" xr:uid="{00000000-0005-0000-0000-000009540000}"/>
    <cellStyle name="Normal 3 4 4 2 3 2" xfId="21511" xr:uid="{00000000-0005-0000-0000-00000A540000}"/>
    <cellStyle name="Normal 3 4 4 2 3 3" xfId="21512" xr:uid="{00000000-0005-0000-0000-00000B540000}"/>
    <cellStyle name="Normal 3 4 4 2 4" xfId="21513" xr:uid="{00000000-0005-0000-0000-00000C540000}"/>
    <cellStyle name="Normal 3 4 4 2 5" xfId="21514" xr:uid="{00000000-0005-0000-0000-00000D540000}"/>
    <cellStyle name="Normal 3 4 4 2 6" xfId="21515" xr:uid="{00000000-0005-0000-0000-00000E540000}"/>
    <cellStyle name="Normal 3 4 4 3" xfId="21516" xr:uid="{00000000-0005-0000-0000-00000F540000}"/>
    <cellStyle name="Normal 3 4 4 3 2" xfId="21517" xr:uid="{00000000-0005-0000-0000-000010540000}"/>
    <cellStyle name="Normal 3 4 4 3 3" xfId="21518" xr:uid="{00000000-0005-0000-0000-000011540000}"/>
    <cellStyle name="Normal 3 4 4 4" xfId="21519" xr:uid="{00000000-0005-0000-0000-000012540000}"/>
    <cellStyle name="Normal 3 4 4 4 2" xfId="21520" xr:uid="{00000000-0005-0000-0000-000013540000}"/>
    <cellStyle name="Normal 3 4 4 4 3" xfId="21521" xr:uid="{00000000-0005-0000-0000-000014540000}"/>
    <cellStyle name="Normal 3 4 4 5" xfId="21522" xr:uid="{00000000-0005-0000-0000-000015540000}"/>
    <cellStyle name="Normal 3 4 4 5 2" xfId="21523" xr:uid="{00000000-0005-0000-0000-000016540000}"/>
    <cellStyle name="Normal 3 4 4 5 3" xfId="21524" xr:uid="{00000000-0005-0000-0000-000017540000}"/>
    <cellStyle name="Normal 3 4 4 6" xfId="21525" xr:uid="{00000000-0005-0000-0000-000018540000}"/>
    <cellStyle name="Normal 3 4 4 7" xfId="21526" xr:uid="{00000000-0005-0000-0000-000019540000}"/>
    <cellStyle name="Normal 3 4 4 8" xfId="21527" xr:uid="{00000000-0005-0000-0000-00001A540000}"/>
    <cellStyle name="Normal 3 4 5" xfId="21528" xr:uid="{00000000-0005-0000-0000-00001B540000}"/>
    <cellStyle name="Normal 3 4 5 2" xfId="21529" xr:uid="{00000000-0005-0000-0000-00001C540000}"/>
    <cellStyle name="Normal 3 4 5 2 2" xfId="21530" xr:uid="{00000000-0005-0000-0000-00001D540000}"/>
    <cellStyle name="Normal 3 4 5 2 2 2" xfId="21531" xr:uid="{00000000-0005-0000-0000-00001E540000}"/>
    <cellStyle name="Normal 3 4 5 2 2 3" xfId="21532" xr:uid="{00000000-0005-0000-0000-00001F540000}"/>
    <cellStyle name="Normal 3 4 5 2 3" xfId="21533" xr:uid="{00000000-0005-0000-0000-000020540000}"/>
    <cellStyle name="Normal 3 4 5 2 3 2" xfId="21534" xr:uid="{00000000-0005-0000-0000-000021540000}"/>
    <cellStyle name="Normal 3 4 5 2 3 3" xfId="21535" xr:uid="{00000000-0005-0000-0000-000022540000}"/>
    <cellStyle name="Normal 3 4 5 2 4" xfId="21536" xr:uid="{00000000-0005-0000-0000-000023540000}"/>
    <cellStyle name="Normal 3 4 5 2 5" xfId="21537" xr:uid="{00000000-0005-0000-0000-000024540000}"/>
    <cellStyle name="Normal 3 4 5 2 6" xfId="21538" xr:uid="{00000000-0005-0000-0000-000025540000}"/>
    <cellStyle name="Normal 3 4 5 3" xfId="21539" xr:uid="{00000000-0005-0000-0000-000026540000}"/>
    <cellStyle name="Normal 3 4 5 3 2" xfId="21540" xr:uid="{00000000-0005-0000-0000-000027540000}"/>
    <cellStyle name="Normal 3 4 5 3 3" xfId="21541" xr:uid="{00000000-0005-0000-0000-000028540000}"/>
    <cellStyle name="Normal 3 4 5 4" xfId="21542" xr:uid="{00000000-0005-0000-0000-000029540000}"/>
    <cellStyle name="Normal 3 4 5 4 2" xfId="21543" xr:uid="{00000000-0005-0000-0000-00002A540000}"/>
    <cellStyle name="Normal 3 4 5 4 3" xfId="21544" xr:uid="{00000000-0005-0000-0000-00002B540000}"/>
    <cellStyle name="Normal 3 4 5 5" xfId="21545" xr:uid="{00000000-0005-0000-0000-00002C540000}"/>
    <cellStyle name="Normal 3 4 5 5 2" xfId="21546" xr:uid="{00000000-0005-0000-0000-00002D540000}"/>
    <cellStyle name="Normal 3 4 5 5 3" xfId="21547" xr:uid="{00000000-0005-0000-0000-00002E540000}"/>
    <cellStyle name="Normal 3 4 5 6" xfId="21548" xr:uid="{00000000-0005-0000-0000-00002F540000}"/>
    <cellStyle name="Normal 3 4 5 7" xfId="21549" xr:uid="{00000000-0005-0000-0000-000030540000}"/>
    <cellStyle name="Normal 3 4 5 8" xfId="21550" xr:uid="{00000000-0005-0000-0000-000031540000}"/>
    <cellStyle name="Normal 3 4 6" xfId="21551" xr:uid="{00000000-0005-0000-0000-000032540000}"/>
    <cellStyle name="Normal 3 4 6 2" xfId="21552" xr:uid="{00000000-0005-0000-0000-000033540000}"/>
    <cellStyle name="Normal 3 4 6 2 2" xfId="21553" xr:uid="{00000000-0005-0000-0000-000034540000}"/>
    <cellStyle name="Normal 3 4 6 2 3" xfId="21554" xr:uid="{00000000-0005-0000-0000-000035540000}"/>
    <cellStyle name="Normal 3 4 6 3" xfId="21555" xr:uid="{00000000-0005-0000-0000-000036540000}"/>
    <cellStyle name="Normal 3 4 6 3 2" xfId="21556" xr:uid="{00000000-0005-0000-0000-000037540000}"/>
    <cellStyle name="Normal 3 4 6 3 3" xfId="21557" xr:uid="{00000000-0005-0000-0000-000038540000}"/>
    <cellStyle name="Normal 3 4 6 4" xfId="21558" xr:uid="{00000000-0005-0000-0000-000039540000}"/>
    <cellStyle name="Normal 3 4 6 5" xfId="21559" xr:uid="{00000000-0005-0000-0000-00003A540000}"/>
    <cellStyle name="Normal 3 4 6 6" xfId="21560" xr:uid="{00000000-0005-0000-0000-00003B540000}"/>
    <cellStyle name="Normal 3 4 7" xfId="21561" xr:uid="{00000000-0005-0000-0000-00003C540000}"/>
    <cellStyle name="Normal 3 4 7 2" xfId="21562" xr:uid="{00000000-0005-0000-0000-00003D540000}"/>
    <cellStyle name="Normal 3 4 7 3" xfId="21563" xr:uid="{00000000-0005-0000-0000-00003E540000}"/>
    <cellStyle name="Normal 3 4 8" xfId="21564" xr:uid="{00000000-0005-0000-0000-00003F540000}"/>
    <cellStyle name="Normal 3 4 8 2" xfId="21565" xr:uid="{00000000-0005-0000-0000-000040540000}"/>
    <cellStyle name="Normal 3 4 8 3" xfId="21566" xr:uid="{00000000-0005-0000-0000-000041540000}"/>
    <cellStyle name="Normal 3 4 9" xfId="21567" xr:uid="{00000000-0005-0000-0000-000042540000}"/>
    <cellStyle name="Normal 3 4 9 2" xfId="21568" xr:uid="{00000000-0005-0000-0000-000043540000}"/>
    <cellStyle name="Normal 3 4 9 3" xfId="21569" xr:uid="{00000000-0005-0000-0000-000044540000}"/>
    <cellStyle name="Normal 3 5" xfId="21570" xr:uid="{00000000-0005-0000-0000-000045540000}"/>
    <cellStyle name="Normal 3 5 10" xfId="21571" xr:uid="{00000000-0005-0000-0000-000046540000}"/>
    <cellStyle name="Normal 3 5 11" xfId="21572" xr:uid="{00000000-0005-0000-0000-000047540000}"/>
    <cellStyle name="Normal 3 5 12" xfId="21573" xr:uid="{00000000-0005-0000-0000-000048540000}"/>
    <cellStyle name="Normal 3 5 2" xfId="21574" xr:uid="{00000000-0005-0000-0000-000049540000}"/>
    <cellStyle name="Normal 3 5 2 10" xfId="21575" xr:uid="{00000000-0005-0000-0000-00004A540000}"/>
    <cellStyle name="Normal 3 5 2 2" xfId="21576" xr:uid="{00000000-0005-0000-0000-00004B540000}"/>
    <cellStyle name="Normal 3 5 2 2 2" xfId="21577" xr:uid="{00000000-0005-0000-0000-00004C540000}"/>
    <cellStyle name="Normal 3 5 2 2 2 2" xfId="21578" xr:uid="{00000000-0005-0000-0000-00004D540000}"/>
    <cellStyle name="Normal 3 5 2 2 2 2 2" xfId="21579" xr:uid="{00000000-0005-0000-0000-00004E540000}"/>
    <cellStyle name="Normal 3 5 2 2 2 2 3" xfId="21580" xr:uid="{00000000-0005-0000-0000-00004F540000}"/>
    <cellStyle name="Normal 3 5 2 2 2 3" xfId="21581" xr:uid="{00000000-0005-0000-0000-000050540000}"/>
    <cellStyle name="Normal 3 5 2 2 2 3 2" xfId="21582" xr:uid="{00000000-0005-0000-0000-000051540000}"/>
    <cellStyle name="Normal 3 5 2 2 2 3 3" xfId="21583" xr:uid="{00000000-0005-0000-0000-000052540000}"/>
    <cellStyle name="Normal 3 5 2 2 2 4" xfId="21584" xr:uid="{00000000-0005-0000-0000-000053540000}"/>
    <cellStyle name="Normal 3 5 2 2 2 5" xfId="21585" xr:uid="{00000000-0005-0000-0000-000054540000}"/>
    <cellStyle name="Normal 3 5 2 2 2 6" xfId="21586" xr:uid="{00000000-0005-0000-0000-000055540000}"/>
    <cellStyle name="Normal 3 5 2 2 3" xfId="21587" xr:uid="{00000000-0005-0000-0000-000056540000}"/>
    <cellStyle name="Normal 3 5 2 2 3 2" xfId="21588" xr:uid="{00000000-0005-0000-0000-000057540000}"/>
    <cellStyle name="Normal 3 5 2 2 3 3" xfId="21589" xr:uid="{00000000-0005-0000-0000-000058540000}"/>
    <cellStyle name="Normal 3 5 2 2 4" xfId="21590" xr:uid="{00000000-0005-0000-0000-000059540000}"/>
    <cellStyle name="Normal 3 5 2 2 4 2" xfId="21591" xr:uid="{00000000-0005-0000-0000-00005A540000}"/>
    <cellStyle name="Normal 3 5 2 2 4 3" xfId="21592" xr:uid="{00000000-0005-0000-0000-00005B540000}"/>
    <cellStyle name="Normal 3 5 2 2 5" xfId="21593" xr:uid="{00000000-0005-0000-0000-00005C540000}"/>
    <cellStyle name="Normal 3 5 2 2 5 2" xfId="21594" xr:uid="{00000000-0005-0000-0000-00005D540000}"/>
    <cellStyle name="Normal 3 5 2 2 5 3" xfId="21595" xr:uid="{00000000-0005-0000-0000-00005E540000}"/>
    <cellStyle name="Normal 3 5 2 2 6" xfId="21596" xr:uid="{00000000-0005-0000-0000-00005F540000}"/>
    <cellStyle name="Normal 3 5 2 2 7" xfId="21597" xr:uid="{00000000-0005-0000-0000-000060540000}"/>
    <cellStyle name="Normal 3 5 2 2 8" xfId="21598" xr:uid="{00000000-0005-0000-0000-000061540000}"/>
    <cellStyle name="Normal 3 5 2 3" xfId="21599" xr:uid="{00000000-0005-0000-0000-000062540000}"/>
    <cellStyle name="Normal 3 5 2 3 2" xfId="21600" xr:uid="{00000000-0005-0000-0000-000063540000}"/>
    <cellStyle name="Normal 3 5 2 3 2 2" xfId="21601" xr:uid="{00000000-0005-0000-0000-000064540000}"/>
    <cellStyle name="Normal 3 5 2 3 2 2 2" xfId="21602" xr:uid="{00000000-0005-0000-0000-000065540000}"/>
    <cellStyle name="Normal 3 5 2 3 2 2 3" xfId="21603" xr:uid="{00000000-0005-0000-0000-000066540000}"/>
    <cellStyle name="Normal 3 5 2 3 2 3" xfId="21604" xr:uid="{00000000-0005-0000-0000-000067540000}"/>
    <cellStyle name="Normal 3 5 2 3 2 3 2" xfId="21605" xr:uid="{00000000-0005-0000-0000-000068540000}"/>
    <cellStyle name="Normal 3 5 2 3 2 3 3" xfId="21606" xr:uid="{00000000-0005-0000-0000-000069540000}"/>
    <cellStyle name="Normal 3 5 2 3 2 4" xfId="21607" xr:uid="{00000000-0005-0000-0000-00006A540000}"/>
    <cellStyle name="Normal 3 5 2 3 2 5" xfId="21608" xr:uid="{00000000-0005-0000-0000-00006B540000}"/>
    <cellStyle name="Normal 3 5 2 3 2 6" xfId="21609" xr:uid="{00000000-0005-0000-0000-00006C540000}"/>
    <cellStyle name="Normal 3 5 2 3 3" xfId="21610" xr:uid="{00000000-0005-0000-0000-00006D540000}"/>
    <cellStyle name="Normal 3 5 2 3 3 2" xfId="21611" xr:uid="{00000000-0005-0000-0000-00006E540000}"/>
    <cellStyle name="Normal 3 5 2 3 3 3" xfId="21612" xr:uid="{00000000-0005-0000-0000-00006F540000}"/>
    <cellStyle name="Normal 3 5 2 3 4" xfId="21613" xr:uid="{00000000-0005-0000-0000-000070540000}"/>
    <cellStyle name="Normal 3 5 2 3 4 2" xfId="21614" xr:uid="{00000000-0005-0000-0000-000071540000}"/>
    <cellStyle name="Normal 3 5 2 3 4 3" xfId="21615" xr:uid="{00000000-0005-0000-0000-000072540000}"/>
    <cellStyle name="Normal 3 5 2 3 5" xfId="21616" xr:uid="{00000000-0005-0000-0000-000073540000}"/>
    <cellStyle name="Normal 3 5 2 3 5 2" xfId="21617" xr:uid="{00000000-0005-0000-0000-000074540000}"/>
    <cellStyle name="Normal 3 5 2 3 5 3" xfId="21618" xr:uid="{00000000-0005-0000-0000-000075540000}"/>
    <cellStyle name="Normal 3 5 2 3 6" xfId="21619" xr:uid="{00000000-0005-0000-0000-000076540000}"/>
    <cellStyle name="Normal 3 5 2 3 7" xfId="21620" xr:uid="{00000000-0005-0000-0000-000077540000}"/>
    <cellStyle name="Normal 3 5 2 3 8" xfId="21621" xr:uid="{00000000-0005-0000-0000-000078540000}"/>
    <cellStyle name="Normal 3 5 2 4" xfId="21622" xr:uid="{00000000-0005-0000-0000-000079540000}"/>
    <cellStyle name="Normal 3 5 2 4 2" xfId="21623" xr:uid="{00000000-0005-0000-0000-00007A540000}"/>
    <cellStyle name="Normal 3 5 2 4 2 2" xfId="21624" xr:uid="{00000000-0005-0000-0000-00007B540000}"/>
    <cellStyle name="Normal 3 5 2 4 2 3" xfId="21625" xr:uid="{00000000-0005-0000-0000-00007C540000}"/>
    <cellStyle name="Normal 3 5 2 4 3" xfId="21626" xr:uid="{00000000-0005-0000-0000-00007D540000}"/>
    <cellStyle name="Normal 3 5 2 4 3 2" xfId="21627" xr:uid="{00000000-0005-0000-0000-00007E540000}"/>
    <cellStyle name="Normal 3 5 2 4 3 3" xfId="21628" xr:uid="{00000000-0005-0000-0000-00007F540000}"/>
    <cellStyle name="Normal 3 5 2 4 4" xfId="21629" xr:uid="{00000000-0005-0000-0000-000080540000}"/>
    <cellStyle name="Normal 3 5 2 4 5" xfId="21630" xr:uid="{00000000-0005-0000-0000-000081540000}"/>
    <cellStyle name="Normal 3 5 2 4 6" xfId="21631" xr:uid="{00000000-0005-0000-0000-000082540000}"/>
    <cellStyle name="Normal 3 5 2 5" xfId="21632" xr:uid="{00000000-0005-0000-0000-000083540000}"/>
    <cellStyle name="Normal 3 5 2 5 2" xfId="21633" xr:uid="{00000000-0005-0000-0000-000084540000}"/>
    <cellStyle name="Normal 3 5 2 5 3" xfId="21634" xr:uid="{00000000-0005-0000-0000-000085540000}"/>
    <cellStyle name="Normal 3 5 2 6" xfId="21635" xr:uid="{00000000-0005-0000-0000-000086540000}"/>
    <cellStyle name="Normal 3 5 2 6 2" xfId="21636" xr:uid="{00000000-0005-0000-0000-000087540000}"/>
    <cellStyle name="Normal 3 5 2 6 3" xfId="21637" xr:uid="{00000000-0005-0000-0000-000088540000}"/>
    <cellStyle name="Normal 3 5 2 7" xfId="21638" xr:uid="{00000000-0005-0000-0000-000089540000}"/>
    <cellStyle name="Normal 3 5 2 7 2" xfId="21639" xr:uid="{00000000-0005-0000-0000-00008A540000}"/>
    <cellStyle name="Normal 3 5 2 7 3" xfId="21640" xr:uid="{00000000-0005-0000-0000-00008B540000}"/>
    <cellStyle name="Normal 3 5 2 8" xfId="21641" xr:uid="{00000000-0005-0000-0000-00008C540000}"/>
    <cellStyle name="Normal 3 5 2 9" xfId="21642" xr:uid="{00000000-0005-0000-0000-00008D540000}"/>
    <cellStyle name="Normal 3 5 3" xfId="21643" xr:uid="{00000000-0005-0000-0000-00008E540000}"/>
    <cellStyle name="Normal 3 5 3 2" xfId="21644" xr:uid="{00000000-0005-0000-0000-00008F540000}"/>
    <cellStyle name="Normal 3 5 3 2 2" xfId="21645" xr:uid="{00000000-0005-0000-0000-000090540000}"/>
    <cellStyle name="Normal 3 5 3 2 2 2" xfId="21646" xr:uid="{00000000-0005-0000-0000-000091540000}"/>
    <cellStyle name="Normal 3 5 3 2 2 3" xfId="21647" xr:uid="{00000000-0005-0000-0000-000092540000}"/>
    <cellStyle name="Normal 3 5 3 2 3" xfId="21648" xr:uid="{00000000-0005-0000-0000-000093540000}"/>
    <cellStyle name="Normal 3 5 3 2 3 2" xfId="21649" xr:uid="{00000000-0005-0000-0000-000094540000}"/>
    <cellStyle name="Normal 3 5 3 2 3 3" xfId="21650" xr:uid="{00000000-0005-0000-0000-000095540000}"/>
    <cellStyle name="Normal 3 5 3 2 4" xfId="21651" xr:uid="{00000000-0005-0000-0000-000096540000}"/>
    <cellStyle name="Normal 3 5 3 2 5" xfId="21652" xr:uid="{00000000-0005-0000-0000-000097540000}"/>
    <cellStyle name="Normal 3 5 3 2 6" xfId="21653" xr:uid="{00000000-0005-0000-0000-000098540000}"/>
    <cellStyle name="Normal 3 5 3 3" xfId="21654" xr:uid="{00000000-0005-0000-0000-000099540000}"/>
    <cellStyle name="Normal 3 5 3 3 2" xfId="21655" xr:uid="{00000000-0005-0000-0000-00009A540000}"/>
    <cellStyle name="Normal 3 5 3 3 3" xfId="21656" xr:uid="{00000000-0005-0000-0000-00009B540000}"/>
    <cellStyle name="Normal 3 5 3 4" xfId="21657" xr:uid="{00000000-0005-0000-0000-00009C540000}"/>
    <cellStyle name="Normal 3 5 3 4 2" xfId="21658" xr:uid="{00000000-0005-0000-0000-00009D540000}"/>
    <cellStyle name="Normal 3 5 3 4 3" xfId="21659" xr:uid="{00000000-0005-0000-0000-00009E540000}"/>
    <cellStyle name="Normal 3 5 3 5" xfId="21660" xr:uid="{00000000-0005-0000-0000-00009F540000}"/>
    <cellStyle name="Normal 3 5 3 5 2" xfId="21661" xr:uid="{00000000-0005-0000-0000-0000A0540000}"/>
    <cellStyle name="Normal 3 5 3 5 3" xfId="21662" xr:uid="{00000000-0005-0000-0000-0000A1540000}"/>
    <cellStyle name="Normal 3 5 3 6" xfId="21663" xr:uid="{00000000-0005-0000-0000-0000A2540000}"/>
    <cellStyle name="Normal 3 5 3 7" xfId="21664" xr:uid="{00000000-0005-0000-0000-0000A3540000}"/>
    <cellStyle name="Normal 3 5 3 8" xfId="21665" xr:uid="{00000000-0005-0000-0000-0000A4540000}"/>
    <cellStyle name="Normal 3 5 4" xfId="21666" xr:uid="{00000000-0005-0000-0000-0000A5540000}"/>
    <cellStyle name="Normal 3 5 4 2" xfId="21667" xr:uid="{00000000-0005-0000-0000-0000A6540000}"/>
    <cellStyle name="Normal 3 5 4 2 2" xfId="21668" xr:uid="{00000000-0005-0000-0000-0000A7540000}"/>
    <cellStyle name="Normal 3 5 4 2 2 2" xfId="21669" xr:uid="{00000000-0005-0000-0000-0000A8540000}"/>
    <cellStyle name="Normal 3 5 4 2 2 3" xfId="21670" xr:uid="{00000000-0005-0000-0000-0000A9540000}"/>
    <cellStyle name="Normal 3 5 4 2 3" xfId="21671" xr:uid="{00000000-0005-0000-0000-0000AA540000}"/>
    <cellStyle name="Normal 3 5 4 2 3 2" xfId="21672" xr:uid="{00000000-0005-0000-0000-0000AB540000}"/>
    <cellStyle name="Normal 3 5 4 2 3 3" xfId="21673" xr:uid="{00000000-0005-0000-0000-0000AC540000}"/>
    <cellStyle name="Normal 3 5 4 2 4" xfId="21674" xr:uid="{00000000-0005-0000-0000-0000AD540000}"/>
    <cellStyle name="Normal 3 5 4 2 5" xfId="21675" xr:uid="{00000000-0005-0000-0000-0000AE540000}"/>
    <cellStyle name="Normal 3 5 4 2 6" xfId="21676" xr:uid="{00000000-0005-0000-0000-0000AF540000}"/>
    <cellStyle name="Normal 3 5 4 3" xfId="21677" xr:uid="{00000000-0005-0000-0000-0000B0540000}"/>
    <cellStyle name="Normal 3 5 4 3 2" xfId="21678" xr:uid="{00000000-0005-0000-0000-0000B1540000}"/>
    <cellStyle name="Normal 3 5 4 3 3" xfId="21679" xr:uid="{00000000-0005-0000-0000-0000B2540000}"/>
    <cellStyle name="Normal 3 5 4 4" xfId="21680" xr:uid="{00000000-0005-0000-0000-0000B3540000}"/>
    <cellStyle name="Normal 3 5 4 4 2" xfId="21681" xr:uid="{00000000-0005-0000-0000-0000B4540000}"/>
    <cellStyle name="Normal 3 5 4 4 3" xfId="21682" xr:uid="{00000000-0005-0000-0000-0000B5540000}"/>
    <cellStyle name="Normal 3 5 4 5" xfId="21683" xr:uid="{00000000-0005-0000-0000-0000B6540000}"/>
    <cellStyle name="Normal 3 5 4 5 2" xfId="21684" xr:uid="{00000000-0005-0000-0000-0000B7540000}"/>
    <cellStyle name="Normal 3 5 4 5 3" xfId="21685" xr:uid="{00000000-0005-0000-0000-0000B8540000}"/>
    <cellStyle name="Normal 3 5 4 6" xfId="21686" xr:uid="{00000000-0005-0000-0000-0000B9540000}"/>
    <cellStyle name="Normal 3 5 4 7" xfId="21687" xr:uid="{00000000-0005-0000-0000-0000BA540000}"/>
    <cellStyle name="Normal 3 5 4 8" xfId="21688" xr:uid="{00000000-0005-0000-0000-0000BB540000}"/>
    <cellStyle name="Normal 3 5 5" xfId="21689" xr:uid="{00000000-0005-0000-0000-0000BC540000}"/>
    <cellStyle name="Normal 3 5 5 2" xfId="21690" xr:uid="{00000000-0005-0000-0000-0000BD540000}"/>
    <cellStyle name="Normal 3 5 5 2 2" xfId="21691" xr:uid="{00000000-0005-0000-0000-0000BE540000}"/>
    <cellStyle name="Normal 3 5 5 2 2 2" xfId="21692" xr:uid="{00000000-0005-0000-0000-0000BF540000}"/>
    <cellStyle name="Normal 3 5 5 2 2 3" xfId="21693" xr:uid="{00000000-0005-0000-0000-0000C0540000}"/>
    <cellStyle name="Normal 3 5 5 2 3" xfId="21694" xr:uid="{00000000-0005-0000-0000-0000C1540000}"/>
    <cellStyle name="Normal 3 5 5 2 3 2" xfId="21695" xr:uid="{00000000-0005-0000-0000-0000C2540000}"/>
    <cellStyle name="Normal 3 5 5 2 3 3" xfId="21696" xr:uid="{00000000-0005-0000-0000-0000C3540000}"/>
    <cellStyle name="Normal 3 5 5 2 4" xfId="21697" xr:uid="{00000000-0005-0000-0000-0000C4540000}"/>
    <cellStyle name="Normal 3 5 5 2 5" xfId="21698" xr:uid="{00000000-0005-0000-0000-0000C5540000}"/>
    <cellStyle name="Normal 3 5 5 2 6" xfId="21699" xr:uid="{00000000-0005-0000-0000-0000C6540000}"/>
    <cellStyle name="Normal 3 5 5 3" xfId="21700" xr:uid="{00000000-0005-0000-0000-0000C7540000}"/>
    <cellStyle name="Normal 3 5 5 3 2" xfId="21701" xr:uid="{00000000-0005-0000-0000-0000C8540000}"/>
    <cellStyle name="Normal 3 5 5 3 3" xfId="21702" xr:uid="{00000000-0005-0000-0000-0000C9540000}"/>
    <cellStyle name="Normal 3 5 5 4" xfId="21703" xr:uid="{00000000-0005-0000-0000-0000CA540000}"/>
    <cellStyle name="Normal 3 5 5 4 2" xfId="21704" xr:uid="{00000000-0005-0000-0000-0000CB540000}"/>
    <cellStyle name="Normal 3 5 5 4 3" xfId="21705" xr:uid="{00000000-0005-0000-0000-0000CC540000}"/>
    <cellStyle name="Normal 3 5 5 5" xfId="21706" xr:uid="{00000000-0005-0000-0000-0000CD540000}"/>
    <cellStyle name="Normal 3 5 5 5 2" xfId="21707" xr:uid="{00000000-0005-0000-0000-0000CE540000}"/>
    <cellStyle name="Normal 3 5 5 5 3" xfId="21708" xr:uid="{00000000-0005-0000-0000-0000CF540000}"/>
    <cellStyle name="Normal 3 5 5 6" xfId="21709" xr:uid="{00000000-0005-0000-0000-0000D0540000}"/>
    <cellStyle name="Normal 3 5 5 7" xfId="21710" xr:uid="{00000000-0005-0000-0000-0000D1540000}"/>
    <cellStyle name="Normal 3 5 5 8" xfId="21711" xr:uid="{00000000-0005-0000-0000-0000D2540000}"/>
    <cellStyle name="Normal 3 5 6" xfId="21712" xr:uid="{00000000-0005-0000-0000-0000D3540000}"/>
    <cellStyle name="Normal 3 5 6 2" xfId="21713" xr:uid="{00000000-0005-0000-0000-0000D4540000}"/>
    <cellStyle name="Normal 3 5 6 2 2" xfId="21714" xr:uid="{00000000-0005-0000-0000-0000D5540000}"/>
    <cellStyle name="Normal 3 5 6 2 3" xfId="21715" xr:uid="{00000000-0005-0000-0000-0000D6540000}"/>
    <cellStyle name="Normal 3 5 6 3" xfId="21716" xr:uid="{00000000-0005-0000-0000-0000D7540000}"/>
    <cellStyle name="Normal 3 5 6 3 2" xfId="21717" xr:uid="{00000000-0005-0000-0000-0000D8540000}"/>
    <cellStyle name="Normal 3 5 6 3 3" xfId="21718" xr:uid="{00000000-0005-0000-0000-0000D9540000}"/>
    <cellStyle name="Normal 3 5 6 4" xfId="21719" xr:uid="{00000000-0005-0000-0000-0000DA540000}"/>
    <cellStyle name="Normal 3 5 6 5" xfId="21720" xr:uid="{00000000-0005-0000-0000-0000DB540000}"/>
    <cellStyle name="Normal 3 5 6 6" xfId="21721" xr:uid="{00000000-0005-0000-0000-0000DC540000}"/>
    <cellStyle name="Normal 3 5 7" xfId="21722" xr:uid="{00000000-0005-0000-0000-0000DD540000}"/>
    <cellStyle name="Normal 3 5 7 2" xfId="21723" xr:uid="{00000000-0005-0000-0000-0000DE540000}"/>
    <cellStyle name="Normal 3 5 7 3" xfId="21724" xr:uid="{00000000-0005-0000-0000-0000DF540000}"/>
    <cellStyle name="Normal 3 5 8" xfId="21725" xr:uid="{00000000-0005-0000-0000-0000E0540000}"/>
    <cellStyle name="Normal 3 5 8 2" xfId="21726" xr:uid="{00000000-0005-0000-0000-0000E1540000}"/>
    <cellStyle name="Normal 3 5 8 3" xfId="21727" xr:uid="{00000000-0005-0000-0000-0000E2540000}"/>
    <cellStyle name="Normal 3 5 9" xfId="21728" xr:uid="{00000000-0005-0000-0000-0000E3540000}"/>
    <cellStyle name="Normal 3 5 9 2" xfId="21729" xr:uid="{00000000-0005-0000-0000-0000E4540000}"/>
    <cellStyle name="Normal 3 5 9 3" xfId="21730" xr:uid="{00000000-0005-0000-0000-0000E5540000}"/>
    <cellStyle name="Normal 3 6" xfId="21731" xr:uid="{00000000-0005-0000-0000-0000E6540000}"/>
    <cellStyle name="Normal 3 6 10" xfId="21732" xr:uid="{00000000-0005-0000-0000-0000E7540000}"/>
    <cellStyle name="Normal 3 6 11" xfId="21733" xr:uid="{00000000-0005-0000-0000-0000E8540000}"/>
    <cellStyle name="Normal 3 6 12" xfId="21734" xr:uid="{00000000-0005-0000-0000-0000E9540000}"/>
    <cellStyle name="Normal 3 6 2" xfId="21735" xr:uid="{00000000-0005-0000-0000-0000EA540000}"/>
    <cellStyle name="Normal 3 6 2 10" xfId="21736" xr:uid="{00000000-0005-0000-0000-0000EB540000}"/>
    <cellStyle name="Normal 3 6 2 2" xfId="21737" xr:uid="{00000000-0005-0000-0000-0000EC540000}"/>
    <cellStyle name="Normal 3 6 2 2 2" xfId="21738" xr:uid="{00000000-0005-0000-0000-0000ED540000}"/>
    <cellStyle name="Normal 3 6 2 2 2 2" xfId="21739" xr:uid="{00000000-0005-0000-0000-0000EE540000}"/>
    <cellStyle name="Normal 3 6 2 2 2 2 2" xfId="21740" xr:uid="{00000000-0005-0000-0000-0000EF540000}"/>
    <cellStyle name="Normal 3 6 2 2 2 2 3" xfId="21741" xr:uid="{00000000-0005-0000-0000-0000F0540000}"/>
    <cellStyle name="Normal 3 6 2 2 2 3" xfId="21742" xr:uid="{00000000-0005-0000-0000-0000F1540000}"/>
    <cellStyle name="Normal 3 6 2 2 2 3 2" xfId="21743" xr:uid="{00000000-0005-0000-0000-0000F2540000}"/>
    <cellStyle name="Normal 3 6 2 2 2 3 3" xfId="21744" xr:uid="{00000000-0005-0000-0000-0000F3540000}"/>
    <cellStyle name="Normal 3 6 2 2 2 4" xfId="21745" xr:uid="{00000000-0005-0000-0000-0000F4540000}"/>
    <cellStyle name="Normal 3 6 2 2 2 5" xfId="21746" xr:uid="{00000000-0005-0000-0000-0000F5540000}"/>
    <cellStyle name="Normal 3 6 2 2 2 6" xfId="21747" xr:uid="{00000000-0005-0000-0000-0000F6540000}"/>
    <cellStyle name="Normal 3 6 2 2 3" xfId="21748" xr:uid="{00000000-0005-0000-0000-0000F7540000}"/>
    <cellStyle name="Normal 3 6 2 2 3 2" xfId="21749" xr:uid="{00000000-0005-0000-0000-0000F8540000}"/>
    <cellStyle name="Normal 3 6 2 2 3 3" xfId="21750" xr:uid="{00000000-0005-0000-0000-0000F9540000}"/>
    <cellStyle name="Normal 3 6 2 2 4" xfId="21751" xr:uid="{00000000-0005-0000-0000-0000FA540000}"/>
    <cellStyle name="Normal 3 6 2 2 4 2" xfId="21752" xr:uid="{00000000-0005-0000-0000-0000FB540000}"/>
    <cellStyle name="Normal 3 6 2 2 4 3" xfId="21753" xr:uid="{00000000-0005-0000-0000-0000FC540000}"/>
    <cellStyle name="Normal 3 6 2 2 5" xfId="21754" xr:uid="{00000000-0005-0000-0000-0000FD540000}"/>
    <cellStyle name="Normal 3 6 2 2 5 2" xfId="21755" xr:uid="{00000000-0005-0000-0000-0000FE540000}"/>
    <cellStyle name="Normal 3 6 2 2 5 3" xfId="21756" xr:uid="{00000000-0005-0000-0000-0000FF540000}"/>
    <cellStyle name="Normal 3 6 2 2 6" xfId="21757" xr:uid="{00000000-0005-0000-0000-000000550000}"/>
    <cellStyle name="Normal 3 6 2 2 7" xfId="21758" xr:uid="{00000000-0005-0000-0000-000001550000}"/>
    <cellStyle name="Normal 3 6 2 2 8" xfId="21759" xr:uid="{00000000-0005-0000-0000-000002550000}"/>
    <cellStyle name="Normal 3 6 2 3" xfId="21760" xr:uid="{00000000-0005-0000-0000-000003550000}"/>
    <cellStyle name="Normal 3 6 2 3 2" xfId="21761" xr:uid="{00000000-0005-0000-0000-000004550000}"/>
    <cellStyle name="Normal 3 6 2 3 2 2" xfId="21762" xr:uid="{00000000-0005-0000-0000-000005550000}"/>
    <cellStyle name="Normal 3 6 2 3 2 2 2" xfId="21763" xr:uid="{00000000-0005-0000-0000-000006550000}"/>
    <cellStyle name="Normal 3 6 2 3 2 2 3" xfId="21764" xr:uid="{00000000-0005-0000-0000-000007550000}"/>
    <cellStyle name="Normal 3 6 2 3 2 3" xfId="21765" xr:uid="{00000000-0005-0000-0000-000008550000}"/>
    <cellStyle name="Normal 3 6 2 3 2 3 2" xfId="21766" xr:uid="{00000000-0005-0000-0000-000009550000}"/>
    <cellStyle name="Normal 3 6 2 3 2 3 3" xfId="21767" xr:uid="{00000000-0005-0000-0000-00000A550000}"/>
    <cellStyle name="Normal 3 6 2 3 2 4" xfId="21768" xr:uid="{00000000-0005-0000-0000-00000B550000}"/>
    <cellStyle name="Normal 3 6 2 3 2 5" xfId="21769" xr:uid="{00000000-0005-0000-0000-00000C550000}"/>
    <cellStyle name="Normal 3 6 2 3 2 6" xfId="21770" xr:uid="{00000000-0005-0000-0000-00000D550000}"/>
    <cellStyle name="Normal 3 6 2 3 3" xfId="21771" xr:uid="{00000000-0005-0000-0000-00000E550000}"/>
    <cellStyle name="Normal 3 6 2 3 3 2" xfId="21772" xr:uid="{00000000-0005-0000-0000-00000F550000}"/>
    <cellStyle name="Normal 3 6 2 3 3 3" xfId="21773" xr:uid="{00000000-0005-0000-0000-000010550000}"/>
    <cellStyle name="Normal 3 6 2 3 4" xfId="21774" xr:uid="{00000000-0005-0000-0000-000011550000}"/>
    <cellStyle name="Normal 3 6 2 3 4 2" xfId="21775" xr:uid="{00000000-0005-0000-0000-000012550000}"/>
    <cellStyle name="Normal 3 6 2 3 4 3" xfId="21776" xr:uid="{00000000-0005-0000-0000-000013550000}"/>
    <cellStyle name="Normal 3 6 2 3 5" xfId="21777" xr:uid="{00000000-0005-0000-0000-000014550000}"/>
    <cellStyle name="Normal 3 6 2 3 5 2" xfId="21778" xr:uid="{00000000-0005-0000-0000-000015550000}"/>
    <cellStyle name="Normal 3 6 2 3 5 3" xfId="21779" xr:uid="{00000000-0005-0000-0000-000016550000}"/>
    <cellStyle name="Normal 3 6 2 3 6" xfId="21780" xr:uid="{00000000-0005-0000-0000-000017550000}"/>
    <cellStyle name="Normal 3 6 2 3 7" xfId="21781" xr:uid="{00000000-0005-0000-0000-000018550000}"/>
    <cellStyle name="Normal 3 6 2 3 8" xfId="21782" xr:uid="{00000000-0005-0000-0000-000019550000}"/>
    <cellStyle name="Normal 3 6 2 4" xfId="21783" xr:uid="{00000000-0005-0000-0000-00001A550000}"/>
    <cellStyle name="Normal 3 6 2 4 2" xfId="21784" xr:uid="{00000000-0005-0000-0000-00001B550000}"/>
    <cellStyle name="Normal 3 6 2 4 2 2" xfId="21785" xr:uid="{00000000-0005-0000-0000-00001C550000}"/>
    <cellStyle name="Normal 3 6 2 4 2 3" xfId="21786" xr:uid="{00000000-0005-0000-0000-00001D550000}"/>
    <cellStyle name="Normal 3 6 2 4 3" xfId="21787" xr:uid="{00000000-0005-0000-0000-00001E550000}"/>
    <cellStyle name="Normal 3 6 2 4 3 2" xfId="21788" xr:uid="{00000000-0005-0000-0000-00001F550000}"/>
    <cellStyle name="Normal 3 6 2 4 3 3" xfId="21789" xr:uid="{00000000-0005-0000-0000-000020550000}"/>
    <cellStyle name="Normal 3 6 2 4 4" xfId="21790" xr:uid="{00000000-0005-0000-0000-000021550000}"/>
    <cellStyle name="Normal 3 6 2 4 5" xfId="21791" xr:uid="{00000000-0005-0000-0000-000022550000}"/>
    <cellStyle name="Normal 3 6 2 4 6" xfId="21792" xr:uid="{00000000-0005-0000-0000-000023550000}"/>
    <cellStyle name="Normal 3 6 2 5" xfId="21793" xr:uid="{00000000-0005-0000-0000-000024550000}"/>
    <cellStyle name="Normal 3 6 2 5 2" xfId="21794" xr:uid="{00000000-0005-0000-0000-000025550000}"/>
    <cellStyle name="Normal 3 6 2 5 3" xfId="21795" xr:uid="{00000000-0005-0000-0000-000026550000}"/>
    <cellStyle name="Normal 3 6 2 6" xfId="21796" xr:uid="{00000000-0005-0000-0000-000027550000}"/>
    <cellStyle name="Normal 3 6 2 6 2" xfId="21797" xr:uid="{00000000-0005-0000-0000-000028550000}"/>
    <cellStyle name="Normal 3 6 2 6 3" xfId="21798" xr:uid="{00000000-0005-0000-0000-000029550000}"/>
    <cellStyle name="Normal 3 6 2 7" xfId="21799" xr:uid="{00000000-0005-0000-0000-00002A550000}"/>
    <cellStyle name="Normal 3 6 2 7 2" xfId="21800" xr:uid="{00000000-0005-0000-0000-00002B550000}"/>
    <cellStyle name="Normal 3 6 2 7 3" xfId="21801" xr:uid="{00000000-0005-0000-0000-00002C550000}"/>
    <cellStyle name="Normal 3 6 2 8" xfId="21802" xr:uid="{00000000-0005-0000-0000-00002D550000}"/>
    <cellStyle name="Normal 3 6 2 9" xfId="21803" xr:uid="{00000000-0005-0000-0000-00002E550000}"/>
    <cellStyle name="Normal 3 6 3" xfId="21804" xr:uid="{00000000-0005-0000-0000-00002F550000}"/>
    <cellStyle name="Normal 3 6 3 2" xfId="21805" xr:uid="{00000000-0005-0000-0000-000030550000}"/>
    <cellStyle name="Normal 3 6 3 2 2" xfId="21806" xr:uid="{00000000-0005-0000-0000-000031550000}"/>
    <cellStyle name="Normal 3 6 3 2 2 2" xfId="21807" xr:uid="{00000000-0005-0000-0000-000032550000}"/>
    <cellStyle name="Normal 3 6 3 2 2 3" xfId="21808" xr:uid="{00000000-0005-0000-0000-000033550000}"/>
    <cellStyle name="Normal 3 6 3 2 3" xfId="21809" xr:uid="{00000000-0005-0000-0000-000034550000}"/>
    <cellStyle name="Normal 3 6 3 2 3 2" xfId="21810" xr:uid="{00000000-0005-0000-0000-000035550000}"/>
    <cellStyle name="Normal 3 6 3 2 3 3" xfId="21811" xr:uid="{00000000-0005-0000-0000-000036550000}"/>
    <cellStyle name="Normal 3 6 3 2 4" xfId="21812" xr:uid="{00000000-0005-0000-0000-000037550000}"/>
    <cellStyle name="Normal 3 6 3 2 5" xfId="21813" xr:uid="{00000000-0005-0000-0000-000038550000}"/>
    <cellStyle name="Normal 3 6 3 2 6" xfId="21814" xr:uid="{00000000-0005-0000-0000-000039550000}"/>
    <cellStyle name="Normal 3 6 3 3" xfId="21815" xr:uid="{00000000-0005-0000-0000-00003A550000}"/>
    <cellStyle name="Normal 3 6 3 3 2" xfId="21816" xr:uid="{00000000-0005-0000-0000-00003B550000}"/>
    <cellStyle name="Normal 3 6 3 3 3" xfId="21817" xr:uid="{00000000-0005-0000-0000-00003C550000}"/>
    <cellStyle name="Normal 3 6 3 4" xfId="21818" xr:uid="{00000000-0005-0000-0000-00003D550000}"/>
    <cellStyle name="Normal 3 6 3 4 2" xfId="21819" xr:uid="{00000000-0005-0000-0000-00003E550000}"/>
    <cellStyle name="Normal 3 6 3 4 3" xfId="21820" xr:uid="{00000000-0005-0000-0000-00003F550000}"/>
    <cellStyle name="Normal 3 6 3 5" xfId="21821" xr:uid="{00000000-0005-0000-0000-000040550000}"/>
    <cellStyle name="Normal 3 6 3 5 2" xfId="21822" xr:uid="{00000000-0005-0000-0000-000041550000}"/>
    <cellStyle name="Normal 3 6 3 5 3" xfId="21823" xr:uid="{00000000-0005-0000-0000-000042550000}"/>
    <cellStyle name="Normal 3 6 3 6" xfId="21824" xr:uid="{00000000-0005-0000-0000-000043550000}"/>
    <cellStyle name="Normal 3 6 3 7" xfId="21825" xr:uid="{00000000-0005-0000-0000-000044550000}"/>
    <cellStyle name="Normal 3 6 3 8" xfId="21826" xr:uid="{00000000-0005-0000-0000-000045550000}"/>
    <cellStyle name="Normal 3 6 4" xfId="21827" xr:uid="{00000000-0005-0000-0000-000046550000}"/>
    <cellStyle name="Normal 3 6 4 2" xfId="21828" xr:uid="{00000000-0005-0000-0000-000047550000}"/>
    <cellStyle name="Normal 3 6 4 2 2" xfId="21829" xr:uid="{00000000-0005-0000-0000-000048550000}"/>
    <cellStyle name="Normal 3 6 4 2 2 2" xfId="21830" xr:uid="{00000000-0005-0000-0000-000049550000}"/>
    <cellStyle name="Normal 3 6 4 2 2 3" xfId="21831" xr:uid="{00000000-0005-0000-0000-00004A550000}"/>
    <cellStyle name="Normal 3 6 4 2 3" xfId="21832" xr:uid="{00000000-0005-0000-0000-00004B550000}"/>
    <cellStyle name="Normal 3 6 4 2 3 2" xfId="21833" xr:uid="{00000000-0005-0000-0000-00004C550000}"/>
    <cellStyle name="Normal 3 6 4 2 3 3" xfId="21834" xr:uid="{00000000-0005-0000-0000-00004D550000}"/>
    <cellStyle name="Normal 3 6 4 2 4" xfId="21835" xr:uid="{00000000-0005-0000-0000-00004E550000}"/>
    <cellStyle name="Normal 3 6 4 2 5" xfId="21836" xr:uid="{00000000-0005-0000-0000-00004F550000}"/>
    <cellStyle name="Normal 3 6 4 2 6" xfId="21837" xr:uid="{00000000-0005-0000-0000-000050550000}"/>
    <cellStyle name="Normal 3 6 4 3" xfId="21838" xr:uid="{00000000-0005-0000-0000-000051550000}"/>
    <cellStyle name="Normal 3 6 4 3 2" xfId="21839" xr:uid="{00000000-0005-0000-0000-000052550000}"/>
    <cellStyle name="Normal 3 6 4 3 3" xfId="21840" xr:uid="{00000000-0005-0000-0000-000053550000}"/>
    <cellStyle name="Normal 3 6 4 4" xfId="21841" xr:uid="{00000000-0005-0000-0000-000054550000}"/>
    <cellStyle name="Normal 3 6 4 4 2" xfId="21842" xr:uid="{00000000-0005-0000-0000-000055550000}"/>
    <cellStyle name="Normal 3 6 4 4 3" xfId="21843" xr:uid="{00000000-0005-0000-0000-000056550000}"/>
    <cellStyle name="Normal 3 6 4 5" xfId="21844" xr:uid="{00000000-0005-0000-0000-000057550000}"/>
    <cellStyle name="Normal 3 6 4 5 2" xfId="21845" xr:uid="{00000000-0005-0000-0000-000058550000}"/>
    <cellStyle name="Normal 3 6 4 5 3" xfId="21846" xr:uid="{00000000-0005-0000-0000-000059550000}"/>
    <cellStyle name="Normal 3 6 4 6" xfId="21847" xr:uid="{00000000-0005-0000-0000-00005A550000}"/>
    <cellStyle name="Normal 3 6 4 7" xfId="21848" xr:uid="{00000000-0005-0000-0000-00005B550000}"/>
    <cellStyle name="Normal 3 6 4 8" xfId="21849" xr:uid="{00000000-0005-0000-0000-00005C550000}"/>
    <cellStyle name="Normal 3 6 5" xfId="21850" xr:uid="{00000000-0005-0000-0000-00005D550000}"/>
    <cellStyle name="Normal 3 6 5 2" xfId="21851" xr:uid="{00000000-0005-0000-0000-00005E550000}"/>
    <cellStyle name="Normal 3 6 5 2 2" xfId="21852" xr:uid="{00000000-0005-0000-0000-00005F550000}"/>
    <cellStyle name="Normal 3 6 5 2 2 2" xfId="21853" xr:uid="{00000000-0005-0000-0000-000060550000}"/>
    <cellStyle name="Normal 3 6 5 2 2 3" xfId="21854" xr:uid="{00000000-0005-0000-0000-000061550000}"/>
    <cellStyle name="Normal 3 6 5 2 3" xfId="21855" xr:uid="{00000000-0005-0000-0000-000062550000}"/>
    <cellStyle name="Normal 3 6 5 2 3 2" xfId="21856" xr:uid="{00000000-0005-0000-0000-000063550000}"/>
    <cellStyle name="Normal 3 6 5 2 3 3" xfId="21857" xr:uid="{00000000-0005-0000-0000-000064550000}"/>
    <cellStyle name="Normal 3 6 5 2 4" xfId="21858" xr:uid="{00000000-0005-0000-0000-000065550000}"/>
    <cellStyle name="Normal 3 6 5 2 5" xfId="21859" xr:uid="{00000000-0005-0000-0000-000066550000}"/>
    <cellStyle name="Normal 3 6 5 2 6" xfId="21860" xr:uid="{00000000-0005-0000-0000-000067550000}"/>
    <cellStyle name="Normal 3 6 5 3" xfId="21861" xr:uid="{00000000-0005-0000-0000-000068550000}"/>
    <cellStyle name="Normal 3 6 5 3 2" xfId="21862" xr:uid="{00000000-0005-0000-0000-000069550000}"/>
    <cellStyle name="Normal 3 6 5 3 3" xfId="21863" xr:uid="{00000000-0005-0000-0000-00006A550000}"/>
    <cellStyle name="Normal 3 6 5 4" xfId="21864" xr:uid="{00000000-0005-0000-0000-00006B550000}"/>
    <cellStyle name="Normal 3 6 5 4 2" xfId="21865" xr:uid="{00000000-0005-0000-0000-00006C550000}"/>
    <cellStyle name="Normal 3 6 5 4 3" xfId="21866" xr:uid="{00000000-0005-0000-0000-00006D550000}"/>
    <cellStyle name="Normal 3 6 5 5" xfId="21867" xr:uid="{00000000-0005-0000-0000-00006E550000}"/>
    <cellStyle name="Normal 3 6 5 5 2" xfId="21868" xr:uid="{00000000-0005-0000-0000-00006F550000}"/>
    <cellStyle name="Normal 3 6 5 5 3" xfId="21869" xr:uid="{00000000-0005-0000-0000-000070550000}"/>
    <cellStyle name="Normal 3 6 5 6" xfId="21870" xr:uid="{00000000-0005-0000-0000-000071550000}"/>
    <cellStyle name="Normal 3 6 5 7" xfId="21871" xr:uid="{00000000-0005-0000-0000-000072550000}"/>
    <cellStyle name="Normal 3 6 5 8" xfId="21872" xr:uid="{00000000-0005-0000-0000-000073550000}"/>
    <cellStyle name="Normal 3 6 6" xfId="21873" xr:uid="{00000000-0005-0000-0000-000074550000}"/>
    <cellStyle name="Normal 3 6 6 2" xfId="21874" xr:uid="{00000000-0005-0000-0000-000075550000}"/>
    <cellStyle name="Normal 3 6 6 2 2" xfId="21875" xr:uid="{00000000-0005-0000-0000-000076550000}"/>
    <cellStyle name="Normal 3 6 6 2 3" xfId="21876" xr:uid="{00000000-0005-0000-0000-000077550000}"/>
    <cellStyle name="Normal 3 6 6 3" xfId="21877" xr:uid="{00000000-0005-0000-0000-000078550000}"/>
    <cellStyle name="Normal 3 6 6 3 2" xfId="21878" xr:uid="{00000000-0005-0000-0000-000079550000}"/>
    <cellStyle name="Normal 3 6 6 3 3" xfId="21879" xr:uid="{00000000-0005-0000-0000-00007A550000}"/>
    <cellStyle name="Normal 3 6 6 4" xfId="21880" xr:uid="{00000000-0005-0000-0000-00007B550000}"/>
    <cellStyle name="Normal 3 6 6 5" xfId="21881" xr:uid="{00000000-0005-0000-0000-00007C550000}"/>
    <cellStyle name="Normal 3 6 6 6" xfId="21882" xr:uid="{00000000-0005-0000-0000-00007D550000}"/>
    <cellStyle name="Normal 3 6 7" xfId="21883" xr:uid="{00000000-0005-0000-0000-00007E550000}"/>
    <cellStyle name="Normal 3 6 7 2" xfId="21884" xr:uid="{00000000-0005-0000-0000-00007F550000}"/>
    <cellStyle name="Normal 3 6 7 3" xfId="21885" xr:uid="{00000000-0005-0000-0000-000080550000}"/>
    <cellStyle name="Normal 3 6 8" xfId="21886" xr:uid="{00000000-0005-0000-0000-000081550000}"/>
    <cellStyle name="Normal 3 6 8 2" xfId="21887" xr:uid="{00000000-0005-0000-0000-000082550000}"/>
    <cellStyle name="Normal 3 6 8 3" xfId="21888" xr:uid="{00000000-0005-0000-0000-000083550000}"/>
    <cellStyle name="Normal 3 6 9" xfId="21889" xr:uid="{00000000-0005-0000-0000-000084550000}"/>
    <cellStyle name="Normal 3 6 9 2" xfId="21890" xr:uid="{00000000-0005-0000-0000-000085550000}"/>
    <cellStyle name="Normal 3 6 9 3" xfId="21891" xr:uid="{00000000-0005-0000-0000-000086550000}"/>
    <cellStyle name="Normal 3 7" xfId="21892" xr:uid="{00000000-0005-0000-0000-000087550000}"/>
    <cellStyle name="Normal 3 7 10" xfId="21893" xr:uid="{00000000-0005-0000-0000-000088550000}"/>
    <cellStyle name="Normal 3 7 11" xfId="21894" xr:uid="{00000000-0005-0000-0000-000089550000}"/>
    <cellStyle name="Normal 3 7 12" xfId="21895" xr:uid="{00000000-0005-0000-0000-00008A550000}"/>
    <cellStyle name="Normal 3 7 2" xfId="21896" xr:uid="{00000000-0005-0000-0000-00008B550000}"/>
    <cellStyle name="Normal 3 7 2 10" xfId="21897" xr:uid="{00000000-0005-0000-0000-00008C550000}"/>
    <cellStyle name="Normal 3 7 2 2" xfId="21898" xr:uid="{00000000-0005-0000-0000-00008D550000}"/>
    <cellStyle name="Normal 3 7 2 2 2" xfId="21899" xr:uid="{00000000-0005-0000-0000-00008E550000}"/>
    <cellStyle name="Normal 3 7 2 2 2 2" xfId="21900" xr:uid="{00000000-0005-0000-0000-00008F550000}"/>
    <cellStyle name="Normal 3 7 2 2 2 2 2" xfId="21901" xr:uid="{00000000-0005-0000-0000-000090550000}"/>
    <cellStyle name="Normal 3 7 2 2 2 2 3" xfId="21902" xr:uid="{00000000-0005-0000-0000-000091550000}"/>
    <cellStyle name="Normal 3 7 2 2 2 3" xfId="21903" xr:uid="{00000000-0005-0000-0000-000092550000}"/>
    <cellStyle name="Normal 3 7 2 2 2 3 2" xfId="21904" xr:uid="{00000000-0005-0000-0000-000093550000}"/>
    <cellStyle name="Normal 3 7 2 2 2 3 3" xfId="21905" xr:uid="{00000000-0005-0000-0000-000094550000}"/>
    <cellStyle name="Normal 3 7 2 2 2 4" xfId="21906" xr:uid="{00000000-0005-0000-0000-000095550000}"/>
    <cellStyle name="Normal 3 7 2 2 2 5" xfId="21907" xr:uid="{00000000-0005-0000-0000-000096550000}"/>
    <cellStyle name="Normal 3 7 2 2 2 6" xfId="21908" xr:uid="{00000000-0005-0000-0000-000097550000}"/>
    <cellStyle name="Normal 3 7 2 2 3" xfId="21909" xr:uid="{00000000-0005-0000-0000-000098550000}"/>
    <cellStyle name="Normal 3 7 2 2 3 2" xfId="21910" xr:uid="{00000000-0005-0000-0000-000099550000}"/>
    <cellStyle name="Normal 3 7 2 2 3 3" xfId="21911" xr:uid="{00000000-0005-0000-0000-00009A550000}"/>
    <cellStyle name="Normal 3 7 2 2 4" xfId="21912" xr:uid="{00000000-0005-0000-0000-00009B550000}"/>
    <cellStyle name="Normal 3 7 2 2 4 2" xfId="21913" xr:uid="{00000000-0005-0000-0000-00009C550000}"/>
    <cellStyle name="Normal 3 7 2 2 4 3" xfId="21914" xr:uid="{00000000-0005-0000-0000-00009D550000}"/>
    <cellStyle name="Normal 3 7 2 2 5" xfId="21915" xr:uid="{00000000-0005-0000-0000-00009E550000}"/>
    <cellStyle name="Normal 3 7 2 2 5 2" xfId="21916" xr:uid="{00000000-0005-0000-0000-00009F550000}"/>
    <cellStyle name="Normal 3 7 2 2 5 3" xfId="21917" xr:uid="{00000000-0005-0000-0000-0000A0550000}"/>
    <cellStyle name="Normal 3 7 2 2 6" xfId="21918" xr:uid="{00000000-0005-0000-0000-0000A1550000}"/>
    <cellStyle name="Normal 3 7 2 2 7" xfId="21919" xr:uid="{00000000-0005-0000-0000-0000A2550000}"/>
    <cellStyle name="Normal 3 7 2 2 8" xfId="21920" xr:uid="{00000000-0005-0000-0000-0000A3550000}"/>
    <cellStyle name="Normal 3 7 2 3" xfId="21921" xr:uid="{00000000-0005-0000-0000-0000A4550000}"/>
    <cellStyle name="Normal 3 7 2 3 2" xfId="21922" xr:uid="{00000000-0005-0000-0000-0000A5550000}"/>
    <cellStyle name="Normal 3 7 2 3 2 2" xfId="21923" xr:uid="{00000000-0005-0000-0000-0000A6550000}"/>
    <cellStyle name="Normal 3 7 2 3 2 2 2" xfId="21924" xr:uid="{00000000-0005-0000-0000-0000A7550000}"/>
    <cellStyle name="Normal 3 7 2 3 2 2 3" xfId="21925" xr:uid="{00000000-0005-0000-0000-0000A8550000}"/>
    <cellStyle name="Normal 3 7 2 3 2 3" xfId="21926" xr:uid="{00000000-0005-0000-0000-0000A9550000}"/>
    <cellStyle name="Normal 3 7 2 3 2 3 2" xfId="21927" xr:uid="{00000000-0005-0000-0000-0000AA550000}"/>
    <cellStyle name="Normal 3 7 2 3 2 3 3" xfId="21928" xr:uid="{00000000-0005-0000-0000-0000AB550000}"/>
    <cellStyle name="Normal 3 7 2 3 2 4" xfId="21929" xr:uid="{00000000-0005-0000-0000-0000AC550000}"/>
    <cellStyle name="Normal 3 7 2 3 2 5" xfId="21930" xr:uid="{00000000-0005-0000-0000-0000AD550000}"/>
    <cellStyle name="Normal 3 7 2 3 2 6" xfId="21931" xr:uid="{00000000-0005-0000-0000-0000AE550000}"/>
    <cellStyle name="Normal 3 7 2 3 3" xfId="21932" xr:uid="{00000000-0005-0000-0000-0000AF550000}"/>
    <cellStyle name="Normal 3 7 2 3 3 2" xfId="21933" xr:uid="{00000000-0005-0000-0000-0000B0550000}"/>
    <cellStyle name="Normal 3 7 2 3 3 3" xfId="21934" xr:uid="{00000000-0005-0000-0000-0000B1550000}"/>
    <cellStyle name="Normal 3 7 2 3 4" xfId="21935" xr:uid="{00000000-0005-0000-0000-0000B2550000}"/>
    <cellStyle name="Normal 3 7 2 3 4 2" xfId="21936" xr:uid="{00000000-0005-0000-0000-0000B3550000}"/>
    <cellStyle name="Normal 3 7 2 3 4 3" xfId="21937" xr:uid="{00000000-0005-0000-0000-0000B4550000}"/>
    <cellStyle name="Normal 3 7 2 3 5" xfId="21938" xr:uid="{00000000-0005-0000-0000-0000B5550000}"/>
    <cellStyle name="Normal 3 7 2 3 5 2" xfId="21939" xr:uid="{00000000-0005-0000-0000-0000B6550000}"/>
    <cellStyle name="Normal 3 7 2 3 5 3" xfId="21940" xr:uid="{00000000-0005-0000-0000-0000B7550000}"/>
    <cellStyle name="Normal 3 7 2 3 6" xfId="21941" xr:uid="{00000000-0005-0000-0000-0000B8550000}"/>
    <cellStyle name="Normal 3 7 2 3 7" xfId="21942" xr:uid="{00000000-0005-0000-0000-0000B9550000}"/>
    <cellStyle name="Normal 3 7 2 3 8" xfId="21943" xr:uid="{00000000-0005-0000-0000-0000BA550000}"/>
    <cellStyle name="Normal 3 7 2 4" xfId="21944" xr:uid="{00000000-0005-0000-0000-0000BB550000}"/>
    <cellStyle name="Normal 3 7 2 4 2" xfId="21945" xr:uid="{00000000-0005-0000-0000-0000BC550000}"/>
    <cellStyle name="Normal 3 7 2 4 2 2" xfId="21946" xr:uid="{00000000-0005-0000-0000-0000BD550000}"/>
    <cellStyle name="Normal 3 7 2 4 2 3" xfId="21947" xr:uid="{00000000-0005-0000-0000-0000BE550000}"/>
    <cellStyle name="Normal 3 7 2 4 3" xfId="21948" xr:uid="{00000000-0005-0000-0000-0000BF550000}"/>
    <cellStyle name="Normal 3 7 2 4 3 2" xfId="21949" xr:uid="{00000000-0005-0000-0000-0000C0550000}"/>
    <cellStyle name="Normal 3 7 2 4 3 3" xfId="21950" xr:uid="{00000000-0005-0000-0000-0000C1550000}"/>
    <cellStyle name="Normal 3 7 2 4 4" xfId="21951" xr:uid="{00000000-0005-0000-0000-0000C2550000}"/>
    <cellStyle name="Normal 3 7 2 4 5" xfId="21952" xr:uid="{00000000-0005-0000-0000-0000C3550000}"/>
    <cellStyle name="Normal 3 7 2 4 6" xfId="21953" xr:uid="{00000000-0005-0000-0000-0000C4550000}"/>
    <cellStyle name="Normal 3 7 2 5" xfId="21954" xr:uid="{00000000-0005-0000-0000-0000C5550000}"/>
    <cellStyle name="Normal 3 7 2 5 2" xfId="21955" xr:uid="{00000000-0005-0000-0000-0000C6550000}"/>
    <cellStyle name="Normal 3 7 2 5 3" xfId="21956" xr:uid="{00000000-0005-0000-0000-0000C7550000}"/>
    <cellStyle name="Normal 3 7 2 6" xfId="21957" xr:uid="{00000000-0005-0000-0000-0000C8550000}"/>
    <cellStyle name="Normal 3 7 2 6 2" xfId="21958" xr:uid="{00000000-0005-0000-0000-0000C9550000}"/>
    <cellStyle name="Normal 3 7 2 6 3" xfId="21959" xr:uid="{00000000-0005-0000-0000-0000CA550000}"/>
    <cellStyle name="Normal 3 7 2 7" xfId="21960" xr:uid="{00000000-0005-0000-0000-0000CB550000}"/>
    <cellStyle name="Normal 3 7 2 7 2" xfId="21961" xr:uid="{00000000-0005-0000-0000-0000CC550000}"/>
    <cellStyle name="Normal 3 7 2 7 3" xfId="21962" xr:uid="{00000000-0005-0000-0000-0000CD550000}"/>
    <cellStyle name="Normal 3 7 2 8" xfId="21963" xr:uid="{00000000-0005-0000-0000-0000CE550000}"/>
    <cellStyle name="Normal 3 7 2 9" xfId="21964" xr:uid="{00000000-0005-0000-0000-0000CF550000}"/>
    <cellStyle name="Normal 3 7 3" xfId="21965" xr:uid="{00000000-0005-0000-0000-0000D0550000}"/>
    <cellStyle name="Normal 3 7 3 2" xfId="21966" xr:uid="{00000000-0005-0000-0000-0000D1550000}"/>
    <cellStyle name="Normal 3 7 3 2 2" xfId="21967" xr:uid="{00000000-0005-0000-0000-0000D2550000}"/>
    <cellStyle name="Normal 3 7 3 2 2 2" xfId="21968" xr:uid="{00000000-0005-0000-0000-0000D3550000}"/>
    <cellStyle name="Normal 3 7 3 2 2 3" xfId="21969" xr:uid="{00000000-0005-0000-0000-0000D4550000}"/>
    <cellStyle name="Normal 3 7 3 2 3" xfId="21970" xr:uid="{00000000-0005-0000-0000-0000D5550000}"/>
    <cellStyle name="Normal 3 7 3 2 3 2" xfId="21971" xr:uid="{00000000-0005-0000-0000-0000D6550000}"/>
    <cellStyle name="Normal 3 7 3 2 3 3" xfId="21972" xr:uid="{00000000-0005-0000-0000-0000D7550000}"/>
    <cellStyle name="Normal 3 7 3 2 4" xfId="21973" xr:uid="{00000000-0005-0000-0000-0000D8550000}"/>
    <cellStyle name="Normal 3 7 3 2 5" xfId="21974" xr:uid="{00000000-0005-0000-0000-0000D9550000}"/>
    <cellStyle name="Normal 3 7 3 2 6" xfId="21975" xr:uid="{00000000-0005-0000-0000-0000DA550000}"/>
    <cellStyle name="Normal 3 7 3 3" xfId="21976" xr:uid="{00000000-0005-0000-0000-0000DB550000}"/>
    <cellStyle name="Normal 3 7 3 3 2" xfId="21977" xr:uid="{00000000-0005-0000-0000-0000DC550000}"/>
    <cellStyle name="Normal 3 7 3 3 3" xfId="21978" xr:uid="{00000000-0005-0000-0000-0000DD550000}"/>
    <cellStyle name="Normal 3 7 3 4" xfId="21979" xr:uid="{00000000-0005-0000-0000-0000DE550000}"/>
    <cellStyle name="Normal 3 7 3 4 2" xfId="21980" xr:uid="{00000000-0005-0000-0000-0000DF550000}"/>
    <cellStyle name="Normal 3 7 3 4 3" xfId="21981" xr:uid="{00000000-0005-0000-0000-0000E0550000}"/>
    <cellStyle name="Normal 3 7 3 5" xfId="21982" xr:uid="{00000000-0005-0000-0000-0000E1550000}"/>
    <cellStyle name="Normal 3 7 3 5 2" xfId="21983" xr:uid="{00000000-0005-0000-0000-0000E2550000}"/>
    <cellStyle name="Normal 3 7 3 5 3" xfId="21984" xr:uid="{00000000-0005-0000-0000-0000E3550000}"/>
    <cellStyle name="Normal 3 7 3 6" xfId="21985" xr:uid="{00000000-0005-0000-0000-0000E4550000}"/>
    <cellStyle name="Normal 3 7 3 7" xfId="21986" xr:uid="{00000000-0005-0000-0000-0000E5550000}"/>
    <cellStyle name="Normal 3 7 3 8" xfId="21987" xr:uid="{00000000-0005-0000-0000-0000E6550000}"/>
    <cellStyle name="Normal 3 7 4" xfId="21988" xr:uid="{00000000-0005-0000-0000-0000E7550000}"/>
    <cellStyle name="Normal 3 7 4 2" xfId="21989" xr:uid="{00000000-0005-0000-0000-0000E8550000}"/>
    <cellStyle name="Normal 3 7 4 2 2" xfId="21990" xr:uid="{00000000-0005-0000-0000-0000E9550000}"/>
    <cellStyle name="Normal 3 7 4 2 2 2" xfId="21991" xr:uid="{00000000-0005-0000-0000-0000EA550000}"/>
    <cellStyle name="Normal 3 7 4 2 2 3" xfId="21992" xr:uid="{00000000-0005-0000-0000-0000EB550000}"/>
    <cellStyle name="Normal 3 7 4 2 3" xfId="21993" xr:uid="{00000000-0005-0000-0000-0000EC550000}"/>
    <cellStyle name="Normal 3 7 4 2 3 2" xfId="21994" xr:uid="{00000000-0005-0000-0000-0000ED550000}"/>
    <cellStyle name="Normal 3 7 4 2 3 3" xfId="21995" xr:uid="{00000000-0005-0000-0000-0000EE550000}"/>
    <cellStyle name="Normal 3 7 4 2 4" xfId="21996" xr:uid="{00000000-0005-0000-0000-0000EF550000}"/>
    <cellStyle name="Normal 3 7 4 2 5" xfId="21997" xr:uid="{00000000-0005-0000-0000-0000F0550000}"/>
    <cellStyle name="Normal 3 7 4 2 6" xfId="21998" xr:uid="{00000000-0005-0000-0000-0000F1550000}"/>
    <cellStyle name="Normal 3 7 4 3" xfId="21999" xr:uid="{00000000-0005-0000-0000-0000F2550000}"/>
    <cellStyle name="Normal 3 7 4 3 2" xfId="22000" xr:uid="{00000000-0005-0000-0000-0000F3550000}"/>
    <cellStyle name="Normal 3 7 4 3 3" xfId="22001" xr:uid="{00000000-0005-0000-0000-0000F4550000}"/>
    <cellStyle name="Normal 3 7 4 4" xfId="22002" xr:uid="{00000000-0005-0000-0000-0000F5550000}"/>
    <cellStyle name="Normal 3 7 4 4 2" xfId="22003" xr:uid="{00000000-0005-0000-0000-0000F6550000}"/>
    <cellStyle name="Normal 3 7 4 4 3" xfId="22004" xr:uid="{00000000-0005-0000-0000-0000F7550000}"/>
    <cellStyle name="Normal 3 7 4 5" xfId="22005" xr:uid="{00000000-0005-0000-0000-0000F8550000}"/>
    <cellStyle name="Normal 3 7 4 5 2" xfId="22006" xr:uid="{00000000-0005-0000-0000-0000F9550000}"/>
    <cellStyle name="Normal 3 7 4 5 3" xfId="22007" xr:uid="{00000000-0005-0000-0000-0000FA550000}"/>
    <cellStyle name="Normal 3 7 4 6" xfId="22008" xr:uid="{00000000-0005-0000-0000-0000FB550000}"/>
    <cellStyle name="Normal 3 7 4 7" xfId="22009" xr:uid="{00000000-0005-0000-0000-0000FC550000}"/>
    <cellStyle name="Normal 3 7 4 8" xfId="22010" xr:uid="{00000000-0005-0000-0000-0000FD550000}"/>
    <cellStyle name="Normal 3 7 5" xfId="22011" xr:uid="{00000000-0005-0000-0000-0000FE550000}"/>
    <cellStyle name="Normal 3 7 5 2" xfId="22012" xr:uid="{00000000-0005-0000-0000-0000FF550000}"/>
    <cellStyle name="Normal 3 7 5 2 2" xfId="22013" xr:uid="{00000000-0005-0000-0000-000000560000}"/>
    <cellStyle name="Normal 3 7 5 2 2 2" xfId="22014" xr:uid="{00000000-0005-0000-0000-000001560000}"/>
    <cellStyle name="Normal 3 7 5 2 2 3" xfId="22015" xr:uid="{00000000-0005-0000-0000-000002560000}"/>
    <cellStyle name="Normal 3 7 5 2 3" xfId="22016" xr:uid="{00000000-0005-0000-0000-000003560000}"/>
    <cellStyle name="Normal 3 7 5 2 3 2" xfId="22017" xr:uid="{00000000-0005-0000-0000-000004560000}"/>
    <cellStyle name="Normal 3 7 5 2 3 3" xfId="22018" xr:uid="{00000000-0005-0000-0000-000005560000}"/>
    <cellStyle name="Normal 3 7 5 2 4" xfId="22019" xr:uid="{00000000-0005-0000-0000-000006560000}"/>
    <cellStyle name="Normal 3 7 5 2 5" xfId="22020" xr:uid="{00000000-0005-0000-0000-000007560000}"/>
    <cellStyle name="Normal 3 7 5 2 6" xfId="22021" xr:uid="{00000000-0005-0000-0000-000008560000}"/>
    <cellStyle name="Normal 3 7 5 3" xfId="22022" xr:uid="{00000000-0005-0000-0000-000009560000}"/>
    <cellStyle name="Normal 3 7 5 3 2" xfId="22023" xr:uid="{00000000-0005-0000-0000-00000A560000}"/>
    <cellStyle name="Normal 3 7 5 3 3" xfId="22024" xr:uid="{00000000-0005-0000-0000-00000B560000}"/>
    <cellStyle name="Normal 3 7 5 4" xfId="22025" xr:uid="{00000000-0005-0000-0000-00000C560000}"/>
    <cellStyle name="Normal 3 7 5 4 2" xfId="22026" xr:uid="{00000000-0005-0000-0000-00000D560000}"/>
    <cellStyle name="Normal 3 7 5 4 3" xfId="22027" xr:uid="{00000000-0005-0000-0000-00000E560000}"/>
    <cellStyle name="Normal 3 7 5 5" xfId="22028" xr:uid="{00000000-0005-0000-0000-00000F560000}"/>
    <cellStyle name="Normal 3 7 5 5 2" xfId="22029" xr:uid="{00000000-0005-0000-0000-000010560000}"/>
    <cellStyle name="Normal 3 7 5 5 3" xfId="22030" xr:uid="{00000000-0005-0000-0000-000011560000}"/>
    <cellStyle name="Normal 3 7 5 6" xfId="22031" xr:uid="{00000000-0005-0000-0000-000012560000}"/>
    <cellStyle name="Normal 3 7 5 7" xfId="22032" xr:uid="{00000000-0005-0000-0000-000013560000}"/>
    <cellStyle name="Normal 3 7 5 8" xfId="22033" xr:uid="{00000000-0005-0000-0000-000014560000}"/>
    <cellStyle name="Normal 3 7 6" xfId="22034" xr:uid="{00000000-0005-0000-0000-000015560000}"/>
    <cellStyle name="Normal 3 7 6 2" xfId="22035" xr:uid="{00000000-0005-0000-0000-000016560000}"/>
    <cellStyle name="Normal 3 7 6 2 2" xfId="22036" xr:uid="{00000000-0005-0000-0000-000017560000}"/>
    <cellStyle name="Normal 3 7 6 2 3" xfId="22037" xr:uid="{00000000-0005-0000-0000-000018560000}"/>
    <cellStyle name="Normal 3 7 6 3" xfId="22038" xr:uid="{00000000-0005-0000-0000-000019560000}"/>
    <cellStyle name="Normal 3 7 6 3 2" xfId="22039" xr:uid="{00000000-0005-0000-0000-00001A560000}"/>
    <cellStyle name="Normal 3 7 6 3 3" xfId="22040" xr:uid="{00000000-0005-0000-0000-00001B560000}"/>
    <cellStyle name="Normal 3 7 6 4" xfId="22041" xr:uid="{00000000-0005-0000-0000-00001C560000}"/>
    <cellStyle name="Normal 3 7 6 5" xfId="22042" xr:uid="{00000000-0005-0000-0000-00001D560000}"/>
    <cellStyle name="Normal 3 7 6 6" xfId="22043" xr:uid="{00000000-0005-0000-0000-00001E560000}"/>
    <cellStyle name="Normal 3 7 7" xfId="22044" xr:uid="{00000000-0005-0000-0000-00001F560000}"/>
    <cellStyle name="Normal 3 7 7 2" xfId="22045" xr:uid="{00000000-0005-0000-0000-000020560000}"/>
    <cellStyle name="Normal 3 7 7 3" xfId="22046" xr:uid="{00000000-0005-0000-0000-000021560000}"/>
    <cellStyle name="Normal 3 7 8" xfId="22047" xr:uid="{00000000-0005-0000-0000-000022560000}"/>
    <cellStyle name="Normal 3 7 8 2" xfId="22048" xr:uid="{00000000-0005-0000-0000-000023560000}"/>
    <cellStyle name="Normal 3 7 8 3" xfId="22049" xr:uid="{00000000-0005-0000-0000-000024560000}"/>
    <cellStyle name="Normal 3 7 9" xfId="22050" xr:uid="{00000000-0005-0000-0000-000025560000}"/>
    <cellStyle name="Normal 3 7 9 2" xfId="22051" xr:uid="{00000000-0005-0000-0000-000026560000}"/>
    <cellStyle name="Normal 3 7 9 3" xfId="22052" xr:uid="{00000000-0005-0000-0000-000027560000}"/>
    <cellStyle name="Normal 3 8" xfId="22053" xr:uid="{00000000-0005-0000-0000-000028560000}"/>
    <cellStyle name="Normal 3 8 10" xfId="22054" xr:uid="{00000000-0005-0000-0000-000029560000}"/>
    <cellStyle name="Normal 3 8 2" xfId="22055" xr:uid="{00000000-0005-0000-0000-00002A560000}"/>
    <cellStyle name="Normal 3 8 2 2" xfId="22056" xr:uid="{00000000-0005-0000-0000-00002B560000}"/>
    <cellStyle name="Normal 3 8 2 2 2" xfId="22057" xr:uid="{00000000-0005-0000-0000-00002C560000}"/>
    <cellStyle name="Normal 3 8 2 2 2 2" xfId="22058" xr:uid="{00000000-0005-0000-0000-00002D560000}"/>
    <cellStyle name="Normal 3 8 2 2 2 3" xfId="22059" xr:uid="{00000000-0005-0000-0000-00002E560000}"/>
    <cellStyle name="Normal 3 8 2 2 3" xfId="22060" xr:uid="{00000000-0005-0000-0000-00002F560000}"/>
    <cellStyle name="Normal 3 8 2 2 3 2" xfId="22061" xr:uid="{00000000-0005-0000-0000-000030560000}"/>
    <cellStyle name="Normal 3 8 2 2 3 3" xfId="22062" xr:uid="{00000000-0005-0000-0000-000031560000}"/>
    <cellStyle name="Normal 3 8 2 2 4" xfId="22063" xr:uid="{00000000-0005-0000-0000-000032560000}"/>
    <cellStyle name="Normal 3 8 2 2 5" xfId="22064" xr:uid="{00000000-0005-0000-0000-000033560000}"/>
    <cellStyle name="Normal 3 8 2 2 6" xfId="22065" xr:uid="{00000000-0005-0000-0000-000034560000}"/>
    <cellStyle name="Normal 3 8 2 3" xfId="22066" xr:uid="{00000000-0005-0000-0000-000035560000}"/>
    <cellStyle name="Normal 3 8 2 3 2" xfId="22067" xr:uid="{00000000-0005-0000-0000-000036560000}"/>
    <cellStyle name="Normal 3 8 2 3 3" xfId="22068" xr:uid="{00000000-0005-0000-0000-000037560000}"/>
    <cellStyle name="Normal 3 8 2 4" xfId="22069" xr:uid="{00000000-0005-0000-0000-000038560000}"/>
    <cellStyle name="Normal 3 8 2 4 2" xfId="22070" xr:uid="{00000000-0005-0000-0000-000039560000}"/>
    <cellStyle name="Normal 3 8 2 4 3" xfId="22071" xr:uid="{00000000-0005-0000-0000-00003A560000}"/>
    <cellStyle name="Normal 3 8 2 5" xfId="22072" xr:uid="{00000000-0005-0000-0000-00003B560000}"/>
    <cellStyle name="Normal 3 8 2 5 2" xfId="22073" xr:uid="{00000000-0005-0000-0000-00003C560000}"/>
    <cellStyle name="Normal 3 8 2 5 3" xfId="22074" xr:uid="{00000000-0005-0000-0000-00003D560000}"/>
    <cellStyle name="Normal 3 8 2 6" xfId="22075" xr:uid="{00000000-0005-0000-0000-00003E560000}"/>
    <cellStyle name="Normal 3 8 2 7" xfId="22076" xr:uid="{00000000-0005-0000-0000-00003F560000}"/>
    <cellStyle name="Normal 3 8 2 8" xfId="22077" xr:uid="{00000000-0005-0000-0000-000040560000}"/>
    <cellStyle name="Normal 3 8 3" xfId="22078" xr:uid="{00000000-0005-0000-0000-000041560000}"/>
    <cellStyle name="Normal 3 8 3 2" xfId="22079" xr:uid="{00000000-0005-0000-0000-000042560000}"/>
    <cellStyle name="Normal 3 8 3 2 2" xfId="22080" xr:uid="{00000000-0005-0000-0000-000043560000}"/>
    <cellStyle name="Normal 3 8 3 2 2 2" xfId="22081" xr:uid="{00000000-0005-0000-0000-000044560000}"/>
    <cellStyle name="Normal 3 8 3 2 2 3" xfId="22082" xr:uid="{00000000-0005-0000-0000-000045560000}"/>
    <cellStyle name="Normal 3 8 3 2 3" xfId="22083" xr:uid="{00000000-0005-0000-0000-000046560000}"/>
    <cellStyle name="Normal 3 8 3 2 3 2" xfId="22084" xr:uid="{00000000-0005-0000-0000-000047560000}"/>
    <cellStyle name="Normal 3 8 3 2 3 3" xfId="22085" xr:uid="{00000000-0005-0000-0000-000048560000}"/>
    <cellStyle name="Normal 3 8 3 2 4" xfId="22086" xr:uid="{00000000-0005-0000-0000-000049560000}"/>
    <cellStyle name="Normal 3 8 3 2 5" xfId="22087" xr:uid="{00000000-0005-0000-0000-00004A560000}"/>
    <cellStyle name="Normal 3 8 3 2 6" xfId="22088" xr:uid="{00000000-0005-0000-0000-00004B560000}"/>
    <cellStyle name="Normal 3 8 3 3" xfId="22089" xr:uid="{00000000-0005-0000-0000-00004C560000}"/>
    <cellStyle name="Normal 3 8 3 3 2" xfId="22090" xr:uid="{00000000-0005-0000-0000-00004D560000}"/>
    <cellStyle name="Normal 3 8 3 3 3" xfId="22091" xr:uid="{00000000-0005-0000-0000-00004E560000}"/>
    <cellStyle name="Normal 3 8 3 4" xfId="22092" xr:uid="{00000000-0005-0000-0000-00004F560000}"/>
    <cellStyle name="Normal 3 8 3 4 2" xfId="22093" xr:uid="{00000000-0005-0000-0000-000050560000}"/>
    <cellStyle name="Normal 3 8 3 4 3" xfId="22094" xr:uid="{00000000-0005-0000-0000-000051560000}"/>
    <cellStyle name="Normal 3 8 3 5" xfId="22095" xr:uid="{00000000-0005-0000-0000-000052560000}"/>
    <cellStyle name="Normal 3 8 3 5 2" xfId="22096" xr:uid="{00000000-0005-0000-0000-000053560000}"/>
    <cellStyle name="Normal 3 8 3 5 3" xfId="22097" xr:uid="{00000000-0005-0000-0000-000054560000}"/>
    <cellStyle name="Normal 3 8 3 6" xfId="22098" xr:uid="{00000000-0005-0000-0000-000055560000}"/>
    <cellStyle name="Normal 3 8 3 7" xfId="22099" xr:uid="{00000000-0005-0000-0000-000056560000}"/>
    <cellStyle name="Normal 3 8 3 8" xfId="22100" xr:uid="{00000000-0005-0000-0000-000057560000}"/>
    <cellStyle name="Normal 3 8 4" xfId="22101" xr:uid="{00000000-0005-0000-0000-000058560000}"/>
    <cellStyle name="Normal 3 8 4 2" xfId="22102" xr:uid="{00000000-0005-0000-0000-000059560000}"/>
    <cellStyle name="Normal 3 8 4 2 2" xfId="22103" xr:uid="{00000000-0005-0000-0000-00005A560000}"/>
    <cellStyle name="Normal 3 8 4 2 3" xfId="22104" xr:uid="{00000000-0005-0000-0000-00005B560000}"/>
    <cellStyle name="Normal 3 8 4 3" xfId="22105" xr:uid="{00000000-0005-0000-0000-00005C560000}"/>
    <cellStyle name="Normal 3 8 4 3 2" xfId="22106" xr:uid="{00000000-0005-0000-0000-00005D560000}"/>
    <cellStyle name="Normal 3 8 4 3 3" xfId="22107" xr:uid="{00000000-0005-0000-0000-00005E560000}"/>
    <cellStyle name="Normal 3 8 4 4" xfId="22108" xr:uid="{00000000-0005-0000-0000-00005F560000}"/>
    <cellStyle name="Normal 3 8 4 5" xfId="22109" xr:uid="{00000000-0005-0000-0000-000060560000}"/>
    <cellStyle name="Normal 3 8 4 6" xfId="22110" xr:uid="{00000000-0005-0000-0000-000061560000}"/>
    <cellStyle name="Normal 3 8 5" xfId="22111" xr:uid="{00000000-0005-0000-0000-000062560000}"/>
    <cellStyle name="Normal 3 8 5 2" xfId="22112" xr:uid="{00000000-0005-0000-0000-000063560000}"/>
    <cellStyle name="Normal 3 8 5 3" xfId="22113" xr:uid="{00000000-0005-0000-0000-000064560000}"/>
    <cellStyle name="Normal 3 8 6" xfId="22114" xr:uid="{00000000-0005-0000-0000-000065560000}"/>
    <cellStyle name="Normal 3 8 6 2" xfId="22115" xr:uid="{00000000-0005-0000-0000-000066560000}"/>
    <cellStyle name="Normal 3 8 6 3" xfId="22116" xr:uid="{00000000-0005-0000-0000-000067560000}"/>
    <cellStyle name="Normal 3 8 7" xfId="22117" xr:uid="{00000000-0005-0000-0000-000068560000}"/>
    <cellStyle name="Normal 3 8 7 2" xfId="22118" xr:uid="{00000000-0005-0000-0000-000069560000}"/>
    <cellStyle name="Normal 3 8 7 3" xfId="22119" xr:uid="{00000000-0005-0000-0000-00006A560000}"/>
    <cellStyle name="Normal 3 8 8" xfId="22120" xr:uid="{00000000-0005-0000-0000-00006B560000}"/>
    <cellStyle name="Normal 3 8 9" xfId="22121" xr:uid="{00000000-0005-0000-0000-00006C560000}"/>
    <cellStyle name="Normal 3 9" xfId="22122" xr:uid="{00000000-0005-0000-0000-00006D560000}"/>
    <cellStyle name="Normal 3 9 2" xfId="22123" xr:uid="{00000000-0005-0000-0000-00006E560000}"/>
    <cellStyle name="Normal 3 9 2 2" xfId="22124" xr:uid="{00000000-0005-0000-0000-00006F560000}"/>
    <cellStyle name="Normal 3 9 2 2 2" xfId="22125" xr:uid="{00000000-0005-0000-0000-000070560000}"/>
    <cellStyle name="Normal 3 9 2 2 3" xfId="22126" xr:uid="{00000000-0005-0000-0000-000071560000}"/>
    <cellStyle name="Normal 3 9 2 3" xfId="22127" xr:uid="{00000000-0005-0000-0000-000072560000}"/>
    <cellStyle name="Normal 3 9 2 3 2" xfId="22128" xr:uid="{00000000-0005-0000-0000-000073560000}"/>
    <cellStyle name="Normal 3 9 2 3 3" xfId="22129" xr:uid="{00000000-0005-0000-0000-000074560000}"/>
    <cellStyle name="Normal 3 9 2 4" xfId="22130" xr:uid="{00000000-0005-0000-0000-000075560000}"/>
    <cellStyle name="Normal 3 9 2 5" xfId="22131" xr:uid="{00000000-0005-0000-0000-000076560000}"/>
    <cellStyle name="Normal 3 9 2 6" xfId="22132" xr:uid="{00000000-0005-0000-0000-000077560000}"/>
    <cellStyle name="Normal 3 9 3" xfId="22133" xr:uid="{00000000-0005-0000-0000-000078560000}"/>
    <cellStyle name="Normal 3 9 3 2" xfId="22134" xr:uid="{00000000-0005-0000-0000-000079560000}"/>
    <cellStyle name="Normal 3 9 3 3" xfId="22135" xr:uid="{00000000-0005-0000-0000-00007A560000}"/>
    <cellStyle name="Normal 3 9 4" xfId="22136" xr:uid="{00000000-0005-0000-0000-00007B560000}"/>
    <cellStyle name="Normal 3 9 4 2" xfId="22137" xr:uid="{00000000-0005-0000-0000-00007C560000}"/>
    <cellStyle name="Normal 3 9 4 3" xfId="22138" xr:uid="{00000000-0005-0000-0000-00007D560000}"/>
    <cellStyle name="Normal 3 9 5" xfId="22139" xr:uid="{00000000-0005-0000-0000-00007E560000}"/>
    <cellStyle name="Normal 3 9 5 2" xfId="22140" xr:uid="{00000000-0005-0000-0000-00007F560000}"/>
    <cellStyle name="Normal 3 9 5 3" xfId="22141" xr:uid="{00000000-0005-0000-0000-000080560000}"/>
    <cellStyle name="Normal 3 9 6" xfId="22142" xr:uid="{00000000-0005-0000-0000-000081560000}"/>
    <cellStyle name="Normal 3 9 7" xfId="22143" xr:uid="{00000000-0005-0000-0000-000082560000}"/>
    <cellStyle name="Normal 3 9 8" xfId="22144" xr:uid="{00000000-0005-0000-0000-000083560000}"/>
    <cellStyle name="Normal 30" xfId="22145" xr:uid="{00000000-0005-0000-0000-000084560000}"/>
    <cellStyle name="Normal 30 2" xfId="22146" xr:uid="{00000000-0005-0000-0000-000085560000}"/>
    <cellStyle name="Normal 30 2 2" xfId="22147" xr:uid="{00000000-0005-0000-0000-000086560000}"/>
    <cellStyle name="Normal 30 2 2 2" xfId="22148" xr:uid="{00000000-0005-0000-0000-000087560000}"/>
    <cellStyle name="Normal 30 2 2 3" xfId="22149" xr:uid="{00000000-0005-0000-0000-000088560000}"/>
    <cellStyle name="Normal 30 2 3" xfId="22150" xr:uid="{00000000-0005-0000-0000-000089560000}"/>
    <cellStyle name="Normal 30 2 3 2" xfId="22151" xr:uid="{00000000-0005-0000-0000-00008A560000}"/>
    <cellStyle name="Normal 30 2 3 3" xfId="22152" xr:uid="{00000000-0005-0000-0000-00008B560000}"/>
    <cellStyle name="Normal 30 2 4" xfId="22153" xr:uid="{00000000-0005-0000-0000-00008C560000}"/>
    <cellStyle name="Normal 30 2 5" xfId="22154" xr:uid="{00000000-0005-0000-0000-00008D560000}"/>
    <cellStyle name="Normal 30 2 6" xfId="22155" xr:uid="{00000000-0005-0000-0000-00008E560000}"/>
    <cellStyle name="Normal 30 3" xfId="22156" xr:uid="{00000000-0005-0000-0000-00008F560000}"/>
    <cellStyle name="Normal 30 3 2" xfId="22157" xr:uid="{00000000-0005-0000-0000-000090560000}"/>
    <cellStyle name="Normal 30 3 3" xfId="22158" xr:uid="{00000000-0005-0000-0000-000091560000}"/>
    <cellStyle name="Normal 30 3 4" xfId="22159" xr:uid="{00000000-0005-0000-0000-000092560000}"/>
    <cellStyle name="Normal 30 4" xfId="22160" xr:uid="{00000000-0005-0000-0000-000093560000}"/>
    <cellStyle name="Normal 30 4 2" xfId="22161" xr:uid="{00000000-0005-0000-0000-000094560000}"/>
    <cellStyle name="Normal 30 4 3" xfId="22162" xr:uid="{00000000-0005-0000-0000-000095560000}"/>
    <cellStyle name="Normal 30 5" xfId="22163" xr:uid="{00000000-0005-0000-0000-000096560000}"/>
    <cellStyle name="Normal 30 6" xfId="22164" xr:uid="{00000000-0005-0000-0000-000097560000}"/>
    <cellStyle name="Normal 30 7" xfId="22165" xr:uid="{00000000-0005-0000-0000-000098560000}"/>
    <cellStyle name="Normal 31" xfId="22166" xr:uid="{00000000-0005-0000-0000-000099560000}"/>
    <cellStyle name="Normal 31 10" xfId="22167" xr:uid="{00000000-0005-0000-0000-00009A560000}"/>
    <cellStyle name="Normal 31 10 2" xfId="22168" xr:uid="{00000000-0005-0000-0000-00009B560000}"/>
    <cellStyle name="Normal 31 10 2 2" xfId="22169" xr:uid="{00000000-0005-0000-0000-00009C560000}"/>
    <cellStyle name="Normal 31 10 2 3" xfId="22170" xr:uid="{00000000-0005-0000-0000-00009D560000}"/>
    <cellStyle name="Normal 31 10 3" xfId="22171" xr:uid="{00000000-0005-0000-0000-00009E560000}"/>
    <cellStyle name="Normal 31 10 3 2" xfId="22172" xr:uid="{00000000-0005-0000-0000-00009F560000}"/>
    <cellStyle name="Normal 31 10 3 3" xfId="22173" xr:uid="{00000000-0005-0000-0000-0000A0560000}"/>
    <cellStyle name="Normal 31 10 4" xfId="22174" xr:uid="{00000000-0005-0000-0000-0000A1560000}"/>
    <cellStyle name="Normal 31 10 5" xfId="22175" xr:uid="{00000000-0005-0000-0000-0000A2560000}"/>
    <cellStyle name="Normal 31 10 6" xfId="22176" xr:uid="{00000000-0005-0000-0000-0000A3560000}"/>
    <cellStyle name="Normal 31 11" xfId="22177" xr:uid="{00000000-0005-0000-0000-0000A4560000}"/>
    <cellStyle name="Normal 31 11 2" xfId="22178" xr:uid="{00000000-0005-0000-0000-0000A5560000}"/>
    <cellStyle name="Normal 31 11 3" xfId="22179" xr:uid="{00000000-0005-0000-0000-0000A6560000}"/>
    <cellStyle name="Normal 31 11 4" xfId="22180" xr:uid="{00000000-0005-0000-0000-0000A7560000}"/>
    <cellStyle name="Normal 31 12" xfId="22181" xr:uid="{00000000-0005-0000-0000-0000A8560000}"/>
    <cellStyle name="Normal 31 12 2" xfId="22182" xr:uid="{00000000-0005-0000-0000-0000A9560000}"/>
    <cellStyle name="Normal 31 12 3" xfId="22183" xr:uid="{00000000-0005-0000-0000-0000AA560000}"/>
    <cellStyle name="Normal 31 13" xfId="22184" xr:uid="{00000000-0005-0000-0000-0000AB560000}"/>
    <cellStyle name="Normal 31 14" xfId="22185" xr:uid="{00000000-0005-0000-0000-0000AC560000}"/>
    <cellStyle name="Normal 31 15" xfId="22186" xr:uid="{00000000-0005-0000-0000-0000AD560000}"/>
    <cellStyle name="Normal 31 2" xfId="22187" xr:uid="{00000000-0005-0000-0000-0000AE560000}"/>
    <cellStyle name="Normal 31 2 2" xfId="22188" xr:uid="{00000000-0005-0000-0000-0000AF560000}"/>
    <cellStyle name="Normal 31 2 2 2" xfId="22189" xr:uid="{00000000-0005-0000-0000-0000B0560000}"/>
    <cellStyle name="Normal 31 2 2 2 2" xfId="22190" xr:uid="{00000000-0005-0000-0000-0000B1560000}"/>
    <cellStyle name="Normal 31 2 2 2 3" xfId="22191" xr:uid="{00000000-0005-0000-0000-0000B2560000}"/>
    <cellStyle name="Normal 31 2 2 3" xfId="22192" xr:uid="{00000000-0005-0000-0000-0000B3560000}"/>
    <cellStyle name="Normal 31 2 2 3 2" xfId="22193" xr:uid="{00000000-0005-0000-0000-0000B4560000}"/>
    <cellStyle name="Normal 31 2 2 3 3" xfId="22194" xr:uid="{00000000-0005-0000-0000-0000B5560000}"/>
    <cellStyle name="Normal 31 2 2 4" xfId="22195" xr:uid="{00000000-0005-0000-0000-0000B6560000}"/>
    <cellStyle name="Normal 31 2 2 5" xfId="22196" xr:uid="{00000000-0005-0000-0000-0000B7560000}"/>
    <cellStyle name="Normal 31 2 2 6" xfId="22197" xr:uid="{00000000-0005-0000-0000-0000B8560000}"/>
    <cellStyle name="Normal 31 2 3" xfId="22198" xr:uid="{00000000-0005-0000-0000-0000B9560000}"/>
    <cellStyle name="Normal 31 2 3 2" xfId="22199" xr:uid="{00000000-0005-0000-0000-0000BA560000}"/>
    <cellStyle name="Normal 31 2 3 3" xfId="22200" xr:uid="{00000000-0005-0000-0000-0000BB560000}"/>
    <cellStyle name="Normal 31 2 4" xfId="22201" xr:uid="{00000000-0005-0000-0000-0000BC560000}"/>
    <cellStyle name="Normal 31 2 4 2" xfId="22202" xr:uid="{00000000-0005-0000-0000-0000BD560000}"/>
    <cellStyle name="Normal 31 2 4 3" xfId="22203" xr:uid="{00000000-0005-0000-0000-0000BE560000}"/>
    <cellStyle name="Normal 31 2 5" xfId="22204" xr:uid="{00000000-0005-0000-0000-0000BF560000}"/>
    <cellStyle name="Normal 31 2 6" xfId="22205" xr:uid="{00000000-0005-0000-0000-0000C0560000}"/>
    <cellStyle name="Normal 31 2 7" xfId="22206" xr:uid="{00000000-0005-0000-0000-0000C1560000}"/>
    <cellStyle name="Normal 31 3" xfId="22207" xr:uid="{00000000-0005-0000-0000-0000C2560000}"/>
    <cellStyle name="Normal 31 3 2" xfId="22208" xr:uid="{00000000-0005-0000-0000-0000C3560000}"/>
    <cellStyle name="Normal 31 3 2 2" xfId="22209" xr:uid="{00000000-0005-0000-0000-0000C4560000}"/>
    <cellStyle name="Normal 31 3 2 2 2" xfId="22210" xr:uid="{00000000-0005-0000-0000-0000C5560000}"/>
    <cellStyle name="Normal 31 3 2 2 3" xfId="22211" xr:uid="{00000000-0005-0000-0000-0000C6560000}"/>
    <cellStyle name="Normal 31 3 2 3" xfId="22212" xr:uid="{00000000-0005-0000-0000-0000C7560000}"/>
    <cellStyle name="Normal 31 3 2 3 2" xfId="22213" xr:uid="{00000000-0005-0000-0000-0000C8560000}"/>
    <cellStyle name="Normal 31 3 2 3 3" xfId="22214" xr:uid="{00000000-0005-0000-0000-0000C9560000}"/>
    <cellStyle name="Normal 31 3 2 4" xfId="22215" xr:uid="{00000000-0005-0000-0000-0000CA560000}"/>
    <cellStyle name="Normal 31 3 2 5" xfId="22216" xr:uid="{00000000-0005-0000-0000-0000CB560000}"/>
    <cellStyle name="Normal 31 3 2 6" xfId="22217" xr:uid="{00000000-0005-0000-0000-0000CC560000}"/>
    <cellStyle name="Normal 31 3 3" xfId="22218" xr:uid="{00000000-0005-0000-0000-0000CD560000}"/>
    <cellStyle name="Normal 31 3 3 2" xfId="22219" xr:uid="{00000000-0005-0000-0000-0000CE560000}"/>
    <cellStyle name="Normal 31 3 3 3" xfId="22220" xr:uid="{00000000-0005-0000-0000-0000CF560000}"/>
    <cellStyle name="Normal 31 3 4" xfId="22221" xr:uid="{00000000-0005-0000-0000-0000D0560000}"/>
    <cellStyle name="Normal 31 3 4 2" xfId="22222" xr:uid="{00000000-0005-0000-0000-0000D1560000}"/>
    <cellStyle name="Normal 31 3 4 3" xfId="22223" xr:uid="{00000000-0005-0000-0000-0000D2560000}"/>
    <cellStyle name="Normal 31 3 5" xfId="22224" xr:uid="{00000000-0005-0000-0000-0000D3560000}"/>
    <cellStyle name="Normal 31 3 6" xfId="22225" xr:uid="{00000000-0005-0000-0000-0000D4560000}"/>
    <cellStyle name="Normal 31 3 7" xfId="22226" xr:uid="{00000000-0005-0000-0000-0000D5560000}"/>
    <cellStyle name="Normal 31 4" xfId="22227" xr:uid="{00000000-0005-0000-0000-0000D6560000}"/>
    <cellStyle name="Normal 31 4 2" xfId="22228" xr:uid="{00000000-0005-0000-0000-0000D7560000}"/>
    <cellStyle name="Normal 31 4 2 2" xfId="22229" xr:uid="{00000000-0005-0000-0000-0000D8560000}"/>
    <cellStyle name="Normal 31 4 2 2 2" xfId="22230" xr:uid="{00000000-0005-0000-0000-0000D9560000}"/>
    <cellStyle name="Normal 31 4 2 2 3" xfId="22231" xr:uid="{00000000-0005-0000-0000-0000DA560000}"/>
    <cellStyle name="Normal 31 4 2 3" xfId="22232" xr:uid="{00000000-0005-0000-0000-0000DB560000}"/>
    <cellStyle name="Normal 31 4 2 3 2" xfId="22233" xr:uid="{00000000-0005-0000-0000-0000DC560000}"/>
    <cellStyle name="Normal 31 4 2 3 3" xfId="22234" xr:uid="{00000000-0005-0000-0000-0000DD560000}"/>
    <cellStyle name="Normal 31 4 2 4" xfId="22235" xr:uid="{00000000-0005-0000-0000-0000DE560000}"/>
    <cellStyle name="Normal 31 4 2 5" xfId="22236" xr:uid="{00000000-0005-0000-0000-0000DF560000}"/>
    <cellStyle name="Normal 31 4 2 6" xfId="22237" xr:uid="{00000000-0005-0000-0000-0000E0560000}"/>
    <cellStyle name="Normal 31 4 3" xfId="22238" xr:uid="{00000000-0005-0000-0000-0000E1560000}"/>
    <cellStyle name="Normal 31 4 3 2" xfId="22239" xr:uid="{00000000-0005-0000-0000-0000E2560000}"/>
    <cellStyle name="Normal 31 4 3 3" xfId="22240" xr:uid="{00000000-0005-0000-0000-0000E3560000}"/>
    <cellStyle name="Normal 31 4 4" xfId="22241" xr:uid="{00000000-0005-0000-0000-0000E4560000}"/>
    <cellStyle name="Normal 31 4 4 2" xfId="22242" xr:uid="{00000000-0005-0000-0000-0000E5560000}"/>
    <cellStyle name="Normal 31 4 4 3" xfId="22243" xr:uid="{00000000-0005-0000-0000-0000E6560000}"/>
    <cellStyle name="Normal 31 4 5" xfId="22244" xr:uid="{00000000-0005-0000-0000-0000E7560000}"/>
    <cellStyle name="Normal 31 4 6" xfId="22245" xr:uid="{00000000-0005-0000-0000-0000E8560000}"/>
    <cellStyle name="Normal 31 4 7" xfId="22246" xr:uid="{00000000-0005-0000-0000-0000E9560000}"/>
    <cellStyle name="Normal 31 5" xfId="22247" xr:uid="{00000000-0005-0000-0000-0000EA560000}"/>
    <cellStyle name="Normal 31 5 2" xfId="22248" xr:uid="{00000000-0005-0000-0000-0000EB560000}"/>
    <cellStyle name="Normal 31 5 2 2" xfId="22249" xr:uid="{00000000-0005-0000-0000-0000EC560000}"/>
    <cellStyle name="Normal 31 5 2 2 2" xfId="22250" xr:uid="{00000000-0005-0000-0000-0000ED560000}"/>
    <cellStyle name="Normal 31 5 2 2 3" xfId="22251" xr:uid="{00000000-0005-0000-0000-0000EE560000}"/>
    <cellStyle name="Normal 31 5 2 3" xfId="22252" xr:uid="{00000000-0005-0000-0000-0000EF560000}"/>
    <cellStyle name="Normal 31 5 2 3 2" xfId="22253" xr:uid="{00000000-0005-0000-0000-0000F0560000}"/>
    <cellStyle name="Normal 31 5 2 3 3" xfId="22254" xr:uid="{00000000-0005-0000-0000-0000F1560000}"/>
    <cellStyle name="Normal 31 5 2 4" xfId="22255" xr:uid="{00000000-0005-0000-0000-0000F2560000}"/>
    <cellStyle name="Normal 31 5 2 5" xfId="22256" xr:uid="{00000000-0005-0000-0000-0000F3560000}"/>
    <cellStyle name="Normal 31 5 2 6" xfId="22257" xr:uid="{00000000-0005-0000-0000-0000F4560000}"/>
    <cellStyle name="Normal 31 5 3" xfId="22258" xr:uid="{00000000-0005-0000-0000-0000F5560000}"/>
    <cellStyle name="Normal 31 5 3 2" xfId="22259" xr:uid="{00000000-0005-0000-0000-0000F6560000}"/>
    <cellStyle name="Normal 31 5 3 3" xfId="22260" xr:uid="{00000000-0005-0000-0000-0000F7560000}"/>
    <cellStyle name="Normal 31 5 4" xfId="22261" xr:uid="{00000000-0005-0000-0000-0000F8560000}"/>
    <cellStyle name="Normal 31 5 4 2" xfId="22262" xr:uid="{00000000-0005-0000-0000-0000F9560000}"/>
    <cellStyle name="Normal 31 5 4 3" xfId="22263" xr:uid="{00000000-0005-0000-0000-0000FA560000}"/>
    <cellStyle name="Normal 31 5 5" xfId="22264" xr:uid="{00000000-0005-0000-0000-0000FB560000}"/>
    <cellStyle name="Normal 31 5 6" xfId="22265" xr:uid="{00000000-0005-0000-0000-0000FC560000}"/>
    <cellStyle name="Normal 31 5 7" xfId="22266" xr:uid="{00000000-0005-0000-0000-0000FD560000}"/>
    <cellStyle name="Normal 31 6" xfId="22267" xr:uid="{00000000-0005-0000-0000-0000FE560000}"/>
    <cellStyle name="Normal 31 6 2" xfId="22268" xr:uid="{00000000-0005-0000-0000-0000FF560000}"/>
    <cellStyle name="Normal 31 6 2 2" xfId="22269" xr:uid="{00000000-0005-0000-0000-000000570000}"/>
    <cellStyle name="Normal 31 6 2 2 2" xfId="22270" xr:uid="{00000000-0005-0000-0000-000001570000}"/>
    <cellStyle name="Normal 31 6 2 2 3" xfId="22271" xr:uid="{00000000-0005-0000-0000-000002570000}"/>
    <cellStyle name="Normal 31 6 2 3" xfId="22272" xr:uid="{00000000-0005-0000-0000-000003570000}"/>
    <cellStyle name="Normal 31 6 2 3 2" xfId="22273" xr:uid="{00000000-0005-0000-0000-000004570000}"/>
    <cellStyle name="Normal 31 6 2 3 3" xfId="22274" xr:uid="{00000000-0005-0000-0000-000005570000}"/>
    <cellStyle name="Normal 31 6 2 4" xfId="22275" xr:uid="{00000000-0005-0000-0000-000006570000}"/>
    <cellStyle name="Normal 31 6 2 5" xfId="22276" xr:uid="{00000000-0005-0000-0000-000007570000}"/>
    <cellStyle name="Normal 31 6 2 6" xfId="22277" xr:uid="{00000000-0005-0000-0000-000008570000}"/>
    <cellStyle name="Normal 31 6 3" xfId="22278" xr:uid="{00000000-0005-0000-0000-000009570000}"/>
    <cellStyle name="Normal 31 6 3 2" xfId="22279" xr:uid="{00000000-0005-0000-0000-00000A570000}"/>
    <cellStyle name="Normal 31 6 3 3" xfId="22280" xr:uid="{00000000-0005-0000-0000-00000B570000}"/>
    <cellStyle name="Normal 31 6 4" xfId="22281" xr:uid="{00000000-0005-0000-0000-00000C570000}"/>
    <cellStyle name="Normal 31 6 4 2" xfId="22282" xr:uid="{00000000-0005-0000-0000-00000D570000}"/>
    <cellStyle name="Normal 31 6 4 3" xfId="22283" xr:uid="{00000000-0005-0000-0000-00000E570000}"/>
    <cellStyle name="Normal 31 6 5" xfId="22284" xr:uid="{00000000-0005-0000-0000-00000F570000}"/>
    <cellStyle name="Normal 31 6 6" xfId="22285" xr:uid="{00000000-0005-0000-0000-000010570000}"/>
    <cellStyle name="Normal 31 6 7" xfId="22286" xr:uid="{00000000-0005-0000-0000-000011570000}"/>
    <cellStyle name="Normal 31 7" xfId="22287" xr:uid="{00000000-0005-0000-0000-000012570000}"/>
    <cellStyle name="Normal 31 7 2" xfId="22288" xr:uid="{00000000-0005-0000-0000-000013570000}"/>
    <cellStyle name="Normal 31 7 2 2" xfId="22289" xr:uid="{00000000-0005-0000-0000-000014570000}"/>
    <cellStyle name="Normal 31 7 2 2 2" xfId="22290" xr:uid="{00000000-0005-0000-0000-000015570000}"/>
    <cellStyle name="Normal 31 7 2 2 3" xfId="22291" xr:uid="{00000000-0005-0000-0000-000016570000}"/>
    <cellStyle name="Normal 31 7 2 3" xfId="22292" xr:uid="{00000000-0005-0000-0000-000017570000}"/>
    <cellStyle name="Normal 31 7 2 3 2" xfId="22293" xr:uid="{00000000-0005-0000-0000-000018570000}"/>
    <cellStyle name="Normal 31 7 2 3 3" xfId="22294" xr:uid="{00000000-0005-0000-0000-000019570000}"/>
    <cellStyle name="Normal 31 7 2 4" xfId="22295" xr:uid="{00000000-0005-0000-0000-00001A570000}"/>
    <cellStyle name="Normal 31 7 2 5" xfId="22296" xr:uid="{00000000-0005-0000-0000-00001B570000}"/>
    <cellStyle name="Normal 31 7 2 6" xfId="22297" xr:uid="{00000000-0005-0000-0000-00001C570000}"/>
    <cellStyle name="Normal 31 7 3" xfId="22298" xr:uid="{00000000-0005-0000-0000-00001D570000}"/>
    <cellStyle name="Normal 31 7 3 2" xfId="22299" xr:uid="{00000000-0005-0000-0000-00001E570000}"/>
    <cellStyle name="Normal 31 7 3 3" xfId="22300" xr:uid="{00000000-0005-0000-0000-00001F570000}"/>
    <cellStyle name="Normal 31 7 4" xfId="22301" xr:uid="{00000000-0005-0000-0000-000020570000}"/>
    <cellStyle name="Normal 31 7 4 2" xfId="22302" xr:uid="{00000000-0005-0000-0000-000021570000}"/>
    <cellStyle name="Normal 31 7 4 3" xfId="22303" xr:uid="{00000000-0005-0000-0000-000022570000}"/>
    <cellStyle name="Normal 31 7 5" xfId="22304" xr:uid="{00000000-0005-0000-0000-000023570000}"/>
    <cellStyle name="Normal 31 7 6" xfId="22305" xr:uid="{00000000-0005-0000-0000-000024570000}"/>
    <cellStyle name="Normal 31 7 7" xfId="22306" xr:uid="{00000000-0005-0000-0000-000025570000}"/>
    <cellStyle name="Normal 31 8" xfId="22307" xr:uid="{00000000-0005-0000-0000-000026570000}"/>
    <cellStyle name="Normal 31 8 2" xfId="22308" xr:uid="{00000000-0005-0000-0000-000027570000}"/>
    <cellStyle name="Normal 31 8 2 2" xfId="22309" xr:uid="{00000000-0005-0000-0000-000028570000}"/>
    <cellStyle name="Normal 31 8 2 2 2" xfId="22310" xr:uid="{00000000-0005-0000-0000-000029570000}"/>
    <cellStyle name="Normal 31 8 2 2 3" xfId="22311" xr:uid="{00000000-0005-0000-0000-00002A570000}"/>
    <cellStyle name="Normal 31 8 2 3" xfId="22312" xr:uid="{00000000-0005-0000-0000-00002B570000}"/>
    <cellStyle name="Normal 31 8 2 3 2" xfId="22313" xr:uid="{00000000-0005-0000-0000-00002C570000}"/>
    <cellStyle name="Normal 31 8 2 3 3" xfId="22314" xr:uid="{00000000-0005-0000-0000-00002D570000}"/>
    <cellStyle name="Normal 31 8 2 4" xfId="22315" xr:uid="{00000000-0005-0000-0000-00002E570000}"/>
    <cellStyle name="Normal 31 8 2 5" xfId="22316" xr:uid="{00000000-0005-0000-0000-00002F570000}"/>
    <cellStyle name="Normal 31 8 2 6" xfId="22317" xr:uid="{00000000-0005-0000-0000-000030570000}"/>
    <cellStyle name="Normal 31 8 3" xfId="22318" xr:uid="{00000000-0005-0000-0000-000031570000}"/>
    <cellStyle name="Normal 31 8 3 2" xfId="22319" xr:uid="{00000000-0005-0000-0000-000032570000}"/>
    <cellStyle name="Normal 31 8 3 3" xfId="22320" xr:uid="{00000000-0005-0000-0000-000033570000}"/>
    <cellStyle name="Normal 31 8 4" xfId="22321" xr:uid="{00000000-0005-0000-0000-000034570000}"/>
    <cellStyle name="Normal 31 8 4 2" xfId="22322" xr:uid="{00000000-0005-0000-0000-000035570000}"/>
    <cellStyle name="Normal 31 8 4 3" xfId="22323" xr:uid="{00000000-0005-0000-0000-000036570000}"/>
    <cellStyle name="Normal 31 8 5" xfId="22324" xr:uid="{00000000-0005-0000-0000-000037570000}"/>
    <cellStyle name="Normal 31 8 6" xfId="22325" xr:uid="{00000000-0005-0000-0000-000038570000}"/>
    <cellStyle name="Normal 31 8 7" xfId="22326" xr:uid="{00000000-0005-0000-0000-000039570000}"/>
    <cellStyle name="Normal 31 9" xfId="22327" xr:uid="{00000000-0005-0000-0000-00003A570000}"/>
    <cellStyle name="Normal 31 9 2" xfId="22328" xr:uid="{00000000-0005-0000-0000-00003B570000}"/>
    <cellStyle name="Normal 31 9 2 2" xfId="22329" xr:uid="{00000000-0005-0000-0000-00003C570000}"/>
    <cellStyle name="Normal 31 9 2 2 2" xfId="22330" xr:uid="{00000000-0005-0000-0000-00003D570000}"/>
    <cellStyle name="Normal 31 9 2 2 3" xfId="22331" xr:uid="{00000000-0005-0000-0000-00003E570000}"/>
    <cellStyle name="Normal 31 9 2 3" xfId="22332" xr:uid="{00000000-0005-0000-0000-00003F570000}"/>
    <cellStyle name="Normal 31 9 2 3 2" xfId="22333" xr:uid="{00000000-0005-0000-0000-000040570000}"/>
    <cellStyle name="Normal 31 9 2 3 3" xfId="22334" xr:uid="{00000000-0005-0000-0000-000041570000}"/>
    <cellStyle name="Normal 31 9 2 4" xfId="22335" xr:uid="{00000000-0005-0000-0000-000042570000}"/>
    <cellStyle name="Normal 31 9 2 5" xfId="22336" xr:uid="{00000000-0005-0000-0000-000043570000}"/>
    <cellStyle name="Normal 31 9 2 6" xfId="22337" xr:uid="{00000000-0005-0000-0000-000044570000}"/>
    <cellStyle name="Normal 31 9 3" xfId="22338" xr:uid="{00000000-0005-0000-0000-000045570000}"/>
    <cellStyle name="Normal 31 9 3 2" xfId="22339" xr:uid="{00000000-0005-0000-0000-000046570000}"/>
    <cellStyle name="Normal 31 9 3 3" xfId="22340" xr:uid="{00000000-0005-0000-0000-000047570000}"/>
    <cellStyle name="Normal 31 9 4" xfId="22341" xr:uid="{00000000-0005-0000-0000-000048570000}"/>
    <cellStyle name="Normal 31 9 4 2" xfId="22342" xr:uid="{00000000-0005-0000-0000-000049570000}"/>
    <cellStyle name="Normal 31 9 4 3" xfId="22343" xr:uid="{00000000-0005-0000-0000-00004A570000}"/>
    <cellStyle name="Normal 31 9 5" xfId="22344" xr:uid="{00000000-0005-0000-0000-00004B570000}"/>
    <cellStyle name="Normal 31 9 6" xfId="22345" xr:uid="{00000000-0005-0000-0000-00004C570000}"/>
    <cellStyle name="Normal 31 9 7" xfId="22346" xr:uid="{00000000-0005-0000-0000-00004D570000}"/>
    <cellStyle name="Normal 32" xfId="22347" xr:uid="{00000000-0005-0000-0000-00004E570000}"/>
    <cellStyle name="Normal 32 10" xfId="22348" xr:uid="{00000000-0005-0000-0000-00004F570000}"/>
    <cellStyle name="Normal 32 10 2" xfId="22349" xr:uid="{00000000-0005-0000-0000-000050570000}"/>
    <cellStyle name="Normal 32 10 2 2" xfId="22350" xr:uid="{00000000-0005-0000-0000-000051570000}"/>
    <cellStyle name="Normal 32 10 2 3" xfId="22351" xr:uid="{00000000-0005-0000-0000-000052570000}"/>
    <cellStyle name="Normal 32 10 3" xfId="22352" xr:uid="{00000000-0005-0000-0000-000053570000}"/>
    <cellStyle name="Normal 32 10 3 2" xfId="22353" xr:uid="{00000000-0005-0000-0000-000054570000}"/>
    <cellStyle name="Normal 32 10 3 3" xfId="22354" xr:uid="{00000000-0005-0000-0000-000055570000}"/>
    <cellStyle name="Normal 32 10 4" xfId="22355" xr:uid="{00000000-0005-0000-0000-000056570000}"/>
    <cellStyle name="Normal 32 10 5" xfId="22356" xr:uid="{00000000-0005-0000-0000-000057570000}"/>
    <cellStyle name="Normal 32 10 6" xfId="22357" xr:uid="{00000000-0005-0000-0000-000058570000}"/>
    <cellStyle name="Normal 32 11" xfId="22358" xr:uid="{00000000-0005-0000-0000-000059570000}"/>
    <cellStyle name="Normal 32 11 2" xfId="22359" xr:uid="{00000000-0005-0000-0000-00005A570000}"/>
    <cellStyle name="Normal 32 11 3" xfId="22360" xr:uid="{00000000-0005-0000-0000-00005B570000}"/>
    <cellStyle name="Normal 32 11 4" xfId="22361" xr:uid="{00000000-0005-0000-0000-00005C570000}"/>
    <cellStyle name="Normal 32 12" xfId="22362" xr:uid="{00000000-0005-0000-0000-00005D570000}"/>
    <cellStyle name="Normal 32 12 2" xfId="22363" xr:uid="{00000000-0005-0000-0000-00005E570000}"/>
    <cellStyle name="Normal 32 12 3" xfId="22364" xr:uid="{00000000-0005-0000-0000-00005F570000}"/>
    <cellStyle name="Normal 32 13" xfId="22365" xr:uid="{00000000-0005-0000-0000-000060570000}"/>
    <cellStyle name="Normal 32 14" xfId="22366" xr:uid="{00000000-0005-0000-0000-000061570000}"/>
    <cellStyle name="Normal 32 15" xfId="22367" xr:uid="{00000000-0005-0000-0000-000062570000}"/>
    <cellStyle name="Normal 32 2" xfId="22368" xr:uid="{00000000-0005-0000-0000-000063570000}"/>
    <cellStyle name="Normal 32 2 2" xfId="22369" xr:uid="{00000000-0005-0000-0000-000064570000}"/>
    <cellStyle name="Normal 32 2 2 2" xfId="22370" xr:uid="{00000000-0005-0000-0000-000065570000}"/>
    <cellStyle name="Normal 32 2 2 2 2" xfId="22371" xr:uid="{00000000-0005-0000-0000-000066570000}"/>
    <cellStyle name="Normal 32 2 2 2 3" xfId="22372" xr:uid="{00000000-0005-0000-0000-000067570000}"/>
    <cellStyle name="Normal 32 2 2 3" xfId="22373" xr:uid="{00000000-0005-0000-0000-000068570000}"/>
    <cellStyle name="Normal 32 2 2 3 2" xfId="22374" xr:uid="{00000000-0005-0000-0000-000069570000}"/>
    <cellStyle name="Normal 32 2 2 3 3" xfId="22375" xr:uid="{00000000-0005-0000-0000-00006A570000}"/>
    <cellStyle name="Normal 32 2 2 4" xfId="22376" xr:uid="{00000000-0005-0000-0000-00006B570000}"/>
    <cellStyle name="Normal 32 2 2 5" xfId="22377" xr:uid="{00000000-0005-0000-0000-00006C570000}"/>
    <cellStyle name="Normal 32 2 2 6" xfId="22378" xr:uid="{00000000-0005-0000-0000-00006D570000}"/>
    <cellStyle name="Normal 32 2 3" xfId="22379" xr:uid="{00000000-0005-0000-0000-00006E570000}"/>
    <cellStyle name="Normal 32 2 3 2" xfId="22380" xr:uid="{00000000-0005-0000-0000-00006F570000}"/>
    <cellStyle name="Normal 32 2 3 3" xfId="22381" xr:uid="{00000000-0005-0000-0000-000070570000}"/>
    <cellStyle name="Normal 32 2 4" xfId="22382" xr:uid="{00000000-0005-0000-0000-000071570000}"/>
    <cellStyle name="Normal 32 2 4 2" xfId="22383" xr:uid="{00000000-0005-0000-0000-000072570000}"/>
    <cellStyle name="Normal 32 2 4 3" xfId="22384" xr:uid="{00000000-0005-0000-0000-000073570000}"/>
    <cellStyle name="Normal 32 2 5" xfId="22385" xr:uid="{00000000-0005-0000-0000-000074570000}"/>
    <cellStyle name="Normal 32 2 6" xfId="22386" xr:uid="{00000000-0005-0000-0000-000075570000}"/>
    <cellStyle name="Normal 32 2 7" xfId="22387" xr:uid="{00000000-0005-0000-0000-000076570000}"/>
    <cellStyle name="Normal 32 3" xfId="22388" xr:uid="{00000000-0005-0000-0000-000077570000}"/>
    <cellStyle name="Normal 32 3 2" xfId="22389" xr:uid="{00000000-0005-0000-0000-000078570000}"/>
    <cellStyle name="Normal 32 3 2 2" xfId="22390" xr:uid="{00000000-0005-0000-0000-000079570000}"/>
    <cellStyle name="Normal 32 3 2 2 2" xfId="22391" xr:uid="{00000000-0005-0000-0000-00007A570000}"/>
    <cellStyle name="Normal 32 3 2 2 3" xfId="22392" xr:uid="{00000000-0005-0000-0000-00007B570000}"/>
    <cellStyle name="Normal 32 3 2 3" xfId="22393" xr:uid="{00000000-0005-0000-0000-00007C570000}"/>
    <cellStyle name="Normal 32 3 2 3 2" xfId="22394" xr:uid="{00000000-0005-0000-0000-00007D570000}"/>
    <cellStyle name="Normal 32 3 2 3 3" xfId="22395" xr:uid="{00000000-0005-0000-0000-00007E570000}"/>
    <cellStyle name="Normal 32 3 2 4" xfId="22396" xr:uid="{00000000-0005-0000-0000-00007F570000}"/>
    <cellStyle name="Normal 32 3 2 5" xfId="22397" xr:uid="{00000000-0005-0000-0000-000080570000}"/>
    <cellStyle name="Normal 32 3 2 6" xfId="22398" xr:uid="{00000000-0005-0000-0000-000081570000}"/>
    <cellStyle name="Normal 32 3 3" xfId="22399" xr:uid="{00000000-0005-0000-0000-000082570000}"/>
    <cellStyle name="Normal 32 3 3 2" xfId="22400" xr:uid="{00000000-0005-0000-0000-000083570000}"/>
    <cellStyle name="Normal 32 3 3 3" xfId="22401" xr:uid="{00000000-0005-0000-0000-000084570000}"/>
    <cellStyle name="Normal 32 3 4" xfId="22402" xr:uid="{00000000-0005-0000-0000-000085570000}"/>
    <cellStyle name="Normal 32 3 4 2" xfId="22403" xr:uid="{00000000-0005-0000-0000-000086570000}"/>
    <cellStyle name="Normal 32 3 4 3" xfId="22404" xr:uid="{00000000-0005-0000-0000-000087570000}"/>
    <cellStyle name="Normal 32 3 5" xfId="22405" xr:uid="{00000000-0005-0000-0000-000088570000}"/>
    <cellStyle name="Normal 32 3 6" xfId="22406" xr:uid="{00000000-0005-0000-0000-000089570000}"/>
    <cellStyle name="Normal 32 3 7" xfId="22407" xr:uid="{00000000-0005-0000-0000-00008A570000}"/>
    <cellStyle name="Normal 32 4" xfId="22408" xr:uid="{00000000-0005-0000-0000-00008B570000}"/>
    <cellStyle name="Normal 32 4 2" xfId="22409" xr:uid="{00000000-0005-0000-0000-00008C570000}"/>
    <cellStyle name="Normal 32 4 2 2" xfId="22410" xr:uid="{00000000-0005-0000-0000-00008D570000}"/>
    <cellStyle name="Normal 32 4 2 2 2" xfId="22411" xr:uid="{00000000-0005-0000-0000-00008E570000}"/>
    <cellStyle name="Normal 32 4 2 2 3" xfId="22412" xr:uid="{00000000-0005-0000-0000-00008F570000}"/>
    <cellStyle name="Normal 32 4 2 3" xfId="22413" xr:uid="{00000000-0005-0000-0000-000090570000}"/>
    <cellStyle name="Normal 32 4 2 3 2" xfId="22414" xr:uid="{00000000-0005-0000-0000-000091570000}"/>
    <cellStyle name="Normal 32 4 2 3 3" xfId="22415" xr:uid="{00000000-0005-0000-0000-000092570000}"/>
    <cellStyle name="Normal 32 4 2 4" xfId="22416" xr:uid="{00000000-0005-0000-0000-000093570000}"/>
    <cellStyle name="Normal 32 4 2 5" xfId="22417" xr:uid="{00000000-0005-0000-0000-000094570000}"/>
    <cellStyle name="Normal 32 4 2 6" xfId="22418" xr:uid="{00000000-0005-0000-0000-000095570000}"/>
    <cellStyle name="Normal 32 4 3" xfId="22419" xr:uid="{00000000-0005-0000-0000-000096570000}"/>
    <cellStyle name="Normal 32 4 3 2" xfId="22420" xr:uid="{00000000-0005-0000-0000-000097570000}"/>
    <cellStyle name="Normal 32 4 3 3" xfId="22421" xr:uid="{00000000-0005-0000-0000-000098570000}"/>
    <cellStyle name="Normal 32 4 4" xfId="22422" xr:uid="{00000000-0005-0000-0000-000099570000}"/>
    <cellStyle name="Normal 32 4 4 2" xfId="22423" xr:uid="{00000000-0005-0000-0000-00009A570000}"/>
    <cellStyle name="Normal 32 4 4 3" xfId="22424" xr:uid="{00000000-0005-0000-0000-00009B570000}"/>
    <cellStyle name="Normal 32 4 5" xfId="22425" xr:uid="{00000000-0005-0000-0000-00009C570000}"/>
    <cellStyle name="Normal 32 4 6" xfId="22426" xr:uid="{00000000-0005-0000-0000-00009D570000}"/>
    <cellStyle name="Normal 32 4 7" xfId="22427" xr:uid="{00000000-0005-0000-0000-00009E570000}"/>
    <cellStyle name="Normal 32 5" xfId="22428" xr:uid="{00000000-0005-0000-0000-00009F570000}"/>
    <cellStyle name="Normal 32 5 2" xfId="22429" xr:uid="{00000000-0005-0000-0000-0000A0570000}"/>
    <cellStyle name="Normal 32 5 2 2" xfId="22430" xr:uid="{00000000-0005-0000-0000-0000A1570000}"/>
    <cellStyle name="Normal 32 5 2 2 2" xfId="22431" xr:uid="{00000000-0005-0000-0000-0000A2570000}"/>
    <cellStyle name="Normal 32 5 2 2 3" xfId="22432" xr:uid="{00000000-0005-0000-0000-0000A3570000}"/>
    <cellStyle name="Normal 32 5 2 3" xfId="22433" xr:uid="{00000000-0005-0000-0000-0000A4570000}"/>
    <cellStyle name="Normal 32 5 2 3 2" xfId="22434" xr:uid="{00000000-0005-0000-0000-0000A5570000}"/>
    <cellStyle name="Normal 32 5 2 3 3" xfId="22435" xr:uid="{00000000-0005-0000-0000-0000A6570000}"/>
    <cellStyle name="Normal 32 5 2 4" xfId="22436" xr:uid="{00000000-0005-0000-0000-0000A7570000}"/>
    <cellStyle name="Normal 32 5 2 5" xfId="22437" xr:uid="{00000000-0005-0000-0000-0000A8570000}"/>
    <cellStyle name="Normal 32 5 2 6" xfId="22438" xr:uid="{00000000-0005-0000-0000-0000A9570000}"/>
    <cellStyle name="Normal 32 5 3" xfId="22439" xr:uid="{00000000-0005-0000-0000-0000AA570000}"/>
    <cellStyle name="Normal 32 5 3 2" xfId="22440" xr:uid="{00000000-0005-0000-0000-0000AB570000}"/>
    <cellStyle name="Normal 32 5 3 3" xfId="22441" xr:uid="{00000000-0005-0000-0000-0000AC570000}"/>
    <cellStyle name="Normal 32 5 4" xfId="22442" xr:uid="{00000000-0005-0000-0000-0000AD570000}"/>
    <cellStyle name="Normal 32 5 4 2" xfId="22443" xr:uid="{00000000-0005-0000-0000-0000AE570000}"/>
    <cellStyle name="Normal 32 5 4 3" xfId="22444" xr:uid="{00000000-0005-0000-0000-0000AF570000}"/>
    <cellStyle name="Normal 32 5 5" xfId="22445" xr:uid="{00000000-0005-0000-0000-0000B0570000}"/>
    <cellStyle name="Normal 32 5 6" xfId="22446" xr:uid="{00000000-0005-0000-0000-0000B1570000}"/>
    <cellStyle name="Normal 32 5 7" xfId="22447" xr:uid="{00000000-0005-0000-0000-0000B2570000}"/>
    <cellStyle name="Normal 32 6" xfId="22448" xr:uid="{00000000-0005-0000-0000-0000B3570000}"/>
    <cellStyle name="Normal 32 6 2" xfId="22449" xr:uid="{00000000-0005-0000-0000-0000B4570000}"/>
    <cellStyle name="Normal 32 6 2 2" xfId="22450" xr:uid="{00000000-0005-0000-0000-0000B5570000}"/>
    <cellStyle name="Normal 32 6 2 2 2" xfId="22451" xr:uid="{00000000-0005-0000-0000-0000B6570000}"/>
    <cellStyle name="Normal 32 6 2 2 3" xfId="22452" xr:uid="{00000000-0005-0000-0000-0000B7570000}"/>
    <cellStyle name="Normal 32 6 2 3" xfId="22453" xr:uid="{00000000-0005-0000-0000-0000B8570000}"/>
    <cellStyle name="Normal 32 6 2 3 2" xfId="22454" xr:uid="{00000000-0005-0000-0000-0000B9570000}"/>
    <cellStyle name="Normal 32 6 2 3 3" xfId="22455" xr:uid="{00000000-0005-0000-0000-0000BA570000}"/>
    <cellStyle name="Normal 32 6 2 4" xfId="22456" xr:uid="{00000000-0005-0000-0000-0000BB570000}"/>
    <cellStyle name="Normal 32 6 2 5" xfId="22457" xr:uid="{00000000-0005-0000-0000-0000BC570000}"/>
    <cellStyle name="Normal 32 6 2 6" xfId="22458" xr:uid="{00000000-0005-0000-0000-0000BD570000}"/>
    <cellStyle name="Normal 32 6 3" xfId="22459" xr:uid="{00000000-0005-0000-0000-0000BE570000}"/>
    <cellStyle name="Normal 32 6 3 2" xfId="22460" xr:uid="{00000000-0005-0000-0000-0000BF570000}"/>
    <cellStyle name="Normal 32 6 3 3" xfId="22461" xr:uid="{00000000-0005-0000-0000-0000C0570000}"/>
    <cellStyle name="Normal 32 6 4" xfId="22462" xr:uid="{00000000-0005-0000-0000-0000C1570000}"/>
    <cellStyle name="Normal 32 6 4 2" xfId="22463" xr:uid="{00000000-0005-0000-0000-0000C2570000}"/>
    <cellStyle name="Normal 32 6 4 3" xfId="22464" xr:uid="{00000000-0005-0000-0000-0000C3570000}"/>
    <cellStyle name="Normal 32 6 5" xfId="22465" xr:uid="{00000000-0005-0000-0000-0000C4570000}"/>
    <cellStyle name="Normal 32 6 6" xfId="22466" xr:uid="{00000000-0005-0000-0000-0000C5570000}"/>
    <cellStyle name="Normal 32 6 7" xfId="22467" xr:uid="{00000000-0005-0000-0000-0000C6570000}"/>
    <cellStyle name="Normal 32 7" xfId="22468" xr:uid="{00000000-0005-0000-0000-0000C7570000}"/>
    <cellStyle name="Normal 32 7 2" xfId="22469" xr:uid="{00000000-0005-0000-0000-0000C8570000}"/>
    <cellStyle name="Normal 32 7 2 2" xfId="22470" xr:uid="{00000000-0005-0000-0000-0000C9570000}"/>
    <cellStyle name="Normal 32 7 2 2 2" xfId="22471" xr:uid="{00000000-0005-0000-0000-0000CA570000}"/>
    <cellStyle name="Normal 32 7 2 2 3" xfId="22472" xr:uid="{00000000-0005-0000-0000-0000CB570000}"/>
    <cellStyle name="Normal 32 7 2 3" xfId="22473" xr:uid="{00000000-0005-0000-0000-0000CC570000}"/>
    <cellStyle name="Normal 32 7 2 3 2" xfId="22474" xr:uid="{00000000-0005-0000-0000-0000CD570000}"/>
    <cellStyle name="Normal 32 7 2 3 3" xfId="22475" xr:uid="{00000000-0005-0000-0000-0000CE570000}"/>
    <cellStyle name="Normal 32 7 2 4" xfId="22476" xr:uid="{00000000-0005-0000-0000-0000CF570000}"/>
    <cellStyle name="Normal 32 7 2 5" xfId="22477" xr:uid="{00000000-0005-0000-0000-0000D0570000}"/>
    <cellStyle name="Normal 32 7 2 6" xfId="22478" xr:uid="{00000000-0005-0000-0000-0000D1570000}"/>
    <cellStyle name="Normal 32 7 3" xfId="22479" xr:uid="{00000000-0005-0000-0000-0000D2570000}"/>
    <cellStyle name="Normal 32 7 3 2" xfId="22480" xr:uid="{00000000-0005-0000-0000-0000D3570000}"/>
    <cellStyle name="Normal 32 7 3 3" xfId="22481" xr:uid="{00000000-0005-0000-0000-0000D4570000}"/>
    <cellStyle name="Normal 32 7 4" xfId="22482" xr:uid="{00000000-0005-0000-0000-0000D5570000}"/>
    <cellStyle name="Normal 32 7 4 2" xfId="22483" xr:uid="{00000000-0005-0000-0000-0000D6570000}"/>
    <cellStyle name="Normal 32 7 4 3" xfId="22484" xr:uid="{00000000-0005-0000-0000-0000D7570000}"/>
    <cellStyle name="Normal 32 7 5" xfId="22485" xr:uid="{00000000-0005-0000-0000-0000D8570000}"/>
    <cellStyle name="Normal 32 7 6" xfId="22486" xr:uid="{00000000-0005-0000-0000-0000D9570000}"/>
    <cellStyle name="Normal 32 7 7" xfId="22487" xr:uid="{00000000-0005-0000-0000-0000DA570000}"/>
    <cellStyle name="Normal 32 8" xfId="22488" xr:uid="{00000000-0005-0000-0000-0000DB570000}"/>
    <cellStyle name="Normal 32 8 2" xfId="22489" xr:uid="{00000000-0005-0000-0000-0000DC570000}"/>
    <cellStyle name="Normal 32 8 2 2" xfId="22490" xr:uid="{00000000-0005-0000-0000-0000DD570000}"/>
    <cellStyle name="Normal 32 8 2 2 2" xfId="22491" xr:uid="{00000000-0005-0000-0000-0000DE570000}"/>
    <cellStyle name="Normal 32 8 2 2 3" xfId="22492" xr:uid="{00000000-0005-0000-0000-0000DF570000}"/>
    <cellStyle name="Normal 32 8 2 3" xfId="22493" xr:uid="{00000000-0005-0000-0000-0000E0570000}"/>
    <cellStyle name="Normal 32 8 2 3 2" xfId="22494" xr:uid="{00000000-0005-0000-0000-0000E1570000}"/>
    <cellStyle name="Normal 32 8 2 3 3" xfId="22495" xr:uid="{00000000-0005-0000-0000-0000E2570000}"/>
    <cellStyle name="Normal 32 8 2 4" xfId="22496" xr:uid="{00000000-0005-0000-0000-0000E3570000}"/>
    <cellStyle name="Normal 32 8 2 5" xfId="22497" xr:uid="{00000000-0005-0000-0000-0000E4570000}"/>
    <cellStyle name="Normal 32 8 2 6" xfId="22498" xr:uid="{00000000-0005-0000-0000-0000E5570000}"/>
    <cellStyle name="Normal 32 8 3" xfId="22499" xr:uid="{00000000-0005-0000-0000-0000E6570000}"/>
    <cellStyle name="Normal 32 8 3 2" xfId="22500" xr:uid="{00000000-0005-0000-0000-0000E7570000}"/>
    <cellStyle name="Normal 32 8 3 3" xfId="22501" xr:uid="{00000000-0005-0000-0000-0000E8570000}"/>
    <cellStyle name="Normal 32 8 4" xfId="22502" xr:uid="{00000000-0005-0000-0000-0000E9570000}"/>
    <cellStyle name="Normal 32 8 4 2" xfId="22503" xr:uid="{00000000-0005-0000-0000-0000EA570000}"/>
    <cellStyle name="Normal 32 8 4 3" xfId="22504" xr:uid="{00000000-0005-0000-0000-0000EB570000}"/>
    <cellStyle name="Normal 32 8 5" xfId="22505" xr:uid="{00000000-0005-0000-0000-0000EC570000}"/>
    <cellStyle name="Normal 32 8 6" xfId="22506" xr:uid="{00000000-0005-0000-0000-0000ED570000}"/>
    <cellStyle name="Normal 32 8 7" xfId="22507" xr:uid="{00000000-0005-0000-0000-0000EE570000}"/>
    <cellStyle name="Normal 32 9" xfId="22508" xr:uid="{00000000-0005-0000-0000-0000EF570000}"/>
    <cellStyle name="Normal 32 9 2" xfId="22509" xr:uid="{00000000-0005-0000-0000-0000F0570000}"/>
    <cellStyle name="Normal 32 9 2 2" xfId="22510" xr:uid="{00000000-0005-0000-0000-0000F1570000}"/>
    <cellStyle name="Normal 32 9 2 2 2" xfId="22511" xr:uid="{00000000-0005-0000-0000-0000F2570000}"/>
    <cellStyle name="Normal 32 9 2 2 3" xfId="22512" xr:uid="{00000000-0005-0000-0000-0000F3570000}"/>
    <cellStyle name="Normal 32 9 2 3" xfId="22513" xr:uid="{00000000-0005-0000-0000-0000F4570000}"/>
    <cellStyle name="Normal 32 9 2 3 2" xfId="22514" xr:uid="{00000000-0005-0000-0000-0000F5570000}"/>
    <cellStyle name="Normal 32 9 2 3 3" xfId="22515" xr:uid="{00000000-0005-0000-0000-0000F6570000}"/>
    <cellStyle name="Normal 32 9 2 4" xfId="22516" xr:uid="{00000000-0005-0000-0000-0000F7570000}"/>
    <cellStyle name="Normal 32 9 2 5" xfId="22517" xr:uid="{00000000-0005-0000-0000-0000F8570000}"/>
    <cellStyle name="Normal 32 9 2 6" xfId="22518" xr:uid="{00000000-0005-0000-0000-0000F9570000}"/>
    <cellStyle name="Normal 32 9 3" xfId="22519" xr:uid="{00000000-0005-0000-0000-0000FA570000}"/>
    <cellStyle name="Normal 32 9 3 2" xfId="22520" xr:uid="{00000000-0005-0000-0000-0000FB570000}"/>
    <cellStyle name="Normal 32 9 3 3" xfId="22521" xr:uid="{00000000-0005-0000-0000-0000FC570000}"/>
    <cellStyle name="Normal 32 9 4" xfId="22522" xr:uid="{00000000-0005-0000-0000-0000FD570000}"/>
    <cellStyle name="Normal 32 9 4 2" xfId="22523" xr:uid="{00000000-0005-0000-0000-0000FE570000}"/>
    <cellStyle name="Normal 32 9 4 3" xfId="22524" xr:uid="{00000000-0005-0000-0000-0000FF570000}"/>
    <cellStyle name="Normal 32 9 5" xfId="22525" xr:uid="{00000000-0005-0000-0000-000000580000}"/>
    <cellStyle name="Normal 32 9 6" xfId="22526" xr:uid="{00000000-0005-0000-0000-000001580000}"/>
    <cellStyle name="Normal 32 9 7" xfId="22527" xr:uid="{00000000-0005-0000-0000-000002580000}"/>
    <cellStyle name="Normal 33" xfId="22528" xr:uid="{00000000-0005-0000-0000-000003580000}"/>
    <cellStyle name="Normal 33 10" xfId="22529" xr:uid="{00000000-0005-0000-0000-000004580000}"/>
    <cellStyle name="Normal 33 10 2" xfId="22530" xr:uid="{00000000-0005-0000-0000-000005580000}"/>
    <cellStyle name="Normal 33 10 2 2" xfId="22531" xr:uid="{00000000-0005-0000-0000-000006580000}"/>
    <cellStyle name="Normal 33 10 2 3" xfId="22532" xr:uid="{00000000-0005-0000-0000-000007580000}"/>
    <cellStyle name="Normal 33 10 3" xfId="22533" xr:uid="{00000000-0005-0000-0000-000008580000}"/>
    <cellStyle name="Normal 33 10 3 2" xfId="22534" xr:uid="{00000000-0005-0000-0000-000009580000}"/>
    <cellStyle name="Normal 33 10 3 3" xfId="22535" xr:uid="{00000000-0005-0000-0000-00000A580000}"/>
    <cellStyle name="Normal 33 10 4" xfId="22536" xr:uid="{00000000-0005-0000-0000-00000B580000}"/>
    <cellStyle name="Normal 33 10 5" xfId="22537" xr:uid="{00000000-0005-0000-0000-00000C580000}"/>
    <cellStyle name="Normal 33 10 6" xfId="22538" xr:uid="{00000000-0005-0000-0000-00000D580000}"/>
    <cellStyle name="Normal 33 11" xfId="22539" xr:uid="{00000000-0005-0000-0000-00000E580000}"/>
    <cellStyle name="Normal 33 11 2" xfId="22540" xr:uid="{00000000-0005-0000-0000-00000F580000}"/>
    <cellStyle name="Normal 33 11 3" xfId="22541" xr:uid="{00000000-0005-0000-0000-000010580000}"/>
    <cellStyle name="Normal 33 11 4" xfId="22542" xr:uid="{00000000-0005-0000-0000-000011580000}"/>
    <cellStyle name="Normal 33 12" xfId="22543" xr:uid="{00000000-0005-0000-0000-000012580000}"/>
    <cellStyle name="Normal 33 12 2" xfId="22544" xr:uid="{00000000-0005-0000-0000-000013580000}"/>
    <cellStyle name="Normal 33 12 3" xfId="22545" xr:uid="{00000000-0005-0000-0000-000014580000}"/>
    <cellStyle name="Normal 33 13" xfId="22546" xr:uid="{00000000-0005-0000-0000-000015580000}"/>
    <cellStyle name="Normal 33 14" xfId="22547" xr:uid="{00000000-0005-0000-0000-000016580000}"/>
    <cellStyle name="Normal 33 15" xfId="22548" xr:uid="{00000000-0005-0000-0000-000017580000}"/>
    <cellStyle name="Normal 33 2" xfId="22549" xr:uid="{00000000-0005-0000-0000-000018580000}"/>
    <cellStyle name="Normal 33 2 2" xfId="22550" xr:uid="{00000000-0005-0000-0000-000019580000}"/>
    <cellStyle name="Normal 33 2 2 2" xfId="22551" xr:uid="{00000000-0005-0000-0000-00001A580000}"/>
    <cellStyle name="Normal 33 2 2 2 2" xfId="22552" xr:uid="{00000000-0005-0000-0000-00001B580000}"/>
    <cellStyle name="Normal 33 2 2 2 3" xfId="22553" xr:uid="{00000000-0005-0000-0000-00001C580000}"/>
    <cellStyle name="Normal 33 2 2 3" xfId="22554" xr:uid="{00000000-0005-0000-0000-00001D580000}"/>
    <cellStyle name="Normal 33 2 2 3 2" xfId="22555" xr:uid="{00000000-0005-0000-0000-00001E580000}"/>
    <cellStyle name="Normal 33 2 2 3 3" xfId="22556" xr:uid="{00000000-0005-0000-0000-00001F580000}"/>
    <cellStyle name="Normal 33 2 2 4" xfId="22557" xr:uid="{00000000-0005-0000-0000-000020580000}"/>
    <cellStyle name="Normal 33 2 2 5" xfId="22558" xr:uid="{00000000-0005-0000-0000-000021580000}"/>
    <cellStyle name="Normal 33 2 2 6" xfId="22559" xr:uid="{00000000-0005-0000-0000-000022580000}"/>
    <cellStyle name="Normal 33 2 3" xfId="22560" xr:uid="{00000000-0005-0000-0000-000023580000}"/>
    <cellStyle name="Normal 33 2 3 2" xfId="22561" xr:uid="{00000000-0005-0000-0000-000024580000}"/>
    <cellStyle name="Normal 33 2 3 3" xfId="22562" xr:uid="{00000000-0005-0000-0000-000025580000}"/>
    <cellStyle name="Normal 33 2 4" xfId="22563" xr:uid="{00000000-0005-0000-0000-000026580000}"/>
    <cellStyle name="Normal 33 2 4 2" xfId="22564" xr:uid="{00000000-0005-0000-0000-000027580000}"/>
    <cellStyle name="Normal 33 2 4 3" xfId="22565" xr:uid="{00000000-0005-0000-0000-000028580000}"/>
    <cellStyle name="Normal 33 2 5" xfId="22566" xr:uid="{00000000-0005-0000-0000-000029580000}"/>
    <cellStyle name="Normal 33 2 6" xfId="22567" xr:uid="{00000000-0005-0000-0000-00002A580000}"/>
    <cellStyle name="Normal 33 2 7" xfId="22568" xr:uid="{00000000-0005-0000-0000-00002B580000}"/>
    <cellStyle name="Normal 33 3" xfId="22569" xr:uid="{00000000-0005-0000-0000-00002C580000}"/>
    <cellStyle name="Normal 33 3 2" xfId="22570" xr:uid="{00000000-0005-0000-0000-00002D580000}"/>
    <cellStyle name="Normal 33 3 2 2" xfId="22571" xr:uid="{00000000-0005-0000-0000-00002E580000}"/>
    <cellStyle name="Normal 33 3 2 2 2" xfId="22572" xr:uid="{00000000-0005-0000-0000-00002F580000}"/>
    <cellStyle name="Normal 33 3 2 2 3" xfId="22573" xr:uid="{00000000-0005-0000-0000-000030580000}"/>
    <cellStyle name="Normal 33 3 2 3" xfId="22574" xr:uid="{00000000-0005-0000-0000-000031580000}"/>
    <cellStyle name="Normal 33 3 2 3 2" xfId="22575" xr:uid="{00000000-0005-0000-0000-000032580000}"/>
    <cellStyle name="Normal 33 3 2 3 3" xfId="22576" xr:uid="{00000000-0005-0000-0000-000033580000}"/>
    <cellStyle name="Normal 33 3 2 4" xfId="22577" xr:uid="{00000000-0005-0000-0000-000034580000}"/>
    <cellStyle name="Normal 33 3 2 5" xfId="22578" xr:uid="{00000000-0005-0000-0000-000035580000}"/>
    <cellStyle name="Normal 33 3 2 6" xfId="22579" xr:uid="{00000000-0005-0000-0000-000036580000}"/>
    <cellStyle name="Normal 33 3 3" xfId="22580" xr:uid="{00000000-0005-0000-0000-000037580000}"/>
    <cellStyle name="Normal 33 3 3 2" xfId="22581" xr:uid="{00000000-0005-0000-0000-000038580000}"/>
    <cellStyle name="Normal 33 3 3 3" xfId="22582" xr:uid="{00000000-0005-0000-0000-000039580000}"/>
    <cellStyle name="Normal 33 3 4" xfId="22583" xr:uid="{00000000-0005-0000-0000-00003A580000}"/>
    <cellStyle name="Normal 33 3 4 2" xfId="22584" xr:uid="{00000000-0005-0000-0000-00003B580000}"/>
    <cellStyle name="Normal 33 3 4 3" xfId="22585" xr:uid="{00000000-0005-0000-0000-00003C580000}"/>
    <cellStyle name="Normal 33 3 5" xfId="22586" xr:uid="{00000000-0005-0000-0000-00003D580000}"/>
    <cellStyle name="Normal 33 3 6" xfId="22587" xr:uid="{00000000-0005-0000-0000-00003E580000}"/>
    <cellStyle name="Normal 33 3 7" xfId="22588" xr:uid="{00000000-0005-0000-0000-00003F580000}"/>
    <cellStyle name="Normal 33 4" xfId="22589" xr:uid="{00000000-0005-0000-0000-000040580000}"/>
    <cellStyle name="Normal 33 4 2" xfId="22590" xr:uid="{00000000-0005-0000-0000-000041580000}"/>
    <cellStyle name="Normal 33 4 2 2" xfId="22591" xr:uid="{00000000-0005-0000-0000-000042580000}"/>
    <cellStyle name="Normal 33 4 2 2 2" xfId="22592" xr:uid="{00000000-0005-0000-0000-000043580000}"/>
    <cellStyle name="Normal 33 4 2 2 3" xfId="22593" xr:uid="{00000000-0005-0000-0000-000044580000}"/>
    <cellStyle name="Normal 33 4 2 3" xfId="22594" xr:uid="{00000000-0005-0000-0000-000045580000}"/>
    <cellStyle name="Normal 33 4 2 3 2" xfId="22595" xr:uid="{00000000-0005-0000-0000-000046580000}"/>
    <cellStyle name="Normal 33 4 2 3 3" xfId="22596" xr:uid="{00000000-0005-0000-0000-000047580000}"/>
    <cellStyle name="Normal 33 4 2 4" xfId="22597" xr:uid="{00000000-0005-0000-0000-000048580000}"/>
    <cellStyle name="Normal 33 4 2 5" xfId="22598" xr:uid="{00000000-0005-0000-0000-000049580000}"/>
    <cellStyle name="Normal 33 4 2 6" xfId="22599" xr:uid="{00000000-0005-0000-0000-00004A580000}"/>
    <cellStyle name="Normal 33 4 3" xfId="22600" xr:uid="{00000000-0005-0000-0000-00004B580000}"/>
    <cellStyle name="Normal 33 4 3 2" xfId="22601" xr:uid="{00000000-0005-0000-0000-00004C580000}"/>
    <cellStyle name="Normal 33 4 3 3" xfId="22602" xr:uid="{00000000-0005-0000-0000-00004D580000}"/>
    <cellStyle name="Normal 33 4 4" xfId="22603" xr:uid="{00000000-0005-0000-0000-00004E580000}"/>
    <cellStyle name="Normal 33 4 4 2" xfId="22604" xr:uid="{00000000-0005-0000-0000-00004F580000}"/>
    <cellStyle name="Normal 33 4 4 3" xfId="22605" xr:uid="{00000000-0005-0000-0000-000050580000}"/>
    <cellStyle name="Normal 33 4 5" xfId="22606" xr:uid="{00000000-0005-0000-0000-000051580000}"/>
    <cellStyle name="Normal 33 4 6" xfId="22607" xr:uid="{00000000-0005-0000-0000-000052580000}"/>
    <cellStyle name="Normal 33 4 7" xfId="22608" xr:uid="{00000000-0005-0000-0000-000053580000}"/>
    <cellStyle name="Normal 33 5" xfId="22609" xr:uid="{00000000-0005-0000-0000-000054580000}"/>
    <cellStyle name="Normal 33 5 2" xfId="22610" xr:uid="{00000000-0005-0000-0000-000055580000}"/>
    <cellStyle name="Normal 33 5 2 2" xfId="22611" xr:uid="{00000000-0005-0000-0000-000056580000}"/>
    <cellStyle name="Normal 33 5 2 2 2" xfId="22612" xr:uid="{00000000-0005-0000-0000-000057580000}"/>
    <cellStyle name="Normal 33 5 2 2 3" xfId="22613" xr:uid="{00000000-0005-0000-0000-000058580000}"/>
    <cellStyle name="Normal 33 5 2 3" xfId="22614" xr:uid="{00000000-0005-0000-0000-000059580000}"/>
    <cellStyle name="Normal 33 5 2 3 2" xfId="22615" xr:uid="{00000000-0005-0000-0000-00005A580000}"/>
    <cellStyle name="Normal 33 5 2 3 3" xfId="22616" xr:uid="{00000000-0005-0000-0000-00005B580000}"/>
    <cellStyle name="Normal 33 5 2 4" xfId="22617" xr:uid="{00000000-0005-0000-0000-00005C580000}"/>
    <cellStyle name="Normal 33 5 2 5" xfId="22618" xr:uid="{00000000-0005-0000-0000-00005D580000}"/>
    <cellStyle name="Normal 33 5 2 6" xfId="22619" xr:uid="{00000000-0005-0000-0000-00005E580000}"/>
    <cellStyle name="Normal 33 5 3" xfId="22620" xr:uid="{00000000-0005-0000-0000-00005F580000}"/>
    <cellStyle name="Normal 33 5 3 2" xfId="22621" xr:uid="{00000000-0005-0000-0000-000060580000}"/>
    <cellStyle name="Normal 33 5 3 3" xfId="22622" xr:uid="{00000000-0005-0000-0000-000061580000}"/>
    <cellStyle name="Normal 33 5 4" xfId="22623" xr:uid="{00000000-0005-0000-0000-000062580000}"/>
    <cellStyle name="Normal 33 5 4 2" xfId="22624" xr:uid="{00000000-0005-0000-0000-000063580000}"/>
    <cellStyle name="Normal 33 5 4 3" xfId="22625" xr:uid="{00000000-0005-0000-0000-000064580000}"/>
    <cellStyle name="Normal 33 5 5" xfId="22626" xr:uid="{00000000-0005-0000-0000-000065580000}"/>
    <cellStyle name="Normal 33 5 6" xfId="22627" xr:uid="{00000000-0005-0000-0000-000066580000}"/>
    <cellStyle name="Normal 33 5 7" xfId="22628" xr:uid="{00000000-0005-0000-0000-000067580000}"/>
    <cellStyle name="Normal 33 6" xfId="22629" xr:uid="{00000000-0005-0000-0000-000068580000}"/>
    <cellStyle name="Normal 33 6 2" xfId="22630" xr:uid="{00000000-0005-0000-0000-000069580000}"/>
    <cellStyle name="Normal 33 6 2 2" xfId="22631" xr:uid="{00000000-0005-0000-0000-00006A580000}"/>
    <cellStyle name="Normal 33 6 2 2 2" xfId="22632" xr:uid="{00000000-0005-0000-0000-00006B580000}"/>
    <cellStyle name="Normal 33 6 2 2 3" xfId="22633" xr:uid="{00000000-0005-0000-0000-00006C580000}"/>
    <cellStyle name="Normal 33 6 2 3" xfId="22634" xr:uid="{00000000-0005-0000-0000-00006D580000}"/>
    <cellStyle name="Normal 33 6 2 3 2" xfId="22635" xr:uid="{00000000-0005-0000-0000-00006E580000}"/>
    <cellStyle name="Normal 33 6 2 3 3" xfId="22636" xr:uid="{00000000-0005-0000-0000-00006F580000}"/>
    <cellStyle name="Normal 33 6 2 4" xfId="22637" xr:uid="{00000000-0005-0000-0000-000070580000}"/>
    <cellStyle name="Normal 33 6 2 5" xfId="22638" xr:uid="{00000000-0005-0000-0000-000071580000}"/>
    <cellStyle name="Normal 33 6 2 6" xfId="22639" xr:uid="{00000000-0005-0000-0000-000072580000}"/>
    <cellStyle name="Normal 33 6 3" xfId="22640" xr:uid="{00000000-0005-0000-0000-000073580000}"/>
    <cellStyle name="Normal 33 6 3 2" xfId="22641" xr:uid="{00000000-0005-0000-0000-000074580000}"/>
    <cellStyle name="Normal 33 6 3 3" xfId="22642" xr:uid="{00000000-0005-0000-0000-000075580000}"/>
    <cellStyle name="Normal 33 6 4" xfId="22643" xr:uid="{00000000-0005-0000-0000-000076580000}"/>
    <cellStyle name="Normal 33 6 4 2" xfId="22644" xr:uid="{00000000-0005-0000-0000-000077580000}"/>
    <cellStyle name="Normal 33 6 4 3" xfId="22645" xr:uid="{00000000-0005-0000-0000-000078580000}"/>
    <cellStyle name="Normal 33 6 5" xfId="22646" xr:uid="{00000000-0005-0000-0000-000079580000}"/>
    <cellStyle name="Normal 33 6 6" xfId="22647" xr:uid="{00000000-0005-0000-0000-00007A580000}"/>
    <cellStyle name="Normal 33 6 7" xfId="22648" xr:uid="{00000000-0005-0000-0000-00007B580000}"/>
    <cellStyle name="Normal 33 7" xfId="22649" xr:uid="{00000000-0005-0000-0000-00007C580000}"/>
    <cellStyle name="Normal 33 7 2" xfId="22650" xr:uid="{00000000-0005-0000-0000-00007D580000}"/>
    <cellStyle name="Normal 33 7 2 2" xfId="22651" xr:uid="{00000000-0005-0000-0000-00007E580000}"/>
    <cellStyle name="Normal 33 7 2 2 2" xfId="22652" xr:uid="{00000000-0005-0000-0000-00007F580000}"/>
    <cellStyle name="Normal 33 7 2 2 3" xfId="22653" xr:uid="{00000000-0005-0000-0000-000080580000}"/>
    <cellStyle name="Normal 33 7 2 3" xfId="22654" xr:uid="{00000000-0005-0000-0000-000081580000}"/>
    <cellStyle name="Normal 33 7 2 3 2" xfId="22655" xr:uid="{00000000-0005-0000-0000-000082580000}"/>
    <cellStyle name="Normal 33 7 2 3 3" xfId="22656" xr:uid="{00000000-0005-0000-0000-000083580000}"/>
    <cellStyle name="Normal 33 7 2 4" xfId="22657" xr:uid="{00000000-0005-0000-0000-000084580000}"/>
    <cellStyle name="Normal 33 7 2 5" xfId="22658" xr:uid="{00000000-0005-0000-0000-000085580000}"/>
    <cellStyle name="Normal 33 7 2 6" xfId="22659" xr:uid="{00000000-0005-0000-0000-000086580000}"/>
    <cellStyle name="Normal 33 7 3" xfId="22660" xr:uid="{00000000-0005-0000-0000-000087580000}"/>
    <cellStyle name="Normal 33 7 3 2" xfId="22661" xr:uid="{00000000-0005-0000-0000-000088580000}"/>
    <cellStyle name="Normal 33 7 3 3" xfId="22662" xr:uid="{00000000-0005-0000-0000-000089580000}"/>
    <cellStyle name="Normal 33 7 4" xfId="22663" xr:uid="{00000000-0005-0000-0000-00008A580000}"/>
    <cellStyle name="Normal 33 7 4 2" xfId="22664" xr:uid="{00000000-0005-0000-0000-00008B580000}"/>
    <cellStyle name="Normal 33 7 4 3" xfId="22665" xr:uid="{00000000-0005-0000-0000-00008C580000}"/>
    <cellStyle name="Normal 33 7 5" xfId="22666" xr:uid="{00000000-0005-0000-0000-00008D580000}"/>
    <cellStyle name="Normal 33 7 6" xfId="22667" xr:uid="{00000000-0005-0000-0000-00008E580000}"/>
    <cellStyle name="Normal 33 7 7" xfId="22668" xr:uid="{00000000-0005-0000-0000-00008F580000}"/>
    <cellStyle name="Normal 33 8" xfId="22669" xr:uid="{00000000-0005-0000-0000-000090580000}"/>
    <cellStyle name="Normal 33 8 2" xfId="22670" xr:uid="{00000000-0005-0000-0000-000091580000}"/>
    <cellStyle name="Normal 33 8 2 2" xfId="22671" xr:uid="{00000000-0005-0000-0000-000092580000}"/>
    <cellStyle name="Normal 33 8 2 2 2" xfId="22672" xr:uid="{00000000-0005-0000-0000-000093580000}"/>
    <cellStyle name="Normal 33 8 2 2 3" xfId="22673" xr:uid="{00000000-0005-0000-0000-000094580000}"/>
    <cellStyle name="Normal 33 8 2 3" xfId="22674" xr:uid="{00000000-0005-0000-0000-000095580000}"/>
    <cellStyle name="Normal 33 8 2 3 2" xfId="22675" xr:uid="{00000000-0005-0000-0000-000096580000}"/>
    <cellStyle name="Normal 33 8 2 3 3" xfId="22676" xr:uid="{00000000-0005-0000-0000-000097580000}"/>
    <cellStyle name="Normal 33 8 2 4" xfId="22677" xr:uid="{00000000-0005-0000-0000-000098580000}"/>
    <cellStyle name="Normal 33 8 2 5" xfId="22678" xr:uid="{00000000-0005-0000-0000-000099580000}"/>
    <cellStyle name="Normal 33 8 2 6" xfId="22679" xr:uid="{00000000-0005-0000-0000-00009A580000}"/>
    <cellStyle name="Normal 33 8 3" xfId="22680" xr:uid="{00000000-0005-0000-0000-00009B580000}"/>
    <cellStyle name="Normal 33 8 3 2" xfId="22681" xr:uid="{00000000-0005-0000-0000-00009C580000}"/>
    <cellStyle name="Normal 33 8 3 3" xfId="22682" xr:uid="{00000000-0005-0000-0000-00009D580000}"/>
    <cellStyle name="Normal 33 8 4" xfId="22683" xr:uid="{00000000-0005-0000-0000-00009E580000}"/>
    <cellStyle name="Normal 33 8 4 2" xfId="22684" xr:uid="{00000000-0005-0000-0000-00009F580000}"/>
    <cellStyle name="Normal 33 8 4 3" xfId="22685" xr:uid="{00000000-0005-0000-0000-0000A0580000}"/>
    <cellStyle name="Normal 33 8 5" xfId="22686" xr:uid="{00000000-0005-0000-0000-0000A1580000}"/>
    <cellStyle name="Normal 33 8 6" xfId="22687" xr:uid="{00000000-0005-0000-0000-0000A2580000}"/>
    <cellStyle name="Normal 33 8 7" xfId="22688" xr:uid="{00000000-0005-0000-0000-0000A3580000}"/>
    <cellStyle name="Normal 33 9" xfId="22689" xr:uid="{00000000-0005-0000-0000-0000A4580000}"/>
    <cellStyle name="Normal 33 9 2" xfId="22690" xr:uid="{00000000-0005-0000-0000-0000A5580000}"/>
    <cellStyle name="Normal 33 9 2 2" xfId="22691" xr:uid="{00000000-0005-0000-0000-0000A6580000}"/>
    <cellStyle name="Normal 33 9 2 2 2" xfId="22692" xr:uid="{00000000-0005-0000-0000-0000A7580000}"/>
    <cellStyle name="Normal 33 9 2 2 3" xfId="22693" xr:uid="{00000000-0005-0000-0000-0000A8580000}"/>
    <cellStyle name="Normal 33 9 2 3" xfId="22694" xr:uid="{00000000-0005-0000-0000-0000A9580000}"/>
    <cellStyle name="Normal 33 9 2 3 2" xfId="22695" xr:uid="{00000000-0005-0000-0000-0000AA580000}"/>
    <cellStyle name="Normal 33 9 2 3 3" xfId="22696" xr:uid="{00000000-0005-0000-0000-0000AB580000}"/>
    <cellStyle name="Normal 33 9 2 4" xfId="22697" xr:uid="{00000000-0005-0000-0000-0000AC580000}"/>
    <cellStyle name="Normal 33 9 2 5" xfId="22698" xr:uid="{00000000-0005-0000-0000-0000AD580000}"/>
    <cellStyle name="Normal 33 9 2 6" xfId="22699" xr:uid="{00000000-0005-0000-0000-0000AE580000}"/>
    <cellStyle name="Normal 33 9 3" xfId="22700" xr:uid="{00000000-0005-0000-0000-0000AF580000}"/>
    <cellStyle name="Normal 33 9 3 2" xfId="22701" xr:uid="{00000000-0005-0000-0000-0000B0580000}"/>
    <cellStyle name="Normal 33 9 3 3" xfId="22702" xr:uid="{00000000-0005-0000-0000-0000B1580000}"/>
    <cellStyle name="Normal 33 9 4" xfId="22703" xr:uid="{00000000-0005-0000-0000-0000B2580000}"/>
    <cellStyle name="Normal 33 9 4 2" xfId="22704" xr:uid="{00000000-0005-0000-0000-0000B3580000}"/>
    <cellStyle name="Normal 33 9 4 3" xfId="22705" xr:uid="{00000000-0005-0000-0000-0000B4580000}"/>
    <cellStyle name="Normal 33 9 5" xfId="22706" xr:uid="{00000000-0005-0000-0000-0000B5580000}"/>
    <cellStyle name="Normal 33 9 6" xfId="22707" xr:uid="{00000000-0005-0000-0000-0000B6580000}"/>
    <cellStyle name="Normal 33 9 7" xfId="22708" xr:uid="{00000000-0005-0000-0000-0000B7580000}"/>
    <cellStyle name="Normal 34" xfId="22709" xr:uid="{00000000-0005-0000-0000-0000B8580000}"/>
    <cellStyle name="Normal 34 10" xfId="22710" xr:uid="{00000000-0005-0000-0000-0000B9580000}"/>
    <cellStyle name="Normal 34 10 2" xfId="22711" xr:uid="{00000000-0005-0000-0000-0000BA580000}"/>
    <cellStyle name="Normal 34 10 2 2" xfId="22712" xr:uid="{00000000-0005-0000-0000-0000BB580000}"/>
    <cellStyle name="Normal 34 10 2 3" xfId="22713" xr:uid="{00000000-0005-0000-0000-0000BC580000}"/>
    <cellStyle name="Normal 34 10 3" xfId="22714" xr:uid="{00000000-0005-0000-0000-0000BD580000}"/>
    <cellStyle name="Normal 34 10 3 2" xfId="22715" xr:uid="{00000000-0005-0000-0000-0000BE580000}"/>
    <cellStyle name="Normal 34 10 3 3" xfId="22716" xr:uid="{00000000-0005-0000-0000-0000BF580000}"/>
    <cellStyle name="Normal 34 10 4" xfId="22717" xr:uid="{00000000-0005-0000-0000-0000C0580000}"/>
    <cellStyle name="Normal 34 10 5" xfId="22718" xr:uid="{00000000-0005-0000-0000-0000C1580000}"/>
    <cellStyle name="Normal 34 10 6" xfId="22719" xr:uid="{00000000-0005-0000-0000-0000C2580000}"/>
    <cellStyle name="Normal 34 11" xfId="22720" xr:uid="{00000000-0005-0000-0000-0000C3580000}"/>
    <cellStyle name="Normal 34 11 2" xfId="22721" xr:uid="{00000000-0005-0000-0000-0000C4580000}"/>
    <cellStyle name="Normal 34 11 3" xfId="22722" xr:uid="{00000000-0005-0000-0000-0000C5580000}"/>
    <cellStyle name="Normal 34 11 4" xfId="22723" xr:uid="{00000000-0005-0000-0000-0000C6580000}"/>
    <cellStyle name="Normal 34 12" xfId="22724" xr:uid="{00000000-0005-0000-0000-0000C7580000}"/>
    <cellStyle name="Normal 34 12 2" xfId="22725" xr:uid="{00000000-0005-0000-0000-0000C8580000}"/>
    <cellStyle name="Normal 34 12 3" xfId="22726" xr:uid="{00000000-0005-0000-0000-0000C9580000}"/>
    <cellStyle name="Normal 34 13" xfId="22727" xr:uid="{00000000-0005-0000-0000-0000CA580000}"/>
    <cellStyle name="Normal 34 14" xfId="22728" xr:uid="{00000000-0005-0000-0000-0000CB580000}"/>
    <cellStyle name="Normal 34 15" xfId="22729" xr:uid="{00000000-0005-0000-0000-0000CC580000}"/>
    <cellStyle name="Normal 34 2" xfId="22730" xr:uid="{00000000-0005-0000-0000-0000CD580000}"/>
    <cellStyle name="Normal 34 2 2" xfId="22731" xr:uid="{00000000-0005-0000-0000-0000CE580000}"/>
    <cellStyle name="Normal 34 2 2 2" xfId="22732" xr:uid="{00000000-0005-0000-0000-0000CF580000}"/>
    <cellStyle name="Normal 34 2 2 2 2" xfId="22733" xr:uid="{00000000-0005-0000-0000-0000D0580000}"/>
    <cellStyle name="Normal 34 2 2 2 3" xfId="22734" xr:uid="{00000000-0005-0000-0000-0000D1580000}"/>
    <cellStyle name="Normal 34 2 2 3" xfId="22735" xr:uid="{00000000-0005-0000-0000-0000D2580000}"/>
    <cellStyle name="Normal 34 2 2 3 2" xfId="22736" xr:uid="{00000000-0005-0000-0000-0000D3580000}"/>
    <cellStyle name="Normal 34 2 2 3 3" xfId="22737" xr:uid="{00000000-0005-0000-0000-0000D4580000}"/>
    <cellStyle name="Normal 34 2 2 4" xfId="22738" xr:uid="{00000000-0005-0000-0000-0000D5580000}"/>
    <cellStyle name="Normal 34 2 2 5" xfId="22739" xr:uid="{00000000-0005-0000-0000-0000D6580000}"/>
    <cellStyle name="Normal 34 2 2 6" xfId="22740" xr:uid="{00000000-0005-0000-0000-0000D7580000}"/>
    <cellStyle name="Normal 34 2 3" xfId="22741" xr:uid="{00000000-0005-0000-0000-0000D8580000}"/>
    <cellStyle name="Normal 34 2 3 2" xfId="22742" xr:uid="{00000000-0005-0000-0000-0000D9580000}"/>
    <cellStyle name="Normal 34 2 3 3" xfId="22743" xr:uid="{00000000-0005-0000-0000-0000DA580000}"/>
    <cellStyle name="Normal 34 2 4" xfId="22744" xr:uid="{00000000-0005-0000-0000-0000DB580000}"/>
    <cellStyle name="Normal 34 2 4 2" xfId="22745" xr:uid="{00000000-0005-0000-0000-0000DC580000}"/>
    <cellStyle name="Normal 34 2 4 3" xfId="22746" xr:uid="{00000000-0005-0000-0000-0000DD580000}"/>
    <cellStyle name="Normal 34 2 5" xfId="22747" xr:uid="{00000000-0005-0000-0000-0000DE580000}"/>
    <cellStyle name="Normal 34 2 6" xfId="22748" xr:uid="{00000000-0005-0000-0000-0000DF580000}"/>
    <cellStyle name="Normal 34 2 7" xfId="22749" xr:uid="{00000000-0005-0000-0000-0000E0580000}"/>
    <cellStyle name="Normal 34 3" xfId="22750" xr:uid="{00000000-0005-0000-0000-0000E1580000}"/>
    <cellStyle name="Normal 34 3 2" xfId="22751" xr:uid="{00000000-0005-0000-0000-0000E2580000}"/>
    <cellStyle name="Normal 34 3 2 2" xfId="22752" xr:uid="{00000000-0005-0000-0000-0000E3580000}"/>
    <cellStyle name="Normal 34 3 2 2 2" xfId="22753" xr:uid="{00000000-0005-0000-0000-0000E4580000}"/>
    <cellStyle name="Normal 34 3 2 2 3" xfId="22754" xr:uid="{00000000-0005-0000-0000-0000E5580000}"/>
    <cellStyle name="Normal 34 3 2 3" xfId="22755" xr:uid="{00000000-0005-0000-0000-0000E6580000}"/>
    <cellStyle name="Normal 34 3 2 3 2" xfId="22756" xr:uid="{00000000-0005-0000-0000-0000E7580000}"/>
    <cellStyle name="Normal 34 3 2 3 3" xfId="22757" xr:uid="{00000000-0005-0000-0000-0000E8580000}"/>
    <cellStyle name="Normal 34 3 2 4" xfId="22758" xr:uid="{00000000-0005-0000-0000-0000E9580000}"/>
    <cellStyle name="Normal 34 3 2 5" xfId="22759" xr:uid="{00000000-0005-0000-0000-0000EA580000}"/>
    <cellStyle name="Normal 34 3 2 6" xfId="22760" xr:uid="{00000000-0005-0000-0000-0000EB580000}"/>
    <cellStyle name="Normal 34 3 3" xfId="22761" xr:uid="{00000000-0005-0000-0000-0000EC580000}"/>
    <cellStyle name="Normal 34 3 3 2" xfId="22762" xr:uid="{00000000-0005-0000-0000-0000ED580000}"/>
    <cellStyle name="Normal 34 3 3 3" xfId="22763" xr:uid="{00000000-0005-0000-0000-0000EE580000}"/>
    <cellStyle name="Normal 34 3 4" xfId="22764" xr:uid="{00000000-0005-0000-0000-0000EF580000}"/>
    <cellStyle name="Normal 34 3 4 2" xfId="22765" xr:uid="{00000000-0005-0000-0000-0000F0580000}"/>
    <cellStyle name="Normal 34 3 4 3" xfId="22766" xr:uid="{00000000-0005-0000-0000-0000F1580000}"/>
    <cellStyle name="Normal 34 3 5" xfId="22767" xr:uid="{00000000-0005-0000-0000-0000F2580000}"/>
    <cellStyle name="Normal 34 3 6" xfId="22768" xr:uid="{00000000-0005-0000-0000-0000F3580000}"/>
    <cellStyle name="Normal 34 3 7" xfId="22769" xr:uid="{00000000-0005-0000-0000-0000F4580000}"/>
    <cellStyle name="Normal 34 4" xfId="22770" xr:uid="{00000000-0005-0000-0000-0000F5580000}"/>
    <cellStyle name="Normal 34 4 2" xfId="22771" xr:uid="{00000000-0005-0000-0000-0000F6580000}"/>
    <cellStyle name="Normal 34 4 2 2" xfId="22772" xr:uid="{00000000-0005-0000-0000-0000F7580000}"/>
    <cellStyle name="Normal 34 4 2 2 2" xfId="22773" xr:uid="{00000000-0005-0000-0000-0000F8580000}"/>
    <cellStyle name="Normal 34 4 2 2 3" xfId="22774" xr:uid="{00000000-0005-0000-0000-0000F9580000}"/>
    <cellStyle name="Normal 34 4 2 3" xfId="22775" xr:uid="{00000000-0005-0000-0000-0000FA580000}"/>
    <cellStyle name="Normal 34 4 2 3 2" xfId="22776" xr:uid="{00000000-0005-0000-0000-0000FB580000}"/>
    <cellStyle name="Normal 34 4 2 3 3" xfId="22777" xr:uid="{00000000-0005-0000-0000-0000FC580000}"/>
    <cellStyle name="Normal 34 4 2 4" xfId="22778" xr:uid="{00000000-0005-0000-0000-0000FD580000}"/>
    <cellStyle name="Normal 34 4 2 5" xfId="22779" xr:uid="{00000000-0005-0000-0000-0000FE580000}"/>
    <cellStyle name="Normal 34 4 2 6" xfId="22780" xr:uid="{00000000-0005-0000-0000-0000FF580000}"/>
    <cellStyle name="Normal 34 4 3" xfId="22781" xr:uid="{00000000-0005-0000-0000-000000590000}"/>
    <cellStyle name="Normal 34 4 3 2" xfId="22782" xr:uid="{00000000-0005-0000-0000-000001590000}"/>
    <cellStyle name="Normal 34 4 3 3" xfId="22783" xr:uid="{00000000-0005-0000-0000-000002590000}"/>
    <cellStyle name="Normal 34 4 4" xfId="22784" xr:uid="{00000000-0005-0000-0000-000003590000}"/>
    <cellStyle name="Normal 34 4 4 2" xfId="22785" xr:uid="{00000000-0005-0000-0000-000004590000}"/>
    <cellStyle name="Normal 34 4 4 3" xfId="22786" xr:uid="{00000000-0005-0000-0000-000005590000}"/>
    <cellStyle name="Normal 34 4 5" xfId="22787" xr:uid="{00000000-0005-0000-0000-000006590000}"/>
    <cellStyle name="Normal 34 4 6" xfId="22788" xr:uid="{00000000-0005-0000-0000-000007590000}"/>
    <cellStyle name="Normal 34 4 7" xfId="22789" xr:uid="{00000000-0005-0000-0000-000008590000}"/>
    <cellStyle name="Normal 34 5" xfId="22790" xr:uid="{00000000-0005-0000-0000-000009590000}"/>
    <cellStyle name="Normal 34 5 2" xfId="22791" xr:uid="{00000000-0005-0000-0000-00000A590000}"/>
    <cellStyle name="Normal 34 5 2 2" xfId="22792" xr:uid="{00000000-0005-0000-0000-00000B590000}"/>
    <cellStyle name="Normal 34 5 2 2 2" xfId="22793" xr:uid="{00000000-0005-0000-0000-00000C590000}"/>
    <cellStyle name="Normal 34 5 2 2 3" xfId="22794" xr:uid="{00000000-0005-0000-0000-00000D590000}"/>
    <cellStyle name="Normal 34 5 2 3" xfId="22795" xr:uid="{00000000-0005-0000-0000-00000E590000}"/>
    <cellStyle name="Normal 34 5 2 3 2" xfId="22796" xr:uid="{00000000-0005-0000-0000-00000F590000}"/>
    <cellStyle name="Normal 34 5 2 3 3" xfId="22797" xr:uid="{00000000-0005-0000-0000-000010590000}"/>
    <cellStyle name="Normal 34 5 2 4" xfId="22798" xr:uid="{00000000-0005-0000-0000-000011590000}"/>
    <cellStyle name="Normal 34 5 2 5" xfId="22799" xr:uid="{00000000-0005-0000-0000-000012590000}"/>
    <cellStyle name="Normal 34 5 2 6" xfId="22800" xr:uid="{00000000-0005-0000-0000-000013590000}"/>
    <cellStyle name="Normal 34 5 3" xfId="22801" xr:uid="{00000000-0005-0000-0000-000014590000}"/>
    <cellStyle name="Normal 34 5 3 2" xfId="22802" xr:uid="{00000000-0005-0000-0000-000015590000}"/>
    <cellStyle name="Normal 34 5 3 3" xfId="22803" xr:uid="{00000000-0005-0000-0000-000016590000}"/>
    <cellStyle name="Normal 34 5 4" xfId="22804" xr:uid="{00000000-0005-0000-0000-000017590000}"/>
    <cellStyle name="Normal 34 5 4 2" xfId="22805" xr:uid="{00000000-0005-0000-0000-000018590000}"/>
    <cellStyle name="Normal 34 5 4 3" xfId="22806" xr:uid="{00000000-0005-0000-0000-000019590000}"/>
    <cellStyle name="Normal 34 5 5" xfId="22807" xr:uid="{00000000-0005-0000-0000-00001A590000}"/>
    <cellStyle name="Normal 34 5 6" xfId="22808" xr:uid="{00000000-0005-0000-0000-00001B590000}"/>
    <cellStyle name="Normal 34 5 7" xfId="22809" xr:uid="{00000000-0005-0000-0000-00001C590000}"/>
    <cellStyle name="Normal 34 6" xfId="22810" xr:uid="{00000000-0005-0000-0000-00001D590000}"/>
    <cellStyle name="Normal 34 6 2" xfId="22811" xr:uid="{00000000-0005-0000-0000-00001E590000}"/>
    <cellStyle name="Normal 34 6 2 2" xfId="22812" xr:uid="{00000000-0005-0000-0000-00001F590000}"/>
    <cellStyle name="Normal 34 6 2 2 2" xfId="22813" xr:uid="{00000000-0005-0000-0000-000020590000}"/>
    <cellStyle name="Normal 34 6 2 2 3" xfId="22814" xr:uid="{00000000-0005-0000-0000-000021590000}"/>
    <cellStyle name="Normal 34 6 2 3" xfId="22815" xr:uid="{00000000-0005-0000-0000-000022590000}"/>
    <cellStyle name="Normal 34 6 2 3 2" xfId="22816" xr:uid="{00000000-0005-0000-0000-000023590000}"/>
    <cellStyle name="Normal 34 6 2 3 3" xfId="22817" xr:uid="{00000000-0005-0000-0000-000024590000}"/>
    <cellStyle name="Normal 34 6 2 4" xfId="22818" xr:uid="{00000000-0005-0000-0000-000025590000}"/>
    <cellStyle name="Normal 34 6 2 5" xfId="22819" xr:uid="{00000000-0005-0000-0000-000026590000}"/>
    <cellStyle name="Normal 34 6 2 6" xfId="22820" xr:uid="{00000000-0005-0000-0000-000027590000}"/>
    <cellStyle name="Normal 34 6 3" xfId="22821" xr:uid="{00000000-0005-0000-0000-000028590000}"/>
    <cellStyle name="Normal 34 6 3 2" xfId="22822" xr:uid="{00000000-0005-0000-0000-000029590000}"/>
    <cellStyle name="Normal 34 6 3 3" xfId="22823" xr:uid="{00000000-0005-0000-0000-00002A590000}"/>
    <cellStyle name="Normal 34 6 4" xfId="22824" xr:uid="{00000000-0005-0000-0000-00002B590000}"/>
    <cellStyle name="Normal 34 6 4 2" xfId="22825" xr:uid="{00000000-0005-0000-0000-00002C590000}"/>
    <cellStyle name="Normal 34 6 4 3" xfId="22826" xr:uid="{00000000-0005-0000-0000-00002D590000}"/>
    <cellStyle name="Normal 34 6 5" xfId="22827" xr:uid="{00000000-0005-0000-0000-00002E590000}"/>
    <cellStyle name="Normal 34 6 6" xfId="22828" xr:uid="{00000000-0005-0000-0000-00002F590000}"/>
    <cellStyle name="Normal 34 6 7" xfId="22829" xr:uid="{00000000-0005-0000-0000-000030590000}"/>
    <cellStyle name="Normal 34 7" xfId="22830" xr:uid="{00000000-0005-0000-0000-000031590000}"/>
    <cellStyle name="Normal 34 7 2" xfId="22831" xr:uid="{00000000-0005-0000-0000-000032590000}"/>
    <cellStyle name="Normal 34 7 2 2" xfId="22832" xr:uid="{00000000-0005-0000-0000-000033590000}"/>
    <cellStyle name="Normal 34 7 2 2 2" xfId="22833" xr:uid="{00000000-0005-0000-0000-000034590000}"/>
    <cellStyle name="Normal 34 7 2 2 3" xfId="22834" xr:uid="{00000000-0005-0000-0000-000035590000}"/>
    <cellStyle name="Normal 34 7 2 3" xfId="22835" xr:uid="{00000000-0005-0000-0000-000036590000}"/>
    <cellStyle name="Normal 34 7 2 3 2" xfId="22836" xr:uid="{00000000-0005-0000-0000-000037590000}"/>
    <cellStyle name="Normal 34 7 2 3 3" xfId="22837" xr:uid="{00000000-0005-0000-0000-000038590000}"/>
    <cellStyle name="Normal 34 7 2 4" xfId="22838" xr:uid="{00000000-0005-0000-0000-000039590000}"/>
    <cellStyle name="Normal 34 7 2 5" xfId="22839" xr:uid="{00000000-0005-0000-0000-00003A590000}"/>
    <cellStyle name="Normal 34 7 2 6" xfId="22840" xr:uid="{00000000-0005-0000-0000-00003B590000}"/>
    <cellStyle name="Normal 34 7 3" xfId="22841" xr:uid="{00000000-0005-0000-0000-00003C590000}"/>
    <cellStyle name="Normal 34 7 3 2" xfId="22842" xr:uid="{00000000-0005-0000-0000-00003D590000}"/>
    <cellStyle name="Normal 34 7 3 3" xfId="22843" xr:uid="{00000000-0005-0000-0000-00003E590000}"/>
    <cellStyle name="Normal 34 7 4" xfId="22844" xr:uid="{00000000-0005-0000-0000-00003F590000}"/>
    <cellStyle name="Normal 34 7 4 2" xfId="22845" xr:uid="{00000000-0005-0000-0000-000040590000}"/>
    <cellStyle name="Normal 34 7 4 3" xfId="22846" xr:uid="{00000000-0005-0000-0000-000041590000}"/>
    <cellStyle name="Normal 34 7 5" xfId="22847" xr:uid="{00000000-0005-0000-0000-000042590000}"/>
    <cellStyle name="Normal 34 7 6" xfId="22848" xr:uid="{00000000-0005-0000-0000-000043590000}"/>
    <cellStyle name="Normal 34 7 7" xfId="22849" xr:uid="{00000000-0005-0000-0000-000044590000}"/>
    <cellStyle name="Normal 34 8" xfId="22850" xr:uid="{00000000-0005-0000-0000-000045590000}"/>
    <cellStyle name="Normal 34 8 2" xfId="22851" xr:uid="{00000000-0005-0000-0000-000046590000}"/>
    <cellStyle name="Normal 34 8 2 2" xfId="22852" xr:uid="{00000000-0005-0000-0000-000047590000}"/>
    <cellStyle name="Normal 34 8 2 2 2" xfId="22853" xr:uid="{00000000-0005-0000-0000-000048590000}"/>
    <cellStyle name="Normal 34 8 2 2 3" xfId="22854" xr:uid="{00000000-0005-0000-0000-000049590000}"/>
    <cellStyle name="Normal 34 8 2 3" xfId="22855" xr:uid="{00000000-0005-0000-0000-00004A590000}"/>
    <cellStyle name="Normal 34 8 2 3 2" xfId="22856" xr:uid="{00000000-0005-0000-0000-00004B590000}"/>
    <cellStyle name="Normal 34 8 2 3 3" xfId="22857" xr:uid="{00000000-0005-0000-0000-00004C590000}"/>
    <cellStyle name="Normal 34 8 2 4" xfId="22858" xr:uid="{00000000-0005-0000-0000-00004D590000}"/>
    <cellStyle name="Normal 34 8 2 5" xfId="22859" xr:uid="{00000000-0005-0000-0000-00004E590000}"/>
    <cellStyle name="Normal 34 8 2 6" xfId="22860" xr:uid="{00000000-0005-0000-0000-00004F590000}"/>
    <cellStyle name="Normal 34 8 3" xfId="22861" xr:uid="{00000000-0005-0000-0000-000050590000}"/>
    <cellStyle name="Normal 34 8 3 2" xfId="22862" xr:uid="{00000000-0005-0000-0000-000051590000}"/>
    <cellStyle name="Normal 34 8 3 3" xfId="22863" xr:uid="{00000000-0005-0000-0000-000052590000}"/>
    <cellStyle name="Normal 34 8 4" xfId="22864" xr:uid="{00000000-0005-0000-0000-000053590000}"/>
    <cellStyle name="Normal 34 8 4 2" xfId="22865" xr:uid="{00000000-0005-0000-0000-000054590000}"/>
    <cellStyle name="Normal 34 8 4 3" xfId="22866" xr:uid="{00000000-0005-0000-0000-000055590000}"/>
    <cellStyle name="Normal 34 8 5" xfId="22867" xr:uid="{00000000-0005-0000-0000-000056590000}"/>
    <cellStyle name="Normal 34 8 6" xfId="22868" xr:uid="{00000000-0005-0000-0000-000057590000}"/>
    <cellStyle name="Normal 34 8 7" xfId="22869" xr:uid="{00000000-0005-0000-0000-000058590000}"/>
    <cellStyle name="Normal 34 9" xfId="22870" xr:uid="{00000000-0005-0000-0000-000059590000}"/>
    <cellStyle name="Normal 34 9 2" xfId="22871" xr:uid="{00000000-0005-0000-0000-00005A590000}"/>
    <cellStyle name="Normal 34 9 2 2" xfId="22872" xr:uid="{00000000-0005-0000-0000-00005B590000}"/>
    <cellStyle name="Normal 34 9 2 2 2" xfId="22873" xr:uid="{00000000-0005-0000-0000-00005C590000}"/>
    <cellStyle name="Normal 34 9 2 2 3" xfId="22874" xr:uid="{00000000-0005-0000-0000-00005D590000}"/>
    <cellStyle name="Normal 34 9 2 3" xfId="22875" xr:uid="{00000000-0005-0000-0000-00005E590000}"/>
    <cellStyle name="Normal 34 9 2 3 2" xfId="22876" xr:uid="{00000000-0005-0000-0000-00005F590000}"/>
    <cellStyle name="Normal 34 9 2 3 3" xfId="22877" xr:uid="{00000000-0005-0000-0000-000060590000}"/>
    <cellStyle name="Normal 34 9 2 4" xfId="22878" xr:uid="{00000000-0005-0000-0000-000061590000}"/>
    <cellStyle name="Normal 34 9 2 5" xfId="22879" xr:uid="{00000000-0005-0000-0000-000062590000}"/>
    <cellStyle name="Normal 34 9 2 6" xfId="22880" xr:uid="{00000000-0005-0000-0000-000063590000}"/>
    <cellStyle name="Normal 34 9 3" xfId="22881" xr:uid="{00000000-0005-0000-0000-000064590000}"/>
    <cellStyle name="Normal 34 9 3 2" xfId="22882" xr:uid="{00000000-0005-0000-0000-000065590000}"/>
    <cellStyle name="Normal 34 9 3 3" xfId="22883" xr:uid="{00000000-0005-0000-0000-000066590000}"/>
    <cellStyle name="Normal 34 9 4" xfId="22884" xr:uid="{00000000-0005-0000-0000-000067590000}"/>
    <cellStyle name="Normal 34 9 4 2" xfId="22885" xr:uid="{00000000-0005-0000-0000-000068590000}"/>
    <cellStyle name="Normal 34 9 4 3" xfId="22886" xr:uid="{00000000-0005-0000-0000-000069590000}"/>
    <cellStyle name="Normal 34 9 5" xfId="22887" xr:uid="{00000000-0005-0000-0000-00006A590000}"/>
    <cellStyle name="Normal 34 9 6" xfId="22888" xr:uid="{00000000-0005-0000-0000-00006B590000}"/>
    <cellStyle name="Normal 34 9 7" xfId="22889" xr:uid="{00000000-0005-0000-0000-00006C590000}"/>
    <cellStyle name="Normal 35" xfId="22890" xr:uid="{00000000-0005-0000-0000-00006D590000}"/>
    <cellStyle name="Normal 35 2" xfId="22891" xr:uid="{00000000-0005-0000-0000-00006E590000}"/>
    <cellStyle name="Normal 35 2 2" xfId="22892" xr:uid="{00000000-0005-0000-0000-00006F590000}"/>
    <cellStyle name="Normal 35 2 2 2" xfId="22893" xr:uid="{00000000-0005-0000-0000-000070590000}"/>
    <cellStyle name="Normal 35 2 2 3" xfId="22894" xr:uid="{00000000-0005-0000-0000-000071590000}"/>
    <cellStyle name="Normal 35 2 3" xfId="22895" xr:uid="{00000000-0005-0000-0000-000072590000}"/>
    <cellStyle name="Normal 35 2 3 2" xfId="22896" xr:uid="{00000000-0005-0000-0000-000073590000}"/>
    <cellStyle name="Normal 35 2 3 3" xfId="22897" xr:uid="{00000000-0005-0000-0000-000074590000}"/>
    <cellStyle name="Normal 35 2 4" xfId="22898" xr:uid="{00000000-0005-0000-0000-000075590000}"/>
    <cellStyle name="Normal 35 2 5" xfId="22899" xr:uid="{00000000-0005-0000-0000-000076590000}"/>
    <cellStyle name="Normal 35 2 6" xfId="22900" xr:uid="{00000000-0005-0000-0000-000077590000}"/>
    <cellStyle name="Normal 35 3" xfId="22901" xr:uid="{00000000-0005-0000-0000-000078590000}"/>
    <cellStyle name="Normal 35 3 2" xfId="22902" xr:uid="{00000000-0005-0000-0000-000079590000}"/>
    <cellStyle name="Normal 35 3 3" xfId="22903" xr:uid="{00000000-0005-0000-0000-00007A590000}"/>
    <cellStyle name="Normal 35 4" xfId="22904" xr:uid="{00000000-0005-0000-0000-00007B590000}"/>
    <cellStyle name="Normal 35 4 2" xfId="22905" xr:uid="{00000000-0005-0000-0000-00007C590000}"/>
    <cellStyle name="Normal 35 4 3" xfId="22906" xr:uid="{00000000-0005-0000-0000-00007D590000}"/>
    <cellStyle name="Normal 35 5" xfId="22907" xr:uid="{00000000-0005-0000-0000-00007E590000}"/>
    <cellStyle name="Normal 35 6" xfId="22908" xr:uid="{00000000-0005-0000-0000-00007F590000}"/>
    <cellStyle name="Normal 35 7" xfId="22909" xr:uid="{00000000-0005-0000-0000-000080590000}"/>
    <cellStyle name="Normal 36" xfId="22910" xr:uid="{00000000-0005-0000-0000-000081590000}"/>
    <cellStyle name="Normal 36 2" xfId="22911" xr:uid="{00000000-0005-0000-0000-000082590000}"/>
    <cellStyle name="Normal 36 2 2" xfId="22912" xr:uid="{00000000-0005-0000-0000-000083590000}"/>
    <cellStyle name="Normal 36 2 2 2" xfId="22913" xr:uid="{00000000-0005-0000-0000-000084590000}"/>
    <cellStyle name="Normal 36 2 2 3" xfId="22914" xr:uid="{00000000-0005-0000-0000-000085590000}"/>
    <cellStyle name="Normal 36 2 3" xfId="22915" xr:uid="{00000000-0005-0000-0000-000086590000}"/>
    <cellStyle name="Normal 36 2 3 2" xfId="22916" xr:uid="{00000000-0005-0000-0000-000087590000}"/>
    <cellStyle name="Normal 36 2 3 3" xfId="22917" xr:uid="{00000000-0005-0000-0000-000088590000}"/>
    <cellStyle name="Normal 36 2 4" xfId="22918" xr:uid="{00000000-0005-0000-0000-000089590000}"/>
    <cellStyle name="Normal 36 2 5" xfId="22919" xr:uid="{00000000-0005-0000-0000-00008A590000}"/>
    <cellStyle name="Normal 36 2 6" xfId="22920" xr:uid="{00000000-0005-0000-0000-00008B590000}"/>
    <cellStyle name="Normal 36 3" xfId="22921" xr:uid="{00000000-0005-0000-0000-00008C590000}"/>
    <cellStyle name="Normal 36 3 2" xfId="22922" xr:uid="{00000000-0005-0000-0000-00008D590000}"/>
    <cellStyle name="Normal 36 3 3" xfId="22923" xr:uid="{00000000-0005-0000-0000-00008E590000}"/>
    <cellStyle name="Normal 36 4" xfId="22924" xr:uid="{00000000-0005-0000-0000-00008F590000}"/>
    <cellStyle name="Normal 36 4 2" xfId="22925" xr:uid="{00000000-0005-0000-0000-000090590000}"/>
    <cellStyle name="Normal 36 4 3" xfId="22926" xr:uid="{00000000-0005-0000-0000-000091590000}"/>
    <cellStyle name="Normal 36 5" xfId="22927" xr:uid="{00000000-0005-0000-0000-000092590000}"/>
    <cellStyle name="Normal 36 6" xfId="22928" xr:uid="{00000000-0005-0000-0000-000093590000}"/>
    <cellStyle name="Normal 36 7" xfId="22929" xr:uid="{00000000-0005-0000-0000-000094590000}"/>
    <cellStyle name="Normal 37" xfId="22930" xr:uid="{00000000-0005-0000-0000-000095590000}"/>
    <cellStyle name="Normal 37 2" xfId="22931" xr:uid="{00000000-0005-0000-0000-000096590000}"/>
    <cellStyle name="Normal 37 2 2" xfId="22932" xr:uid="{00000000-0005-0000-0000-000097590000}"/>
    <cellStyle name="Normal 37 2 2 2" xfId="22933" xr:uid="{00000000-0005-0000-0000-000098590000}"/>
    <cellStyle name="Normal 37 2 2 3" xfId="22934" xr:uid="{00000000-0005-0000-0000-000099590000}"/>
    <cellStyle name="Normal 37 2 3" xfId="22935" xr:uid="{00000000-0005-0000-0000-00009A590000}"/>
    <cellStyle name="Normal 37 2 3 2" xfId="22936" xr:uid="{00000000-0005-0000-0000-00009B590000}"/>
    <cellStyle name="Normal 37 2 3 3" xfId="22937" xr:uid="{00000000-0005-0000-0000-00009C590000}"/>
    <cellStyle name="Normal 37 2 4" xfId="22938" xr:uid="{00000000-0005-0000-0000-00009D590000}"/>
    <cellStyle name="Normal 37 2 5" xfId="22939" xr:uid="{00000000-0005-0000-0000-00009E590000}"/>
    <cellStyle name="Normal 37 2 6" xfId="22940" xr:uid="{00000000-0005-0000-0000-00009F590000}"/>
    <cellStyle name="Normal 37 3" xfId="22941" xr:uid="{00000000-0005-0000-0000-0000A0590000}"/>
    <cellStyle name="Normal 37 3 2" xfId="22942" xr:uid="{00000000-0005-0000-0000-0000A1590000}"/>
    <cellStyle name="Normal 37 3 3" xfId="22943" xr:uid="{00000000-0005-0000-0000-0000A2590000}"/>
    <cellStyle name="Normal 37 4" xfId="22944" xr:uid="{00000000-0005-0000-0000-0000A3590000}"/>
    <cellStyle name="Normal 37 4 2" xfId="22945" xr:uid="{00000000-0005-0000-0000-0000A4590000}"/>
    <cellStyle name="Normal 37 4 3" xfId="22946" xr:uid="{00000000-0005-0000-0000-0000A5590000}"/>
    <cellStyle name="Normal 37 5" xfId="22947" xr:uid="{00000000-0005-0000-0000-0000A6590000}"/>
    <cellStyle name="Normal 37 6" xfId="22948" xr:uid="{00000000-0005-0000-0000-0000A7590000}"/>
    <cellStyle name="Normal 37 7" xfId="22949" xr:uid="{00000000-0005-0000-0000-0000A8590000}"/>
    <cellStyle name="Normal 38" xfId="22950" xr:uid="{00000000-0005-0000-0000-0000A9590000}"/>
    <cellStyle name="Normal 38 2" xfId="22951" xr:uid="{00000000-0005-0000-0000-0000AA590000}"/>
    <cellStyle name="Normal 38 2 2" xfId="22952" xr:uid="{00000000-0005-0000-0000-0000AB590000}"/>
    <cellStyle name="Normal 38 2 2 2" xfId="22953" xr:uid="{00000000-0005-0000-0000-0000AC590000}"/>
    <cellStyle name="Normal 38 2 2 3" xfId="22954" xr:uid="{00000000-0005-0000-0000-0000AD590000}"/>
    <cellStyle name="Normal 38 2 3" xfId="22955" xr:uid="{00000000-0005-0000-0000-0000AE590000}"/>
    <cellStyle name="Normal 38 2 3 2" xfId="22956" xr:uid="{00000000-0005-0000-0000-0000AF590000}"/>
    <cellStyle name="Normal 38 2 3 3" xfId="22957" xr:uid="{00000000-0005-0000-0000-0000B0590000}"/>
    <cellStyle name="Normal 38 2 4" xfId="22958" xr:uid="{00000000-0005-0000-0000-0000B1590000}"/>
    <cellStyle name="Normal 38 2 5" xfId="22959" xr:uid="{00000000-0005-0000-0000-0000B2590000}"/>
    <cellStyle name="Normal 38 2 6" xfId="22960" xr:uid="{00000000-0005-0000-0000-0000B3590000}"/>
    <cellStyle name="Normal 38 3" xfId="22961" xr:uid="{00000000-0005-0000-0000-0000B4590000}"/>
    <cellStyle name="Normal 38 3 2" xfId="22962" xr:uid="{00000000-0005-0000-0000-0000B5590000}"/>
    <cellStyle name="Normal 38 3 3" xfId="22963" xr:uid="{00000000-0005-0000-0000-0000B6590000}"/>
    <cellStyle name="Normal 38 4" xfId="22964" xr:uid="{00000000-0005-0000-0000-0000B7590000}"/>
    <cellStyle name="Normal 38 4 2" xfId="22965" xr:uid="{00000000-0005-0000-0000-0000B8590000}"/>
    <cellStyle name="Normal 38 4 3" xfId="22966" xr:uid="{00000000-0005-0000-0000-0000B9590000}"/>
    <cellStyle name="Normal 38 5" xfId="22967" xr:uid="{00000000-0005-0000-0000-0000BA590000}"/>
    <cellStyle name="Normal 38 6" xfId="22968" xr:uid="{00000000-0005-0000-0000-0000BB590000}"/>
    <cellStyle name="Normal 38 7" xfId="22969" xr:uid="{00000000-0005-0000-0000-0000BC590000}"/>
    <cellStyle name="Normal 39" xfId="22970" xr:uid="{00000000-0005-0000-0000-0000BD590000}"/>
    <cellStyle name="Normal 39 2" xfId="22971" xr:uid="{00000000-0005-0000-0000-0000BE590000}"/>
    <cellStyle name="Normal 39 2 2" xfId="22972" xr:uid="{00000000-0005-0000-0000-0000BF590000}"/>
    <cellStyle name="Normal 39 2 2 2" xfId="22973" xr:uid="{00000000-0005-0000-0000-0000C0590000}"/>
    <cellStyle name="Normal 39 2 2 3" xfId="22974" xr:uid="{00000000-0005-0000-0000-0000C1590000}"/>
    <cellStyle name="Normal 39 2 3" xfId="22975" xr:uid="{00000000-0005-0000-0000-0000C2590000}"/>
    <cellStyle name="Normal 39 2 3 2" xfId="22976" xr:uid="{00000000-0005-0000-0000-0000C3590000}"/>
    <cellStyle name="Normal 39 2 3 3" xfId="22977" xr:uid="{00000000-0005-0000-0000-0000C4590000}"/>
    <cellStyle name="Normal 39 2 4" xfId="22978" xr:uid="{00000000-0005-0000-0000-0000C5590000}"/>
    <cellStyle name="Normal 39 2 5" xfId="22979" xr:uid="{00000000-0005-0000-0000-0000C6590000}"/>
    <cellStyle name="Normal 39 2 6" xfId="22980" xr:uid="{00000000-0005-0000-0000-0000C7590000}"/>
    <cellStyle name="Normal 39 3" xfId="22981" xr:uid="{00000000-0005-0000-0000-0000C8590000}"/>
    <cellStyle name="Normal 39 3 2" xfId="22982" xr:uid="{00000000-0005-0000-0000-0000C9590000}"/>
    <cellStyle name="Normal 39 3 3" xfId="22983" xr:uid="{00000000-0005-0000-0000-0000CA590000}"/>
    <cellStyle name="Normal 39 4" xfId="22984" xr:uid="{00000000-0005-0000-0000-0000CB590000}"/>
    <cellStyle name="Normal 39 4 2" xfId="22985" xr:uid="{00000000-0005-0000-0000-0000CC590000}"/>
    <cellStyle name="Normal 39 4 3" xfId="22986" xr:uid="{00000000-0005-0000-0000-0000CD590000}"/>
    <cellStyle name="Normal 39 5" xfId="22987" xr:uid="{00000000-0005-0000-0000-0000CE590000}"/>
    <cellStyle name="Normal 39 6" xfId="22988" xr:uid="{00000000-0005-0000-0000-0000CF590000}"/>
    <cellStyle name="Normal 39 7" xfId="22989" xr:uid="{00000000-0005-0000-0000-0000D0590000}"/>
    <cellStyle name="Normal 4" xfId="22990" xr:uid="{00000000-0005-0000-0000-0000D1590000}"/>
    <cellStyle name="Normal 4 10" xfId="22991" xr:uid="{00000000-0005-0000-0000-0000D2590000}"/>
    <cellStyle name="Normal 4 10 2" xfId="22992" xr:uid="{00000000-0005-0000-0000-0000D3590000}"/>
    <cellStyle name="Normal 4 10 2 2" xfId="22993" xr:uid="{00000000-0005-0000-0000-0000D4590000}"/>
    <cellStyle name="Normal 4 10 2 2 2" xfId="22994" xr:uid="{00000000-0005-0000-0000-0000D5590000}"/>
    <cellStyle name="Normal 4 10 2 2 3" xfId="22995" xr:uid="{00000000-0005-0000-0000-0000D6590000}"/>
    <cellStyle name="Normal 4 10 2 3" xfId="22996" xr:uid="{00000000-0005-0000-0000-0000D7590000}"/>
    <cellStyle name="Normal 4 10 2 3 2" xfId="22997" xr:uid="{00000000-0005-0000-0000-0000D8590000}"/>
    <cellStyle name="Normal 4 10 2 3 3" xfId="22998" xr:uid="{00000000-0005-0000-0000-0000D9590000}"/>
    <cellStyle name="Normal 4 10 2 4" xfId="22999" xr:uid="{00000000-0005-0000-0000-0000DA590000}"/>
    <cellStyle name="Normal 4 10 2 5" xfId="23000" xr:uid="{00000000-0005-0000-0000-0000DB590000}"/>
    <cellStyle name="Normal 4 10 2 6" xfId="23001" xr:uid="{00000000-0005-0000-0000-0000DC590000}"/>
    <cellStyle name="Normal 4 10 3" xfId="23002" xr:uid="{00000000-0005-0000-0000-0000DD590000}"/>
    <cellStyle name="Normal 4 10 3 2" xfId="23003" xr:uid="{00000000-0005-0000-0000-0000DE590000}"/>
    <cellStyle name="Normal 4 10 3 3" xfId="23004" xr:uid="{00000000-0005-0000-0000-0000DF590000}"/>
    <cellStyle name="Normal 4 10 4" xfId="23005" xr:uid="{00000000-0005-0000-0000-0000E0590000}"/>
    <cellStyle name="Normal 4 10 4 2" xfId="23006" xr:uid="{00000000-0005-0000-0000-0000E1590000}"/>
    <cellStyle name="Normal 4 10 4 3" xfId="23007" xr:uid="{00000000-0005-0000-0000-0000E2590000}"/>
    <cellStyle name="Normal 4 10 5" xfId="23008" xr:uid="{00000000-0005-0000-0000-0000E3590000}"/>
    <cellStyle name="Normal 4 10 6" xfId="23009" xr:uid="{00000000-0005-0000-0000-0000E4590000}"/>
    <cellStyle name="Normal 4 10 7" xfId="23010" xr:uid="{00000000-0005-0000-0000-0000E5590000}"/>
    <cellStyle name="Normal 4 11" xfId="23011" xr:uid="{00000000-0005-0000-0000-0000E6590000}"/>
    <cellStyle name="Normal 4 11 2" xfId="23012" xr:uid="{00000000-0005-0000-0000-0000E7590000}"/>
    <cellStyle name="Normal 4 11 2 2" xfId="23013" xr:uid="{00000000-0005-0000-0000-0000E8590000}"/>
    <cellStyle name="Normal 4 11 2 2 2" xfId="23014" xr:uid="{00000000-0005-0000-0000-0000E9590000}"/>
    <cellStyle name="Normal 4 11 2 2 3" xfId="23015" xr:uid="{00000000-0005-0000-0000-0000EA590000}"/>
    <cellStyle name="Normal 4 11 2 3" xfId="23016" xr:uid="{00000000-0005-0000-0000-0000EB590000}"/>
    <cellStyle name="Normal 4 11 2 3 2" xfId="23017" xr:uid="{00000000-0005-0000-0000-0000EC590000}"/>
    <cellStyle name="Normal 4 11 2 3 3" xfId="23018" xr:uid="{00000000-0005-0000-0000-0000ED590000}"/>
    <cellStyle name="Normal 4 11 2 4" xfId="23019" xr:uid="{00000000-0005-0000-0000-0000EE590000}"/>
    <cellStyle name="Normal 4 11 2 5" xfId="23020" xr:uid="{00000000-0005-0000-0000-0000EF590000}"/>
    <cellStyle name="Normal 4 11 2 6" xfId="23021" xr:uid="{00000000-0005-0000-0000-0000F0590000}"/>
    <cellStyle name="Normal 4 11 3" xfId="23022" xr:uid="{00000000-0005-0000-0000-0000F1590000}"/>
    <cellStyle name="Normal 4 11 3 2" xfId="23023" xr:uid="{00000000-0005-0000-0000-0000F2590000}"/>
    <cellStyle name="Normal 4 11 3 3" xfId="23024" xr:uid="{00000000-0005-0000-0000-0000F3590000}"/>
    <cellStyle name="Normal 4 11 4" xfId="23025" xr:uid="{00000000-0005-0000-0000-0000F4590000}"/>
    <cellStyle name="Normal 4 11 4 2" xfId="23026" xr:uid="{00000000-0005-0000-0000-0000F5590000}"/>
    <cellStyle name="Normal 4 11 4 3" xfId="23027" xr:uid="{00000000-0005-0000-0000-0000F6590000}"/>
    <cellStyle name="Normal 4 11 5" xfId="23028" xr:uid="{00000000-0005-0000-0000-0000F7590000}"/>
    <cellStyle name="Normal 4 11 6" xfId="23029" xr:uid="{00000000-0005-0000-0000-0000F8590000}"/>
    <cellStyle name="Normal 4 11 7" xfId="23030" xr:uid="{00000000-0005-0000-0000-0000F9590000}"/>
    <cellStyle name="Normal 4 12" xfId="23031" xr:uid="{00000000-0005-0000-0000-0000FA590000}"/>
    <cellStyle name="Normal 4 12 2" xfId="23032" xr:uid="{00000000-0005-0000-0000-0000FB590000}"/>
    <cellStyle name="Normal 4 12 2 2" xfId="23033" xr:uid="{00000000-0005-0000-0000-0000FC590000}"/>
    <cellStyle name="Normal 4 12 2 2 2" xfId="23034" xr:uid="{00000000-0005-0000-0000-0000FD590000}"/>
    <cellStyle name="Normal 4 12 2 2 3" xfId="23035" xr:uid="{00000000-0005-0000-0000-0000FE590000}"/>
    <cellStyle name="Normal 4 12 2 3" xfId="23036" xr:uid="{00000000-0005-0000-0000-0000FF590000}"/>
    <cellStyle name="Normal 4 12 2 3 2" xfId="23037" xr:uid="{00000000-0005-0000-0000-0000005A0000}"/>
    <cellStyle name="Normal 4 12 2 3 3" xfId="23038" xr:uid="{00000000-0005-0000-0000-0000015A0000}"/>
    <cellStyle name="Normal 4 12 2 4" xfId="23039" xr:uid="{00000000-0005-0000-0000-0000025A0000}"/>
    <cellStyle name="Normal 4 12 2 5" xfId="23040" xr:uid="{00000000-0005-0000-0000-0000035A0000}"/>
    <cellStyle name="Normal 4 12 2 6" xfId="23041" xr:uid="{00000000-0005-0000-0000-0000045A0000}"/>
    <cellStyle name="Normal 4 12 3" xfId="23042" xr:uid="{00000000-0005-0000-0000-0000055A0000}"/>
    <cellStyle name="Normal 4 12 3 2" xfId="23043" xr:uid="{00000000-0005-0000-0000-0000065A0000}"/>
    <cellStyle name="Normal 4 12 3 3" xfId="23044" xr:uid="{00000000-0005-0000-0000-0000075A0000}"/>
    <cellStyle name="Normal 4 12 4" xfId="23045" xr:uid="{00000000-0005-0000-0000-0000085A0000}"/>
    <cellStyle name="Normal 4 12 4 2" xfId="23046" xr:uid="{00000000-0005-0000-0000-0000095A0000}"/>
    <cellStyle name="Normal 4 12 4 3" xfId="23047" xr:uid="{00000000-0005-0000-0000-00000A5A0000}"/>
    <cellStyle name="Normal 4 12 5" xfId="23048" xr:uid="{00000000-0005-0000-0000-00000B5A0000}"/>
    <cellStyle name="Normal 4 12 6" xfId="23049" xr:uid="{00000000-0005-0000-0000-00000C5A0000}"/>
    <cellStyle name="Normal 4 12 7" xfId="23050" xr:uid="{00000000-0005-0000-0000-00000D5A0000}"/>
    <cellStyle name="Normal 4 13" xfId="23051" xr:uid="{00000000-0005-0000-0000-00000E5A0000}"/>
    <cellStyle name="Normal 4 13 2" xfId="23052" xr:uid="{00000000-0005-0000-0000-00000F5A0000}"/>
    <cellStyle name="Normal 4 13 2 2" xfId="23053" xr:uid="{00000000-0005-0000-0000-0000105A0000}"/>
    <cellStyle name="Normal 4 13 2 2 2" xfId="23054" xr:uid="{00000000-0005-0000-0000-0000115A0000}"/>
    <cellStyle name="Normal 4 13 2 2 3" xfId="23055" xr:uid="{00000000-0005-0000-0000-0000125A0000}"/>
    <cellStyle name="Normal 4 13 2 3" xfId="23056" xr:uid="{00000000-0005-0000-0000-0000135A0000}"/>
    <cellStyle name="Normal 4 13 2 3 2" xfId="23057" xr:uid="{00000000-0005-0000-0000-0000145A0000}"/>
    <cellStyle name="Normal 4 13 2 3 3" xfId="23058" xr:uid="{00000000-0005-0000-0000-0000155A0000}"/>
    <cellStyle name="Normal 4 13 2 4" xfId="23059" xr:uid="{00000000-0005-0000-0000-0000165A0000}"/>
    <cellStyle name="Normal 4 13 2 5" xfId="23060" xr:uid="{00000000-0005-0000-0000-0000175A0000}"/>
    <cellStyle name="Normal 4 13 2 6" xfId="23061" xr:uid="{00000000-0005-0000-0000-0000185A0000}"/>
    <cellStyle name="Normal 4 13 3" xfId="23062" xr:uid="{00000000-0005-0000-0000-0000195A0000}"/>
    <cellStyle name="Normal 4 13 3 2" xfId="23063" xr:uid="{00000000-0005-0000-0000-00001A5A0000}"/>
    <cellStyle name="Normal 4 13 3 3" xfId="23064" xr:uid="{00000000-0005-0000-0000-00001B5A0000}"/>
    <cellStyle name="Normal 4 13 4" xfId="23065" xr:uid="{00000000-0005-0000-0000-00001C5A0000}"/>
    <cellStyle name="Normal 4 13 4 2" xfId="23066" xr:uid="{00000000-0005-0000-0000-00001D5A0000}"/>
    <cellStyle name="Normal 4 13 4 3" xfId="23067" xr:uid="{00000000-0005-0000-0000-00001E5A0000}"/>
    <cellStyle name="Normal 4 13 5" xfId="23068" xr:uid="{00000000-0005-0000-0000-00001F5A0000}"/>
    <cellStyle name="Normal 4 13 6" xfId="23069" xr:uid="{00000000-0005-0000-0000-0000205A0000}"/>
    <cellStyle name="Normal 4 13 7" xfId="23070" xr:uid="{00000000-0005-0000-0000-0000215A0000}"/>
    <cellStyle name="Normal 4 14" xfId="23071" xr:uid="{00000000-0005-0000-0000-0000225A0000}"/>
    <cellStyle name="Normal 4 14 2" xfId="23072" xr:uid="{00000000-0005-0000-0000-0000235A0000}"/>
    <cellStyle name="Normal 4 14 2 2" xfId="23073" xr:uid="{00000000-0005-0000-0000-0000245A0000}"/>
    <cellStyle name="Normal 4 14 2 2 2" xfId="23074" xr:uid="{00000000-0005-0000-0000-0000255A0000}"/>
    <cellStyle name="Normal 4 14 2 2 3" xfId="23075" xr:uid="{00000000-0005-0000-0000-0000265A0000}"/>
    <cellStyle name="Normal 4 14 2 3" xfId="23076" xr:uid="{00000000-0005-0000-0000-0000275A0000}"/>
    <cellStyle name="Normal 4 14 2 3 2" xfId="23077" xr:uid="{00000000-0005-0000-0000-0000285A0000}"/>
    <cellStyle name="Normal 4 14 2 3 3" xfId="23078" xr:uid="{00000000-0005-0000-0000-0000295A0000}"/>
    <cellStyle name="Normal 4 14 2 4" xfId="23079" xr:uid="{00000000-0005-0000-0000-00002A5A0000}"/>
    <cellStyle name="Normal 4 14 2 5" xfId="23080" xr:uid="{00000000-0005-0000-0000-00002B5A0000}"/>
    <cellStyle name="Normal 4 14 2 6" xfId="23081" xr:uid="{00000000-0005-0000-0000-00002C5A0000}"/>
    <cellStyle name="Normal 4 14 3" xfId="23082" xr:uid="{00000000-0005-0000-0000-00002D5A0000}"/>
    <cellStyle name="Normal 4 14 3 2" xfId="23083" xr:uid="{00000000-0005-0000-0000-00002E5A0000}"/>
    <cellStyle name="Normal 4 14 3 3" xfId="23084" xr:uid="{00000000-0005-0000-0000-00002F5A0000}"/>
    <cellStyle name="Normal 4 14 4" xfId="23085" xr:uid="{00000000-0005-0000-0000-0000305A0000}"/>
    <cellStyle name="Normal 4 14 4 2" xfId="23086" xr:uid="{00000000-0005-0000-0000-0000315A0000}"/>
    <cellStyle name="Normal 4 14 4 3" xfId="23087" xr:uid="{00000000-0005-0000-0000-0000325A0000}"/>
    <cellStyle name="Normal 4 14 5" xfId="23088" xr:uid="{00000000-0005-0000-0000-0000335A0000}"/>
    <cellStyle name="Normal 4 14 6" xfId="23089" xr:uid="{00000000-0005-0000-0000-0000345A0000}"/>
    <cellStyle name="Normal 4 14 7" xfId="23090" xr:uid="{00000000-0005-0000-0000-0000355A0000}"/>
    <cellStyle name="Normal 4 15" xfId="23091" xr:uid="{00000000-0005-0000-0000-0000365A0000}"/>
    <cellStyle name="Normal 4 15 2" xfId="23092" xr:uid="{00000000-0005-0000-0000-0000375A0000}"/>
    <cellStyle name="Normal 4 15 2 2" xfId="23093" xr:uid="{00000000-0005-0000-0000-0000385A0000}"/>
    <cellStyle name="Normal 4 15 2 2 2" xfId="23094" xr:uid="{00000000-0005-0000-0000-0000395A0000}"/>
    <cellStyle name="Normal 4 15 2 2 3" xfId="23095" xr:uid="{00000000-0005-0000-0000-00003A5A0000}"/>
    <cellStyle name="Normal 4 15 2 3" xfId="23096" xr:uid="{00000000-0005-0000-0000-00003B5A0000}"/>
    <cellStyle name="Normal 4 15 2 3 2" xfId="23097" xr:uid="{00000000-0005-0000-0000-00003C5A0000}"/>
    <cellStyle name="Normal 4 15 2 3 3" xfId="23098" xr:uid="{00000000-0005-0000-0000-00003D5A0000}"/>
    <cellStyle name="Normal 4 15 2 4" xfId="23099" xr:uid="{00000000-0005-0000-0000-00003E5A0000}"/>
    <cellStyle name="Normal 4 15 2 5" xfId="23100" xr:uid="{00000000-0005-0000-0000-00003F5A0000}"/>
    <cellStyle name="Normal 4 15 2 6" xfId="23101" xr:uid="{00000000-0005-0000-0000-0000405A0000}"/>
    <cellStyle name="Normal 4 15 3" xfId="23102" xr:uid="{00000000-0005-0000-0000-0000415A0000}"/>
    <cellStyle name="Normal 4 15 3 2" xfId="23103" xr:uid="{00000000-0005-0000-0000-0000425A0000}"/>
    <cellStyle name="Normal 4 15 3 3" xfId="23104" xr:uid="{00000000-0005-0000-0000-0000435A0000}"/>
    <cellStyle name="Normal 4 15 4" xfId="23105" xr:uid="{00000000-0005-0000-0000-0000445A0000}"/>
    <cellStyle name="Normal 4 15 4 2" xfId="23106" xr:uid="{00000000-0005-0000-0000-0000455A0000}"/>
    <cellStyle name="Normal 4 15 4 3" xfId="23107" xr:uid="{00000000-0005-0000-0000-0000465A0000}"/>
    <cellStyle name="Normal 4 15 5" xfId="23108" xr:uid="{00000000-0005-0000-0000-0000475A0000}"/>
    <cellStyle name="Normal 4 15 6" xfId="23109" xr:uid="{00000000-0005-0000-0000-0000485A0000}"/>
    <cellStyle name="Normal 4 15 7" xfId="23110" xr:uid="{00000000-0005-0000-0000-0000495A0000}"/>
    <cellStyle name="Normal 4 16" xfId="23111" xr:uid="{00000000-0005-0000-0000-00004A5A0000}"/>
    <cellStyle name="Normal 4 16 2" xfId="23112" xr:uid="{00000000-0005-0000-0000-00004B5A0000}"/>
    <cellStyle name="Normal 4 16 2 2" xfId="23113" xr:uid="{00000000-0005-0000-0000-00004C5A0000}"/>
    <cellStyle name="Normal 4 16 2 2 2" xfId="23114" xr:uid="{00000000-0005-0000-0000-00004D5A0000}"/>
    <cellStyle name="Normal 4 16 2 2 3" xfId="23115" xr:uid="{00000000-0005-0000-0000-00004E5A0000}"/>
    <cellStyle name="Normal 4 16 2 3" xfId="23116" xr:uid="{00000000-0005-0000-0000-00004F5A0000}"/>
    <cellStyle name="Normal 4 16 2 3 2" xfId="23117" xr:uid="{00000000-0005-0000-0000-0000505A0000}"/>
    <cellStyle name="Normal 4 16 2 3 3" xfId="23118" xr:uid="{00000000-0005-0000-0000-0000515A0000}"/>
    <cellStyle name="Normal 4 16 2 4" xfId="23119" xr:uid="{00000000-0005-0000-0000-0000525A0000}"/>
    <cellStyle name="Normal 4 16 2 5" xfId="23120" xr:uid="{00000000-0005-0000-0000-0000535A0000}"/>
    <cellStyle name="Normal 4 16 2 6" xfId="23121" xr:uid="{00000000-0005-0000-0000-0000545A0000}"/>
    <cellStyle name="Normal 4 16 3" xfId="23122" xr:uid="{00000000-0005-0000-0000-0000555A0000}"/>
    <cellStyle name="Normal 4 16 3 2" xfId="23123" xr:uid="{00000000-0005-0000-0000-0000565A0000}"/>
    <cellStyle name="Normal 4 16 3 3" xfId="23124" xr:uid="{00000000-0005-0000-0000-0000575A0000}"/>
    <cellStyle name="Normal 4 16 4" xfId="23125" xr:uid="{00000000-0005-0000-0000-0000585A0000}"/>
    <cellStyle name="Normal 4 16 4 2" xfId="23126" xr:uid="{00000000-0005-0000-0000-0000595A0000}"/>
    <cellStyle name="Normal 4 16 4 3" xfId="23127" xr:uid="{00000000-0005-0000-0000-00005A5A0000}"/>
    <cellStyle name="Normal 4 16 5" xfId="23128" xr:uid="{00000000-0005-0000-0000-00005B5A0000}"/>
    <cellStyle name="Normal 4 16 6" xfId="23129" xr:uid="{00000000-0005-0000-0000-00005C5A0000}"/>
    <cellStyle name="Normal 4 16 7" xfId="23130" xr:uid="{00000000-0005-0000-0000-00005D5A0000}"/>
    <cellStyle name="Normal 4 17" xfId="23131" xr:uid="{00000000-0005-0000-0000-00005E5A0000}"/>
    <cellStyle name="Normal 4 17 2" xfId="23132" xr:uid="{00000000-0005-0000-0000-00005F5A0000}"/>
    <cellStyle name="Normal 4 17 2 2" xfId="23133" xr:uid="{00000000-0005-0000-0000-0000605A0000}"/>
    <cellStyle name="Normal 4 17 2 2 2" xfId="23134" xr:uid="{00000000-0005-0000-0000-0000615A0000}"/>
    <cellStyle name="Normal 4 17 2 2 3" xfId="23135" xr:uid="{00000000-0005-0000-0000-0000625A0000}"/>
    <cellStyle name="Normal 4 17 2 3" xfId="23136" xr:uid="{00000000-0005-0000-0000-0000635A0000}"/>
    <cellStyle name="Normal 4 17 2 3 2" xfId="23137" xr:uid="{00000000-0005-0000-0000-0000645A0000}"/>
    <cellStyle name="Normal 4 17 2 3 3" xfId="23138" xr:uid="{00000000-0005-0000-0000-0000655A0000}"/>
    <cellStyle name="Normal 4 17 2 4" xfId="23139" xr:uid="{00000000-0005-0000-0000-0000665A0000}"/>
    <cellStyle name="Normal 4 17 2 5" xfId="23140" xr:uid="{00000000-0005-0000-0000-0000675A0000}"/>
    <cellStyle name="Normal 4 17 2 6" xfId="23141" xr:uid="{00000000-0005-0000-0000-0000685A0000}"/>
    <cellStyle name="Normal 4 17 3" xfId="23142" xr:uid="{00000000-0005-0000-0000-0000695A0000}"/>
    <cellStyle name="Normal 4 17 3 2" xfId="23143" xr:uid="{00000000-0005-0000-0000-00006A5A0000}"/>
    <cellStyle name="Normal 4 17 3 3" xfId="23144" xr:uid="{00000000-0005-0000-0000-00006B5A0000}"/>
    <cellStyle name="Normal 4 17 4" xfId="23145" xr:uid="{00000000-0005-0000-0000-00006C5A0000}"/>
    <cellStyle name="Normal 4 17 4 2" xfId="23146" xr:uid="{00000000-0005-0000-0000-00006D5A0000}"/>
    <cellStyle name="Normal 4 17 4 3" xfId="23147" xr:uid="{00000000-0005-0000-0000-00006E5A0000}"/>
    <cellStyle name="Normal 4 17 5" xfId="23148" xr:uid="{00000000-0005-0000-0000-00006F5A0000}"/>
    <cellStyle name="Normal 4 17 6" xfId="23149" xr:uid="{00000000-0005-0000-0000-0000705A0000}"/>
    <cellStyle name="Normal 4 17 7" xfId="23150" xr:uid="{00000000-0005-0000-0000-0000715A0000}"/>
    <cellStyle name="Normal 4 18" xfId="23151" xr:uid="{00000000-0005-0000-0000-0000725A0000}"/>
    <cellStyle name="Normal 4 18 2" xfId="23152" xr:uid="{00000000-0005-0000-0000-0000735A0000}"/>
    <cellStyle name="Normal 4 18 2 2" xfId="23153" xr:uid="{00000000-0005-0000-0000-0000745A0000}"/>
    <cellStyle name="Normal 4 18 2 2 2" xfId="23154" xr:uid="{00000000-0005-0000-0000-0000755A0000}"/>
    <cellStyle name="Normal 4 18 2 2 3" xfId="23155" xr:uid="{00000000-0005-0000-0000-0000765A0000}"/>
    <cellStyle name="Normal 4 18 2 3" xfId="23156" xr:uid="{00000000-0005-0000-0000-0000775A0000}"/>
    <cellStyle name="Normal 4 18 2 3 2" xfId="23157" xr:uid="{00000000-0005-0000-0000-0000785A0000}"/>
    <cellStyle name="Normal 4 18 2 3 3" xfId="23158" xr:uid="{00000000-0005-0000-0000-0000795A0000}"/>
    <cellStyle name="Normal 4 18 2 4" xfId="23159" xr:uid="{00000000-0005-0000-0000-00007A5A0000}"/>
    <cellStyle name="Normal 4 18 2 5" xfId="23160" xr:uid="{00000000-0005-0000-0000-00007B5A0000}"/>
    <cellStyle name="Normal 4 18 2 6" xfId="23161" xr:uid="{00000000-0005-0000-0000-00007C5A0000}"/>
    <cellStyle name="Normal 4 18 3" xfId="23162" xr:uid="{00000000-0005-0000-0000-00007D5A0000}"/>
    <cellStyle name="Normal 4 18 3 2" xfId="23163" xr:uid="{00000000-0005-0000-0000-00007E5A0000}"/>
    <cellStyle name="Normal 4 18 3 3" xfId="23164" xr:uid="{00000000-0005-0000-0000-00007F5A0000}"/>
    <cellStyle name="Normal 4 18 4" xfId="23165" xr:uid="{00000000-0005-0000-0000-0000805A0000}"/>
    <cellStyle name="Normal 4 18 4 2" xfId="23166" xr:uid="{00000000-0005-0000-0000-0000815A0000}"/>
    <cellStyle name="Normal 4 18 4 3" xfId="23167" xr:uid="{00000000-0005-0000-0000-0000825A0000}"/>
    <cellStyle name="Normal 4 18 5" xfId="23168" xr:uid="{00000000-0005-0000-0000-0000835A0000}"/>
    <cellStyle name="Normal 4 18 6" xfId="23169" xr:uid="{00000000-0005-0000-0000-0000845A0000}"/>
    <cellStyle name="Normal 4 18 7" xfId="23170" xr:uid="{00000000-0005-0000-0000-0000855A0000}"/>
    <cellStyle name="Normal 4 19" xfId="23171" xr:uid="{00000000-0005-0000-0000-0000865A0000}"/>
    <cellStyle name="Normal 4 19 2" xfId="23172" xr:uid="{00000000-0005-0000-0000-0000875A0000}"/>
    <cellStyle name="Normal 4 19 2 2" xfId="23173" xr:uid="{00000000-0005-0000-0000-0000885A0000}"/>
    <cellStyle name="Normal 4 19 2 2 2" xfId="23174" xr:uid="{00000000-0005-0000-0000-0000895A0000}"/>
    <cellStyle name="Normal 4 19 2 2 3" xfId="23175" xr:uid="{00000000-0005-0000-0000-00008A5A0000}"/>
    <cellStyle name="Normal 4 19 2 3" xfId="23176" xr:uid="{00000000-0005-0000-0000-00008B5A0000}"/>
    <cellStyle name="Normal 4 19 2 3 2" xfId="23177" xr:uid="{00000000-0005-0000-0000-00008C5A0000}"/>
    <cellStyle name="Normal 4 19 2 3 3" xfId="23178" xr:uid="{00000000-0005-0000-0000-00008D5A0000}"/>
    <cellStyle name="Normal 4 19 2 4" xfId="23179" xr:uid="{00000000-0005-0000-0000-00008E5A0000}"/>
    <cellStyle name="Normal 4 19 2 5" xfId="23180" xr:uid="{00000000-0005-0000-0000-00008F5A0000}"/>
    <cellStyle name="Normal 4 19 2 6" xfId="23181" xr:uid="{00000000-0005-0000-0000-0000905A0000}"/>
    <cellStyle name="Normal 4 19 3" xfId="23182" xr:uid="{00000000-0005-0000-0000-0000915A0000}"/>
    <cellStyle name="Normal 4 19 3 2" xfId="23183" xr:uid="{00000000-0005-0000-0000-0000925A0000}"/>
    <cellStyle name="Normal 4 19 3 3" xfId="23184" xr:uid="{00000000-0005-0000-0000-0000935A0000}"/>
    <cellStyle name="Normal 4 19 4" xfId="23185" xr:uid="{00000000-0005-0000-0000-0000945A0000}"/>
    <cellStyle name="Normal 4 19 4 2" xfId="23186" xr:uid="{00000000-0005-0000-0000-0000955A0000}"/>
    <cellStyle name="Normal 4 19 4 3" xfId="23187" xr:uid="{00000000-0005-0000-0000-0000965A0000}"/>
    <cellStyle name="Normal 4 19 5" xfId="23188" xr:uid="{00000000-0005-0000-0000-0000975A0000}"/>
    <cellStyle name="Normal 4 19 6" xfId="23189" xr:uid="{00000000-0005-0000-0000-0000985A0000}"/>
    <cellStyle name="Normal 4 19 7" xfId="23190" xr:uid="{00000000-0005-0000-0000-0000995A0000}"/>
    <cellStyle name="Normal 4 2" xfId="23191" xr:uid="{00000000-0005-0000-0000-00009A5A0000}"/>
    <cellStyle name="Normal 4 2 10" xfId="23192" xr:uid="{00000000-0005-0000-0000-00009B5A0000}"/>
    <cellStyle name="Normal 4 2 11" xfId="23193" xr:uid="{00000000-0005-0000-0000-00009C5A0000}"/>
    <cellStyle name="Normal 4 2 12" xfId="23194" xr:uid="{00000000-0005-0000-0000-00009D5A0000}"/>
    <cellStyle name="Normal 4 2 2" xfId="23195" xr:uid="{00000000-0005-0000-0000-00009E5A0000}"/>
    <cellStyle name="Normal 4 2 2 10" xfId="23196" xr:uid="{00000000-0005-0000-0000-00009F5A0000}"/>
    <cellStyle name="Normal 4 2 2 2" xfId="23197" xr:uid="{00000000-0005-0000-0000-0000A05A0000}"/>
    <cellStyle name="Normal 4 2 2 2 2" xfId="23198" xr:uid="{00000000-0005-0000-0000-0000A15A0000}"/>
    <cellStyle name="Normal 4 2 2 2 2 2" xfId="23199" xr:uid="{00000000-0005-0000-0000-0000A25A0000}"/>
    <cellStyle name="Normal 4 2 2 2 2 2 2" xfId="23200" xr:uid="{00000000-0005-0000-0000-0000A35A0000}"/>
    <cellStyle name="Normal 4 2 2 2 2 2 3" xfId="23201" xr:uid="{00000000-0005-0000-0000-0000A45A0000}"/>
    <cellStyle name="Normal 4 2 2 2 2 3" xfId="23202" xr:uid="{00000000-0005-0000-0000-0000A55A0000}"/>
    <cellStyle name="Normal 4 2 2 2 2 3 2" xfId="23203" xr:uid="{00000000-0005-0000-0000-0000A65A0000}"/>
    <cellStyle name="Normal 4 2 2 2 2 3 3" xfId="23204" xr:uid="{00000000-0005-0000-0000-0000A75A0000}"/>
    <cellStyle name="Normal 4 2 2 2 2 4" xfId="23205" xr:uid="{00000000-0005-0000-0000-0000A85A0000}"/>
    <cellStyle name="Normal 4 2 2 2 2 5" xfId="23206" xr:uid="{00000000-0005-0000-0000-0000A95A0000}"/>
    <cellStyle name="Normal 4 2 2 2 2 6" xfId="23207" xr:uid="{00000000-0005-0000-0000-0000AA5A0000}"/>
    <cellStyle name="Normal 4 2 2 2 3" xfId="23208" xr:uid="{00000000-0005-0000-0000-0000AB5A0000}"/>
    <cellStyle name="Normal 4 2 2 2 3 2" xfId="23209" xr:uid="{00000000-0005-0000-0000-0000AC5A0000}"/>
    <cellStyle name="Normal 4 2 2 2 3 3" xfId="23210" xr:uid="{00000000-0005-0000-0000-0000AD5A0000}"/>
    <cellStyle name="Normal 4 2 2 2 4" xfId="23211" xr:uid="{00000000-0005-0000-0000-0000AE5A0000}"/>
    <cellStyle name="Normal 4 2 2 2 4 2" xfId="23212" xr:uid="{00000000-0005-0000-0000-0000AF5A0000}"/>
    <cellStyle name="Normal 4 2 2 2 4 3" xfId="23213" xr:uid="{00000000-0005-0000-0000-0000B05A0000}"/>
    <cellStyle name="Normal 4 2 2 2 5" xfId="23214" xr:uid="{00000000-0005-0000-0000-0000B15A0000}"/>
    <cellStyle name="Normal 4 2 2 2 5 2" xfId="23215" xr:uid="{00000000-0005-0000-0000-0000B25A0000}"/>
    <cellStyle name="Normal 4 2 2 2 5 3" xfId="23216" xr:uid="{00000000-0005-0000-0000-0000B35A0000}"/>
    <cellStyle name="Normal 4 2 2 2 6" xfId="23217" xr:uid="{00000000-0005-0000-0000-0000B45A0000}"/>
    <cellStyle name="Normal 4 2 2 2 7" xfId="23218" xr:uid="{00000000-0005-0000-0000-0000B55A0000}"/>
    <cellStyle name="Normal 4 2 2 2 8" xfId="23219" xr:uid="{00000000-0005-0000-0000-0000B65A0000}"/>
    <cellStyle name="Normal 4 2 2 3" xfId="23220" xr:uid="{00000000-0005-0000-0000-0000B75A0000}"/>
    <cellStyle name="Normal 4 2 2 3 2" xfId="23221" xr:uid="{00000000-0005-0000-0000-0000B85A0000}"/>
    <cellStyle name="Normal 4 2 2 3 2 2" xfId="23222" xr:uid="{00000000-0005-0000-0000-0000B95A0000}"/>
    <cellStyle name="Normal 4 2 2 3 2 2 2" xfId="23223" xr:uid="{00000000-0005-0000-0000-0000BA5A0000}"/>
    <cellStyle name="Normal 4 2 2 3 2 2 3" xfId="23224" xr:uid="{00000000-0005-0000-0000-0000BB5A0000}"/>
    <cellStyle name="Normal 4 2 2 3 2 3" xfId="23225" xr:uid="{00000000-0005-0000-0000-0000BC5A0000}"/>
    <cellStyle name="Normal 4 2 2 3 2 3 2" xfId="23226" xr:uid="{00000000-0005-0000-0000-0000BD5A0000}"/>
    <cellStyle name="Normal 4 2 2 3 2 3 3" xfId="23227" xr:uid="{00000000-0005-0000-0000-0000BE5A0000}"/>
    <cellStyle name="Normal 4 2 2 3 2 4" xfId="23228" xr:uid="{00000000-0005-0000-0000-0000BF5A0000}"/>
    <cellStyle name="Normal 4 2 2 3 2 5" xfId="23229" xr:uid="{00000000-0005-0000-0000-0000C05A0000}"/>
    <cellStyle name="Normal 4 2 2 3 2 6" xfId="23230" xr:uid="{00000000-0005-0000-0000-0000C15A0000}"/>
    <cellStyle name="Normal 4 2 2 3 3" xfId="23231" xr:uid="{00000000-0005-0000-0000-0000C25A0000}"/>
    <cellStyle name="Normal 4 2 2 3 3 2" xfId="23232" xr:uid="{00000000-0005-0000-0000-0000C35A0000}"/>
    <cellStyle name="Normal 4 2 2 3 3 3" xfId="23233" xr:uid="{00000000-0005-0000-0000-0000C45A0000}"/>
    <cellStyle name="Normal 4 2 2 3 4" xfId="23234" xr:uid="{00000000-0005-0000-0000-0000C55A0000}"/>
    <cellStyle name="Normal 4 2 2 3 4 2" xfId="23235" xr:uid="{00000000-0005-0000-0000-0000C65A0000}"/>
    <cellStyle name="Normal 4 2 2 3 4 3" xfId="23236" xr:uid="{00000000-0005-0000-0000-0000C75A0000}"/>
    <cellStyle name="Normal 4 2 2 3 5" xfId="23237" xr:uid="{00000000-0005-0000-0000-0000C85A0000}"/>
    <cellStyle name="Normal 4 2 2 3 5 2" xfId="23238" xr:uid="{00000000-0005-0000-0000-0000C95A0000}"/>
    <cellStyle name="Normal 4 2 2 3 5 3" xfId="23239" xr:uid="{00000000-0005-0000-0000-0000CA5A0000}"/>
    <cellStyle name="Normal 4 2 2 3 6" xfId="23240" xr:uid="{00000000-0005-0000-0000-0000CB5A0000}"/>
    <cellStyle name="Normal 4 2 2 3 7" xfId="23241" xr:uid="{00000000-0005-0000-0000-0000CC5A0000}"/>
    <cellStyle name="Normal 4 2 2 3 8" xfId="23242" xr:uid="{00000000-0005-0000-0000-0000CD5A0000}"/>
    <cellStyle name="Normal 4 2 2 4" xfId="23243" xr:uid="{00000000-0005-0000-0000-0000CE5A0000}"/>
    <cellStyle name="Normal 4 2 2 4 2" xfId="23244" xr:uid="{00000000-0005-0000-0000-0000CF5A0000}"/>
    <cellStyle name="Normal 4 2 2 4 2 2" xfId="23245" xr:uid="{00000000-0005-0000-0000-0000D05A0000}"/>
    <cellStyle name="Normal 4 2 2 4 2 3" xfId="23246" xr:uid="{00000000-0005-0000-0000-0000D15A0000}"/>
    <cellStyle name="Normal 4 2 2 4 3" xfId="23247" xr:uid="{00000000-0005-0000-0000-0000D25A0000}"/>
    <cellStyle name="Normal 4 2 2 4 3 2" xfId="23248" xr:uid="{00000000-0005-0000-0000-0000D35A0000}"/>
    <cellStyle name="Normal 4 2 2 4 3 3" xfId="23249" xr:uid="{00000000-0005-0000-0000-0000D45A0000}"/>
    <cellStyle name="Normal 4 2 2 4 4" xfId="23250" xr:uid="{00000000-0005-0000-0000-0000D55A0000}"/>
    <cellStyle name="Normal 4 2 2 4 5" xfId="23251" xr:uid="{00000000-0005-0000-0000-0000D65A0000}"/>
    <cellStyle name="Normal 4 2 2 4 6" xfId="23252" xr:uid="{00000000-0005-0000-0000-0000D75A0000}"/>
    <cellStyle name="Normal 4 2 2 5" xfId="23253" xr:uid="{00000000-0005-0000-0000-0000D85A0000}"/>
    <cellStyle name="Normal 4 2 2 5 2" xfId="23254" xr:uid="{00000000-0005-0000-0000-0000D95A0000}"/>
    <cellStyle name="Normal 4 2 2 5 3" xfId="23255" xr:uid="{00000000-0005-0000-0000-0000DA5A0000}"/>
    <cellStyle name="Normal 4 2 2 6" xfId="23256" xr:uid="{00000000-0005-0000-0000-0000DB5A0000}"/>
    <cellStyle name="Normal 4 2 2 6 2" xfId="23257" xr:uid="{00000000-0005-0000-0000-0000DC5A0000}"/>
    <cellStyle name="Normal 4 2 2 6 3" xfId="23258" xr:uid="{00000000-0005-0000-0000-0000DD5A0000}"/>
    <cellStyle name="Normal 4 2 2 7" xfId="23259" xr:uid="{00000000-0005-0000-0000-0000DE5A0000}"/>
    <cellStyle name="Normal 4 2 2 7 2" xfId="23260" xr:uid="{00000000-0005-0000-0000-0000DF5A0000}"/>
    <cellStyle name="Normal 4 2 2 7 3" xfId="23261" xr:uid="{00000000-0005-0000-0000-0000E05A0000}"/>
    <cellStyle name="Normal 4 2 2 8" xfId="23262" xr:uid="{00000000-0005-0000-0000-0000E15A0000}"/>
    <cellStyle name="Normal 4 2 2 9" xfId="23263" xr:uid="{00000000-0005-0000-0000-0000E25A0000}"/>
    <cellStyle name="Normal 4 2 3" xfId="23264" xr:uid="{00000000-0005-0000-0000-0000E35A0000}"/>
    <cellStyle name="Normal 4 2 3 2" xfId="23265" xr:uid="{00000000-0005-0000-0000-0000E45A0000}"/>
    <cellStyle name="Normal 4 2 3 2 2" xfId="23266" xr:uid="{00000000-0005-0000-0000-0000E55A0000}"/>
    <cellStyle name="Normal 4 2 3 2 2 2" xfId="23267" xr:uid="{00000000-0005-0000-0000-0000E65A0000}"/>
    <cellStyle name="Normal 4 2 3 2 2 3" xfId="23268" xr:uid="{00000000-0005-0000-0000-0000E75A0000}"/>
    <cellStyle name="Normal 4 2 3 2 3" xfId="23269" xr:uid="{00000000-0005-0000-0000-0000E85A0000}"/>
    <cellStyle name="Normal 4 2 3 2 3 2" xfId="23270" xr:uid="{00000000-0005-0000-0000-0000E95A0000}"/>
    <cellStyle name="Normal 4 2 3 2 3 3" xfId="23271" xr:uid="{00000000-0005-0000-0000-0000EA5A0000}"/>
    <cellStyle name="Normal 4 2 3 2 4" xfId="23272" xr:uid="{00000000-0005-0000-0000-0000EB5A0000}"/>
    <cellStyle name="Normal 4 2 3 2 5" xfId="23273" xr:uid="{00000000-0005-0000-0000-0000EC5A0000}"/>
    <cellStyle name="Normal 4 2 3 2 6" xfId="23274" xr:uid="{00000000-0005-0000-0000-0000ED5A0000}"/>
    <cellStyle name="Normal 4 2 3 3" xfId="23275" xr:uid="{00000000-0005-0000-0000-0000EE5A0000}"/>
    <cellStyle name="Normal 4 2 3 3 2" xfId="23276" xr:uid="{00000000-0005-0000-0000-0000EF5A0000}"/>
    <cellStyle name="Normal 4 2 3 3 3" xfId="23277" xr:uid="{00000000-0005-0000-0000-0000F05A0000}"/>
    <cellStyle name="Normal 4 2 3 4" xfId="23278" xr:uid="{00000000-0005-0000-0000-0000F15A0000}"/>
    <cellStyle name="Normal 4 2 3 4 2" xfId="23279" xr:uid="{00000000-0005-0000-0000-0000F25A0000}"/>
    <cellStyle name="Normal 4 2 3 4 3" xfId="23280" xr:uid="{00000000-0005-0000-0000-0000F35A0000}"/>
    <cellStyle name="Normal 4 2 3 5" xfId="23281" xr:uid="{00000000-0005-0000-0000-0000F45A0000}"/>
    <cellStyle name="Normal 4 2 3 5 2" xfId="23282" xr:uid="{00000000-0005-0000-0000-0000F55A0000}"/>
    <cellStyle name="Normal 4 2 3 5 3" xfId="23283" xr:uid="{00000000-0005-0000-0000-0000F65A0000}"/>
    <cellStyle name="Normal 4 2 3 6" xfId="23284" xr:uid="{00000000-0005-0000-0000-0000F75A0000}"/>
    <cellStyle name="Normal 4 2 3 7" xfId="23285" xr:uid="{00000000-0005-0000-0000-0000F85A0000}"/>
    <cellStyle name="Normal 4 2 3 8" xfId="23286" xr:uid="{00000000-0005-0000-0000-0000F95A0000}"/>
    <cellStyle name="Normal 4 2 4" xfId="23287" xr:uid="{00000000-0005-0000-0000-0000FA5A0000}"/>
    <cellStyle name="Normal 4 2 4 2" xfId="23288" xr:uid="{00000000-0005-0000-0000-0000FB5A0000}"/>
    <cellStyle name="Normal 4 2 4 2 2" xfId="23289" xr:uid="{00000000-0005-0000-0000-0000FC5A0000}"/>
    <cellStyle name="Normal 4 2 4 2 2 2" xfId="23290" xr:uid="{00000000-0005-0000-0000-0000FD5A0000}"/>
    <cellStyle name="Normal 4 2 4 2 2 3" xfId="23291" xr:uid="{00000000-0005-0000-0000-0000FE5A0000}"/>
    <cellStyle name="Normal 4 2 4 2 3" xfId="23292" xr:uid="{00000000-0005-0000-0000-0000FF5A0000}"/>
    <cellStyle name="Normal 4 2 4 2 3 2" xfId="23293" xr:uid="{00000000-0005-0000-0000-0000005B0000}"/>
    <cellStyle name="Normal 4 2 4 2 3 3" xfId="23294" xr:uid="{00000000-0005-0000-0000-0000015B0000}"/>
    <cellStyle name="Normal 4 2 4 2 4" xfId="23295" xr:uid="{00000000-0005-0000-0000-0000025B0000}"/>
    <cellStyle name="Normal 4 2 4 2 5" xfId="23296" xr:uid="{00000000-0005-0000-0000-0000035B0000}"/>
    <cellStyle name="Normal 4 2 4 2 6" xfId="23297" xr:uid="{00000000-0005-0000-0000-0000045B0000}"/>
    <cellStyle name="Normal 4 2 4 3" xfId="23298" xr:uid="{00000000-0005-0000-0000-0000055B0000}"/>
    <cellStyle name="Normal 4 2 4 3 2" xfId="23299" xr:uid="{00000000-0005-0000-0000-0000065B0000}"/>
    <cellStyle name="Normal 4 2 4 3 3" xfId="23300" xr:uid="{00000000-0005-0000-0000-0000075B0000}"/>
    <cellStyle name="Normal 4 2 4 4" xfId="23301" xr:uid="{00000000-0005-0000-0000-0000085B0000}"/>
    <cellStyle name="Normal 4 2 4 4 2" xfId="23302" xr:uid="{00000000-0005-0000-0000-0000095B0000}"/>
    <cellStyle name="Normal 4 2 4 4 3" xfId="23303" xr:uid="{00000000-0005-0000-0000-00000A5B0000}"/>
    <cellStyle name="Normal 4 2 4 5" xfId="23304" xr:uid="{00000000-0005-0000-0000-00000B5B0000}"/>
    <cellStyle name="Normal 4 2 4 5 2" xfId="23305" xr:uid="{00000000-0005-0000-0000-00000C5B0000}"/>
    <cellStyle name="Normal 4 2 4 5 3" xfId="23306" xr:uid="{00000000-0005-0000-0000-00000D5B0000}"/>
    <cellStyle name="Normal 4 2 4 6" xfId="23307" xr:uid="{00000000-0005-0000-0000-00000E5B0000}"/>
    <cellStyle name="Normal 4 2 4 7" xfId="23308" xr:uid="{00000000-0005-0000-0000-00000F5B0000}"/>
    <cellStyle name="Normal 4 2 4 8" xfId="23309" xr:uid="{00000000-0005-0000-0000-0000105B0000}"/>
    <cellStyle name="Normal 4 2 5" xfId="23310" xr:uid="{00000000-0005-0000-0000-0000115B0000}"/>
    <cellStyle name="Normal 4 2 5 2" xfId="23311" xr:uid="{00000000-0005-0000-0000-0000125B0000}"/>
    <cellStyle name="Normal 4 2 5 2 2" xfId="23312" xr:uid="{00000000-0005-0000-0000-0000135B0000}"/>
    <cellStyle name="Normal 4 2 5 2 2 2" xfId="23313" xr:uid="{00000000-0005-0000-0000-0000145B0000}"/>
    <cellStyle name="Normal 4 2 5 2 2 3" xfId="23314" xr:uid="{00000000-0005-0000-0000-0000155B0000}"/>
    <cellStyle name="Normal 4 2 5 2 3" xfId="23315" xr:uid="{00000000-0005-0000-0000-0000165B0000}"/>
    <cellStyle name="Normal 4 2 5 2 3 2" xfId="23316" xr:uid="{00000000-0005-0000-0000-0000175B0000}"/>
    <cellStyle name="Normal 4 2 5 2 3 3" xfId="23317" xr:uid="{00000000-0005-0000-0000-0000185B0000}"/>
    <cellStyle name="Normal 4 2 5 2 4" xfId="23318" xr:uid="{00000000-0005-0000-0000-0000195B0000}"/>
    <cellStyle name="Normal 4 2 5 2 5" xfId="23319" xr:uid="{00000000-0005-0000-0000-00001A5B0000}"/>
    <cellStyle name="Normal 4 2 5 2 6" xfId="23320" xr:uid="{00000000-0005-0000-0000-00001B5B0000}"/>
    <cellStyle name="Normal 4 2 5 3" xfId="23321" xr:uid="{00000000-0005-0000-0000-00001C5B0000}"/>
    <cellStyle name="Normal 4 2 5 3 2" xfId="23322" xr:uid="{00000000-0005-0000-0000-00001D5B0000}"/>
    <cellStyle name="Normal 4 2 5 3 3" xfId="23323" xr:uid="{00000000-0005-0000-0000-00001E5B0000}"/>
    <cellStyle name="Normal 4 2 5 4" xfId="23324" xr:uid="{00000000-0005-0000-0000-00001F5B0000}"/>
    <cellStyle name="Normal 4 2 5 4 2" xfId="23325" xr:uid="{00000000-0005-0000-0000-0000205B0000}"/>
    <cellStyle name="Normal 4 2 5 4 3" xfId="23326" xr:uid="{00000000-0005-0000-0000-0000215B0000}"/>
    <cellStyle name="Normal 4 2 5 5" xfId="23327" xr:uid="{00000000-0005-0000-0000-0000225B0000}"/>
    <cellStyle name="Normal 4 2 5 5 2" xfId="23328" xr:uid="{00000000-0005-0000-0000-0000235B0000}"/>
    <cellStyle name="Normal 4 2 5 5 3" xfId="23329" xr:uid="{00000000-0005-0000-0000-0000245B0000}"/>
    <cellStyle name="Normal 4 2 5 6" xfId="23330" xr:uid="{00000000-0005-0000-0000-0000255B0000}"/>
    <cellStyle name="Normal 4 2 5 7" xfId="23331" xr:uid="{00000000-0005-0000-0000-0000265B0000}"/>
    <cellStyle name="Normal 4 2 5 8" xfId="23332" xr:uid="{00000000-0005-0000-0000-0000275B0000}"/>
    <cellStyle name="Normal 4 2 6" xfId="23333" xr:uid="{00000000-0005-0000-0000-0000285B0000}"/>
    <cellStyle name="Normal 4 2 6 2" xfId="23334" xr:uid="{00000000-0005-0000-0000-0000295B0000}"/>
    <cellStyle name="Normal 4 2 6 2 2" xfId="23335" xr:uid="{00000000-0005-0000-0000-00002A5B0000}"/>
    <cellStyle name="Normal 4 2 6 2 3" xfId="23336" xr:uid="{00000000-0005-0000-0000-00002B5B0000}"/>
    <cellStyle name="Normal 4 2 6 3" xfId="23337" xr:uid="{00000000-0005-0000-0000-00002C5B0000}"/>
    <cellStyle name="Normal 4 2 6 3 2" xfId="23338" xr:uid="{00000000-0005-0000-0000-00002D5B0000}"/>
    <cellStyle name="Normal 4 2 6 3 3" xfId="23339" xr:uid="{00000000-0005-0000-0000-00002E5B0000}"/>
    <cellStyle name="Normal 4 2 6 4" xfId="23340" xr:uid="{00000000-0005-0000-0000-00002F5B0000}"/>
    <cellStyle name="Normal 4 2 6 5" xfId="23341" xr:uid="{00000000-0005-0000-0000-0000305B0000}"/>
    <cellStyle name="Normal 4 2 6 6" xfId="23342" xr:uid="{00000000-0005-0000-0000-0000315B0000}"/>
    <cellStyle name="Normal 4 2 7" xfId="23343" xr:uid="{00000000-0005-0000-0000-0000325B0000}"/>
    <cellStyle name="Normal 4 2 7 2" xfId="23344" xr:uid="{00000000-0005-0000-0000-0000335B0000}"/>
    <cellStyle name="Normal 4 2 7 3" xfId="23345" xr:uid="{00000000-0005-0000-0000-0000345B0000}"/>
    <cellStyle name="Normal 4 2 8" xfId="23346" xr:uid="{00000000-0005-0000-0000-0000355B0000}"/>
    <cellStyle name="Normal 4 2 8 2" xfId="23347" xr:uid="{00000000-0005-0000-0000-0000365B0000}"/>
    <cellStyle name="Normal 4 2 8 3" xfId="23348" xr:uid="{00000000-0005-0000-0000-0000375B0000}"/>
    <cellStyle name="Normal 4 2 9" xfId="23349" xr:uid="{00000000-0005-0000-0000-0000385B0000}"/>
    <cellStyle name="Normal 4 2 9 2" xfId="23350" xr:uid="{00000000-0005-0000-0000-0000395B0000}"/>
    <cellStyle name="Normal 4 2 9 3" xfId="23351" xr:uid="{00000000-0005-0000-0000-00003A5B0000}"/>
    <cellStyle name="Normal 4 20" xfId="23352" xr:uid="{00000000-0005-0000-0000-00003B5B0000}"/>
    <cellStyle name="Normal 4 20 2" xfId="23353" xr:uid="{00000000-0005-0000-0000-00003C5B0000}"/>
    <cellStyle name="Normal 4 20 2 2" xfId="23354" xr:uid="{00000000-0005-0000-0000-00003D5B0000}"/>
    <cellStyle name="Normal 4 20 2 2 2" xfId="23355" xr:uid="{00000000-0005-0000-0000-00003E5B0000}"/>
    <cellStyle name="Normal 4 20 2 2 3" xfId="23356" xr:uid="{00000000-0005-0000-0000-00003F5B0000}"/>
    <cellStyle name="Normal 4 20 2 3" xfId="23357" xr:uid="{00000000-0005-0000-0000-0000405B0000}"/>
    <cellStyle name="Normal 4 20 2 3 2" xfId="23358" xr:uid="{00000000-0005-0000-0000-0000415B0000}"/>
    <cellStyle name="Normal 4 20 2 3 3" xfId="23359" xr:uid="{00000000-0005-0000-0000-0000425B0000}"/>
    <cellStyle name="Normal 4 20 2 4" xfId="23360" xr:uid="{00000000-0005-0000-0000-0000435B0000}"/>
    <cellStyle name="Normal 4 20 2 5" xfId="23361" xr:uid="{00000000-0005-0000-0000-0000445B0000}"/>
    <cellStyle name="Normal 4 20 2 6" xfId="23362" xr:uid="{00000000-0005-0000-0000-0000455B0000}"/>
    <cellStyle name="Normal 4 20 3" xfId="23363" xr:uid="{00000000-0005-0000-0000-0000465B0000}"/>
    <cellStyle name="Normal 4 20 3 2" xfId="23364" xr:uid="{00000000-0005-0000-0000-0000475B0000}"/>
    <cellStyle name="Normal 4 20 3 3" xfId="23365" xr:uid="{00000000-0005-0000-0000-0000485B0000}"/>
    <cellStyle name="Normal 4 20 4" xfId="23366" xr:uid="{00000000-0005-0000-0000-0000495B0000}"/>
    <cellStyle name="Normal 4 20 4 2" xfId="23367" xr:uid="{00000000-0005-0000-0000-00004A5B0000}"/>
    <cellStyle name="Normal 4 20 4 3" xfId="23368" xr:uid="{00000000-0005-0000-0000-00004B5B0000}"/>
    <cellStyle name="Normal 4 20 5" xfId="23369" xr:uid="{00000000-0005-0000-0000-00004C5B0000}"/>
    <cellStyle name="Normal 4 20 6" xfId="23370" xr:uid="{00000000-0005-0000-0000-00004D5B0000}"/>
    <cellStyle name="Normal 4 20 7" xfId="23371" xr:uid="{00000000-0005-0000-0000-00004E5B0000}"/>
    <cellStyle name="Normal 4 21" xfId="23372" xr:uid="{00000000-0005-0000-0000-00004F5B0000}"/>
    <cellStyle name="Normal 4 21 2" xfId="23373" xr:uid="{00000000-0005-0000-0000-0000505B0000}"/>
    <cellStyle name="Normal 4 21 2 2" xfId="23374" xr:uid="{00000000-0005-0000-0000-0000515B0000}"/>
    <cellStyle name="Normal 4 21 2 2 2" xfId="23375" xr:uid="{00000000-0005-0000-0000-0000525B0000}"/>
    <cellStyle name="Normal 4 21 2 2 3" xfId="23376" xr:uid="{00000000-0005-0000-0000-0000535B0000}"/>
    <cellStyle name="Normal 4 21 2 3" xfId="23377" xr:uid="{00000000-0005-0000-0000-0000545B0000}"/>
    <cellStyle name="Normal 4 21 2 3 2" xfId="23378" xr:uid="{00000000-0005-0000-0000-0000555B0000}"/>
    <cellStyle name="Normal 4 21 2 3 3" xfId="23379" xr:uid="{00000000-0005-0000-0000-0000565B0000}"/>
    <cellStyle name="Normal 4 21 2 4" xfId="23380" xr:uid="{00000000-0005-0000-0000-0000575B0000}"/>
    <cellStyle name="Normal 4 21 2 5" xfId="23381" xr:uid="{00000000-0005-0000-0000-0000585B0000}"/>
    <cellStyle name="Normal 4 21 2 6" xfId="23382" xr:uid="{00000000-0005-0000-0000-0000595B0000}"/>
    <cellStyle name="Normal 4 21 3" xfId="23383" xr:uid="{00000000-0005-0000-0000-00005A5B0000}"/>
    <cellStyle name="Normal 4 21 3 2" xfId="23384" xr:uid="{00000000-0005-0000-0000-00005B5B0000}"/>
    <cellStyle name="Normal 4 21 3 3" xfId="23385" xr:uid="{00000000-0005-0000-0000-00005C5B0000}"/>
    <cellStyle name="Normal 4 21 4" xfId="23386" xr:uid="{00000000-0005-0000-0000-00005D5B0000}"/>
    <cellStyle name="Normal 4 21 4 2" xfId="23387" xr:uid="{00000000-0005-0000-0000-00005E5B0000}"/>
    <cellStyle name="Normal 4 21 4 3" xfId="23388" xr:uid="{00000000-0005-0000-0000-00005F5B0000}"/>
    <cellStyle name="Normal 4 21 5" xfId="23389" xr:uid="{00000000-0005-0000-0000-0000605B0000}"/>
    <cellStyle name="Normal 4 21 6" xfId="23390" xr:uid="{00000000-0005-0000-0000-0000615B0000}"/>
    <cellStyle name="Normal 4 21 7" xfId="23391" xr:uid="{00000000-0005-0000-0000-0000625B0000}"/>
    <cellStyle name="Normal 4 22" xfId="23392" xr:uid="{00000000-0005-0000-0000-0000635B0000}"/>
    <cellStyle name="Normal 4 22 2" xfId="23393" xr:uid="{00000000-0005-0000-0000-0000645B0000}"/>
    <cellStyle name="Normal 4 22 2 2" xfId="23394" xr:uid="{00000000-0005-0000-0000-0000655B0000}"/>
    <cellStyle name="Normal 4 22 2 3" xfId="23395" xr:uid="{00000000-0005-0000-0000-0000665B0000}"/>
    <cellStyle name="Normal 4 22 3" xfId="23396" xr:uid="{00000000-0005-0000-0000-0000675B0000}"/>
    <cellStyle name="Normal 4 22 3 2" xfId="23397" xr:uid="{00000000-0005-0000-0000-0000685B0000}"/>
    <cellStyle name="Normal 4 22 3 3" xfId="23398" xr:uid="{00000000-0005-0000-0000-0000695B0000}"/>
    <cellStyle name="Normal 4 22 4" xfId="23399" xr:uid="{00000000-0005-0000-0000-00006A5B0000}"/>
    <cellStyle name="Normal 4 22 5" xfId="23400" xr:uid="{00000000-0005-0000-0000-00006B5B0000}"/>
    <cellStyle name="Normal 4 22 6" xfId="23401" xr:uid="{00000000-0005-0000-0000-00006C5B0000}"/>
    <cellStyle name="Normal 4 23" xfId="23402" xr:uid="{00000000-0005-0000-0000-00006D5B0000}"/>
    <cellStyle name="Normal 4 23 2" xfId="23403" xr:uid="{00000000-0005-0000-0000-00006E5B0000}"/>
    <cellStyle name="Normal 4 23 3" xfId="23404" xr:uid="{00000000-0005-0000-0000-00006F5B0000}"/>
    <cellStyle name="Normal 4 23 4" xfId="23405" xr:uid="{00000000-0005-0000-0000-0000705B0000}"/>
    <cellStyle name="Normal 4 24" xfId="23406" xr:uid="{00000000-0005-0000-0000-0000715B0000}"/>
    <cellStyle name="Normal 4 24 2" xfId="23407" xr:uid="{00000000-0005-0000-0000-0000725B0000}"/>
    <cellStyle name="Normal 4 24 3" xfId="23408" xr:uid="{00000000-0005-0000-0000-0000735B0000}"/>
    <cellStyle name="Normal 4 25" xfId="23409" xr:uid="{00000000-0005-0000-0000-0000745B0000}"/>
    <cellStyle name="Normal 4 25 2" xfId="23410" xr:uid="{00000000-0005-0000-0000-0000755B0000}"/>
    <cellStyle name="Normal 4 25 3" xfId="23411" xr:uid="{00000000-0005-0000-0000-0000765B0000}"/>
    <cellStyle name="Normal 4 26" xfId="23412" xr:uid="{00000000-0005-0000-0000-0000775B0000}"/>
    <cellStyle name="Normal 4 27" xfId="23413" xr:uid="{00000000-0005-0000-0000-0000785B0000}"/>
    <cellStyle name="Normal 4 28" xfId="23414" xr:uid="{00000000-0005-0000-0000-0000795B0000}"/>
    <cellStyle name="Normal 4 3" xfId="23415" xr:uid="{00000000-0005-0000-0000-00007A5B0000}"/>
    <cellStyle name="Normal 4 3 10" xfId="23416" xr:uid="{00000000-0005-0000-0000-00007B5B0000}"/>
    <cellStyle name="Normal 4 3 11" xfId="23417" xr:uid="{00000000-0005-0000-0000-00007C5B0000}"/>
    <cellStyle name="Normal 4 3 12" xfId="23418" xr:uid="{00000000-0005-0000-0000-00007D5B0000}"/>
    <cellStyle name="Normal 4 3 2" xfId="23419" xr:uid="{00000000-0005-0000-0000-00007E5B0000}"/>
    <cellStyle name="Normal 4 3 2 10" xfId="23420" xr:uid="{00000000-0005-0000-0000-00007F5B0000}"/>
    <cellStyle name="Normal 4 3 2 2" xfId="23421" xr:uid="{00000000-0005-0000-0000-0000805B0000}"/>
    <cellStyle name="Normal 4 3 2 2 2" xfId="23422" xr:uid="{00000000-0005-0000-0000-0000815B0000}"/>
    <cellStyle name="Normal 4 3 2 2 2 2" xfId="23423" xr:uid="{00000000-0005-0000-0000-0000825B0000}"/>
    <cellStyle name="Normal 4 3 2 2 2 2 2" xfId="23424" xr:uid="{00000000-0005-0000-0000-0000835B0000}"/>
    <cellStyle name="Normal 4 3 2 2 2 2 3" xfId="23425" xr:uid="{00000000-0005-0000-0000-0000845B0000}"/>
    <cellStyle name="Normal 4 3 2 2 2 3" xfId="23426" xr:uid="{00000000-0005-0000-0000-0000855B0000}"/>
    <cellStyle name="Normal 4 3 2 2 2 3 2" xfId="23427" xr:uid="{00000000-0005-0000-0000-0000865B0000}"/>
    <cellStyle name="Normal 4 3 2 2 2 3 3" xfId="23428" xr:uid="{00000000-0005-0000-0000-0000875B0000}"/>
    <cellStyle name="Normal 4 3 2 2 2 4" xfId="23429" xr:uid="{00000000-0005-0000-0000-0000885B0000}"/>
    <cellStyle name="Normal 4 3 2 2 2 5" xfId="23430" xr:uid="{00000000-0005-0000-0000-0000895B0000}"/>
    <cellStyle name="Normal 4 3 2 2 2 6" xfId="23431" xr:uid="{00000000-0005-0000-0000-00008A5B0000}"/>
    <cellStyle name="Normal 4 3 2 2 3" xfId="23432" xr:uid="{00000000-0005-0000-0000-00008B5B0000}"/>
    <cellStyle name="Normal 4 3 2 2 3 2" xfId="23433" xr:uid="{00000000-0005-0000-0000-00008C5B0000}"/>
    <cellStyle name="Normal 4 3 2 2 3 3" xfId="23434" xr:uid="{00000000-0005-0000-0000-00008D5B0000}"/>
    <cellStyle name="Normal 4 3 2 2 4" xfId="23435" xr:uid="{00000000-0005-0000-0000-00008E5B0000}"/>
    <cellStyle name="Normal 4 3 2 2 4 2" xfId="23436" xr:uid="{00000000-0005-0000-0000-00008F5B0000}"/>
    <cellStyle name="Normal 4 3 2 2 4 3" xfId="23437" xr:uid="{00000000-0005-0000-0000-0000905B0000}"/>
    <cellStyle name="Normal 4 3 2 2 5" xfId="23438" xr:uid="{00000000-0005-0000-0000-0000915B0000}"/>
    <cellStyle name="Normal 4 3 2 2 5 2" xfId="23439" xr:uid="{00000000-0005-0000-0000-0000925B0000}"/>
    <cellStyle name="Normal 4 3 2 2 5 3" xfId="23440" xr:uid="{00000000-0005-0000-0000-0000935B0000}"/>
    <cellStyle name="Normal 4 3 2 2 6" xfId="23441" xr:uid="{00000000-0005-0000-0000-0000945B0000}"/>
    <cellStyle name="Normal 4 3 2 2 7" xfId="23442" xr:uid="{00000000-0005-0000-0000-0000955B0000}"/>
    <cellStyle name="Normal 4 3 2 2 8" xfId="23443" xr:uid="{00000000-0005-0000-0000-0000965B0000}"/>
    <cellStyle name="Normal 4 3 2 3" xfId="23444" xr:uid="{00000000-0005-0000-0000-0000975B0000}"/>
    <cellStyle name="Normal 4 3 2 3 2" xfId="23445" xr:uid="{00000000-0005-0000-0000-0000985B0000}"/>
    <cellStyle name="Normal 4 3 2 3 2 2" xfId="23446" xr:uid="{00000000-0005-0000-0000-0000995B0000}"/>
    <cellStyle name="Normal 4 3 2 3 2 2 2" xfId="23447" xr:uid="{00000000-0005-0000-0000-00009A5B0000}"/>
    <cellStyle name="Normal 4 3 2 3 2 2 3" xfId="23448" xr:uid="{00000000-0005-0000-0000-00009B5B0000}"/>
    <cellStyle name="Normal 4 3 2 3 2 3" xfId="23449" xr:uid="{00000000-0005-0000-0000-00009C5B0000}"/>
    <cellStyle name="Normal 4 3 2 3 2 3 2" xfId="23450" xr:uid="{00000000-0005-0000-0000-00009D5B0000}"/>
    <cellStyle name="Normal 4 3 2 3 2 3 3" xfId="23451" xr:uid="{00000000-0005-0000-0000-00009E5B0000}"/>
    <cellStyle name="Normal 4 3 2 3 2 4" xfId="23452" xr:uid="{00000000-0005-0000-0000-00009F5B0000}"/>
    <cellStyle name="Normal 4 3 2 3 2 5" xfId="23453" xr:uid="{00000000-0005-0000-0000-0000A05B0000}"/>
    <cellStyle name="Normal 4 3 2 3 2 6" xfId="23454" xr:uid="{00000000-0005-0000-0000-0000A15B0000}"/>
    <cellStyle name="Normal 4 3 2 3 3" xfId="23455" xr:uid="{00000000-0005-0000-0000-0000A25B0000}"/>
    <cellStyle name="Normal 4 3 2 3 3 2" xfId="23456" xr:uid="{00000000-0005-0000-0000-0000A35B0000}"/>
    <cellStyle name="Normal 4 3 2 3 3 3" xfId="23457" xr:uid="{00000000-0005-0000-0000-0000A45B0000}"/>
    <cellStyle name="Normal 4 3 2 3 4" xfId="23458" xr:uid="{00000000-0005-0000-0000-0000A55B0000}"/>
    <cellStyle name="Normal 4 3 2 3 4 2" xfId="23459" xr:uid="{00000000-0005-0000-0000-0000A65B0000}"/>
    <cellStyle name="Normal 4 3 2 3 4 3" xfId="23460" xr:uid="{00000000-0005-0000-0000-0000A75B0000}"/>
    <cellStyle name="Normal 4 3 2 3 5" xfId="23461" xr:uid="{00000000-0005-0000-0000-0000A85B0000}"/>
    <cellStyle name="Normal 4 3 2 3 5 2" xfId="23462" xr:uid="{00000000-0005-0000-0000-0000A95B0000}"/>
    <cellStyle name="Normal 4 3 2 3 5 3" xfId="23463" xr:uid="{00000000-0005-0000-0000-0000AA5B0000}"/>
    <cellStyle name="Normal 4 3 2 3 6" xfId="23464" xr:uid="{00000000-0005-0000-0000-0000AB5B0000}"/>
    <cellStyle name="Normal 4 3 2 3 7" xfId="23465" xr:uid="{00000000-0005-0000-0000-0000AC5B0000}"/>
    <cellStyle name="Normal 4 3 2 3 8" xfId="23466" xr:uid="{00000000-0005-0000-0000-0000AD5B0000}"/>
    <cellStyle name="Normal 4 3 2 4" xfId="23467" xr:uid="{00000000-0005-0000-0000-0000AE5B0000}"/>
    <cellStyle name="Normal 4 3 2 4 2" xfId="23468" xr:uid="{00000000-0005-0000-0000-0000AF5B0000}"/>
    <cellStyle name="Normal 4 3 2 4 2 2" xfId="23469" xr:uid="{00000000-0005-0000-0000-0000B05B0000}"/>
    <cellStyle name="Normal 4 3 2 4 2 3" xfId="23470" xr:uid="{00000000-0005-0000-0000-0000B15B0000}"/>
    <cellStyle name="Normal 4 3 2 4 3" xfId="23471" xr:uid="{00000000-0005-0000-0000-0000B25B0000}"/>
    <cellStyle name="Normal 4 3 2 4 3 2" xfId="23472" xr:uid="{00000000-0005-0000-0000-0000B35B0000}"/>
    <cellStyle name="Normal 4 3 2 4 3 3" xfId="23473" xr:uid="{00000000-0005-0000-0000-0000B45B0000}"/>
    <cellStyle name="Normal 4 3 2 4 4" xfId="23474" xr:uid="{00000000-0005-0000-0000-0000B55B0000}"/>
    <cellStyle name="Normal 4 3 2 4 5" xfId="23475" xr:uid="{00000000-0005-0000-0000-0000B65B0000}"/>
    <cellStyle name="Normal 4 3 2 4 6" xfId="23476" xr:uid="{00000000-0005-0000-0000-0000B75B0000}"/>
    <cellStyle name="Normal 4 3 2 5" xfId="23477" xr:uid="{00000000-0005-0000-0000-0000B85B0000}"/>
    <cellStyle name="Normal 4 3 2 5 2" xfId="23478" xr:uid="{00000000-0005-0000-0000-0000B95B0000}"/>
    <cellStyle name="Normal 4 3 2 5 3" xfId="23479" xr:uid="{00000000-0005-0000-0000-0000BA5B0000}"/>
    <cellStyle name="Normal 4 3 2 6" xfId="23480" xr:uid="{00000000-0005-0000-0000-0000BB5B0000}"/>
    <cellStyle name="Normal 4 3 2 6 2" xfId="23481" xr:uid="{00000000-0005-0000-0000-0000BC5B0000}"/>
    <cellStyle name="Normal 4 3 2 6 3" xfId="23482" xr:uid="{00000000-0005-0000-0000-0000BD5B0000}"/>
    <cellStyle name="Normal 4 3 2 7" xfId="23483" xr:uid="{00000000-0005-0000-0000-0000BE5B0000}"/>
    <cellStyle name="Normal 4 3 2 7 2" xfId="23484" xr:uid="{00000000-0005-0000-0000-0000BF5B0000}"/>
    <cellStyle name="Normal 4 3 2 7 3" xfId="23485" xr:uid="{00000000-0005-0000-0000-0000C05B0000}"/>
    <cellStyle name="Normal 4 3 2 8" xfId="23486" xr:uid="{00000000-0005-0000-0000-0000C15B0000}"/>
    <cellStyle name="Normal 4 3 2 9" xfId="23487" xr:uid="{00000000-0005-0000-0000-0000C25B0000}"/>
    <cellStyle name="Normal 4 3 3" xfId="23488" xr:uid="{00000000-0005-0000-0000-0000C35B0000}"/>
    <cellStyle name="Normal 4 3 3 2" xfId="23489" xr:uid="{00000000-0005-0000-0000-0000C45B0000}"/>
    <cellStyle name="Normal 4 3 3 2 2" xfId="23490" xr:uid="{00000000-0005-0000-0000-0000C55B0000}"/>
    <cellStyle name="Normal 4 3 3 2 2 2" xfId="23491" xr:uid="{00000000-0005-0000-0000-0000C65B0000}"/>
    <cellStyle name="Normal 4 3 3 2 2 3" xfId="23492" xr:uid="{00000000-0005-0000-0000-0000C75B0000}"/>
    <cellStyle name="Normal 4 3 3 2 3" xfId="23493" xr:uid="{00000000-0005-0000-0000-0000C85B0000}"/>
    <cellStyle name="Normal 4 3 3 2 3 2" xfId="23494" xr:uid="{00000000-0005-0000-0000-0000C95B0000}"/>
    <cellStyle name="Normal 4 3 3 2 3 3" xfId="23495" xr:uid="{00000000-0005-0000-0000-0000CA5B0000}"/>
    <cellStyle name="Normal 4 3 3 2 4" xfId="23496" xr:uid="{00000000-0005-0000-0000-0000CB5B0000}"/>
    <cellStyle name="Normal 4 3 3 2 5" xfId="23497" xr:uid="{00000000-0005-0000-0000-0000CC5B0000}"/>
    <cellStyle name="Normal 4 3 3 2 6" xfId="23498" xr:uid="{00000000-0005-0000-0000-0000CD5B0000}"/>
    <cellStyle name="Normal 4 3 3 3" xfId="23499" xr:uid="{00000000-0005-0000-0000-0000CE5B0000}"/>
    <cellStyle name="Normal 4 3 3 3 2" xfId="23500" xr:uid="{00000000-0005-0000-0000-0000CF5B0000}"/>
    <cellStyle name="Normal 4 3 3 3 3" xfId="23501" xr:uid="{00000000-0005-0000-0000-0000D05B0000}"/>
    <cellStyle name="Normal 4 3 3 4" xfId="23502" xr:uid="{00000000-0005-0000-0000-0000D15B0000}"/>
    <cellStyle name="Normal 4 3 3 4 2" xfId="23503" xr:uid="{00000000-0005-0000-0000-0000D25B0000}"/>
    <cellStyle name="Normal 4 3 3 4 3" xfId="23504" xr:uid="{00000000-0005-0000-0000-0000D35B0000}"/>
    <cellStyle name="Normal 4 3 3 5" xfId="23505" xr:uid="{00000000-0005-0000-0000-0000D45B0000}"/>
    <cellStyle name="Normal 4 3 3 5 2" xfId="23506" xr:uid="{00000000-0005-0000-0000-0000D55B0000}"/>
    <cellStyle name="Normal 4 3 3 5 3" xfId="23507" xr:uid="{00000000-0005-0000-0000-0000D65B0000}"/>
    <cellStyle name="Normal 4 3 3 6" xfId="23508" xr:uid="{00000000-0005-0000-0000-0000D75B0000}"/>
    <cellStyle name="Normal 4 3 3 7" xfId="23509" xr:uid="{00000000-0005-0000-0000-0000D85B0000}"/>
    <cellStyle name="Normal 4 3 3 8" xfId="23510" xr:uid="{00000000-0005-0000-0000-0000D95B0000}"/>
    <cellStyle name="Normal 4 3 4" xfId="23511" xr:uid="{00000000-0005-0000-0000-0000DA5B0000}"/>
    <cellStyle name="Normal 4 3 4 2" xfId="23512" xr:uid="{00000000-0005-0000-0000-0000DB5B0000}"/>
    <cellStyle name="Normal 4 3 4 2 2" xfId="23513" xr:uid="{00000000-0005-0000-0000-0000DC5B0000}"/>
    <cellStyle name="Normal 4 3 4 2 2 2" xfId="23514" xr:uid="{00000000-0005-0000-0000-0000DD5B0000}"/>
    <cellStyle name="Normal 4 3 4 2 2 3" xfId="23515" xr:uid="{00000000-0005-0000-0000-0000DE5B0000}"/>
    <cellStyle name="Normal 4 3 4 2 3" xfId="23516" xr:uid="{00000000-0005-0000-0000-0000DF5B0000}"/>
    <cellStyle name="Normal 4 3 4 2 3 2" xfId="23517" xr:uid="{00000000-0005-0000-0000-0000E05B0000}"/>
    <cellStyle name="Normal 4 3 4 2 3 3" xfId="23518" xr:uid="{00000000-0005-0000-0000-0000E15B0000}"/>
    <cellStyle name="Normal 4 3 4 2 4" xfId="23519" xr:uid="{00000000-0005-0000-0000-0000E25B0000}"/>
    <cellStyle name="Normal 4 3 4 2 5" xfId="23520" xr:uid="{00000000-0005-0000-0000-0000E35B0000}"/>
    <cellStyle name="Normal 4 3 4 2 6" xfId="23521" xr:uid="{00000000-0005-0000-0000-0000E45B0000}"/>
    <cellStyle name="Normal 4 3 4 3" xfId="23522" xr:uid="{00000000-0005-0000-0000-0000E55B0000}"/>
    <cellStyle name="Normal 4 3 4 3 2" xfId="23523" xr:uid="{00000000-0005-0000-0000-0000E65B0000}"/>
    <cellStyle name="Normal 4 3 4 3 3" xfId="23524" xr:uid="{00000000-0005-0000-0000-0000E75B0000}"/>
    <cellStyle name="Normal 4 3 4 4" xfId="23525" xr:uid="{00000000-0005-0000-0000-0000E85B0000}"/>
    <cellStyle name="Normal 4 3 4 4 2" xfId="23526" xr:uid="{00000000-0005-0000-0000-0000E95B0000}"/>
    <cellStyle name="Normal 4 3 4 4 3" xfId="23527" xr:uid="{00000000-0005-0000-0000-0000EA5B0000}"/>
    <cellStyle name="Normal 4 3 4 5" xfId="23528" xr:uid="{00000000-0005-0000-0000-0000EB5B0000}"/>
    <cellStyle name="Normal 4 3 4 5 2" xfId="23529" xr:uid="{00000000-0005-0000-0000-0000EC5B0000}"/>
    <cellStyle name="Normal 4 3 4 5 3" xfId="23530" xr:uid="{00000000-0005-0000-0000-0000ED5B0000}"/>
    <cellStyle name="Normal 4 3 4 6" xfId="23531" xr:uid="{00000000-0005-0000-0000-0000EE5B0000}"/>
    <cellStyle name="Normal 4 3 4 7" xfId="23532" xr:uid="{00000000-0005-0000-0000-0000EF5B0000}"/>
    <cellStyle name="Normal 4 3 4 8" xfId="23533" xr:uid="{00000000-0005-0000-0000-0000F05B0000}"/>
    <cellStyle name="Normal 4 3 5" xfId="23534" xr:uid="{00000000-0005-0000-0000-0000F15B0000}"/>
    <cellStyle name="Normal 4 3 5 2" xfId="23535" xr:uid="{00000000-0005-0000-0000-0000F25B0000}"/>
    <cellStyle name="Normal 4 3 5 2 2" xfId="23536" xr:uid="{00000000-0005-0000-0000-0000F35B0000}"/>
    <cellStyle name="Normal 4 3 5 2 2 2" xfId="23537" xr:uid="{00000000-0005-0000-0000-0000F45B0000}"/>
    <cellStyle name="Normal 4 3 5 2 2 3" xfId="23538" xr:uid="{00000000-0005-0000-0000-0000F55B0000}"/>
    <cellStyle name="Normal 4 3 5 2 3" xfId="23539" xr:uid="{00000000-0005-0000-0000-0000F65B0000}"/>
    <cellStyle name="Normal 4 3 5 2 3 2" xfId="23540" xr:uid="{00000000-0005-0000-0000-0000F75B0000}"/>
    <cellStyle name="Normal 4 3 5 2 3 3" xfId="23541" xr:uid="{00000000-0005-0000-0000-0000F85B0000}"/>
    <cellStyle name="Normal 4 3 5 2 4" xfId="23542" xr:uid="{00000000-0005-0000-0000-0000F95B0000}"/>
    <cellStyle name="Normal 4 3 5 2 5" xfId="23543" xr:uid="{00000000-0005-0000-0000-0000FA5B0000}"/>
    <cellStyle name="Normal 4 3 5 2 6" xfId="23544" xr:uid="{00000000-0005-0000-0000-0000FB5B0000}"/>
    <cellStyle name="Normal 4 3 5 3" xfId="23545" xr:uid="{00000000-0005-0000-0000-0000FC5B0000}"/>
    <cellStyle name="Normal 4 3 5 3 2" xfId="23546" xr:uid="{00000000-0005-0000-0000-0000FD5B0000}"/>
    <cellStyle name="Normal 4 3 5 3 3" xfId="23547" xr:uid="{00000000-0005-0000-0000-0000FE5B0000}"/>
    <cellStyle name="Normal 4 3 5 4" xfId="23548" xr:uid="{00000000-0005-0000-0000-0000FF5B0000}"/>
    <cellStyle name="Normal 4 3 5 4 2" xfId="23549" xr:uid="{00000000-0005-0000-0000-0000005C0000}"/>
    <cellStyle name="Normal 4 3 5 4 3" xfId="23550" xr:uid="{00000000-0005-0000-0000-0000015C0000}"/>
    <cellStyle name="Normal 4 3 5 5" xfId="23551" xr:uid="{00000000-0005-0000-0000-0000025C0000}"/>
    <cellStyle name="Normal 4 3 5 5 2" xfId="23552" xr:uid="{00000000-0005-0000-0000-0000035C0000}"/>
    <cellStyle name="Normal 4 3 5 5 3" xfId="23553" xr:uid="{00000000-0005-0000-0000-0000045C0000}"/>
    <cellStyle name="Normal 4 3 5 6" xfId="23554" xr:uid="{00000000-0005-0000-0000-0000055C0000}"/>
    <cellStyle name="Normal 4 3 5 7" xfId="23555" xr:uid="{00000000-0005-0000-0000-0000065C0000}"/>
    <cellStyle name="Normal 4 3 5 8" xfId="23556" xr:uid="{00000000-0005-0000-0000-0000075C0000}"/>
    <cellStyle name="Normal 4 3 6" xfId="23557" xr:uid="{00000000-0005-0000-0000-0000085C0000}"/>
    <cellStyle name="Normal 4 3 6 2" xfId="23558" xr:uid="{00000000-0005-0000-0000-0000095C0000}"/>
    <cellStyle name="Normal 4 3 6 2 2" xfId="23559" xr:uid="{00000000-0005-0000-0000-00000A5C0000}"/>
    <cellStyle name="Normal 4 3 6 2 3" xfId="23560" xr:uid="{00000000-0005-0000-0000-00000B5C0000}"/>
    <cellStyle name="Normal 4 3 6 3" xfId="23561" xr:uid="{00000000-0005-0000-0000-00000C5C0000}"/>
    <cellStyle name="Normal 4 3 6 3 2" xfId="23562" xr:uid="{00000000-0005-0000-0000-00000D5C0000}"/>
    <cellStyle name="Normal 4 3 6 3 3" xfId="23563" xr:uid="{00000000-0005-0000-0000-00000E5C0000}"/>
    <cellStyle name="Normal 4 3 6 4" xfId="23564" xr:uid="{00000000-0005-0000-0000-00000F5C0000}"/>
    <cellStyle name="Normal 4 3 6 5" xfId="23565" xr:uid="{00000000-0005-0000-0000-0000105C0000}"/>
    <cellStyle name="Normal 4 3 6 6" xfId="23566" xr:uid="{00000000-0005-0000-0000-0000115C0000}"/>
    <cellStyle name="Normal 4 3 7" xfId="23567" xr:uid="{00000000-0005-0000-0000-0000125C0000}"/>
    <cellStyle name="Normal 4 3 7 2" xfId="23568" xr:uid="{00000000-0005-0000-0000-0000135C0000}"/>
    <cellStyle name="Normal 4 3 7 3" xfId="23569" xr:uid="{00000000-0005-0000-0000-0000145C0000}"/>
    <cellStyle name="Normal 4 3 8" xfId="23570" xr:uid="{00000000-0005-0000-0000-0000155C0000}"/>
    <cellStyle name="Normal 4 3 8 2" xfId="23571" xr:uid="{00000000-0005-0000-0000-0000165C0000}"/>
    <cellStyle name="Normal 4 3 8 3" xfId="23572" xr:uid="{00000000-0005-0000-0000-0000175C0000}"/>
    <cellStyle name="Normal 4 3 9" xfId="23573" xr:uid="{00000000-0005-0000-0000-0000185C0000}"/>
    <cellStyle name="Normal 4 3 9 2" xfId="23574" xr:uid="{00000000-0005-0000-0000-0000195C0000}"/>
    <cellStyle name="Normal 4 3 9 3" xfId="23575" xr:uid="{00000000-0005-0000-0000-00001A5C0000}"/>
    <cellStyle name="Normal 4 4" xfId="23576" xr:uid="{00000000-0005-0000-0000-00001B5C0000}"/>
    <cellStyle name="Normal 4 4 10" xfId="23577" xr:uid="{00000000-0005-0000-0000-00001C5C0000}"/>
    <cellStyle name="Normal 4 4 2" xfId="23578" xr:uid="{00000000-0005-0000-0000-00001D5C0000}"/>
    <cellStyle name="Normal 4 4 2 2" xfId="23579" xr:uid="{00000000-0005-0000-0000-00001E5C0000}"/>
    <cellStyle name="Normal 4 4 2 2 2" xfId="23580" xr:uid="{00000000-0005-0000-0000-00001F5C0000}"/>
    <cellStyle name="Normal 4 4 2 2 2 2" xfId="23581" xr:uid="{00000000-0005-0000-0000-0000205C0000}"/>
    <cellStyle name="Normal 4 4 2 2 2 3" xfId="23582" xr:uid="{00000000-0005-0000-0000-0000215C0000}"/>
    <cellStyle name="Normal 4 4 2 2 3" xfId="23583" xr:uid="{00000000-0005-0000-0000-0000225C0000}"/>
    <cellStyle name="Normal 4 4 2 2 3 2" xfId="23584" xr:uid="{00000000-0005-0000-0000-0000235C0000}"/>
    <cellStyle name="Normal 4 4 2 2 3 3" xfId="23585" xr:uid="{00000000-0005-0000-0000-0000245C0000}"/>
    <cellStyle name="Normal 4 4 2 2 4" xfId="23586" xr:uid="{00000000-0005-0000-0000-0000255C0000}"/>
    <cellStyle name="Normal 4 4 2 2 5" xfId="23587" xr:uid="{00000000-0005-0000-0000-0000265C0000}"/>
    <cellStyle name="Normal 4 4 2 2 6" xfId="23588" xr:uid="{00000000-0005-0000-0000-0000275C0000}"/>
    <cellStyle name="Normal 4 4 2 3" xfId="23589" xr:uid="{00000000-0005-0000-0000-0000285C0000}"/>
    <cellStyle name="Normal 4 4 2 3 2" xfId="23590" xr:uid="{00000000-0005-0000-0000-0000295C0000}"/>
    <cellStyle name="Normal 4 4 2 3 3" xfId="23591" xr:uid="{00000000-0005-0000-0000-00002A5C0000}"/>
    <cellStyle name="Normal 4 4 2 4" xfId="23592" xr:uid="{00000000-0005-0000-0000-00002B5C0000}"/>
    <cellStyle name="Normal 4 4 2 4 2" xfId="23593" xr:uid="{00000000-0005-0000-0000-00002C5C0000}"/>
    <cellStyle name="Normal 4 4 2 4 3" xfId="23594" xr:uid="{00000000-0005-0000-0000-00002D5C0000}"/>
    <cellStyle name="Normal 4 4 2 5" xfId="23595" xr:uid="{00000000-0005-0000-0000-00002E5C0000}"/>
    <cellStyle name="Normal 4 4 2 5 2" xfId="23596" xr:uid="{00000000-0005-0000-0000-00002F5C0000}"/>
    <cellStyle name="Normal 4 4 2 5 3" xfId="23597" xr:uid="{00000000-0005-0000-0000-0000305C0000}"/>
    <cellStyle name="Normal 4 4 2 6" xfId="23598" xr:uid="{00000000-0005-0000-0000-0000315C0000}"/>
    <cellStyle name="Normal 4 4 2 7" xfId="23599" xr:uid="{00000000-0005-0000-0000-0000325C0000}"/>
    <cellStyle name="Normal 4 4 2 8" xfId="23600" xr:uid="{00000000-0005-0000-0000-0000335C0000}"/>
    <cellStyle name="Normal 4 4 3" xfId="23601" xr:uid="{00000000-0005-0000-0000-0000345C0000}"/>
    <cellStyle name="Normal 4 4 3 2" xfId="23602" xr:uid="{00000000-0005-0000-0000-0000355C0000}"/>
    <cellStyle name="Normal 4 4 3 2 2" xfId="23603" xr:uid="{00000000-0005-0000-0000-0000365C0000}"/>
    <cellStyle name="Normal 4 4 3 2 2 2" xfId="23604" xr:uid="{00000000-0005-0000-0000-0000375C0000}"/>
    <cellStyle name="Normal 4 4 3 2 2 3" xfId="23605" xr:uid="{00000000-0005-0000-0000-0000385C0000}"/>
    <cellStyle name="Normal 4 4 3 2 3" xfId="23606" xr:uid="{00000000-0005-0000-0000-0000395C0000}"/>
    <cellStyle name="Normal 4 4 3 2 3 2" xfId="23607" xr:uid="{00000000-0005-0000-0000-00003A5C0000}"/>
    <cellStyle name="Normal 4 4 3 2 3 3" xfId="23608" xr:uid="{00000000-0005-0000-0000-00003B5C0000}"/>
    <cellStyle name="Normal 4 4 3 2 4" xfId="23609" xr:uid="{00000000-0005-0000-0000-00003C5C0000}"/>
    <cellStyle name="Normal 4 4 3 2 5" xfId="23610" xr:uid="{00000000-0005-0000-0000-00003D5C0000}"/>
    <cellStyle name="Normal 4 4 3 2 6" xfId="23611" xr:uid="{00000000-0005-0000-0000-00003E5C0000}"/>
    <cellStyle name="Normal 4 4 3 3" xfId="23612" xr:uid="{00000000-0005-0000-0000-00003F5C0000}"/>
    <cellStyle name="Normal 4 4 3 3 2" xfId="23613" xr:uid="{00000000-0005-0000-0000-0000405C0000}"/>
    <cellStyle name="Normal 4 4 3 3 3" xfId="23614" xr:uid="{00000000-0005-0000-0000-0000415C0000}"/>
    <cellStyle name="Normal 4 4 3 4" xfId="23615" xr:uid="{00000000-0005-0000-0000-0000425C0000}"/>
    <cellStyle name="Normal 4 4 3 4 2" xfId="23616" xr:uid="{00000000-0005-0000-0000-0000435C0000}"/>
    <cellStyle name="Normal 4 4 3 4 3" xfId="23617" xr:uid="{00000000-0005-0000-0000-0000445C0000}"/>
    <cellStyle name="Normal 4 4 3 5" xfId="23618" xr:uid="{00000000-0005-0000-0000-0000455C0000}"/>
    <cellStyle name="Normal 4 4 3 5 2" xfId="23619" xr:uid="{00000000-0005-0000-0000-0000465C0000}"/>
    <cellStyle name="Normal 4 4 3 5 3" xfId="23620" xr:uid="{00000000-0005-0000-0000-0000475C0000}"/>
    <cellStyle name="Normal 4 4 3 6" xfId="23621" xr:uid="{00000000-0005-0000-0000-0000485C0000}"/>
    <cellStyle name="Normal 4 4 3 7" xfId="23622" xr:uid="{00000000-0005-0000-0000-0000495C0000}"/>
    <cellStyle name="Normal 4 4 3 8" xfId="23623" xr:uid="{00000000-0005-0000-0000-00004A5C0000}"/>
    <cellStyle name="Normal 4 4 4" xfId="23624" xr:uid="{00000000-0005-0000-0000-00004B5C0000}"/>
    <cellStyle name="Normal 4 4 4 2" xfId="23625" xr:uid="{00000000-0005-0000-0000-00004C5C0000}"/>
    <cellStyle name="Normal 4 4 4 2 2" xfId="23626" xr:uid="{00000000-0005-0000-0000-00004D5C0000}"/>
    <cellStyle name="Normal 4 4 4 2 3" xfId="23627" xr:uid="{00000000-0005-0000-0000-00004E5C0000}"/>
    <cellStyle name="Normal 4 4 4 3" xfId="23628" xr:uid="{00000000-0005-0000-0000-00004F5C0000}"/>
    <cellStyle name="Normal 4 4 4 3 2" xfId="23629" xr:uid="{00000000-0005-0000-0000-0000505C0000}"/>
    <cellStyle name="Normal 4 4 4 3 3" xfId="23630" xr:uid="{00000000-0005-0000-0000-0000515C0000}"/>
    <cellStyle name="Normal 4 4 4 4" xfId="23631" xr:uid="{00000000-0005-0000-0000-0000525C0000}"/>
    <cellStyle name="Normal 4 4 4 5" xfId="23632" xr:uid="{00000000-0005-0000-0000-0000535C0000}"/>
    <cellStyle name="Normal 4 4 4 6" xfId="23633" xr:uid="{00000000-0005-0000-0000-0000545C0000}"/>
    <cellStyle name="Normal 4 4 5" xfId="23634" xr:uid="{00000000-0005-0000-0000-0000555C0000}"/>
    <cellStyle name="Normal 4 4 5 2" xfId="23635" xr:uid="{00000000-0005-0000-0000-0000565C0000}"/>
    <cellStyle name="Normal 4 4 5 3" xfId="23636" xr:uid="{00000000-0005-0000-0000-0000575C0000}"/>
    <cellStyle name="Normal 4 4 6" xfId="23637" xr:uid="{00000000-0005-0000-0000-0000585C0000}"/>
    <cellStyle name="Normal 4 4 6 2" xfId="23638" xr:uid="{00000000-0005-0000-0000-0000595C0000}"/>
    <cellStyle name="Normal 4 4 6 3" xfId="23639" xr:uid="{00000000-0005-0000-0000-00005A5C0000}"/>
    <cellStyle name="Normal 4 4 7" xfId="23640" xr:uid="{00000000-0005-0000-0000-00005B5C0000}"/>
    <cellStyle name="Normal 4 4 7 2" xfId="23641" xr:uid="{00000000-0005-0000-0000-00005C5C0000}"/>
    <cellStyle name="Normal 4 4 7 3" xfId="23642" xr:uid="{00000000-0005-0000-0000-00005D5C0000}"/>
    <cellStyle name="Normal 4 4 8" xfId="23643" xr:uid="{00000000-0005-0000-0000-00005E5C0000}"/>
    <cellStyle name="Normal 4 4 9" xfId="23644" xr:uid="{00000000-0005-0000-0000-00005F5C0000}"/>
    <cellStyle name="Normal 4 5" xfId="23645" xr:uid="{00000000-0005-0000-0000-0000605C0000}"/>
    <cellStyle name="Normal 4 5 2" xfId="23646" xr:uid="{00000000-0005-0000-0000-0000615C0000}"/>
    <cellStyle name="Normal 4 5 2 2" xfId="23647" xr:uid="{00000000-0005-0000-0000-0000625C0000}"/>
    <cellStyle name="Normal 4 5 2 2 2" xfId="23648" xr:uid="{00000000-0005-0000-0000-0000635C0000}"/>
    <cellStyle name="Normal 4 5 2 2 3" xfId="23649" xr:uid="{00000000-0005-0000-0000-0000645C0000}"/>
    <cellStyle name="Normal 4 5 2 3" xfId="23650" xr:uid="{00000000-0005-0000-0000-0000655C0000}"/>
    <cellStyle name="Normal 4 5 2 3 2" xfId="23651" xr:uid="{00000000-0005-0000-0000-0000665C0000}"/>
    <cellStyle name="Normal 4 5 2 3 3" xfId="23652" xr:uid="{00000000-0005-0000-0000-0000675C0000}"/>
    <cellStyle name="Normal 4 5 2 4" xfId="23653" xr:uid="{00000000-0005-0000-0000-0000685C0000}"/>
    <cellStyle name="Normal 4 5 2 5" xfId="23654" xr:uid="{00000000-0005-0000-0000-0000695C0000}"/>
    <cellStyle name="Normal 4 5 2 6" xfId="23655" xr:uid="{00000000-0005-0000-0000-00006A5C0000}"/>
    <cellStyle name="Normal 4 5 3" xfId="23656" xr:uid="{00000000-0005-0000-0000-00006B5C0000}"/>
    <cellStyle name="Normal 4 5 3 2" xfId="23657" xr:uid="{00000000-0005-0000-0000-00006C5C0000}"/>
    <cellStyle name="Normal 4 5 3 3" xfId="23658" xr:uid="{00000000-0005-0000-0000-00006D5C0000}"/>
    <cellStyle name="Normal 4 5 4" xfId="23659" xr:uid="{00000000-0005-0000-0000-00006E5C0000}"/>
    <cellStyle name="Normal 4 5 4 2" xfId="23660" xr:uid="{00000000-0005-0000-0000-00006F5C0000}"/>
    <cellStyle name="Normal 4 5 4 3" xfId="23661" xr:uid="{00000000-0005-0000-0000-0000705C0000}"/>
    <cellStyle name="Normal 4 5 5" xfId="23662" xr:uid="{00000000-0005-0000-0000-0000715C0000}"/>
    <cellStyle name="Normal 4 5 5 2" xfId="23663" xr:uid="{00000000-0005-0000-0000-0000725C0000}"/>
    <cellStyle name="Normal 4 5 5 3" xfId="23664" xr:uid="{00000000-0005-0000-0000-0000735C0000}"/>
    <cellStyle name="Normal 4 5 6" xfId="23665" xr:uid="{00000000-0005-0000-0000-0000745C0000}"/>
    <cellStyle name="Normal 4 5 7" xfId="23666" xr:uid="{00000000-0005-0000-0000-0000755C0000}"/>
    <cellStyle name="Normal 4 5 8" xfId="23667" xr:uid="{00000000-0005-0000-0000-0000765C0000}"/>
    <cellStyle name="Normal 4 6" xfId="23668" xr:uid="{00000000-0005-0000-0000-0000775C0000}"/>
    <cellStyle name="Normal 4 6 2" xfId="23669" xr:uid="{00000000-0005-0000-0000-0000785C0000}"/>
    <cellStyle name="Normal 4 6 2 2" xfId="23670" xr:uid="{00000000-0005-0000-0000-0000795C0000}"/>
    <cellStyle name="Normal 4 6 2 2 2" xfId="23671" xr:uid="{00000000-0005-0000-0000-00007A5C0000}"/>
    <cellStyle name="Normal 4 6 2 2 3" xfId="23672" xr:uid="{00000000-0005-0000-0000-00007B5C0000}"/>
    <cellStyle name="Normal 4 6 2 3" xfId="23673" xr:uid="{00000000-0005-0000-0000-00007C5C0000}"/>
    <cellStyle name="Normal 4 6 2 3 2" xfId="23674" xr:uid="{00000000-0005-0000-0000-00007D5C0000}"/>
    <cellStyle name="Normal 4 6 2 3 3" xfId="23675" xr:uid="{00000000-0005-0000-0000-00007E5C0000}"/>
    <cellStyle name="Normal 4 6 2 4" xfId="23676" xr:uid="{00000000-0005-0000-0000-00007F5C0000}"/>
    <cellStyle name="Normal 4 6 2 5" xfId="23677" xr:uid="{00000000-0005-0000-0000-0000805C0000}"/>
    <cellStyle name="Normal 4 6 2 6" xfId="23678" xr:uid="{00000000-0005-0000-0000-0000815C0000}"/>
    <cellStyle name="Normal 4 6 3" xfId="23679" xr:uid="{00000000-0005-0000-0000-0000825C0000}"/>
    <cellStyle name="Normal 4 6 3 2" xfId="23680" xr:uid="{00000000-0005-0000-0000-0000835C0000}"/>
    <cellStyle name="Normal 4 6 3 3" xfId="23681" xr:uid="{00000000-0005-0000-0000-0000845C0000}"/>
    <cellStyle name="Normal 4 6 4" xfId="23682" xr:uid="{00000000-0005-0000-0000-0000855C0000}"/>
    <cellStyle name="Normal 4 6 4 2" xfId="23683" xr:uid="{00000000-0005-0000-0000-0000865C0000}"/>
    <cellStyle name="Normal 4 6 4 3" xfId="23684" xr:uid="{00000000-0005-0000-0000-0000875C0000}"/>
    <cellStyle name="Normal 4 6 5" xfId="23685" xr:uid="{00000000-0005-0000-0000-0000885C0000}"/>
    <cellStyle name="Normal 4 6 5 2" xfId="23686" xr:uid="{00000000-0005-0000-0000-0000895C0000}"/>
    <cellStyle name="Normal 4 6 5 3" xfId="23687" xr:uid="{00000000-0005-0000-0000-00008A5C0000}"/>
    <cellStyle name="Normal 4 6 6" xfId="23688" xr:uid="{00000000-0005-0000-0000-00008B5C0000}"/>
    <cellStyle name="Normal 4 6 7" xfId="23689" xr:uid="{00000000-0005-0000-0000-00008C5C0000}"/>
    <cellStyle name="Normal 4 6 8" xfId="23690" xr:uid="{00000000-0005-0000-0000-00008D5C0000}"/>
    <cellStyle name="Normal 4 7" xfId="23691" xr:uid="{00000000-0005-0000-0000-00008E5C0000}"/>
    <cellStyle name="Normal 4 7 2" xfId="23692" xr:uid="{00000000-0005-0000-0000-00008F5C0000}"/>
    <cellStyle name="Normal 4 7 2 2" xfId="23693" xr:uid="{00000000-0005-0000-0000-0000905C0000}"/>
    <cellStyle name="Normal 4 7 2 2 2" xfId="23694" xr:uid="{00000000-0005-0000-0000-0000915C0000}"/>
    <cellStyle name="Normal 4 7 2 2 3" xfId="23695" xr:uid="{00000000-0005-0000-0000-0000925C0000}"/>
    <cellStyle name="Normal 4 7 2 3" xfId="23696" xr:uid="{00000000-0005-0000-0000-0000935C0000}"/>
    <cellStyle name="Normal 4 7 2 3 2" xfId="23697" xr:uid="{00000000-0005-0000-0000-0000945C0000}"/>
    <cellStyle name="Normal 4 7 2 3 3" xfId="23698" xr:uid="{00000000-0005-0000-0000-0000955C0000}"/>
    <cellStyle name="Normal 4 7 2 4" xfId="23699" xr:uid="{00000000-0005-0000-0000-0000965C0000}"/>
    <cellStyle name="Normal 4 7 2 5" xfId="23700" xr:uid="{00000000-0005-0000-0000-0000975C0000}"/>
    <cellStyle name="Normal 4 7 2 6" xfId="23701" xr:uid="{00000000-0005-0000-0000-0000985C0000}"/>
    <cellStyle name="Normal 4 7 3" xfId="23702" xr:uid="{00000000-0005-0000-0000-0000995C0000}"/>
    <cellStyle name="Normal 4 7 3 2" xfId="23703" xr:uid="{00000000-0005-0000-0000-00009A5C0000}"/>
    <cellStyle name="Normal 4 7 3 3" xfId="23704" xr:uid="{00000000-0005-0000-0000-00009B5C0000}"/>
    <cellStyle name="Normal 4 7 4" xfId="23705" xr:uid="{00000000-0005-0000-0000-00009C5C0000}"/>
    <cellStyle name="Normal 4 7 4 2" xfId="23706" xr:uid="{00000000-0005-0000-0000-00009D5C0000}"/>
    <cellStyle name="Normal 4 7 4 3" xfId="23707" xr:uid="{00000000-0005-0000-0000-00009E5C0000}"/>
    <cellStyle name="Normal 4 7 5" xfId="23708" xr:uid="{00000000-0005-0000-0000-00009F5C0000}"/>
    <cellStyle name="Normal 4 7 5 2" xfId="23709" xr:uid="{00000000-0005-0000-0000-0000A05C0000}"/>
    <cellStyle name="Normal 4 7 5 3" xfId="23710" xr:uid="{00000000-0005-0000-0000-0000A15C0000}"/>
    <cellStyle name="Normal 4 7 6" xfId="23711" xr:uid="{00000000-0005-0000-0000-0000A25C0000}"/>
    <cellStyle name="Normal 4 7 7" xfId="23712" xr:uid="{00000000-0005-0000-0000-0000A35C0000}"/>
    <cellStyle name="Normal 4 7 8" xfId="23713" xr:uid="{00000000-0005-0000-0000-0000A45C0000}"/>
    <cellStyle name="Normal 4 8" xfId="23714" xr:uid="{00000000-0005-0000-0000-0000A55C0000}"/>
    <cellStyle name="Normal 4 8 2" xfId="23715" xr:uid="{00000000-0005-0000-0000-0000A65C0000}"/>
    <cellStyle name="Normal 4 8 2 2" xfId="23716" xr:uid="{00000000-0005-0000-0000-0000A75C0000}"/>
    <cellStyle name="Normal 4 8 2 2 2" xfId="23717" xr:uid="{00000000-0005-0000-0000-0000A85C0000}"/>
    <cellStyle name="Normal 4 8 2 2 3" xfId="23718" xr:uid="{00000000-0005-0000-0000-0000A95C0000}"/>
    <cellStyle name="Normal 4 8 2 3" xfId="23719" xr:uid="{00000000-0005-0000-0000-0000AA5C0000}"/>
    <cellStyle name="Normal 4 8 2 3 2" xfId="23720" xr:uid="{00000000-0005-0000-0000-0000AB5C0000}"/>
    <cellStyle name="Normal 4 8 2 3 3" xfId="23721" xr:uid="{00000000-0005-0000-0000-0000AC5C0000}"/>
    <cellStyle name="Normal 4 8 2 4" xfId="23722" xr:uid="{00000000-0005-0000-0000-0000AD5C0000}"/>
    <cellStyle name="Normal 4 8 2 5" xfId="23723" xr:uid="{00000000-0005-0000-0000-0000AE5C0000}"/>
    <cellStyle name="Normal 4 8 2 6" xfId="23724" xr:uid="{00000000-0005-0000-0000-0000AF5C0000}"/>
    <cellStyle name="Normal 4 8 3" xfId="23725" xr:uid="{00000000-0005-0000-0000-0000B05C0000}"/>
    <cellStyle name="Normal 4 8 3 2" xfId="23726" xr:uid="{00000000-0005-0000-0000-0000B15C0000}"/>
    <cellStyle name="Normal 4 8 3 3" xfId="23727" xr:uid="{00000000-0005-0000-0000-0000B25C0000}"/>
    <cellStyle name="Normal 4 8 4" xfId="23728" xr:uid="{00000000-0005-0000-0000-0000B35C0000}"/>
    <cellStyle name="Normal 4 8 4 2" xfId="23729" xr:uid="{00000000-0005-0000-0000-0000B45C0000}"/>
    <cellStyle name="Normal 4 8 4 3" xfId="23730" xr:uid="{00000000-0005-0000-0000-0000B55C0000}"/>
    <cellStyle name="Normal 4 8 5" xfId="23731" xr:uid="{00000000-0005-0000-0000-0000B65C0000}"/>
    <cellStyle name="Normal 4 8 6" xfId="23732" xr:uid="{00000000-0005-0000-0000-0000B75C0000}"/>
    <cellStyle name="Normal 4 8 7" xfId="23733" xr:uid="{00000000-0005-0000-0000-0000B85C0000}"/>
    <cellStyle name="Normal 4 9" xfId="23734" xr:uid="{00000000-0005-0000-0000-0000B95C0000}"/>
    <cellStyle name="Normal 4 9 2" xfId="23735" xr:uid="{00000000-0005-0000-0000-0000BA5C0000}"/>
    <cellStyle name="Normal 4 9 2 2" xfId="23736" xr:uid="{00000000-0005-0000-0000-0000BB5C0000}"/>
    <cellStyle name="Normal 4 9 2 2 2" xfId="23737" xr:uid="{00000000-0005-0000-0000-0000BC5C0000}"/>
    <cellStyle name="Normal 4 9 2 2 3" xfId="23738" xr:uid="{00000000-0005-0000-0000-0000BD5C0000}"/>
    <cellStyle name="Normal 4 9 2 3" xfId="23739" xr:uid="{00000000-0005-0000-0000-0000BE5C0000}"/>
    <cellStyle name="Normal 4 9 2 3 2" xfId="23740" xr:uid="{00000000-0005-0000-0000-0000BF5C0000}"/>
    <cellStyle name="Normal 4 9 2 3 3" xfId="23741" xr:uid="{00000000-0005-0000-0000-0000C05C0000}"/>
    <cellStyle name="Normal 4 9 2 4" xfId="23742" xr:uid="{00000000-0005-0000-0000-0000C15C0000}"/>
    <cellStyle name="Normal 4 9 2 5" xfId="23743" xr:uid="{00000000-0005-0000-0000-0000C25C0000}"/>
    <cellStyle name="Normal 4 9 2 6" xfId="23744" xr:uid="{00000000-0005-0000-0000-0000C35C0000}"/>
    <cellStyle name="Normal 4 9 3" xfId="23745" xr:uid="{00000000-0005-0000-0000-0000C45C0000}"/>
    <cellStyle name="Normal 4 9 3 2" xfId="23746" xr:uid="{00000000-0005-0000-0000-0000C55C0000}"/>
    <cellStyle name="Normal 4 9 3 3" xfId="23747" xr:uid="{00000000-0005-0000-0000-0000C65C0000}"/>
    <cellStyle name="Normal 4 9 4" xfId="23748" xr:uid="{00000000-0005-0000-0000-0000C75C0000}"/>
    <cellStyle name="Normal 4 9 4 2" xfId="23749" xr:uid="{00000000-0005-0000-0000-0000C85C0000}"/>
    <cellStyle name="Normal 4 9 4 3" xfId="23750" xr:uid="{00000000-0005-0000-0000-0000C95C0000}"/>
    <cellStyle name="Normal 4 9 5" xfId="23751" xr:uid="{00000000-0005-0000-0000-0000CA5C0000}"/>
    <cellStyle name="Normal 4 9 6" xfId="23752" xr:uid="{00000000-0005-0000-0000-0000CB5C0000}"/>
    <cellStyle name="Normal 4 9 7" xfId="23753" xr:uid="{00000000-0005-0000-0000-0000CC5C0000}"/>
    <cellStyle name="Normal 40" xfId="23754" xr:uid="{00000000-0005-0000-0000-0000CD5C0000}"/>
    <cellStyle name="Normal 40 2" xfId="23755" xr:uid="{00000000-0005-0000-0000-0000CE5C0000}"/>
    <cellStyle name="Normal 40 2 2" xfId="23756" xr:uid="{00000000-0005-0000-0000-0000CF5C0000}"/>
    <cellStyle name="Normal 40 2 2 2" xfId="23757" xr:uid="{00000000-0005-0000-0000-0000D05C0000}"/>
    <cellStyle name="Normal 40 2 2 3" xfId="23758" xr:uid="{00000000-0005-0000-0000-0000D15C0000}"/>
    <cellStyle name="Normal 40 2 3" xfId="23759" xr:uid="{00000000-0005-0000-0000-0000D25C0000}"/>
    <cellStyle name="Normal 40 2 3 2" xfId="23760" xr:uid="{00000000-0005-0000-0000-0000D35C0000}"/>
    <cellStyle name="Normal 40 2 3 3" xfId="23761" xr:uid="{00000000-0005-0000-0000-0000D45C0000}"/>
    <cellStyle name="Normal 40 2 4" xfId="23762" xr:uid="{00000000-0005-0000-0000-0000D55C0000}"/>
    <cellStyle name="Normal 40 2 5" xfId="23763" xr:uid="{00000000-0005-0000-0000-0000D65C0000}"/>
    <cellStyle name="Normal 40 2 6" xfId="23764" xr:uid="{00000000-0005-0000-0000-0000D75C0000}"/>
    <cellStyle name="Normal 40 3" xfId="23765" xr:uid="{00000000-0005-0000-0000-0000D85C0000}"/>
    <cellStyle name="Normal 40 3 2" xfId="23766" xr:uid="{00000000-0005-0000-0000-0000D95C0000}"/>
    <cellStyle name="Normal 40 3 3" xfId="23767" xr:uid="{00000000-0005-0000-0000-0000DA5C0000}"/>
    <cellStyle name="Normal 40 4" xfId="23768" xr:uid="{00000000-0005-0000-0000-0000DB5C0000}"/>
    <cellStyle name="Normal 40 4 2" xfId="23769" xr:uid="{00000000-0005-0000-0000-0000DC5C0000}"/>
    <cellStyle name="Normal 40 4 3" xfId="23770" xr:uid="{00000000-0005-0000-0000-0000DD5C0000}"/>
    <cellStyle name="Normal 40 5" xfId="23771" xr:uid="{00000000-0005-0000-0000-0000DE5C0000}"/>
    <cellStyle name="Normal 40 6" xfId="23772" xr:uid="{00000000-0005-0000-0000-0000DF5C0000}"/>
    <cellStyle name="Normal 40 7" xfId="23773" xr:uid="{00000000-0005-0000-0000-0000E05C0000}"/>
    <cellStyle name="Normal 41" xfId="23774" xr:uid="{00000000-0005-0000-0000-0000E15C0000}"/>
    <cellStyle name="Normal 41 2" xfId="23775" xr:uid="{00000000-0005-0000-0000-0000E25C0000}"/>
    <cellStyle name="Normal 41 2 2" xfId="23776" xr:uid="{00000000-0005-0000-0000-0000E35C0000}"/>
    <cellStyle name="Normal 41 2 2 2" xfId="23777" xr:uid="{00000000-0005-0000-0000-0000E45C0000}"/>
    <cellStyle name="Normal 41 2 2 3" xfId="23778" xr:uid="{00000000-0005-0000-0000-0000E55C0000}"/>
    <cellStyle name="Normal 41 2 3" xfId="23779" xr:uid="{00000000-0005-0000-0000-0000E65C0000}"/>
    <cellStyle name="Normal 41 2 3 2" xfId="23780" xr:uid="{00000000-0005-0000-0000-0000E75C0000}"/>
    <cellStyle name="Normal 41 2 3 3" xfId="23781" xr:uid="{00000000-0005-0000-0000-0000E85C0000}"/>
    <cellStyle name="Normal 41 2 4" xfId="23782" xr:uid="{00000000-0005-0000-0000-0000E95C0000}"/>
    <cellStyle name="Normal 41 2 5" xfId="23783" xr:uid="{00000000-0005-0000-0000-0000EA5C0000}"/>
    <cellStyle name="Normal 41 2 6" xfId="23784" xr:uid="{00000000-0005-0000-0000-0000EB5C0000}"/>
    <cellStyle name="Normal 41 3" xfId="23785" xr:uid="{00000000-0005-0000-0000-0000EC5C0000}"/>
    <cellStyle name="Normal 41 3 2" xfId="23786" xr:uid="{00000000-0005-0000-0000-0000ED5C0000}"/>
    <cellStyle name="Normal 41 3 3" xfId="23787" xr:uid="{00000000-0005-0000-0000-0000EE5C0000}"/>
    <cellStyle name="Normal 41 4" xfId="23788" xr:uid="{00000000-0005-0000-0000-0000EF5C0000}"/>
    <cellStyle name="Normal 41 4 2" xfId="23789" xr:uid="{00000000-0005-0000-0000-0000F05C0000}"/>
    <cellStyle name="Normal 41 4 3" xfId="23790" xr:uid="{00000000-0005-0000-0000-0000F15C0000}"/>
    <cellStyle name="Normal 41 5" xfId="23791" xr:uid="{00000000-0005-0000-0000-0000F25C0000}"/>
    <cellStyle name="Normal 41 6" xfId="23792" xr:uid="{00000000-0005-0000-0000-0000F35C0000}"/>
    <cellStyle name="Normal 41 7" xfId="23793" xr:uid="{00000000-0005-0000-0000-0000F45C0000}"/>
    <cellStyle name="Normal 42" xfId="23794" xr:uid="{00000000-0005-0000-0000-0000F55C0000}"/>
    <cellStyle name="Normal 42 2" xfId="23795" xr:uid="{00000000-0005-0000-0000-0000F65C0000}"/>
    <cellStyle name="Normal 42 2 2" xfId="23796" xr:uid="{00000000-0005-0000-0000-0000F75C0000}"/>
    <cellStyle name="Normal 42 2 2 2" xfId="23797" xr:uid="{00000000-0005-0000-0000-0000F85C0000}"/>
    <cellStyle name="Normal 42 2 2 3" xfId="23798" xr:uid="{00000000-0005-0000-0000-0000F95C0000}"/>
    <cellStyle name="Normal 42 2 3" xfId="23799" xr:uid="{00000000-0005-0000-0000-0000FA5C0000}"/>
    <cellStyle name="Normal 42 2 3 2" xfId="23800" xr:uid="{00000000-0005-0000-0000-0000FB5C0000}"/>
    <cellStyle name="Normal 42 2 3 3" xfId="23801" xr:uid="{00000000-0005-0000-0000-0000FC5C0000}"/>
    <cellStyle name="Normal 42 2 4" xfId="23802" xr:uid="{00000000-0005-0000-0000-0000FD5C0000}"/>
    <cellStyle name="Normal 42 2 5" xfId="23803" xr:uid="{00000000-0005-0000-0000-0000FE5C0000}"/>
    <cellStyle name="Normal 42 2 6" xfId="23804" xr:uid="{00000000-0005-0000-0000-0000FF5C0000}"/>
    <cellStyle name="Normal 42 3" xfId="23805" xr:uid="{00000000-0005-0000-0000-0000005D0000}"/>
    <cellStyle name="Normal 42 3 2" xfId="23806" xr:uid="{00000000-0005-0000-0000-0000015D0000}"/>
    <cellStyle name="Normal 42 3 3" xfId="23807" xr:uid="{00000000-0005-0000-0000-0000025D0000}"/>
    <cellStyle name="Normal 42 4" xfId="23808" xr:uid="{00000000-0005-0000-0000-0000035D0000}"/>
    <cellStyle name="Normal 42 4 2" xfId="23809" xr:uid="{00000000-0005-0000-0000-0000045D0000}"/>
    <cellStyle name="Normal 42 4 3" xfId="23810" xr:uid="{00000000-0005-0000-0000-0000055D0000}"/>
    <cellStyle name="Normal 42 5" xfId="23811" xr:uid="{00000000-0005-0000-0000-0000065D0000}"/>
    <cellStyle name="Normal 42 6" xfId="23812" xr:uid="{00000000-0005-0000-0000-0000075D0000}"/>
    <cellStyle name="Normal 42 7" xfId="23813" xr:uid="{00000000-0005-0000-0000-0000085D0000}"/>
    <cellStyle name="Normal 43" xfId="23814" xr:uid="{00000000-0005-0000-0000-0000095D0000}"/>
    <cellStyle name="Normal 43 2" xfId="23815" xr:uid="{00000000-0005-0000-0000-00000A5D0000}"/>
    <cellStyle name="Normal 43 2 2" xfId="23816" xr:uid="{00000000-0005-0000-0000-00000B5D0000}"/>
    <cellStyle name="Normal 43 2 2 2" xfId="23817" xr:uid="{00000000-0005-0000-0000-00000C5D0000}"/>
    <cellStyle name="Normal 43 2 2 3" xfId="23818" xr:uid="{00000000-0005-0000-0000-00000D5D0000}"/>
    <cellStyle name="Normal 43 2 3" xfId="23819" xr:uid="{00000000-0005-0000-0000-00000E5D0000}"/>
    <cellStyle name="Normal 43 2 3 2" xfId="23820" xr:uid="{00000000-0005-0000-0000-00000F5D0000}"/>
    <cellStyle name="Normal 43 2 3 3" xfId="23821" xr:uid="{00000000-0005-0000-0000-0000105D0000}"/>
    <cellStyle name="Normal 43 2 4" xfId="23822" xr:uid="{00000000-0005-0000-0000-0000115D0000}"/>
    <cellStyle name="Normal 43 2 5" xfId="23823" xr:uid="{00000000-0005-0000-0000-0000125D0000}"/>
    <cellStyle name="Normal 43 2 6" xfId="23824" xr:uid="{00000000-0005-0000-0000-0000135D0000}"/>
    <cellStyle name="Normal 43 3" xfId="23825" xr:uid="{00000000-0005-0000-0000-0000145D0000}"/>
    <cellStyle name="Normal 43 3 2" xfId="23826" xr:uid="{00000000-0005-0000-0000-0000155D0000}"/>
    <cellStyle name="Normal 43 3 3" xfId="23827" xr:uid="{00000000-0005-0000-0000-0000165D0000}"/>
    <cellStyle name="Normal 43 4" xfId="23828" xr:uid="{00000000-0005-0000-0000-0000175D0000}"/>
    <cellStyle name="Normal 43 4 2" xfId="23829" xr:uid="{00000000-0005-0000-0000-0000185D0000}"/>
    <cellStyle name="Normal 43 4 3" xfId="23830" xr:uid="{00000000-0005-0000-0000-0000195D0000}"/>
    <cellStyle name="Normal 43 5" xfId="23831" xr:uid="{00000000-0005-0000-0000-00001A5D0000}"/>
    <cellStyle name="Normal 43 6" xfId="23832" xr:uid="{00000000-0005-0000-0000-00001B5D0000}"/>
    <cellStyle name="Normal 43 7" xfId="23833" xr:uid="{00000000-0005-0000-0000-00001C5D0000}"/>
    <cellStyle name="Normal 44" xfId="23834" xr:uid="{00000000-0005-0000-0000-00001D5D0000}"/>
    <cellStyle name="Normal 44 2" xfId="23835" xr:uid="{00000000-0005-0000-0000-00001E5D0000}"/>
    <cellStyle name="Normal 44 2 2" xfId="23836" xr:uid="{00000000-0005-0000-0000-00001F5D0000}"/>
    <cellStyle name="Normal 44 2 2 2" xfId="23837" xr:uid="{00000000-0005-0000-0000-0000205D0000}"/>
    <cellStyle name="Normal 44 2 2 3" xfId="23838" xr:uid="{00000000-0005-0000-0000-0000215D0000}"/>
    <cellStyle name="Normal 44 2 3" xfId="23839" xr:uid="{00000000-0005-0000-0000-0000225D0000}"/>
    <cellStyle name="Normal 44 2 3 2" xfId="23840" xr:uid="{00000000-0005-0000-0000-0000235D0000}"/>
    <cellStyle name="Normal 44 2 3 3" xfId="23841" xr:uid="{00000000-0005-0000-0000-0000245D0000}"/>
    <cellStyle name="Normal 44 2 4" xfId="23842" xr:uid="{00000000-0005-0000-0000-0000255D0000}"/>
    <cellStyle name="Normal 44 2 5" xfId="23843" xr:uid="{00000000-0005-0000-0000-0000265D0000}"/>
    <cellStyle name="Normal 44 2 6" xfId="23844" xr:uid="{00000000-0005-0000-0000-0000275D0000}"/>
    <cellStyle name="Normal 44 3" xfId="23845" xr:uid="{00000000-0005-0000-0000-0000285D0000}"/>
    <cellStyle name="Normal 44 3 2" xfId="23846" xr:uid="{00000000-0005-0000-0000-0000295D0000}"/>
    <cellStyle name="Normal 44 3 3" xfId="23847" xr:uid="{00000000-0005-0000-0000-00002A5D0000}"/>
    <cellStyle name="Normal 44 4" xfId="23848" xr:uid="{00000000-0005-0000-0000-00002B5D0000}"/>
    <cellStyle name="Normal 44 4 2" xfId="23849" xr:uid="{00000000-0005-0000-0000-00002C5D0000}"/>
    <cellStyle name="Normal 44 4 3" xfId="23850" xr:uid="{00000000-0005-0000-0000-00002D5D0000}"/>
    <cellStyle name="Normal 44 5" xfId="23851" xr:uid="{00000000-0005-0000-0000-00002E5D0000}"/>
    <cellStyle name="Normal 44 6" xfId="23852" xr:uid="{00000000-0005-0000-0000-00002F5D0000}"/>
    <cellStyle name="Normal 44 7" xfId="23853" xr:uid="{00000000-0005-0000-0000-0000305D0000}"/>
    <cellStyle name="Normal 45" xfId="23854" xr:uid="{00000000-0005-0000-0000-0000315D0000}"/>
    <cellStyle name="Normal 45 2" xfId="23855" xr:uid="{00000000-0005-0000-0000-0000325D0000}"/>
    <cellStyle name="Normal 45 2 2" xfId="23856" xr:uid="{00000000-0005-0000-0000-0000335D0000}"/>
    <cellStyle name="Normal 45 2 2 2" xfId="23857" xr:uid="{00000000-0005-0000-0000-0000345D0000}"/>
    <cellStyle name="Normal 45 2 2 3" xfId="23858" xr:uid="{00000000-0005-0000-0000-0000355D0000}"/>
    <cellStyle name="Normal 45 2 3" xfId="23859" xr:uid="{00000000-0005-0000-0000-0000365D0000}"/>
    <cellStyle name="Normal 45 2 3 2" xfId="23860" xr:uid="{00000000-0005-0000-0000-0000375D0000}"/>
    <cellStyle name="Normal 45 2 3 3" xfId="23861" xr:uid="{00000000-0005-0000-0000-0000385D0000}"/>
    <cellStyle name="Normal 45 2 4" xfId="23862" xr:uid="{00000000-0005-0000-0000-0000395D0000}"/>
    <cellStyle name="Normal 45 2 5" xfId="23863" xr:uid="{00000000-0005-0000-0000-00003A5D0000}"/>
    <cellStyle name="Normal 45 2 6" xfId="23864" xr:uid="{00000000-0005-0000-0000-00003B5D0000}"/>
    <cellStyle name="Normal 45 3" xfId="23865" xr:uid="{00000000-0005-0000-0000-00003C5D0000}"/>
    <cellStyle name="Normal 45 3 2" xfId="23866" xr:uid="{00000000-0005-0000-0000-00003D5D0000}"/>
    <cellStyle name="Normal 45 3 3" xfId="23867" xr:uid="{00000000-0005-0000-0000-00003E5D0000}"/>
    <cellStyle name="Normal 45 4" xfId="23868" xr:uid="{00000000-0005-0000-0000-00003F5D0000}"/>
    <cellStyle name="Normal 45 4 2" xfId="23869" xr:uid="{00000000-0005-0000-0000-0000405D0000}"/>
    <cellStyle name="Normal 45 4 3" xfId="23870" xr:uid="{00000000-0005-0000-0000-0000415D0000}"/>
    <cellStyle name="Normal 45 5" xfId="23871" xr:uid="{00000000-0005-0000-0000-0000425D0000}"/>
    <cellStyle name="Normal 45 6" xfId="23872" xr:uid="{00000000-0005-0000-0000-0000435D0000}"/>
    <cellStyle name="Normal 45 7" xfId="23873" xr:uid="{00000000-0005-0000-0000-0000445D0000}"/>
    <cellStyle name="Normal 46" xfId="23874" xr:uid="{00000000-0005-0000-0000-0000455D0000}"/>
    <cellStyle name="Normal 46 2" xfId="23875" xr:uid="{00000000-0005-0000-0000-0000465D0000}"/>
    <cellStyle name="Normal 46 2 2" xfId="23876" xr:uid="{00000000-0005-0000-0000-0000475D0000}"/>
    <cellStyle name="Normal 46 2 2 2" xfId="23877" xr:uid="{00000000-0005-0000-0000-0000485D0000}"/>
    <cellStyle name="Normal 46 2 2 3" xfId="23878" xr:uid="{00000000-0005-0000-0000-0000495D0000}"/>
    <cellStyle name="Normal 46 2 3" xfId="23879" xr:uid="{00000000-0005-0000-0000-00004A5D0000}"/>
    <cellStyle name="Normal 46 2 3 2" xfId="23880" xr:uid="{00000000-0005-0000-0000-00004B5D0000}"/>
    <cellStyle name="Normal 46 2 3 3" xfId="23881" xr:uid="{00000000-0005-0000-0000-00004C5D0000}"/>
    <cellStyle name="Normal 46 2 4" xfId="23882" xr:uid="{00000000-0005-0000-0000-00004D5D0000}"/>
    <cellStyle name="Normal 46 2 5" xfId="23883" xr:uid="{00000000-0005-0000-0000-00004E5D0000}"/>
    <cellStyle name="Normal 46 2 6" xfId="23884" xr:uid="{00000000-0005-0000-0000-00004F5D0000}"/>
    <cellStyle name="Normal 46 3" xfId="23885" xr:uid="{00000000-0005-0000-0000-0000505D0000}"/>
    <cellStyle name="Normal 46 3 2" xfId="23886" xr:uid="{00000000-0005-0000-0000-0000515D0000}"/>
    <cellStyle name="Normal 46 3 3" xfId="23887" xr:uid="{00000000-0005-0000-0000-0000525D0000}"/>
    <cellStyle name="Normal 46 4" xfId="23888" xr:uid="{00000000-0005-0000-0000-0000535D0000}"/>
    <cellStyle name="Normal 46 4 2" xfId="23889" xr:uid="{00000000-0005-0000-0000-0000545D0000}"/>
    <cellStyle name="Normal 46 4 3" xfId="23890" xr:uid="{00000000-0005-0000-0000-0000555D0000}"/>
    <cellStyle name="Normal 46 5" xfId="23891" xr:uid="{00000000-0005-0000-0000-0000565D0000}"/>
    <cellStyle name="Normal 46 6" xfId="23892" xr:uid="{00000000-0005-0000-0000-0000575D0000}"/>
    <cellStyle name="Normal 46 7" xfId="23893" xr:uid="{00000000-0005-0000-0000-0000585D0000}"/>
    <cellStyle name="Normal 47" xfId="23894" xr:uid="{00000000-0005-0000-0000-0000595D0000}"/>
    <cellStyle name="Normal 47 2" xfId="23895" xr:uid="{00000000-0005-0000-0000-00005A5D0000}"/>
    <cellStyle name="Normal 47 2 2" xfId="23896" xr:uid="{00000000-0005-0000-0000-00005B5D0000}"/>
    <cellStyle name="Normal 47 2 2 2" xfId="23897" xr:uid="{00000000-0005-0000-0000-00005C5D0000}"/>
    <cellStyle name="Normal 47 2 2 3" xfId="23898" xr:uid="{00000000-0005-0000-0000-00005D5D0000}"/>
    <cellStyle name="Normal 47 2 3" xfId="23899" xr:uid="{00000000-0005-0000-0000-00005E5D0000}"/>
    <cellStyle name="Normal 47 2 3 2" xfId="23900" xr:uid="{00000000-0005-0000-0000-00005F5D0000}"/>
    <cellStyle name="Normal 47 2 3 3" xfId="23901" xr:uid="{00000000-0005-0000-0000-0000605D0000}"/>
    <cellStyle name="Normal 47 2 4" xfId="23902" xr:uid="{00000000-0005-0000-0000-0000615D0000}"/>
    <cellStyle name="Normal 47 2 5" xfId="23903" xr:uid="{00000000-0005-0000-0000-0000625D0000}"/>
    <cellStyle name="Normal 47 2 6" xfId="23904" xr:uid="{00000000-0005-0000-0000-0000635D0000}"/>
    <cellStyle name="Normal 47 3" xfId="23905" xr:uid="{00000000-0005-0000-0000-0000645D0000}"/>
    <cellStyle name="Normal 47 3 2" xfId="23906" xr:uid="{00000000-0005-0000-0000-0000655D0000}"/>
    <cellStyle name="Normal 47 3 3" xfId="23907" xr:uid="{00000000-0005-0000-0000-0000665D0000}"/>
    <cellStyle name="Normal 47 4" xfId="23908" xr:uid="{00000000-0005-0000-0000-0000675D0000}"/>
    <cellStyle name="Normal 47 4 2" xfId="23909" xr:uid="{00000000-0005-0000-0000-0000685D0000}"/>
    <cellStyle name="Normal 47 4 3" xfId="23910" xr:uid="{00000000-0005-0000-0000-0000695D0000}"/>
    <cellStyle name="Normal 47 5" xfId="23911" xr:uid="{00000000-0005-0000-0000-00006A5D0000}"/>
    <cellStyle name="Normal 47 6" xfId="23912" xr:uid="{00000000-0005-0000-0000-00006B5D0000}"/>
    <cellStyle name="Normal 47 7" xfId="23913" xr:uid="{00000000-0005-0000-0000-00006C5D0000}"/>
    <cellStyle name="Normal 48" xfId="23914" xr:uid="{00000000-0005-0000-0000-00006D5D0000}"/>
    <cellStyle name="Normal 48 2" xfId="23915" xr:uid="{00000000-0005-0000-0000-00006E5D0000}"/>
    <cellStyle name="Normal 48 2 2" xfId="23916" xr:uid="{00000000-0005-0000-0000-00006F5D0000}"/>
    <cellStyle name="Normal 48 2 2 2" xfId="23917" xr:uid="{00000000-0005-0000-0000-0000705D0000}"/>
    <cellStyle name="Normal 48 2 2 3" xfId="23918" xr:uid="{00000000-0005-0000-0000-0000715D0000}"/>
    <cellStyle name="Normal 48 2 3" xfId="23919" xr:uid="{00000000-0005-0000-0000-0000725D0000}"/>
    <cellStyle name="Normal 48 2 3 2" xfId="23920" xr:uid="{00000000-0005-0000-0000-0000735D0000}"/>
    <cellStyle name="Normal 48 2 3 3" xfId="23921" xr:uid="{00000000-0005-0000-0000-0000745D0000}"/>
    <cellStyle name="Normal 48 2 4" xfId="23922" xr:uid="{00000000-0005-0000-0000-0000755D0000}"/>
    <cellStyle name="Normal 48 2 5" xfId="23923" xr:uid="{00000000-0005-0000-0000-0000765D0000}"/>
    <cellStyle name="Normal 48 2 6" xfId="23924" xr:uid="{00000000-0005-0000-0000-0000775D0000}"/>
    <cellStyle name="Normal 48 3" xfId="23925" xr:uid="{00000000-0005-0000-0000-0000785D0000}"/>
    <cellStyle name="Normal 48 3 2" xfId="23926" xr:uid="{00000000-0005-0000-0000-0000795D0000}"/>
    <cellStyle name="Normal 48 3 3" xfId="23927" xr:uid="{00000000-0005-0000-0000-00007A5D0000}"/>
    <cellStyle name="Normal 48 4" xfId="23928" xr:uid="{00000000-0005-0000-0000-00007B5D0000}"/>
    <cellStyle name="Normal 48 4 2" xfId="23929" xr:uid="{00000000-0005-0000-0000-00007C5D0000}"/>
    <cellStyle name="Normal 48 4 3" xfId="23930" xr:uid="{00000000-0005-0000-0000-00007D5D0000}"/>
    <cellStyle name="Normal 48 5" xfId="23931" xr:uid="{00000000-0005-0000-0000-00007E5D0000}"/>
    <cellStyle name="Normal 48 6" xfId="23932" xr:uid="{00000000-0005-0000-0000-00007F5D0000}"/>
    <cellStyle name="Normal 48 7" xfId="23933" xr:uid="{00000000-0005-0000-0000-0000805D0000}"/>
    <cellStyle name="Normal 49" xfId="23934" xr:uid="{00000000-0005-0000-0000-0000815D0000}"/>
    <cellStyle name="Normal 49 2" xfId="23935" xr:uid="{00000000-0005-0000-0000-0000825D0000}"/>
    <cellStyle name="Normal 49 2 2" xfId="23936" xr:uid="{00000000-0005-0000-0000-0000835D0000}"/>
    <cellStyle name="Normal 49 2 2 2" xfId="23937" xr:uid="{00000000-0005-0000-0000-0000845D0000}"/>
    <cellStyle name="Normal 49 2 2 3" xfId="23938" xr:uid="{00000000-0005-0000-0000-0000855D0000}"/>
    <cellStyle name="Normal 49 2 3" xfId="23939" xr:uid="{00000000-0005-0000-0000-0000865D0000}"/>
    <cellStyle name="Normal 49 2 3 2" xfId="23940" xr:uid="{00000000-0005-0000-0000-0000875D0000}"/>
    <cellStyle name="Normal 49 2 3 3" xfId="23941" xr:uid="{00000000-0005-0000-0000-0000885D0000}"/>
    <cellStyle name="Normal 49 2 4" xfId="23942" xr:uid="{00000000-0005-0000-0000-0000895D0000}"/>
    <cellStyle name="Normal 49 2 5" xfId="23943" xr:uid="{00000000-0005-0000-0000-00008A5D0000}"/>
    <cellStyle name="Normal 49 2 6" xfId="23944" xr:uid="{00000000-0005-0000-0000-00008B5D0000}"/>
    <cellStyle name="Normal 49 3" xfId="23945" xr:uid="{00000000-0005-0000-0000-00008C5D0000}"/>
    <cellStyle name="Normal 49 3 2" xfId="23946" xr:uid="{00000000-0005-0000-0000-00008D5D0000}"/>
    <cellStyle name="Normal 49 3 3" xfId="23947" xr:uid="{00000000-0005-0000-0000-00008E5D0000}"/>
    <cellStyle name="Normal 49 4" xfId="23948" xr:uid="{00000000-0005-0000-0000-00008F5D0000}"/>
    <cellStyle name="Normal 49 4 2" xfId="23949" xr:uid="{00000000-0005-0000-0000-0000905D0000}"/>
    <cellStyle name="Normal 49 4 3" xfId="23950" xr:uid="{00000000-0005-0000-0000-0000915D0000}"/>
    <cellStyle name="Normal 49 5" xfId="23951" xr:uid="{00000000-0005-0000-0000-0000925D0000}"/>
    <cellStyle name="Normal 49 6" xfId="23952" xr:uid="{00000000-0005-0000-0000-0000935D0000}"/>
    <cellStyle name="Normal 49 7" xfId="23953" xr:uid="{00000000-0005-0000-0000-0000945D0000}"/>
    <cellStyle name="Normal 5" xfId="23954" xr:uid="{00000000-0005-0000-0000-0000955D0000}"/>
    <cellStyle name="Normal 5 10" xfId="23955" xr:uid="{00000000-0005-0000-0000-0000965D0000}"/>
    <cellStyle name="Normal 5 10 2" xfId="23956" xr:uid="{00000000-0005-0000-0000-0000975D0000}"/>
    <cellStyle name="Normal 5 10 2 2" xfId="23957" xr:uid="{00000000-0005-0000-0000-0000985D0000}"/>
    <cellStyle name="Normal 5 10 2 2 2" xfId="23958" xr:uid="{00000000-0005-0000-0000-0000995D0000}"/>
    <cellStyle name="Normal 5 10 2 2 3" xfId="23959" xr:uid="{00000000-0005-0000-0000-00009A5D0000}"/>
    <cellStyle name="Normal 5 10 2 3" xfId="23960" xr:uid="{00000000-0005-0000-0000-00009B5D0000}"/>
    <cellStyle name="Normal 5 10 2 3 2" xfId="23961" xr:uid="{00000000-0005-0000-0000-00009C5D0000}"/>
    <cellStyle name="Normal 5 10 2 3 3" xfId="23962" xr:uid="{00000000-0005-0000-0000-00009D5D0000}"/>
    <cellStyle name="Normal 5 10 2 4" xfId="23963" xr:uid="{00000000-0005-0000-0000-00009E5D0000}"/>
    <cellStyle name="Normal 5 10 2 5" xfId="23964" xr:uid="{00000000-0005-0000-0000-00009F5D0000}"/>
    <cellStyle name="Normal 5 10 2 6" xfId="23965" xr:uid="{00000000-0005-0000-0000-0000A05D0000}"/>
    <cellStyle name="Normal 5 10 3" xfId="23966" xr:uid="{00000000-0005-0000-0000-0000A15D0000}"/>
    <cellStyle name="Normal 5 10 3 2" xfId="23967" xr:uid="{00000000-0005-0000-0000-0000A25D0000}"/>
    <cellStyle name="Normal 5 10 3 3" xfId="23968" xr:uid="{00000000-0005-0000-0000-0000A35D0000}"/>
    <cellStyle name="Normal 5 10 4" xfId="23969" xr:uid="{00000000-0005-0000-0000-0000A45D0000}"/>
    <cellStyle name="Normal 5 10 4 2" xfId="23970" xr:uid="{00000000-0005-0000-0000-0000A55D0000}"/>
    <cellStyle name="Normal 5 10 4 3" xfId="23971" xr:uid="{00000000-0005-0000-0000-0000A65D0000}"/>
    <cellStyle name="Normal 5 10 5" xfId="23972" xr:uid="{00000000-0005-0000-0000-0000A75D0000}"/>
    <cellStyle name="Normal 5 10 6" xfId="23973" xr:uid="{00000000-0005-0000-0000-0000A85D0000}"/>
    <cellStyle name="Normal 5 10 7" xfId="23974" xr:uid="{00000000-0005-0000-0000-0000A95D0000}"/>
    <cellStyle name="Normal 5 11" xfId="23975" xr:uid="{00000000-0005-0000-0000-0000AA5D0000}"/>
    <cellStyle name="Normal 5 11 2" xfId="23976" xr:uid="{00000000-0005-0000-0000-0000AB5D0000}"/>
    <cellStyle name="Normal 5 11 2 2" xfId="23977" xr:uid="{00000000-0005-0000-0000-0000AC5D0000}"/>
    <cellStyle name="Normal 5 11 2 2 2" xfId="23978" xr:uid="{00000000-0005-0000-0000-0000AD5D0000}"/>
    <cellStyle name="Normal 5 11 2 2 3" xfId="23979" xr:uid="{00000000-0005-0000-0000-0000AE5D0000}"/>
    <cellStyle name="Normal 5 11 2 3" xfId="23980" xr:uid="{00000000-0005-0000-0000-0000AF5D0000}"/>
    <cellStyle name="Normal 5 11 2 3 2" xfId="23981" xr:uid="{00000000-0005-0000-0000-0000B05D0000}"/>
    <cellStyle name="Normal 5 11 2 3 3" xfId="23982" xr:uid="{00000000-0005-0000-0000-0000B15D0000}"/>
    <cellStyle name="Normal 5 11 2 4" xfId="23983" xr:uid="{00000000-0005-0000-0000-0000B25D0000}"/>
    <cellStyle name="Normal 5 11 2 5" xfId="23984" xr:uid="{00000000-0005-0000-0000-0000B35D0000}"/>
    <cellStyle name="Normal 5 11 2 6" xfId="23985" xr:uid="{00000000-0005-0000-0000-0000B45D0000}"/>
    <cellStyle name="Normal 5 11 3" xfId="23986" xr:uid="{00000000-0005-0000-0000-0000B55D0000}"/>
    <cellStyle name="Normal 5 11 3 2" xfId="23987" xr:uid="{00000000-0005-0000-0000-0000B65D0000}"/>
    <cellStyle name="Normal 5 11 3 3" xfId="23988" xr:uid="{00000000-0005-0000-0000-0000B75D0000}"/>
    <cellStyle name="Normal 5 11 4" xfId="23989" xr:uid="{00000000-0005-0000-0000-0000B85D0000}"/>
    <cellStyle name="Normal 5 11 4 2" xfId="23990" xr:uid="{00000000-0005-0000-0000-0000B95D0000}"/>
    <cellStyle name="Normal 5 11 4 3" xfId="23991" xr:uid="{00000000-0005-0000-0000-0000BA5D0000}"/>
    <cellStyle name="Normal 5 11 5" xfId="23992" xr:uid="{00000000-0005-0000-0000-0000BB5D0000}"/>
    <cellStyle name="Normal 5 11 6" xfId="23993" xr:uid="{00000000-0005-0000-0000-0000BC5D0000}"/>
    <cellStyle name="Normal 5 11 7" xfId="23994" xr:uid="{00000000-0005-0000-0000-0000BD5D0000}"/>
    <cellStyle name="Normal 5 12" xfId="23995" xr:uid="{00000000-0005-0000-0000-0000BE5D0000}"/>
    <cellStyle name="Normal 5 12 2" xfId="23996" xr:uid="{00000000-0005-0000-0000-0000BF5D0000}"/>
    <cellStyle name="Normal 5 12 2 2" xfId="23997" xr:uid="{00000000-0005-0000-0000-0000C05D0000}"/>
    <cellStyle name="Normal 5 12 2 2 2" xfId="23998" xr:uid="{00000000-0005-0000-0000-0000C15D0000}"/>
    <cellStyle name="Normal 5 12 2 2 3" xfId="23999" xr:uid="{00000000-0005-0000-0000-0000C25D0000}"/>
    <cellStyle name="Normal 5 12 2 3" xfId="24000" xr:uid="{00000000-0005-0000-0000-0000C35D0000}"/>
    <cellStyle name="Normal 5 12 2 3 2" xfId="24001" xr:uid="{00000000-0005-0000-0000-0000C45D0000}"/>
    <cellStyle name="Normal 5 12 2 3 3" xfId="24002" xr:uid="{00000000-0005-0000-0000-0000C55D0000}"/>
    <cellStyle name="Normal 5 12 2 4" xfId="24003" xr:uid="{00000000-0005-0000-0000-0000C65D0000}"/>
    <cellStyle name="Normal 5 12 2 5" xfId="24004" xr:uid="{00000000-0005-0000-0000-0000C75D0000}"/>
    <cellStyle name="Normal 5 12 2 6" xfId="24005" xr:uid="{00000000-0005-0000-0000-0000C85D0000}"/>
    <cellStyle name="Normal 5 12 3" xfId="24006" xr:uid="{00000000-0005-0000-0000-0000C95D0000}"/>
    <cellStyle name="Normal 5 12 3 2" xfId="24007" xr:uid="{00000000-0005-0000-0000-0000CA5D0000}"/>
    <cellStyle name="Normal 5 12 3 3" xfId="24008" xr:uid="{00000000-0005-0000-0000-0000CB5D0000}"/>
    <cellStyle name="Normal 5 12 4" xfId="24009" xr:uid="{00000000-0005-0000-0000-0000CC5D0000}"/>
    <cellStyle name="Normal 5 12 4 2" xfId="24010" xr:uid="{00000000-0005-0000-0000-0000CD5D0000}"/>
    <cellStyle name="Normal 5 12 4 3" xfId="24011" xr:uid="{00000000-0005-0000-0000-0000CE5D0000}"/>
    <cellStyle name="Normal 5 12 5" xfId="24012" xr:uid="{00000000-0005-0000-0000-0000CF5D0000}"/>
    <cellStyle name="Normal 5 12 6" xfId="24013" xr:uid="{00000000-0005-0000-0000-0000D05D0000}"/>
    <cellStyle name="Normal 5 12 7" xfId="24014" xr:uid="{00000000-0005-0000-0000-0000D15D0000}"/>
    <cellStyle name="Normal 5 13" xfId="24015" xr:uid="{00000000-0005-0000-0000-0000D25D0000}"/>
    <cellStyle name="Normal 5 13 2" xfId="24016" xr:uid="{00000000-0005-0000-0000-0000D35D0000}"/>
    <cellStyle name="Normal 5 13 2 2" xfId="24017" xr:uid="{00000000-0005-0000-0000-0000D45D0000}"/>
    <cellStyle name="Normal 5 13 2 2 2" xfId="24018" xr:uid="{00000000-0005-0000-0000-0000D55D0000}"/>
    <cellStyle name="Normal 5 13 2 2 3" xfId="24019" xr:uid="{00000000-0005-0000-0000-0000D65D0000}"/>
    <cellStyle name="Normal 5 13 2 3" xfId="24020" xr:uid="{00000000-0005-0000-0000-0000D75D0000}"/>
    <cellStyle name="Normal 5 13 2 3 2" xfId="24021" xr:uid="{00000000-0005-0000-0000-0000D85D0000}"/>
    <cellStyle name="Normal 5 13 2 3 3" xfId="24022" xr:uid="{00000000-0005-0000-0000-0000D95D0000}"/>
    <cellStyle name="Normal 5 13 2 4" xfId="24023" xr:uid="{00000000-0005-0000-0000-0000DA5D0000}"/>
    <cellStyle name="Normal 5 13 2 5" xfId="24024" xr:uid="{00000000-0005-0000-0000-0000DB5D0000}"/>
    <cellStyle name="Normal 5 13 2 6" xfId="24025" xr:uid="{00000000-0005-0000-0000-0000DC5D0000}"/>
    <cellStyle name="Normal 5 13 3" xfId="24026" xr:uid="{00000000-0005-0000-0000-0000DD5D0000}"/>
    <cellStyle name="Normal 5 13 3 2" xfId="24027" xr:uid="{00000000-0005-0000-0000-0000DE5D0000}"/>
    <cellStyle name="Normal 5 13 3 3" xfId="24028" xr:uid="{00000000-0005-0000-0000-0000DF5D0000}"/>
    <cellStyle name="Normal 5 13 4" xfId="24029" xr:uid="{00000000-0005-0000-0000-0000E05D0000}"/>
    <cellStyle name="Normal 5 13 4 2" xfId="24030" xr:uid="{00000000-0005-0000-0000-0000E15D0000}"/>
    <cellStyle name="Normal 5 13 4 3" xfId="24031" xr:uid="{00000000-0005-0000-0000-0000E25D0000}"/>
    <cellStyle name="Normal 5 13 5" xfId="24032" xr:uid="{00000000-0005-0000-0000-0000E35D0000}"/>
    <cellStyle name="Normal 5 13 6" xfId="24033" xr:uid="{00000000-0005-0000-0000-0000E45D0000}"/>
    <cellStyle name="Normal 5 13 7" xfId="24034" xr:uid="{00000000-0005-0000-0000-0000E55D0000}"/>
    <cellStyle name="Normal 5 14" xfId="24035" xr:uid="{00000000-0005-0000-0000-0000E65D0000}"/>
    <cellStyle name="Normal 5 14 2" xfId="24036" xr:uid="{00000000-0005-0000-0000-0000E75D0000}"/>
    <cellStyle name="Normal 5 14 2 2" xfId="24037" xr:uid="{00000000-0005-0000-0000-0000E85D0000}"/>
    <cellStyle name="Normal 5 14 2 2 2" xfId="24038" xr:uid="{00000000-0005-0000-0000-0000E95D0000}"/>
    <cellStyle name="Normal 5 14 2 2 3" xfId="24039" xr:uid="{00000000-0005-0000-0000-0000EA5D0000}"/>
    <cellStyle name="Normal 5 14 2 3" xfId="24040" xr:uid="{00000000-0005-0000-0000-0000EB5D0000}"/>
    <cellStyle name="Normal 5 14 2 3 2" xfId="24041" xr:uid="{00000000-0005-0000-0000-0000EC5D0000}"/>
    <cellStyle name="Normal 5 14 2 3 3" xfId="24042" xr:uid="{00000000-0005-0000-0000-0000ED5D0000}"/>
    <cellStyle name="Normal 5 14 2 4" xfId="24043" xr:uid="{00000000-0005-0000-0000-0000EE5D0000}"/>
    <cellStyle name="Normal 5 14 2 5" xfId="24044" xr:uid="{00000000-0005-0000-0000-0000EF5D0000}"/>
    <cellStyle name="Normal 5 14 2 6" xfId="24045" xr:uid="{00000000-0005-0000-0000-0000F05D0000}"/>
    <cellStyle name="Normal 5 14 3" xfId="24046" xr:uid="{00000000-0005-0000-0000-0000F15D0000}"/>
    <cellStyle name="Normal 5 14 3 2" xfId="24047" xr:uid="{00000000-0005-0000-0000-0000F25D0000}"/>
    <cellStyle name="Normal 5 14 3 3" xfId="24048" xr:uid="{00000000-0005-0000-0000-0000F35D0000}"/>
    <cellStyle name="Normal 5 14 4" xfId="24049" xr:uid="{00000000-0005-0000-0000-0000F45D0000}"/>
    <cellStyle name="Normal 5 14 4 2" xfId="24050" xr:uid="{00000000-0005-0000-0000-0000F55D0000}"/>
    <cellStyle name="Normal 5 14 4 3" xfId="24051" xr:uid="{00000000-0005-0000-0000-0000F65D0000}"/>
    <cellStyle name="Normal 5 14 5" xfId="24052" xr:uid="{00000000-0005-0000-0000-0000F75D0000}"/>
    <cellStyle name="Normal 5 14 6" xfId="24053" xr:uid="{00000000-0005-0000-0000-0000F85D0000}"/>
    <cellStyle name="Normal 5 14 7" xfId="24054" xr:uid="{00000000-0005-0000-0000-0000F95D0000}"/>
    <cellStyle name="Normal 5 15" xfId="24055" xr:uid="{00000000-0005-0000-0000-0000FA5D0000}"/>
    <cellStyle name="Normal 5 15 2" xfId="24056" xr:uid="{00000000-0005-0000-0000-0000FB5D0000}"/>
    <cellStyle name="Normal 5 15 2 2" xfId="24057" xr:uid="{00000000-0005-0000-0000-0000FC5D0000}"/>
    <cellStyle name="Normal 5 15 2 2 2" xfId="24058" xr:uid="{00000000-0005-0000-0000-0000FD5D0000}"/>
    <cellStyle name="Normal 5 15 2 2 3" xfId="24059" xr:uid="{00000000-0005-0000-0000-0000FE5D0000}"/>
    <cellStyle name="Normal 5 15 2 3" xfId="24060" xr:uid="{00000000-0005-0000-0000-0000FF5D0000}"/>
    <cellStyle name="Normal 5 15 2 3 2" xfId="24061" xr:uid="{00000000-0005-0000-0000-0000005E0000}"/>
    <cellStyle name="Normal 5 15 2 3 3" xfId="24062" xr:uid="{00000000-0005-0000-0000-0000015E0000}"/>
    <cellStyle name="Normal 5 15 2 4" xfId="24063" xr:uid="{00000000-0005-0000-0000-0000025E0000}"/>
    <cellStyle name="Normal 5 15 2 5" xfId="24064" xr:uid="{00000000-0005-0000-0000-0000035E0000}"/>
    <cellStyle name="Normal 5 15 2 6" xfId="24065" xr:uid="{00000000-0005-0000-0000-0000045E0000}"/>
    <cellStyle name="Normal 5 15 3" xfId="24066" xr:uid="{00000000-0005-0000-0000-0000055E0000}"/>
    <cellStyle name="Normal 5 15 3 2" xfId="24067" xr:uid="{00000000-0005-0000-0000-0000065E0000}"/>
    <cellStyle name="Normal 5 15 3 3" xfId="24068" xr:uid="{00000000-0005-0000-0000-0000075E0000}"/>
    <cellStyle name="Normal 5 15 4" xfId="24069" xr:uid="{00000000-0005-0000-0000-0000085E0000}"/>
    <cellStyle name="Normal 5 15 4 2" xfId="24070" xr:uid="{00000000-0005-0000-0000-0000095E0000}"/>
    <cellStyle name="Normal 5 15 4 3" xfId="24071" xr:uid="{00000000-0005-0000-0000-00000A5E0000}"/>
    <cellStyle name="Normal 5 15 5" xfId="24072" xr:uid="{00000000-0005-0000-0000-00000B5E0000}"/>
    <cellStyle name="Normal 5 15 6" xfId="24073" xr:uid="{00000000-0005-0000-0000-00000C5E0000}"/>
    <cellStyle name="Normal 5 15 7" xfId="24074" xr:uid="{00000000-0005-0000-0000-00000D5E0000}"/>
    <cellStyle name="Normal 5 16" xfId="24075" xr:uid="{00000000-0005-0000-0000-00000E5E0000}"/>
    <cellStyle name="Normal 5 16 2" xfId="24076" xr:uid="{00000000-0005-0000-0000-00000F5E0000}"/>
    <cellStyle name="Normal 5 16 2 2" xfId="24077" xr:uid="{00000000-0005-0000-0000-0000105E0000}"/>
    <cellStyle name="Normal 5 16 2 2 2" xfId="24078" xr:uid="{00000000-0005-0000-0000-0000115E0000}"/>
    <cellStyle name="Normal 5 16 2 2 3" xfId="24079" xr:uid="{00000000-0005-0000-0000-0000125E0000}"/>
    <cellStyle name="Normal 5 16 2 3" xfId="24080" xr:uid="{00000000-0005-0000-0000-0000135E0000}"/>
    <cellStyle name="Normal 5 16 2 3 2" xfId="24081" xr:uid="{00000000-0005-0000-0000-0000145E0000}"/>
    <cellStyle name="Normal 5 16 2 3 3" xfId="24082" xr:uid="{00000000-0005-0000-0000-0000155E0000}"/>
    <cellStyle name="Normal 5 16 2 4" xfId="24083" xr:uid="{00000000-0005-0000-0000-0000165E0000}"/>
    <cellStyle name="Normal 5 16 2 5" xfId="24084" xr:uid="{00000000-0005-0000-0000-0000175E0000}"/>
    <cellStyle name="Normal 5 16 2 6" xfId="24085" xr:uid="{00000000-0005-0000-0000-0000185E0000}"/>
    <cellStyle name="Normal 5 16 3" xfId="24086" xr:uid="{00000000-0005-0000-0000-0000195E0000}"/>
    <cellStyle name="Normal 5 16 3 2" xfId="24087" xr:uid="{00000000-0005-0000-0000-00001A5E0000}"/>
    <cellStyle name="Normal 5 16 3 3" xfId="24088" xr:uid="{00000000-0005-0000-0000-00001B5E0000}"/>
    <cellStyle name="Normal 5 16 4" xfId="24089" xr:uid="{00000000-0005-0000-0000-00001C5E0000}"/>
    <cellStyle name="Normal 5 16 4 2" xfId="24090" xr:uid="{00000000-0005-0000-0000-00001D5E0000}"/>
    <cellStyle name="Normal 5 16 4 3" xfId="24091" xr:uid="{00000000-0005-0000-0000-00001E5E0000}"/>
    <cellStyle name="Normal 5 16 5" xfId="24092" xr:uid="{00000000-0005-0000-0000-00001F5E0000}"/>
    <cellStyle name="Normal 5 16 6" xfId="24093" xr:uid="{00000000-0005-0000-0000-0000205E0000}"/>
    <cellStyle name="Normal 5 16 7" xfId="24094" xr:uid="{00000000-0005-0000-0000-0000215E0000}"/>
    <cellStyle name="Normal 5 17" xfId="24095" xr:uid="{00000000-0005-0000-0000-0000225E0000}"/>
    <cellStyle name="Normal 5 17 2" xfId="24096" xr:uid="{00000000-0005-0000-0000-0000235E0000}"/>
    <cellStyle name="Normal 5 17 2 2" xfId="24097" xr:uid="{00000000-0005-0000-0000-0000245E0000}"/>
    <cellStyle name="Normal 5 17 2 2 2" xfId="24098" xr:uid="{00000000-0005-0000-0000-0000255E0000}"/>
    <cellStyle name="Normal 5 17 2 2 3" xfId="24099" xr:uid="{00000000-0005-0000-0000-0000265E0000}"/>
    <cellStyle name="Normal 5 17 2 3" xfId="24100" xr:uid="{00000000-0005-0000-0000-0000275E0000}"/>
    <cellStyle name="Normal 5 17 2 3 2" xfId="24101" xr:uid="{00000000-0005-0000-0000-0000285E0000}"/>
    <cellStyle name="Normal 5 17 2 3 3" xfId="24102" xr:uid="{00000000-0005-0000-0000-0000295E0000}"/>
    <cellStyle name="Normal 5 17 2 4" xfId="24103" xr:uid="{00000000-0005-0000-0000-00002A5E0000}"/>
    <cellStyle name="Normal 5 17 2 5" xfId="24104" xr:uid="{00000000-0005-0000-0000-00002B5E0000}"/>
    <cellStyle name="Normal 5 17 2 6" xfId="24105" xr:uid="{00000000-0005-0000-0000-00002C5E0000}"/>
    <cellStyle name="Normal 5 17 3" xfId="24106" xr:uid="{00000000-0005-0000-0000-00002D5E0000}"/>
    <cellStyle name="Normal 5 17 3 2" xfId="24107" xr:uid="{00000000-0005-0000-0000-00002E5E0000}"/>
    <cellStyle name="Normal 5 17 3 3" xfId="24108" xr:uid="{00000000-0005-0000-0000-00002F5E0000}"/>
    <cellStyle name="Normal 5 17 4" xfId="24109" xr:uid="{00000000-0005-0000-0000-0000305E0000}"/>
    <cellStyle name="Normal 5 17 4 2" xfId="24110" xr:uid="{00000000-0005-0000-0000-0000315E0000}"/>
    <cellStyle name="Normal 5 17 4 3" xfId="24111" xr:uid="{00000000-0005-0000-0000-0000325E0000}"/>
    <cellStyle name="Normal 5 17 5" xfId="24112" xr:uid="{00000000-0005-0000-0000-0000335E0000}"/>
    <cellStyle name="Normal 5 17 6" xfId="24113" xr:uid="{00000000-0005-0000-0000-0000345E0000}"/>
    <cellStyle name="Normal 5 17 7" xfId="24114" xr:uid="{00000000-0005-0000-0000-0000355E0000}"/>
    <cellStyle name="Normal 5 18" xfId="24115" xr:uid="{00000000-0005-0000-0000-0000365E0000}"/>
    <cellStyle name="Normal 5 18 2" xfId="24116" xr:uid="{00000000-0005-0000-0000-0000375E0000}"/>
    <cellStyle name="Normal 5 18 2 2" xfId="24117" xr:uid="{00000000-0005-0000-0000-0000385E0000}"/>
    <cellStyle name="Normal 5 18 2 2 2" xfId="24118" xr:uid="{00000000-0005-0000-0000-0000395E0000}"/>
    <cellStyle name="Normal 5 18 2 2 3" xfId="24119" xr:uid="{00000000-0005-0000-0000-00003A5E0000}"/>
    <cellStyle name="Normal 5 18 2 3" xfId="24120" xr:uid="{00000000-0005-0000-0000-00003B5E0000}"/>
    <cellStyle name="Normal 5 18 2 3 2" xfId="24121" xr:uid="{00000000-0005-0000-0000-00003C5E0000}"/>
    <cellStyle name="Normal 5 18 2 3 3" xfId="24122" xr:uid="{00000000-0005-0000-0000-00003D5E0000}"/>
    <cellStyle name="Normal 5 18 2 4" xfId="24123" xr:uid="{00000000-0005-0000-0000-00003E5E0000}"/>
    <cellStyle name="Normal 5 18 2 5" xfId="24124" xr:uid="{00000000-0005-0000-0000-00003F5E0000}"/>
    <cellStyle name="Normal 5 18 2 6" xfId="24125" xr:uid="{00000000-0005-0000-0000-0000405E0000}"/>
    <cellStyle name="Normal 5 18 3" xfId="24126" xr:uid="{00000000-0005-0000-0000-0000415E0000}"/>
    <cellStyle name="Normal 5 18 3 2" xfId="24127" xr:uid="{00000000-0005-0000-0000-0000425E0000}"/>
    <cellStyle name="Normal 5 18 3 3" xfId="24128" xr:uid="{00000000-0005-0000-0000-0000435E0000}"/>
    <cellStyle name="Normal 5 18 4" xfId="24129" xr:uid="{00000000-0005-0000-0000-0000445E0000}"/>
    <cellStyle name="Normal 5 18 4 2" xfId="24130" xr:uid="{00000000-0005-0000-0000-0000455E0000}"/>
    <cellStyle name="Normal 5 18 4 3" xfId="24131" xr:uid="{00000000-0005-0000-0000-0000465E0000}"/>
    <cellStyle name="Normal 5 18 5" xfId="24132" xr:uid="{00000000-0005-0000-0000-0000475E0000}"/>
    <cellStyle name="Normal 5 18 6" xfId="24133" xr:uid="{00000000-0005-0000-0000-0000485E0000}"/>
    <cellStyle name="Normal 5 18 7" xfId="24134" xr:uid="{00000000-0005-0000-0000-0000495E0000}"/>
    <cellStyle name="Normal 5 19" xfId="24135" xr:uid="{00000000-0005-0000-0000-00004A5E0000}"/>
    <cellStyle name="Normal 5 19 2" xfId="24136" xr:uid="{00000000-0005-0000-0000-00004B5E0000}"/>
    <cellStyle name="Normal 5 19 2 2" xfId="24137" xr:uid="{00000000-0005-0000-0000-00004C5E0000}"/>
    <cellStyle name="Normal 5 19 2 2 2" xfId="24138" xr:uid="{00000000-0005-0000-0000-00004D5E0000}"/>
    <cellStyle name="Normal 5 19 2 2 3" xfId="24139" xr:uid="{00000000-0005-0000-0000-00004E5E0000}"/>
    <cellStyle name="Normal 5 19 2 3" xfId="24140" xr:uid="{00000000-0005-0000-0000-00004F5E0000}"/>
    <cellStyle name="Normal 5 19 2 3 2" xfId="24141" xr:uid="{00000000-0005-0000-0000-0000505E0000}"/>
    <cellStyle name="Normal 5 19 2 3 3" xfId="24142" xr:uid="{00000000-0005-0000-0000-0000515E0000}"/>
    <cellStyle name="Normal 5 19 2 4" xfId="24143" xr:uid="{00000000-0005-0000-0000-0000525E0000}"/>
    <cellStyle name="Normal 5 19 2 5" xfId="24144" xr:uid="{00000000-0005-0000-0000-0000535E0000}"/>
    <cellStyle name="Normal 5 19 2 6" xfId="24145" xr:uid="{00000000-0005-0000-0000-0000545E0000}"/>
    <cellStyle name="Normal 5 19 3" xfId="24146" xr:uid="{00000000-0005-0000-0000-0000555E0000}"/>
    <cellStyle name="Normal 5 19 3 2" xfId="24147" xr:uid="{00000000-0005-0000-0000-0000565E0000}"/>
    <cellStyle name="Normal 5 19 3 3" xfId="24148" xr:uid="{00000000-0005-0000-0000-0000575E0000}"/>
    <cellStyle name="Normal 5 19 4" xfId="24149" xr:uid="{00000000-0005-0000-0000-0000585E0000}"/>
    <cellStyle name="Normal 5 19 4 2" xfId="24150" xr:uid="{00000000-0005-0000-0000-0000595E0000}"/>
    <cellStyle name="Normal 5 19 4 3" xfId="24151" xr:uid="{00000000-0005-0000-0000-00005A5E0000}"/>
    <cellStyle name="Normal 5 19 5" xfId="24152" xr:uid="{00000000-0005-0000-0000-00005B5E0000}"/>
    <cellStyle name="Normal 5 19 6" xfId="24153" xr:uid="{00000000-0005-0000-0000-00005C5E0000}"/>
    <cellStyle name="Normal 5 19 7" xfId="24154" xr:uid="{00000000-0005-0000-0000-00005D5E0000}"/>
    <cellStyle name="Normal 5 2" xfId="24155" xr:uid="{00000000-0005-0000-0000-00005E5E0000}"/>
    <cellStyle name="Normal 5 2 2" xfId="24156" xr:uid="{00000000-0005-0000-0000-00005F5E0000}"/>
    <cellStyle name="Normal 5 2 3" xfId="24157" xr:uid="{00000000-0005-0000-0000-0000605E0000}"/>
    <cellStyle name="Normal 5 2 4" xfId="24158" xr:uid="{00000000-0005-0000-0000-0000615E0000}"/>
    <cellStyle name="Normal 5 20" xfId="24159" xr:uid="{00000000-0005-0000-0000-0000625E0000}"/>
    <cellStyle name="Normal 5 20 2" xfId="24160" xr:uid="{00000000-0005-0000-0000-0000635E0000}"/>
    <cellStyle name="Normal 5 20 2 2" xfId="24161" xr:uid="{00000000-0005-0000-0000-0000645E0000}"/>
    <cellStyle name="Normal 5 20 2 2 2" xfId="24162" xr:uid="{00000000-0005-0000-0000-0000655E0000}"/>
    <cellStyle name="Normal 5 20 2 2 3" xfId="24163" xr:uid="{00000000-0005-0000-0000-0000665E0000}"/>
    <cellStyle name="Normal 5 20 2 3" xfId="24164" xr:uid="{00000000-0005-0000-0000-0000675E0000}"/>
    <cellStyle name="Normal 5 20 2 3 2" xfId="24165" xr:uid="{00000000-0005-0000-0000-0000685E0000}"/>
    <cellStyle name="Normal 5 20 2 3 3" xfId="24166" xr:uid="{00000000-0005-0000-0000-0000695E0000}"/>
    <cellStyle name="Normal 5 20 2 4" xfId="24167" xr:uid="{00000000-0005-0000-0000-00006A5E0000}"/>
    <cellStyle name="Normal 5 20 2 5" xfId="24168" xr:uid="{00000000-0005-0000-0000-00006B5E0000}"/>
    <cellStyle name="Normal 5 20 2 6" xfId="24169" xr:uid="{00000000-0005-0000-0000-00006C5E0000}"/>
    <cellStyle name="Normal 5 20 3" xfId="24170" xr:uid="{00000000-0005-0000-0000-00006D5E0000}"/>
    <cellStyle name="Normal 5 20 3 2" xfId="24171" xr:uid="{00000000-0005-0000-0000-00006E5E0000}"/>
    <cellStyle name="Normal 5 20 3 3" xfId="24172" xr:uid="{00000000-0005-0000-0000-00006F5E0000}"/>
    <cellStyle name="Normal 5 20 4" xfId="24173" xr:uid="{00000000-0005-0000-0000-0000705E0000}"/>
    <cellStyle name="Normal 5 20 4 2" xfId="24174" xr:uid="{00000000-0005-0000-0000-0000715E0000}"/>
    <cellStyle name="Normal 5 20 4 3" xfId="24175" xr:uid="{00000000-0005-0000-0000-0000725E0000}"/>
    <cellStyle name="Normal 5 20 5" xfId="24176" xr:uid="{00000000-0005-0000-0000-0000735E0000}"/>
    <cellStyle name="Normal 5 20 6" xfId="24177" xr:uid="{00000000-0005-0000-0000-0000745E0000}"/>
    <cellStyle name="Normal 5 20 7" xfId="24178" xr:uid="{00000000-0005-0000-0000-0000755E0000}"/>
    <cellStyle name="Normal 5 21" xfId="24179" xr:uid="{00000000-0005-0000-0000-0000765E0000}"/>
    <cellStyle name="Normal 5 21 2" xfId="24180" xr:uid="{00000000-0005-0000-0000-0000775E0000}"/>
    <cellStyle name="Normal 5 21 2 2" xfId="24181" xr:uid="{00000000-0005-0000-0000-0000785E0000}"/>
    <cellStyle name="Normal 5 21 2 3" xfId="24182" xr:uid="{00000000-0005-0000-0000-0000795E0000}"/>
    <cellStyle name="Normal 5 21 3" xfId="24183" xr:uid="{00000000-0005-0000-0000-00007A5E0000}"/>
    <cellStyle name="Normal 5 21 3 2" xfId="24184" xr:uid="{00000000-0005-0000-0000-00007B5E0000}"/>
    <cellStyle name="Normal 5 21 3 3" xfId="24185" xr:uid="{00000000-0005-0000-0000-00007C5E0000}"/>
    <cellStyle name="Normal 5 21 4" xfId="24186" xr:uid="{00000000-0005-0000-0000-00007D5E0000}"/>
    <cellStyle name="Normal 5 21 5" xfId="24187" xr:uid="{00000000-0005-0000-0000-00007E5E0000}"/>
    <cellStyle name="Normal 5 21 6" xfId="24188" xr:uid="{00000000-0005-0000-0000-00007F5E0000}"/>
    <cellStyle name="Normal 5 22" xfId="24189" xr:uid="{00000000-0005-0000-0000-0000805E0000}"/>
    <cellStyle name="Normal 5 22 2" xfId="24190" xr:uid="{00000000-0005-0000-0000-0000815E0000}"/>
    <cellStyle name="Normal 5 22 3" xfId="24191" xr:uid="{00000000-0005-0000-0000-0000825E0000}"/>
    <cellStyle name="Normal 5 23" xfId="24192" xr:uid="{00000000-0005-0000-0000-0000835E0000}"/>
    <cellStyle name="Normal 5 23 2" xfId="24193" xr:uid="{00000000-0005-0000-0000-0000845E0000}"/>
    <cellStyle name="Normal 5 23 3" xfId="24194" xr:uid="{00000000-0005-0000-0000-0000855E0000}"/>
    <cellStyle name="Normal 5 24" xfId="24195" xr:uid="{00000000-0005-0000-0000-0000865E0000}"/>
    <cellStyle name="Normal 5 24 2" xfId="24196" xr:uid="{00000000-0005-0000-0000-0000875E0000}"/>
    <cellStyle name="Normal 5 24 3" xfId="24197" xr:uid="{00000000-0005-0000-0000-0000885E0000}"/>
    <cellStyle name="Normal 5 25" xfId="24198" xr:uid="{00000000-0005-0000-0000-0000895E0000}"/>
    <cellStyle name="Normal 5 26" xfId="24199" xr:uid="{00000000-0005-0000-0000-00008A5E0000}"/>
    <cellStyle name="Normal 5 27" xfId="24200" xr:uid="{00000000-0005-0000-0000-00008B5E0000}"/>
    <cellStyle name="Normal 5 3" xfId="24201" xr:uid="{00000000-0005-0000-0000-00008C5E0000}"/>
    <cellStyle name="Normal 5 3 2" xfId="24202" xr:uid="{00000000-0005-0000-0000-00008D5E0000}"/>
    <cellStyle name="Normal 5 3 2 2" xfId="24203" xr:uid="{00000000-0005-0000-0000-00008E5E0000}"/>
    <cellStyle name="Normal 5 3 2 2 2" xfId="24204" xr:uid="{00000000-0005-0000-0000-00008F5E0000}"/>
    <cellStyle name="Normal 5 3 2 2 3" xfId="24205" xr:uid="{00000000-0005-0000-0000-0000905E0000}"/>
    <cellStyle name="Normal 5 3 2 3" xfId="24206" xr:uid="{00000000-0005-0000-0000-0000915E0000}"/>
    <cellStyle name="Normal 5 3 2 3 2" xfId="24207" xr:uid="{00000000-0005-0000-0000-0000925E0000}"/>
    <cellStyle name="Normal 5 3 2 3 3" xfId="24208" xr:uid="{00000000-0005-0000-0000-0000935E0000}"/>
    <cellStyle name="Normal 5 3 2 4" xfId="24209" xr:uid="{00000000-0005-0000-0000-0000945E0000}"/>
    <cellStyle name="Normal 5 3 2 5" xfId="24210" xr:uid="{00000000-0005-0000-0000-0000955E0000}"/>
    <cellStyle name="Normal 5 3 2 6" xfId="24211" xr:uid="{00000000-0005-0000-0000-0000965E0000}"/>
    <cellStyle name="Normal 5 3 3" xfId="24212" xr:uid="{00000000-0005-0000-0000-0000975E0000}"/>
    <cellStyle name="Normal 5 3 3 2" xfId="24213" xr:uid="{00000000-0005-0000-0000-0000985E0000}"/>
    <cellStyle name="Normal 5 3 3 3" xfId="24214" xr:uid="{00000000-0005-0000-0000-0000995E0000}"/>
    <cellStyle name="Normal 5 3 4" xfId="24215" xr:uid="{00000000-0005-0000-0000-00009A5E0000}"/>
    <cellStyle name="Normal 5 3 4 2" xfId="24216" xr:uid="{00000000-0005-0000-0000-00009B5E0000}"/>
    <cellStyle name="Normal 5 3 4 3" xfId="24217" xr:uid="{00000000-0005-0000-0000-00009C5E0000}"/>
    <cellStyle name="Normal 5 3 5" xfId="24218" xr:uid="{00000000-0005-0000-0000-00009D5E0000}"/>
    <cellStyle name="Normal 5 3 5 2" xfId="24219" xr:uid="{00000000-0005-0000-0000-00009E5E0000}"/>
    <cellStyle name="Normal 5 3 5 3" xfId="24220" xr:uid="{00000000-0005-0000-0000-00009F5E0000}"/>
    <cellStyle name="Normal 5 3 6" xfId="24221" xr:uid="{00000000-0005-0000-0000-0000A05E0000}"/>
    <cellStyle name="Normal 5 3 7" xfId="24222" xr:uid="{00000000-0005-0000-0000-0000A15E0000}"/>
    <cellStyle name="Normal 5 3 8" xfId="24223" xr:uid="{00000000-0005-0000-0000-0000A25E0000}"/>
    <cellStyle name="Normal 5 4" xfId="24224" xr:uid="{00000000-0005-0000-0000-0000A35E0000}"/>
    <cellStyle name="Normal 5 4 2" xfId="24225" xr:uid="{00000000-0005-0000-0000-0000A45E0000}"/>
    <cellStyle name="Normal 5 4 2 2" xfId="24226" xr:uid="{00000000-0005-0000-0000-0000A55E0000}"/>
    <cellStyle name="Normal 5 4 2 2 2" xfId="24227" xr:uid="{00000000-0005-0000-0000-0000A65E0000}"/>
    <cellStyle name="Normal 5 4 2 2 3" xfId="24228" xr:uid="{00000000-0005-0000-0000-0000A75E0000}"/>
    <cellStyle name="Normal 5 4 2 3" xfId="24229" xr:uid="{00000000-0005-0000-0000-0000A85E0000}"/>
    <cellStyle name="Normal 5 4 2 3 2" xfId="24230" xr:uid="{00000000-0005-0000-0000-0000A95E0000}"/>
    <cellStyle name="Normal 5 4 2 3 3" xfId="24231" xr:uid="{00000000-0005-0000-0000-0000AA5E0000}"/>
    <cellStyle name="Normal 5 4 2 4" xfId="24232" xr:uid="{00000000-0005-0000-0000-0000AB5E0000}"/>
    <cellStyle name="Normal 5 4 2 5" xfId="24233" xr:uid="{00000000-0005-0000-0000-0000AC5E0000}"/>
    <cellStyle name="Normal 5 4 2 6" xfId="24234" xr:uid="{00000000-0005-0000-0000-0000AD5E0000}"/>
    <cellStyle name="Normal 5 4 3" xfId="24235" xr:uid="{00000000-0005-0000-0000-0000AE5E0000}"/>
    <cellStyle name="Normal 5 4 3 2" xfId="24236" xr:uid="{00000000-0005-0000-0000-0000AF5E0000}"/>
    <cellStyle name="Normal 5 4 3 3" xfId="24237" xr:uid="{00000000-0005-0000-0000-0000B05E0000}"/>
    <cellStyle name="Normal 5 4 4" xfId="24238" xr:uid="{00000000-0005-0000-0000-0000B15E0000}"/>
    <cellStyle name="Normal 5 4 4 2" xfId="24239" xr:uid="{00000000-0005-0000-0000-0000B25E0000}"/>
    <cellStyle name="Normal 5 4 4 3" xfId="24240" xr:uid="{00000000-0005-0000-0000-0000B35E0000}"/>
    <cellStyle name="Normal 5 4 5" xfId="24241" xr:uid="{00000000-0005-0000-0000-0000B45E0000}"/>
    <cellStyle name="Normal 5 4 5 2" xfId="24242" xr:uid="{00000000-0005-0000-0000-0000B55E0000}"/>
    <cellStyle name="Normal 5 4 5 3" xfId="24243" xr:uid="{00000000-0005-0000-0000-0000B65E0000}"/>
    <cellStyle name="Normal 5 4 6" xfId="24244" xr:uid="{00000000-0005-0000-0000-0000B75E0000}"/>
    <cellStyle name="Normal 5 4 7" xfId="24245" xr:uid="{00000000-0005-0000-0000-0000B85E0000}"/>
    <cellStyle name="Normal 5 4 8" xfId="24246" xr:uid="{00000000-0005-0000-0000-0000B95E0000}"/>
    <cellStyle name="Normal 5 5" xfId="24247" xr:uid="{00000000-0005-0000-0000-0000BA5E0000}"/>
    <cellStyle name="Normal 5 5 2" xfId="24248" xr:uid="{00000000-0005-0000-0000-0000BB5E0000}"/>
    <cellStyle name="Normal 5 5 2 2" xfId="24249" xr:uid="{00000000-0005-0000-0000-0000BC5E0000}"/>
    <cellStyle name="Normal 5 5 2 2 2" xfId="24250" xr:uid="{00000000-0005-0000-0000-0000BD5E0000}"/>
    <cellStyle name="Normal 5 5 2 2 3" xfId="24251" xr:uid="{00000000-0005-0000-0000-0000BE5E0000}"/>
    <cellStyle name="Normal 5 5 2 3" xfId="24252" xr:uid="{00000000-0005-0000-0000-0000BF5E0000}"/>
    <cellStyle name="Normal 5 5 2 3 2" xfId="24253" xr:uid="{00000000-0005-0000-0000-0000C05E0000}"/>
    <cellStyle name="Normal 5 5 2 3 3" xfId="24254" xr:uid="{00000000-0005-0000-0000-0000C15E0000}"/>
    <cellStyle name="Normal 5 5 2 4" xfId="24255" xr:uid="{00000000-0005-0000-0000-0000C25E0000}"/>
    <cellStyle name="Normal 5 5 2 5" xfId="24256" xr:uid="{00000000-0005-0000-0000-0000C35E0000}"/>
    <cellStyle name="Normal 5 5 2 6" xfId="24257" xr:uid="{00000000-0005-0000-0000-0000C45E0000}"/>
    <cellStyle name="Normal 5 5 3" xfId="24258" xr:uid="{00000000-0005-0000-0000-0000C55E0000}"/>
    <cellStyle name="Normal 5 5 3 2" xfId="24259" xr:uid="{00000000-0005-0000-0000-0000C65E0000}"/>
    <cellStyle name="Normal 5 5 3 3" xfId="24260" xr:uid="{00000000-0005-0000-0000-0000C75E0000}"/>
    <cellStyle name="Normal 5 5 4" xfId="24261" xr:uid="{00000000-0005-0000-0000-0000C85E0000}"/>
    <cellStyle name="Normal 5 5 4 2" xfId="24262" xr:uid="{00000000-0005-0000-0000-0000C95E0000}"/>
    <cellStyle name="Normal 5 5 4 3" xfId="24263" xr:uid="{00000000-0005-0000-0000-0000CA5E0000}"/>
    <cellStyle name="Normal 5 5 5" xfId="24264" xr:uid="{00000000-0005-0000-0000-0000CB5E0000}"/>
    <cellStyle name="Normal 5 5 6" xfId="24265" xr:uid="{00000000-0005-0000-0000-0000CC5E0000}"/>
    <cellStyle name="Normal 5 5 7" xfId="24266" xr:uid="{00000000-0005-0000-0000-0000CD5E0000}"/>
    <cellStyle name="Normal 5 6" xfId="24267" xr:uid="{00000000-0005-0000-0000-0000CE5E0000}"/>
    <cellStyle name="Normal 5 6 2" xfId="24268" xr:uid="{00000000-0005-0000-0000-0000CF5E0000}"/>
    <cellStyle name="Normal 5 6 2 2" xfId="24269" xr:uid="{00000000-0005-0000-0000-0000D05E0000}"/>
    <cellStyle name="Normal 5 6 2 2 2" xfId="24270" xr:uid="{00000000-0005-0000-0000-0000D15E0000}"/>
    <cellStyle name="Normal 5 6 2 2 3" xfId="24271" xr:uid="{00000000-0005-0000-0000-0000D25E0000}"/>
    <cellStyle name="Normal 5 6 2 3" xfId="24272" xr:uid="{00000000-0005-0000-0000-0000D35E0000}"/>
    <cellStyle name="Normal 5 6 2 3 2" xfId="24273" xr:uid="{00000000-0005-0000-0000-0000D45E0000}"/>
    <cellStyle name="Normal 5 6 2 3 3" xfId="24274" xr:uid="{00000000-0005-0000-0000-0000D55E0000}"/>
    <cellStyle name="Normal 5 6 2 4" xfId="24275" xr:uid="{00000000-0005-0000-0000-0000D65E0000}"/>
    <cellStyle name="Normal 5 6 2 5" xfId="24276" xr:uid="{00000000-0005-0000-0000-0000D75E0000}"/>
    <cellStyle name="Normal 5 6 2 6" xfId="24277" xr:uid="{00000000-0005-0000-0000-0000D85E0000}"/>
    <cellStyle name="Normal 5 6 3" xfId="24278" xr:uid="{00000000-0005-0000-0000-0000D95E0000}"/>
    <cellStyle name="Normal 5 6 3 2" xfId="24279" xr:uid="{00000000-0005-0000-0000-0000DA5E0000}"/>
    <cellStyle name="Normal 5 6 3 3" xfId="24280" xr:uid="{00000000-0005-0000-0000-0000DB5E0000}"/>
    <cellStyle name="Normal 5 6 4" xfId="24281" xr:uid="{00000000-0005-0000-0000-0000DC5E0000}"/>
    <cellStyle name="Normal 5 6 4 2" xfId="24282" xr:uid="{00000000-0005-0000-0000-0000DD5E0000}"/>
    <cellStyle name="Normal 5 6 4 3" xfId="24283" xr:uid="{00000000-0005-0000-0000-0000DE5E0000}"/>
    <cellStyle name="Normal 5 6 5" xfId="24284" xr:uid="{00000000-0005-0000-0000-0000DF5E0000}"/>
    <cellStyle name="Normal 5 6 6" xfId="24285" xr:uid="{00000000-0005-0000-0000-0000E05E0000}"/>
    <cellStyle name="Normal 5 6 7" xfId="24286" xr:uid="{00000000-0005-0000-0000-0000E15E0000}"/>
    <cellStyle name="Normal 5 7" xfId="24287" xr:uid="{00000000-0005-0000-0000-0000E25E0000}"/>
    <cellStyle name="Normal 5 7 2" xfId="24288" xr:uid="{00000000-0005-0000-0000-0000E35E0000}"/>
    <cellStyle name="Normal 5 7 2 2" xfId="24289" xr:uid="{00000000-0005-0000-0000-0000E45E0000}"/>
    <cellStyle name="Normal 5 7 2 2 2" xfId="24290" xr:uid="{00000000-0005-0000-0000-0000E55E0000}"/>
    <cellStyle name="Normal 5 7 2 2 3" xfId="24291" xr:uid="{00000000-0005-0000-0000-0000E65E0000}"/>
    <cellStyle name="Normal 5 7 2 3" xfId="24292" xr:uid="{00000000-0005-0000-0000-0000E75E0000}"/>
    <cellStyle name="Normal 5 7 2 3 2" xfId="24293" xr:uid="{00000000-0005-0000-0000-0000E85E0000}"/>
    <cellStyle name="Normal 5 7 2 3 3" xfId="24294" xr:uid="{00000000-0005-0000-0000-0000E95E0000}"/>
    <cellStyle name="Normal 5 7 2 4" xfId="24295" xr:uid="{00000000-0005-0000-0000-0000EA5E0000}"/>
    <cellStyle name="Normal 5 7 2 5" xfId="24296" xr:uid="{00000000-0005-0000-0000-0000EB5E0000}"/>
    <cellStyle name="Normal 5 7 2 6" xfId="24297" xr:uid="{00000000-0005-0000-0000-0000EC5E0000}"/>
    <cellStyle name="Normal 5 7 3" xfId="24298" xr:uid="{00000000-0005-0000-0000-0000ED5E0000}"/>
    <cellStyle name="Normal 5 7 3 2" xfId="24299" xr:uid="{00000000-0005-0000-0000-0000EE5E0000}"/>
    <cellStyle name="Normal 5 7 3 3" xfId="24300" xr:uid="{00000000-0005-0000-0000-0000EF5E0000}"/>
    <cellStyle name="Normal 5 7 4" xfId="24301" xr:uid="{00000000-0005-0000-0000-0000F05E0000}"/>
    <cellStyle name="Normal 5 7 4 2" xfId="24302" xr:uid="{00000000-0005-0000-0000-0000F15E0000}"/>
    <cellStyle name="Normal 5 7 4 3" xfId="24303" xr:uid="{00000000-0005-0000-0000-0000F25E0000}"/>
    <cellStyle name="Normal 5 7 5" xfId="24304" xr:uid="{00000000-0005-0000-0000-0000F35E0000}"/>
    <cellStyle name="Normal 5 7 6" xfId="24305" xr:uid="{00000000-0005-0000-0000-0000F45E0000}"/>
    <cellStyle name="Normal 5 7 7" xfId="24306" xr:uid="{00000000-0005-0000-0000-0000F55E0000}"/>
    <cellStyle name="Normal 5 8" xfId="24307" xr:uid="{00000000-0005-0000-0000-0000F65E0000}"/>
    <cellStyle name="Normal 5 8 2" xfId="24308" xr:uid="{00000000-0005-0000-0000-0000F75E0000}"/>
    <cellStyle name="Normal 5 8 2 2" xfId="24309" xr:uid="{00000000-0005-0000-0000-0000F85E0000}"/>
    <cellStyle name="Normal 5 8 2 2 2" xfId="24310" xr:uid="{00000000-0005-0000-0000-0000F95E0000}"/>
    <cellStyle name="Normal 5 8 2 2 3" xfId="24311" xr:uid="{00000000-0005-0000-0000-0000FA5E0000}"/>
    <cellStyle name="Normal 5 8 2 3" xfId="24312" xr:uid="{00000000-0005-0000-0000-0000FB5E0000}"/>
    <cellStyle name="Normal 5 8 2 3 2" xfId="24313" xr:uid="{00000000-0005-0000-0000-0000FC5E0000}"/>
    <cellStyle name="Normal 5 8 2 3 3" xfId="24314" xr:uid="{00000000-0005-0000-0000-0000FD5E0000}"/>
    <cellStyle name="Normal 5 8 2 4" xfId="24315" xr:uid="{00000000-0005-0000-0000-0000FE5E0000}"/>
    <cellStyle name="Normal 5 8 2 5" xfId="24316" xr:uid="{00000000-0005-0000-0000-0000FF5E0000}"/>
    <cellStyle name="Normal 5 8 2 6" xfId="24317" xr:uid="{00000000-0005-0000-0000-0000005F0000}"/>
    <cellStyle name="Normal 5 8 3" xfId="24318" xr:uid="{00000000-0005-0000-0000-0000015F0000}"/>
    <cellStyle name="Normal 5 8 3 2" xfId="24319" xr:uid="{00000000-0005-0000-0000-0000025F0000}"/>
    <cellStyle name="Normal 5 8 3 3" xfId="24320" xr:uid="{00000000-0005-0000-0000-0000035F0000}"/>
    <cellStyle name="Normal 5 8 4" xfId="24321" xr:uid="{00000000-0005-0000-0000-0000045F0000}"/>
    <cellStyle name="Normal 5 8 4 2" xfId="24322" xr:uid="{00000000-0005-0000-0000-0000055F0000}"/>
    <cellStyle name="Normal 5 8 4 3" xfId="24323" xr:uid="{00000000-0005-0000-0000-0000065F0000}"/>
    <cellStyle name="Normal 5 8 5" xfId="24324" xr:uid="{00000000-0005-0000-0000-0000075F0000}"/>
    <cellStyle name="Normal 5 8 6" xfId="24325" xr:uid="{00000000-0005-0000-0000-0000085F0000}"/>
    <cellStyle name="Normal 5 8 7" xfId="24326" xr:uid="{00000000-0005-0000-0000-0000095F0000}"/>
    <cellStyle name="Normal 5 9" xfId="24327" xr:uid="{00000000-0005-0000-0000-00000A5F0000}"/>
    <cellStyle name="Normal 5 9 2" xfId="24328" xr:uid="{00000000-0005-0000-0000-00000B5F0000}"/>
    <cellStyle name="Normal 5 9 2 2" xfId="24329" xr:uid="{00000000-0005-0000-0000-00000C5F0000}"/>
    <cellStyle name="Normal 5 9 2 2 2" xfId="24330" xr:uid="{00000000-0005-0000-0000-00000D5F0000}"/>
    <cellStyle name="Normal 5 9 2 2 3" xfId="24331" xr:uid="{00000000-0005-0000-0000-00000E5F0000}"/>
    <cellStyle name="Normal 5 9 2 3" xfId="24332" xr:uid="{00000000-0005-0000-0000-00000F5F0000}"/>
    <cellStyle name="Normal 5 9 2 3 2" xfId="24333" xr:uid="{00000000-0005-0000-0000-0000105F0000}"/>
    <cellStyle name="Normal 5 9 2 3 3" xfId="24334" xr:uid="{00000000-0005-0000-0000-0000115F0000}"/>
    <cellStyle name="Normal 5 9 2 4" xfId="24335" xr:uid="{00000000-0005-0000-0000-0000125F0000}"/>
    <cellStyle name="Normal 5 9 2 5" xfId="24336" xr:uid="{00000000-0005-0000-0000-0000135F0000}"/>
    <cellStyle name="Normal 5 9 2 6" xfId="24337" xr:uid="{00000000-0005-0000-0000-0000145F0000}"/>
    <cellStyle name="Normal 5 9 3" xfId="24338" xr:uid="{00000000-0005-0000-0000-0000155F0000}"/>
    <cellStyle name="Normal 5 9 3 2" xfId="24339" xr:uid="{00000000-0005-0000-0000-0000165F0000}"/>
    <cellStyle name="Normal 5 9 3 3" xfId="24340" xr:uid="{00000000-0005-0000-0000-0000175F0000}"/>
    <cellStyle name="Normal 5 9 4" xfId="24341" xr:uid="{00000000-0005-0000-0000-0000185F0000}"/>
    <cellStyle name="Normal 5 9 4 2" xfId="24342" xr:uid="{00000000-0005-0000-0000-0000195F0000}"/>
    <cellStyle name="Normal 5 9 4 3" xfId="24343" xr:uid="{00000000-0005-0000-0000-00001A5F0000}"/>
    <cellStyle name="Normal 5 9 5" xfId="24344" xr:uid="{00000000-0005-0000-0000-00001B5F0000}"/>
    <cellStyle name="Normal 5 9 6" xfId="24345" xr:uid="{00000000-0005-0000-0000-00001C5F0000}"/>
    <cellStyle name="Normal 5 9 7" xfId="24346" xr:uid="{00000000-0005-0000-0000-00001D5F0000}"/>
    <cellStyle name="Normal 50" xfId="24347" xr:uid="{00000000-0005-0000-0000-00001E5F0000}"/>
    <cellStyle name="Normal 50 2" xfId="24348" xr:uid="{00000000-0005-0000-0000-00001F5F0000}"/>
    <cellStyle name="Normal 50 2 2" xfId="24349" xr:uid="{00000000-0005-0000-0000-0000205F0000}"/>
    <cellStyle name="Normal 50 2 2 2" xfId="24350" xr:uid="{00000000-0005-0000-0000-0000215F0000}"/>
    <cellStyle name="Normal 50 2 2 3" xfId="24351" xr:uid="{00000000-0005-0000-0000-0000225F0000}"/>
    <cellStyle name="Normal 50 2 3" xfId="24352" xr:uid="{00000000-0005-0000-0000-0000235F0000}"/>
    <cellStyle name="Normal 50 2 3 2" xfId="24353" xr:uid="{00000000-0005-0000-0000-0000245F0000}"/>
    <cellStyle name="Normal 50 2 3 3" xfId="24354" xr:uid="{00000000-0005-0000-0000-0000255F0000}"/>
    <cellStyle name="Normal 50 2 4" xfId="24355" xr:uid="{00000000-0005-0000-0000-0000265F0000}"/>
    <cellStyle name="Normal 50 2 5" xfId="24356" xr:uid="{00000000-0005-0000-0000-0000275F0000}"/>
    <cellStyle name="Normal 50 2 6" xfId="24357" xr:uid="{00000000-0005-0000-0000-0000285F0000}"/>
    <cellStyle name="Normal 50 3" xfId="24358" xr:uid="{00000000-0005-0000-0000-0000295F0000}"/>
    <cellStyle name="Normal 50 3 2" xfId="24359" xr:uid="{00000000-0005-0000-0000-00002A5F0000}"/>
    <cellStyle name="Normal 50 3 3" xfId="24360" xr:uid="{00000000-0005-0000-0000-00002B5F0000}"/>
    <cellStyle name="Normal 50 4" xfId="24361" xr:uid="{00000000-0005-0000-0000-00002C5F0000}"/>
    <cellStyle name="Normal 50 4 2" xfId="24362" xr:uid="{00000000-0005-0000-0000-00002D5F0000}"/>
    <cellStyle name="Normal 50 4 3" xfId="24363" xr:uid="{00000000-0005-0000-0000-00002E5F0000}"/>
    <cellStyle name="Normal 50 5" xfId="24364" xr:uid="{00000000-0005-0000-0000-00002F5F0000}"/>
    <cellStyle name="Normal 50 6" xfId="24365" xr:uid="{00000000-0005-0000-0000-0000305F0000}"/>
    <cellStyle name="Normal 50 7" xfId="24366" xr:uid="{00000000-0005-0000-0000-0000315F0000}"/>
    <cellStyle name="Normal 51" xfId="24367" xr:uid="{00000000-0005-0000-0000-0000325F0000}"/>
    <cellStyle name="Normal 51 2" xfId="24368" xr:uid="{00000000-0005-0000-0000-0000335F0000}"/>
    <cellStyle name="Normal 51 2 2" xfId="24369" xr:uid="{00000000-0005-0000-0000-0000345F0000}"/>
    <cellStyle name="Normal 51 2 2 2" xfId="24370" xr:uid="{00000000-0005-0000-0000-0000355F0000}"/>
    <cellStyle name="Normal 51 2 2 3" xfId="24371" xr:uid="{00000000-0005-0000-0000-0000365F0000}"/>
    <cellStyle name="Normal 51 2 3" xfId="24372" xr:uid="{00000000-0005-0000-0000-0000375F0000}"/>
    <cellStyle name="Normal 51 2 3 2" xfId="24373" xr:uid="{00000000-0005-0000-0000-0000385F0000}"/>
    <cellStyle name="Normal 51 2 3 3" xfId="24374" xr:uid="{00000000-0005-0000-0000-0000395F0000}"/>
    <cellStyle name="Normal 51 2 4" xfId="24375" xr:uid="{00000000-0005-0000-0000-00003A5F0000}"/>
    <cellStyle name="Normal 51 2 5" xfId="24376" xr:uid="{00000000-0005-0000-0000-00003B5F0000}"/>
    <cellStyle name="Normal 51 2 6" xfId="24377" xr:uid="{00000000-0005-0000-0000-00003C5F0000}"/>
    <cellStyle name="Normal 51 3" xfId="24378" xr:uid="{00000000-0005-0000-0000-00003D5F0000}"/>
    <cellStyle name="Normal 51 3 2" xfId="24379" xr:uid="{00000000-0005-0000-0000-00003E5F0000}"/>
    <cellStyle name="Normal 51 3 3" xfId="24380" xr:uid="{00000000-0005-0000-0000-00003F5F0000}"/>
    <cellStyle name="Normal 51 4" xfId="24381" xr:uid="{00000000-0005-0000-0000-0000405F0000}"/>
    <cellStyle name="Normal 51 4 2" xfId="24382" xr:uid="{00000000-0005-0000-0000-0000415F0000}"/>
    <cellStyle name="Normal 51 4 3" xfId="24383" xr:uid="{00000000-0005-0000-0000-0000425F0000}"/>
    <cellStyle name="Normal 51 5" xfId="24384" xr:uid="{00000000-0005-0000-0000-0000435F0000}"/>
    <cellStyle name="Normal 51 6" xfId="24385" xr:uid="{00000000-0005-0000-0000-0000445F0000}"/>
    <cellStyle name="Normal 51 7" xfId="24386" xr:uid="{00000000-0005-0000-0000-0000455F0000}"/>
    <cellStyle name="Normal 52" xfId="24387" xr:uid="{00000000-0005-0000-0000-0000465F0000}"/>
    <cellStyle name="Normal 52 2" xfId="24388" xr:uid="{00000000-0005-0000-0000-0000475F0000}"/>
    <cellStyle name="Normal 52 2 2" xfId="24389" xr:uid="{00000000-0005-0000-0000-0000485F0000}"/>
    <cellStyle name="Normal 52 2 2 2" xfId="24390" xr:uid="{00000000-0005-0000-0000-0000495F0000}"/>
    <cellStyle name="Normal 52 2 2 3" xfId="24391" xr:uid="{00000000-0005-0000-0000-00004A5F0000}"/>
    <cellStyle name="Normal 52 2 3" xfId="24392" xr:uid="{00000000-0005-0000-0000-00004B5F0000}"/>
    <cellStyle name="Normal 52 2 3 2" xfId="24393" xr:uid="{00000000-0005-0000-0000-00004C5F0000}"/>
    <cellStyle name="Normal 52 2 3 3" xfId="24394" xr:uid="{00000000-0005-0000-0000-00004D5F0000}"/>
    <cellStyle name="Normal 52 2 4" xfId="24395" xr:uid="{00000000-0005-0000-0000-00004E5F0000}"/>
    <cellStyle name="Normal 52 2 5" xfId="24396" xr:uid="{00000000-0005-0000-0000-00004F5F0000}"/>
    <cellStyle name="Normal 52 2 6" xfId="24397" xr:uid="{00000000-0005-0000-0000-0000505F0000}"/>
    <cellStyle name="Normal 52 3" xfId="24398" xr:uid="{00000000-0005-0000-0000-0000515F0000}"/>
    <cellStyle name="Normal 52 3 2" xfId="24399" xr:uid="{00000000-0005-0000-0000-0000525F0000}"/>
    <cellStyle name="Normal 52 3 3" xfId="24400" xr:uid="{00000000-0005-0000-0000-0000535F0000}"/>
    <cellStyle name="Normal 52 4" xfId="24401" xr:uid="{00000000-0005-0000-0000-0000545F0000}"/>
    <cellStyle name="Normal 52 4 2" xfId="24402" xr:uid="{00000000-0005-0000-0000-0000555F0000}"/>
    <cellStyle name="Normal 52 4 3" xfId="24403" xr:uid="{00000000-0005-0000-0000-0000565F0000}"/>
    <cellStyle name="Normal 52 5" xfId="24404" xr:uid="{00000000-0005-0000-0000-0000575F0000}"/>
    <cellStyle name="Normal 52 6" xfId="24405" xr:uid="{00000000-0005-0000-0000-0000585F0000}"/>
    <cellStyle name="Normal 52 7" xfId="24406" xr:uid="{00000000-0005-0000-0000-0000595F0000}"/>
    <cellStyle name="Normal 53" xfId="24407" xr:uid="{00000000-0005-0000-0000-00005A5F0000}"/>
    <cellStyle name="Normal 53 2" xfId="24408" xr:uid="{00000000-0005-0000-0000-00005B5F0000}"/>
    <cellStyle name="Normal 53 2 2" xfId="24409" xr:uid="{00000000-0005-0000-0000-00005C5F0000}"/>
    <cellStyle name="Normal 53 2 2 2" xfId="24410" xr:uid="{00000000-0005-0000-0000-00005D5F0000}"/>
    <cellStyle name="Normal 53 2 2 3" xfId="24411" xr:uid="{00000000-0005-0000-0000-00005E5F0000}"/>
    <cellStyle name="Normal 53 2 3" xfId="24412" xr:uid="{00000000-0005-0000-0000-00005F5F0000}"/>
    <cellStyle name="Normal 53 2 3 2" xfId="24413" xr:uid="{00000000-0005-0000-0000-0000605F0000}"/>
    <cellStyle name="Normal 53 2 3 3" xfId="24414" xr:uid="{00000000-0005-0000-0000-0000615F0000}"/>
    <cellStyle name="Normal 53 2 4" xfId="24415" xr:uid="{00000000-0005-0000-0000-0000625F0000}"/>
    <cellStyle name="Normal 53 2 5" xfId="24416" xr:uid="{00000000-0005-0000-0000-0000635F0000}"/>
    <cellStyle name="Normal 53 2 6" xfId="24417" xr:uid="{00000000-0005-0000-0000-0000645F0000}"/>
    <cellStyle name="Normal 53 3" xfId="24418" xr:uid="{00000000-0005-0000-0000-0000655F0000}"/>
    <cellStyle name="Normal 53 3 2" xfId="24419" xr:uid="{00000000-0005-0000-0000-0000665F0000}"/>
    <cellStyle name="Normal 53 3 3" xfId="24420" xr:uid="{00000000-0005-0000-0000-0000675F0000}"/>
    <cellStyle name="Normal 53 4" xfId="24421" xr:uid="{00000000-0005-0000-0000-0000685F0000}"/>
    <cellStyle name="Normal 53 4 2" xfId="24422" xr:uid="{00000000-0005-0000-0000-0000695F0000}"/>
    <cellStyle name="Normal 53 4 3" xfId="24423" xr:uid="{00000000-0005-0000-0000-00006A5F0000}"/>
    <cellStyle name="Normal 53 5" xfId="24424" xr:uid="{00000000-0005-0000-0000-00006B5F0000}"/>
    <cellStyle name="Normal 53 6" xfId="24425" xr:uid="{00000000-0005-0000-0000-00006C5F0000}"/>
    <cellStyle name="Normal 53 7" xfId="24426" xr:uid="{00000000-0005-0000-0000-00006D5F0000}"/>
    <cellStyle name="Normal 54" xfId="24427" xr:uid="{00000000-0005-0000-0000-00006E5F0000}"/>
    <cellStyle name="Normal 54 2" xfId="24428" xr:uid="{00000000-0005-0000-0000-00006F5F0000}"/>
    <cellStyle name="Normal 54 2 2" xfId="24429" xr:uid="{00000000-0005-0000-0000-0000705F0000}"/>
    <cellStyle name="Normal 54 2 2 2" xfId="24430" xr:uid="{00000000-0005-0000-0000-0000715F0000}"/>
    <cellStyle name="Normal 54 2 2 3" xfId="24431" xr:uid="{00000000-0005-0000-0000-0000725F0000}"/>
    <cellStyle name="Normal 54 2 3" xfId="24432" xr:uid="{00000000-0005-0000-0000-0000735F0000}"/>
    <cellStyle name="Normal 54 2 3 2" xfId="24433" xr:uid="{00000000-0005-0000-0000-0000745F0000}"/>
    <cellStyle name="Normal 54 2 3 3" xfId="24434" xr:uid="{00000000-0005-0000-0000-0000755F0000}"/>
    <cellStyle name="Normal 54 2 4" xfId="24435" xr:uid="{00000000-0005-0000-0000-0000765F0000}"/>
    <cellStyle name="Normal 54 2 5" xfId="24436" xr:uid="{00000000-0005-0000-0000-0000775F0000}"/>
    <cellStyle name="Normal 54 2 6" xfId="24437" xr:uid="{00000000-0005-0000-0000-0000785F0000}"/>
    <cellStyle name="Normal 54 3" xfId="24438" xr:uid="{00000000-0005-0000-0000-0000795F0000}"/>
    <cellStyle name="Normal 54 3 2" xfId="24439" xr:uid="{00000000-0005-0000-0000-00007A5F0000}"/>
    <cellStyle name="Normal 54 3 3" xfId="24440" xr:uid="{00000000-0005-0000-0000-00007B5F0000}"/>
    <cellStyle name="Normal 54 4" xfId="24441" xr:uid="{00000000-0005-0000-0000-00007C5F0000}"/>
    <cellStyle name="Normal 54 4 2" xfId="24442" xr:uid="{00000000-0005-0000-0000-00007D5F0000}"/>
    <cellStyle name="Normal 54 4 3" xfId="24443" xr:uid="{00000000-0005-0000-0000-00007E5F0000}"/>
    <cellStyle name="Normal 54 5" xfId="24444" xr:uid="{00000000-0005-0000-0000-00007F5F0000}"/>
    <cellStyle name="Normal 54 6" xfId="24445" xr:uid="{00000000-0005-0000-0000-0000805F0000}"/>
    <cellStyle name="Normal 54 7" xfId="24446" xr:uid="{00000000-0005-0000-0000-0000815F0000}"/>
    <cellStyle name="Normal 55" xfId="24447" xr:uid="{00000000-0005-0000-0000-0000825F0000}"/>
    <cellStyle name="Normal 55 2" xfId="24448" xr:uid="{00000000-0005-0000-0000-0000835F0000}"/>
    <cellStyle name="Normal 55 2 2" xfId="24449" xr:uid="{00000000-0005-0000-0000-0000845F0000}"/>
    <cellStyle name="Normal 55 2 2 2" xfId="24450" xr:uid="{00000000-0005-0000-0000-0000855F0000}"/>
    <cellStyle name="Normal 55 2 2 3" xfId="24451" xr:uid="{00000000-0005-0000-0000-0000865F0000}"/>
    <cellStyle name="Normal 55 2 3" xfId="24452" xr:uid="{00000000-0005-0000-0000-0000875F0000}"/>
    <cellStyle name="Normal 55 2 3 2" xfId="24453" xr:uid="{00000000-0005-0000-0000-0000885F0000}"/>
    <cellStyle name="Normal 55 2 3 3" xfId="24454" xr:uid="{00000000-0005-0000-0000-0000895F0000}"/>
    <cellStyle name="Normal 55 2 4" xfId="24455" xr:uid="{00000000-0005-0000-0000-00008A5F0000}"/>
    <cellStyle name="Normal 55 2 5" xfId="24456" xr:uid="{00000000-0005-0000-0000-00008B5F0000}"/>
    <cellStyle name="Normal 55 2 6" xfId="24457" xr:uid="{00000000-0005-0000-0000-00008C5F0000}"/>
    <cellStyle name="Normal 55 3" xfId="24458" xr:uid="{00000000-0005-0000-0000-00008D5F0000}"/>
    <cellStyle name="Normal 55 3 2" xfId="24459" xr:uid="{00000000-0005-0000-0000-00008E5F0000}"/>
    <cellStyle name="Normal 55 3 3" xfId="24460" xr:uid="{00000000-0005-0000-0000-00008F5F0000}"/>
    <cellStyle name="Normal 55 4" xfId="24461" xr:uid="{00000000-0005-0000-0000-0000905F0000}"/>
    <cellStyle name="Normal 55 4 2" xfId="24462" xr:uid="{00000000-0005-0000-0000-0000915F0000}"/>
    <cellStyle name="Normal 55 4 3" xfId="24463" xr:uid="{00000000-0005-0000-0000-0000925F0000}"/>
    <cellStyle name="Normal 55 5" xfId="24464" xr:uid="{00000000-0005-0000-0000-0000935F0000}"/>
    <cellStyle name="Normal 55 6" xfId="24465" xr:uid="{00000000-0005-0000-0000-0000945F0000}"/>
    <cellStyle name="Normal 55 7" xfId="24466" xr:uid="{00000000-0005-0000-0000-0000955F0000}"/>
    <cellStyle name="Normal 56" xfId="24467" xr:uid="{00000000-0005-0000-0000-0000965F0000}"/>
    <cellStyle name="Normal 56 2" xfId="24468" xr:uid="{00000000-0005-0000-0000-0000975F0000}"/>
    <cellStyle name="Normal 57" xfId="24469" xr:uid="{00000000-0005-0000-0000-0000985F0000}"/>
    <cellStyle name="Normal 57 2" xfId="24470" xr:uid="{00000000-0005-0000-0000-0000995F0000}"/>
    <cellStyle name="Normal 57 2 2" xfId="24471" xr:uid="{00000000-0005-0000-0000-00009A5F0000}"/>
    <cellStyle name="Normal 57 2 2 2" xfId="24472" xr:uid="{00000000-0005-0000-0000-00009B5F0000}"/>
    <cellStyle name="Normal 57 2 2 3" xfId="24473" xr:uid="{00000000-0005-0000-0000-00009C5F0000}"/>
    <cellStyle name="Normal 57 2 3" xfId="24474" xr:uid="{00000000-0005-0000-0000-00009D5F0000}"/>
    <cellStyle name="Normal 57 2 3 2" xfId="24475" xr:uid="{00000000-0005-0000-0000-00009E5F0000}"/>
    <cellStyle name="Normal 57 2 3 3" xfId="24476" xr:uid="{00000000-0005-0000-0000-00009F5F0000}"/>
    <cellStyle name="Normal 57 2 4" xfId="24477" xr:uid="{00000000-0005-0000-0000-0000A05F0000}"/>
    <cellStyle name="Normal 57 2 4 2" xfId="24478" xr:uid="{00000000-0005-0000-0000-0000A15F0000}"/>
    <cellStyle name="Normal 57 2 5" xfId="24479" xr:uid="{00000000-0005-0000-0000-0000A25F0000}"/>
    <cellStyle name="Normal 57 2 6" xfId="24480" xr:uid="{00000000-0005-0000-0000-0000A35F0000}"/>
    <cellStyle name="Normal 57 3" xfId="24481" xr:uid="{00000000-0005-0000-0000-0000A45F0000}"/>
    <cellStyle name="Normal 57 3 2" xfId="24482" xr:uid="{00000000-0005-0000-0000-0000A55F0000}"/>
    <cellStyle name="Normal 57 3 3" xfId="24483" xr:uid="{00000000-0005-0000-0000-0000A65F0000}"/>
    <cellStyle name="Normal 57 4" xfId="24484" xr:uid="{00000000-0005-0000-0000-0000A75F0000}"/>
    <cellStyle name="Normal 57 4 2" xfId="24485" xr:uid="{00000000-0005-0000-0000-0000A85F0000}"/>
    <cellStyle name="Normal 57 4 3" xfId="24486" xr:uid="{00000000-0005-0000-0000-0000A95F0000}"/>
    <cellStyle name="Normal 57 5" xfId="24487" xr:uid="{00000000-0005-0000-0000-0000AA5F0000}"/>
    <cellStyle name="Normal 57 6" xfId="24488" xr:uid="{00000000-0005-0000-0000-0000AB5F0000}"/>
    <cellStyle name="Normal 57 7" xfId="24489" xr:uid="{00000000-0005-0000-0000-0000AC5F0000}"/>
    <cellStyle name="Normal 58" xfId="24490" xr:uid="{00000000-0005-0000-0000-0000AD5F0000}"/>
    <cellStyle name="Normal 58 2" xfId="24491" xr:uid="{00000000-0005-0000-0000-0000AE5F0000}"/>
    <cellStyle name="Normal 58 2 2" xfId="24492" xr:uid="{00000000-0005-0000-0000-0000AF5F0000}"/>
    <cellStyle name="Normal 58 2 2 2" xfId="24493" xr:uid="{00000000-0005-0000-0000-0000B05F0000}"/>
    <cellStyle name="Normal 58 2 2 3" xfId="24494" xr:uid="{00000000-0005-0000-0000-0000B15F0000}"/>
    <cellStyle name="Normal 58 2 3" xfId="24495" xr:uid="{00000000-0005-0000-0000-0000B25F0000}"/>
    <cellStyle name="Normal 58 2 3 2" xfId="24496" xr:uid="{00000000-0005-0000-0000-0000B35F0000}"/>
    <cellStyle name="Normal 58 2 3 3" xfId="24497" xr:uid="{00000000-0005-0000-0000-0000B45F0000}"/>
    <cellStyle name="Normal 58 2 4" xfId="24498" xr:uid="{00000000-0005-0000-0000-0000B55F0000}"/>
    <cellStyle name="Normal 58 2 5" xfId="24499" xr:uid="{00000000-0005-0000-0000-0000B65F0000}"/>
    <cellStyle name="Normal 58 2 6" xfId="24500" xr:uid="{00000000-0005-0000-0000-0000B75F0000}"/>
    <cellStyle name="Normal 58 3" xfId="24501" xr:uid="{00000000-0005-0000-0000-0000B85F0000}"/>
    <cellStyle name="Normal 58 3 2" xfId="24502" xr:uid="{00000000-0005-0000-0000-0000B95F0000}"/>
    <cellStyle name="Normal 58 3 3" xfId="24503" xr:uid="{00000000-0005-0000-0000-0000BA5F0000}"/>
    <cellStyle name="Normal 58 4" xfId="24504" xr:uid="{00000000-0005-0000-0000-0000BB5F0000}"/>
    <cellStyle name="Normal 58 4 2" xfId="24505" xr:uid="{00000000-0005-0000-0000-0000BC5F0000}"/>
    <cellStyle name="Normal 58 4 3" xfId="24506" xr:uid="{00000000-0005-0000-0000-0000BD5F0000}"/>
    <cellStyle name="Normal 58 5" xfId="24507" xr:uid="{00000000-0005-0000-0000-0000BE5F0000}"/>
    <cellStyle name="Normal 58 6" xfId="24508" xr:uid="{00000000-0005-0000-0000-0000BF5F0000}"/>
    <cellStyle name="Normal 58 7" xfId="24509" xr:uid="{00000000-0005-0000-0000-0000C05F0000}"/>
    <cellStyle name="Normal 59" xfId="24510" xr:uid="{00000000-0005-0000-0000-0000C15F0000}"/>
    <cellStyle name="Normal 59 2" xfId="24511" xr:uid="{00000000-0005-0000-0000-0000C25F0000}"/>
    <cellStyle name="Normal 59 2 2" xfId="24512" xr:uid="{00000000-0005-0000-0000-0000C35F0000}"/>
    <cellStyle name="Normal 59 2 3" xfId="24513" xr:uid="{00000000-0005-0000-0000-0000C45F0000}"/>
    <cellStyle name="Normal 59 3" xfId="24514" xr:uid="{00000000-0005-0000-0000-0000C55F0000}"/>
    <cellStyle name="Normal 59 3 2" xfId="24515" xr:uid="{00000000-0005-0000-0000-0000C65F0000}"/>
    <cellStyle name="Normal 59 3 3" xfId="24516" xr:uid="{00000000-0005-0000-0000-0000C75F0000}"/>
    <cellStyle name="Normal 59 4" xfId="24517" xr:uid="{00000000-0005-0000-0000-0000C85F0000}"/>
    <cellStyle name="Normal 59 5" xfId="24518" xr:uid="{00000000-0005-0000-0000-0000C95F0000}"/>
    <cellStyle name="Normal 59 6" xfId="24519" xr:uid="{00000000-0005-0000-0000-0000CA5F0000}"/>
    <cellStyle name="Normal 6" xfId="24520" xr:uid="{00000000-0005-0000-0000-0000CB5F0000}"/>
    <cellStyle name="Normal 6 10" xfId="24521" xr:uid="{00000000-0005-0000-0000-0000CC5F0000}"/>
    <cellStyle name="Normal 6 11" xfId="24522" xr:uid="{00000000-0005-0000-0000-0000CD5F0000}"/>
    <cellStyle name="Normal 6 12" xfId="24523" xr:uid="{00000000-0005-0000-0000-0000CE5F0000}"/>
    <cellStyle name="Normal 6 2" xfId="24524" xr:uid="{00000000-0005-0000-0000-0000CF5F0000}"/>
    <cellStyle name="Normal 6 2 10" xfId="24525" xr:uid="{00000000-0005-0000-0000-0000D05F0000}"/>
    <cellStyle name="Normal 6 2 2" xfId="24526" xr:uid="{00000000-0005-0000-0000-0000D15F0000}"/>
    <cellStyle name="Normal 6 2 2 2" xfId="24527" xr:uid="{00000000-0005-0000-0000-0000D25F0000}"/>
    <cellStyle name="Normal 6 2 2 2 2" xfId="24528" xr:uid="{00000000-0005-0000-0000-0000D35F0000}"/>
    <cellStyle name="Normal 6 2 2 2 2 2" xfId="24529" xr:uid="{00000000-0005-0000-0000-0000D45F0000}"/>
    <cellStyle name="Normal 6 2 2 2 2 3" xfId="24530" xr:uid="{00000000-0005-0000-0000-0000D55F0000}"/>
    <cellStyle name="Normal 6 2 2 2 3" xfId="24531" xr:uid="{00000000-0005-0000-0000-0000D65F0000}"/>
    <cellStyle name="Normal 6 2 2 2 3 2" xfId="24532" xr:uid="{00000000-0005-0000-0000-0000D75F0000}"/>
    <cellStyle name="Normal 6 2 2 2 3 3" xfId="24533" xr:uid="{00000000-0005-0000-0000-0000D85F0000}"/>
    <cellStyle name="Normal 6 2 2 2 4" xfId="24534" xr:uid="{00000000-0005-0000-0000-0000D95F0000}"/>
    <cellStyle name="Normal 6 2 2 2 5" xfId="24535" xr:uid="{00000000-0005-0000-0000-0000DA5F0000}"/>
    <cellStyle name="Normal 6 2 2 2 6" xfId="24536" xr:uid="{00000000-0005-0000-0000-0000DB5F0000}"/>
    <cellStyle name="Normal 6 2 2 3" xfId="24537" xr:uid="{00000000-0005-0000-0000-0000DC5F0000}"/>
    <cellStyle name="Normal 6 2 2 3 2" xfId="24538" xr:uid="{00000000-0005-0000-0000-0000DD5F0000}"/>
    <cellStyle name="Normal 6 2 2 3 3" xfId="24539" xr:uid="{00000000-0005-0000-0000-0000DE5F0000}"/>
    <cellStyle name="Normal 6 2 2 4" xfId="24540" xr:uid="{00000000-0005-0000-0000-0000DF5F0000}"/>
    <cellStyle name="Normal 6 2 2 4 2" xfId="24541" xr:uid="{00000000-0005-0000-0000-0000E05F0000}"/>
    <cellStyle name="Normal 6 2 2 4 3" xfId="24542" xr:uid="{00000000-0005-0000-0000-0000E15F0000}"/>
    <cellStyle name="Normal 6 2 2 5" xfId="24543" xr:uid="{00000000-0005-0000-0000-0000E25F0000}"/>
    <cellStyle name="Normal 6 2 2 5 2" xfId="24544" xr:uid="{00000000-0005-0000-0000-0000E35F0000}"/>
    <cellStyle name="Normal 6 2 2 5 3" xfId="24545" xr:uid="{00000000-0005-0000-0000-0000E45F0000}"/>
    <cellStyle name="Normal 6 2 2 6" xfId="24546" xr:uid="{00000000-0005-0000-0000-0000E55F0000}"/>
    <cellStyle name="Normal 6 2 2 7" xfId="24547" xr:uid="{00000000-0005-0000-0000-0000E65F0000}"/>
    <cellStyle name="Normal 6 2 2 8" xfId="24548" xr:uid="{00000000-0005-0000-0000-0000E75F0000}"/>
    <cellStyle name="Normal 6 2 3" xfId="24549" xr:uid="{00000000-0005-0000-0000-0000E85F0000}"/>
    <cellStyle name="Normal 6 2 3 2" xfId="24550" xr:uid="{00000000-0005-0000-0000-0000E95F0000}"/>
    <cellStyle name="Normal 6 2 3 2 2" xfId="24551" xr:uid="{00000000-0005-0000-0000-0000EA5F0000}"/>
    <cellStyle name="Normal 6 2 3 2 2 2" xfId="24552" xr:uid="{00000000-0005-0000-0000-0000EB5F0000}"/>
    <cellStyle name="Normal 6 2 3 2 2 3" xfId="24553" xr:uid="{00000000-0005-0000-0000-0000EC5F0000}"/>
    <cellStyle name="Normal 6 2 3 2 3" xfId="24554" xr:uid="{00000000-0005-0000-0000-0000ED5F0000}"/>
    <cellStyle name="Normal 6 2 3 2 3 2" xfId="24555" xr:uid="{00000000-0005-0000-0000-0000EE5F0000}"/>
    <cellStyle name="Normal 6 2 3 2 3 3" xfId="24556" xr:uid="{00000000-0005-0000-0000-0000EF5F0000}"/>
    <cellStyle name="Normal 6 2 3 2 4" xfId="24557" xr:uid="{00000000-0005-0000-0000-0000F05F0000}"/>
    <cellStyle name="Normal 6 2 3 2 5" xfId="24558" xr:uid="{00000000-0005-0000-0000-0000F15F0000}"/>
    <cellStyle name="Normal 6 2 3 2 6" xfId="24559" xr:uid="{00000000-0005-0000-0000-0000F25F0000}"/>
    <cellStyle name="Normal 6 2 3 3" xfId="24560" xr:uid="{00000000-0005-0000-0000-0000F35F0000}"/>
    <cellStyle name="Normal 6 2 3 3 2" xfId="24561" xr:uid="{00000000-0005-0000-0000-0000F45F0000}"/>
    <cellStyle name="Normal 6 2 3 3 3" xfId="24562" xr:uid="{00000000-0005-0000-0000-0000F55F0000}"/>
    <cellStyle name="Normal 6 2 3 4" xfId="24563" xr:uid="{00000000-0005-0000-0000-0000F65F0000}"/>
    <cellStyle name="Normal 6 2 3 4 2" xfId="24564" xr:uid="{00000000-0005-0000-0000-0000F75F0000}"/>
    <cellStyle name="Normal 6 2 3 4 3" xfId="24565" xr:uid="{00000000-0005-0000-0000-0000F85F0000}"/>
    <cellStyle name="Normal 6 2 3 5" xfId="24566" xr:uid="{00000000-0005-0000-0000-0000F95F0000}"/>
    <cellStyle name="Normal 6 2 3 5 2" xfId="24567" xr:uid="{00000000-0005-0000-0000-0000FA5F0000}"/>
    <cellStyle name="Normal 6 2 3 5 3" xfId="24568" xr:uid="{00000000-0005-0000-0000-0000FB5F0000}"/>
    <cellStyle name="Normal 6 2 3 6" xfId="24569" xr:uid="{00000000-0005-0000-0000-0000FC5F0000}"/>
    <cellStyle name="Normal 6 2 3 7" xfId="24570" xr:uid="{00000000-0005-0000-0000-0000FD5F0000}"/>
    <cellStyle name="Normal 6 2 3 8" xfId="24571" xr:uid="{00000000-0005-0000-0000-0000FE5F0000}"/>
    <cellStyle name="Normal 6 2 4" xfId="24572" xr:uid="{00000000-0005-0000-0000-0000FF5F0000}"/>
    <cellStyle name="Normal 6 2 4 2" xfId="24573" xr:uid="{00000000-0005-0000-0000-000000600000}"/>
    <cellStyle name="Normal 6 2 4 2 2" xfId="24574" xr:uid="{00000000-0005-0000-0000-000001600000}"/>
    <cellStyle name="Normal 6 2 4 2 3" xfId="24575" xr:uid="{00000000-0005-0000-0000-000002600000}"/>
    <cellStyle name="Normal 6 2 4 3" xfId="24576" xr:uid="{00000000-0005-0000-0000-000003600000}"/>
    <cellStyle name="Normal 6 2 4 3 2" xfId="24577" xr:uid="{00000000-0005-0000-0000-000004600000}"/>
    <cellStyle name="Normal 6 2 4 3 3" xfId="24578" xr:uid="{00000000-0005-0000-0000-000005600000}"/>
    <cellStyle name="Normal 6 2 4 4" xfId="24579" xr:uid="{00000000-0005-0000-0000-000006600000}"/>
    <cellStyle name="Normal 6 2 4 5" xfId="24580" xr:uid="{00000000-0005-0000-0000-000007600000}"/>
    <cellStyle name="Normal 6 2 4 6" xfId="24581" xr:uid="{00000000-0005-0000-0000-000008600000}"/>
    <cellStyle name="Normal 6 2 5" xfId="24582" xr:uid="{00000000-0005-0000-0000-000009600000}"/>
    <cellStyle name="Normal 6 2 5 2" xfId="24583" xr:uid="{00000000-0005-0000-0000-00000A600000}"/>
    <cellStyle name="Normal 6 2 5 3" xfId="24584" xr:uid="{00000000-0005-0000-0000-00000B600000}"/>
    <cellStyle name="Normal 6 2 6" xfId="24585" xr:uid="{00000000-0005-0000-0000-00000C600000}"/>
    <cellStyle name="Normal 6 2 6 2" xfId="24586" xr:uid="{00000000-0005-0000-0000-00000D600000}"/>
    <cellStyle name="Normal 6 2 6 3" xfId="24587" xr:uid="{00000000-0005-0000-0000-00000E600000}"/>
    <cellStyle name="Normal 6 2 7" xfId="24588" xr:uid="{00000000-0005-0000-0000-00000F600000}"/>
    <cellStyle name="Normal 6 2 7 2" xfId="24589" xr:uid="{00000000-0005-0000-0000-000010600000}"/>
    <cellStyle name="Normal 6 2 7 3" xfId="24590" xr:uid="{00000000-0005-0000-0000-000011600000}"/>
    <cellStyle name="Normal 6 2 8" xfId="24591" xr:uid="{00000000-0005-0000-0000-000012600000}"/>
    <cellStyle name="Normal 6 2 9" xfId="24592" xr:uid="{00000000-0005-0000-0000-000013600000}"/>
    <cellStyle name="Normal 6 3" xfId="24593" xr:uid="{00000000-0005-0000-0000-000014600000}"/>
    <cellStyle name="Normal 6 3 2" xfId="24594" xr:uid="{00000000-0005-0000-0000-000015600000}"/>
    <cellStyle name="Normal 6 3 2 2" xfId="24595" xr:uid="{00000000-0005-0000-0000-000016600000}"/>
    <cellStyle name="Normal 6 3 2 2 2" xfId="24596" xr:uid="{00000000-0005-0000-0000-000017600000}"/>
    <cellStyle name="Normal 6 3 2 2 3" xfId="24597" xr:uid="{00000000-0005-0000-0000-000018600000}"/>
    <cellStyle name="Normal 6 3 2 3" xfId="24598" xr:uid="{00000000-0005-0000-0000-000019600000}"/>
    <cellStyle name="Normal 6 3 2 3 2" xfId="24599" xr:uid="{00000000-0005-0000-0000-00001A600000}"/>
    <cellStyle name="Normal 6 3 2 3 3" xfId="24600" xr:uid="{00000000-0005-0000-0000-00001B600000}"/>
    <cellStyle name="Normal 6 3 2 4" xfId="24601" xr:uid="{00000000-0005-0000-0000-00001C600000}"/>
    <cellStyle name="Normal 6 3 2 5" xfId="24602" xr:uid="{00000000-0005-0000-0000-00001D600000}"/>
    <cellStyle name="Normal 6 3 2 6" xfId="24603" xr:uid="{00000000-0005-0000-0000-00001E600000}"/>
    <cellStyle name="Normal 6 3 3" xfId="24604" xr:uid="{00000000-0005-0000-0000-00001F600000}"/>
    <cellStyle name="Normal 6 3 3 2" xfId="24605" xr:uid="{00000000-0005-0000-0000-000020600000}"/>
    <cellStyle name="Normal 6 3 3 3" xfId="24606" xr:uid="{00000000-0005-0000-0000-000021600000}"/>
    <cellStyle name="Normal 6 3 4" xfId="24607" xr:uid="{00000000-0005-0000-0000-000022600000}"/>
    <cellStyle name="Normal 6 3 4 2" xfId="24608" xr:uid="{00000000-0005-0000-0000-000023600000}"/>
    <cellStyle name="Normal 6 3 4 3" xfId="24609" xr:uid="{00000000-0005-0000-0000-000024600000}"/>
    <cellStyle name="Normal 6 3 5" xfId="24610" xr:uid="{00000000-0005-0000-0000-000025600000}"/>
    <cellStyle name="Normal 6 3 5 2" xfId="24611" xr:uid="{00000000-0005-0000-0000-000026600000}"/>
    <cellStyle name="Normal 6 3 5 3" xfId="24612" xr:uid="{00000000-0005-0000-0000-000027600000}"/>
    <cellStyle name="Normal 6 3 6" xfId="24613" xr:uid="{00000000-0005-0000-0000-000028600000}"/>
    <cellStyle name="Normal 6 3 7" xfId="24614" xr:uid="{00000000-0005-0000-0000-000029600000}"/>
    <cellStyle name="Normal 6 3 8" xfId="24615" xr:uid="{00000000-0005-0000-0000-00002A600000}"/>
    <cellStyle name="Normal 6 4" xfId="24616" xr:uid="{00000000-0005-0000-0000-00002B600000}"/>
    <cellStyle name="Normal 6 4 2" xfId="24617" xr:uid="{00000000-0005-0000-0000-00002C600000}"/>
    <cellStyle name="Normal 6 4 2 2" xfId="24618" xr:uid="{00000000-0005-0000-0000-00002D600000}"/>
    <cellStyle name="Normal 6 4 2 2 2" xfId="24619" xr:uid="{00000000-0005-0000-0000-00002E600000}"/>
    <cellStyle name="Normal 6 4 2 2 3" xfId="24620" xr:uid="{00000000-0005-0000-0000-00002F600000}"/>
    <cellStyle name="Normal 6 4 2 3" xfId="24621" xr:uid="{00000000-0005-0000-0000-000030600000}"/>
    <cellStyle name="Normal 6 4 2 3 2" xfId="24622" xr:uid="{00000000-0005-0000-0000-000031600000}"/>
    <cellStyle name="Normal 6 4 2 3 3" xfId="24623" xr:uid="{00000000-0005-0000-0000-000032600000}"/>
    <cellStyle name="Normal 6 4 2 4" xfId="24624" xr:uid="{00000000-0005-0000-0000-000033600000}"/>
    <cellStyle name="Normal 6 4 2 5" xfId="24625" xr:uid="{00000000-0005-0000-0000-000034600000}"/>
    <cellStyle name="Normal 6 4 2 6" xfId="24626" xr:uid="{00000000-0005-0000-0000-000035600000}"/>
    <cellStyle name="Normal 6 4 3" xfId="24627" xr:uid="{00000000-0005-0000-0000-000036600000}"/>
    <cellStyle name="Normal 6 4 3 2" xfId="24628" xr:uid="{00000000-0005-0000-0000-000037600000}"/>
    <cellStyle name="Normal 6 4 3 3" xfId="24629" xr:uid="{00000000-0005-0000-0000-000038600000}"/>
    <cellStyle name="Normal 6 4 4" xfId="24630" xr:uid="{00000000-0005-0000-0000-000039600000}"/>
    <cellStyle name="Normal 6 4 4 2" xfId="24631" xr:uid="{00000000-0005-0000-0000-00003A600000}"/>
    <cellStyle name="Normal 6 4 4 3" xfId="24632" xr:uid="{00000000-0005-0000-0000-00003B600000}"/>
    <cellStyle name="Normal 6 4 5" xfId="24633" xr:uid="{00000000-0005-0000-0000-00003C600000}"/>
    <cellStyle name="Normal 6 4 5 2" xfId="24634" xr:uid="{00000000-0005-0000-0000-00003D600000}"/>
    <cellStyle name="Normal 6 4 5 3" xfId="24635" xr:uid="{00000000-0005-0000-0000-00003E600000}"/>
    <cellStyle name="Normal 6 4 6" xfId="24636" xr:uid="{00000000-0005-0000-0000-00003F600000}"/>
    <cellStyle name="Normal 6 4 7" xfId="24637" xr:uid="{00000000-0005-0000-0000-000040600000}"/>
    <cellStyle name="Normal 6 4 8" xfId="24638" xr:uid="{00000000-0005-0000-0000-000041600000}"/>
    <cellStyle name="Normal 6 5" xfId="24639" xr:uid="{00000000-0005-0000-0000-000042600000}"/>
    <cellStyle name="Normal 6 5 2" xfId="24640" xr:uid="{00000000-0005-0000-0000-000043600000}"/>
    <cellStyle name="Normal 6 5 2 2" xfId="24641" xr:uid="{00000000-0005-0000-0000-000044600000}"/>
    <cellStyle name="Normal 6 5 2 2 2" xfId="24642" xr:uid="{00000000-0005-0000-0000-000045600000}"/>
    <cellStyle name="Normal 6 5 2 2 3" xfId="24643" xr:uid="{00000000-0005-0000-0000-000046600000}"/>
    <cellStyle name="Normal 6 5 2 3" xfId="24644" xr:uid="{00000000-0005-0000-0000-000047600000}"/>
    <cellStyle name="Normal 6 5 2 3 2" xfId="24645" xr:uid="{00000000-0005-0000-0000-000048600000}"/>
    <cellStyle name="Normal 6 5 2 3 3" xfId="24646" xr:uid="{00000000-0005-0000-0000-000049600000}"/>
    <cellStyle name="Normal 6 5 2 4" xfId="24647" xr:uid="{00000000-0005-0000-0000-00004A600000}"/>
    <cellStyle name="Normal 6 5 2 5" xfId="24648" xr:uid="{00000000-0005-0000-0000-00004B600000}"/>
    <cellStyle name="Normal 6 5 2 6" xfId="24649" xr:uid="{00000000-0005-0000-0000-00004C600000}"/>
    <cellStyle name="Normal 6 5 3" xfId="24650" xr:uid="{00000000-0005-0000-0000-00004D600000}"/>
    <cellStyle name="Normal 6 5 3 2" xfId="24651" xr:uid="{00000000-0005-0000-0000-00004E600000}"/>
    <cellStyle name="Normal 6 5 3 3" xfId="24652" xr:uid="{00000000-0005-0000-0000-00004F600000}"/>
    <cellStyle name="Normal 6 5 4" xfId="24653" xr:uid="{00000000-0005-0000-0000-000050600000}"/>
    <cellStyle name="Normal 6 5 4 2" xfId="24654" xr:uid="{00000000-0005-0000-0000-000051600000}"/>
    <cellStyle name="Normal 6 5 4 3" xfId="24655" xr:uid="{00000000-0005-0000-0000-000052600000}"/>
    <cellStyle name="Normal 6 5 5" xfId="24656" xr:uid="{00000000-0005-0000-0000-000053600000}"/>
    <cellStyle name="Normal 6 5 5 2" xfId="24657" xr:uid="{00000000-0005-0000-0000-000054600000}"/>
    <cellStyle name="Normal 6 5 5 3" xfId="24658" xr:uid="{00000000-0005-0000-0000-000055600000}"/>
    <cellStyle name="Normal 6 5 6" xfId="24659" xr:uid="{00000000-0005-0000-0000-000056600000}"/>
    <cellStyle name="Normal 6 5 7" xfId="24660" xr:uid="{00000000-0005-0000-0000-000057600000}"/>
    <cellStyle name="Normal 6 5 8" xfId="24661" xr:uid="{00000000-0005-0000-0000-000058600000}"/>
    <cellStyle name="Normal 6 6" xfId="24662" xr:uid="{00000000-0005-0000-0000-000059600000}"/>
    <cellStyle name="Normal 6 6 2" xfId="24663" xr:uid="{00000000-0005-0000-0000-00005A600000}"/>
    <cellStyle name="Normal 6 6 2 2" xfId="24664" xr:uid="{00000000-0005-0000-0000-00005B600000}"/>
    <cellStyle name="Normal 6 6 2 3" xfId="24665" xr:uid="{00000000-0005-0000-0000-00005C600000}"/>
    <cellStyle name="Normal 6 6 3" xfId="24666" xr:uid="{00000000-0005-0000-0000-00005D600000}"/>
    <cellStyle name="Normal 6 6 3 2" xfId="24667" xr:uid="{00000000-0005-0000-0000-00005E600000}"/>
    <cellStyle name="Normal 6 6 3 3" xfId="24668" xr:uid="{00000000-0005-0000-0000-00005F600000}"/>
    <cellStyle name="Normal 6 6 4" xfId="24669" xr:uid="{00000000-0005-0000-0000-000060600000}"/>
    <cellStyle name="Normal 6 6 5" xfId="24670" xr:uid="{00000000-0005-0000-0000-000061600000}"/>
    <cellStyle name="Normal 6 6 6" xfId="24671" xr:uid="{00000000-0005-0000-0000-000062600000}"/>
    <cellStyle name="Normal 6 7" xfId="24672" xr:uid="{00000000-0005-0000-0000-000063600000}"/>
    <cellStyle name="Normal 6 7 2" xfId="24673" xr:uid="{00000000-0005-0000-0000-000064600000}"/>
    <cellStyle name="Normal 6 7 3" xfId="24674" xr:uid="{00000000-0005-0000-0000-000065600000}"/>
    <cellStyle name="Normal 6 8" xfId="24675" xr:uid="{00000000-0005-0000-0000-000066600000}"/>
    <cellStyle name="Normal 6 8 2" xfId="24676" xr:uid="{00000000-0005-0000-0000-000067600000}"/>
    <cellStyle name="Normal 6 8 3" xfId="24677" xr:uid="{00000000-0005-0000-0000-000068600000}"/>
    <cellStyle name="Normal 6 9" xfId="24678" xr:uid="{00000000-0005-0000-0000-000069600000}"/>
    <cellStyle name="Normal 6 9 2" xfId="24679" xr:uid="{00000000-0005-0000-0000-00006A600000}"/>
    <cellStyle name="Normal 6 9 3" xfId="24680" xr:uid="{00000000-0005-0000-0000-00006B600000}"/>
    <cellStyle name="Normal 60" xfId="24681" xr:uid="{00000000-0005-0000-0000-00006C600000}"/>
    <cellStyle name="Normal 60 2" xfId="24682" xr:uid="{00000000-0005-0000-0000-00006D600000}"/>
    <cellStyle name="Normal 60 2 2" xfId="24683" xr:uid="{00000000-0005-0000-0000-00006E600000}"/>
    <cellStyle name="Normal 60 2 3" xfId="24684" xr:uid="{00000000-0005-0000-0000-00006F600000}"/>
    <cellStyle name="Normal 60 3" xfId="24685" xr:uid="{00000000-0005-0000-0000-000070600000}"/>
    <cellStyle name="Normal 60 3 2" xfId="24686" xr:uid="{00000000-0005-0000-0000-000071600000}"/>
    <cellStyle name="Normal 60 3 3" xfId="24687" xr:uid="{00000000-0005-0000-0000-000072600000}"/>
    <cellStyle name="Normal 60 4" xfId="24688" xr:uid="{00000000-0005-0000-0000-000073600000}"/>
    <cellStyle name="Normal 60 5" xfId="24689" xr:uid="{00000000-0005-0000-0000-000074600000}"/>
    <cellStyle name="Normal 60 6" xfId="24690" xr:uid="{00000000-0005-0000-0000-000075600000}"/>
    <cellStyle name="Normal 61" xfId="24691" xr:uid="{00000000-0005-0000-0000-000076600000}"/>
    <cellStyle name="Normal 61 2" xfId="24692" xr:uid="{00000000-0005-0000-0000-000077600000}"/>
    <cellStyle name="Normal 61 3" xfId="24693" xr:uid="{00000000-0005-0000-0000-000078600000}"/>
    <cellStyle name="Normal 61 4" xfId="24694" xr:uid="{00000000-0005-0000-0000-000079600000}"/>
    <cellStyle name="Normal 62" xfId="24695" xr:uid="{00000000-0005-0000-0000-00007A600000}"/>
    <cellStyle name="Normal 62 2" xfId="24696" xr:uid="{00000000-0005-0000-0000-00007B600000}"/>
    <cellStyle name="Normal 62 3" xfId="24697" xr:uid="{00000000-0005-0000-0000-00007C600000}"/>
    <cellStyle name="Normal 62 4" xfId="24698" xr:uid="{00000000-0005-0000-0000-00007D600000}"/>
    <cellStyle name="Normal 63" xfId="24699" xr:uid="{00000000-0005-0000-0000-00007E600000}"/>
    <cellStyle name="Normal 63 2" xfId="24700" xr:uid="{00000000-0005-0000-0000-00007F600000}"/>
    <cellStyle name="Normal 63 3" xfId="24701" xr:uid="{00000000-0005-0000-0000-000080600000}"/>
    <cellStyle name="Normal 63 4" xfId="24702" xr:uid="{00000000-0005-0000-0000-000081600000}"/>
    <cellStyle name="Normal 64" xfId="24703" xr:uid="{00000000-0005-0000-0000-000082600000}"/>
    <cellStyle name="Normal 64 2" xfId="24704" xr:uid="{00000000-0005-0000-0000-000083600000}"/>
    <cellStyle name="Normal 64 3" xfId="24705" xr:uid="{00000000-0005-0000-0000-000084600000}"/>
    <cellStyle name="Normal 65" xfId="24706" xr:uid="{00000000-0005-0000-0000-000085600000}"/>
    <cellStyle name="Normal 65 2" xfId="24707" xr:uid="{00000000-0005-0000-0000-000086600000}"/>
    <cellStyle name="Normal 65 3" xfId="24708" xr:uid="{00000000-0005-0000-0000-000087600000}"/>
    <cellStyle name="Normal 66" xfId="24709" xr:uid="{00000000-0005-0000-0000-000088600000}"/>
    <cellStyle name="Normal 66 2" xfId="24710" xr:uid="{00000000-0005-0000-0000-000089600000}"/>
    <cellStyle name="Normal 67" xfId="24711" xr:uid="{00000000-0005-0000-0000-00008A600000}"/>
    <cellStyle name="Normal 68" xfId="24712" xr:uid="{00000000-0005-0000-0000-00008B600000}"/>
    <cellStyle name="Normal 69" xfId="24713" xr:uid="{00000000-0005-0000-0000-00008C600000}"/>
    <cellStyle name="Normal 7" xfId="24714" xr:uid="{00000000-0005-0000-0000-00008D600000}"/>
    <cellStyle name="Normal 7 10" xfId="24715" xr:uid="{00000000-0005-0000-0000-00008E600000}"/>
    <cellStyle name="Normal 7 10 2" xfId="24716" xr:uid="{00000000-0005-0000-0000-00008F600000}"/>
    <cellStyle name="Normal 7 10 2 2" xfId="24717" xr:uid="{00000000-0005-0000-0000-000090600000}"/>
    <cellStyle name="Normal 7 10 2 2 2" xfId="24718" xr:uid="{00000000-0005-0000-0000-000091600000}"/>
    <cellStyle name="Normal 7 10 2 2 3" xfId="24719" xr:uid="{00000000-0005-0000-0000-000092600000}"/>
    <cellStyle name="Normal 7 10 2 3" xfId="24720" xr:uid="{00000000-0005-0000-0000-000093600000}"/>
    <cellStyle name="Normal 7 10 2 3 2" xfId="24721" xr:uid="{00000000-0005-0000-0000-000094600000}"/>
    <cellStyle name="Normal 7 10 2 3 3" xfId="24722" xr:uid="{00000000-0005-0000-0000-000095600000}"/>
    <cellStyle name="Normal 7 10 2 4" xfId="24723" xr:uid="{00000000-0005-0000-0000-000096600000}"/>
    <cellStyle name="Normal 7 10 2 5" xfId="24724" xr:uid="{00000000-0005-0000-0000-000097600000}"/>
    <cellStyle name="Normal 7 10 2 6" xfId="24725" xr:uid="{00000000-0005-0000-0000-000098600000}"/>
    <cellStyle name="Normal 7 10 3" xfId="24726" xr:uid="{00000000-0005-0000-0000-000099600000}"/>
    <cellStyle name="Normal 7 10 3 2" xfId="24727" xr:uid="{00000000-0005-0000-0000-00009A600000}"/>
    <cellStyle name="Normal 7 10 3 3" xfId="24728" xr:uid="{00000000-0005-0000-0000-00009B600000}"/>
    <cellStyle name="Normal 7 10 4" xfId="24729" xr:uid="{00000000-0005-0000-0000-00009C600000}"/>
    <cellStyle name="Normal 7 10 4 2" xfId="24730" xr:uid="{00000000-0005-0000-0000-00009D600000}"/>
    <cellStyle name="Normal 7 10 4 3" xfId="24731" xr:uid="{00000000-0005-0000-0000-00009E600000}"/>
    <cellStyle name="Normal 7 10 5" xfId="24732" xr:uid="{00000000-0005-0000-0000-00009F600000}"/>
    <cellStyle name="Normal 7 10 6" xfId="24733" xr:uid="{00000000-0005-0000-0000-0000A0600000}"/>
    <cellStyle name="Normal 7 10 7" xfId="24734" xr:uid="{00000000-0005-0000-0000-0000A1600000}"/>
    <cellStyle name="Normal 7 11" xfId="24735" xr:uid="{00000000-0005-0000-0000-0000A2600000}"/>
    <cellStyle name="Normal 7 11 2" xfId="24736" xr:uid="{00000000-0005-0000-0000-0000A3600000}"/>
    <cellStyle name="Normal 7 11 2 2" xfId="24737" xr:uid="{00000000-0005-0000-0000-0000A4600000}"/>
    <cellStyle name="Normal 7 11 2 2 2" xfId="24738" xr:uid="{00000000-0005-0000-0000-0000A5600000}"/>
    <cellStyle name="Normal 7 11 2 2 3" xfId="24739" xr:uid="{00000000-0005-0000-0000-0000A6600000}"/>
    <cellStyle name="Normal 7 11 2 3" xfId="24740" xr:uid="{00000000-0005-0000-0000-0000A7600000}"/>
    <cellStyle name="Normal 7 11 2 3 2" xfId="24741" xr:uid="{00000000-0005-0000-0000-0000A8600000}"/>
    <cellStyle name="Normal 7 11 2 3 3" xfId="24742" xr:uid="{00000000-0005-0000-0000-0000A9600000}"/>
    <cellStyle name="Normal 7 11 2 4" xfId="24743" xr:uid="{00000000-0005-0000-0000-0000AA600000}"/>
    <cellStyle name="Normal 7 11 2 5" xfId="24744" xr:uid="{00000000-0005-0000-0000-0000AB600000}"/>
    <cellStyle name="Normal 7 11 2 6" xfId="24745" xr:uid="{00000000-0005-0000-0000-0000AC600000}"/>
    <cellStyle name="Normal 7 11 3" xfId="24746" xr:uid="{00000000-0005-0000-0000-0000AD600000}"/>
    <cellStyle name="Normal 7 11 3 2" xfId="24747" xr:uid="{00000000-0005-0000-0000-0000AE600000}"/>
    <cellStyle name="Normal 7 11 3 3" xfId="24748" xr:uid="{00000000-0005-0000-0000-0000AF600000}"/>
    <cellStyle name="Normal 7 11 4" xfId="24749" xr:uid="{00000000-0005-0000-0000-0000B0600000}"/>
    <cellStyle name="Normal 7 11 4 2" xfId="24750" xr:uid="{00000000-0005-0000-0000-0000B1600000}"/>
    <cellStyle name="Normal 7 11 4 3" xfId="24751" xr:uid="{00000000-0005-0000-0000-0000B2600000}"/>
    <cellStyle name="Normal 7 11 5" xfId="24752" xr:uid="{00000000-0005-0000-0000-0000B3600000}"/>
    <cellStyle name="Normal 7 11 6" xfId="24753" xr:uid="{00000000-0005-0000-0000-0000B4600000}"/>
    <cellStyle name="Normal 7 11 7" xfId="24754" xr:uid="{00000000-0005-0000-0000-0000B5600000}"/>
    <cellStyle name="Normal 7 12" xfId="24755" xr:uid="{00000000-0005-0000-0000-0000B6600000}"/>
    <cellStyle name="Normal 7 12 2" xfId="24756" xr:uid="{00000000-0005-0000-0000-0000B7600000}"/>
    <cellStyle name="Normal 7 12 2 2" xfId="24757" xr:uid="{00000000-0005-0000-0000-0000B8600000}"/>
    <cellStyle name="Normal 7 12 2 3" xfId="24758" xr:uid="{00000000-0005-0000-0000-0000B9600000}"/>
    <cellStyle name="Normal 7 12 3" xfId="24759" xr:uid="{00000000-0005-0000-0000-0000BA600000}"/>
    <cellStyle name="Normal 7 12 3 2" xfId="24760" xr:uid="{00000000-0005-0000-0000-0000BB600000}"/>
    <cellStyle name="Normal 7 12 3 3" xfId="24761" xr:uid="{00000000-0005-0000-0000-0000BC600000}"/>
    <cellStyle name="Normal 7 12 4" xfId="24762" xr:uid="{00000000-0005-0000-0000-0000BD600000}"/>
    <cellStyle name="Normal 7 12 5" xfId="24763" xr:uid="{00000000-0005-0000-0000-0000BE600000}"/>
    <cellStyle name="Normal 7 12 6" xfId="24764" xr:uid="{00000000-0005-0000-0000-0000BF600000}"/>
    <cellStyle name="Normal 7 13" xfId="24765" xr:uid="{00000000-0005-0000-0000-0000C0600000}"/>
    <cellStyle name="Normal 7 13 2" xfId="24766" xr:uid="{00000000-0005-0000-0000-0000C1600000}"/>
    <cellStyle name="Normal 7 13 3" xfId="24767" xr:uid="{00000000-0005-0000-0000-0000C2600000}"/>
    <cellStyle name="Normal 7 13 4" xfId="24768" xr:uid="{00000000-0005-0000-0000-0000C3600000}"/>
    <cellStyle name="Normal 7 14" xfId="24769" xr:uid="{00000000-0005-0000-0000-0000C4600000}"/>
    <cellStyle name="Normal 7 14 2" xfId="24770" xr:uid="{00000000-0005-0000-0000-0000C5600000}"/>
    <cellStyle name="Normal 7 14 3" xfId="24771" xr:uid="{00000000-0005-0000-0000-0000C6600000}"/>
    <cellStyle name="Normal 7 15" xfId="24772" xr:uid="{00000000-0005-0000-0000-0000C7600000}"/>
    <cellStyle name="Normal 7 15 2" xfId="24773" xr:uid="{00000000-0005-0000-0000-0000C8600000}"/>
    <cellStyle name="Normal 7 15 3" xfId="24774" xr:uid="{00000000-0005-0000-0000-0000C9600000}"/>
    <cellStyle name="Normal 7 16" xfId="24775" xr:uid="{00000000-0005-0000-0000-0000CA600000}"/>
    <cellStyle name="Normal 7 17" xfId="24776" xr:uid="{00000000-0005-0000-0000-0000CB600000}"/>
    <cellStyle name="Normal 7 18" xfId="24777" xr:uid="{00000000-0005-0000-0000-0000CC600000}"/>
    <cellStyle name="Normal 7 2" xfId="24778" xr:uid="{00000000-0005-0000-0000-0000CD600000}"/>
    <cellStyle name="Normal 7 2 2" xfId="24779" xr:uid="{00000000-0005-0000-0000-0000CE600000}"/>
    <cellStyle name="Normal 7 2 2 2" xfId="24780" xr:uid="{00000000-0005-0000-0000-0000CF600000}"/>
    <cellStyle name="Normal 7 2 2 2 2" xfId="24781" xr:uid="{00000000-0005-0000-0000-0000D0600000}"/>
    <cellStyle name="Normal 7 2 2 2 3" xfId="24782" xr:uid="{00000000-0005-0000-0000-0000D1600000}"/>
    <cellStyle name="Normal 7 2 2 3" xfId="24783" xr:uid="{00000000-0005-0000-0000-0000D2600000}"/>
    <cellStyle name="Normal 7 2 2 3 2" xfId="24784" xr:uid="{00000000-0005-0000-0000-0000D3600000}"/>
    <cellStyle name="Normal 7 2 2 3 3" xfId="24785" xr:uid="{00000000-0005-0000-0000-0000D4600000}"/>
    <cellStyle name="Normal 7 2 2 4" xfId="24786" xr:uid="{00000000-0005-0000-0000-0000D5600000}"/>
    <cellStyle name="Normal 7 2 2 5" xfId="24787" xr:uid="{00000000-0005-0000-0000-0000D6600000}"/>
    <cellStyle name="Normal 7 2 2 6" xfId="24788" xr:uid="{00000000-0005-0000-0000-0000D7600000}"/>
    <cellStyle name="Normal 7 2 3" xfId="24789" xr:uid="{00000000-0005-0000-0000-0000D8600000}"/>
    <cellStyle name="Normal 7 2 3 2" xfId="24790" xr:uid="{00000000-0005-0000-0000-0000D9600000}"/>
    <cellStyle name="Normal 7 2 3 3" xfId="24791" xr:uid="{00000000-0005-0000-0000-0000DA600000}"/>
    <cellStyle name="Normal 7 2 4" xfId="24792" xr:uid="{00000000-0005-0000-0000-0000DB600000}"/>
    <cellStyle name="Normal 7 2 4 2" xfId="24793" xr:uid="{00000000-0005-0000-0000-0000DC600000}"/>
    <cellStyle name="Normal 7 2 4 3" xfId="24794" xr:uid="{00000000-0005-0000-0000-0000DD600000}"/>
    <cellStyle name="Normal 7 2 5" xfId="24795" xr:uid="{00000000-0005-0000-0000-0000DE600000}"/>
    <cellStyle name="Normal 7 2 6" xfId="24796" xr:uid="{00000000-0005-0000-0000-0000DF600000}"/>
    <cellStyle name="Normal 7 2 7" xfId="24797" xr:uid="{00000000-0005-0000-0000-0000E0600000}"/>
    <cellStyle name="Normal 7 3" xfId="24798" xr:uid="{00000000-0005-0000-0000-0000E1600000}"/>
    <cellStyle name="Normal 7 3 2" xfId="24799" xr:uid="{00000000-0005-0000-0000-0000E2600000}"/>
    <cellStyle name="Normal 7 3 2 2" xfId="24800" xr:uid="{00000000-0005-0000-0000-0000E3600000}"/>
    <cellStyle name="Normal 7 3 2 2 2" xfId="24801" xr:uid="{00000000-0005-0000-0000-0000E4600000}"/>
    <cellStyle name="Normal 7 3 2 2 3" xfId="24802" xr:uid="{00000000-0005-0000-0000-0000E5600000}"/>
    <cellStyle name="Normal 7 3 2 3" xfId="24803" xr:uid="{00000000-0005-0000-0000-0000E6600000}"/>
    <cellStyle name="Normal 7 3 2 3 2" xfId="24804" xr:uid="{00000000-0005-0000-0000-0000E7600000}"/>
    <cellStyle name="Normal 7 3 2 3 3" xfId="24805" xr:uid="{00000000-0005-0000-0000-0000E8600000}"/>
    <cellStyle name="Normal 7 3 2 4" xfId="24806" xr:uid="{00000000-0005-0000-0000-0000E9600000}"/>
    <cellStyle name="Normal 7 3 2 5" xfId="24807" xr:uid="{00000000-0005-0000-0000-0000EA600000}"/>
    <cellStyle name="Normal 7 3 2 6" xfId="24808" xr:uid="{00000000-0005-0000-0000-0000EB600000}"/>
    <cellStyle name="Normal 7 3 3" xfId="24809" xr:uid="{00000000-0005-0000-0000-0000EC600000}"/>
    <cellStyle name="Normal 7 3 3 2" xfId="24810" xr:uid="{00000000-0005-0000-0000-0000ED600000}"/>
    <cellStyle name="Normal 7 3 3 3" xfId="24811" xr:uid="{00000000-0005-0000-0000-0000EE600000}"/>
    <cellStyle name="Normal 7 3 4" xfId="24812" xr:uid="{00000000-0005-0000-0000-0000EF600000}"/>
    <cellStyle name="Normal 7 3 4 2" xfId="24813" xr:uid="{00000000-0005-0000-0000-0000F0600000}"/>
    <cellStyle name="Normal 7 3 4 3" xfId="24814" xr:uid="{00000000-0005-0000-0000-0000F1600000}"/>
    <cellStyle name="Normal 7 3 5" xfId="24815" xr:uid="{00000000-0005-0000-0000-0000F2600000}"/>
    <cellStyle name="Normal 7 3 6" xfId="24816" xr:uid="{00000000-0005-0000-0000-0000F3600000}"/>
    <cellStyle name="Normal 7 3 7" xfId="24817" xr:uid="{00000000-0005-0000-0000-0000F4600000}"/>
    <cellStyle name="Normal 7 4" xfId="24818" xr:uid="{00000000-0005-0000-0000-0000F5600000}"/>
    <cellStyle name="Normal 7 4 2" xfId="24819" xr:uid="{00000000-0005-0000-0000-0000F6600000}"/>
    <cellStyle name="Normal 7 4 2 2" xfId="24820" xr:uid="{00000000-0005-0000-0000-0000F7600000}"/>
    <cellStyle name="Normal 7 4 2 2 2" xfId="24821" xr:uid="{00000000-0005-0000-0000-0000F8600000}"/>
    <cellStyle name="Normal 7 4 2 2 3" xfId="24822" xr:uid="{00000000-0005-0000-0000-0000F9600000}"/>
    <cellStyle name="Normal 7 4 2 3" xfId="24823" xr:uid="{00000000-0005-0000-0000-0000FA600000}"/>
    <cellStyle name="Normal 7 4 2 3 2" xfId="24824" xr:uid="{00000000-0005-0000-0000-0000FB600000}"/>
    <cellStyle name="Normal 7 4 2 3 3" xfId="24825" xr:uid="{00000000-0005-0000-0000-0000FC600000}"/>
    <cellStyle name="Normal 7 4 2 4" xfId="24826" xr:uid="{00000000-0005-0000-0000-0000FD600000}"/>
    <cellStyle name="Normal 7 4 2 5" xfId="24827" xr:uid="{00000000-0005-0000-0000-0000FE600000}"/>
    <cellStyle name="Normal 7 4 2 6" xfId="24828" xr:uid="{00000000-0005-0000-0000-0000FF600000}"/>
    <cellStyle name="Normal 7 4 3" xfId="24829" xr:uid="{00000000-0005-0000-0000-000000610000}"/>
    <cellStyle name="Normal 7 4 3 2" xfId="24830" xr:uid="{00000000-0005-0000-0000-000001610000}"/>
    <cellStyle name="Normal 7 4 3 3" xfId="24831" xr:uid="{00000000-0005-0000-0000-000002610000}"/>
    <cellStyle name="Normal 7 4 4" xfId="24832" xr:uid="{00000000-0005-0000-0000-000003610000}"/>
    <cellStyle name="Normal 7 4 4 2" xfId="24833" xr:uid="{00000000-0005-0000-0000-000004610000}"/>
    <cellStyle name="Normal 7 4 4 3" xfId="24834" xr:uid="{00000000-0005-0000-0000-000005610000}"/>
    <cellStyle name="Normal 7 4 5" xfId="24835" xr:uid="{00000000-0005-0000-0000-000006610000}"/>
    <cellStyle name="Normal 7 4 6" xfId="24836" xr:uid="{00000000-0005-0000-0000-000007610000}"/>
    <cellStyle name="Normal 7 4 7" xfId="24837" xr:uid="{00000000-0005-0000-0000-000008610000}"/>
    <cellStyle name="Normal 7 5" xfId="24838" xr:uid="{00000000-0005-0000-0000-000009610000}"/>
    <cellStyle name="Normal 7 5 2" xfId="24839" xr:uid="{00000000-0005-0000-0000-00000A610000}"/>
    <cellStyle name="Normal 7 5 2 2" xfId="24840" xr:uid="{00000000-0005-0000-0000-00000B610000}"/>
    <cellStyle name="Normal 7 5 2 2 2" xfId="24841" xr:uid="{00000000-0005-0000-0000-00000C610000}"/>
    <cellStyle name="Normal 7 5 2 2 3" xfId="24842" xr:uid="{00000000-0005-0000-0000-00000D610000}"/>
    <cellStyle name="Normal 7 5 2 3" xfId="24843" xr:uid="{00000000-0005-0000-0000-00000E610000}"/>
    <cellStyle name="Normal 7 5 2 3 2" xfId="24844" xr:uid="{00000000-0005-0000-0000-00000F610000}"/>
    <cellStyle name="Normal 7 5 2 3 3" xfId="24845" xr:uid="{00000000-0005-0000-0000-000010610000}"/>
    <cellStyle name="Normal 7 5 2 4" xfId="24846" xr:uid="{00000000-0005-0000-0000-000011610000}"/>
    <cellStyle name="Normal 7 5 2 5" xfId="24847" xr:uid="{00000000-0005-0000-0000-000012610000}"/>
    <cellStyle name="Normal 7 5 2 6" xfId="24848" xr:uid="{00000000-0005-0000-0000-000013610000}"/>
    <cellStyle name="Normal 7 5 3" xfId="24849" xr:uid="{00000000-0005-0000-0000-000014610000}"/>
    <cellStyle name="Normal 7 5 3 2" xfId="24850" xr:uid="{00000000-0005-0000-0000-000015610000}"/>
    <cellStyle name="Normal 7 5 3 3" xfId="24851" xr:uid="{00000000-0005-0000-0000-000016610000}"/>
    <cellStyle name="Normal 7 5 4" xfId="24852" xr:uid="{00000000-0005-0000-0000-000017610000}"/>
    <cellStyle name="Normal 7 5 4 2" xfId="24853" xr:uid="{00000000-0005-0000-0000-000018610000}"/>
    <cellStyle name="Normal 7 5 4 3" xfId="24854" xr:uid="{00000000-0005-0000-0000-000019610000}"/>
    <cellStyle name="Normal 7 5 5" xfId="24855" xr:uid="{00000000-0005-0000-0000-00001A610000}"/>
    <cellStyle name="Normal 7 5 6" xfId="24856" xr:uid="{00000000-0005-0000-0000-00001B610000}"/>
    <cellStyle name="Normal 7 5 7" xfId="24857" xr:uid="{00000000-0005-0000-0000-00001C610000}"/>
    <cellStyle name="Normal 7 6" xfId="24858" xr:uid="{00000000-0005-0000-0000-00001D610000}"/>
    <cellStyle name="Normal 7 6 2" xfId="24859" xr:uid="{00000000-0005-0000-0000-00001E610000}"/>
    <cellStyle name="Normal 7 6 2 2" xfId="24860" xr:uid="{00000000-0005-0000-0000-00001F610000}"/>
    <cellStyle name="Normal 7 6 2 2 2" xfId="24861" xr:uid="{00000000-0005-0000-0000-000020610000}"/>
    <cellStyle name="Normal 7 6 2 2 3" xfId="24862" xr:uid="{00000000-0005-0000-0000-000021610000}"/>
    <cellStyle name="Normal 7 6 2 3" xfId="24863" xr:uid="{00000000-0005-0000-0000-000022610000}"/>
    <cellStyle name="Normal 7 6 2 3 2" xfId="24864" xr:uid="{00000000-0005-0000-0000-000023610000}"/>
    <cellStyle name="Normal 7 6 2 3 3" xfId="24865" xr:uid="{00000000-0005-0000-0000-000024610000}"/>
    <cellStyle name="Normal 7 6 2 4" xfId="24866" xr:uid="{00000000-0005-0000-0000-000025610000}"/>
    <cellStyle name="Normal 7 6 2 5" xfId="24867" xr:uid="{00000000-0005-0000-0000-000026610000}"/>
    <cellStyle name="Normal 7 6 2 6" xfId="24868" xr:uid="{00000000-0005-0000-0000-000027610000}"/>
    <cellStyle name="Normal 7 6 3" xfId="24869" xr:uid="{00000000-0005-0000-0000-000028610000}"/>
    <cellStyle name="Normal 7 6 3 2" xfId="24870" xr:uid="{00000000-0005-0000-0000-000029610000}"/>
    <cellStyle name="Normal 7 6 3 3" xfId="24871" xr:uid="{00000000-0005-0000-0000-00002A610000}"/>
    <cellStyle name="Normal 7 6 4" xfId="24872" xr:uid="{00000000-0005-0000-0000-00002B610000}"/>
    <cellStyle name="Normal 7 6 4 2" xfId="24873" xr:uid="{00000000-0005-0000-0000-00002C610000}"/>
    <cellStyle name="Normal 7 6 4 3" xfId="24874" xr:uid="{00000000-0005-0000-0000-00002D610000}"/>
    <cellStyle name="Normal 7 6 5" xfId="24875" xr:uid="{00000000-0005-0000-0000-00002E610000}"/>
    <cellStyle name="Normal 7 6 6" xfId="24876" xr:uid="{00000000-0005-0000-0000-00002F610000}"/>
    <cellStyle name="Normal 7 6 7" xfId="24877" xr:uid="{00000000-0005-0000-0000-000030610000}"/>
    <cellStyle name="Normal 7 7" xfId="24878" xr:uid="{00000000-0005-0000-0000-000031610000}"/>
    <cellStyle name="Normal 7 7 2" xfId="24879" xr:uid="{00000000-0005-0000-0000-000032610000}"/>
    <cellStyle name="Normal 7 7 2 2" xfId="24880" xr:uid="{00000000-0005-0000-0000-000033610000}"/>
    <cellStyle name="Normal 7 7 2 2 2" xfId="24881" xr:uid="{00000000-0005-0000-0000-000034610000}"/>
    <cellStyle name="Normal 7 7 2 2 3" xfId="24882" xr:uid="{00000000-0005-0000-0000-000035610000}"/>
    <cellStyle name="Normal 7 7 2 3" xfId="24883" xr:uid="{00000000-0005-0000-0000-000036610000}"/>
    <cellStyle name="Normal 7 7 2 3 2" xfId="24884" xr:uid="{00000000-0005-0000-0000-000037610000}"/>
    <cellStyle name="Normal 7 7 2 3 3" xfId="24885" xr:uid="{00000000-0005-0000-0000-000038610000}"/>
    <cellStyle name="Normal 7 7 2 4" xfId="24886" xr:uid="{00000000-0005-0000-0000-000039610000}"/>
    <cellStyle name="Normal 7 7 2 5" xfId="24887" xr:uid="{00000000-0005-0000-0000-00003A610000}"/>
    <cellStyle name="Normal 7 7 2 6" xfId="24888" xr:uid="{00000000-0005-0000-0000-00003B610000}"/>
    <cellStyle name="Normal 7 7 3" xfId="24889" xr:uid="{00000000-0005-0000-0000-00003C610000}"/>
    <cellStyle name="Normal 7 7 3 2" xfId="24890" xr:uid="{00000000-0005-0000-0000-00003D610000}"/>
    <cellStyle name="Normal 7 7 3 3" xfId="24891" xr:uid="{00000000-0005-0000-0000-00003E610000}"/>
    <cellStyle name="Normal 7 7 4" xfId="24892" xr:uid="{00000000-0005-0000-0000-00003F610000}"/>
    <cellStyle name="Normal 7 7 4 2" xfId="24893" xr:uid="{00000000-0005-0000-0000-000040610000}"/>
    <cellStyle name="Normal 7 7 4 3" xfId="24894" xr:uid="{00000000-0005-0000-0000-000041610000}"/>
    <cellStyle name="Normal 7 7 5" xfId="24895" xr:uid="{00000000-0005-0000-0000-000042610000}"/>
    <cellStyle name="Normal 7 7 6" xfId="24896" xr:uid="{00000000-0005-0000-0000-000043610000}"/>
    <cellStyle name="Normal 7 7 7" xfId="24897" xr:uid="{00000000-0005-0000-0000-000044610000}"/>
    <cellStyle name="Normal 7 8" xfId="24898" xr:uid="{00000000-0005-0000-0000-000045610000}"/>
    <cellStyle name="Normal 7 8 2" xfId="24899" xr:uid="{00000000-0005-0000-0000-000046610000}"/>
    <cellStyle name="Normal 7 8 2 2" xfId="24900" xr:uid="{00000000-0005-0000-0000-000047610000}"/>
    <cellStyle name="Normal 7 8 2 2 2" xfId="24901" xr:uid="{00000000-0005-0000-0000-000048610000}"/>
    <cellStyle name="Normal 7 8 2 2 3" xfId="24902" xr:uid="{00000000-0005-0000-0000-000049610000}"/>
    <cellStyle name="Normal 7 8 2 3" xfId="24903" xr:uid="{00000000-0005-0000-0000-00004A610000}"/>
    <cellStyle name="Normal 7 8 2 3 2" xfId="24904" xr:uid="{00000000-0005-0000-0000-00004B610000}"/>
    <cellStyle name="Normal 7 8 2 3 3" xfId="24905" xr:uid="{00000000-0005-0000-0000-00004C610000}"/>
    <cellStyle name="Normal 7 8 2 4" xfId="24906" xr:uid="{00000000-0005-0000-0000-00004D610000}"/>
    <cellStyle name="Normal 7 8 2 5" xfId="24907" xr:uid="{00000000-0005-0000-0000-00004E610000}"/>
    <cellStyle name="Normal 7 8 2 6" xfId="24908" xr:uid="{00000000-0005-0000-0000-00004F610000}"/>
    <cellStyle name="Normal 7 8 3" xfId="24909" xr:uid="{00000000-0005-0000-0000-000050610000}"/>
    <cellStyle name="Normal 7 8 3 2" xfId="24910" xr:uid="{00000000-0005-0000-0000-000051610000}"/>
    <cellStyle name="Normal 7 8 3 3" xfId="24911" xr:uid="{00000000-0005-0000-0000-000052610000}"/>
    <cellStyle name="Normal 7 8 4" xfId="24912" xr:uid="{00000000-0005-0000-0000-000053610000}"/>
    <cellStyle name="Normal 7 8 4 2" xfId="24913" xr:uid="{00000000-0005-0000-0000-000054610000}"/>
    <cellStyle name="Normal 7 8 4 3" xfId="24914" xr:uid="{00000000-0005-0000-0000-000055610000}"/>
    <cellStyle name="Normal 7 8 5" xfId="24915" xr:uid="{00000000-0005-0000-0000-000056610000}"/>
    <cellStyle name="Normal 7 8 6" xfId="24916" xr:uid="{00000000-0005-0000-0000-000057610000}"/>
    <cellStyle name="Normal 7 8 7" xfId="24917" xr:uid="{00000000-0005-0000-0000-000058610000}"/>
    <cellStyle name="Normal 7 9" xfId="24918" xr:uid="{00000000-0005-0000-0000-000059610000}"/>
    <cellStyle name="Normal 7 9 2" xfId="24919" xr:uid="{00000000-0005-0000-0000-00005A610000}"/>
    <cellStyle name="Normal 7 9 2 2" xfId="24920" xr:uid="{00000000-0005-0000-0000-00005B610000}"/>
    <cellStyle name="Normal 7 9 2 2 2" xfId="24921" xr:uid="{00000000-0005-0000-0000-00005C610000}"/>
    <cellStyle name="Normal 7 9 2 2 3" xfId="24922" xr:uid="{00000000-0005-0000-0000-00005D610000}"/>
    <cellStyle name="Normal 7 9 2 3" xfId="24923" xr:uid="{00000000-0005-0000-0000-00005E610000}"/>
    <cellStyle name="Normal 7 9 2 3 2" xfId="24924" xr:uid="{00000000-0005-0000-0000-00005F610000}"/>
    <cellStyle name="Normal 7 9 2 3 3" xfId="24925" xr:uid="{00000000-0005-0000-0000-000060610000}"/>
    <cellStyle name="Normal 7 9 2 4" xfId="24926" xr:uid="{00000000-0005-0000-0000-000061610000}"/>
    <cellStyle name="Normal 7 9 2 5" xfId="24927" xr:uid="{00000000-0005-0000-0000-000062610000}"/>
    <cellStyle name="Normal 7 9 2 6" xfId="24928" xr:uid="{00000000-0005-0000-0000-000063610000}"/>
    <cellStyle name="Normal 7 9 3" xfId="24929" xr:uid="{00000000-0005-0000-0000-000064610000}"/>
    <cellStyle name="Normal 7 9 3 2" xfId="24930" xr:uid="{00000000-0005-0000-0000-000065610000}"/>
    <cellStyle name="Normal 7 9 3 3" xfId="24931" xr:uid="{00000000-0005-0000-0000-000066610000}"/>
    <cellStyle name="Normal 7 9 4" xfId="24932" xr:uid="{00000000-0005-0000-0000-000067610000}"/>
    <cellStyle name="Normal 7 9 4 2" xfId="24933" xr:uid="{00000000-0005-0000-0000-000068610000}"/>
    <cellStyle name="Normal 7 9 4 3" xfId="24934" xr:uid="{00000000-0005-0000-0000-000069610000}"/>
    <cellStyle name="Normal 7 9 5" xfId="24935" xr:uid="{00000000-0005-0000-0000-00006A610000}"/>
    <cellStyle name="Normal 7 9 6" xfId="24936" xr:uid="{00000000-0005-0000-0000-00006B610000}"/>
    <cellStyle name="Normal 7 9 7" xfId="24937" xr:uid="{00000000-0005-0000-0000-00006C610000}"/>
    <cellStyle name="Normal 70" xfId="24938" xr:uid="{00000000-0005-0000-0000-00006D610000}"/>
    <cellStyle name="Normal 71" xfId="24939" xr:uid="{00000000-0005-0000-0000-00006E610000}"/>
    <cellStyle name="Normal 72" xfId="24940" xr:uid="{00000000-0005-0000-0000-00006F610000}"/>
    <cellStyle name="Normal 73" xfId="24941" xr:uid="{00000000-0005-0000-0000-000070610000}"/>
    <cellStyle name="Normal 74" xfId="24942" xr:uid="{00000000-0005-0000-0000-000071610000}"/>
    <cellStyle name="Normal 75" xfId="24943" xr:uid="{00000000-0005-0000-0000-000072610000}"/>
    <cellStyle name="Normal 76" xfId="24944" xr:uid="{00000000-0005-0000-0000-000073610000}"/>
    <cellStyle name="Normal 76 2" xfId="24945" xr:uid="{00000000-0005-0000-0000-000074610000}"/>
    <cellStyle name="Normal 77" xfId="24946" xr:uid="{00000000-0005-0000-0000-000075610000}"/>
    <cellStyle name="Normal 78" xfId="24947" xr:uid="{00000000-0005-0000-0000-000076610000}"/>
    <cellStyle name="Normal 78 2" xfId="24948" xr:uid="{00000000-0005-0000-0000-000077610000}"/>
    <cellStyle name="Normal 79" xfId="24949" xr:uid="{00000000-0005-0000-0000-000078610000}"/>
    <cellStyle name="Normal 79 2" xfId="24950" xr:uid="{00000000-0005-0000-0000-000079610000}"/>
    <cellStyle name="Normal 8" xfId="24951" xr:uid="{00000000-0005-0000-0000-00007A610000}"/>
    <cellStyle name="Normal 8 10" xfId="24952" xr:uid="{00000000-0005-0000-0000-00007B610000}"/>
    <cellStyle name="Normal 8 10 2" xfId="24953" xr:uid="{00000000-0005-0000-0000-00007C610000}"/>
    <cellStyle name="Normal 8 10 2 2" xfId="24954" xr:uid="{00000000-0005-0000-0000-00007D610000}"/>
    <cellStyle name="Normal 8 10 2 2 2" xfId="24955" xr:uid="{00000000-0005-0000-0000-00007E610000}"/>
    <cellStyle name="Normal 8 10 2 2 3" xfId="24956" xr:uid="{00000000-0005-0000-0000-00007F610000}"/>
    <cellStyle name="Normal 8 10 2 3" xfId="24957" xr:uid="{00000000-0005-0000-0000-000080610000}"/>
    <cellStyle name="Normal 8 10 2 3 2" xfId="24958" xr:uid="{00000000-0005-0000-0000-000081610000}"/>
    <cellStyle name="Normal 8 10 2 3 3" xfId="24959" xr:uid="{00000000-0005-0000-0000-000082610000}"/>
    <cellStyle name="Normal 8 10 2 4" xfId="24960" xr:uid="{00000000-0005-0000-0000-000083610000}"/>
    <cellStyle name="Normal 8 10 2 5" xfId="24961" xr:uid="{00000000-0005-0000-0000-000084610000}"/>
    <cellStyle name="Normal 8 10 2 6" xfId="24962" xr:uid="{00000000-0005-0000-0000-000085610000}"/>
    <cellStyle name="Normal 8 10 3" xfId="24963" xr:uid="{00000000-0005-0000-0000-000086610000}"/>
    <cellStyle name="Normal 8 10 3 2" xfId="24964" xr:uid="{00000000-0005-0000-0000-000087610000}"/>
    <cellStyle name="Normal 8 10 3 3" xfId="24965" xr:uid="{00000000-0005-0000-0000-000088610000}"/>
    <cellStyle name="Normal 8 10 4" xfId="24966" xr:uid="{00000000-0005-0000-0000-000089610000}"/>
    <cellStyle name="Normal 8 10 4 2" xfId="24967" xr:uid="{00000000-0005-0000-0000-00008A610000}"/>
    <cellStyle name="Normal 8 10 4 3" xfId="24968" xr:uid="{00000000-0005-0000-0000-00008B610000}"/>
    <cellStyle name="Normal 8 10 5" xfId="24969" xr:uid="{00000000-0005-0000-0000-00008C610000}"/>
    <cellStyle name="Normal 8 10 6" xfId="24970" xr:uid="{00000000-0005-0000-0000-00008D610000}"/>
    <cellStyle name="Normal 8 10 7" xfId="24971" xr:uid="{00000000-0005-0000-0000-00008E610000}"/>
    <cellStyle name="Normal 8 11" xfId="24972" xr:uid="{00000000-0005-0000-0000-00008F610000}"/>
    <cellStyle name="Normal 8 11 2" xfId="24973" xr:uid="{00000000-0005-0000-0000-000090610000}"/>
    <cellStyle name="Normal 8 11 2 2" xfId="24974" xr:uid="{00000000-0005-0000-0000-000091610000}"/>
    <cellStyle name="Normal 8 11 2 2 2" xfId="24975" xr:uid="{00000000-0005-0000-0000-000092610000}"/>
    <cellStyle name="Normal 8 11 2 2 3" xfId="24976" xr:uid="{00000000-0005-0000-0000-000093610000}"/>
    <cellStyle name="Normal 8 11 2 3" xfId="24977" xr:uid="{00000000-0005-0000-0000-000094610000}"/>
    <cellStyle name="Normal 8 11 2 3 2" xfId="24978" xr:uid="{00000000-0005-0000-0000-000095610000}"/>
    <cellStyle name="Normal 8 11 2 3 3" xfId="24979" xr:uid="{00000000-0005-0000-0000-000096610000}"/>
    <cellStyle name="Normal 8 11 2 4" xfId="24980" xr:uid="{00000000-0005-0000-0000-000097610000}"/>
    <cellStyle name="Normal 8 11 2 5" xfId="24981" xr:uid="{00000000-0005-0000-0000-000098610000}"/>
    <cellStyle name="Normal 8 11 2 6" xfId="24982" xr:uid="{00000000-0005-0000-0000-000099610000}"/>
    <cellStyle name="Normal 8 11 3" xfId="24983" xr:uid="{00000000-0005-0000-0000-00009A610000}"/>
    <cellStyle name="Normal 8 11 3 2" xfId="24984" xr:uid="{00000000-0005-0000-0000-00009B610000}"/>
    <cellStyle name="Normal 8 11 3 3" xfId="24985" xr:uid="{00000000-0005-0000-0000-00009C610000}"/>
    <cellStyle name="Normal 8 11 4" xfId="24986" xr:uid="{00000000-0005-0000-0000-00009D610000}"/>
    <cellStyle name="Normal 8 11 4 2" xfId="24987" xr:uid="{00000000-0005-0000-0000-00009E610000}"/>
    <cellStyle name="Normal 8 11 4 3" xfId="24988" xr:uid="{00000000-0005-0000-0000-00009F610000}"/>
    <cellStyle name="Normal 8 11 5" xfId="24989" xr:uid="{00000000-0005-0000-0000-0000A0610000}"/>
    <cellStyle name="Normal 8 11 6" xfId="24990" xr:uid="{00000000-0005-0000-0000-0000A1610000}"/>
    <cellStyle name="Normal 8 11 7" xfId="24991" xr:uid="{00000000-0005-0000-0000-0000A2610000}"/>
    <cellStyle name="Normal 8 12" xfId="24992" xr:uid="{00000000-0005-0000-0000-0000A3610000}"/>
    <cellStyle name="Normal 8 12 2" xfId="24993" xr:uid="{00000000-0005-0000-0000-0000A4610000}"/>
    <cellStyle name="Normal 8 12 2 2" xfId="24994" xr:uid="{00000000-0005-0000-0000-0000A5610000}"/>
    <cellStyle name="Normal 8 12 2 2 2" xfId="24995" xr:uid="{00000000-0005-0000-0000-0000A6610000}"/>
    <cellStyle name="Normal 8 12 2 2 3" xfId="24996" xr:uid="{00000000-0005-0000-0000-0000A7610000}"/>
    <cellStyle name="Normal 8 12 2 3" xfId="24997" xr:uid="{00000000-0005-0000-0000-0000A8610000}"/>
    <cellStyle name="Normal 8 12 2 3 2" xfId="24998" xr:uid="{00000000-0005-0000-0000-0000A9610000}"/>
    <cellStyle name="Normal 8 12 2 3 3" xfId="24999" xr:uid="{00000000-0005-0000-0000-0000AA610000}"/>
    <cellStyle name="Normal 8 12 2 4" xfId="25000" xr:uid="{00000000-0005-0000-0000-0000AB610000}"/>
    <cellStyle name="Normal 8 12 2 5" xfId="25001" xr:uid="{00000000-0005-0000-0000-0000AC610000}"/>
    <cellStyle name="Normal 8 12 2 6" xfId="25002" xr:uid="{00000000-0005-0000-0000-0000AD610000}"/>
    <cellStyle name="Normal 8 12 3" xfId="25003" xr:uid="{00000000-0005-0000-0000-0000AE610000}"/>
    <cellStyle name="Normal 8 12 3 2" xfId="25004" xr:uid="{00000000-0005-0000-0000-0000AF610000}"/>
    <cellStyle name="Normal 8 12 3 3" xfId="25005" xr:uid="{00000000-0005-0000-0000-0000B0610000}"/>
    <cellStyle name="Normal 8 12 4" xfId="25006" xr:uid="{00000000-0005-0000-0000-0000B1610000}"/>
    <cellStyle name="Normal 8 12 4 2" xfId="25007" xr:uid="{00000000-0005-0000-0000-0000B2610000}"/>
    <cellStyle name="Normal 8 12 4 3" xfId="25008" xr:uid="{00000000-0005-0000-0000-0000B3610000}"/>
    <cellStyle name="Normal 8 12 5" xfId="25009" xr:uid="{00000000-0005-0000-0000-0000B4610000}"/>
    <cellStyle name="Normal 8 12 6" xfId="25010" xr:uid="{00000000-0005-0000-0000-0000B5610000}"/>
    <cellStyle name="Normal 8 12 7" xfId="25011" xr:uid="{00000000-0005-0000-0000-0000B6610000}"/>
    <cellStyle name="Normal 8 13" xfId="25012" xr:uid="{00000000-0005-0000-0000-0000B7610000}"/>
    <cellStyle name="Normal 8 13 2" xfId="25013" xr:uid="{00000000-0005-0000-0000-0000B8610000}"/>
    <cellStyle name="Normal 8 13 2 2" xfId="25014" xr:uid="{00000000-0005-0000-0000-0000B9610000}"/>
    <cellStyle name="Normal 8 13 2 2 2" xfId="25015" xr:uid="{00000000-0005-0000-0000-0000BA610000}"/>
    <cellStyle name="Normal 8 13 2 2 3" xfId="25016" xr:uid="{00000000-0005-0000-0000-0000BB610000}"/>
    <cellStyle name="Normal 8 13 2 3" xfId="25017" xr:uid="{00000000-0005-0000-0000-0000BC610000}"/>
    <cellStyle name="Normal 8 13 2 3 2" xfId="25018" xr:uid="{00000000-0005-0000-0000-0000BD610000}"/>
    <cellStyle name="Normal 8 13 2 3 3" xfId="25019" xr:uid="{00000000-0005-0000-0000-0000BE610000}"/>
    <cellStyle name="Normal 8 13 2 4" xfId="25020" xr:uid="{00000000-0005-0000-0000-0000BF610000}"/>
    <cellStyle name="Normal 8 13 2 5" xfId="25021" xr:uid="{00000000-0005-0000-0000-0000C0610000}"/>
    <cellStyle name="Normal 8 13 2 6" xfId="25022" xr:uid="{00000000-0005-0000-0000-0000C1610000}"/>
    <cellStyle name="Normal 8 13 3" xfId="25023" xr:uid="{00000000-0005-0000-0000-0000C2610000}"/>
    <cellStyle name="Normal 8 13 3 2" xfId="25024" xr:uid="{00000000-0005-0000-0000-0000C3610000}"/>
    <cellStyle name="Normal 8 13 3 3" xfId="25025" xr:uid="{00000000-0005-0000-0000-0000C4610000}"/>
    <cellStyle name="Normal 8 13 4" xfId="25026" xr:uid="{00000000-0005-0000-0000-0000C5610000}"/>
    <cellStyle name="Normal 8 13 4 2" xfId="25027" xr:uid="{00000000-0005-0000-0000-0000C6610000}"/>
    <cellStyle name="Normal 8 13 4 3" xfId="25028" xr:uid="{00000000-0005-0000-0000-0000C7610000}"/>
    <cellStyle name="Normal 8 13 5" xfId="25029" xr:uid="{00000000-0005-0000-0000-0000C8610000}"/>
    <cellStyle name="Normal 8 13 6" xfId="25030" xr:uid="{00000000-0005-0000-0000-0000C9610000}"/>
    <cellStyle name="Normal 8 13 7" xfId="25031" xr:uid="{00000000-0005-0000-0000-0000CA610000}"/>
    <cellStyle name="Normal 8 14" xfId="25032" xr:uid="{00000000-0005-0000-0000-0000CB610000}"/>
    <cellStyle name="Normal 8 14 2" xfId="25033" xr:uid="{00000000-0005-0000-0000-0000CC610000}"/>
    <cellStyle name="Normal 8 14 2 2" xfId="25034" xr:uid="{00000000-0005-0000-0000-0000CD610000}"/>
    <cellStyle name="Normal 8 14 2 2 2" xfId="25035" xr:uid="{00000000-0005-0000-0000-0000CE610000}"/>
    <cellStyle name="Normal 8 14 2 2 3" xfId="25036" xr:uid="{00000000-0005-0000-0000-0000CF610000}"/>
    <cellStyle name="Normal 8 14 2 3" xfId="25037" xr:uid="{00000000-0005-0000-0000-0000D0610000}"/>
    <cellStyle name="Normal 8 14 2 3 2" xfId="25038" xr:uid="{00000000-0005-0000-0000-0000D1610000}"/>
    <cellStyle name="Normal 8 14 2 3 3" xfId="25039" xr:uid="{00000000-0005-0000-0000-0000D2610000}"/>
    <cellStyle name="Normal 8 14 2 4" xfId="25040" xr:uid="{00000000-0005-0000-0000-0000D3610000}"/>
    <cellStyle name="Normal 8 14 2 5" xfId="25041" xr:uid="{00000000-0005-0000-0000-0000D4610000}"/>
    <cellStyle name="Normal 8 14 2 6" xfId="25042" xr:uid="{00000000-0005-0000-0000-0000D5610000}"/>
    <cellStyle name="Normal 8 14 3" xfId="25043" xr:uid="{00000000-0005-0000-0000-0000D6610000}"/>
    <cellStyle name="Normal 8 14 3 2" xfId="25044" xr:uid="{00000000-0005-0000-0000-0000D7610000}"/>
    <cellStyle name="Normal 8 14 3 3" xfId="25045" xr:uid="{00000000-0005-0000-0000-0000D8610000}"/>
    <cellStyle name="Normal 8 14 4" xfId="25046" xr:uid="{00000000-0005-0000-0000-0000D9610000}"/>
    <cellStyle name="Normal 8 14 4 2" xfId="25047" xr:uid="{00000000-0005-0000-0000-0000DA610000}"/>
    <cellStyle name="Normal 8 14 4 3" xfId="25048" xr:uid="{00000000-0005-0000-0000-0000DB610000}"/>
    <cellStyle name="Normal 8 14 5" xfId="25049" xr:uid="{00000000-0005-0000-0000-0000DC610000}"/>
    <cellStyle name="Normal 8 14 6" xfId="25050" xr:uid="{00000000-0005-0000-0000-0000DD610000}"/>
    <cellStyle name="Normal 8 14 7" xfId="25051" xr:uid="{00000000-0005-0000-0000-0000DE610000}"/>
    <cellStyle name="Normal 8 15" xfId="25052" xr:uid="{00000000-0005-0000-0000-0000DF610000}"/>
    <cellStyle name="Normal 8 15 2" xfId="25053" xr:uid="{00000000-0005-0000-0000-0000E0610000}"/>
    <cellStyle name="Normal 8 15 2 2" xfId="25054" xr:uid="{00000000-0005-0000-0000-0000E1610000}"/>
    <cellStyle name="Normal 8 15 2 2 2" xfId="25055" xr:uid="{00000000-0005-0000-0000-0000E2610000}"/>
    <cellStyle name="Normal 8 15 2 2 3" xfId="25056" xr:uid="{00000000-0005-0000-0000-0000E3610000}"/>
    <cellStyle name="Normal 8 15 2 3" xfId="25057" xr:uid="{00000000-0005-0000-0000-0000E4610000}"/>
    <cellStyle name="Normal 8 15 2 3 2" xfId="25058" xr:uid="{00000000-0005-0000-0000-0000E5610000}"/>
    <cellStyle name="Normal 8 15 2 3 3" xfId="25059" xr:uid="{00000000-0005-0000-0000-0000E6610000}"/>
    <cellStyle name="Normal 8 15 2 4" xfId="25060" xr:uid="{00000000-0005-0000-0000-0000E7610000}"/>
    <cellStyle name="Normal 8 15 2 5" xfId="25061" xr:uid="{00000000-0005-0000-0000-0000E8610000}"/>
    <cellStyle name="Normal 8 15 2 6" xfId="25062" xr:uid="{00000000-0005-0000-0000-0000E9610000}"/>
    <cellStyle name="Normal 8 15 3" xfId="25063" xr:uid="{00000000-0005-0000-0000-0000EA610000}"/>
    <cellStyle name="Normal 8 15 3 2" xfId="25064" xr:uid="{00000000-0005-0000-0000-0000EB610000}"/>
    <cellStyle name="Normal 8 15 3 3" xfId="25065" xr:uid="{00000000-0005-0000-0000-0000EC610000}"/>
    <cellStyle name="Normal 8 15 4" xfId="25066" xr:uid="{00000000-0005-0000-0000-0000ED610000}"/>
    <cellStyle name="Normal 8 15 4 2" xfId="25067" xr:uid="{00000000-0005-0000-0000-0000EE610000}"/>
    <cellStyle name="Normal 8 15 4 3" xfId="25068" xr:uid="{00000000-0005-0000-0000-0000EF610000}"/>
    <cellStyle name="Normal 8 15 5" xfId="25069" xr:uid="{00000000-0005-0000-0000-0000F0610000}"/>
    <cellStyle name="Normal 8 15 6" xfId="25070" xr:uid="{00000000-0005-0000-0000-0000F1610000}"/>
    <cellStyle name="Normal 8 15 7" xfId="25071" xr:uid="{00000000-0005-0000-0000-0000F2610000}"/>
    <cellStyle name="Normal 8 16" xfId="25072" xr:uid="{00000000-0005-0000-0000-0000F3610000}"/>
    <cellStyle name="Normal 8 16 2" xfId="25073" xr:uid="{00000000-0005-0000-0000-0000F4610000}"/>
    <cellStyle name="Normal 8 16 2 2" xfId="25074" xr:uid="{00000000-0005-0000-0000-0000F5610000}"/>
    <cellStyle name="Normal 8 16 2 2 2" xfId="25075" xr:uid="{00000000-0005-0000-0000-0000F6610000}"/>
    <cellStyle name="Normal 8 16 2 2 3" xfId="25076" xr:uid="{00000000-0005-0000-0000-0000F7610000}"/>
    <cellStyle name="Normal 8 16 2 3" xfId="25077" xr:uid="{00000000-0005-0000-0000-0000F8610000}"/>
    <cellStyle name="Normal 8 16 2 3 2" xfId="25078" xr:uid="{00000000-0005-0000-0000-0000F9610000}"/>
    <cellStyle name="Normal 8 16 2 3 3" xfId="25079" xr:uid="{00000000-0005-0000-0000-0000FA610000}"/>
    <cellStyle name="Normal 8 16 2 4" xfId="25080" xr:uid="{00000000-0005-0000-0000-0000FB610000}"/>
    <cellStyle name="Normal 8 16 2 5" xfId="25081" xr:uid="{00000000-0005-0000-0000-0000FC610000}"/>
    <cellStyle name="Normal 8 16 2 6" xfId="25082" xr:uid="{00000000-0005-0000-0000-0000FD610000}"/>
    <cellStyle name="Normal 8 16 3" xfId="25083" xr:uid="{00000000-0005-0000-0000-0000FE610000}"/>
    <cellStyle name="Normal 8 16 3 2" xfId="25084" xr:uid="{00000000-0005-0000-0000-0000FF610000}"/>
    <cellStyle name="Normal 8 16 3 3" xfId="25085" xr:uid="{00000000-0005-0000-0000-000000620000}"/>
    <cellStyle name="Normal 8 16 4" xfId="25086" xr:uid="{00000000-0005-0000-0000-000001620000}"/>
    <cellStyle name="Normal 8 16 4 2" xfId="25087" xr:uid="{00000000-0005-0000-0000-000002620000}"/>
    <cellStyle name="Normal 8 16 4 3" xfId="25088" xr:uid="{00000000-0005-0000-0000-000003620000}"/>
    <cellStyle name="Normal 8 16 5" xfId="25089" xr:uid="{00000000-0005-0000-0000-000004620000}"/>
    <cellStyle name="Normal 8 16 6" xfId="25090" xr:uid="{00000000-0005-0000-0000-000005620000}"/>
    <cellStyle name="Normal 8 16 7" xfId="25091" xr:uid="{00000000-0005-0000-0000-000006620000}"/>
    <cellStyle name="Normal 8 17" xfId="25092" xr:uid="{00000000-0005-0000-0000-000007620000}"/>
    <cellStyle name="Normal 8 17 2" xfId="25093" xr:uid="{00000000-0005-0000-0000-000008620000}"/>
    <cellStyle name="Normal 8 17 2 2" xfId="25094" xr:uid="{00000000-0005-0000-0000-000009620000}"/>
    <cellStyle name="Normal 8 17 2 2 2" xfId="25095" xr:uid="{00000000-0005-0000-0000-00000A620000}"/>
    <cellStyle name="Normal 8 17 2 2 3" xfId="25096" xr:uid="{00000000-0005-0000-0000-00000B620000}"/>
    <cellStyle name="Normal 8 17 2 3" xfId="25097" xr:uid="{00000000-0005-0000-0000-00000C620000}"/>
    <cellStyle name="Normal 8 17 2 3 2" xfId="25098" xr:uid="{00000000-0005-0000-0000-00000D620000}"/>
    <cellStyle name="Normal 8 17 2 3 3" xfId="25099" xr:uid="{00000000-0005-0000-0000-00000E620000}"/>
    <cellStyle name="Normal 8 17 2 4" xfId="25100" xr:uid="{00000000-0005-0000-0000-00000F620000}"/>
    <cellStyle name="Normal 8 17 2 5" xfId="25101" xr:uid="{00000000-0005-0000-0000-000010620000}"/>
    <cellStyle name="Normal 8 17 2 6" xfId="25102" xr:uid="{00000000-0005-0000-0000-000011620000}"/>
    <cellStyle name="Normal 8 17 3" xfId="25103" xr:uid="{00000000-0005-0000-0000-000012620000}"/>
    <cellStyle name="Normal 8 17 3 2" xfId="25104" xr:uid="{00000000-0005-0000-0000-000013620000}"/>
    <cellStyle name="Normal 8 17 3 3" xfId="25105" xr:uid="{00000000-0005-0000-0000-000014620000}"/>
    <cellStyle name="Normal 8 17 4" xfId="25106" xr:uid="{00000000-0005-0000-0000-000015620000}"/>
    <cellStyle name="Normal 8 17 4 2" xfId="25107" xr:uid="{00000000-0005-0000-0000-000016620000}"/>
    <cellStyle name="Normal 8 17 4 3" xfId="25108" xr:uid="{00000000-0005-0000-0000-000017620000}"/>
    <cellStyle name="Normal 8 17 5" xfId="25109" xr:uid="{00000000-0005-0000-0000-000018620000}"/>
    <cellStyle name="Normal 8 17 6" xfId="25110" xr:uid="{00000000-0005-0000-0000-000019620000}"/>
    <cellStyle name="Normal 8 17 7" xfId="25111" xr:uid="{00000000-0005-0000-0000-00001A620000}"/>
    <cellStyle name="Normal 8 18" xfId="25112" xr:uid="{00000000-0005-0000-0000-00001B620000}"/>
    <cellStyle name="Normal 8 18 2" xfId="25113" xr:uid="{00000000-0005-0000-0000-00001C620000}"/>
    <cellStyle name="Normal 8 18 2 2" xfId="25114" xr:uid="{00000000-0005-0000-0000-00001D620000}"/>
    <cellStyle name="Normal 8 18 2 2 2" xfId="25115" xr:uid="{00000000-0005-0000-0000-00001E620000}"/>
    <cellStyle name="Normal 8 18 2 2 3" xfId="25116" xr:uid="{00000000-0005-0000-0000-00001F620000}"/>
    <cellStyle name="Normal 8 18 2 3" xfId="25117" xr:uid="{00000000-0005-0000-0000-000020620000}"/>
    <cellStyle name="Normal 8 18 2 3 2" xfId="25118" xr:uid="{00000000-0005-0000-0000-000021620000}"/>
    <cellStyle name="Normal 8 18 2 3 3" xfId="25119" xr:uid="{00000000-0005-0000-0000-000022620000}"/>
    <cellStyle name="Normal 8 18 2 4" xfId="25120" xr:uid="{00000000-0005-0000-0000-000023620000}"/>
    <cellStyle name="Normal 8 18 2 5" xfId="25121" xr:uid="{00000000-0005-0000-0000-000024620000}"/>
    <cellStyle name="Normal 8 18 2 6" xfId="25122" xr:uid="{00000000-0005-0000-0000-000025620000}"/>
    <cellStyle name="Normal 8 18 3" xfId="25123" xr:uid="{00000000-0005-0000-0000-000026620000}"/>
    <cellStyle name="Normal 8 18 3 2" xfId="25124" xr:uid="{00000000-0005-0000-0000-000027620000}"/>
    <cellStyle name="Normal 8 18 3 3" xfId="25125" xr:uid="{00000000-0005-0000-0000-000028620000}"/>
    <cellStyle name="Normal 8 18 4" xfId="25126" xr:uid="{00000000-0005-0000-0000-000029620000}"/>
    <cellStyle name="Normal 8 18 4 2" xfId="25127" xr:uid="{00000000-0005-0000-0000-00002A620000}"/>
    <cellStyle name="Normal 8 18 4 3" xfId="25128" xr:uid="{00000000-0005-0000-0000-00002B620000}"/>
    <cellStyle name="Normal 8 18 5" xfId="25129" xr:uid="{00000000-0005-0000-0000-00002C620000}"/>
    <cellStyle name="Normal 8 18 6" xfId="25130" xr:uid="{00000000-0005-0000-0000-00002D620000}"/>
    <cellStyle name="Normal 8 18 7" xfId="25131" xr:uid="{00000000-0005-0000-0000-00002E620000}"/>
    <cellStyle name="Normal 8 19" xfId="25132" xr:uid="{00000000-0005-0000-0000-00002F620000}"/>
    <cellStyle name="Normal 8 19 2" xfId="25133" xr:uid="{00000000-0005-0000-0000-000030620000}"/>
    <cellStyle name="Normal 8 19 2 2" xfId="25134" xr:uid="{00000000-0005-0000-0000-000031620000}"/>
    <cellStyle name="Normal 8 19 2 2 2" xfId="25135" xr:uid="{00000000-0005-0000-0000-000032620000}"/>
    <cellStyle name="Normal 8 19 2 2 3" xfId="25136" xr:uid="{00000000-0005-0000-0000-000033620000}"/>
    <cellStyle name="Normal 8 19 2 3" xfId="25137" xr:uid="{00000000-0005-0000-0000-000034620000}"/>
    <cellStyle name="Normal 8 19 2 3 2" xfId="25138" xr:uid="{00000000-0005-0000-0000-000035620000}"/>
    <cellStyle name="Normal 8 19 2 3 3" xfId="25139" xr:uid="{00000000-0005-0000-0000-000036620000}"/>
    <cellStyle name="Normal 8 19 2 4" xfId="25140" xr:uid="{00000000-0005-0000-0000-000037620000}"/>
    <cellStyle name="Normal 8 19 2 5" xfId="25141" xr:uid="{00000000-0005-0000-0000-000038620000}"/>
    <cellStyle name="Normal 8 19 2 6" xfId="25142" xr:uid="{00000000-0005-0000-0000-000039620000}"/>
    <cellStyle name="Normal 8 19 3" xfId="25143" xr:uid="{00000000-0005-0000-0000-00003A620000}"/>
    <cellStyle name="Normal 8 19 3 2" xfId="25144" xr:uid="{00000000-0005-0000-0000-00003B620000}"/>
    <cellStyle name="Normal 8 19 3 3" xfId="25145" xr:uid="{00000000-0005-0000-0000-00003C620000}"/>
    <cellStyle name="Normal 8 19 4" xfId="25146" xr:uid="{00000000-0005-0000-0000-00003D620000}"/>
    <cellStyle name="Normal 8 19 4 2" xfId="25147" xr:uid="{00000000-0005-0000-0000-00003E620000}"/>
    <cellStyle name="Normal 8 19 4 3" xfId="25148" xr:uid="{00000000-0005-0000-0000-00003F620000}"/>
    <cellStyle name="Normal 8 19 5" xfId="25149" xr:uid="{00000000-0005-0000-0000-000040620000}"/>
    <cellStyle name="Normal 8 19 6" xfId="25150" xr:uid="{00000000-0005-0000-0000-000041620000}"/>
    <cellStyle name="Normal 8 19 7" xfId="25151" xr:uid="{00000000-0005-0000-0000-000042620000}"/>
    <cellStyle name="Normal 8 2" xfId="25152" xr:uid="{00000000-0005-0000-0000-000043620000}"/>
    <cellStyle name="Normal 8 2 2" xfId="25153" xr:uid="{00000000-0005-0000-0000-000044620000}"/>
    <cellStyle name="Normal 8 2 2 2" xfId="25154" xr:uid="{00000000-0005-0000-0000-000045620000}"/>
    <cellStyle name="Normal 8 2 2 2 2" xfId="25155" xr:uid="{00000000-0005-0000-0000-000046620000}"/>
    <cellStyle name="Normal 8 2 2 2 3" xfId="25156" xr:uid="{00000000-0005-0000-0000-000047620000}"/>
    <cellStyle name="Normal 8 2 2 3" xfId="25157" xr:uid="{00000000-0005-0000-0000-000048620000}"/>
    <cellStyle name="Normal 8 2 2 3 2" xfId="25158" xr:uid="{00000000-0005-0000-0000-000049620000}"/>
    <cellStyle name="Normal 8 2 2 3 3" xfId="25159" xr:uid="{00000000-0005-0000-0000-00004A620000}"/>
    <cellStyle name="Normal 8 2 2 4" xfId="25160" xr:uid="{00000000-0005-0000-0000-00004B620000}"/>
    <cellStyle name="Normal 8 2 2 5" xfId="25161" xr:uid="{00000000-0005-0000-0000-00004C620000}"/>
    <cellStyle name="Normal 8 2 2 6" xfId="25162" xr:uid="{00000000-0005-0000-0000-00004D620000}"/>
    <cellStyle name="Normal 8 2 3" xfId="25163" xr:uid="{00000000-0005-0000-0000-00004E620000}"/>
    <cellStyle name="Normal 8 2 3 2" xfId="25164" xr:uid="{00000000-0005-0000-0000-00004F620000}"/>
    <cellStyle name="Normal 8 2 3 3" xfId="25165" xr:uid="{00000000-0005-0000-0000-000050620000}"/>
    <cellStyle name="Normal 8 2 4" xfId="25166" xr:uid="{00000000-0005-0000-0000-000051620000}"/>
    <cellStyle name="Normal 8 2 4 2" xfId="25167" xr:uid="{00000000-0005-0000-0000-000052620000}"/>
    <cellStyle name="Normal 8 2 4 3" xfId="25168" xr:uid="{00000000-0005-0000-0000-000053620000}"/>
    <cellStyle name="Normal 8 2 5" xfId="25169" xr:uid="{00000000-0005-0000-0000-000054620000}"/>
    <cellStyle name="Normal 8 2 6" xfId="25170" xr:uid="{00000000-0005-0000-0000-000055620000}"/>
    <cellStyle name="Normal 8 2 7" xfId="25171" xr:uid="{00000000-0005-0000-0000-000056620000}"/>
    <cellStyle name="Normal 8 20" xfId="25172" xr:uid="{00000000-0005-0000-0000-000057620000}"/>
    <cellStyle name="Normal 8 20 2" xfId="25173" xr:uid="{00000000-0005-0000-0000-000058620000}"/>
    <cellStyle name="Normal 8 20 2 2" xfId="25174" xr:uid="{00000000-0005-0000-0000-000059620000}"/>
    <cellStyle name="Normal 8 20 2 2 2" xfId="25175" xr:uid="{00000000-0005-0000-0000-00005A620000}"/>
    <cellStyle name="Normal 8 20 2 2 3" xfId="25176" xr:uid="{00000000-0005-0000-0000-00005B620000}"/>
    <cellStyle name="Normal 8 20 2 3" xfId="25177" xr:uid="{00000000-0005-0000-0000-00005C620000}"/>
    <cellStyle name="Normal 8 20 2 3 2" xfId="25178" xr:uid="{00000000-0005-0000-0000-00005D620000}"/>
    <cellStyle name="Normal 8 20 2 3 3" xfId="25179" xr:uid="{00000000-0005-0000-0000-00005E620000}"/>
    <cellStyle name="Normal 8 20 2 4" xfId="25180" xr:uid="{00000000-0005-0000-0000-00005F620000}"/>
    <cellStyle name="Normal 8 20 2 5" xfId="25181" xr:uid="{00000000-0005-0000-0000-000060620000}"/>
    <cellStyle name="Normal 8 20 2 6" xfId="25182" xr:uid="{00000000-0005-0000-0000-000061620000}"/>
    <cellStyle name="Normal 8 20 3" xfId="25183" xr:uid="{00000000-0005-0000-0000-000062620000}"/>
    <cellStyle name="Normal 8 20 3 2" xfId="25184" xr:uid="{00000000-0005-0000-0000-000063620000}"/>
    <cellStyle name="Normal 8 20 3 3" xfId="25185" xr:uid="{00000000-0005-0000-0000-000064620000}"/>
    <cellStyle name="Normal 8 20 4" xfId="25186" xr:uid="{00000000-0005-0000-0000-000065620000}"/>
    <cellStyle name="Normal 8 20 4 2" xfId="25187" xr:uid="{00000000-0005-0000-0000-000066620000}"/>
    <cellStyle name="Normal 8 20 4 3" xfId="25188" xr:uid="{00000000-0005-0000-0000-000067620000}"/>
    <cellStyle name="Normal 8 20 5" xfId="25189" xr:uid="{00000000-0005-0000-0000-000068620000}"/>
    <cellStyle name="Normal 8 20 6" xfId="25190" xr:uid="{00000000-0005-0000-0000-000069620000}"/>
    <cellStyle name="Normal 8 20 7" xfId="25191" xr:uid="{00000000-0005-0000-0000-00006A620000}"/>
    <cellStyle name="Normal 8 21" xfId="25192" xr:uid="{00000000-0005-0000-0000-00006B620000}"/>
    <cellStyle name="Normal 8 21 2" xfId="25193" xr:uid="{00000000-0005-0000-0000-00006C620000}"/>
    <cellStyle name="Normal 8 21 2 2" xfId="25194" xr:uid="{00000000-0005-0000-0000-00006D620000}"/>
    <cellStyle name="Normal 8 21 2 3" xfId="25195" xr:uid="{00000000-0005-0000-0000-00006E620000}"/>
    <cellStyle name="Normal 8 21 3" xfId="25196" xr:uid="{00000000-0005-0000-0000-00006F620000}"/>
    <cellStyle name="Normal 8 21 3 2" xfId="25197" xr:uid="{00000000-0005-0000-0000-000070620000}"/>
    <cellStyle name="Normal 8 21 3 3" xfId="25198" xr:uid="{00000000-0005-0000-0000-000071620000}"/>
    <cellStyle name="Normal 8 21 4" xfId="25199" xr:uid="{00000000-0005-0000-0000-000072620000}"/>
    <cellStyle name="Normal 8 21 5" xfId="25200" xr:uid="{00000000-0005-0000-0000-000073620000}"/>
    <cellStyle name="Normal 8 21 6" xfId="25201" xr:uid="{00000000-0005-0000-0000-000074620000}"/>
    <cellStyle name="Normal 8 22" xfId="25202" xr:uid="{00000000-0005-0000-0000-000075620000}"/>
    <cellStyle name="Normal 8 22 2" xfId="25203" xr:uid="{00000000-0005-0000-0000-000076620000}"/>
    <cellStyle name="Normal 8 22 3" xfId="25204" xr:uid="{00000000-0005-0000-0000-000077620000}"/>
    <cellStyle name="Normal 8 23" xfId="25205" xr:uid="{00000000-0005-0000-0000-000078620000}"/>
    <cellStyle name="Normal 8 23 2" xfId="25206" xr:uid="{00000000-0005-0000-0000-000079620000}"/>
    <cellStyle name="Normal 8 23 3" xfId="25207" xr:uid="{00000000-0005-0000-0000-00007A620000}"/>
    <cellStyle name="Normal 8 24" xfId="25208" xr:uid="{00000000-0005-0000-0000-00007B620000}"/>
    <cellStyle name="Normal 8 24 2" xfId="25209" xr:uid="{00000000-0005-0000-0000-00007C620000}"/>
    <cellStyle name="Normal 8 24 3" xfId="25210" xr:uid="{00000000-0005-0000-0000-00007D620000}"/>
    <cellStyle name="Normal 8 25" xfId="25211" xr:uid="{00000000-0005-0000-0000-00007E620000}"/>
    <cellStyle name="Normal 8 26" xfId="25212" xr:uid="{00000000-0005-0000-0000-00007F620000}"/>
    <cellStyle name="Normal 8 27" xfId="25213" xr:uid="{00000000-0005-0000-0000-000080620000}"/>
    <cellStyle name="Normal 8 28" xfId="25214" xr:uid="{00000000-0005-0000-0000-000081620000}"/>
    <cellStyle name="Normal 8 3" xfId="25215" xr:uid="{00000000-0005-0000-0000-000082620000}"/>
    <cellStyle name="Normal 8 3 2" xfId="25216" xr:uid="{00000000-0005-0000-0000-000083620000}"/>
    <cellStyle name="Normal 8 3 2 2" xfId="25217" xr:uid="{00000000-0005-0000-0000-000084620000}"/>
    <cellStyle name="Normal 8 3 2 2 2" xfId="25218" xr:uid="{00000000-0005-0000-0000-000085620000}"/>
    <cellStyle name="Normal 8 3 2 2 3" xfId="25219" xr:uid="{00000000-0005-0000-0000-000086620000}"/>
    <cellStyle name="Normal 8 3 2 3" xfId="25220" xr:uid="{00000000-0005-0000-0000-000087620000}"/>
    <cellStyle name="Normal 8 3 2 3 2" xfId="25221" xr:uid="{00000000-0005-0000-0000-000088620000}"/>
    <cellStyle name="Normal 8 3 2 3 3" xfId="25222" xr:uid="{00000000-0005-0000-0000-000089620000}"/>
    <cellStyle name="Normal 8 3 2 4" xfId="25223" xr:uid="{00000000-0005-0000-0000-00008A620000}"/>
    <cellStyle name="Normal 8 3 2 5" xfId="25224" xr:uid="{00000000-0005-0000-0000-00008B620000}"/>
    <cellStyle name="Normal 8 3 2 6" xfId="25225" xr:uid="{00000000-0005-0000-0000-00008C620000}"/>
    <cellStyle name="Normal 8 3 3" xfId="25226" xr:uid="{00000000-0005-0000-0000-00008D620000}"/>
    <cellStyle name="Normal 8 3 3 2" xfId="25227" xr:uid="{00000000-0005-0000-0000-00008E620000}"/>
    <cellStyle name="Normal 8 3 3 3" xfId="25228" xr:uid="{00000000-0005-0000-0000-00008F620000}"/>
    <cellStyle name="Normal 8 3 4" xfId="25229" xr:uid="{00000000-0005-0000-0000-000090620000}"/>
    <cellStyle name="Normal 8 3 4 2" xfId="25230" xr:uid="{00000000-0005-0000-0000-000091620000}"/>
    <cellStyle name="Normal 8 3 4 3" xfId="25231" xr:uid="{00000000-0005-0000-0000-000092620000}"/>
    <cellStyle name="Normal 8 3 5" xfId="25232" xr:uid="{00000000-0005-0000-0000-000093620000}"/>
    <cellStyle name="Normal 8 3 6" xfId="25233" xr:uid="{00000000-0005-0000-0000-000094620000}"/>
    <cellStyle name="Normal 8 3 7" xfId="25234" xr:uid="{00000000-0005-0000-0000-000095620000}"/>
    <cellStyle name="Normal 8 4" xfId="25235" xr:uid="{00000000-0005-0000-0000-000096620000}"/>
    <cellStyle name="Normal 8 4 2" xfId="25236" xr:uid="{00000000-0005-0000-0000-000097620000}"/>
    <cellStyle name="Normal 8 4 2 2" xfId="25237" xr:uid="{00000000-0005-0000-0000-000098620000}"/>
    <cellStyle name="Normal 8 4 2 2 2" xfId="25238" xr:uid="{00000000-0005-0000-0000-000099620000}"/>
    <cellStyle name="Normal 8 4 2 2 3" xfId="25239" xr:uid="{00000000-0005-0000-0000-00009A620000}"/>
    <cellStyle name="Normal 8 4 2 3" xfId="25240" xr:uid="{00000000-0005-0000-0000-00009B620000}"/>
    <cellStyle name="Normal 8 4 2 3 2" xfId="25241" xr:uid="{00000000-0005-0000-0000-00009C620000}"/>
    <cellStyle name="Normal 8 4 2 3 3" xfId="25242" xr:uid="{00000000-0005-0000-0000-00009D620000}"/>
    <cellStyle name="Normal 8 4 2 4" xfId="25243" xr:uid="{00000000-0005-0000-0000-00009E620000}"/>
    <cellStyle name="Normal 8 4 2 5" xfId="25244" xr:uid="{00000000-0005-0000-0000-00009F620000}"/>
    <cellStyle name="Normal 8 4 2 6" xfId="25245" xr:uid="{00000000-0005-0000-0000-0000A0620000}"/>
    <cellStyle name="Normal 8 4 3" xfId="25246" xr:uid="{00000000-0005-0000-0000-0000A1620000}"/>
    <cellStyle name="Normal 8 4 3 2" xfId="25247" xr:uid="{00000000-0005-0000-0000-0000A2620000}"/>
    <cellStyle name="Normal 8 4 3 3" xfId="25248" xr:uid="{00000000-0005-0000-0000-0000A3620000}"/>
    <cellStyle name="Normal 8 4 4" xfId="25249" xr:uid="{00000000-0005-0000-0000-0000A4620000}"/>
    <cellStyle name="Normal 8 4 4 2" xfId="25250" xr:uid="{00000000-0005-0000-0000-0000A5620000}"/>
    <cellStyle name="Normal 8 4 4 3" xfId="25251" xr:uid="{00000000-0005-0000-0000-0000A6620000}"/>
    <cellStyle name="Normal 8 4 5" xfId="25252" xr:uid="{00000000-0005-0000-0000-0000A7620000}"/>
    <cellStyle name="Normal 8 4 6" xfId="25253" xr:uid="{00000000-0005-0000-0000-0000A8620000}"/>
    <cellStyle name="Normal 8 4 7" xfId="25254" xr:uid="{00000000-0005-0000-0000-0000A9620000}"/>
    <cellStyle name="Normal 8 5" xfId="25255" xr:uid="{00000000-0005-0000-0000-0000AA620000}"/>
    <cellStyle name="Normal 8 5 2" xfId="25256" xr:uid="{00000000-0005-0000-0000-0000AB620000}"/>
    <cellStyle name="Normal 8 5 2 2" xfId="25257" xr:uid="{00000000-0005-0000-0000-0000AC620000}"/>
    <cellStyle name="Normal 8 5 2 2 2" xfId="25258" xr:uid="{00000000-0005-0000-0000-0000AD620000}"/>
    <cellStyle name="Normal 8 5 2 2 3" xfId="25259" xr:uid="{00000000-0005-0000-0000-0000AE620000}"/>
    <cellStyle name="Normal 8 5 2 3" xfId="25260" xr:uid="{00000000-0005-0000-0000-0000AF620000}"/>
    <cellStyle name="Normal 8 5 2 3 2" xfId="25261" xr:uid="{00000000-0005-0000-0000-0000B0620000}"/>
    <cellStyle name="Normal 8 5 2 3 3" xfId="25262" xr:uid="{00000000-0005-0000-0000-0000B1620000}"/>
    <cellStyle name="Normal 8 5 2 4" xfId="25263" xr:uid="{00000000-0005-0000-0000-0000B2620000}"/>
    <cellStyle name="Normal 8 5 2 5" xfId="25264" xr:uid="{00000000-0005-0000-0000-0000B3620000}"/>
    <cellStyle name="Normal 8 5 2 6" xfId="25265" xr:uid="{00000000-0005-0000-0000-0000B4620000}"/>
    <cellStyle name="Normal 8 5 3" xfId="25266" xr:uid="{00000000-0005-0000-0000-0000B5620000}"/>
    <cellStyle name="Normal 8 5 3 2" xfId="25267" xr:uid="{00000000-0005-0000-0000-0000B6620000}"/>
    <cellStyle name="Normal 8 5 3 3" xfId="25268" xr:uid="{00000000-0005-0000-0000-0000B7620000}"/>
    <cellStyle name="Normal 8 5 4" xfId="25269" xr:uid="{00000000-0005-0000-0000-0000B8620000}"/>
    <cellStyle name="Normal 8 5 4 2" xfId="25270" xr:uid="{00000000-0005-0000-0000-0000B9620000}"/>
    <cellStyle name="Normal 8 5 4 3" xfId="25271" xr:uid="{00000000-0005-0000-0000-0000BA620000}"/>
    <cellStyle name="Normal 8 5 5" xfId="25272" xr:uid="{00000000-0005-0000-0000-0000BB620000}"/>
    <cellStyle name="Normal 8 5 6" xfId="25273" xr:uid="{00000000-0005-0000-0000-0000BC620000}"/>
    <cellStyle name="Normal 8 5 7" xfId="25274" xr:uid="{00000000-0005-0000-0000-0000BD620000}"/>
    <cellStyle name="Normal 8 6" xfId="25275" xr:uid="{00000000-0005-0000-0000-0000BE620000}"/>
    <cellStyle name="Normal 8 6 2" xfId="25276" xr:uid="{00000000-0005-0000-0000-0000BF620000}"/>
    <cellStyle name="Normal 8 6 2 2" xfId="25277" xr:uid="{00000000-0005-0000-0000-0000C0620000}"/>
    <cellStyle name="Normal 8 6 2 2 2" xfId="25278" xr:uid="{00000000-0005-0000-0000-0000C1620000}"/>
    <cellStyle name="Normal 8 6 2 2 3" xfId="25279" xr:uid="{00000000-0005-0000-0000-0000C2620000}"/>
    <cellStyle name="Normal 8 6 2 3" xfId="25280" xr:uid="{00000000-0005-0000-0000-0000C3620000}"/>
    <cellStyle name="Normal 8 6 2 3 2" xfId="25281" xr:uid="{00000000-0005-0000-0000-0000C4620000}"/>
    <cellStyle name="Normal 8 6 2 3 3" xfId="25282" xr:uid="{00000000-0005-0000-0000-0000C5620000}"/>
    <cellStyle name="Normal 8 6 2 4" xfId="25283" xr:uid="{00000000-0005-0000-0000-0000C6620000}"/>
    <cellStyle name="Normal 8 6 2 5" xfId="25284" xr:uid="{00000000-0005-0000-0000-0000C7620000}"/>
    <cellStyle name="Normal 8 6 2 6" xfId="25285" xr:uid="{00000000-0005-0000-0000-0000C8620000}"/>
    <cellStyle name="Normal 8 6 3" xfId="25286" xr:uid="{00000000-0005-0000-0000-0000C9620000}"/>
    <cellStyle name="Normal 8 6 3 2" xfId="25287" xr:uid="{00000000-0005-0000-0000-0000CA620000}"/>
    <cellStyle name="Normal 8 6 3 3" xfId="25288" xr:uid="{00000000-0005-0000-0000-0000CB620000}"/>
    <cellStyle name="Normal 8 6 4" xfId="25289" xr:uid="{00000000-0005-0000-0000-0000CC620000}"/>
    <cellStyle name="Normal 8 6 4 2" xfId="25290" xr:uid="{00000000-0005-0000-0000-0000CD620000}"/>
    <cellStyle name="Normal 8 6 4 3" xfId="25291" xr:uid="{00000000-0005-0000-0000-0000CE620000}"/>
    <cellStyle name="Normal 8 6 5" xfId="25292" xr:uid="{00000000-0005-0000-0000-0000CF620000}"/>
    <cellStyle name="Normal 8 6 6" xfId="25293" xr:uid="{00000000-0005-0000-0000-0000D0620000}"/>
    <cellStyle name="Normal 8 6 7" xfId="25294" xr:uid="{00000000-0005-0000-0000-0000D1620000}"/>
    <cellStyle name="Normal 8 7" xfId="25295" xr:uid="{00000000-0005-0000-0000-0000D2620000}"/>
    <cellStyle name="Normal 8 7 2" xfId="25296" xr:uid="{00000000-0005-0000-0000-0000D3620000}"/>
    <cellStyle name="Normal 8 7 2 2" xfId="25297" xr:uid="{00000000-0005-0000-0000-0000D4620000}"/>
    <cellStyle name="Normal 8 7 2 2 2" xfId="25298" xr:uid="{00000000-0005-0000-0000-0000D5620000}"/>
    <cellStyle name="Normal 8 7 2 2 3" xfId="25299" xr:uid="{00000000-0005-0000-0000-0000D6620000}"/>
    <cellStyle name="Normal 8 7 2 3" xfId="25300" xr:uid="{00000000-0005-0000-0000-0000D7620000}"/>
    <cellStyle name="Normal 8 7 2 3 2" xfId="25301" xr:uid="{00000000-0005-0000-0000-0000D8620000}"/>
    <cellStyle name="Normal 8 7 2 3 3" xfId="25302" xr:uid="{00000000-0005-0000-0000-0000D9620000}"/>
    <cellStyle name="Normal 8 7 2 4" xfId="25303" xr:uid="{00000000-0005-0000-0000-0000DA620000}"/>
    <cellStyle name="Normal 8 7 2 5" xfId="25304" xr:uid="{00000000-0005-0000-0000-0000DB620000}"/>
    <cellStyle name="Normal 8 7 2 6" xfId="25305" xr:uid="{00000000-0005-0000-0000-0000DC620000}"/>
    <cellStyle name="Normal 8 7 3" xfId="25306" xr:uid="{00000000-0005-0000-0000-0000DD620000}"/>
    <cellStyle name="Normal 8 7 3 2" xfId="25307" xr:uid="{00000000-0005-0000-0000-0000DE620000}"/>
    <cellStyle name="Normal 8 7 3 3" xfId="25308" xr:uid="{00000000-0005-0000-0000-0000DF620000}"/>
    <cellStyle name="Normal 8 7 4" xfId="25309" xr:uid="{00000000-0005-0000-0000-0000E0620000}"/>
    <cellStyle name="Normal 8 7 4 2" xfId="25310" xr:uid="{00000000-0005-0000-0000-0000E1620000}"/>
    <cellStyle name="Normal 8 7 4 3" xfId="25311" xr:uid="{00000000-0005-0000-0000-0000E2620000}"/>
    <cellStyle name="Normal 8 7 5" xfId="25312" xr:uid="{00000000-0005-0000-0000-0000E3620000}"/>
    <cellStyle name="Normal 8 7 6" xfId="25313" xr:uid="{00000000-0005-0000-0000-0000E4620000}"/>
    <cellStyle name="Normal 8 7 7" xfId="25314" xr:uid="{00000000-0005-0000-0000-0000E5620000}"/>
    <cellStyle name="Normal 8 8" xfId="25315" xr:uid="{00000000-0005-0000-0000-0000E6620000}"/>
    <cellStyle name="Normal 8 8 2" xfId="25316" xr:uid="{00000000-0005-0000-0000-0000E7620000}"/>
    <cellStyle name="Normal 8 8 2 2" xfId="25317" xr:uid="{00000000-0005-0000-0000-0000E8620000}"/>
    <cellStyle name="Normal 8 8 2 2 2" xfId="25318" xr:uid="{00000000-0005-0000-0000-0000E9620000}"/>
    <cellStyle name="Normal 8 8 2 2 3" xfId="25319" xr:uid="{00000000-0005-0000-0000-0000EA620000}"/>
    <cellStyle name="Normal 8 8 2 3" xfId="25320" xr:uid="{00000000-0005-0000-0000-0000EB620000}"/>
    <cellStyle name="Normal 8 8 2 3 2" xfId="25321" xr:uid="{00000000-0005-0000-0000-0000EC620000}"/>
    <cellStyle name="Normal 8 8 2 3 3" xfId="25322" xr:uid="{00000000-0005-0000-0000-0000ED620000}"/>
    <cellStyle name="Normal 8 8 2 4" xfId="25323" xr:uid="{00000000-0005-0000-0000-0000EE620000}"/>
    <cellStyle name="Normal 8 8 2 5" xfId="25324" xr:uid="{00000000-0005-0000-0000-0000EF620000}"/>
    <cellStyle name="Normal 8 8 2 6" xfId="25325" xr:uid="{00000000-0005-0000-0000-0000F0620000}"/>
    <cellStyle name="Normal 8 8 3" xfId="25326" xr:uid="{00000000-0005-0000-0000-0000F1620000}"/>
    <cellStyle name="Normal 8 8 3 2" xfId="25327" xr:uid="{00000000-0005-0000-0000-0000F2620000}"/>
    <cellStyle name="Normal 8 8 3 3" xfId="25328" xr:uid="{00000000-0005-0000-0000-0000F3620000}"/>
    <cellStyle name="Normal 8 8 4" xfId="25329" xr:uid="{00000000-0005-0000-0000-0000F4620000}"/>
    <cellStyle name="Normal 8 8 4 2" xfId="25330" xr:uid="{00000000-0005-0000-0000-0000F5620000}"/>
    <cellStyle name="Normal 8 8 4 3" xfId="25331" xr:uid="{00000000-0005-0000-0000-0000F6620000}"/>
    <cellStyle name="Normal 8 8 5" xfId="25332" xr:uid="{00000000-0005-0000-0000-0000F7620000}"/>
    <cellStyle name="Normal 8 8 6" xfId="25333" xr:uid="{00000000-0005-0000-0000-0000F8620000}"/>
    <cellStyle name="Normal 8 8 7" xfId="25334" xr:uid="{00000000-0005-0000-0000-0000F9620000}"/>
    <cellStyle name="Normal 8 9" xfId="25335" xr:uid="{00000000-0005-0000-0000-0000FA620000}"/>
    <cellStyle name="Normal 8 9 2" xfId="25336" xr:uid="{00000000-0005-0000-0000-0000FB620000}"/>
    <cellStyle name="Normal 8 9 2 2" xfId="25337" xr:uid="{00000000-0005-0000-0000-0000FC620000}"/>
    <cellStyle name="Normal 8 9 2 2 2" xfId="25338" xr:uid="{00000000-0005-0000-0000-0000FD620000}"/>
    <cellStyle name="Normal 8 9 2 2 3" xfId="25339" xr:uid="{00000000-0005-0000-0000-0000FE620000}"/>
    <cellStyle name="Normal 8 9 2 3" xfId="25340" xr:uid="{00000000-0005-0000-0000-0000FF620000}"/>
    <cellStyle name="Normal 8 9 2 3 2" xfId="25341" xr:uid="{00000000-0005-0000-0000-000000630000}"/>
    <cellStyle name="Normal 8 9 2 3 3" xfId="25342" xr:uid="{00000000-0005-0000-0000-000001630000}"/>
    <cellStyle name="Normal 8 9 2 4" xfId="25343" xr:uid="{00000000-0005-0000-0000-000002630000}"/>
    <cellStyle name="Normal 8 9 2 5" xfId="25344" xr:uid="{00000000-0005-0000-0000-000003630000}"/>
    <cellStyle name="Normal 8 9 2 6" xfId="25345" xr:uid="{00000000-0005-0000-0000-000004630000}"/>
    <cellStyle name="Normal 8 9 3" xfId="25346" xr:uid="{00000000-0005-0000-0000-000005630000}"/>
    <cellStyle name="Normal 8 9 3 2" xfId="25347" xr:uid="{00000000-0005-0000-0000-000006630000}"/>
    <cellStyle name="Normal 8 9 3 3" xfId="25348" xr:uid="{00000000-0005-0000-0000-000007630000}"/>
    <cellStyle name="Normal 8 9 4" xfId="25349" xr:uid="{00000000-0005-0000-0000-000008630000}"/>
    <cellStyle name="Normal 8 9 4 2" xfId="25350" xr:uid="{00000000-0005-0000-0000-000009630000}"/>
    <cellStyle name="Normal 8 9 4 3" xfId="25351" xr:uid="{00000000-0005-0000-0000-00000A630000}"/>
    <cellStyle name="Normal 8 9 5" xfId="25352" xr:uid="{00000000-0005-0000-0000-00000B630000}"/>
    <cellStyle name="Normal 8 9 6" xfId="25353" xr:uid="{00000000-0005-0000-0000-00000C630000}"/>
    <cellStyle name="Normal 8 9 7" xfId="25354" xr:uid="{00000000-0005-0000-0000-00000D630000}"/>
    <cellStyle name="Normal 80" xfId="25355" xr:uid="{00000000-0005-0000-0000-00000E630000}"/>
    <cellStyle name="Normal 80 2" xfId="25356" xr:uid="{00000000-0005-0000-0000-00000F630000}"/>
    <cellStyle name="Normal 81" xfId="25357" xr:uid="{00000000-0005-0000-0000-000010630000}"/>
    <cellStyle name="Normal 81 2" xfId="25358" xr:uid="{00000000-0005-0000-0000-000011630000}"/>
    <cellStyle name="Normal 82" xfId="25359" xr:uid="{00000000-0005-0000-0000-000012630000}"/>
    <cellStyle name="Normal 82 2" xfId="25360" xr:uid="{00000000-0005-0000-0000-000013630000}"/>
    <cellStyle name="Normal 83" xfId="25361" xr:uid="{00000000-0005-0000-0000-000014630000}"/>
    <cellStyle name="Normal 83 2" xfId="25362" xr:uid="{00000000-0005-0000-0000-000015630000}"/>
    <cellStyle name="Normal 84" xfId="25363" xr:uid="{00000000-0005-0000-0000-000016630000}"/>
    <cellStyle name="Normal 9" xfId="25364" xr:uid="{00000000-0005-0000-0000-000017630000}"/>
    <cellStyle name="Normal 9 10" xfId="25365" xr:uid="{00000000-0005-0000-0000-000018630000}"/>
    <cellStyle name="Normal 9 11" xfId="25366" xr:uid="{00000000-0005-0000-0000-000019630000}"/>
    <cellStyle name="Normal 9 11 2" xfId="25367" xr:uid="{00000000-0005-0000-0000-00001A630000}"/>
    <cellStyle name="Normal 9 11 2 2" xfId="25368" xr:uid="{00000000-0005-0000-0000-00001B630000}"/>
    <cellStyle name="Normal 9 11 2 3" xfId="25369" xr:uid="{00000000-0005-0000-0000-00001C630000}"/>
    <cellStyle name="Normal 9 11 3" xfId="25370" xr:uid="{00000000-0005-0000-0000-00001D630000}"/>
    <cellStyle name="Normal 9 11 3 2" xfId="25371" xr:uid="{00000000-0005-0000-0000-00001E630000}"/>
    <cellStyle name="Normal 9 11 3 3" xfId="25372" xr:uid="{00000000-0005-0000-0000-00001F630000}"/>
    <cellStyle name="Normal 9 11 4" xfId="25373" xr:uid="{00000000-0005-0000-0000-000020630000}"/>
    <cellStyle name="Normal 9 11 5" xfId="25374" xr:uid="{00000000-0005-0000-0000-000021630000}"/>
    <cellStyle name="Normal 9 11 6" xfId="25375" xr:uid="{00000000-0005-0000-0000-000022630000}"/>
    <cellStyle name="Normal 9 12" xfId="25376" xr:uid="{00000000-0005-0000-0000-000023630000}"/>
    <cellStyle name="Normal 9 12 2" xfId="25377" xr:uid="{00000000-0005-0000-0000-000024630000}"/>
    <cellStyle name="Normal 9 12 3" xfId="25378" xr:uid="{00000000-0005-0000-0000-000025630000}"/>
    <cellStyle name="Normal 9 13" xfId="25379" xr:uid="{00000000-0005-0000-0000-000026630000}"/>
    <cellStyle name="Normal 9 13 2" xfId="25380" xr:uid="{00000000-0005-0000-0000-000027630000}"/>
    <cellStyle name="Normal 9 13 3" xfId="25381" xr:uid="{00000000-0005-0000-0000-000028630000}"/>
    <cellStyle name="Normal 9 14" xfId="25382" xr:uid="{00000000-0005-0000-0000-000029630000}"/>
    <cellStyle name="Normal 9 14 2" xfId="25383" xr:uid="{00000000-0005-0000-0000-00002A630000}"/>
    <cellStyle name="Normal 9 14 3" xfId="25384" xr:uid="{00000000-0005-0000-0000-00002B630000}"/>
    <cellStyle name="Normal 9 15" xfId="25385" xr:uid="{00000000-0005-0000-0000-00002C630000}"/>
    <cellStyle name="Normal 9 16" xfId="25386" xr:uid="{00000000-0005-0000-0000-00002D630000}"/>
    <cellStyle name="Normal 9 17" xfId="25387" xr:uid="{00000000-0005-0000-0000-00002E630000}"/>
    <cellStyle name="Normal 9 2" xfId="25388" xr:uid="{00000000-0005-0000-0000-00002F630000}"/>
    <cellStyle name="Normal 9 2 10" xfId="25389" xr:uid="{00000000-0005-0000-0000-000030630000}"/>
    <cellStyle name="Normal 9 2 2" xfId="25390" xr:uid="{00000000-0005-0000-0000-000031630000}"/>
    <cellStyle name="Normal 9 2 2 2" xfId="25391" xr:uid="{00000000-0005-0000-0000-000032630000}"/>
    <cellStyle name="Normal 9 2 2 2 2" xfId="25392" xr:uid="{00000000-0005-0000-0000-000033630000}"/>
    <cellStyle name="Normal 9 2 2 2 2 2" xfId="25393" xr:uid="{00000000-0005-0000-0000-000034630000}"/>
    <cellStyle name="Normal 9 2 2 2 2 3" xfId="25394" xr:uid="{00000000-0005-0000-0000-000035630000}"/>
    <cellStyle name="Normal 9 2 2 2 3" xfId="25395" xr:uid="{00000000-0005-0000-0000-000036630000}"/>
    <cellStyle name="Normal 9 2 2 2 3 2" xfId="25396" xr:uid="{00000000-0005-0000-0000-000037630000}"/>
    <cellStyle name="Normal 9 2 2 2 3 3" xfId="25397" xr:uid="{00000000-0005-0000-0000-000038630000}"/>
    <cellStyle name="Normal 9 2 2 2 4" xfId="25398" xr:uid="{00000000-0005-0000-0000-000039630000}"/>
    <cellStyle name="Normal 9 2 2 2 5" xfId="25399" xr:uid="{00000000-0005-0000-0000-00003A630000}"/>
    <cellStyle name="Normal 9 2 2 2 6" xfId="25400" xr:uid="{00000000-0005-0000-0000-00003B630000}"/>
    <cellStyle name="Normal 9 2 2 3" xfId="25401" xr:uid="{00000000-0005-0000-0000-00003C630000}"/>
    <cellStyle name="Normal 9 2 2 3 2" xfId="25402" xr:uid="{00000000-0005-0000-0000-00003D630000}"/>
    <cellStyle name="Normal 9 2 2 3 3" xfId="25403" xr:uid="{00000000-0005-0000-0000-00003E630000}"/>
    <cellStyle name="Normal 9 2 2 4" xfId="25404" xr:uid="{00000000-0005-0000-0000-00003F630000}"/>
    <cellStyle name="Normal 9 2 2 4 2" xfId="25405" xr:uid="{00000000-0005-0000-0000-000040630000}"/>
    <cellStyle name="Normal 9 2 2 4 3" xfId="25406" xr:uid="{00000000-0005-0000-0000-000041630000}"/>
    <cellStyle name="Normal 9 2 2 5" xfId="25407" xr:uid="{00000000-0005-0000-0000-000042630000}"/>
    <cellStyle name="Normal 9 2 2 5 2" xfId="25408" xr:uid="{00000000-0005-0000-0000-000043630000}"/>
    <cellStyle name="Normal 9 2 2 5 3" xfId="25409" xr:uid="{00000000-0005-0000-0000-000044630000}"/>
    <cellStyle name="Normal 9 2 2 6" xfId="25410" xr:uid="{00000000-0005-0000-0000-000045630000}"/>
    <cellStyle name="Normal 9 2 2 7" xfId="25411" xr:uid="{00000000-0005-0000-0000-000046630000}"/>
    <cellStyle name="Normal 9 2 2 8" xfId="25412" xr:uid="{00000000-0005-0000-0000-000047630000}"/>
    <cellStyle name="Normal 9 2 3" xfId="25413" xr:uid="{00000000-0005-0000-0000-000048630000}"/>
    <cellStyle name="Normal 9 2 3 2" xfId="25414" xr:uid="{00000000-0005-0000-0000-000049630000}"/>
    <cellStyle name="Normal 9 2 3 2 2" xfId="25415" xr:uid="{00000000-0005-0000-0000-00004A630000}"/>
    <cellStyle name="Normal 9 2 3 2 2 2" xfId="25416" xr:uid="{00000000-0005-0000-0000-00004B630000}"/>
    <cellStyle name="Normal 9 2 3 2 2 3" xfId="25417" xr:uid="{00000000-0005-0000-0000-00004C630000}"/>
    <cellStyle name="Normal 9 2 3 2 3" xfId="25418" xr:uid="{00000000-0005-0000-0000-00004D630000}"/>
    <cellStyle name="Normal 9 2 3 2 3 2" xfId="25419" xr:uid="{00000000-0005-0000-0000-00004E630000}"/>
    <cellStyle name="Normal 9 2 3 2 3 3" xfId="25420" xr:uid="{00000000-0005-0000-0000-00004F630000}"/>
    <cellStyle name="Normal 9 2 3 2 4" xfId="25421" xr:uid="{00000000-0005-0000-0000-000050630000}"/>
    <cellStyle name="Normal 9 2 3 2 5" xfId="25422" xr:uid="{00000000-0005-0000-0000-000051630000}"/>
    <cellStyle name="Normal 9 2 3 2 6" xfId="25423" xr:uid="{00000000-0005-0000-0000-000052630000}"/>
    <cellStyle name="Normal 9 2 3 3" xfId="25424" xr:uid="{00000000-0005-0000-0000-000053630000}"/>
    <cellStyle name="Normal 9 2 3 3 2" xfId="25425" xr:uid="{00000000-0005-0000-0000-000054630000}"/>
    <cellStyle name="Normal 9 2 3 3 3" xfId="25426" xr:uid="{00000000-0005-0000-0000-000055630000}"/>
    <cellStyle name="Normal 9 2 3 4" xfId="25427" xr:uid="{00000000-0005-0000-0000-000056630000}"/>
    <cellStyle name="Normal 9 2 3 4 2" xfId="25428" xr:uid="{00000000-0005-0000-0000-000057630000}"/>
    <cellStyle name="Normal 9 2 3 4 3" xfId="25429" xr:uid="{00000000-0005-0000-0000-000058630000}"/>
    <cellStyle name="Normal 9 2 3 5" xfId="25430" xr:uid="{00000000-0005-0000-0000-000059630000}"/>
    <cellStyle name="Normal 9 2 3 5 2" xfId="25431" xr:uid="{00000000-0005-0000-0000-00005A630000}"/>
    <cellStyle name="Normal 9 2 3 5 3" xfId="25432" xr:uid="{00000000-0005-0000-0000-00005B630000}"/>
    <cellStyle name="Normal 9 2 3 6" xfId="25433" xr:uid="{00000000-0005-0000-0000-00005C630000}"/>
    <cellStyle name="Normal 9 2 3 7" xfId="25434" xr:uid="{00000000-0005-0000-0000-00005D630000}"/>
    <cellStyle name="Normal 9 2 3 8" xfId="25435" xr:uid="{00000000-0005-0000-0000-00005E630000}"/>
    <cellStyle name="Normal 9 2 4" xfId="25436" xr:uid="{00000000-0005-0000-0000-00005F630000}"/>
    <cellStyle name="Normal 9 2 4 2" xfId="25437" xr:uid="{00000000-0005-0000-0000-000060630000}"/>
    <cellStyle name="Normal 9 2 4 2 2" xfId="25438" xr:uid="{00000000-0005-0000-0000-000061630000}"/>
    <cellStyle name="Normal 9 2 4 2 3" xfId="25439" xr:uid="{00000000-0005-0000-0000-000062630000}"/>
    <cellStyle name="Normal 9 2 4 3" xfId="25440" xr:uid="{00000000-0005-0000-0000-000063630000}"/>
    <cellStyle name="Normal 9 2 4 3 2" xfId="25441" xr:uid="{00000000-0005-0000-0000-000064630000}"/>
    <cellStyle name="Normal 9 2 4 3 3" xfId="25442" xr:uid="{00000000-0005-0000-0000-000065630000}"/>
    <cellStyle name="Normal 9 2 4 4" xfId="25443" xr:uid="{00000000-0005-0000-0000-000066630000}"/>
    <cellStyle name="Normal 9 2 4 5" xfId="25444" xr:uid="{00000000-0005-0000-0000-000067630000}"/>
    <cellStyle name="Normal 9 2 4 6" xfId="25445" xr:uid="{00000000-0005-0000-0000-000068630000}"/>
    <cellStyle name="Normal 9 2 5" xfId="25446" xr:uid="{00000000-0005-0000-0000-000069630000}"/>
    <cellStyle name="Normal 9 2 5 2" xfId="25447" xr:uid="{00000000-0005-0000-0000-00006A630000}"/>
    <cellStyle name="Normal 9 2 5 3" xfId="25448" xr:uid="{00000000-0005-0000-0000-00006B630000}"/>
    <cellStyle name="Normal 9 2 6" xfId="25449" xr:uid="{00000000-0005-0000-0000-00006C630000}"/>
    <cellStyle name="Normal 9 2 6 2" xfId="25450" xr:uid="{00000000-0005-0000-0000-00006D630000}"/>
    <cellStyle name="Normal 9 2 6 3" xfId="25451" xr:uid="{00000000-0005-0000-0000-00006E630000}"/>
    <cellStyle name="Normal 9 2 7" xfId="25452" xr:uid="{00000000-0005-0000-0000-00006F630000}"/>
    <cellStyle name="Normal 9 2 7 2" xfId="25453" xr:uid="{00000000-0005-0000-0000-000070630000}"/>
    <cellStyle name="Normal 9 2 7 3" xfId="25454" xr:uid="{00000000-0005-0000-0000-000071630000}"/>
    <cellStyle name="Normal 9 2 8" xfId="25455" xr:uid="{00000000-0005-0000-0000-000072630000}"/>
    <cellStyle name="Normal 9 2 9" xfId="25456" xr:uid="{00000000-0005-0000-0000-000073630000}"/>
    <cellStyle name="Normal 9 3" xfId="25457" xr:uid="{00000000-0005-0000-0000-000074630000}"/>
    <cellStyle name="Normal 9 3 2" xfId="25458" xr:uid="{00000000-0005-0000-0000-000075630000}"/>
    <cellStyle name="Normal 9 3 2 2" xfId="25459" xr:uid="{00000000-0005-0000-0000-000076630000}"/>
    <cellStyle name="Normal 9 3 2 2 2" xfId="25460" xr:uid="{00000000-0005-0000-0000-000077630000}"/>
    <cellStyle name="Normal 9 3 2 2 3" xfId="25461" xr:uid="{00000000-0005-0000-0000-000078630000}"/>
    <cellStyle name="Normal 9 3 2 3" xfId="25462" xr:uid="{00000000-0005-0000-0000-000079630000}"/>
    <cellStyle name="Normal 9 3 2 3 2" xfId="25463" xr:uid="{00000000-0005-0000-0000-00007A630000}"/>
    <cellStyle name="Normal 9 3 2 3 3" xfId="25464" xr:uid="{00000000-0005-0000-0000-00007B630000}"/>
    <cellStyle name="Normal 9 3 2 4" xfId="25465" xr:uid="{00000000-0005-0000-0000-00007C630000}"/>
    <cellStyle name="Normal 9 3 2 5" xfId="25466" xr:uid="{00000000-0005-0000-0000-00007D630000}"/>
    <cellStyle name="Normal 9 3 2 6" xfId="25467" xr:uid="{00000000-0005-0000-0000-00007E630000}"/>
    <cellStyle name="Normal 9 3 3" xfId="25468" xr:uid="{00000000-0005-0000-0000-00007F630000}"/>
    <cellStyle name="Normal 9 3 3 2" xfId="25469" xr:uid="{00000000-0005-0000-0000-000080630000}"/>
    <cellStyle name="Normal 9 3 3 3" xfId="25470" xr:uid="{00000000-0005-0000-0000-000081630000}"/>
    <cellStyle name="Normal 9 3 4" xfId="25471" xr:uid="{00000000-0005-0000-0000-000082630000}"/>
    <cellStyle name="Normal 9 3 4 2" xfId="25472" xr:uid="{00000000-0005-0000-0000-000083630000}"/>
    <cellStyle name="Normal 9 3 4 3" xfId="25473" xr:uid="{00000000-0005-0000-0000-000084630000}"/>
    <cellStyle name="Normal 9 3 5" xfId="25474" xr:uid="{00000000-0005-0000-0000-000085630000}"/>
    <cellStyle name="Normal 9 3 5 2" xfId="25475" xr:uid="{00000000-0005-0000-0000-000086630000}"/>
    <cellStyle name="Normal 9 3 5 3" xfId="25476" xr:uid="{00000000-0005-0000-0000-000087630000}"/>
    <cellStyle name="Normal 9 3 6" xfId="25477" xr:uid="{00000000-0005-0000-0000-000088630000}"/>
    <cellStyle name="Normal 9 3 7" xfId="25478" xr:uid="{00000000-0005-0000-0000-000089630000}"/>
    <cellStyle name="Normal 9 3 8" xfId="25479" xr:uid="{00000000-0005-0000-0000-00008A630000}"/>
    <cellStyle name="Normal 9 4" xfId="25480" xr:uid="{00000000-0005-0000-0000-00008B630000}"/>
    <cellStyle name="Normal 9 4 2" xfId="25481" xr:uid="{00000000-0005-0000-0000-00008C630000}"/>
    <cellStyle name="Normal 9 4 2 2" xfId="25482" xr:uid="{00000000-0005-0000-0000-00008D630000}"/>
    <cellStyle name="Normal 9 4 2 2 2" xfId="25483" xr:uid="{00000000-0005-0000-0000-00008E630000}"/>
    <cellStyle name="Normal 9 4 2 2 3" xfId="25484" xr:uid="{00000000-0005-0000-0000-00008F630000}"/>
    <cellStyle name="Normal 9 4 2 3" xfId="25485" xr:uid="{00000000-0005-0000-0000-000090630000}"/>
    <cellStyle name="Normal 9 4 2 3 2" xfId="25486" xr:uid="{00000000-0005-0000-0000-000091630000}"/>
    <cellStyle name="Normal 9 4 2 3 3" xfId="25487" xr:uid="{00000000-0005-0000-0000-000092630000}"/>
    <cellStyle name="Normal 9 4 2 4" xfId="25488" xr:uid="{00000000-0005-0000-0000-000093630000}"/>
    <cellStyle name="Normal 9 4 2 5" xfId="25489" xr:uid="{00000000-0005-0000-0000-000094630000}"/>
    <cellStyle name="Normal 9 4 2 6" xfId="25490" xr:uid="{00000000-0005-0000-0000-000095630000}"/>
    <cellStyle name="Normal 9 4 3" xfId="25491" xr:uid="{00000000-0005-0000-0000-000096630000}"/>
    <cellStyle name="Normal 9 4 3 2" xfId="25492" xr:uid="{00000000-0005-0000-0000-000097630000}"/>
    <cellStyle name="Normal 9 4 3 3" xfId="25493" xr:uid="{00000000-0005-0000-0000-000098630000}"/>
    <cellStyle name="Normal 9 4 4" xfId="25494" xr:uid="{00000000-0005-0000-0000-000099630000}"/>
    <cellStyle name="Normal 9 4 4 2" xfId="25495" xr:uid="{00000000-0005-0000-0000-00009A630000}"/>
    <cellStyle name="Normal 9 4 4 3" xfId="25496" xr:uid="{00000000-0005-0000-0000-00009B630000}"/>
    <cellStyle name="Normal 9 4 5" xfId="25497" xr:uid="{00000000-0005-0000-0000-00009C630000}"/>
    <cellStyle name="Normal 9 4 5 2" xfId="25498" xr:uid="{00000000-0005-0000-0000-00009D630000}"/>
    <cellStyle name="Normal 9 4 5 3" xfId="25499" xr:uid="{00000000-0005-0000-0000-00009E630000}"/>
    <cellStyle name="Normal 9 4 6" xfId="25500" xr:uid="{00000000-0005-0000-0000-00009F630000}"/>
    <cellStyle name="Normal 9 4 7" xfId="25501" xr:uid="{00000000-0005-0000-0000-0000A0630000}"/>
    <cellStyle name="Normal 9 4 8" xfId="25502" xr:uid="{00000000-0005-0000-0000-0000A1630000}"/>
    <cellStyle name="Normal 9 5" xfId="25503" xr:uid="{00000000-0005-0000-0000-0000A2630000}"/>
    <cellStyle name="Normal 9 5 2" xfId="25504" xr:uid="{00000000-0005-0000-0000-0000A3630000}"/>
    <cellStyle name="Normal 9 5 2 2" xfId="25505" xr:uid="{00000000-0005-0000-0000-0000A4630000}"/>
    <cellStyle name="Normal 9 5 2 2 2" xfId="25506" xr:uid="{00000000-0005-0000-0000-0000A5630000}"/>
    <cellStyle name="Normal 9 5 2 2 3" xfId="25507" xr:uid="{00000000-0005-0000-0000-0000A6630000}"/>
    <cellStyle name="Normal 9 5 2 3" xfId="25508" xr:uid="{00000000-0005-0000-0000-0000A7630000}"/>
    <cellStyle name="Normal 9 5 2 3 2" xfId="25509" xr:uid="{00000000-0005-0000-0000-0000A8630000}"/>
    <cellStyle name="Normal 9 5 2 3 3" xfId="25510" xr:uid="{00000000-0005-0000-0000-0000A9630000}"/>
    <cellStyle name="Normal 9 5 2 4" xfId="25511" xr:uid="{00000000-0005-0000-0000-0000AA630000}"/>
    <cellStyle name="Normal 9 5 2 5" xfId="25512" xr:uid="{00000000-0005-0000-0000-0000AB630000}"/>
    <cellStyle name="Normal 9 5 2 6" xfId="25513" xr:uid="{00000000-0005-0000-0000-0000AC630000}"/>
    <cellStyle name="Normal 9 5 3" xfId="25514" xr:uid="{00000000-0005-0000-0000-0000AD630000}"/>
    <cellStyle name="Normal 9 5 3 2" xfId="25515" xr:uid="{00000000-0005-0000-0000-0000AE630000}"/>
    <cellStyle name="Normal 9 5 3 3" xfId="25516" xr:uid="{00000000-0005-0000-0000-0000AF630000}"/>
    <cellStyle name="Normal 9 5 4" xfId="25517" xr:uid="{00000000-0005-0000-0000-0000B0630000}"/>
    <cellStyle name="Normal 9 5 4 2" xfId="25518" xr:uid="{00000000-0005-0000-0000-0000B1630000}"/>
    <cellStyle name="Normal 9 5 4 3" xfId="25519" xr:uid="{00000000-0005-0000-0000-0000B2630000}"/>
    <cellStyle name="Normal 9 5 5" xfId="25520" xr:uid="{00000000-0005-0000-0000-0000B3630000}"/>
    <cellStyle name="Normal 9 5 5 2" xfId="25521" xr:uid="{00000000-0005-0000-0000-0000B4630000}"/>
    <cellStyle name="Normal 9 5 5 3" xfId="25522" xr:uid="{00000000-0005-0000-0000-0000B5630000}"/>
    <cellStyle name="Normal 9 5 6" xfId="25523" xr:uid="{00000000-0005-0000-0000-0000B6630000}"/>
    <cellStyle name="Normal 9 5 7" xfId="25524" xr:uid="{00000000-0005-0000-0000-0000B7630000}"/>
    <cellStyle name="Normal 9 5 8" xfId="25525" xr:uid="{00000000-0005-0000-0000-0000B8630000}"/>
    <cellStyle name="Normal 9 6" xfId="25526" xr:uid="{00000000-0005-0000-0000-0000B9630000}"/>
    <cellStyle name="Normal 9 7" xfId="25527" xr:uid="{00000000-0005-0000-0000-0000BA630000}"/>
    <cellStyle name="Normal 9 8" xfId="25528" xr:uid="{00000000-0005-0000-0000-0000BB630000}"/>
    <cellStyle name="Normal 9 9" xfId="25529" xr:uid="{00000000-0005-0000-0000-0000BC630000}"/>
    <cellStyle name="Note 10" xfId="25530" xr:uid="{00000000-0005-0000-0000-0000BD630000}"/>
    <cellStyle name="Note 11" xfId="25531" xr:uid="{00000000-0005-0000-0000-0000BE630000}"/>
    <cellStyle name="Note 2" xfId="25532" xr:uid="{00000000-0005-0000-0000-0000BF630000}"/>
    <cellStyle name="Note 2 2" xfId="25533" xr:uid="{00000000-0005-0000-0000-0000C0630000}"/>
    <cellStyle name="Note 2 2 2" xfId="25534" xr:uid="{00000000-0005-0000-0000-0000C1630000}"/>
    <cellStyle name="Note 2 2 2 2" xfId="25535" xr:uid="{00000000-0005-0000-0000-0000C2630000}"/>
    <cellStyle name="Note 2 2 2 3" xfId="25536" xr:uid="{00000000-0005-0000-0000-0000C3630000}"/>
    <cellStyle name="Note 2 2 3" xfId="25537" xr:uid="{00000000-0005-0000-0000-0000C4630000}"/>
    <cellStyle name="Note 2 2 3 2" xfId="25538" xr:uid="{00000000-0005-0000-0000-0000C5630000}"/>
    <cellStyle name="Note 2 2 4" xfId="25539" xr:uid="{00000000-0005-0000-0000-0000C6630000}"/>
    <cellStyle name="Note 2 3" xfId="25540" xr:uid="{00000000-0005-0000-0000-0000C7630000}"/>
    <cellStyle name="Note 2 3 2" xfId="25541" xr:uid="{00000000-0005-0000-0000-0000C8630000}"/>
    <cellStyle name="Note 2 4" xfId="25542" xr:uid="{00000000-0005-0000-0000-0000C9630000}"/>
    <cellStyle name="Note 2 4 2" xfId="25543" xr:uid="{00000000-0005-0000-0000-0000CA630000}"/>
    <cellStyle name="Note 2 5" xfId="25544" xr:uid="{00000000-0005-0000-0000-0000CB630000}"/>
    <cellStyle name="Note 3" xfId="25545" xr:uid="{00000000-0005-0000-0000-0000CC630000}"/>
    <cellStyle name="Note 3 2" xfId="25546" xr:uid="{00000000-0005-0000-0000-0000CD630000}"/>
    <cellStyle name="Note 3 2 2" xfId="25547" xr:uid="{00000000-0005-0000-0000-0000CE630000}"/>
    <cellStyle name="Note 3 2 2 2" xfId="25548" xr:uid="{00000000-0005-0000-0000-0000CF630000}"/>
    <cellStyle name="Note 3 2 2 3" xfId="25549" xr:uid="{00000000-0005-0000-0000-0000D0630000}"/>
    <cellStyle name="Note 3 2 3" xfId="25550" xr:uid="{00000000-0005-0000-0000-0000D1630000}"/>
    <cellStyle name="Note 3 2 3 2" xfId="25551" xr:uid="{00000000-0005-0000-0000-0000D2630000}"/>
    <cellStyle name="Note 3 2 4" xfId="25552" xr:uid="{00000000-0005-0000-0000-0000D3630000}"/>
    <cellStyle name="Note 3 3" xfId="25553" xr:uid="{00000000-0005-0000-0000-0000D4630000}"/>
    <cellStyle name="Note 3 4" xfId="25554" xr:uid="{00000000-0005-0000-0000-0000D5630000}"/>
    <cellStyle name="Note 4" xfId="25555" xr:uid="{00000000-0005-0000-0000-0000D6630000}"/>
    <cellStyle name="Note 5" xfId="25556" xr:uid="{00000000-0005-0000-0000-0000D7630000}"/>
    <cellStyle name="Note 6" xfId="25557" xr:uid="{00000000-0005-0000-0000-0000D8630000}"/>
    <cellStyle name="Note 7" xfId="25558" xr:uid="{00000000-0005-0000-0000-0000D9630000}"/>
    <cellStyle name="Note 8" xfId="25559" xr:uid="{00000000-0005-0000-0000-0000DA630000}"/>
    <cellStyle name="Note 9" xfId="25560" xr:uid="{00000000-0005-0000-0000-0000DB630000}"/>
    <cellStyle name="Output 10" xfId="25561" xr:uid="{00000000-0005-0000-0000-0000DC630000}"/>
    <cellStyle name="Output 11" xfId="25562" xr:uid="{00000000-0005-0000-0000-0000DD630000}"/>
    <cellStyle name="Output 2" xfId="25563" xr:uid="{00000000-0005-0000-0000-0000DE630000}"/>
    <cellStyle name="Output 2 2" xfId="25564" xr:uid="{00000000-0005-0000-0000-0000DF630000}"/>
    <cellStyle name="Output 2 2 2" xfId="25565" xr:uid="{00000000-0005-0000-0000-0000E0630000}"/>
    <cellStyle name="Output 2 2 2 2" xfId="25566" xr:uid="{00000000-0005-0000-0000-0000E1630000}"/>
    <cellStyle name="Output 2 2 2 3" xfId="25567" xr:uid="{00000000-0005-0000-0000-0000E2630000}"/>
    <cellStyle name="Output 2 2 3" xfId="25568" xr:uid="{00000000-0005-0000-0000-0000E3630000}"/>
    <cellStyle name="Output 2 2 3 2" xfId="25569" xr:uid="{00000000-0005-0000-0000-0000E4630000}"/>
    <cellStyle name="Output 2 2 4" xfId="25570" xr:uid="{00000000-0005-0000-0000-0000E5630000}"/>
    <cellStyle name="Output 3" xfId="25571" xr:uid="{00000000-0005-0000-0000-0000E6630000}"/>
    <cellStyle name="Output 3 2" xfId="25572" xr:uid="{00000000-0005-0000-0000-0000E7630000}"/>
    <cellStyle name="Output 3 2 2" xfId="25573" xr:uid="{00000000-0005-0000-0000-0000E8630000}"/>
    <cellStyle name="Output 3 2 2 2" xfId="25574" xr:uid="{00000000-0005-0000-0000-0000E9630000}"/>
    <cellStyle name="Output 3 2 2 3" xfId="25575" xr:uid="{00000000-0005-0000-0000-0000EA630000}"/>
    <cellStyle name="Output 3 2 3" xfId="25576" xr:uid="{00000000-0005-0000-0000-0000EB630000}"/>
    <cellStyle name="Output 3 2 3 2" xfId="25577" xr:uid="{00000000-0005-0000-0000-0000EC630000}"/>
    <cellStyle name="Output 3 2 4" xfId="25578" xr:uid="{00000000-0005-0000-0000-0000ED630000}"/>
    <cellStyle name="Output 4" xfId="25579" xr:uid="{00000000-0005-0000-0000-0000EE630000}"/>
    <cellStyle name="Output 5" xfId="25580" xr:uid="{00000000-0005-0000-0000-0000EF630000}"/>
    <cellStyle name="Output 6" xfId="25581" xr:uid="{00000000-0005-0000-0000-0000F0630000}"/>
    <cellStyle name="Output 7" xfId="25582" xr:uid="{00000000-0005-0000-0000-0000F1630000}"/>
    <cellStyle name="Output 8" xfId="25583" xr:uid="{00000000-0005-0000-0000-0000F2630000}"/>
    <cellStyle name="Output 9" xfId="25584" xr:uid="{00000000-0005-0000-0000-0000F3630000}"/>
    <cellStyle name="Percent" xfId="2" builtinId="5"/>
    <cellStyle name="Percent [1]" xfId="25585" xr:uid="{00000000-0005-0000-0000-0000F5630000}"/>
    <cellStyle name="Percent [1] 2" xfId="25586" xr:uid="{00000000-0005-0000-0000-0000F6630000}"/>
    <cellStyle name="Percent [1] 3" xfId="25587" xr:uid="{00000000-0005-0000-0000-0000F7630000}"/>
    <cellStyle name="Percent [2]" xfId="25588" xr:uid="{00000000-0005-0000-0000-0000F8630000}"/>
    <cellStyle name="Percent [2] 10" xfId="25589" xr:uid="{00000000-0005-0000-0000-0000F9630000}"/>
    <cellStyle name="Percent [2] 10 10" xfId="25590" xr:uid="{00000000-0005-0000-0000-0000FA630000}"/>
    <cellStyle name="Percent [2] 10 11" xfId="25591" xr:uid="{00000000-0005-0000-0000-0000FB630000}"/>
    <cellStyle name="Percent [2] 10 12" xfId="25592" xr:uid="{00000000-0005-0000-0000-0000FC630000}"/>
    <cellStyle name="Percent [2] 10 2" xfId="25593" xr:uid="{00000000-0005-0000-0000-0000FD630000}"/>
    <cellStyle name="Percent [2] 10 2 10" xfId="25594" xr:uid="{00000000-0005-0000-0000-0000FE630000}"/>
    <cellStyle name="Percent [2] 10 2 2" xfId="25595" xr:uid="{00000000-0005-0000-0000-0000FF630000}"/>
    <cellStyle name="Percent [2] 10 2 2 2" xfId="25596" xr:uid="{00000000-0005-0000-0000-000000640000}"/>
    <cellStyle name="Percent [2] 10 2 2 2 2" xfId="25597" xr:uid="{00000000-0005-0000-0000-000001640000}"/>
    <cellStyle name="Percent [2] 10 2 2 2 2 2" xfId="25598" xr:uid="{00000000-0005-0000-0000-000002640000}"/>
    <cellStyle name="Percent [2] 10 2 2 2 2 3" xfId="25599" xr:uid="{00000000-0005-0000-0000-000003640000}"/>
    <cellStyle name="Percent [2] 10 2 2 2 3" xfId="25600" xr:uid="{00000000-0005-0000-0000-000004640000}"/>
    <cellStyle name="Percent [2] 10 2 2 2 3 2" xfId="25601" xr:uid="{00000000-0005-0000-0000-000005640000}"/>
    <cellStyle name="Percent [2] 10 2 2 2 3 3" xfId="25602" xr:uid="{00000000-0005-0000-0000-000006640000}"/>
    <cellStyle name="Percent [2] 10 2 2 2 4" xfId="25603" xr:uid="{00000000-0005-0000-0000-000007640000}"/>
    <cellStyle name="Percent [2] 10 2 2 2 5" xfId="25604" xr:uid="{00000000-0005-0000-0000-000008640000}"/>
    <cellStyle name="Percent [2] 10 2 2 2 6" xfId="25605" xr:uid="{00000000-0005-0000-0000-000009640000}"/>
    <cellStyle name="Percent [2] 10 2 2 3" xfId="25606" xr:uid="{00000000-0005-0000-0000-00000A640000}"/>
    <cellStyle name="Percent [2] 10 2 2 3 2" xfId="25607" xr:uid="{00000000-0005-0000-0000-00000B640000}"/>
    <cellStyle name="Percent [2] 10 2 2 3 3" xfId="25608" xr:uid="{00000000-0005-0000-0000-00000C640000}"/>
    <cellStyle name="Percent [2] 10 2 2 4" xfId="25609" xr:uid="{00000000-0005-0000-0000-00000D640000}"/>
    <cellStyle name="Percent [2] 10 2 2 4 2" xfId="25610" xr:uid="{00000000-0005-0000-0000-00000E640000}"/>
    <cellStyle name="Percent [2] 10 2 2 4 3" xfId="25611" xr:uid="{00000000-0005-0000-0000-00000F640000}"/>
    <cellStyle name="Percent [2] 10 2 2 5" xfId="25612" xr:uid="{00000000-0005-0000-0000-000010640000}"/>
    <cellStyle name="Percent [2] 10 2 2 5 2" xfId="25613" xr:uid="{00000000-0005-0000-0000-000011640000}"/>
    <cellStyle name="Percent [2] 10 2 2 5 3" xfId="25614" xr:uid="{00000000-0005-0000-0000-000012640000}"/>
    <cellStyle name="Percent [2] 10 2 2 6" xfId="25615" xr:uid="{00000000-0005-0000-0000-000013640000}"/>
    <cellStyle name="Percent [2] 10 2 2 7" xfId="25616" xr:uid="{00000000-0005-0000-0000-000014640000}"/>
    <cellStyle name="Percent [2] 10 2 2 8" xfId="25617" xr:uid="{00000000-0005-0000-0000-000015640000}"/>
    <cellStyle name="Percent [2] 10 2 3" xfId="25618" xr:uid="{00000000-0005-0000-0000-000016640000}"/>
    <cellStyle name="Percent [2] 10 2 3 2" xfId="25619" xr:uid="{00000000-0005-0000-0000-000017640000}"/>
    <cellStyle name="Percent [2] 10 2 3 2 2" xfId="25620" xr:uid="{00000000-0005-0000-0000-000018640000}"/>
    <cellStyle name="Percent [2] 10 2 3 2 2 2" xfId="25621" xr:uid="{00000000-0005-0000-0000-000019640000}"/>
    <cellStyle name="Percent [2] 10 2 3 2 2 3" xfId="25622" xr:uid="{00000000-0005-0000-0000-00001A640000}"/>
    <cellStyle name="Percent [2] 10 2 3 2 3" xfId="25623" xr:uid="{00000000-0005-0000-0000-00001B640000}"/>
    <cellStyle name="Percent [2] 10 2 3 2 3 2" xfId="25624" xr:uid="{00000000-0005-0000-0000-00001C640000}"/>
    <cellStyle name="Percent [2] 10 2 3 2 3 3" xfId="25625" xr:uid="{00000000-0005-0000-0000-00001D640000}"/>
    <cellStyle name="Percent [2] 10 2 3 2 4" xfId="25626" xr:uid="{00000000-0005-0000-0000-00001E640000}"/>
    <cellStyle name="Percent [2] 10 2 3 2 5" xfId="25627" xr:uid="{00000000-0005-0000-0000-00001F640000}"/>
    <cellStyle name="Percent [2] 10 2 3 2 6" xfId="25628" xr:uid="{00000000-0005-0000-0000-000020640000}"/>
    <cellStyle name="Percent [2] 10 2 3 3" xfId="25629" xr:uid="{00000000-0005-0000-0000-000021640000}"/>
    <cellStyle name="Percent [2] 10 2 3 3 2" xfId="25630" xr:uid="{00000000-0005-0000-0000-000022640000}"/>
    <cellStyle name="Percent [2] 10 2 3 3 3" xfId="25631" xr:uid="{00000000-0005-0000-0000-000023640000}"/>
    <cellStyle name="Percent [2] 10 2 3 4" xfId="25632" xr:uid="{00000000-0005-0000-0000-000024640000}"/>
    <cellStyle name="Percent [2] 10 2 3 4 2" xfId="25633" xr:uid="{00000000-0005-0000-0000-000025640000}"/>
    <cellStyle name="Percent [2] 10 2 3 4 3" xfId="25634" xr:uid="{00000000-0005-0000-0000-000026640000}"/>
    <cellStyle name="Percent [2] 10 2 3 5" xfId="25635" xr:uid="{00000000-0005-0000-0000-000027640000}"/>
    <cellStyle name="Percent [2] 10 2 3 5 2" xfId="25636" xr:uid="{00000000-0005-0000-0000-000028640000}"/>
    <cellStyle name="Percent [2] 10 2 3 5 3" xfId="25637" xr:uid="{00000000-0005-0000-0000-000029640000}"/>
    <cellStyle name="Percent [2] 10 2 3 6" xfId="25638" xr:uid="{00000000-0005-0000-0000-00002A640000}"/>
    <cellStyle name="Percent [2] 10 2 3 7" xfId="25639" xr:uid="{00000000-0005-0000-0000-00002B640000}"/>
    <cellStyle name="Percent [2] 10 2 3 8" xfId="25640" xr:uid="{00000000-0005-0000-0000-00002C640000}"/>
    <cellStyle name="Percent [2] 10 2 4" xfId="25641" xr:uid="{00000000-0005-0000-0000-00002D640000}"/>
    <cellStyle name="Percent [2] 10 2 4 2" xfId="25642" xr:uid="{00000000-0005-0000-0000-00002E640000}"/>
    <cellStyle name="Percent [2] 10 2 4 2 2" xfId="25643" xr:uid="{00000000-0005-0000-0000-00002F640000}"/>
    <cellStyle name="Percent [2] 10 2 4 2 3" xfId="25644" xr:uid="{00000000-0005-0000-0000-000030640000}"/>
    <cellStyle name="Percent [2] 10 2 4 3" xfId="25645" xr:uid="{00000000-0005-0000-0000-000031640000}"/>
    <cellStyle name="Percent [2] 10 2 4 3 2" xfId="25646" xr:uid="{00000000-0005-0000-0000-000032640000}"/>
    <cellStyle name="Percent [2] 10 2 4 3 3" xfId="25647" xr:uid="{00000000-0005-0000-0000-000033640000}"/>
    <cellStyle name="Percent [2] 10 2 4 4" xfId="25648" xr:uid="{00000000-0005-0000-0000-000034640000}"/>
    <cellStyle name="Percent [2] 10 2 4 5" xfId="25649" xr:uid="{00000000-0005-0000-0000-000035640000}"/>
    <cellStyle name="Percent [2] 10 2 4 6" xfId="25650" xr:uid="{00000000-0005-0000-0000-000036640000}"/>
    <cellStyle name="Percent [2] 10 2 5" xfId="25651" xr:uid="{00000000-0005-0000-0000-000037640000}"/>
    <cellStyle name="Percent [2] 10 2 5 2" xfId="25652" xr:uid="{00000000-0005-0000-0000-000038640000}"/>
    <cellStyle name="Percent [2] 10 2 5 3" xfId="25653" xr:uid="{00000000-0005-0000-0000-000039640000}"/>
    <cellStyle name="Percent [2] 10 2 6" xfId="25654" xr:uid="{00000000-0005-0000-0000-00003A640000}"/>
    <cellStyle name="Percent [2] 10 2 6 2" xfId="25655" xr:uid="{00000000-0005-0000-0000-00003B640000}"/>
    <cellStyle name="Percent [2] 10 2 6 3" xfId="25656" xr:uid="{00000000-0005-0000-0000-00003C640000}"/>
    <cellStyle name="Percent [2] 10 2 7" xfId="25657" xr:uid="{00000000-0005-0000-0000-00003D640000}"/>
    <cellStyle name="Percent [2] 10 2 7 2" xfId="25658" xr:uid="{00000000-0005-0000-0000-00003E640000}"/>
    <cellStyle name="Percent [2] 10 2 7 3" xfId="25659" xr:uid="{00000000-0005-0000-0000-00003F640000}"/>
    <cellStyle name="Percent [2] 10 2 8" xfId="25660" xr:uid="{00000000-0005-0000-0000-000040640000}"/>
    <cellStyle name="Percent [2] 10 2 9" xfId="25661" xr:uid="{00000000-0005-0000-0000-000041640000}"/>
    <cellStyle name="Percent [2] 10 3" xfId="25662" xr:uid="{00000000-0005-0000-0000-000042640000}"/>
    <cellStyle name="Percent [2] 10 3 2" xfId="25663" xr:uid="{00000000-0005-0000-0000-000043640000}"/>
    <cellStyle name="Percent [2] 10 3 2 2" xfId="25664" xr:uid="{00000000-0005-0000-0000-000044640000}"/>
    <cellStyle name="Percent [2] 10 3 2 2 2" xfId="25665" xr:uid="{00000000-0005-0000-0000-000045640000}"/>
    <cellStyle name="Percent [2] 10 3 2 2 3" xfId="25666" xr:uid="{00000000-0005-0000-0000-000046640000}"/>
    <cellStyle name="Percent [2] 10 3 2 3" xfId="25667" xr:uid="{00000000-0005-0000-0000-000047640000}"/>
    <cellStyle name="Percent [2] 10 3 2 3 2" xfId="25668" xr:uid="{00000000-0005-0000-0000-000048640000}"/>
    <cellStyle name="Percent [2] 10 3 2 3 3" xfId="25669" xr:uid="{00000000-0005-0000-0000-000049640000}"/>
    <cellStyle name="Percent [2] 10 3 2 4" xfId="25670" xr:uid="{00000000-0005-0000-0000-00004A640000}"/>
    <cellStyle name="Percent [2] 10 3 2 5" xfId="25671" xr:uid="{00000000-0005-0000-0000-00004B640000}"/>
    <cellStyle name="Percent [2] 10 3 2 6" xfId="25672" xr:uid="{00000000-0005-0000-0000-00004C640000}"/>
    <cellStyle name="Percent [2] 10 3 3" xfId="25673" xr:uid="{00000000-0005-0000-0000-00004D640000}"/>
    <cellStyle name="Percent [2] 10 3 3 2" xfId="25674" xr:uid="{00000000-0005-0000-0000-00004E640000}"/>
    <cellStyle name="Percent [2] 10 3 3 3" xfId="25675" xr:uid="{00000000-0005-0000-0000-00004F640000}"/>
    <cellStyle name="Percent [2] 10 3 4" xfId="25676" xr:uid="{00000000-0005-0000-0000-000050640000}"/>
    <cellStyle name="Percent [2] 10 3 4 2" xfId="25677" xr:uid="{00000000-0005-0000-0000-000051640000}"/>
    <cellStyle name="Percent [2] 10 3 4 3" xfId="25678" xr:uid="{00000000-0005-0000-0000-000052640000}"/>
    <cellStyle name="Percent [2] 10 3 5" xfId="25679" xr:uid="{00000000-0005-0000-0000-000053640000}"/>
    <cellStyle name="Percent [2] 10 3 5 2" xfId="25680" xr:uid="{00000000-0005-0000-0000-000054640000}"/>
    <cellStyle name="Percent [2] 10 3 5 3" xfId="25681" xr:uid="{00000000-0005-0000-0000-000055640000}"/>
    <cellStyle name="Percent [2] 10 3 6" xfId="25682" xr:uid="{00000000-0005-0000-0000-000056640000}"/>
    <cellStyle name="Percent [2] 10 3 7" xfId="25683" xr:uid="{00000000-0005-0000-0000-000057640000}"/>
    <cellStyle name="Percent [2] 10 3 8" xfId="25684" xr:uid="{00000000-0005-0000-0000-000058640000}"/>
    <cellStyle name="Percent [2] 10 4" xfId="25685" xr:uid="{00000000-0005-0000-0000-000059640000}"/>
    <cellStyle name="Percent [2] 10 4 2" xfId="25686" xr:uid="{00000000-0005-0000-0000-00005A640000}"/>
    <cellStyle name="Percent [2] 10 4 2 2" xfId="25687" xr:uid="{00000000-0005-0000-0000-00005B640000}"/>
    <cellStyle name="Percent [2] 10 4 2 2 2" xfId="25688" xr:uid="{00000000-0005-0000-0000-00005C640000}"/>
    <cellStyle name="Percent [2] 10 4 2 2 3" xfId="25689" xr:uid="{00000000-0005-0000-0000-00005D640000}"/>
    <cellStyle name="Percent [2] 10 4 2 3" xfId="25690" xr:uid="{00000000-0005-0000-0000-00005E640000}"/>
    <cellStyle name="Percent [2] 10 4 2 3 2" xfId="25691" xr:uid="{00000000-0005-0000-0000-00005F640000}"/>
    <cellStyle name="Percent [2] 10 4 2 3 3" xfId="25692" xr:uid="{00000000-0005-0000-0000-000060640000}"/>
    <cellStyle name="Percent [2] 10 4 2 4" xfId="25693" xr:uid="{00000000-0005-0000-0000-000061640000}"/>
    <cellStyle name="Percent [2] 10 4 2 5" xfId="25694" xr:uid="{00000000-0005-0000-0000-000062640000}"/>
    <cellStyle name="Percent [2] 10 4 2 6" xfId="25695" xr:uid="{00000000-0005-0000-0000-000063640000}"/>
    <cellStyle name="Percent [2] 10 4 3" xfId="25696" xr:uid="{00000000-0005-0000-0000-000064640000}"/>
    <cellStyle name="Percent [2] 10 4 3 2" xfId="25697" xr:uid="{00000000-0005-0000-0000-000065640000}"/>
    <cellStyle name="Percent [2] 10 4 3 3" xfId="25698" xr:uid="{00000000-0005-0000-0000-000066640000}"/>
    <cellStyle name="Percent [2] 10 4 4" xfId="25699" xr:uid="{00000000-0005-0000-0000-000067640000}"/>
    <cellStyle name="Percent [2] 10 4 4 2" xfId="25700" xr:uid="{00000000-0005-0000-0000-000068640000}"/>
    <cellStyle name="Percent [2] 10 4 4 3" xfId="25701" xr:uid="{00000000-0005-0000-0000-000069640000}"/>
    <cellStyle name="Percent [2] 10 4 5" xfId="25702" xr:uid="{00000000-0005-0000-0000-00006A640000}"/>
    <cellStyle name="Percent [2] 10 4 5 2" xfId="25703" xr:uid="{00000000-0005-0000-0000-00006B640000}"/>
    <cellStyle name="Percent [2] 10 4 5 3" xfId="25704" xr:uid="{00000000-0005-0000-0000-00006C640000}"/>
    <cellStyle name="Percent [2] 10 4 6" xfId="25705" xr:uid="{00000000-0005-0000-0000-00006D640000}"/>
    <cellStyle name="Percent [2] 10 4 7" xfId="25706" xr:uid="{00000000-0005-0000-0000-00006E640000}"/>
    <cellStyle name="Percent [2] 10 4 8" xfId="25707" xr:uid="{00000000-0005-0000-0000-00006F640000}"/>
    <cellStyle name="Percent [2] 10 5" xfId="25708" xr:uid="{00000000-0005-0000-0000-000070640000}"/>
    <cellStyle name="Percent [2] 10 5 2" xfId="25709" xr:uid="{00000000-0005-0000-0000-000071640000}"/>
    <cellStyle name="Percent [2] 10 5 2 2" xfId="25710" xr:uid="{00000000-0005-0000-0000-000072640000}"/>
    <cellStyle name="Percent [2] 10 5 2 2 2" xfId="25711" xr:uid="{00000000-0005-0000-0000-000073640000}"/>
    <cellStyle name="Percent [2] 10 5 2 2 3" xfId="25712" xr:uid="{00000000-0005-0000-0000-000074640000}"/>
    <cellStyle name="Percent [2] 10 5 2 3" xfId="25713" xr:uid="{00000000-0005-0000-0000-000075640000}"/>
    <cellStyle name="Percent [2] 10 5 2 3 2" xfId="25714" xr:uid="{00000000-0005-0000-0000-000076640000}"/>
    <cellStyle name="Percent [2] 10 5 2 3 3" xfId="25715" xr:uid="{00000000-0005-0000-0000-000077640000}"/>
    <cellStyle name="Percent [2] 10 5 2 4" xfId="25716" xr:uid="{00000000-0005-0000-0000-000078640000}"/>
    <cellStyle name="Percent [2] 10 5 2 5" xfId="25717" xr:uid="{00000000-0005-0000-0000-000079640000}"/>
    <cellStyle name="Percent [2] 10 5 2 6" xfId="25718" xr:uid="{00000000-0005-0000-0000-00007A640000}"/>
    <cellStyle name="Percent [2] 10 5 3" xfId="25719" xr:uid="{00000000-0005-0000-0000-00007B640000}"/>
    <cellStyle name="Percent [2] 10 5 3 2" xfId="25720" xr:uid="{00000000-0005-0000-0000-00007C640000}"/>
    <cellStyle name="Percent [2] 10 5 3 3" xfId="25721" xr:uid="{00000000-0005-0000-0000-00007D640000}"/>
    <cellStyle name="Percent [2] 10 5 4" xfId="25722" xr:uid="{00000000-0005-0000-0000-00007E640000}"/>
    <cellStyle name="Percent [2] 10 5 4 2" xfId="25723" xr:uid="{00000000-0005-0000-0000-00007F640000}"/>
    <cellStyle name="Percent [2] 10 5 4 3" xfId="25724" xr:uid="{00000000-0005-0000-0000-000080640000}"/>
    <cellStyle name="Percent [2] 10 5 5" xfId="25725" xr:uid="{00000000-0005-0000-0000-000081640000}"/>
    <cellStyle name="Percent [2] 10 5 5 2" xfId="25726" xr:uid="{00000000-0005-0000-0000-000082640000}"/>
    <cellStyle name="Percent [2] 10 5 5 3" xfId="25727" xr:uid="{00000000-0005-0000-0000-000083640000}"/>
    <cellStyle name="Percent [2] 10 5 6" xfId="25728" xr:uid="{00000000-0005-0000-0000-000084640000}"/>
    <cellStyle name="Percent [2] 10 5 7" xfId="25729" xr:uid="{00000000-0005-0000-0000-000085640000}"/>
    <cellStyle name="Percent [2] 10 5 8" xfId="25730" xr:uid="{00000000-0005-0000-0000-000086640000}"/>
    <cellStyle name="Percent [2] 10 6" xfId="25731" xr:uid="{00000000-0005-0000-0000-000087640000}"/>
    <cellStyle name="Percent [2] 10 6 2" xfId="25732" xr:uid="{00000000-0005-0000-0000-000088640000}"/>
    <cellStyle name="Percent [2] 10 6 2 2" xfId="25733" xr:uid="{00000000-0005-0000-0000-000089640000}"/>
    <cellStyle name="Percent [2] 10 6 2 3" xfId="25734" xr:uid="{00000000-0005-0000-0000-00008A640000}"/>
    <cellStyle name="Percent [2] 10 6 3" xfId="25735" xr:uid="{00000000-0005-0000-0000-00008B640000}"/>
    <cellStyle name="Percent [2] 10 6 3 2" xfId="25736" xr:uid="{00000000-0005-0000-0000-00008C640000}"/>
    <cellStyle name="Percent [2] 10 6 3 3" xfId="25737" xr:uid="{00000000-0005-0000-0000-00008D640000}"/>
    <cellStyle name="Percent [2] 10 6 4" xfId="25738" xr:uid="{00000000-0005-0000-0000-00008E640000}"/>
    <cellStyle name="Percent [2] 10 6 5" xfId="25739" xr:uid="{00000000-0005-0000-0000-00008F640000}"/>
    <cellStyle name="Percent [2] 10 6 6" xfId="25740" xr:uid="{00000000-0005-0000-0000-000090640000}"/>
    <cellStyle name="Percent [2] 10 7" xfId="25741" xr:uid="{00000000-0005-0000-0000-000091640000}"/>
    <cellStyle name="Percent [2] 10 7 2" xfId="25742" xr:uid="{00000000-0005-0000-0000-000092640000}"/>
    <cellStyle name="Percent [2] 10 7 3" xfId="25743" xr:uid="{00000000-0005-0000-0000-000093640000}"/>
    <cellStyle name="Percent [2] 10 8" xfId="25744" xr:uid="{00000000-0005-0000-0000-000094640000}"/>
    <cellStyle name="Percent [2] 10 8 2" xfId="25745" xr:uid="{00000000-0005-0000-0000-000095640000}"/>
    <cellStyle name="Percent [2] 10 8 3" xfId="25746" xr:uid="{00000000-0005-0000-0000-000096640000}"/>
    <cellStyle name="Percent [2] 10 9" xfId="25747" xr:uid="{00000000-0005-0000-0000-000097640000}"/>
    <cellStyle name="Percent [2] 10 9 2" xfId="25748" xr:uid="{00000000-0005-0000-0000-000098640000}"/>
    <cellStyle name="Percent [2] 10 9 3" xfId="25749" xr:uid="{00000000-0005-0000-0000-000099640000}"/>
    <cellStyle name="Percent [2] 11" xfId="25750" xr:uid="{00000000-0005-0000-0000-00009A640000}"/>
    <cellStyle name="Percent [2] 11 10" xfId="25751" xr:uid="{00000000-0005-0000-0000-00009B640000}"/>
    <cellStyle name="Percent [2] 11 11" xfId="25752" xr:uid="{00000000-0005-0000-0000-00009C640000}"/>
    <cellStyle name="Percent [2] 11 12" xfId="25753" xr:uid="{00000000-0005-0000-0000-00009D640000}"/>
    <cellStyle name="Percent [2] 11 2" xfId="25754" xr:uid="{00000000-0005-0000-0000-00009E640000}"/>
    <cellStyle name="Percent [2] 11 2 10" xfId="25755" xr:uid="{00000000-0005-0000-0000-00009F640000}"/>
    <cellStyle name="Percent [2] 11 2 2" xfId="25756" xr:uid="{00000000-0005-0000-0000-0000A0640000}"/>
    <cellStyle name="Percent [2] 11 2 2 2" xfId="25757" xr:uid="{00000000-0005-0000-0000-0000A1640000}"/>
    <cellStyle name="Percent [2] 11 2 2 2 2" xfId="25758" xr:uid="{00000000-0005-0000-0000-0000A2640000}"/>
    <cellStyle name="Percent [2] 11 2 2 2 2 2" xfId="25759" xr:uid="{00000000-0005-0000-0000-0000A3640000}"/>
    <cellStyle name="Percent [2] 11 2 2 2 2 3" xfId="25760" xr:uid="{00000000-0005-0000-0000-0000A4640000}"/>
    <cellStyle name="Percent [2] 11 2 2 2 3" xfId="25761" xr:uid="{00000000-0005-0000-0000-0000A5640000}"/>
    <cellStyle name="Percent [2] 11 2 2 2 3 2" xfId="25762" xr:uid="{00000000-0005-0000-0000-0000A6640000}"/>
    <cellStyle name="Percent [2] 11 2 2 2 3 3" xfId="25763" xr:uid="{00000000-0005-0000-0000-0000A7640000}"/>
    <cellStyle name="Percent [2] 11 2 2 2 4" xfId="25764" xr:uid="{00000000-0005-0000-0000-0000A8640000}"/>
    <cellStyle name="Percent [2] 11 2 2 2 5" xfId="25765" xr:uid="{00000000-0005-0000-0000-0000A9640000}"/>
    <cellStyle name="Percent [2] 11 2 2 2 6" xfId="25766" xr:uid="{00000000-0005-0000-0000-0000AA640000}"/>
    <cellStyle name="Percent [2] 11 2 2 3" xfId="25767" xr:uid="{00000000-0005-0000-0000-0000AB640000}"/>
    <cellStyle name="Percent [2] 11 2 2 3 2" xfId="25768" xr:uid="{00000000-0005-0000-0000-0000AC640000}"/>
    <cellStyle name="Percent [2] 11 2 2 3 3" xfId="25769" xr:uid="{00000000-0005-0000-0000-0000AD640000}"/>
    <cellStyle name="Percent [2] 11 2 2 4" xfId="25770" xr:uid="{00000000-0005-0000-0000-0000AE640000}"/>
    <cellStyle name="Percent [2] 11 2 2 4 2" xfId="25771" xr:uid="{00000000-0005-0000-0000-0000AF640000}"/>
    <cellStyle name="Percent [2] 11 2 2 4 3" xfId="25772" xr:uid="{00000000-0005-0000-0000-0000B0640000}"/>
    <cellStyle name="Percent [2] 11 2 2 5" xfId="25773" xr:uid="{00000000-0005-0000-0000-0000B1640000}"/>
    <cellStyle name="Percent [2] 11 2 2 5 2" xfId="25774" xr:uid="{00000000-0005-0000-0000-0000B2640000}"/>
    <cellStyle name="Percent [2] 11 2 2 5 3" xfId="25775" xr:uid="{00000000-0005-0000-0000-0000B3640000}"/>
    <cellStyle name="Percent [2] 11 2 2 6" xfId="25776" xr:uid="{00000000-0005-0000-0000-0000B4640000}"/>
    <cellStyle name="Percent [2] 11 2 2 7" xfId="25777" xr:uid="{00000000-0005-0000-0000-0000B5640000}"/>
    <cellStyle name="Percent [2] 11 2 2 8" xfId="25778" xr:uid="{00000000-0005-0000-0000-0000B6640000}"/>
    <cellStyle name="Percent [2] 11 2 3" xfId="25779" xr:uid="{00000000-0005-0000-0000-0000B7640000}"/>
    <cellStyle name="Percent [2] 11 2 3 2" xfId="25780" xr:uid="{00000000-0005-0000-0000-0000B8640000}"/>
    <cellStyle name="Percent [2] 11 2 3 2 2" xfId="25781" xr:uid="{00000000-0005-0000-0000-0000B9640000}"/>
    <cellStyle name="Percent [2] 11 2 3 2 2 2" xfId="25782" xr:uid="{00000000-0005-0000-0000-0000BA640000}"/>
    <cellStyle name="Percent [2] 11 2 3 2 2 3" xfId="25783" xr:uid="{00000000-0005-0000-0000-0000BB640000}"/>
    <cellStyle name="Percent [2] 11 2 3 2 3" xfId="25784" xr:uid="{00000000-0005-0000-0000-0000BC640000}"/>
    <cellStyle name="Percent [2] 11 2 3 2 3 2" xfId="25785" xr:uid="{00000000-0005-0000-0000-0000BD640000}"/>
    <cellStyle name="Percent [2] 11 2 3 2 3 3" xfId="25786" xr:uid="{00000000-0005-0000-0000-0000BE640000}"/>
    <cellStyle name="Percent [2] 11 2 3 2 4" xfId="25787" xr:uid="{00000000-0005-0000-0000-0000BF640000}"/>
    <cellStyle name="Percent [2] 11 2 3 2 5" xfId="25788" xr:uid="{00000000-0005-0000-0000-0000C0640000}"/>
    <cellStyle name="Percent [2] 11 2 3 2 6" xfId="25789" xr:uid="{00000000-0005-0000-0000-0000C1640000}"/>
    <cellStyle name="Percent [2] 11 2 3 3" xfId="25790" xr:uid="{00000000-0005-0000-0000-0000C2640000}"/>
    <cellStyle name="Percent [2] 11 2 3 3 2" xfId="25791" xr:uid="{00000000-0005-0000-0000-0000C3640000}"/>
    <cellStyle name="Percent [2] 11 2 3 3 3" xfId="25792" xr:uid="{00000000-0005-0000-0000-0000C4640000}"/>
    <cellStyle name="Percent [2] 11 2 3 4" xfId="25793" xr:uid="{00000000-0005-0000-0000-0000C5640000}"/>
    <cellStyle name="Percent [2] 11 2 3 4 2" xfId="25794" xr:uid="{00000000-0005-0000-0000-0000C6640000}"/>
    <cellStyle name="Percent [2] 11 2 3 4 3" xfId="25795" xr:uid="{00000000-0005-0000-0000-0000C7640000}"/>
    <cellStyle name="Percent [2] 11 2 3 5" xfId="25796" xr:uid="{00000000-0005-0000-0000-0000C8640000}"/>
    <cellStyle name="Percent [2] 11 2 3 5 2" xfId="25797" xr:uid="{00000000-0005-0000-0000-0000C9640000}"/>
    <cellStyle name="Percent [2] 11 2 3 5 3" xfId="25798" xr:uid="{00000000-0005-0000-0000-0000CA640000}"/>
    <cellStyle name="Percent [2] 11 2 3 6" xfId="25799" xr:uid="{00000000-0005-0000-0000-0000CB640000}"/>
    <cellStyle name="Percent [2] 11 2 3 7" xfId="25800" xr:uid="{00000000-0005-0000-0000-0000CC640000}"/>
    <cellStyle name="Percent [2] 11 2 3 8" xfId="25801" xr:uid="{00000000-0005-0000-0000-0000CD640000}"/>
    <cellStyle name="Percent [2] 11 2 4" xfId="25802" xr:uid="{00000000-0005-0000-0000-0000CE640000}"/>
    <cellStyle name="Percent [2] 11 2 4 2" xfId="25803" xr:uid="{00000000-0005-0000-0000-0000CF640000}"/>
    <cellStyle name="Percent [2] 11 2 4 2 2" xfId="25804" xr:uid="{00000000-0005-0000-0000-0000D0640000}"/>
    <cellStyle name="Percent [2] 11 2 4 2 3" xfId="25805" xr:uid="{00000000-0005-0000-0000-0000D1640000}"/>
    <cellStyle name="Percent [2] 11 2 4 3" xfId="25806" xr:uid="{00000000-0005-0000-0000-0000D2640000}"/>
    <cellStyle name="Percent [2] 11 2 4 3 2" xfId="25807" xr:uid="{00000000-0005-0000-0000-0000D3640000}"/>
    <cellStyle name="Percent [2] 11 2 4 3 3" xfId="25808" xr:uid="{00000000-0005-0000-0000-0000D4640000}"/>
    <cellStyle name="Percent [2] 11 2 4 4" xfId="25809" xr:uid="{00000000-0005-0000-0000-0000D5640000}"/>
    <cellStyle name="Percent [2] 11 2 4 5" xfId="25810" xr:uid="{00000000-0005-0000-0000-0000D6640000}"/>
    <cellStyle name="Percent [2] 11 2 4 6" xfId="25811" xr:uid="{00000000-0005-0000-0000-0000D7640000}"/>
    <cellStyle name="Percent [2] 11 2 5" xfId="25812" xr:uid="{00000000-0005-0000-0000-0000D8640000}"/>
    <cellStyle name="Percent [2] 11 2 5 2" xfId="25813" xr:uid="{00000000-0005-0000-0000-0000D9640000}"/>
    <cellStyle name="Percent [2] 11 2 5 3" xfId="25814" xr:uid="{00000000-0005-0000-0000-0000DA640000}"/>
    <cellStyle name="Percent [2] 11 2 6" xfId="25815" xr:uid="{00000000-0005-0000-0000-0000DB640000}"/>
    <cellStyle name="Percent [2] 11 2 6 2" xfId="25816" xr:uid="{00000000-0005-0000-0000-0000DC640000}"/>
    <cellStyle name="Percent [2] 11 2 6 3" xfId="25817" xr:uid="{00000000-0005-0000-0000-0000DD640000}"/>
    <cellStyle name="Percent [2] 11 2 7" xfId="25818" xr:uid="{00000000-0005-0000-0000-0000DE640000}"/>
    <cellStyle name="Percent [2] 11 2 7 2" xfId="25819" xr:uid="{00000000-0005-0000-0000-0000DF640000}"/>
    <cellStyle name="Percent [2] 11 2 7 3" xfId="25820" xr:uid="{00000000-0005-0000-0000-0000E0640000}"/>
    <cellStyle name="Percent [2] 11 2 8" xfId="25821" xr:uid="{00000000-0005-0000-0000-0000E1640000}"/>
    <cellStyle name="Percent [2] 11 2 9" xfId="25822" xr:uid="{00000000-0005-0000-0000-0000E2640000}"/>
    <cellStyle name="Percent [2] 11 3" xfId="25823" xr:uid="{00000000-0005-0000-0000-0000E3640000}"/>
    <cellStyle name="Percent [2] 11 3 2" xfId="25824" xr:uid="{00000000-0005-0000-0000-0000E4640000}"/>
    <cellStyle name="Percent [2] 11 3 2 2" xfId="25825" xr:uid="{00000000-0005-0000-0000-0000E5640000}"/>
    <cellStyle name="Percent [2] 11 3 2 2 2" xfId="25826" xr:uid="{00000000-0005-0000-0000-0000E6640000}"/>
    <cellStyle name="Percent [2] 11 3 2 2 3" xfId="25827" xr:uid="{00000000-0005-0000-0000-0000E7640000}"/>
    <cellStyle name="Percent [2] 11 3 2 3" xfId="25828" xr:uid="{00000000-0005-0000-0000-0000E8640000}"/>
    <cellStyle name="Percent [2] 11 3 2 3 2" xfId="25829" xr:uid="{00000000-0005-0000-0000-0000E9640000}"/>
    <cellStyle name="Percent [2] 11 3 2 3 3" xfId="25830" xr:uid="{00000000-0005-0000-0000-0000EA640000}"/>
    <cellStyle name="Percent [2] 11 3 2 4" xfId="25831" xr:uid="{00000000-0005-0000-0000-0000EB640000}"/>
    <cellStyle name="Percent [2] 11 3 2 5" xfId="25832" xr:uid="{00000000-0005-0000-0000-0000EC640000}"/>
    <cellStyle name="Percent [2] 11 3 2 6" xfId="25833" xr:uid="{00000000-0005-0000-0000-0000ED640000}"/>
    <cellStyle name="Percent [2] 11 3 3" xfId="25834" xr:uid="{00000000-0005-0000-0000-0000EE640000}"/>
    <cellStyle name="Percent [2] 11 3 3 2" xfId="25835" xr:uid="{00000000-0005-0000-0000-0000EF640000}"/>
    <cellStyle name="Percent [2] 11 3 3 3" xfId="25836" xr:uid="{00000000-0005-0000-0000-0000F0640000}"/>
    <cellStyle name="Percent [2] 11 3 4" xfId="25837" xr:uid="{00000000-0005-0000-0000-0000F1640000}"/>
    <cellStyle name="Percent [2] 11 3 4 2" xfId="25838" xr:uid="{00000000-0005-0000-0000-0000F2640000}"/>
    <cellStyle name="Percent [2] 11 3 4 3" xfId="25839" xr:uid="{00000000-0005-0000-0000-0000F3640000}"/>
    <cellStyle name="Percent [2] 11 3 5" xfId="25840" xr:uid="{00000000-0005-0000-0000-0000F4640000}"/>
    <cellStyle name="Percent [2] 11 3 5 2" xfId="25841" xr:uid="{00000000-0005-0000-0000-0000F5640000}"/>
    <cellStyle name="Percent [2] 11 3 5 3" xfId="25842" xr:uid="{00000000-0005-0000-0000-0000F6640000}"/>
    <cellStyle name="Percent [2] 11 3 6" xfId="25843" xr:uid="{00000000-0005-0000-0000-0000F7640000}"/>
    <cellStyle name="Percent [2] 11 3 7" xfId="25844" xr:uid="{00000000-0005-0000-0000-0000F8640000}"/>
    <cellStyle name="Percent [2] 11 3 8" xfId="25845" xr:uid="{00000000-0005-0000-0000-0000F9640000}"/>
    <cellStyle name="Percent [2] 11 4" xfId="25846" xr:uid="{00000000-0005-0000-0000-0000FA640000}"/>
    <cellStyle name="Percent [2] 11 4 2" xfId="25847" xr:uid="{00000000-0005-0000-0000-0000FB640000}"/>
    <cellStyle name="Percent [2] 11 4 2 2" xfId="25848" xr:uid="{00000000-0005-0000-0000-0000FC640000}"/>
    <cellStyle name="Percent [2] 11 4 2 2 2" xfId="25849" xr:uid="{00000000-0005-0000-0000-0000FD640000}"/>
    <cellStyle name="Percent [2] 11 4 2 2 3" xfId="25850" xr:uid="{00000000-0005-0000-0000-0000FE640000}"/>
    <cellStyle name="Percent [2] 11 4 2 3" xfId="25851" xr:uid="{00000000-0005-0000-0000-0000FF640000}"/>
    <cellStyle name="Percent [2] 11 4 2 3 2" xfId="25852" xr:uid="{00000000-0005-0000-0000-000000650000}"/>
    <cellStyle name="Percent [2] 11 4 2 3 3" xfId="25853" xr:uid="{00000000-0005-0000-0000-000001650000}"/>
    <cellStyle name="Percent [2] 11 4 2 4" xfId="25854" xr:uid="{00000000-0005-0000-0000-000002650000}"/>
    <cellStyle name="Percent [2] 11 4 2 5" xfId="25855" xr:uid="{00000000-0005-0000-0000-000003650000}"/>
    <cellStyle name="Percent [2] 11 4 2 6" xfId="25856" xr:uid="{00000000-0005-0000-0000-000004650000}"/>
    <cellStyle name="Percent [2] 11 4 3" xfId="25857" xr:uid="{00000000-0005-0000-0000-000005650000}"/>
    <cellStyle name="Percent [2] 11 4 3 2" xfId="25858" xr:uid="{00000000-0005-0000-0000-000006650000}"/>
    <cellStyle name="Percent [2] 11 4 3 3" xfId="25859" xr:uid="{00000000-0005-0000-0000-000007650000}"/>
    <cellStyle name="Percent [2] 11 4 4" xfId="25860" xr:uid="{00000000-0005-0000-0000-000008650000}"/>
    <cellStyle name="Percent [2] 11 4 4 2" xfId="25861" xr:uid="{00000000-0005-0000-0000-000009650000}"/>
    <cellStyle name="Percent [2] 11 4 4 3" xfId="25862" xr:uid="{00000000-0005-0000-0000-00000A650000}"/>
    <cellStyle name="Percent [2] 11 4 5" xfId="25863" xr:uid="{00000000-0005-0000-0000-00000B650000}"/>
    <cellStyle name="Percent [2] 11 4 5 2" xfId="25864" xr:uid="{00000000-0005-0000-0000-00000C650000}"/>
    <cellStyle name="Percent [2] 11 4 5 3" xfId="25865" xr:uid="{00000000-0005-0000-0000-00000D650000}"/>
    <cellStyle name="Percent [2] 11 4 6" xfId="25866" xr:uid="{00000000-0005-0000-0000-00000E650000}"/>
    <cellStyle name="Percent [2] 11 4 7" xfId="25867" xr:uid="{00000000-0005-0000-0000-00000F650000}"/>
    <cellStyle name="Percent [2] 11 4 8" xfId="25868" xr:uid="{00000000-0005-0000-0000-000010650000}"/>
    <cellStyle name="Percent [2] 11 5" xfId="25869" xr:uid="{00000000-0005-0000-0000-000011650000}"/>
    <cellStyle name="Percent [2] 11 5 2" xfId="25870" xr:uid="{00000000-0005-0000-0000-000012650000}"/>
    <cellStyle name="Percent [2] 11 5 2 2" xfId="25871" xr:uid="{00000000-0005-0000-0000-000013650000}"/>
    <cellStyle name="Percent [2] 11 5 2 2 2" xfId="25872" xr:uid="{00000000-0005-0000-0000-000014650000}"/>
    <cellStyle name="Percent [2] 11 5 2 2 3" xfId="25873" xr:uid="{00000000-0005-0000-0000-000015650000}"/>
    <cellStyle name="Percent [2] 11 5 2 3" xfId="25874" xr:uid="{00000000-0005-0000-0000-000016650000}"/>
    <cellStyle name="Percent [2] 11 5 2 3 2" xfId="25875" xr:uid="{00000000-0005-0000-0000-000017650000}"/>
    <cellStyle name="Percent [2] 11 5 2 3 3" xfId="25876" xr:uid="{00000000-0005-0000-0000-000018650000}"/>
    <cellStyle name="Percent [2] 11 5 2 4" xfId="25877" xr:uid="{00000000-0005-0000-0000-000019650000}"/>
    <cellStyle name="Percent [2] 11 5 2 5" xfId="25878" xr:uid="{00000000-0005-0000-0000-00001A650000}"/>
    <cellStyle name="Percent [2] 11 5 2 6" xfId="25879" xr:uid="{00000000-0005-0000-0000-00001B650000}"/>
    <cellStyle name="Percent [2] 11 5 3" xfId="25880" xr:uid="{00000000-0005-0000-0000-00001C650000}"/>
    <cellStyle name="Percent [2] 11 5 3 2" xfId="25881" xr:uid="{00000000-0005-0000-0000-00001D650000}"/>
    <cellStyle name="Percent [2] 11 5 3 3" xfId="25882" xr:uid="{00000000-0005-0000-0000-00001E650000}"/>
    <cellStyle name="Percent [2] 11 5 4" xfId="25883" xr:uid="{00000000-0005-0000-0000-00001F650000}"/>
    <cellStyle name="Percent [2] 11 5 4 2" xfId="25884" xr:uid="{00000000-0005-0000-0000-000020650000}"/>
    <cellStyle name="Percent [2] 11 5 4 3" xfId="25885" xr:uid="{00000000-0005-0000-0000-000021650000}"/>
    <cellStyle name="Percent [2] 11 5 5" xfId="25886" xr:uid="{00000000-0005-0000-0000-000022650000}"/>
    <cellStyle name="Percent [2] 11 5 5 2" xfId="25887" xr:uid="{00000000-0005-0000-0000-000023650000}"/>
    <cellStyle name="Percent [2] 11 5 5 3" xfId="25888" xr:uid="{00000000-0005-0000-0000-000024650000}"/>
    <cellStyle name="Percent [2] 11 5 6" xfId="25889" xr:uid="{00000000-0005-0000-0000-000025650000}"/>
    <cellStyle name="Percent [2] 11 5 7" xfId="25890" xr:uid="{00000000-0005-0000-0000-000026650000}"/>
    <cellStyle name="Percent [2] 11 5 8" xfId="25891" xr:uid="{00000000-0005-0000-0000-000027650000}"/>
    <cellStyle name="Percent [2] 11 6" xfId="25892" xr:uid="{00000000-0005-0000-0000-000028650000}"/>
    <cellStyle name="Percent [2] 11 6 2" xfId="25893" xr:uid="{00000000-0005-0000-0000-000029650000}"/>
    <cellStyle name="Percent [2] 11 6 2 2" xfId="25894" xr:uid="{00000000-0005-0000-0000-00002A650000}"/>
    <cellStyle name="Percent [2] 11 6 2 3" xfId="25895" xr:uid="{00000000-0005-0000-0000-00002B650000}"/>
    <cellStyle name="Percent [2] 11 6 3" xfId="25896" xr:uid="{00000000-0005-0000-0000-00002C650000}"/>
    <cellStyle name="Percent [2] 11 6 3 2" xfId="25897" xr:uid="{00000000-0005-0000-0000-00002D650000}"/>
    <cellStyle name="Percent [2] 11 6 3 3" xfId="25898" xr:uid="{00000000-0005-0000-0000-00002E650000}"/>
    <cellStyle name="Percent [2] 11 6 4" xfId="25899" xr:uid="{00000000-0005-0000-0000-00002F650000}"/>
    <cellStyle name="Percent [2] 11 6 5" xfId="25900" xr:uid="{00000000-0005-0000-0000-000030650000}"/>
    <cellStyle name="Percent [2] 11 6 6" xfId="25901" xr:uid="{00000000-0005-0000-0000-000031650000}"/>
    <cellStyle name="Percent [2] 11 7" xfId="25902" xr:uid="{00000000-0005-0000-0000-000032650000}"/>
    <cellStyle name="Percent [2] 11 7 2" xfId="25903" xr:uid="{00000000-0005-0000-0000-000033650000}"/>
    <cellStyle name="Percent [2] 11 7 3" xfId="25904" xr:uid="{00000000-0005-0000-0000-000034650000}"/>
    <cellStyle name="Percent [2] 11 8" xfId="25905" xr:uid="{00000000-0005-0000-0000-000035650000}"/>
    <cellStyle name="Percent [2] 11 8 2" xfId="25906" xr:uid="{00000000-0005-0000-0000-000036650000}"/>
    <cellStyle name="Percent [2] 11 8 3" xfId="25907" xr:uid="{00000000-0005-0000-0000-000037650000}"/>
    <cellStyle name="Percent [2] 11 9" xfId="25908" xr:uid="{00000000-0005-0000-0000-000038650000}"/>
    <cellStyle name="Percent [2] 11 9 2" xfId="25909" xr:uid="{00000000-0005-0000-0000-000039650000}"/>
    <cellStyle name="Percent [2] 11 9 3" xfId="25910" xr:uid="{00000000-0005-0000-0000-00003A650000}"/>
    <cellStyle name="Percent [2] 12" xfId="25911" xr:uid="{00000000-0005-0000-0000-00003B650000}"/>
    <cellStyle name="Percent [2] 12 10" xfId="25912" xr:uid="{00000000-0005-0000-0000-00003C650000}"/>
    <cellStyle name="Percent [2] 12 2" xfId="25913" xr:uid="{00000000-0005-0000-0000-00003D650000}"/>
    <cellStyle name="Percent [2] 12 2 2" xfId="25914" xr:uid="{00000000-0005-0000-0000-00003E650000}"/>
    <cellStyle name="Percent [2] 12 2 2 2" xfId="25915" xr:uid="{00000000-0005-0000-0000-00003F650000}"/>
    <cellStyle name="Percent [2] 12 2 2 2 2" xfId="25916" xr:uid="{00000000-0005-0000-0000-000040650000}"/>
    <cellStyle name="Percent [2] 12 2 2 2 3" xfId="25917" xr:uid="{00000000-0005-0000-0000-000041650000}"/>
    <cellStyle name="Percent [2] 12 2 2 3" xfId="25918" xr:uid="{00000000-0005-0000-0000-000042650000}"/>
    <cellStyle name="Percent [2] 12 2 2 3 2" xfId="25919" xr:uid="{00000000-0005-0000-0000-000043650000}"/>
    <cellStyle name="Percent [2] 12 2 2 3 3" xfId="25920" xr:uid="{00000000-0005-0000-0000-000044650000}"/>
    <cellStyle name="Percent [2] 12 2 2 4" xfId="25921" xr:uid="{00000000-0005-0000-0000-000045650000}"/>
    <cellStyle name="Percent [2] 12 2 2 5" xfId="25922" xr:uid="{00000000-0005-0000-0000-000046650000}"/>
    <cellStyle name="Percent [2] 12 2 2 6" xfId="25923" xr:uid="{00000000-0005-0000-0000-000047650000}"/>
    <cellStyle name="Percent [2] 12 2 3" xfId="25924" xr:uid="{00000000-0005-0000-0000-000048650000}"/>
    <cellStyle name="Percent [2] 12 2 3 2" xfId="25925" xr:uid="{00000000-0005-0000-0000-000049650000}"/>
    <cellStyle name="Percent [2] 12 2 3 3" xfId="25926" xr:uid="{00000000-0005-0000-0000-00004A650000}"/>
    <cellStyle name="Percent [2] 12 2 4" xfId="25927" xr:uid="{00000000-0005-0000-0000-00004B650000}"/>
    <cellStyle name="Percent [2] 12 2 4 2" xfId="25928" xr:uid="{00000000-0005-0000-0000-00004C650000}"/>
    <cellStyle name="Percent [2] 12 2 4 3" xfId="25929" xr:uid="{00000000-0005-0000-0000-00004D650000}"/>
    <cellStyle name="Percent [2] 12 2 5" xfId="25930" xr:uid="{00000000-0005-0000-0000-00004E650000}"/>
    <cellStyle name="Percent [2] 12 2 5 2" xfId="25931" xr:uid="{00000000-0005-0000-0000-00004F650000}"/>
    <cellStyle name="Percent [2] 12 2 5 3" xfId="25932" xr:uid="{00000000-0005-0000-0000-000050650000}"/>
    <cellStyle name="Percent [2] 12 2 6" xfId="25933" xr:uid="{00000000-0005-0000-0000-000051650000}"/>
    <cellStyle name="Percent [2] 12 2 7" xfId="25934" xr:uid="{00000000-0005-0000-0000-000052650000}"/>
    <cellStyle name="Percent [2] 12 2 8" xfId="25935" xr:uid="{00000000-0005-0000-0000-000053650000}"/>
    <cellStyle name="Percent [2] 12 3" xfId="25936" xr:uid="{00000000-0005-0000-0000-000054650000}"/>
    <cellStyle name="Percent [2] 12 3 2" xfId="25937" xr:uid="{00000000-0005-0000-0000-000055650000}"/>
    <cellStyle name="Percent [2] 12 3 2 2" xfId="25938" xr:uid="{00000000-0005-0000-0000-000056650000}"/>
    <cellStyle name="Percent [2] 12 3 2 2 2" xfId="25939" xr:uid="{00000000-0005-0000-0000-000057650000}"/>
    <cellStyle name="Percent [2] 12 3 2 2 3" xfId="25940" xr:uid="{00000000-0005-0000-0000-000058650000}"/>
    <cellStyle name="Percent [2] 12 3 2 3" xfId="25941" xr:uid="{00000000-0005-0000-0000-000059650000}"/>
    <cellStyle name="Percent [2] 12 3 2 3 2" xfId="25942" xr:uid="{00000000-0005-0000-0000-00005A650000}"/>
    <cellStyle name="Percent [2] 12 3 2 3 3" xfId="25943" xr:uid="{00000000-0005-0000-0000-00005B650000}"/>
    <cellStyle name="Percent [2] 12 3 2 4" xfId="25944" xr:uid="{00000000-0005-0000-0000-00005C650000}"/>
    <cellStyle name="Percent [2] 12 3 2 5" xfId="25945" xr:uid="{00000000-0005-0000-0000-00005D650000}"/>
    <cellStyle name="Percent [2] 12 3 2 6" xfId="25946" xr:uid="{00000000-0005-0000-0000-00005E650000}"/>
    <cellStyle name="Percent [2] 12 3 3" xfId="25947" xr:uid="{00000000-0005-0000-0000-00005F650000}"/>
    <cellStyle name="Percent [2] 12 3 3 2" xfId="25948" xr:uid="{00000000-0005-0000-0000-000060650000}"/>
    <cellStyle name="Percent [2] 12 3 3 3" xfId="25949" xr:uid="{00000000-0005-0000-0000-000061650000}"/>
    <cellStyle name="Percent [2] 12 3 4" xfId="25950" xr:uid="{00000000-0005-0000-0000-000062650000}"/>
    <cellStyle name="Percent [2] 12 3 4 2" xfId="25951" xr:uid="{00000000-0005-0000-0000-000063650000}"/>
    <cellStyle name="Percent [2] 12 3 4 3" xfId="25952" xr:uid="{00000000-0005-0000-0000-000064650000}"/>
    <cellStyle name="Percent [2] 12 3 5" xfId="25953" xr:uid="{00000000-0005-0000-0000-000065650000}"/>
    <cellStyle name="Percent [2] 12 3 5 2" xfId="25954" xr:uid="{00000000-0005-0000-0000-000066650000}"/>
    <cellStyle name="Percent [2] 12 3 5 3" xfId="25955" xr:uid="{00000000-0005-0000-0000-000067650000}"/>
    <cellStyle name="Percent [2] 12 3 6" xfId="25956" xr:uid="{00000000-0005-0000-0000-000068650000}"/>
    <cellStyle name="Percent [2] 12 3 7" xfId="25957" xr:uid="{00000000-0005-0000-0000-000069650000}"/>
    <cellStyle name="Percent [2] 12 3 8" xfId="25958" xr:uid="{00000000-0005-0000-0000-00006A650000}"/>
    <cellStyle name="Percent [2] 12 4" xfId="25959" xr:uid="{00000000-0005-0000-0000-00006B650000}"/>
    <cellStyle name="Percent [2] 12 4 2" xfId="25960" xr:uid="{00000000-0005-0000-0000-00006C650000}"/>
    <cellStyle name="Percent [2] 12 4 2 2" xfId="25961" xr:uid="{00000000-0005-0000-0000-00006D650000}"/>
    <cellStyle name="Percent [2] 12 4 2 3" xfId="25962" xr:uid="{00000000-0005-0000-0000-00006E650000}"/>
    <cellStyle name="Percent [2] 12 4 3" xfId="25963" xr:uid="{00000000-0005-0000-0000-00006F650000}"/>
    <cellStyle name="Percent [2] 12 4 3 2" xfId="25964" xr:uid="{00000000-0005-0000-0000-000070650000}"/>
    <cellStyle name="Percent [2] 12 4 3 3" xfId="25965" xr:uid="{00000000-0005-0000-0000-000071650000}"/>
    <cellStyle name="Percent [2] 12 4 4" xfId="25966" xr:uid="{00000000-0005-0000-0000-000072650000}"/>
    <cellStyle name="Percent [2] 12 4 5" xfId="25967" xr:uid="{00000000-0005-0000-0000-000073650000}"/>
    <cellStyle name="Percent [2] 12 4 6" xfId="25968" xr:uid="{00000000-0005-0000-0000-000074650000}"/>
    <cellStyle name="Percent [2] 12 5" xfId="25969" xr:uid="{00000000-0005-0000-0000-000075650000}"/>
    <cellStyle name="Percent [2] 12 5 2" xfId="25970" xr:uid="{00000000-0005-0000-0000-000076650000}"/>
    <cellStyle name="Percent [2] 12 5 3" xfId="25971" xr:uid="{00000000-0005-0000-0000-000077650000}"/>
    <cellStyle name="Percent [2] 12 6" xfId="25972" xr:uid="{00000000-0005-0000-0000-000078650000}"/>
    <cellStyle name="Percent [2] 12 6 2" xfId="25973" xr:uid="{00000000-0005-0000-0000-000079650000}"/>
    <cellStyle name="Percent [2] 12 6 3" xfId="25974" xr:uid="{00000000-0005-0000-0000-00007A650000}"/>
    <cellStyle name="Percent [2] 12 7" xfId="25975" xr:uid="{00000000-0005-0000-0000-00007B650000}"/>
    <cellStyle name="Percent [2] 12 7 2" xfId="25976" xr:uid="{00000000-0005-0000-0000-00007C650000}"/>
    <cellStyle name="Percent [2] 12 7 3" xfId="25977" xr:uid="{00000000-0005-0000-0000-00007D650000}"/>
    <cellStyle name="Percent [2] 12 8" xfId="25978" xr:uid="{00000000-0005-0000-0000-00007E650000}"/>
    <cellStyle name="Percent [2] 12 9" xfId="25979" xr:uid="{00000000-0005-0000-0000-00007F650000}"/>
    <cellStyle name="Percent [2] 13" xfId="25980" xr:uid="{00000000-0005-0000-0000-000080650000}"/>
    <cellStyle name="Percent [2] 13 2" xfId="25981" xr:uid="{00000000-0005-0000-0000-000081650000}"/>
    <cellStyle name="Percent [2] 13 2 2" xfId="25982" xr:uid="{00000000-0005-0000-0000-000082650000}"/>
    <cellStyle name="Percent [2] 13 2 2 2" xfId="25983" xr:uid="{00000000-0005-0000-0000-000083650000}"/>
    <cellStyle name="Percent [2] 13 2 2 3" xfId="25984" xr:uid="{00000000-0005-0000-0000-000084650000}"/>
    <cellStyle name="Percent [2] 13 2 3" xfId="25985" xr:uid="{00000000-0005-0000-0000-000085650000}"/>
    <cellStyle name="Percent [2] 13 2 3 2" xfId="25986" xr:uid="{00000000-0005-0000-0000-000086650000}"/>
    <cellStyle name="Percent [2] 13 2 3 3" xfId="25987" xr:uid="{00000000-0005-0000-0000-000087650000}"/>
    <cellStyle name="Percent [2] 13 2 4" xfId="25988" xr:uid="{00000000-0005-0000-0000-000088650000}"/>
    <cellStyle name="Percent [2] 13 2 5" xfId="25989" xr:uid="{00000000-0005-0000-0000-000089650000}"/>
    <cellStyle name="Percent [2] 13 2 6" xfId="25990" xr:uid="{00000000-0005-0000-0000-00008A650000}"/>
    <cellStyle name="Percent [2] 13 3" xfId="25991" xr:uid="{00000000-0005-0000-0000-00008B650000}"/>
    <cellStyle name="Percent [2] 13 3 2" xfId="25992" xr:uid="{00000000-0005-0000-0000-00008C650000}"/>
    <cellStyle name="Percent [2] 13 3 3" xfId="25993" xr:uid="{00000000-0005-0000-0000-00008D650000}"/>
    <cellStyle name="Percent [2] 13 4" xfId="25994" xr:uid="{00000000-0005-0000-0000-00008E650000}"/>
    <cellStyle name="Percent [2] 13 4 2" xfId="25995" xr:uid="{00000000-0005-0000-0000-00008F650000}"/>
    <cellStyle name="Percent [2] 13 4 3" xfId="25996" xr:uid="{00000000-0005-0000-0000-000090650000}"/>
    <cellStyle name="Percent [2] 13 5" xfId="25997" xr:uid="{00000000-0005-0000-0000-000091650000}"/>
    <cellStyle name="Percent [2] 13 5 2" xfId="25998" xr:uid="{00000000-0005-0000-0000-000092650000}"/>
    <cellStyle name="Percent [2] 13 5 3" xfId="25999" xr:uid="{00000000-0005-0000-0000-000093650000}"/>
    <cellStyle name="Percent [2] 13 6" xfId="26000" xr:uid="{00000000-0005-0000-0000-000094650000}"/>
    <cellStyle name="Percent [2] 13 7" xfId="26001" xr:uid="{00000000-0005-0000-0000-000095650000}"/>
    <cellStyle name="Percent [2] 13 8" xfId="26002" xr:uid="{00000000-0005-0000-0000-000096650000}"/>
    <cellStyle name="Percent [2] 14" xfId="26003" xr:uid="{00000000-0005-0000-0000-000097650000}"/>
    <cellStyle name="Percent [2] 14 2" xfId="26004" xr:uid="{00000000-0005-0000-0000-000098650000}"/>
    <cellStyle name="Percent [2] 14 2 2" xfId="26005" xr:uid="{00000000-0005-0000-0000-000099650000}"/>
    <cellStyle name="Percent [2] 14 2 2 2" xfId="26006" xr:uid="{00000000-0005-0000-0000-00009A650000}"/>
    <cellStyle name="Percent [2] 14 2 2 3" xfId="26007" xr:uid="{00000000-0005-0000-0000-00009B650000}"/>
    <cellStyle name="Percent [2] 14 2 3" xfId="26008" xr:uid="{00000000-0005-0000-0000-00009C650000}"/>
    <cellStyle name="Percent [2] 14 2 3 2" xfId="26009" xr:uid="{00000000-0005-0000-0000-00009D650000}"/>
    <cellStyle name="Percent [2] 14 2 3 3" xfId="26010" xr:uid="{00000000-0005-0000-0000-00009E650000}"/>
    <cellStyle name="Percent [2] 14 2 4" xfId="26011" xr:uid="{00000000-0005-0000-0000-00009F650000}"/>
    <cellStyle name="Percent [2] 14 2 5" xfId="26012" xr:uid="{00000000-0005-0000-0000-0000A0650000}"/>
    <cellStyle name="Percent [2] 14 2 6" xfId="26013" xr:uid="{00000000-0005-0000-0000-0000A1650000}"/>
    <cellStyle name="Percent [2] 14 3" xfId="26014" xr:uid="{00000000-0005-0000-0000-0000A2650000}"/>
    <cellStyle name="Percent [2] 14 3 2" xfId="26015" xr:uid="{00000000-0005-0000-0000-0000A3650000}"/>
    <cellStyle name="Percent [2] 14 3 3" xfId="26016" xr:uid="{00000000-0005-0000-0000-0000A4650000}"/>
    <cellStyle name="Percent [2] 14 4" xfId="26017" xr:uid="{00000000-0005-0000-0000-0000A5650000}"/>
    <cellStyle name="Percent [2] 14 4 2" xfId="26018" xr:uid="{00000000-0005-0000-0000-0000A6650000}"/>
    <cellStyle name="Percent [2] 14 4 3" xfId="26019" xr:uid="{00000000-0005-0000-0000-0000A7650000}"/>
    <cellStyle name="Percent [2] 14 5" xfId="26020" xr:uid="{00000000-0005-0000-0000-0000A8650000}"/>
    <cellStyle name="Percent [2] 14 5 2" xfId="26021" xr:uid="{00000000-0005-0000-0000-0000A9650000}"/>
    <cellStyle name="Percent [2] 14 5 3" xfId="26022" xr:uid="{00000000-0005-0000-0000-0000AA650000}"/>
    <cellStyle name="Percent [2] 14 6" xfId="26023" xr:uid="{00000000-0005-0000-0000-0000AB650000}"/>
    <cellStyle name="Percent [2] 14 7" xfId="26024" xr:uid="{00000000-0005-0000-0000-0000AC650000}"/>
    <cellStyle name="Percent [2] 14 8" xfId="26025" xr:uid="{00000000-0005-0000-0000-0000AD650000}"/>
    <cellStyle name="Percent [2] 15" xfId="26026" xr:uid="{00000000-0005-0000-0000-0000AE650000}"/>
    <cellStyle name="Percent [2] 15 2" xfId="26027" xr:uid="{00000000-0005-0000-0000-0000AF650000}"/>
    <cellStyle name="Percent [2] 15 2 2" xfId="26028" xr:uid="{00000000-0005-0000-0000-0000B0650000}"/>
    <cellStyle name="Percent [2] 15 2 2 2" xfId="26029" xr:uid="{00000000-0005-0000-0000-0000B1650000}"/>
    <cellStyle name="Percent [2] 15 2 2 3" xfId="26030" xr:uid="{00000000-0005-0000-0000-0000B2650000}"/>
    <cellStyle name="Percent [2] 15 2 3" xfId="26031" xr:uid="{00000000-0005-0000-0000-0000B3650000}"/>
    <cellStyle name="Percent [2] 15 2 3 2" xfId="26032" xr:uid="{00000000-0005-0000-0000-0000B4650000}"/>
    <cellStyle name="Percent [2] 15 2 3 3" xfId="26033" xr:uid="{00000000-0005-0000-0000-0000B5650000}"/>
    <cellStyle name="Percent [2] 15 2 4" xfId="26034" xr:uid="{00000000-0005-0000-0000-0000B6650000}"/>
    <cellStyle name="Percent [2] 15 2 5" xfId="26035" xr:uid="{00000000-0005-0000-0000-0000B7650000}"/>
    <cellStyle name="Percent [2] 15 2 6" xfId="26036" xr:uid="{00000000-0005-0000-0000-0000B8650000}"/>
    <cellStyle name="Percent [2] 15 3" xfId="26037" xr:uid="{00000000-0005-0000-0000-0000B9650000}"/>
    <cellStyle name="Percent [2] 15 3 2" xfId="26038" xr:uid="{00000000-0005-0000-0000-0000BA650000}"/>
    <cellStyle name="Percent [2] 15 3 3" xfId="26039" xr:uid="{00000000-0005-0000-0000-0000BB650000}"/>
    <cellStyle name="Percent [2] 15 4" xfId="26040" xr:uid="{00000000-0005-0000-0000-0000BC650000}"/>
    <cellStyle name="Percent [2] 15 4 2" xfId="26041" xr:uid="{00000000-0005-0000-0000-0000BD650000}"/>
    <cellStyle name="Percent [2] 15 4 3" xfId="26042" xr:uid="{00000000-0005-0000-0000-0000BE650000}"/>
    <cellStyle name="Percent [2] 15 5" xfId="26043" xr:uid="{00000000-0005-0000-0000-0000BF650000}"/>
    <cellStyle name="Percent [2] 15 5 2" xfId="26044" xr:uid="{00000000-0005-0000-0000-0000C0650000}"/>
    <cellStyle name="Percent [2] 15 5 3" xfId="26045" xr:uid="{00000000-0005-0000-0000-0000C1650000}"/>
    <cellStyle name="Percent [2] 15 6" xfId="26046" xr:uid="{00000000-0005-0000-0000-0000C2650000}"/>
    <cellStyle name="Percent [2] 15 7" xfId="26047" xr:uid="{00000000-0005-0000-0000-0000C3650000}"/>
    <cellStyle name="Percent [2] 15 8" xfId="26048" xr:uid="{00000000-0005-0000-0000-0000C4650000}"/>
    <cellStyle name="Percent [2] 16" xfId="26049" xr:uid="{00000000-0005-0000-0000-0000C5650000}"/>
    <cellStyle name="Percent [2] 16 2" xfId="26050" xr:uid="{00000000-0005-0000-0000-0000C6650000}"/>
    <cellStyle name="Percent [2] 16 2 2" xfId="26051" xr:uid="{00000000-0005-0000-0000-0000C7650000}"/>
    <cellStyle name="Percent [2] 16 2 3" xfId="26052" xr:uid="{00000000-0005-0000-0000-0000C8650000}"/>
    <cellStyle name="Percent [2] 16 3" xfId="26053" xr:uid="{00000000-0005-0000-0000-0000C9650000}"/>
    <cellStyle name="Percent [2] 16 3 2" xfId="26054" xr:uid="{00000000-0005-0000-0000-0000CA650000}"/>
    <cellStyle name="Percent [2] 16 3 3" xfId="26055" xr:uid="{00000000-0005-0000-0000-0000CB650000}"/>
    <cellStyle name="Percent [2] 16 4" xfId="26056" xr:uid="{00000000-0005-0000-0000-0000CC650000}"/>
    <cellStyle name="Percent [2] 16 5" xfId="26057" xr:uid="{00000000-0005-0000-0000-0000CD650000}"/>
    <cellStyle name="Percent [2] 16 6" xfId="26058" xr:uid="{00000000-0005-0000-0000-0000CE650000}"/>
    <cellStyle name="Percent [2] 17" xfId="26059" xr:uid="{00000000-0005-0000-0000-0000CF650000}"/>
    <cellStyle name="Percent [2] 17 2" xfId="26060" xr:uid="{00000000-0005-0000-0000-0000D0650000}"/>
    <cellStyle name="Percent [2] 17 3" xfId="26061" xr:uid="{00000000-0005-0000-0000-0000D1650000}"/>
    <cellStyle name="Percent [2] 18" xfId="26062" xr:uid="{00000000-0005-0000-0000-0000D2650000}"/>
    <cellStyle name="Percent [2] 18 2" xfId="26063" xr:uid="{00000000-0005-0000-0000-0000D3650000}"/>
    <cellStyle name="Percent [2] 18 3" xfId="26064" xr:uid="{00000000-0005-0000-0000-0000D4650000}"/>
    <cellStyle name="Percent [2] 19" xfId="26065" xr:uid="{00000000-0005-0000-0000-0000D5650000}"/>
    <cellStyle name="Percent [2] 19 2" xfId="26066" xr:uid="{00000000-0005-0000-0000-0000D6650000}"/>
    <cellStyle name="Percent [2] 19 3" xfId="26067" xr:uid="{00000000-0005-0000-0000-0000D7650000}"/>
    <cellStyle name="Percent [2] 2" xfId="26068" xr:uid="{00000000-0005-0000-0000-0000D8650000}"/>
    <cellStyle name="Percent [2] 2 10" xfId="26069" xr:uid="{00000000-0005-0000-0000-0000D9650000}"/>
    <cellStyle name="Percent [2] 2 11" xfId="26070" xr:uid="{00000000-0005-0000-0000-0000DA650000}"/>
    <cellStyle name="Percent [2] 2 12" xfId="26071" xr:uid="{00000000-0005-0000-0000-0000DB650000}"/>
    <cellStyle name="Percent [2] 2 2" xfId="26072" xr:uid="{00000000-0005-0000-0000-0000DC650000}"/>
    <cellStyle name="Percent [2] 2 2 10" xfId="26073" xr:uid="{00000000-0005-0000-0000-0000DD650000}"/>
    <cellStyle name="Percent [2] 2 2 2" xfId="26074" xr:uid="{00000000-0005-0000-0000-0000DE650000}"/>
    <cellStyle name="Percent [2] 2 2 2 2" xfId="26075" xr:uid="{00000000-0005-0000-0000-0000DF650000}"/>
    <cellStyle name="Percent [2] 2 2 2 2 2" xfId="26076" xr:uid="{00000000-0005-0000-0000-0000E0650000}"/>
    <cellStyle name="Percent [2] 2 2 2 2 2 2" xfId="26077" xr:uid="{00000000-0005-0000-0000-0000E1650000}"/>
    <cellStyle name="Percent [2] 2 2 2 2 2 3" xfId="26078" xr:uid="{00000000-0005-0000-0000-0000E2650000}"/>
    <cellStyle name="Percent [2] 2 2 2 2 3" xfId="26079" xr:uid="{00000000-0005-0000-0000-0000E3650000}"/>
    <cellStyle name="Percent [2] 2 2 2 2 3 2" xfId="26080" xr:uid="{00000000-0005-0000-0000-0000E4650000}"/>
    <cellStyle name="Percent [2] 2 2 2 2 3 3" xfId="26081" xr:uid="{00000000-0005-0000-0000-0000E5650000}"/>
    <cellStyle name="Percent [2] 2 2 2 2 4" xfId="26082" xr:uid="{00000000-0005-0000-0000-0000E6650000}"/>
    <cellStyle name="Percent [2] 2 2 2 2 5" xfId="26083" xr:uid="{00000000-0005-0000-0000-0000E7650000}"/>
    <cellStyle name="Percent [2] 2 2 2 2 6" xfId="26084" xr:uid="{00000000-0005-0000-0000-0000E8650000}"/>
    <cellStyle name="Percent [2] 2 2 2 3" xfId="26085" xr:uid="{00000000-0005-0000-0000-0000E9650000}"/>
    <cellStyle name="Percent [2] 2 2 2 3 2" xfId="26086" xr:uid="{00000000-0005-0000-0000-0000EA650000}"/>
    <cellStyle name="Percent [2] 2 2 2 3 3" xfId="26087" xr:uid="{00000000-0005-0000-0000-0000EB650000}"/>
    <cellStyle name="Percent [2] 2 2 2 4" xfId="26088" xr:uid="{00000000-0005-0000-0000-0000EC650000}"/>
    <cellStyle name="Percent [2] 2 2 2 4 2" xfId="26089" xr:uid="{00000000-0005-0000-0000-0000ED650000}"/>
    <cellStyle name="Percent [2] 2 2 2 4 3" xfId="26090" xr:uid="{00000000-0005-0000-0000-0000EE650000}"/>
    <cellStyle name="Percent [2] 2 2 2 5" xfId="26091" xr:uid="{00000000-0005-0000-0000-0000EF650000}"/>
    <cellStyle name="Percent [2] 2 2 2 5 2" xfId="26092" xr:uid="{00000000-0005-0000-0000-0000F0650000}"/>
    <cellStyle name="Percent [2] 2 2 2 5 3" xfId="26093" xr:uid="{00000000-0005-0000-0000-0000F1650000}"/>
    <cellStyle name="Percent [2] 2 2 2 6" xfId="26094" xr:uid="{00000000-0005-0000-0000-0000F2650000}"/>
    <cellStyle name="Percent [2] 2 2 2 7" xfId="26095" xr:uid="{00000000-0005-0000-0000-0000F3650000}"/>
    <cellStyle name="Percent [2] 2 2 2 8" xfId="26096" xr:uid="{00000000-0005-0000-0000-0000F4650000}"/>
    <cellStyle name="Percent [2] 2 2 3" xfId="26097" xr:uid="{00000000-0005-0000-0000-0000F5650000}"/>
    <cellStyle name="Percent [2] 2 2 3 2" xfId="26098" xr:uid="{00000000-0005-0000-0000-0000F6650000}"/>
    <cellStyle name="Percent [2] 2 2 3 2 2" xfId="26099" xr:uid="{00000000-0005-0000-0000-0000F7650000}"/>
    <cellStyle name="Percent [2] 2 2 3 2 2 2" xfId="26100" xr:uid="{00000000-0005-0000-0000-0000F8650000}"/>
    <cellStyle name="Percent [2] 2 2 3 2 2 3" xfId="26101" xr:uid="{00000000-0005-0000-0000-0000F9650000}"/>
    <cellStyle name="Percent [2] 2 2 3 2 3" xfId="26102" xr:uid="{00000000-0005-0000-0000-0000FA650000}"/>
    <cellStyle name="Percent [2] 2 2 3 2 3 2" xfId="26103" xr:uid="{00000000-0005-0000-0000-0000FB650000}"/>
    <cellStyle name="Percent [2] 2 2 3 2 3 3" xfId="26104" xr:uid="{00000000-0005-0000-0000-0000FC650000}"/>
    <cellStyle name="Percent [2] 2 2 3 2 4" xfId="26105" xr:uid="{00000000-0005-0000-0000-0000FD650000}"/>
    <cellStyle name="Percent [2] 2 2 3 2 5" xfId="26106" xr:uid="{00000000-0005-0000-0000-0000FE650000}"/>
    <cellStyle name="Percent [2] 2 2 3 2 6" xfId="26107" xr:uid="{00000000-0005-0000-0000-0000FF650000}"/>
    <cellStyle name="Percent [2] 2 2 3 3" xfId="26108" xr:uid="{00000000-0005-0000-0000-000000660000}"/>
    <cellStyle name="Percent [2] 2 2 3 3 2" xfId="26109" xr:uid="{00000000-0005-0000-0000-000001660000}"/>
    <cellStyle name="Percent [2] 2 2 3 3 3" xfId="26110" xr:uid="{00000000-0005-0000-0000-000002660000}"/>
    <cellStyle name="Percent [2] 2 2 3 4" xfId="26111" xr:uid="{00000000-0005-0000-0000-000003660000}"/>
    <cellStyle name="Percent [2] 2 2 3 4 2" xfId="26112" xr:uid="{00000000-0005-0000-0000-000004660000}"/>
    <cellStyle name="Percent [2] 2 2 3 4 3" xfId="26113" xr:uid="{00000000-0005-0000-0000-000005660000}"/>
    <cellStyle name="Percent [2] 2 2 3 5" xfId="26114" xr:uid="{00000000-0005-0000-0000-000006660000}"/>
    <cellStyle name="Percent [2] 2 2 3 5 2" xfId="26115" xr:uid="{00000000-0005-0000-0000-000007660000}"/>
    <cellStyle name="Percent [2] 2 2 3 5 3" xfId="26116" xr:uid="{00000000-0005-0000-0000-000008660000}"/>
    <cellStyle name="Percent [2] 2 2 3 6" xfId="26117" xr:uid="{00000000-0005-0000-0000-000009660000}"/>
    <cellStyle name="Percent [2] 2 2 3 7" xfId="26118" xr:uid="{00000000-0005-0000-0000-00000A660000}"/>
    <cellStyle name="Percent [2] 2 2 3 8" xfId="26119" xr:uid="{00000000-0005-0000-0000-00000B660000}"/>
    <cellStyle name="Percent [2] 2 2 4" xfId="26120" xr:uid="{00000000-0005-0000-0000-00000C660000}"/>
    <cellStyle name="Percent [2] 2 2 4 2" xfId="26121" xr:uid="{00000000-0005-0000-0000-00000D660000}"/>
    <cellStyle name="Percent [2] 2 2 4 2 2" xfId="26122" xr:uid="{00000000-0005-0000-0000-00000E660000}"/>
    <cellStyle name="Percent [2] 2 2 4 2 3" xfId="26123" xr:uid="{00000000-0005-0000-0000-00000F660000}"/>
    <cellStyle name="Percent [2] 2 2 4 3" xfId="26124" xr:uid="{00000000-0005-0000-0000-000010660000}"/>
    <cellStyle name="Percent [2] 2 2 4 3 2" xfId="26125" xr:uid="{00000000-0005-0000-0000-000011660000}"/>
    <cellStyle name="Percent [2] 2 2 4 3 3" xfId="26126" xr:uid="{00000000-0005-0000-0000-000012660000}"/>
    <cellStyle name="Percent [2] 2 2 4 4" xfId="26127" xr:uid="{00000000-0005-0000-0000-000013660000}"/>
    <cellStyle name="Percent [2] 2 2 4 5" xfId="26128" xr:uid="{00000000-0005-0000-0000-000014660000}"/>
    <cellStyle name="Percent [2] 2 2 4 6" xfId="26129" xr:uid="{00000000-0005-0000-0000-000015660000}"/>
    <cellStyle name="Percent [2] 2 2 5" xfId="26130" xr:uid="{00000000-0005-0000-0000-000016660000}"/>
    <cellStyle name="Percent [2] 2 2 5 2" xfId="26131" xr:uid="{00000000-0005-0000-0000-000017660000}"/>
    <cellStyle name="Percent [2] 2 2 5 3" xfId="26132" xr:uid="{00000000-0005-0000-0000-000018660000}"/>
    <cellStyle name="Percent [2] 2 2 6" xfId="26133" xr:uid="{00000000-0005-0000-0000-000019660000}"/>
    <cellStyle name="Percent [2] 2 2 6 2" xfId="26134" xr:uid="{00000000-0005-0000-0000-00001A660000}"/>
    <cellStyle name="Percent [2] 2 2 6 3" xfId="26135" xr:uid="{00000000-0005-0000-0000-00001B660000}"/>
    <cellStyle name="Percent [2] 2 2 7" xfId="26136" xr:uid="{00000000-0005-0000-0000-00001C660000}"/>
    <cellStyle name="Percent [2] 2 2 7 2" xfId="26137" xr:uid="{00000000-0005-0000-0000-00001D660000}"/>
    <cellStyle name="Percent [2] 2 2 7 3" xfId="26138" xr:uid="{00000000-0005-0000-0000-00001E660000}"/>
    <cellStyle name="Percent [2] 2 2 8" xfId="26139" xr:uid="{00000000-0005-0000-0000-00001F660000}"/>
    <cellStyle name="Percent [2] 2 2 9" xfId="26140" xr:uid="{00000000-0005-0000-0000-000020660000}"/>
    <cellStyle name="Percent [2] 2 3" xfId="26141" xr:uid="{00000000-0005-0000-0000-000021660000}"/>
    <cellStyle name="Percent [2] 2 3 2" xfId="26142" xr:uid="{00000000-0005-0000-0000-000022660000}"/>
    <cellStyle name="Percent [2] 2 3 2 2" xfId="26143" xr:uid="{00000000-0005-0000-0000-000023660000}"/>
    <cellStyle name="Percent [2] 2 3 2 2 2" xfId="26144" xr:uid="{00000000-0005-0000-0000-000024660000}"/>
    <cellStyle name="Percent [2] 2 3 2 2 3" xfId="26145" xr:uid="{00000000-0005-0000-0000-000025660000}"/>
    <cellStyle name="Percent [2] 2 3 2 3" xfId="26146" xr:uid="{00000000-0005-0000-0000-000026660000}"/>
    <cellStyle name="Percent [2] 2 3 2 3 2" xfId="26147" xr:uid="{00000000-0005-0000-0000-000027660000}"/>
    <cellStyle name="Percent [2] 2 3 2 3 3" xfId="26148" xr:uid="{00000000-0005-0000-0000-000028660000}"/>
    <cellStyle name="Percent [2] 2 3 2 4" xfId="26149" xr:uid="{00000000-0005-0000-0000-000029660000}"/>
    <cellStyle name="Percent [2] 2 3 2 5" xfId="26150" xr:uid="{00000000-0005-0000-0000-00002A660000}"/>
    <cellStyle name="Percent [2] 2 3 2 6" xfId="26151" xr:uid="{00000000-0005-0000-0000-00002B660000}"/>
    <cellStyle name="Percent [2] 2 3 3" xfId="26152" xr:uid="{00000000-0005-0000-0000-00002C660000}"/>
    <cellStyle name="Percent [2] 2 3 3 2" xfId="26153" xr:uid="{00000000-0005-0000-0000-00002D660000}"/>
    <cellStyle name="Percent [2] 2 3 3 3" xfId="26154" xr:uid="{00000000-0005-0000-0000-00002E660000}"/>
    <cellStyle name="Percent [2] 2 3 4" xfId="26155" xr:uid="{00000000-0005-0000-0000-00002F660000}"/>
    <cellStyle name="Percent [2] 2 3 4 2" xfId="26156" xr:uid="{00000000-0005-0000-0000-000030660000}"/>
    <cellStyle name="Percent [2] 2 3 4 3" xfId="26157" xr:uid="{00000000-0005-0000-0000-000031660000}"/>
    <cellStyle name="Percent [2] 2 3 5" xfId="26158" xr:uid="{00000000-0005-0000-0000-000032660000}"/>
    <cellStyle name="Percent [2] 2 3 5 2" xfId="26159" xr:uid="{00000000-0005-0000-0000-000033660000}"/>
    <cellStyle name="Percent [2] 2 3 5 3" xfId="26160" xr:uid="{00000000-0005-0000-0000-000034660000}"/>
    <cellStyle name="Percent [2] 2 3 6" xfId="26161" xr:uid="{00000000-0005-0000-0000-000035660000}"/>
    <cellStyle name="Percent [2] 2 3 7" xfId="26162" xr:uid="{00000000-0005-0000-0000-000036660000}"/>
    <cellStyle name="Percent [2] 2 3 8" xfId="26163" xr:uid="{00000000-0005-0000-0000-000037660000}"/>
    <cellStyle name="Percent [2] 2 4" xfId="26164" xr:uid="{00000000-0005-0000-0000-000038660000}"/>
    <cellStyle name="Percent [2] 2 4 2" xfId="26165" xr:uid="{00000000-0005-0000-0000-000039660000}"/>
    <cellStyle name="Percent [2] 2 4 2 2" xfId="26166" xr:uid="{00000000-0005-0000-0000-00003A660000}"/>
    <cellStyle name="Percent [2] 2 4 2 2 2" xfId="26167" xr:uid="{00000000-0005-0000-0000-00003B660000}"/>
    <cellStyle name="Percent [2] 2 4 2 2 3" xfId="26168" xr:uid="{00000000-0005-0000-0000-00003C660000}"/>
    <cellStyle name="Percent [2] 2 4 2 3" xfId="26169" xr:uid="{00000000-0005-0000-0000-00003D660000}"/>
    <cellStyle name="Percent [2] 2 4 2 3 2" xfId="26170" xr:uid="{00000000-0005-0000-0000-00003E660000}"/>
    <cellStyle name="Percent [2] 2 4 2 3 3" xfId="26171" xr:uid="{00000000-0005-0000-0000-00003F660000}"/>
    <cellStyle name="Percent [2] 2 4 2 4" xfId="26172" xr:uid="{00000000-0005-0000-0000-000040660000}"/>
    <cellStyle name="Percent [2] 2 4 2 5" xfId="26173" xr:uid="{00000000-0005-0000-0000-000041660000}"/>
    <cellStyle name="Percent [2] 2 4 2 6" xfId="26174" xr:uid="{00000000-0005-0000-0000-000042660000}"/>
    <cellStyle name="Percent [2] 2 4 3" xfId="26175" xr:uid="{00000000-0005-0000-0000-000043660000}"/>
    <cellStyle name="Percent [2] 2 4 3 2" xfId="26176" xr:uid="{00000000-0005-0000-0000-000044660000}"/>
    <cellStyle name="Percent [2] 2 4 3 3" xfId="26177" xr:uid="{00000000-0005-0000-0000-000045660000}"/>
    <cellStyle name="Percent [2] 2 4 4" xfId="26178" xr:uid="{00000000-0005-0000-0000-000046660000}"/>
    <cellStyle name="Percent [2] 2 4 4 2" xfId="26179" xr:uid="{00000000-0005-0000-0000-000047660000}"/>
    <cellStyle name="Percent [2] 2 4 4 3" xfId="26180" xr:uid="{00000000-0005-0000-0000-000048660000}"/>
    <cellStyle name="Percent [2] 2 4 5" xfId="26181" xr:uid="{00000000-0005-0000-0000-000049660000}"/>
    <cellStyle name="Percent [2] 2 4 5 2" xfId="26182" xr:uid="{00000000-0005-0000-0000-00004A660000}"/>
    <cellStyle name="Percent [2] 2 4 5 3" xfId="26183" xr:uid="{00000000-0005-0000-0000-00004B660000}"/>
    <cellStyle name="Percent [2] 2 4 6" xfId="26184" xr:uid="{00000000-0005-0000-0000-00004C660000}"/>
    <cellStyle name="Percent [2] 2 4 7" xfId="26185" xr:uid="{00000000-0005-0000-0000-00004D660000}"/>
    <cellStyle name="Percent [2] 2 4 8" xfId="26186" xr:uid="{00000000-0005-0000-0000-00004E660000}"/>
    <cellStyle name="Percent [2] 2 5" xfId="26187" xr:uid="{00000000-0005-0000-0000-00004F660000}"/>
    <cellStyle name="Percent [2] 2 5 2" xfId="26188" xr:uid="{00000000-0005-0000-0000-000050660000}"/>
    <cellStyle name="Percent [2] 2 5 2 2" xfId="26189" xr:uid="{00000000-0005-0000-0000-000051660000}"/>
    <cellStyle name="Percent [2] 2 5 2 2 2" xfId="26190" xr:uid="{00000000-0005-0000-0000-000052660000}"/>
    <cellStyle name="Percent [2] 2 5 2 2 3" xfId="26191" xr:uid="{00000000-0005-0000-0000-000053660000}"/>
    <cellStyle name="Percent [2] 2 5 2 3" xfId="26192" xr:uid="{00000000-0005-0000-0000-000054660000}"/>
    <cellStyle name="Percent [2] 2 5 2 3 2" xfId="26193" xr:uid="{00000000-0005-0000-0000-000055660000}"/>
    <cellStyle name="Percent [2] 2 5 2 3 3" xfId="26194" xr:uid="{00000000-0005-0000-0000-000056660000}"/>
    <cellStyle name="Percent [2] 2 5 2 4" xfId="26195" xr:uid="{00000000-0005-0000-0000-000057660000}"/>
    <cellStyle name="Percent [2] 2 5 2 5" xfId="26196" xr:uid="{00000000-0005-0000-0000-000058660000}"/>
    <cellStyle name="Percent [2] 2 5 2 6" xfId="26197" xr:uid="{00000000-0005-0000-0000-000059660000}"/>
    <cellStyle name="Percent [2] 2 5 3" xfId="26198" xr:uid="{00000000-0005-0000-0000-00005A660000}"/>
    <cellStyle name="Percent [2] 2 5 3 2" xfId="26199" xr:uid="{00000000-0005-0000-0000-00005B660000}"/>
    <cellStyle name="Percent [2] 2 5 3 3" xfId="26200" xr:uid="{00000000-0005-0000-0000-00005C660000}"/>
    <cellStyle name="Percent [2] 2 5 4" xfId="26201" xr:uid="{00000000-0005-0000-0000-00005D660000}"/>
    <cellStyle name="Percent [2] 2 5 4 2" xfId="26202" xr:uid="{00000000-0005-0000-0000-00005E660000}"/>
    <cellStyle name="Percent [2] 2 5 4 3" xfId="26203" xr:uid="{00000000-0005-0000-0000-00005F660000}"/>
    <cellStyle name="Percent [2] 2 5 5" xfId="26204" xr:uid="{00000000-0005-0000-0000-000060660000}"/>
    <cellStyle name="Percent [2] 2 5 5 2" xfId="26205" xr:uid="{00000000-0005-0000-0000-000061660000}"/>
    <cellStyle name="Percent [2] 2 5 5 3" xfId="26206" xr:uid="{00000000-0005-0000-0000-000062660000}"/>
    <cellStyle name="Percent [2] 2 5 6" xfId="26207" xr:uid="{00000000-0005-0000-0000-000063660000}"/>
    <cellStyle name="Percent [2] 2 5 7" xfId="26208" xr:uid="{00000000-0005-0000-0000-000064660000}"/>
    <cellStyle name="Percent [2] 2 5 8" xfId="26209" xr:uid="{00000000-0005-0000-0000-000065660000}"/>
    <cellStyle name="Percent [2] 2 6" xfId="26210" xr:uid="{00000000-0005-0000-0000-000066660000}"/>
    <cellStyle name="Percent [2] 2 6 2" xfId="26211" xr:uid="{00000000-0005-0000-0000-000067660000}"/>
    <cellStyle name="Percent [2] 2 6 2 2" xfId="26212" xr:uid="{00000000-0005-0000-0000-000068660000}"/>
    <cellStyle name="Percent [2] 2 6 2 3" xfId="26213" xr:uid="{00000000-0005-0000-0000-000069660000}"/>
    <cellStyle name="Percent [2] 2 6 3" xfId="26214" xr:uid="{00000000-0005-0000-0000-00006A660000}"/>
    <cellStyle name="Percent [2] 2 6 3 2" xfId="26215" xr:uid="{00000000-0005-0000-0000-00006B660000}"/>
    <cellStyle name="Percent [2] 2 6 3 3" xfId="26216" xr:uid="{00000000-0005-0000-0000-00006C660000}"/>
    <cellStyle name="Percent [2] 2 6 4" xfId="26217" xr:uid="{00000000-0005-0000-0000-00006D660000}"/>
    <cellStyle name="Percent [2] 2 6 5" xfId="26218" xr:uid="{00000000-0005-0000-0000-00006E660000}"/>
    <cellStyle name="Percent [2] 2 6 6" xfId="26219" xr:uid="{00000000-0005-0000-0000-00006F660000}"/>
    <cellStyle name="Percent [2] 2 7" xfId="26220" xr:uid="{00000000-0005-0000-0000-000070660000}"/>
    <cellStyle name="Percent [2] 2 7 2" xfId="26221" xr:uid="{00000000-0005-0000-0000-000071660000}"/>
    <cellStyle name="Percent [2] 2 7 3" xfId="26222" xr:uid="{00000000-0005-0000-0000-000072660000}"/>
    <cellStyle name="Percent [2] 2 8" xfId="26223" xr:uid="{00000000-0005-0000-0000-000073660000}"/>
    <cellStyle name="Percent [2] 2 8 2" xfId="26224" xr:uid="{00000000-0005-0000-0000-000074660000}"/>
    <cellStyle name="Percent [2] 2 8 3" xfId="26225" xr:uid="{00000000-0005-0000-0000-000075660000}"/>
    <cellStyle name="Percent [2] 2 9" xfId="26226" xr:uid="{00000000-0005-0000-0000-000076660000}"/>
    <cellStyle name="Percent [2] 2 9 2" xfId="26227" xr:uid="{00000000-0005-0000-0000-000077660000}"/>
    <cellStyle name="Percent [2] 2 9 3" xfId="26228" xr:uid="{00000000-0005-0000-0000-000078660000}"/>
    <cellStyle name="Percent [2] 20" xfId="26229" xr:uid="{00000000-0005-0000-0000-000079660000}"/>
    <cellStyle name="Percent [2] 21" xfId="26230" xr:uid="{00000000-0005-0000-0000-00007A660000}"/>
    <cellStyle name="Percent [2] 22" xfId="26231" xr:uid="{00000000-0005-0000-0000-00007B660000}"/>
    <cellStyle name="Percent [2] 3" xfId="26232" xr:uid="{00000000-0005-0000-0000-00007C660000}"/>
    <cellStyle name="Percent [2] 3 10" xfId="26233" xr:uid="{00000000-0005-0000-0000-00007D660000}"/>
    <cellStyle name="Percent [2] 3 11" xfId="26234" xr:uid="{00000000-0005-0000-0000-00007E660000}"/>
    <cellStyle name="Percent [2] 3 12" xfId="26235" xr:uid="{00000000-0005-0000-0000-00007F660000}"/>
    <cellStyle name="Percent [2] 3 2" xfId="26236" xr:uid="{00000000-0005-0000-0000-000080660000}"/>
    <cellStyle name="Percent [2] 3 2 10" xfId="26237" xr:uid="{00000000-0005-0000-0000-000081660000}"/>
    <cellStyle name="Percent [2] 3 2 2" xfId="26238" xr:uid="{00000000-0005-0000-0000-000082660000}"/>
    <cellStyle name="Percent [2] 3 2 2 2" xfId="26239" xr:uid="{00000000-0005-0000-0000-000083660000}"/>
    <cellStyle name="Percent [2] 3 2 2 2 2" xfId="26240" xr:uid="{00000000-0005-0000-0000-000084660000}"/>
    <cellStyle name="Percent [2] 3 2 2 2 2 2" xfId="26241" xr:uid="{00000000-0005-0000-0000-000085660000}"/>
    <cellStyle name="Percent [2] 3 2 2 2 2 3" xfId="26242" xr:uid="{00000000-0005-0000-0000-000086660000}"/>
    <cellStyle name="Percent [2] 3 2 2 2 3" xfId="26243" xr:uid="{00000000-0005-0000-0000-000087660000}"/>
    <cellStyle name="Percent [2] 3 2 2 2 3 2" xfId="26244" xr:uid="{00000000-0005-0000-0000-000088660000}"/>
    <cellStyle name="Percent [2] 3 2 2 2 3 3" xfId="26245" xr:uid="{00000000-0005-0000-0000-000089660000}"/>
    <cellStyle name="Percent [2] 3 2 2 2 4" xfId="26246" xr:uid="{00000000-0005-0000-0000-00008A660000}"/>
    <cellStyle name="Percent [2] 3 2 2 2 5" xfId="26247" xr:uid="{00000000-0005-0000-0000-00008B660000}"/>
    <cellStyle name="Percent [2] 3 2 2 2 6" xfId="26248" xr:uid="{00000000-0005-0000-0000-00008C660000}"/>
    <cellStyle name="Percent [2] 3 2 2 3" xfId="26249" xr:uid="{00000000-0005-0000-0000-00008D660000}"/>
    <cellStyle name="Percent [2] 3 2 2 3 2" xfId="26250" xr:uid="{00000000-0005-0000-0000-00008E660000}"/>
    <cellStyle name="Percent [2] 3 2 2 3 3" xfId="26251" xr:uid="{00000000-0005-0000-0000-00008F660000}"/>
    <cellStyle name="Percent [2] 3 2 2 4" xfId="26252" xr:uid="{00000000-0005-0000-0000-000090660000}"/>
    <cellStyle name="Percent [2] 3 2 2 4 2" xfId="26253" xr:uid="{00000000-0005-0000-0000-000091660000}"/>
    <cellStyle name="Percent [2] 3 2 2 4 3" xfId="26254" xr:uid="{00000000-0005-0000-0000-000092660000}"/>
    <cellStyle name="Percent [2] 3 2 2 5" xfId="26255" xr:uid="{00000000-0005-0000-0000-000093660000}"/>
    <cellStyle name="Percent [2] 3 2 2 5 2" xfId="26256" xr:uid="{00000000-0005-0000-0000-000094660000}"/>
    <cellStyle name="Percent [2] 3 2 2 5 3" xfId="26257" xr:uid="{00000000-0005-0000-0000-000095660000}"/>
    <cellStyle name="Percent [2] 3 2 2 6" xfId="26258" xr:uid="{00000000-0005-0000-0000-000096660000}"/>
    <cellStyle name="Percent [2] 3 2 2 7" xfId="26259" xr:uid="{00000000-0005-0000-0000-000097660000}"/>
    <cellStyle name="Percent [2] 3 2 2 8" xfId="26260" xr:uid="{00000000-0005-0000-0000-000098660000}"/>
    <cellStyle name="Percent [2] 3 2 3" xfId="26261" xr:uid="{00000000-0005-0000-0000-000099660000}"/>
    <cellStyle name="Percent [2] 3 2 3 2" xfId="26262" xr:uid="{00000000-0005-0000-0000-00009A660000}"/>
    <cellStyle name="Percent [2] 3 2 3 2 2" xfId="26263" xr:uid="{00000000-0005-0000-0000-00009B660000}"/>
    <cellStyle name="Percent [2] 3 2 3 2 2 2" xfId="26264" xr:uid="{00000000-0005-0000-0000-00009C660000}"/>
    <cellStyle name="Percent [2] 3 2 3 2 2 3" xfId="26265" xr:uid="{00000000-0005-0000-0000-00009D660000}"/>
    <cellStyle name="Percent [2] 3 2 3 2 3" xfId="26266" xr:uid="{00000000-0005-0000-0000-00009E660000}"/>
    <cellStyle name="Percent [2] 3 2 3 2 3 2" xfId="26267" xr:uid="{00000000-0005-0000-0000-00009F660000}"/>
    <cellStyle name="Percent [2] 3 2 3 2 3 3" xfId="26268" xr:uid="{00000000-0005-0000-0000-0000A0660000}"/>
    <cellStyle name="Percent [2] 3 2 3 2 4" xfId="26269" xr:uid="{00000000-0005-0000-0000-0000A1660000}"/>
    <cellStyle name="Percent [2] 3 2 3 2 5" xfId="26270" xr:uid="{00000000-0005-0000-0000-0000A2660000}"/>
    <cellStyle name="Percent [2] 3 2 3 2 6" xfId="26271" xr:uid="{00000000-0005-0000-0000-0000A3660000}"/>
    <cellStyle name="Percent [2] 3 2 3 3" xfId="26272" xr:uid="{00000000-0005-0000-0000-0000A4660000}"/>
    <cellStyle name="Percent [2] 3 2 3 3 2" xfId="26273" xr:uid="{00000000-0005-0000-0000-0000A5660000}"/>
    <cellStyle name="Percent [2] 3 2 3 3 3" xfId="26274" xr:uid="{00000000-0005-0000-0000-0000A6660000}"/>
    <cellStyle name="Percent [2] 3 2 3 4" xfId="26275" xr:uid="{00000000-0005-0000-0000-0000A7660000}"/>
    <cellStyle name="Percent [2] 3 2 3 4 2" xfId="26276" xr:uid="{00000000-0005-0000-0000-0000A8660000}"/>
    <cellStyle name="Percent [2] 3 2 3 4 3" xfId="26277" xr:uid="{00000000-0005-0000-0000-0000A9660000}"/>
    <cellStyle name="Percent [2] 3 2 3 5" xfId="26278" xr:uid="{00000000-0005-0000-0000-0000AA660000}"/>
    <cellStyle name="Percent [2] 3 2 3 5 2" xfId="26279" xr:uid="{00000000-0005-0000-0000-0000AB660000}"/>
    <cellStyle name="Percent [2] 3 2 3 5 3" xfId="26280" xr:uid="{00000000-0005-0000-0000-0000AC660000}"/>
    <cellStyle name="Percent [2] 3 2 3 6" xfId="26281" xr:uid="{00000000-0005-0000-0000-0000AD660000}"/>
    <cellStyle name="Percent [2] 3 2 3 7" xfId="26282" xr:uid="{00000000-0005-0000-0000-0000AE660000}"/>
    <cellStyle name="Percent [2] 3 2 3 8" xfId="26283" xr:uid="{00000000-0005-0000-0000-0000AF660000}"/>
    <cellStyle name="Percent [2] 3 2 4" xfId="26284" xr:uid="{00000000-0005-0000-0000-0000B0660000}"/>
    <cellStyle name="Percent [2] 3 2 4 2" xfId="26285" xr:uid="{00000000-0005-0000-0000-0000B1660000}"/>
    <cellStyle name="Percent [2] 3 2 4 2 2" xfId="26286" xr:uid="{00000000-0005-0000-0000-0000B2660000}"/>
    <cellStyle name="Percent [2] 3 2 4 2 3" xfId="26287" xr:uid="{00000000-0005-0000-0000-0000B3660000}"/>
    <cellStyle name="Percent [2] 3 2 4 3" xfId="26288" xr:uid="{00000000-0005-0000-0000-0000B4660000}"/>
    <cellStyle name="Percent [2] 3 2 4 3 2" xfId="26289" xr:uid="{00000000-0005-0000-0000-0000B5660000}"/>
    <cellStyle name="Percent [2] 3 2 4 3 3" xfId="26290" xr:uid="{00000000-0005-0000-0000-0000B6660000}"/>
    <cellStyle name="Percent [2] 3 2 4 4" xfId="26291" xr:uid="{00000000-0005-0000-0000-0000B7660000}"/>
    <cellStyle name="Percent [2] 3 2 4 5" xfId="26292" xr:uid="{00000000-0005-0000-0000-0000B8660000}"/>
    <cellStyle name="Percent [2] 3 2 4 6" xfId="26293" xr:uid="{00000000-0005-0000-0000-0000B9660000}"/>
    <cellStyle name="Percent [2] 3 2 5" xfId="26294" xr:uid="{00000000-0005-0000-0000-0000BA660000}"/>
    <cellStyle name="Percent [2] 3 2 5 2" xfId="26295" xr:uid="{00000000-0005-0000-0000-0000BB660000}"/>
    <cellStyle name="Percent [2] 3 2 5 3" xfId="26296" xr:uid="{00000000-0005-0000-0000-0000BC660000}"/>
    <cellStyle name="Percent [2] 3 2 6" xfId="26297" xr:uid="{00000000-0005-0000-0000-0000BD660000}"/>
    <cellStyle name="Percent [2] 3 2 6 2" xfId="26298" xr:uid="{00000000-0005-0000-0000-0000BE660000}"/>
    <cellStyle name="Percent [2] 3 2 6 3" xfId="26299" xr:uid="{00000000-0005-0000-0000-0000BF660000}"/>
    <cellStyle name="Percent [2] 3 2 7" xfId="26300" xr:uid="{00000000-0005-0000-0000-0000C0660000}"/>
    <cellStyle name="Percent [2] 3 2 7 2" xfId="26301" xr:uid="{00000000-0005-0000-0000-0000C1660000}"/>
    <cellStyle name="Percent [2] 3 2 7 3" xfId="26302" xr:uid="{00000000-0005-0000-0000-0000C2660000}"/>
    <cellStyle name="Percent [2] 3 2 8" xfId="26303" xr:uid="{00000000-0005-0000-0000-0000C3660000}"/>
    <cellStyle name="Percent [2] 3 2 9" xfId="26304" xr:uid="{00000000-0005-0000-0000-0000C4660000}"/>
    <cellStyle name="Percent [2] 3 3" xfId="26305" xr:uid="{00000000-0005-0000-0000-0000C5660000}"/>
    <cellStyle name="Percent [2] 3 3 2" xfId="26306" xr:uid="{00000000-0005-0000-0000-0000C6660000}"/>
    <cellStyle name="Percent [2] 3 3 2 2" xfId="26307" xr:uid="{00000000-0005-0000-0000-0000C7660000}"/>
    <cellStyle name="Percent [2] 3 3 2 2 2" xfId="26308" xr:uid="{00000000-0005-0000-0000-0000C8660000}"/>
    <cellStyle name="Percent [2] 3 3 2 2 3" xfId="26309" xr:uid="{00000000-0005-0000-0000-0000C9660000}"/>
    <cellStyle name="Percent [2] 3 3 2 3" xfId="26310" xr:uid="{00000000-0005-0000-0000-0000CA660000}"/>
    <cellStyle name="Percent [2] 3 3 2 3 2" xfId="26311" xr:uid="{00000000-0005-0000-0000-0000CB660000}"/>
    <cellStyle name="Percent [2] 3 3 2 3 3" xfId="26312" xr:uid="{00000000-0005-0000-0000-0000CC660000}"/>
    <cellStyle name="Percent [2] 3 3 2 4" xfId="26313" xr:uid="{00000000-0005-0000-0000-0000CD660000}"/>
    <cellStyle name="Percent [2] 3 3 2 5" xfId="26314" xr:uid="{00000000-0005-0000-0000-0000CE660000}"/>
    <cellStyle name="Percent [2] 3 3 2 6" xfId="26315" xr:uid="{00000000-0005-0000-0000-0000CF660000}"/>
    <cellStyle name="Percent [2] 3 3 3" xfId="26316" xr:uid="{00000000-0005-0000-0000-0000D0660000}"/>
    <cellStyle name="Percent [2] 3 3 3 2" xfId="26317" xr:uid="{00000000-0005-0000-0000-0000D1660000}"/>
    <cellStyle name="Percent [2] 3 3 3 3" xfId="26318" xr:uid="{00000000-0005-0000-0000-0000D2660000}"/>
    <cellStyle name="Percent [2] 3 3 4" xfId="26319" xr:uid="{00000000-0005-0000-0000-0000D3660000}"/>
    <cellStyle name="Percent [2] 3 3 4 2" xfId="26320" xr:uid="{00000000-0005-0000-0000-0000D4660000}"/>
    <cellStyle name="Percent [2] 3 3 4 3" xfId="26321" xr:uid="{00000000-0005-0000-0000-0000D5660000}"/>
    <cellStyle name="Percent [2] 3 3 5" xfId="26322" xr:uid="{00000000-0005-0000-0000-0000D6660000}"/>
    <cellStyle name="Percent [2] 3 3 5 2" xfId="26323" xr:uid="{00000000-0005-0000-0000-0000D7660000}"/>
    <cellStyle name="Percent [2] 3 3 5 3" xfId="26324" xr:uid="{00000000-0005-0000-0000-0000D8660000}"/>
    <cellStyle name="Percent [2] 3 3 6" xfId="26325" xr:uid="{00000000-0005-0000-0000-0000D9660000}"/>
    <cellStyle name="Percent [2] 3 3 7" xfId="26326" xr:uid="{00000000-0005-0000-0000-0000DA660000}"/>
    <cellStyle name="Percent [2] 3 3 8" xfId="26327" xr:uid="{00000000-0005-0000-0000-0000DB660000}"/>
    <cellStyle name="Percent [2] 3 4" xfId="26328" xr:uid="{00000000-0005-0000-0000-0000DC660000}"/>
    <cellStyle name="Percent [2] 3 4 2" xfId="26329" xr:uid="{00000000-0005-0000-0000-0000DD660000}"/>
    <cellStyle name="Percent [2] 3 4 2 2" xfId="26330" xr:uid="{00000000-0005-0000-0000-0000DE660000}"/>
    <cellStyle name="Percent [2] 3 4 2 2 2" xfId="26331" xr:uid="{00000000-0005-0000-0000-0000DF660000}"/>
    <cellStyle name="Percent [2] 3 4 2 2 3" xfId="26332" xr:uid="{00000000-0005-0000-0000-0000E0660000}"/>
    <cellStyle name="Percent [2] 3 4 2 3" xfId="26333" xr:uid="{00000000-0005-0000-0000-0000E1660000}"/>
    <cellStyle name="Percent [2] 3 4 2 3 2" xfId="26334" xr:uid="{00000000-0005-0000-0000-0000E2660000}"/>
    <cellStyle name="Percent [2] 3 4 2 3 3" xfId="26335" xr:uid="{00000000-0005-0000-0000-0000E3660000}"/>
    <cellStyle name="Percent [2] 3 4 2 4" xfId="26336" xr:uid="{00000000-0005-0000-0000-0000E4660000}"/>
    <cellStyle name="Percent [2] 3 4 2 5" xfId="26337" xr:uid="{00000000-0005-0000-0000-0000E5660000}"/>
    <cellStyle name="Percent [2] 3 4 2 6" xfId="26338" xr:uid="{00000000-0005-0000-0000-0000E6660000}"/>
    <cellStyle name="Percent [2] 3 4 3" xfId="26339" xr:uid="{00000000-0005-0000-0000-0000E7660000}"/>
    <cellStyle name="Percent [2] 3 4 3 2" xfId="26340" xr:uid="{00000000-0005-0000-0000-0000E8660000}"/>
    <cellStyle name="Percent [2] 3 4 3 3" xfId="26341" xr:uid="{00000000-0005-0000-0000-0000E9660000}"/>
    <cellStyle name="Percent [2] 3 4 4" xfId="26342" xr:uid="{00000000-0005-0000-0000-0000EA660000}"/>
    <cellStyle name="Percent [2] 3 4 4 2" xfId="26343" xr:uid="{00000000-0005-0000-0000-0000EB660000}"/>
    <cellStyle name="Percent [2] 3 4 4 3" xfId="26344" xr:uid="{00000000-0005-0000-0000-0000EC660000}"/>
    <cellStyle name="Percent [2] 3 4 5" xfId="26345" xr:uid="{00000000-0005-0000-0000-0000ED660000}"/>
    <cellStyle name="Percent [2] 3 4 5 2" xfId="26346" xr:uid="{00000000-0005-0000-0000-0000EE660000}"/>
    <cellStyle name="Percent [2] 3 4 5 3" xfId="26347" xr:uid="{00000000-0005-0000-0000-0000EF660000}"/>
    <cellStyle name="Percent [2] 3 4 6" xfId="26348" xr:uid="{00000000-0005-0000-0000-0000F0660000}"/>
    <cellStyle name="Percent [2] 3 4 7" xfId="26349" xr:uid="{00000000-0005-0000-0000-0000F1660000}"/>
    <cellStyle name="Percent [2] 3 4 8" xfId="26350" xr:uid="{00000000-0005-0000-0000-0000F2660000}"/>
    <cellStyle name="Percent [2] 3 5" xfId="26351" xr:uid="{00000000-0005-0000-0000-0000F3660000}"/>
    <cellStyle name="Percent [2] 3 5 2" xfId="26352" xr:uid="{00000000-0005-0000-0000-0000F4660000}"/>
    <cellStyle name="Percent [2] 3 5 2 2" xfId="26353" xr:uid="{00000000-0005-0000-0000-0000F5660000}"/>
    <cellStyle name="Percent [2] 3 5 2 2 2" xfId="26354" xr:uid="{00000000-0005-0000-0000-0000F6660000}"/>
    <cellStyle name="Percent [2] 3 5 2 2 3" xfId="26355" xr:uid="{00000000-0005-0000-0000-0000F7660000}"/>
    <cellStyle name="Percent [2] 3 5 2 3" xfId="26356" xr:uid="{00000000-0005-0000-0000-0000F8660000}"/>
    <cellStyle name="Percent [2] 3 5 2 3 2" xfId="26357" xr:uid="{00000000-0005-0000-0000-0000F9660000}"/>
    <cellStyle name="Percent [2] 3 5 2 3 3" xfId="26358" xr:uid="{00000000-0005-0000-0000-0000FA660000}"/>
    <cellStyle name="Percent [2] 3 5 2 4" xfId="26359" xr:uid="{00000000-0005-0000-0000-0000FB660000}"/>
    <cellStyle name="Percent [2] 3 5 2 5" xfId="26360" xr:uid="{00000000-0005-0000-0000-0000FC660000}"/>
    <cellStyle name="Percent [2] 3 5 2 6" xfId="26361" xr:uid="{00000000-0005-0000-0000-0000FD660000}"/>
    <cellStyle name="Percent [2] 3 5 3" xfId="26362" xr:uid="{00000000-0005-0000-0000-0000FE660000}"/>
    <cellStyle name="Percent [2] 3 5 3 2" xfId="26363" xr:uid="{00000000-0005-0000-0000-0000FF660000}"/>
    <cellStyle name="Percent [2] 3 5 3 3" xfId="26364" xr:uid="{00000000-0005-0000-0000-000000670000}"/>
    <cellStyle name="Percent [2] 3 5 4" xfId="26365" xr:uid="{00000000-0005-0000-0000-000001670000}"/>
    <cellStyle name="Percent [2] 3 5 4 2" xfId="26366" xr:uid="{00000000-0005-0000-0000-000002670000}"/>
    <cellStyle name="Percent [2] 3 5 4 3" xfId="26367" xr:uid="{00000000-0005-0000-0000-000003670000}"/>
    <cellStyle name="Percent [2] 3 5 5" xfId="26368" xr:uid="{00000000-0005-0000-0000-000004670000}"/>
    <cellStyle name="Percent [2] 3 5 5 2" xfId="26369" xr:uid="{00000000-0005-0000-0000-000005670000}"/>
    <cellStyle name="Percent [2] 3 5 5 3" xfId="26370" xr:uid="{00000000-0005-0000-0000-000006670000}"/>
    <cellStyle name="Percent [2] 3 5 6" xfId="26371" xr:uid="{00000000-0005-0000-0000-000007670000}"/>
    <cellStyle name="Percent [2] 3 5 7" xfId="26372" xr:uid="{00000000-0005-0000-0000-000008670000}"/>
    <cellStyle name="Percent [2] 3 5 8" xfId="26373" xr:uid="{00000000-0005-0000-0000-000009670000}"/>
    <cellStyle name="Percent [2] 3 6" xfId="26374" xr:uid="{00000000-0005-0000-0000-00000A670000}"/>
    <cellStyle name="Percent [2] 3 6 2" xfId="26375" xr:uid="{00000000-0005-0000-0000-00000B670000}"/>
    <cellStyle name="Percent [2] 3 6 2 2" xfId="26376" xr:uid="{00000000-0005-0000-0000-00000C670000}"/>
    <cellStyle name="Percent [2] 3 6 2 3" xfId="26377" xr:uid="{00000000-0005-0000-0000-00000D670000}"/>
    <cellStyle name="Percent [2] 3 6 3" xfId="26378" xr:uid="{00000000-0005-0000-0000-00000E670000}"/>
    <cellStyle name="Percent [2] 3 6 3 2" xfId="26379" xr:uid="{00000000-0005-0000-0000-00000F670000}"/>
    <cellStyle name="Percent [2] 3 6 3 3" xfId="26380" xr:uid="{00000000-0005-0000-0000-000010670000}"/>
    <cellStyle name="Percent [2] 3 6 4" xfId="26381" xr:uid="{00000000-0005-0000-0000-000011670000}"/>
    <cellStyle name="Percent [2] 3 6 5" xfId="26382" xr:uid="{00000000-0005-0000-0000-000012670000}"/>
    <cellStyle name="Percent [2] 3 6 6" xfId="26383" xr:uid="{00000000-0005-0000-0000-000013670000}"/>
    <cellStyle name="Percent [2] 3 7" xfId="26384" xr:uid="{00000000-0005-0000-0000-000014670000}"/>
    <cellStyle name="Percent [2] 3 7 2" xfId="26385" xr:uid="{00000000-0005-0000-0000-000015670000}"/>
    <cellStyle name="Percent [2] 3 7 3" xfId="26386" xr:uid="{00000000-0005-0000-0000-000016670000}"/>
    <cellStyle name="Percent [2] 3 8" xfId="26387" xr:uid="{00000000-0005-0000-0000-000017670000}"/>
    <cellStyle name="Percent [2] 3 8 2" xfId="26388" xr:uid="{00000000-0005-0000-0000-000018670000}"/>
    <cellStyle name="Percent [2] 3 8 3" xfId="26389" xr:uid="{00000000-0005-0000-0000-000019670000}"/>
    <cellStyle name="Percent [2] 3 9" xfId="26390" xr:uid="{00000000-0005-0000-0000-00001A670000}"/>
    <cellStyle name="Percent [2] 3 9 2" xfId="26391" xr:uid="{00000000-0005-0000-0000-00001B670000}"/>
    <cellStyle name="Percent [2] 3 9 3" xfId="26392" xr:uid="{00000000-0005-0000-0000-00001C670000}"/>
    <cellStyle name="Percent [2] 4" xfId="26393" xr:uid="{00000000-0005-0000-0000-00001D670000}"/>
    <cellStyle name="Percent [2] 4 10" xfId="26394" xr:uid="{00000000-0005-0000-0000-00001E670000}"/>
    <cellStyle name="Percent [2] 4 11" xfId="26395" xr:uid="{00000000-0005-0000-0000-00001F670000}"/>
    <cellStyle name="Percent [2] 4 12" xfId="26396" xr:uid="{00000000-0005-0000-0000-000020670000}"/>
    <cellStyle name="Percent [2] 4 2" xfId="26397" xr:uid="{00000000-0005-0000-0000-000021670000}"/>
    <cellStyle name="Percent [2] 4 2 10" xfId="26398" xr:uid="{00000000-0005-0000-0000-000022670000}"/>
    <cellStyle name="Percent [2] 4 2 2" xfId="26399" xr:uid="{00000000-0005-0000-0000-000023670000}"/>
    <cellStyle name="Percent [2] 4 2 2 2" xfId="26400" xr:uid="{00000000-0005-0000-0000-000024670000}"/>
    <cellStyle name="Percent [2] 4 2 2 2 2" xfId="26401" xr:uid="{00000000-0005-0000-0000-000025670000}"/>
    <cellStyle name="Percent [2] 4 2 2 2 2 2" xfId="26402" xr:uid="{00000000-0005-0000-0000-000026670000}"/>
    <cellStyle name="Percent [2] 4 2 2 2 2 3" xfId="26403" xr:uid="{00000000-0005-0000-0000-000027670000}"/>
    <cellStyle name="Percent [2] 4 2 2 2 3" xfId="26404" xr:uid="{00000000-0005-0000-0000-000028670000}"/>
    <cellStyle name="Percent [2] 4 2 2 2 3 2" xfId="26405" xr:uid="{00000000-0005-0000-0000-000029670000}"/>
    <cellStyle name="Percent [2] 4 2 2 2 3 3" xfId="26406" xr:uid="{00000000-0005-0000-0000-00002A670000}"/>
    <cellStyle name="Percent [2] 4 2 2 2 4" xfId="26407" xr:uid="{00000000-0005-0000-0000-00002B670000}"/>
    <cellStyle name="Percent [2] 4 2 2 2 5" xfId="26408" xr:uid="{00000000-0005-0000-0000-00002C670000}"/>
    <cellStyle name="Percent [2] 4 2 2 2 6" xfId="26409" xr:uid="{00000000-0005-0000-0000-00002D670000}"/>
    <cellStyle name="Percent [2] 4 2 2 3" xfId="26410" xr:uid="{00000000-0005-0000-0000-00002E670000}"/>
    <cellStyle name="Percent [2] 4 2 2 3 2" xfId="26411" xr:uid="{00000000-0005-0000-0000-00002F670000}"/>
    <cellStyle name="Percent [2] 4 2 2 3 3" xfId="26412" xr:uid="{00000000-0005-0000-0000-000030670000}"/>
    <cellStyle name="Percent [2] 4 2 2 4" xfId="26413" xr:uid="{00000000-0005-0000-0000-000031670000}"/>
    <cellStyle name="Percent [2] 4 2 2 4 2" xfId="26414" xr:uid="{00000000-0005-0000-0000-000032670000}"/>
    <cellStyle name="Percent [2] 4 2 2 4 3" xfId="26415" xr:uid="{00000000-0005-0000-0000-000033670000}"/>
    <cellStyle name="Percent [2] 4 2 2 5" xfId="26416" xr:uid="{00000000-0005-0000-0000-000034670000}"/>
    <cellStyle name="Percent [2] 4 2 2 5 2" xfId="26417" xr:uid="{00000000-0005-0000-0000-000035670000}"/>
    <cellStyle name="Percent [2] 4 2 2 5 3" xfId="26418" xr:uid="{00000000-0005-0000-0000-000036670000}"/>
    <cellStyle name="Percent [2] 4 2 2 6" xfId="26419" xr:uid="{00000000-0005-0000-0000-000037670000}"/>
    <cellStyle name="Percent [2] 4 2 2 7" xfId="26420" xr:uid="{00000000-0005-0000-0000-000038670000}"/>
    <cellStyle name="Percent [2] 4 2 2 8" xfId="26421" xr:uid="{00000000-0005-0000-0000-000039670000}"/>
    <cellStyle name="Percent [2] 4 2 3" xfId="26422" xr:uid="{00000000-0005-0000-0000-00003A670000}"/>
    <cellStyle name="Percent [2] 4 2 3 2" xfId="26423" xr:uid="{00000000-0005-0000-0000-00003B670000}"/>
    <cellStyle name="Percent [2] 4 2 3 2 2" xfId="26424" xr:uid="{00000000-0005-0000-0000-00003C670000}"/>
    <cellStyle name="Percent [2] 4 2 3 2 2 2" xfId="26425" xr:uid="{00000000-0005-0000-0000-00003D670000}"/>
    <cellStyle name="Percent [2] 4 2 3 2 2 3" xfId="26426" xr:uid="{00000000-0005-0000-0000-00003E670000}"/>
    <cellStyle name="Percent [2] 4 2 3 2 3" xfId="26427" xr:uid="{00000000-0005-0000-0000-00003F670000}"/>
    <cellStyle name="Percent [2] 4 2 3 2 3 2" xfId="26428" xr:uid="{00000000-0005-0000-0000-000040670000}"/>
    <cellStyle name="Percent [2] 4 2 3 2 3 3" xfId="26429" xr:uid="{00000000-0005-0000-0000-000041670000}"/>
    <cellStyle name="Percent [2] 4 2 3 2 4" xfId="26430" xr:uid="{00000000-0005-0000-0000-000042670000}"/>
    <cellStyle name="Percent [2] 4 2 3 2 5" xfId="26431" xr:uid="{00000000-0005-0000-0000-000043670000}"/>
    <cellStyle name="Percent [2] 4 2 3 2 6" xfId="26432" xr:uid="{00000000-0005-0000-0000-000044670000}"/>
    <cellStyle name="Percent [2] 4 2 3 3" xfId="26433" xr:uid="{00000000-0005-0000-0000-000045670000}"/>
    <cellStyle name="Percent [2] 4 2 3 3 2" xfId="26434" xr:uid="{00000000-0005-0000-0000-000046670000}"/>
    <cellStyle name="Percent [2] 4 2 3 3 3" xfId="26435" xr:uid="{00000000-0005-0000-0000-000047670000}"/>
    <cellStyle name="Percent [2] 4 2 3 4" xfId="26436" xr:uid="{00000000-0005-0000-0000-000048670000}"/>
    <cellStyle name="Percent [2] 4 2 3 4 2" xfId="26437" xr:uid="{00000000-0005-0000-0000-000049670000}"/>
    <cellStyle name="Percent [2] 4 2 3 4 3" xfId="26438" xr:uid="{00000000-0005-0000-0000-00004A670000}"/>
    <cellStyle name="Percent [2] 4 2 3 5" xfId="26439" xr:uid="{00000000-0005-0000-0000-00004B670000}"/>
    <cellStyle name="Percent [2] 4 2 3 5 2" xfId="26440" xr:uid="{00000000-0005-0000-0000-00004C670000}"/>
    <cellStyle name="Percent [2] 4 2 3 5 3" xfId="26441" xr:uid="{00000000-0005-0000-0000-00004D670000}"/>
    <cellStyle name="Percent [2] 4 2 3 6" xfId="26442" xr:uid="{00000000-0005-0000-0000-00004E670000}"/>
    <cellStyle name="Percent [2] 4 2 3 7" xfId="26443" xr:uid="{00000000-0005-0000-0000-00004F670000}"/>
    <cellStyle name="Percent [2] 4 2 3 8" xfId="26444" xr:uid="{00000000-0005-0000-0000-000050670000}"/>
    <cellStyle name="Percent [2] 4 2 4" xfId="26445" xr:uid="{00000000-0005-0000-0000-000051670000}"/>
    <cellStyle name="Percent [2] 4 2 4 2" xfId="26446" xr:uid="{00000000-0005-0000-0000-000052670000}"/>
    <cellStyle name="Percent [2] 4 2 4 2 2" xfId="26447" xr:uid="{00000000-0005-0000-0000-000053670000}"/>
    <cellStyle name="Percent [2] 4 2 4 2 3" xfId="26448" xr:uid="{00000000-0005-0000-0000-000054670000}"/>
    <cellStyle name="Percent [2] 4 2 4 3" xfId="26449" xr:uid="{00000000-0005-0000-0000-000055670000}"/>
    <cellStyle name="Percent [2] 4 2 4 3 2" xfId="26450" xr:uid="{00000000-0005-0000-0000-000056670000}"/>
    <cellStyle name="Percent [2] 4 2 4 3 3" xfId="26451" xr:uid="{00000000-0005-0000-0000-000057670000}"/>
    <cellStyle name="Percent [2] 4 2 4 4" xfId="26452" xr:uid="{00000000-0005-0000-0000-000058670000}"/>
    <cellStyle name="Percent [2] 4 2 4 5" xfId="26453" xr:uid="{00000000-0005-0000-0000-000059670000}"/>
    <cellStyle name="Percent [2] 4 2 4 6" xfId="26454" xr:uid="{00000000-0005-0000-0000-00005A670000}"/>
    <cellStyle name="Percent [2] 4 2 5" xfId="26455" xr:uid="{00000000-0005-0000-0000-00005B670000}"/>
    <cellStyle name="Percent [2] 4 2 5 2" xfId="26456" xr:uid="{00000000-0005-0000-0000-00005C670000}"/>
    <cellStyle name="Percent [2] 4 2 5 3" xfId="26457" xr:uid="{00000000-0005-0000-0000-00005D670000}"/>
    <cellStyle name="Percent [2] 4 2 6" xfId="26458" xr:uid="{00000000-0005-0000-0000-00005E670000}"/>
    <cellStyle name="Percent [2] 4 2 6 2" xfId="26459" xr:uid="{00000000-0005-0000-0000-00005F670000}"/>
    <cellStyle name="Percent [2] 4 2 6 3" xfId="26460" xr:uid="{00000000-0005-0000-0000-000060670000}"/>
    <cellStyle name="Percent [2] 4 2 7" xfId="26461" xr:uid="{00000000-0005-0000-0000-000061670000}"/>
    <cellStyle name="Percent [2] 4 2 7 2" xfId="26462" xr:uid="{00000000-0005-0000-0000-000062670000}"/>
    <cellStyle name="Percent [2] 4 2 7 3" xfId="26463" xr:uid="{00000000-0005-0000-0000-000063670000}"/>
    <cellStyle name="Percent [2] 4 2 8" xfId="26464" xr:uid="{00000000-0005-0000-0000-000064670000}"/>
    <cellStyle name="Percent [2] 4 2 9" xfId="26465" xr:uid="{00000000-0005-0000-0000-000065670000}"/>
    <cellStyle name="Percent [2] 4 3" xfId="26466" xr:uid="{00000000-0005-0000-0000-000066670000}"/>
    <cellStyle name="Percent [2] 4 3 2" xfId="26467" xr:uid="{00000000-0005-0000-0000-000067670000}"/>
    <cellStyle name="Percent [2] 4 3 2 2" xfId="26468" xr:uid="{00000000-0005-0000-0000-000068670000}"/>
    <cellStyle name="Percent [2] 4 3 2 2 2" xfId="26469" xr:uid="{00000000-0005-0000-0000-000069670000}"/>
    <cellStyle name="Percent [2] 4 3 2 2 3" xfId="26470" xr:uid="{00000000-0005-0000-0000-00006A670000}"/>
    <cellStyle name="Percent [2] 4 3 2 3" xfId="26471" xr:uid="{00000000-0005-0000-0000-00006B670000}"/>
    <cellStyle name="Percent [2] 4 3 2 3 2" xfId="26472" xr:uid="{00000000-0005-0000-0000-00006C670000}"/>
    <cellStyle name="Percent [2] 4 3 2 3 3" xfId="26473" xr:uid="{00000000-0005-0000-0000-00006D670000}"/>
    <cellStyle name="Percent [2] 4 3 2 4" xfId="26474" xr:uid="{00000000-0005-0000-0000-00006E670000}"/>
    <cellStyle name="Percent [2] 4 3 2 5" xfId="26475" xr:uid="{00000000-0005-0000-0000-00006F670000}"/>
    <cellStyle name="Percent [2] 4 3 2 6" xfId="26476" xr:uid="{00000000-0005-0000-0000-000070670000}"/>
    <cellStyle name="Percent [2] 4 3 3" xfId="26477" xr:uid="{00000000-0005-0000-0000-000071670000}"/>
    <cellStyle name="Percent [2] 4 3 3 2" xfId="26478" xr:uid="{00000000-0005-0000-0000-000072670000}"/>
    <cellStyle name="Percent [2] 4 3 3 3" xfId="26479" xr:uid="{00000000-0005-0000-0000-000073670000}"/>
    <cellStyle name="Percent [2] 4 3 4" xfId="26480" xr:uid="{00000000-0005-0000-0000-000074670000}"/>
    <cellStyle name="Percent [2] 4 3 4 2" xfId="26481" xr:uid="{00000000-0005-0000-0000-000075670000}"/>
    <cellStyle name="Percent [2] 4 3 4 3" xfId="26482" xr:uid="{00000000-0005-0000-0000-000076670000}"/>
    <cellStyle name="Percent [2] 4 3 5" xfId="26483" xr:uid="{00000000-0005-0000-0000-000077670000}"/>
    <cellStyle name="Percent [2] 4 3 5 2" xfId="26484" xr:uid="{00000000-0005-0000-0000-000078670000}"/>
    <cellStyle name="Percent [2] 4 3 5 3" xfId="26485" xr:uid="{00000000-0005-0000-0000-000079670000}"/>
    <cellStyle name="Percent [2] 4 3 6" xfId="26486" xr:uid="{00000000-0005-0000-0000-00007A670000}"/>
    <cellStyle name="Percent [2] 4 3 7" xfId="26487" xr:uid="{00000000-0005-0000-0000-00007B670000}"/>
    <cellStyle name="Percent [2] 4 3 8" xfId="26488" xr:uid="{00000000-0005-0000-0000-00007C670000}"/>
    <cellStyle name="Percent [2] 4 4" xfId="26489" xr:uid="{00000000-0005-0000-0000-00007D670000}"/>
    <cellStyle name="Percent [2] 4 4 2" xfId="26490" xr:uid="{00000000-0005-0000-0000-00007E670000}"/>
    <cellStyle name="Percent [2] 4 4 2 2" xfId="26491" xr:uid="{00000000-0005-0000-0000-00007F670000}"/>
    <cellStyle name="Percent [2] 4 4 2 2 2" xfId="26492" xr:uid="{00000000-0005-0000-0000-000080670000}"/>
    <cellStyle name="Percent [2] 4 4 2 2 3" xfId="26493" xr:uid="{00000000-0005-0000-0000-000081670000}"/>
    <cellStyle name="Percent [2] 4 4 2 3" xfId="26494" xr:uid="{00000000-0005-0000-0000-000082670000}"/>
    <cellStyle name="Percent [2] 4 4 2 3 2" xfId="26495" xr:uid="{00000000-0005-0000-0000-000083670000}"/>
    <cellStyle name="Percent [2] 4 4 2 3 3" xfId="26496" xr:uid="{00000000-0005-0000-0000-000084670000}"/>
    <cellStyle name="Percent [2] 4 4 2 4" xfId="26497" xr:uid="{00000000-0005-0000-0000-000085670000}"/>
    <cellStyle name="Percent [2] 4 4 2 5" xfId="26498" xr:uid="{00000000-0005-0000-0000-000086670000}"/>
    <cellStyle name="Percent [2] 4 4 2 6" xfId="26499" xr:uid="{00000000-0005-0000-0000-000087670000}"/>
    <cellStyle name="Percent [2] 4 4 3" xfId="26500" xr:uid="{00000000-0005-0000-0000-000088670000}"/>
    <cellStyle name="Percent [2] 4 4 3 2" xfId="26501" xr:uid="{00000000-0005-0000-0000-000089670000}"/>
    <cellStyle name="Percent [2] 4 4 3 3" xfId="26502" xr:uid="{00000000-0005-0000-0000-00008A670000}"/>
    <cellStyle name="Percent [2] 4 4 4" xfId="26503" xr:uid="{00000000-0005-0000-0000-00008B670000}"/>
    <cellStyle name="Percent [2] 4 4 4 2" xfId="26504" xr:uid="{00000000-0005-0000-0000-00008C670000}"/>
    <cellStyle name="Percent [2] 4 4 4 3" xfId="26505" xr:uid="{00000000-0005-0000-0000-00008D670000}"/>
    <cellStyle name="Percent [2] 4 4 5" xfId="26506" xr:uid="{00000000-0005-0000-0000-00008E670000}"/>
    <cellStyle name="Percent [2] 4 4 5 2" xfId="26507" xr:uid="{00000000-0005-0000-0000-00008F670000}"/>
    <cellStyle name="Percent [2] 4 4 5 3" xfId="26508" xr:uid="{00000000-0005-0000-0000-000090670000}"/>
    <cellStyle name="Percent [2] 4 4 6" xfId="26509" xr:uid="{00000000-0005-0000-0000-000091670000}"/>
    <cellStyle name="Percent [2] 4 4 7" xfId="26510" xr:uid="{00000000-0005-0000-0000-000092670000}"/>
    <cellStyle name="Percent [2] 4 4 8" xfId="26511" xr:uid="{00000000-0005-0000-0000-000093670000}"/>
    <cellStyle name="Percent [2] 4 5" xfId="26512" xr:uid="{00000000-0005-0000-0000-000094670000}"/>
    <cellStyle name="Percent [2] 4 5 2" xfId="26513" xr:uid="{00000000-0005-0000-0000-000095670000}"/>
    <cellStyle name="Percent [2] 4 5 2 2" xfId="26514" xr:uid="{00000000-0005-0000-0000-000096670000}"/>
    <cellStyle name="Percent [2] 4 5 2 2 2" xfId="26515" xr:uid="{00000000-0005-0000-0000-000097670000}"/>
    <cellStyle name="Percent [2] 4 5 2 2 3" xfId="26516" xr:uid="{00000000-0005-0000-0000-000098670000}"/>
    <cellStyle name="Percent [2] 4 5 2 3" xfId="26517" xr:uid="{00000000-0005-0000-0000-000099670000}"/>
    <cellStyle name="Percent [2] 4 5 2 3 2" xfId="26518" xr:uid="{00000000-0005-0000-0000-00009A670000}"/>
    <cellStyle name="Percent [2] 4 5 2 3 3" xfId="26519" xr:uid="{00000000-0005-0000-0000-00009B670000}"/>
    <cellStyle name="Percent [2] 4 5 2 4" xfId="26520" xr:uid="{00000000-0005-0000-0000-00009C670000}"/>
    <cellStyle name="Percent [2] 4 5 2 5" xfId="26521" xr:uid="{00000000-0005-0000-0000-00009D670000}"/>
    <cellStyle name="Percent [2] 4 5 2 6" xfId="26522" xr:uid="{00000000-0005-0000-0000-00009E670000}"/>
    <cellStyle name="Percent [2] 4 5 3" xfId="26523" xr:uid="{00000000-0005-0000-0000-00009F670000}"/>
    <cellStyle name="Percent [2] 4 5 3 2" xfId="26524" xr:uid="{00000000-0005-0000-0000-0000A0670000}"/>
    <cellStyle name="Percent [2] 4 5 3 3" xfId="26525" xr:uid="{00000000-0005-0000-0000-0000A1670000}"/>
    <cellStyle name="Percent [2] 4 5 4" xfId="26526" xr:uid="{00000000-0005-0000-0000-0000A2670000}"/>
    <cellStyle name="Percent [2] 4 5 4 2" xfId="26527" xr:uid="{00000000-0005-0000-0000-0000A3670000}"/>
    <cellStyle name="Percent [2] 4 5 4 3" xfId="26528" xr:uid="{00000000-0005-0000-0000-0000A4670000}"/>
    <cellStyle name="Percent [2] 4 5 5" xfId="26529" xr:uid="{00000000-0005-0000-0000-0000A5670000}"/>
    <cellStyle name="Percent [2] 4 5 5 2" xfId="26530" xr:uid="{00000000-0005-0000-0000-0000A6670000}"/>
    <cellStyle name="Percent [2] 4 5 5 3" xfId="26531" xr:uid="{00000000-0005-0000-0000-0000A7670000}"/>
    <cellStyle name="Percent [2] 4 5 6" xfId="26532" xr:uid="{00000000-0005-0000-0000-0000A8670000}"/>
    <cellStyle name="Percent [2] 4 5 7" xfId="26533" xr:uid="{00000000-0005-0000-0000-0000A9670000}"/>
    <cellStyle name="Percent [2] 4 5 8" xfId="26534" xr:uid="{00000000-0005-0000-0000-0000AA670000}"/>
    <cellStyle name="Percent [2] 4 6" xfId="26535" xr:uid="{00000000-0005-0000-0000-0000AB670000}"/>
    <cellStyle name="Percent [2] 4 6 2" xfId="26536" xr:uid="{00000000-0005-0000-0000-0000AC670000}"/>
    <cellStyle name="Percent [2] 4 6 2 2" xfId="26537" xr:uid="{00000000-0005-0000-0000-0000AD670000}"/>
    <cellStyle name="Percent [2] 4 6 2 3" xfId="26538" xr:uid="{00000000-0005-0000-0000-0000AE670000}"/>
    <cellStyle name="Percent [2] 4 6 3" xfId="26539" xr:uid="{00000000-0005-0000-0000-0000AF670000}"/>
    <cellStyle name="Percent [2] 4 6 3 2" xfId="26540" xr:uid="{00000000-0005-0000-0000-0000B0670000}"/>
    <cellStyle name="Percent [2] 4 6 3 3" xfId="26541" xr:uid="{00000000-0005-0000-0000-0000B1670000}"/>
    <cellStyle name="Percent [2] 4 6 4" xfId="26542" xr:uid="{00000000-0005-0000-0000-0000B2670000}"/>
    <cellStyle name="Percent [2] 4 6 5" xfId="26543" xr:uid="{00000000-0005-0000-0000-0000B3670000}"/>
    <cellStyle name="Percent [2] 4 6 6" xfId="26544" xr:uid="{00000000-0005-0000-0000-0000B4670000}"/>
    <cellStyle name="Percent [2] 4 7" xfId="26545" xr:uid="{00000000-0005-0000-0000-0000B5670000}"/>
    <cellStyle name="Percent [2] 4 7 2" xfId="26546" xr:uid="{00000000-0005-0000-0000-0000B6670000}"/>
    <cellStyle name="Percent [2] 4 7 3" xfId="26547" xr:uid="{00000000-0005-0000-0000-0000B7670000}"/>
    <cellStyle name="Percent [2] 4 8" xfId="26548" xr:uid="{00000000-0005-0000-0000-0000B8670000}"/>
    <cellStyle name="Percent [2] 4 8 2" xfId="26549" xr:uid="{00000000-0005-0000-0000-0000B9670000}"/>
    <cellStyle name="Percent [2] 4 8 3" xfId="26550" xr:uid="{00000000-0005-0000-0000-0000BA670000}"/>
    <cellStyle name="Percent [2] 4 9" xfId="26551" xr:uid="{00000000-0005-0000-0000-0000BB670000}"/>
    <cellStyle name="Percent [2] 4 9 2" xfId="26552" xr:uid="{00000000-0005-0000-0000-0000BC670000}"/>
    <cellStyle name="Percent [2] 4 9 3" xfId="26553" xr:uid="{00000000-0005-0000-0000-0000BD670000}"/>
    <cellStyle name="Percent [2] 5" xfId="26554" xr:uid="{00000000-0005-0000-0000-0000BE670000}"/>
    <cellStyle name="Percent [2] 5 10" xfId="26555" xr:uid="{00000000-0005-0000-0000-0000BF670000}"/>
    <cellStyle name="Percent [2] 5 11" xfId="26556" xr:uid="{00000000-0005-0000-0000-0000C0670000}"/>
    <cellStyle name="Percent [2] 5 12" xfId="26557" xr:uid="{00000000-0005-0000-0000-0000C1670000}"/>
    <cellStyle name="Percent [2] 5 2" xfId="26558" xr:uid="{00000000-0005-0000-0000-0000C2670000}"/>
    <cellStyle name="Percent [2] 5 2 10" xfId="26559" xr:uid="{00000000-0005-0000-0000-0000C3670000}"/>
    <cellStyle name="Percent [2] 5 2 2" xfId="26560" xr:uid="{00000000-0005-0000-0000-0000C4670000}"/>
    <cellStyle name="Percent [2] 5 2 2 2" xfId="26561" xr:uid="{00000000-0005-0000-0000-0000C5670000}"/>
    <cellStyle name="Percent [2] 5 2 2 2 2" xfId="26562" xr:uid="{00000000-0005-0000-0000-0000C6670000}"/>
    <cellStyle name="Percent [2] 5 2 2 2 2 2" xfId="26563" xr:uid="{00000000-0005-0000-0000-0000C7670000}"/>
    <cellStyle name="Percent [2] 5 2 2 2 2 3" xfId="26564" xr:uid="{00000000-0005-0000-0000-0000C8670000}"/>
    <cellStyle name="Percent [2] 5 2 2 2 3" xfId="26565" xr:uid="{00000000-0005-0000-0000-0000C9670000}"/>
    <cellStyle name="Percent [2] 5 2 2 2 3 2" xfId="26566" xr:uid="{00000000-0005-0000-0000-0000CA670000}"/>
    <cellStyle name="Percent [2] 5 2 2 2 3 3" xfId="26567" xr:uid="{00000000-0005-0000-0000-0000CB670000}"/>
    <cellStyle name="Percent [2] 5 2 2 2 4" xfId="26568" xr:uid="{00000000-0005-0000-0000-0000CC670000}"/>
    <cellStyle name="Percent [2] 5 2 2 2 5" xfId="26569" xr:uid="{00000000-0005-0000-0000-0000CD670000}"/>
    <cellStyle name="Percent [2] 5 2 2 2 6" xfId="26570" xr:uid="{00000000-0005-0000-0000-0000CE670000}"/>
    <cellStyle name="Percent [2] 5 2 2 3" xfId="26571" xr:uid="{00000000-0005-0000-0000-0000CF670000}"/>
    <cellStyle name="Percent [2] 5 2 2 3 2" xfId="26572" xr:uid="{00000000-0005-0000-0000-0000D0670000}"/>
    <cellStyle name="Percent [2] 5 2 2 3 3" xfId="26573" xr:uid="{00000000-0005-0000-0000-0000D1670000}"/>
    <cellStyle name="Percent [2] 5 2 2 4" xfId="26574" xr:uid="{00000000-0005-0000-0000-0000D2670000}"/>
    <cellStyle name="Percent [2] 5 2 2 4 2" xfId="26575" xr:uid="{00000000-0005-0000-0000-0000D3670000}"/>
    <cellStyle name="Percent [2] 5 2 2 4 3" xfId="26576" xr:uid="{00000000-0005-0000-0000-0000D4670000}"/>
    <cellStyle name="Percent [2] 5 2 2 5" xfId="26577" xr:uid="{00000000-0005-0000-0000-0000D5670000}"/>
    <cellStyle name="Percent [2] 5 2 2 5 2" xfId="26578" xr:uid="{00000000-0005-0000-0000-0000D6670000}"/>
    <cellStyle name="Percent [2] 5 2 2 5 3" xfId="26579" xr:uid="{00000000-0005-0000-0000-0000D7670000}"/>
    <cellStyle name="Percent [2] 5 2 2 6" xfId="26580" xr:uid="{00000000-0005-0000-0000-0000D8670000}"/>
    <cellStyle name="Percent [2] 5 2 2 7" xfId="26581" xr:uid="{00000000-0005-0000-0000-0000D9670000}"/>
    <cellStyle name="Percent [2] 5 2 2 8" xfId="26582" xr:uid="{00000000-0005-0000-0000-0000DA670000}"/>
    <cellStyle name="Percent [2] 5 2 3" xfId="26583" xr:uid="{00000000-0005-0000-0000-0000DB670000}"/>
    <cellStyle name="Percent [2] 5 2 3 2" xfId="26584" xr:uid="{00000000-0005-0000-0000-0000DC670000}"/>
    <cellStyle name="Percent [2] 5 2 3 2 2" xfId="26585" xr:uid="{00000000-0005-0000-0000-0000DD670000}"/>
    <cellStyle name="Percent [2] 5 2 3 2 2 2" xfId="26586" xr:uid="{00000000-0005-0000-0000-0000DE670000}"/>
    <cellStyle name="Percent [2] 5 2 3 2 2 3" xfId="26587" xr:uid="{00000000-0005-0000-0000-0000DF670000}"/>
    <cellStyle name="Percent [2] 5 2 3 2 3" xfId="26588" xr:uid="{00000000-0005-0000-0000-0000E0670000}"/>
    <cellStyle name="Percent [2] 5 2 3 2 3 2" xfId="26589" xr:uid="{00000000-0005-0000-0000-0000E1670000}"/>
    <cellStyle name="Percent [2] 5 2 3 2 3 3" xfId="26590" xr:uid="{00000000-0005-0000-0000-0000E2670000}"/>
    <cellStyle name="Percent [2] 5 2 3 2 4" xfId="26591" xr:uid="{00000000-0005-0000-0000-0000E3670000}"/>
    <cellStyle name="Percent [2] 5 2 3 2 5" xfId="26592" xr:uid="{00000000-0005-0000-0000-0000E4670000}"/>
    <cellStyle name="Percent [2] 5 2 3 2 6" xfId="26593" xr:uid="{00000000-0005-0000-0000-0000E5670000}"/>
    <cellStyle name="Percent [2] 5 2 3 3" xfId="26594" xr:uid="{00000000-0005-0000-0000-0000E6670000}"/>
    <cellStyle name="Percent [2] 5 2 3 3 2" xfId="26595" xr:uid="{00000000-0005-0000-0000-0000E7670000}"/>
    <cellStyle name="Percent [2] 5 2 3 3 3" xfId="26596" xr:uid="{00000000-0005-0000-0000-0000E8670000}"/>
    <cellStyle name="Percent [2] 5 2 3 4" xfId="26597" xr:uid="{00000000-0005-0000-0000-0000E9670000}"/>
    <cellStyle name="Percent [2] 5 2 3 4 2" xfId="26598" xr:uid="{00000000-0005-0000-0000-0000EA670000}"/>
    <cellStyle name="Percent [2] 5 2 3 4 3" xfId="26599" xr:uid="{00000000-0005-0000-0000-0000EB670000}"/>
    <cellStyle name="Percent [2] 5 2 3 5" xfId="26600" xr:uid="{00000000-0005-0000-0000-0000EC670000}"/>
    <cellStyle name="Percent [2] 5 2 3 5 2" xfId="26601" xr:uid="{00000000-0005-0000-0000-0000ED670000}"/>
    <cellStyle name="Percent [2] 5 2 3 5 3" xfId="26602" xr:uid="{00000000-0005-0000-0000-0000EE670000}"/>
    <cellStyle name="Percent [2] 5 2 3 6" xfId="26603" xr:uid="{00000000-0005-0000-0000-0000EF670000}"/>
    <cellStyle name="Percent [2] 5 2 3 7" xfId="26604" xr:uid="{00000000-0005-0000-0000-0000F0670000}"/>
    <cellStyle name="Percent [2] 5 2 3 8" xfId="26605" xr:uid="{00000000-0005-0000-0000-0000F1670000}"/>
    <cellStyle name="Percent [2] 5 2 4" xfId="26606" xr:uid="{00000000-0005-0000-0000-0000F2670000}"/>
    <cellStyle name="Percent [2] 5 2 4 2" xfId="26607" xr:uid="{00000000-0005-0000-0000-0000F3670000}"/>
    <cellStyle name="Percent [2] 5 2 4 2 2" xfId="26608" xr:uid="{00000000-0005-0000-0000-0000F4670000}"/>
    <cellStyle name="Percent [2] 5 2 4 2 3" xfId="26609" xr:uid="{00000000-0005-0000-0000-0000F5670000}"/>
    <cellStyle name="Percent [2] 5 2 4 3" xfId="26610" xr:uid="{00000000-0005-0000-0000-0000F6670000}"/>
    <cellStyle name="Percent [2] 5 2 4 3 2" xfId="26611" xr:uid="{00000000-0005-0000-0000-0000F7670000}"/>
    <cellStyle name="Percent [2] 5 2 4 3 3" xfId="26612" xr:uid="{00000000-0005-0000-0000-0000F8670000}"/>
    <cellStyle name="Percent [2] 5 2 4 4" xfId="26613" xr:uid="{00000000-0005-0000-0000-0000F9670000}"/>
    <cellStyle name="Percent [2] 5 2 4 5" xfId="26614" xr:uid="{00000000-0005-0000-0000-0000FA670000}"/>
    <cellStyle name="Percent [2] 5 2 4 6" xfId="26615" xr:uid="{00000000-0005-0000-0000-0000FB670000}"/>
    <cellStyle name="Percent [2] 5 2 5" xfId="26616" xr:uid="{00000000-0005-0000-0000-0000FC670000}"/>
    <cellStyle name="Percent [2] 5 2 5 2" xfId="26617" xr:uid="{00000000-0005-0000-0000-0000FD670000}"/>
    <cellStyle name="Percent [2] 5 2 5 3" xfId="26618" xr:uid="{00000000-0005-0000-0000-0000FE670000}"/>
    <cellStyle name="Percent [2] 5 2 6" xfId="26619" xr:uid="{00000000-0005-0000-0000-0000FF670000}"/>
    <cellStyle name="Percent [2] 5 2 6 2" xfId="26620" xr:uid="{00000000-0005-0000-0000-000000680000}"/>
    <cellStyle name="Percent [2] 5 2 6 3" xfId="26621" xr:uid="{00000000-0005-0000-0000-000001680000}"/>
    <cellStyle name="Percent [2] 5 2 7" xfId="26622" xr:uid="{00000000-0005-0000-0000-000002680000}"/>
    <cellStyle name="Percent [2] 5 2 7 2" xfId="26623" xr:uid="{00000000-0005-0000-0000-000003680000}"/>
    <cellStyle name="Percent [2] 5 2 7 3" xfId="26624" xr:uid="{00000000-0005-0000-0000-000004680000}"/>
    <cellStyle name="Percent [2] 5 2 8" xfId="26625" xr:uid="{00000000-0005-0000-0000-000005680000}"/>
    <cellStyle name="Percent [2] 5 2 9" xfId="26626" xr:uid="{00000000-0005-0000-0000-000006680000}"/>
    <cellStyle name="Percent [2] 5 3" xfId="26627" xr:uid="{00000000-0005-0000-0000-000007680000}"/>
    <cellStyle name="Percent [2] 5 3 2" xfId="26628" xr:uid="{00000000-0005-0000-0000-000008680000}"/>
    <cellStyle name="Percent [2] 5 3 2 2" xfId="26629" xr:uid="{00000000-0005-0000-0000-000009680000}"/>
    <cellStyle name="Percent [2] 5 3 2 2 2" xfId="26630" xr:uid="{00000000-0005-0000-0000-00000A680000}"/>
    <cellStyle name="Percent [2] 5 3 2 2 3" xfId="26631" xr:uid="{00000000-0005-0000-0000-00000B680000}"/>
    <cellStyle name="Percent [2] 5 3 2 3" xfId="26632" xr:uid="{00000000-0005-0000-0000-00000C680000}"/>
    <cellStyle name="Percent [2] 5 3 2 3 2" xfId="26633" xr:uid="{00000000-0005-0000-0000-00000D680000}"/>
    <cellStyle name="Percent [2] 5 3 2 3 3" xfId="26634" xr:uid="{00000000-0005-0000-0000-00000E680000}"/>
    <cellStyle name="Percent [2] 5 3 2 4" xfId="26635" xr:uid="{00000000-0005-0000-0000-00000F680000}"/>
    <cellStyle name="Percent [2] 5 3 2 5" xfId="26636" xr:uid="{00000000-0005-0000-0000-000010680000}"/>
    <cellStyle name="Percent [2] 5 3 2 6" xfId="26637" xr:uid="{00000000-0005-0000-0000-000011680000}"/>
    <cellStyle name="Percent [2] 5 3 3" xfId="26638" xr:uid="{00000000-0005-0000-0000-000012680000}"/>
    <cellStyle name="Percent [2] 5 3 3 2" xfId="26639" xr:uid="{00000000-0005-0000-0000-000013680000}"/>
    <cellStyle name="Percent [2] 5 3 3 3" xfId="26640" xr:uid="{00000000-0005-0000-0000-000014680000}"/>
    <cellStyle name="Percent [2] 5 3 4" xfId="26641" xr:uid="{00000000-0005-0000-0000-000015680000}"/>
    <cellStyle name="Percent [2] 5 3 4 2" xfId="26642" xr:uid="{00000000-0005-0000-0000-000016680000}"/>
    <cellStyle name="Percent [2] 5 3 4 3" xfId="26643" xr:uid="{00000000-0005-0000-0000-000017680000}"/>
    <cellStyle name="Percent [2] 5 3 5" xfId="26644" xr:uid="{00000000-0005-0000-0000-000018680000}"/>
    <cellStyle name="Percent [2] 5 3 5 2" xfId="26645" xr:uid="{00000000-0005-0000-0000-000019680000}"/>
    <cellStyle name="Percent [2] 5 3 5 3" xfId="26646" xr:uid="{00000000-0005-0000-0000-00001A680000}"/>
    <cellStyle name="Percent [2] 5 3 6" xfId="26647" xr:uid="{00000000-0005-0000-0000-00001B680000}"/>
    <cellStyle name="Percent [2] 5 3 7" xfId="26648" xr:uid="{00000000-0005-0000-0000-00001C680000}"/>
    <cellStyle name="Percent [2] 5 3 8" xfId="26649" xr:uid="{00000000-0005-0000-0000-00001D680000}"/>
    <cellStyle name="Percent [2] 5 4" xfId="26650" xr:uid="{00000000-0005-0000-0000-00001E680000}"/>
    <cellStyle name="Percent [2] 5 4 2" xfId="26651" xr:uid="{00000000-0005-0000-0000-00001F680000}"/>
    <cellStyle name="Percent [2] 5 4 2 2" xfId="26652" xr:uid="{00000000-0005-0000-0000-000020680000}"/>
    <cellStyle name="Percent [2] 5 4 2 2 2" xfId="26653" xr:uid="{00000000-0005-0000-0000-000021680000}"/>
    <cellStyle name="Percent [2] 5 4 2 2 3" xfId="26654" xr:uid="{00000000-0005-0000-0000-000022680000}"/>
    <cellStyle name="Percent [2] 5 4 2 3" xfId="26655" xr:uid="{00000000-0005-0000-0000-000023680000}"/>
    <cellStyle name="Percent [2] 5 4 2 3 2" xfId="26656" xr:uid="{00000000-0005-0000-0000-000024680000}"/>
    <cellStyle name="Percent [2] 5 4 2 3 3" xfId="26657" xr:uid="{00000000-0005-0000-0000-000025680000}"/>
    <cellStyle name="Percent [2] 5 4 2 4" xfId="26658" xr:uid="{00000000-0005-0000-0000-000026680000}"/>
    <cellStyle name="Percent [2] 5 4 2 5" xfId="26659" xr:uid="{00000000-0005-0000-0000-000027680000}"/>
    <cellStyle name="Percent [2] 5 4 2 6" xfId="26660" xr:uid="{00000000-0005-0000-0000-000028680000}"/>
    <cellStyle name="Percent [2] 5 4 3" xfId="26661" xr:uid="{00000000-0005-0000-0000-000029680000}"/>
    <cellStyle name="Percent [2] 5 4 3 2" xfId="26662" xr:uid="{00000000-0005-0000-0000-00002A680000}"/>
    <cellStyle name="Percent [2] 5 4 3 3" xfId="26663" xr:uid="{00000000-0005-0000-0000-00002B680000}"/>
    <cellStyle name="Percent [2] 5 4 4" xfId="26664" xr:uid="{00000000-0005-0000-0000-00002C680000}"/>
    <cellStyle name="Percent [2] 5 4 4 2" xfId="26665" xr:uid="{00000000-0005-0000-0000-00002D680000}"/>
    <cellStyle name="Percent [2] 5 4 4 3" xfId="26666" xr:uid="{00000000-0005-0000-0000-00002E680000}"/>
    <cellStyle name="Percent [2] 5 4 5" xfId="26667" xr:uid="{00000000-0005-0000-0000-00002F680000}"/>
    <cellStyle name="Percent [2] 5 4 5 2" xfId="26668" xr:uid="{00000000-0005-0000-0000-000030680000}"/>
    <cellStyle name="Percent [2] 5 4 5 3" xfId="26669" xr:uid="{00000000-0005-0000-0000-000031680000}"/>
    <cellStyle name="Percent [2] 5 4 6" xfId="26670" xr:uid="{00000000-0005-0000-0000-000032680000}"/>
    <cellStyle name="Percent [2] 5 4 7" xfId="26671" xr:uid="{00000000-0005-0000-0000-000033680000}"/>
    <cellStyle name="Percent [2] 5 4 8" xfId="26672" xr:uid="{00000000-0005-0000-0000-000034680000}"/>
    <cellStyle name="Percent [2] 5 5" xfId="26673" xr:uid="{00000000-0005-0000-0000-000035680000}"/>
    <cellStyle name="Percent [2] 5 5 2" xfId="26674" xr:uid="{00000000-0005-0000-0000-000036680000}"/>
    <cellStyle name="Percent [2] 5 5 2 2" xfId="26675" xr:uid="{00000000-0005-0000-0000-000037680000}"/>
    <cellStyle name="Percent [2] 5 5 2 2 2" xfId="26676" xr:uid="{00000000-0005-0000-0000-000038680000}"/>
    <cellStyle name="Percent [2] 5 5 2 2 3" xfId="26677" xr:uid="{00000000-0005-0000-0000-000039680000}"/>
    <cellStyle name="Percent [2] 5 5 2 3" xfId="26678" xr:uid="{00000000-0005-0000-0000-00003A680000}"/>
    <cellStyle name="Percent [2] 5 5 2 3 2" xfId="26679" xr:uid="{00000000-0005-0000-0000-00003B680000}"/>
    <cellStyle name="Percent [2] 5 5 2 3 3" xfId="26680" xr:uid="{00000000-0005-0000-0000-00003C680000}"/>
    <cellStyle name="Percent [2] 5 5 2 4" xfId="26681" xr:uid="{00000000-0005-0000-0000-00003D680000}"/>
    <cellStyle name="Percent [2] 5 5 2 5" xfId="26682" xr:uid="{00000000-0005-0000-0000-00003E680000}"/>
    <cellStyle name="Percent [2] 5 5 2 6" xfId="26683" xr:uid="{00000000-0005-0000-0000-00003F680000}"/>
    <cellStyle name="Percent [2] 5 5 3" xfId="26684" xr:uid="{00000000-0005-0000-0000-000040680000}"/>
    <cellStyle name="Percent [2] 5 5 3 2" xfId="26685" xr:uid="{00000000-0005-0000-0000-000041680000}"/>
    <cellStyle name="Percent [2] 5 5 3 3" xfId="26686" xr:uid="{00000000-0005-0000-0000-000042680000}"/>
    <cellStyle name="Percent [2] 5 5 4" xfId="26687" xr:uid="{00000000-0005-0000-0000-000043680000}"/>
    <cellStyle name="Percent [2] 5 5 4 2" xfId="26688" xr:uid="{00000000-0005-0000-0000-000044680000}"/>
    <cellStyle name="Percent [2] 5 5 4 3" xfId="26689" xr:uid="{00000000-0005-0000-0000-000045680000}"/>
    <cellStyle name="Percent [2] 5 5 5" xfId="26690" xr:uid="{00000000-0005-0000-0000-000046680000}"/>
    <cellStyle name="Percent [2] 5 5 5 2" xfId="26691" xr:uid="{00000000-0005-0000-0000-000047680000}"/>
    <cellStyle name="Percent [2] 5 5 5 3" xfId="26692" xr:uid="{00000000-0005-0000-0000-000048680000}"/>
    <cellStyle name="Percent [2] 5 5 6" xfId="26693" xr:uid="{00000000-0005-0000-0000-000049680000}"/>
    <cellStyle name="Percent [2] 5 5 7" xfId="26694" xr:uid="{00000000-0005-0000-0000-00004A680000}"/>
    <cellStyle name="Percent [2] 5 5 8" xfId="26695" xr:uid="{00000000-0005-0000-0000-00004B680000}"/>
    <cellStyle name="Percent [2] 5 6" xfId="26696" xr:uid="{00000000-0005-0000-0000-00004C680000}"/>
    <cellStyle name="Percent [2] 5 6 2" xfId="26697" xr:uid="{00000000-0005-0000-0000-00004D680000}"/>
    <cellStyle name="Percent [2] 5 6 2 2" xfId="26698" xr:uid="{00000000-0005-0000-0000-00004E680000}"/>
    <cellStyle name="Percent [2] 5 6 2 3" xfId="26699" xr:uid="{00000000-0005-0000-0000-00004F680000}"/>
    <cellStyle name="Percent [2] 5 6 3" xfId="26700" xr:uid="{00000000-0005-0000-0000-000050680000}"/>
    <cellStyle name="Percent [2] 5 6 3 2" xfId="26701" xr:uid="{00000000-0005-0000-0000-000051680000}"/>
    <cellStyle name="Percent [2] 5 6 3 3" xfId="26702" xr:uid="{00000000-0005-0000-0000-000052680000}"/>
    <cellStyle name="Percent [2] 5 6 4" xfId="26703" xr:uid="{00000000-0005-0000-0000-000053680000}"/>
    <cellStyle name="Percent [2] 5 6 5" xfId="26704" xr:uid="{00000000-0005-0000-0000-000054680000}"/>
    <cellStyle name="Percent [2] 5 6 6" xfId="26705" xr:uid="{00000000-0005-0000-0000-000055680000}"/>
    <cellStyle name="Percent [2] 5 7" xfId="26706" xr:uid="{00000000-0005-0000-0000-000056680000}"/>
    <cellStyle name="Percent [2] 5 7 2" xfId="26707" xr:uid="{00000000-0005-0000-0000-000057680000}"/>
    <cellStyle name="Percent [2] 5 7 3" xfId="26708" xr:uid="{00000000-0005-0000-0000-000058680000}"/>
    <cellStyle name="Percent [2] 5 8" xfId="26709" xr:uid="{00000000-0005-0000-0000-000059680000}"/>
    <cellStyle name="Percent [2] 5 8 2" xfId="26710" xr:uid="{00000000-0005-0000-0000-00005A680000}"/>
    <cellStyle name="Percent [2] 5 8 3" xfId="26711" xr:uid="{00000000-0005-0000-0000-00005B680000}"/>
    <cellStyle name="Percent [2] 5 9" xfId="26712" xr:uid="{00000000-0005-0000-0000-00005C680000}"/>
    <cellStyle name="Percent [2] 5 9 2" xfId="26713" xr:uid="{00000000-0005-0000-0000-00005D680000}"/>
    <cellStyle name="Percent [2] 5 9 3" xfId="26714" xr:uid="{00000000-0005-0000-0000-00005E680000}"/>
    <cellStyle name="Percent [2] 6" xfId="26715" xr:uid="{00000000-0005-0000-0000-00005F680000}"/>
    <cellStyle name="Percent [2] 6 10" xfId="26716" xr:uid="{00000000-0005-0000-0000-000060680000}"/>
    <cellStyle name="Percent [2] 6 11" xfId="26717" xr:uid="{00000000-0005-0000-0000-000061680000}"/>
    <cellStyle name="Percent [2] 6 12" xfId="26718" xr:uid="{00000000-0005-0000-0000-000062680000}"/>
    <cellStyle name="Percent [2] 6 2" xfId="26719" xr:uid="{00000000-0005-0000-0000-000063680000}"/>
    <cellStyle name="Percent [2] 6 2 10" xfId="26720" xr:uid="{00000000-0005-0000-0000-000064680000}"/>
    <cellStyle name="Percent [2] 6 2 2" xfId="26721" xr:uid="{00000000-0005-0000-0000-000065680000}"/>
    <cellStyle name="Percent [2] 6 2 2 2" xfId="26722" xr:uid="{00000000-0005-0000-0000-000066680000}"/>
    <cellStyle name="Percent [2] 6 2 2 2 2" xfId="26723" xr:uid="{00000000-0005-0000-0000-000067680000}"/>
    <cellStyle name="Percent [2] 6 2 2 2 2 2" xfId="26724" xr:uid="{00000000-0005-0000-0000-000068680000}"/>
    <cellStyle name="Percent [2] 6 2 2 2 2 3" xfId="26725" xr:uid="{00000000-0005-0000-0000-000069680000}"/>
    <cellStyle name="Percent [2] 6 2 2 2 3" xfId="26726" xr:uid="{00000000-0005-0000-0000-00006A680000}"/>
    <cellStyle name="Percent [2] 6 2 2 2 3 2" xfId="26727" xr:uid="{00000000-0005-0000-0000-00006B680000}"/>
    <cellStyle name="Percent [2] 6 2 2 2 3 3" xfId="26728" xr:uid="{00000000-0005-0000-0000-00006C680000}"/>
    <cellStyle name="Percent [2] 6 2 2 2 4" xfId="26729" xr:uid="{00000000-0005-0000-0000-00006D680000}"/>
    <cellStyle name="Percent [2] 6 2 2 2 5" xfId="26730" xr:uid="{00000000-0005-0000-0000-00006E680000}"/>
    <cellStyle name="Percent [2] 6 2 2 2 6" xfId="26731" xr:uid="{00000000-0005-0000-0000-00006F680000}"/>
    <cellStyle name="Percent [2] 6 2 2 3" xfId="26732" xr:uid="{00000000-0005-0000-0000-000070680000}"/>
    <cellStyle name="Percent [2] 6 2 2 3 2" xfId="26733" xr:uid="{00000000-0005-0000-0000-000071680000}"/>
    <cellStyle name="Percent [2] 6 2 2 3 3" xfId="26734" xr:uid="{00000000-0005-0000-0000-000072680000}"/>
    <cellStyle name="Percent [2] 6 2 2 4" xfId="26735" xr:uid="{00000000-0005-0000-0000-000073680000}"/>
    <cellStyle name="Percent [2] 6 2 2 4 2" xfId="26736" xr:uid="{00000000-0005-0000-0000-000074680000}"/>
    <cellStyle name="Percent [2] 6 2 2 4 3" xfId="26737" xr:uid="{00000000-0005-0000-0000-000075680000}"/>
    <cellStyle name="Percent [2] 6 2 2 5" xfId="26738" xr:uid="{00000000-0005-0000-0000-000076680000}"/>
    <cellStyle name="Percent [2] 6 2 2 5 2" xfId="26739" xr:uid="{00000000-0005-0000-0000-000077680000}"/>
    <cellStyle name="Percent [2] 6 2 2 5 3" xfId="26740" xr:uid="{00000000-0005-0000-0000-000078680000}"/>
    <cellStyle name="Percent [2] 6 2 2 6" xfId="26741" xr:uid="{00000000-0005-0000-0000-000079680000}"/>
    <cellStyle name="Percent [2] 6 2 2 7" xfId="26742" xr:uid="{00000000-0005-0000-0000-00007A680000}"/>
    <cellStyle name="Percent [2] 6 2 2 8" xfId="26743" xr:uid="{00000000-0005-0000-0000-00007B680000}"/>
    <cellStyle name="Percent [2] 6 2 3" xfId="26744" xr:uid="{00000000-0005-0000-0000-00007C680000}"/>
    <cellStyle name="Percent [2] 6 2 3 2" xfId="26745" xr:uid="{00000000-0005-0000-0000-00007D680000}"/>
    <cellStyle name="Percent [2] 6 2 3 2 2" xfId="26746" xr:uid="{00000000-0005-0000-0000-00007E680000}"/>
    <cellStyle name="Percent [2] 6 2 3 2 2 2" xfId="26747" xr:uid="{00000000-0005-0000-0000-00007F680000}"/>
    <cellStyle name="Percent [2] 6 2 3 2 2 3" xfId="26748" xr:uid="{00000000-0005-0000-0000-000080680000}"/>
    <cellStyle name="Percent [2] 6 2 3 2 3" xfId="26749" xr:uid="{00000000-0005-0000-0000-000081680000}"/>
    <cellStyle name="Percent [2] 6 2 3 2 3 2" xfId="26750" xr:uid="{00000000-0005-0000-0000-000082680000}"/>
    <cellStyle name="Percent [2] 6 2 3 2 3 3" xfId="26751" xr:uid="{00000000-0005-0000-0000-000083680000}"/>
    <cellStyle name="Percent [2] 6 2 3 2 4" xfId="26752" xr:uid="{00000000-0005-0000-0000-000084680000}"/>
    <cellStyle name="Percent [2] 6 2 3 2 5" xfId="26753" xr:uid="{00000000-0005-0000-0000-000085680000}"/>
    <cellStyle name="Percent [2] 6 2 3 2 6" xfId="26754" xr:uid="{00000000-0005-0000-0000-000086680000}"/>
    <cellStyle name="Percent [2] 6 2 3 3" xfId="26755" xr:uid="{00000000-0005-0000-0000-000087680000}"/>
    <cellStyle name="Percent [2] 6 2 3 3 2" xfId="26756" xr:uid="{00000000-0005-0000-0000-000088680000}"/>
    <cellStyle name="Percent [2] 6 2 3 3 3" xfId="26757" xr:uid="{00000000-0005-0000-0000-000089680000}"/>
    <cellStyle name="Percent [2] 6 2 3 4" xfId="26758" xr:uid="{00000000-0005-0000-0000-00008A680000}"/>
    <cellStyle name="Percent [2] 6 2 3 4 2" xfId="26759" xr:uid="{00000000-0005-0000-0000-00008B680000}"/>
    <cellStyle name="Percent [2] 6 2 3 4 3" xfId="26760" xr:uid="{00000000-0005-0000-0000-00008C680000}"/>
    <cellStyle name="Percent [2] 6 2 3 5" xfId="26761" xr:uid="{00000000-0005-0000-0000-00008D680000}"/>
    <cellStyle name="Percent [2] 6 2 3 5 2" xfId="26762" xr:uid="{00000000-0005-0000-0000-00008E680000}"/>
    <cellStyle name="Percent [2] 6 2 3 5 3" xfId="26763" xr:uid="{00000000-0005-0000-0000-00008F680000}"/>
    <cellStyle name="Percent [2] 6 2 3 6" xfId="26764" xr:uid="{00000000-0005-0000-0000-000090680000}"/>
    <cellStyle name="Percent [2] 6 2 3 7" xfId="26765" xr:uid="{00000000-0005-0000-0000-000091680000}"/>
    <cellStyle name="Percent [2] 6 2 3 8" xfId="26766" xr:uid="{00000000-0005-0000-0000-000092680000}"/>
    <cellStyle name="Percent [2] 6 2 4" xfId="26767" xr:uid="{00000000-0005-0000-0000-000093680000}"/>
    <cellStyle name="Percent [2] 6 2 4 2" xfId="26768" xr:uid="{00000000-0005-0000-0000-000094680000}"/>
    <cellStyle name="Percent [2] 6 2 4 2 2" xfId="26769" xr:uid="{00000000-0005-0000-0000-000095680000}"/>
    <cellStyle name="Percent [2] 6 2 4 2 3" xfId="26770" xr:uid="{00000000-0005-0000-0000-000096680000}"/>
    <cellStyle name="Percent [2] 6 2 4 3" xfId="26771" xr:uid="{00000000-0005-0000-0000-000097680000}"/>
    <cellStyle name="Percent [2] 6 2 4 3 2" xfId="26772" xr:uid="{00000000-0005-0000-0000-000098680000}"/>
    <cellStyle name="Percent [2] 6 2 4 3 3" xfId="26773" xr:uid="{00000000-0005-0000-0000-000099680000}"/>
    <cellStyle name="Percent [2] 6 2 4 4" xfId="26774" xr:uid="{00000000-0005-0000-0000-00009A680000}"/>
    <cellStyle name="Percent [2] 6 2 4 5" xfId="26775" xr:uid="{00000000-0005-0000-0000-00009B680000}"/>
    <cellStyle name="Percent [2] 6 2 4 6" xfId="26776" xr:uid="{00000000-0005-0000-0000-00009C680000}"/>
    <cellStyle name="Percent [2] 6 2 5" xfId="26777" xr:uid="{00000000-0005-0000-0000-00009D680000}"/>
    <cellStyle name="Percent [2] 6 2 5 2" xfId="26778" xr:uid="{00000000-0005-0000-0000-00009E680000}"/>
    <cellStyle name="Percent [2] 6 2 5 3" xfId="26779" xr:uid="{00000000-0005-0000-0000-00009F680000}"/>
    <cellStyle name="Percent [2] 6 2 6" xfId="26780" xr:uid="{00000000-0005-0000-0000-0000A0680000}"/>
    <cellStyle name="Percent [2] 6 2 6 2" xfId="26781" xr:uid="{00000000-0005-0000-0000-0000A1680000}"/>
    <cellStyle name="Percent [2] 6 2 6 3" xfId="26782" xr:uid="{00000000-0005-0000-0000-0000A2680000}"/>
    <cellStyle name="Percent [2] 6 2 7" xfId="26783" xr:uid="{00000000-0005-0000-0000-0000A3680000}"/>
    <cellStyle name="Percent [2] 6 2 7 2" xfId="26784" xr:uid="{00000000-0005-0000-0000-0000A4680000}"/>
    <cellStyle name="Percent [2] 6 2 7 3" xfId="26785" xr:uid="{00000000-0005-0000-0000-0000A5680000}"/>
    <cellStyle name="Percent [2] 6 2 8" xfId="26786" xr:uid="{00000000-0005-0000-0000-0000A6680000}"/>
    <cellStyle name="Percent [2] 6 2 9" xfId="26787" xr:uid="{00000000-0005-0000-0000-0000A7680000}"/>
    <cellStyle name="Percent [2] 6 3" xfId="26788" xr:uid="{00000000-0005-0000-0000-0000A8680000}"/>
    <cellStyle name="Percent [2] 6 3 2" xfId="26789" xr:uid="{00000000-0005-0000-0000-0000A9680000}"/>
    <cellStyle name="Percent [2] 6 3 2 2" xfId="26790" xr:uid="{00000000-0005-0000-0000-0000AA680000}"/>
    <cellStyle name="Percent [2] 6 3 2 2 2" xfId="26791" xr:uid="{00000000-0005-0000-0000-0000AB680000}"/>
    <cellStyle name="Percent [2] 6 3 2 2 3" xfId="26792" xr:uid="{00000000-0005-0000-0000-0000AC680000}"/>
    <cellStyle name="Percent [2] 6 3 2 3" xfId="26793" xr:uid="{00000000-0005-0000-0000-0000AD680000}"/>
    <cellStyle name="Percent [2] 6 3 2 3 2" xfId="26794" xr:uid="{00000000-0005-0000-0000-0000AE680000}"/>
    <cellStyle name="Percent [2] 6 3 2 3 3" xfId="26795" xr:uid="{00000000-0005-0000-0000-0000AF680000}"/>
    <cellStyle name="Percent [2] 6 3 2 4" xfId="26796" xr:uid="{00000000-0005-0000-0000-0000B0680000}"/>
    <cellStyle name="Percent [2] 6 3 2 5" xfId="26797" xr:uid="{00000000-0005-0000-0000-0000B1680000}"/>
    <cellStyle name="Percent [2] 6 3 2 6" xfId="26798" xr:uid="{00000000-0005-0000-0000-0000B2680000}"/>
    <cellStyle name="Percent [2] 6 3 3" xfId="26799" xr:uid="{00000000-0005-0000-0000-0000B3680000}"/>
    <cellStyle name="Percent [2] 6 3 3 2" xfId="26800" xr:uid="{00000000-0005-0000-0000-0000B4680000}"/>
    <cellStyle name="Percent [2] 6 3 3 3" xfId="26801" xr:uid="{00000000-0005-0000-0000-0000B5680000}"/>
    <cellStyle name="Percent [2] 6 3 4" xfId="26802" xr:uid="{00000000-0005-0000-0000-0000B6680000}"/>
    <cellStyle name="Percent [2] 6 3 4 2" xfId="26803" xr:uid="{00000000-0005-0000-0000-0000B7680000}"/>
    <cellStyle name="Percent [2] 6 3 4 3" xfId="26804" xr:uid="{00000000-0005-0000-0000-0000B8680000}"/>
    <cellStyle name="Percent [2] 6 3 5" xfId="26805" xr:uid="{00000000-0005-0000-0000-0000B9680000}"/>
    <cellStyle name="Percent [2] 6 3 5 2" xfId="26806" xr:uid="{00000000-0005-0000-0000-0000BA680000}"/>
    <cellStyle name="Percent [2] 6 3 5 3" xfId="26807" xr:uid="{00000000-0005-0000-0000-0000BB680000}"/>
    <cellStyle name="Percent [2] 6 3 6" xfId="26808" xr:uid="{00000000-0005-0000-0000-0000BC680000}"/>
    <cellStyle name="Percent [2] 6 3 7" xfId="26809" xr:uid="{00000000-0005-0000-0000-0000BD680000}"/>
    <cellStyle name="Percent [2] 6 3 8" xfId="26810" xr:uid="{00000000-0005-0000-0000-0000BE680000}"/>
    <cellStyle name="Percent [2] 6 4" xfId="26811" xr:uid="{00000000-0005-0000-0000-0000BF680000}"/>
    <cellStyle name="Percent [2] 6 4 2" xfId="26812" xr:uid="{00000000-0005-0000-0000-0000C0680000}"/>
    <cellStyle name="Percent [2] 6 4 2 2" xfId="26813" xr:uid="{00000000-0005-0000-0000-0000C1680000}"/>
    <cellStyle name="Percent [2] 6 4 2 2 2" xfId="26814" xr:uid="{00000000-0005-0000-0000-0000C2680000}"/>
    <cellStyle name="Percent [2] 6 4 2 2 3" xfId="26815" xr:uid="{00000000-0005-0000-0000-0000C3680000}"/>
    <cellStyle name="Percent [2] 6 4 2 3" xfId="26816" xr:uid="{00000000-0005-0000-0000-0000C4680000}"/>
    <cellStyle name="Percent [2] 6 4 2 3 2" xfId="26817" xr:uid="{00000000-0005-0000-0000-0000C5680000}"/>
    <cellStyle name="Percent [2] 6 4 2 3 3" xfId="26818" xr:uid="{00000000-0005-0000-0000-0000C6680000}"/>
    <cellStyle name="Percent [2] 6 4 2 4" xfId="26819" xr:uid="{00000000-0005-0000-0000-0000C7680000}"/>
    <cellStyle name="Percent [2] 6 4 2 5" xfId="26820" xr:uid="{00000000-0005-0000-0000-0000C8680000}"/>
    <cellStyle name="Percent [2] 6 4 2 6" xfId="26821" xr:uid="{00000000-0005-0000-0000-0000C9680000}"/>
    <cellStyle name="Percent [2] 6 4 3" xfId="26822" xr:uid="{00000000-0005-0000-0000-0000CA680000}"/>
    <cellStyle name="Percent [2] 6 4 3 2" xfId="26823" xr:uid="{00000000-0005-0000-0000-0000CB680000}"/>
    <cellStyle name="Percent [2] 6 4 3 3" xfId="26824" xr:uid="{00000000-0005-0000-0000-0000CC680000}"/>
    <cellStyle name="Percent [2] 6 4 4" xfId="26825" xr:uid="{00000000-0005-0000-0000-0000CD680000}"/>
    <cellStyle name="Percent [2] 6 4 4 2" xfId="26826" xr:uid="{00000000-0005-0000-0000-0000CE680000}"/>
    <cellStyle name="Percent [2] 6 4 4 3" xfId="26827" xr:uid="{00000000-0005-0000-0000-0000CF680000}"/>
    <cellStyle name="Percent [2] 6 4 5" xfId="26828" xr:uid="{00000000-0005-0000-0000-0000D0680000}"/>
    <cellStyle name="Percent [2] 6 4 5 2" xfId="26829" xr:uid="{00000000-0005-0000-0000-0000D1680000}"/>
    <cellStyle name="Percent [2] 6 4 5 3" xfId="26830" xr:uid="{00000000-0005-0000-0000-0000D2680000}"/>
    <cellStyle name="Percent [2] 6 4 6" xfId="26831" xr:uid="{00000000-0005-0000-0000-0000D3680000}"/>
    <cellStyle name="Percent [2] 6 4 7" xfId="26832" xr:uid="{00000000-0005-0000-0000-0000D4680000}"/>
    <cellStyle name="Percent [2] 6 4 8" xfId="26833" xr:uid="{00000000-0005-0000-0000-0000D5680000}"/>
    <cellStyle name="Percent [2] 6 5" xfId="26834" xr:uid="{00000000-0005-0000-0000-0000D6680000}"/>
    <cellStyle name="Percent [2] 6 5 2" xfId="26835" xr:uid="{00000000-0005-0000-0000-0000D7680000}"/>
    <cellStyle name="Percent [2] 6 5 2 2" xfId="26836" xr:uid="{00000000-0005-0000-0000-0000D8680000}"/>
    <cellStyle name="Percent [2] 6 5 2 2 2" xfId="26837" xr:uid="{00000000-0005-0000-0000-0000D9680000}"/>
    <cellStyle name="Percent [2] 6 5 2 2 3" xfId="26838" xr:uid="{00000000-0005-0000-0000-0000DA680000}"/>
    <cellStyle name="Percent [2] 6 5 2 3" xfId="26839" xr:uid="{00000000-0005-0000-0000-0000DB680000}"/>
    <cellStyle name="Percent [2] 6 5 2 3 2" xfId="26840" xr:uid="{00000000-0005-0000-0000-0000DC680000}"/>
    <cellStyle name="Percent [2] 6 5 2 3 3" xfId="26841" xr:uid="{00000000-0005-0000-0000-0000DD680000}"/>
    <cellStyle name="Percent [2] 6 5 2 4" xfId="26842" xr:uid="{00000000-0005-0000-0000-0000DE680000}"/>
    <cellStyle name="Percent [2] 6 5 2 5" xfId="26843" xr:uid="{00000000-0005-0000-0000-0000DF680000}"/>
    <cellStyle name="Percent [2] 6 5 2 6" xfId="26844" xr:uid="{00000000-0005-0000-0000-0000E0680000}"/>
    <cellStyle name="Percent [2] 6 5 3" xfId="26845" xr:uid="{00000000-0005-0000-0000-0000E1680000}"/>
    <cellStyle name="Percent [2] 6 5 3 2" xfId="26846" xr:uid="{00000000-0005-0000-0000-0000E2680000}"/>
    <cellStyle name="Percent [2] 6 5 3 3" xfId="26847" xr:uid="{00000000-0005-0000-0000-0000E3680000}"/>
    <cellStyle name="Percent [2] 6 5 4" xfId="26848" xr:uid="{00000000-0005-0000-0000-0000E4680000}"/>
    <cellStyle name="Percent [2] 6 5 4 2" xfId="26849" xr:uid="{00000000-0005-0000-0000-0000E5680000}"/>
    <cellStyle name="Percent [2] 6 5 4 3" xfId="26850" xr:uid="{00000000-0005-0000-0000-0000E6680000}"/>
    <cellStyle name="Percent [2] 6 5 5" xfId="26851" xr:uid="{00000000-0005-0000-0000-0000E7680000}"/>
    <cellStyle name="Percent [2] 6 5 5 2" xfId="26852" xr:uid="{00000000-0005-0000-0000-0000E8680000}"/>
    <cellStyle name="Percent [2] 6 5 5 3" xfId="26853" xr:uid="{00000000-0005-0000-0000-0000E9680000}"/>
    <cellStyle name="Percent [2] 6 5 6" xfId="26854" xr:uid="{00000000-0005-0000-0000-0000EA680000}"/>
    <cellStyle name="Percent [2] 6 5 7" xfId="26855" xr:uid="{00000000-0005-0000-0000-0000EB680000}"/>
    <cellStyle name="Percent [2] 6 5 8" xfId="26856" xr:uid="{00000000-0005-0000-0000-0000EC680000}"/>
    <cellStyle name="Percent [2] 6 6" xfId="26857" xr:uid="{00000000-0005-0000-0000-0000ED680000}"/>
    <cellStyle name="Percent [2] 6 6 2" xfId="26858" xr:uid="{00000000-0005-0000-0000-0000EE680000}"/>
    <cellStyle name="Percent [2] 6 6 2 2" xfId="26859" xr:uid="{00000000-0005-0000-0000-0000EF680000}"/>
    <cellStyle name="Percent [2] 6 6 2 3" xfId="26860" xr:uid="{00000000-0005-0000-0000-0000F0680000}"/>
    <cellStyle name="Percent [2] 6 6 3" xfId="26861" xr:uid="{00000000-0005-0000-0000-0000F1680000}"/>
    <cellStyle name="Percent [2] 6 6 3 2" xfId="26862" xr:uid="{00000000-0005-0000-0000-0000F2680000}"/>
    <cellStyle name="Percent [2] 6 6 3 3" xfId="26863" xr:uid="{00000000-0005-0000-0000-0000F3680000}"/>
    <cellStyle name="Percent [2] 6 6 4" xfId="26864" xr:uid="{00000000-0005-0000-0000-0000F4680000}"/>
    <cellStyle name="Percent [2] 6 6 5" xfId="26865" xr:uid="{00000000-0005-0000-0000-0000F5680000}"/>
    <cellStyle name="Percent [2] 6 6 6" xfId="26866" xr:uid="{00000000-0005-0000-0000-0000F6680000}"/>
    <cellStyle name="Percent [2] 6 7" xfId="26867" xr:uid="{00000000-0005-0000-0000-0000F7680000}"/>
    <cellStyle name="Percent [2] 6 7 2" xfId="26868" xr:uid="{00000000-0005-0000-0000-0000F8680000}"/>
    <cellStyle name="Percent [2] 6 7 3" xfId="26869" xr:uid="{00000000-0005-0000-0000-0000F9680000}"/>
    <cellStyle name="Percent [2] 6 8" xfId="26870" xr:uid="{00000000-0005-0000-0000-0000FA680000}"/>
    <cellStyle name="Percent [2] 6 8 2" xfId="26871" xr:uid="{00000000-0005-0000-0000-0000FB680000}"/>
    <cellStyle name="Percent [2] 6 8 3" xfId="26872" xr:uid="{00000000-0005-0000-0000-0000FC680000}"/>
    <cellStyle name="Percent [2] 6 9" xfId="26873" xr:uid="{00000000-0005-0000-0000-0000FD680000}"/>
    <cellStyle name="Percent [2] 6 9 2" xfId="26874" xr:uid="{00000000-0005-0000-0000-0000FE680000}"/>
    <cellStyle name="Percent [2] 6 9 3" xfId="26875" xr:uid="{00000000-0005-0000-0000-0000FF680000}"/>
    <cellStyle name="Percent [2] 7" xfId="26876" xr:uid="{00000000-0005-0000-0000-000000690000}"/>
    <cellStyle name="Percent [2] 7 10" xfId="26877" xr:uid="{00000000-0005-0000-0000-000001690000}"/>
    <cellStyle name="Percent [2] 7 11" xfId="26878" xr:uid="{00000000-0005-0000-0000-000002690000}"/>
    <cellStyle name="Percent [2] 7 12" xfId="26879" xr:uid="{00000000-0005-0000-0000-000003690000}"/>
    <cellStyle name="Percent [2] 7 2" xfId="26880" xr:uid="{00000000-0005-0000-0000-000004690000}"/>
    <cellStyle name="Percent [2] 7 2 10" xfId="26881" xr:uid="{00000000-0005-0000-0000-000005690000}"/>
    <cellStyle name="Percent [2] 7 2 2" xfId="26882" xr:uid="{00000000-0005-0000-0000-000006690000}"/>
    <cellStyle name="Percent [2] 7 2 2 2" xfId="26883" xr:uid="{00000000-0005-0000-0000-000007690000}"/>
    <cellStyle name="Percent [2] 7 2 2 2 2" xfId="26884" xr:uid="{00000000-0005-0000-0000-000008690000}"/>
    <cellStyle name="Percent [2] 7 2 2 2 2 2" xfId="26885" xr:uid="{00000000-0005-0000-0000-000009690000}"/>
    <cellStyle name="Percent [2] 7 2 2 2 2 3" xfId="26886" xr:uid="{00000000-0005-0000-0000-00000A690000}"/>
    <cellStyle name="Percent [2] 7 2 2 2 3" xfId="26887" xr:uid="{00000000-0005-0000-0000-00000B690000}"/>
    <cellStyle name="Percent [2] 7 2 2 2 3 2" xfId="26888" xr:uid="{00000000-0005-0000-0000-00000C690000}"/>
    <cellStyle name="Percent [2] 7 2 2 2 3 3" xfId="26889" xr:uid="{00000000-0005-0000-0000-00000D690000}"/>
    <cellStyle name="Percent [2] 7 2 2 2 4" xfId="26890" xr:uid="{00000000-0005-0000-0000-00000E690000}"/>
    <cellStyle name="Percent [2] 7 2 2 2 5" xfId="26891" xr:uid="{00000000-0005-0000-0000-00000F690000}"/>
    <cellStyle name="Percent [2] 7 2 2 2 6" xfId="26892" xr:uid="{00000000-0005-0000-0000-000010690000}"/>
    <cellStyle name="Percent [2] 7 2 2 3" xfId="26893" xr:uid="{00000000-0005-0000-0000-000011690000}"/>
    <cellStyle name="Percent [2] 7 2 2 3 2" xfId="26894" xr:uid="{00000000-0005-0000-0000-000012690000}"/>
    <cellStyle name="Percent [2] 7 2 2 3 3" xfId="26895" xr:uid="{00000000-0005-0000-0000-000013690000}"/>
    <cellStyle name="Percent [2] 7 2 2 4" xfId="26896" xr:uid="{00000000-0005-0000-0000-000014690000}"/>
    <cellStyle name="Percent [2] 7 2 2 4 2" xfId="26897" xr:uid="{00000000-0005-0000-0000-000015690000}"/>
    <cellStyle name="Percent [2] 7 2 2 4 3" xfId="26898" xr:uid="{00000000-0005-0000-0000-000016690000}"/>
    <cellStyle name="Percent [2] 7 2 2 5" xfId="26899" xr:uid="{00000000-0005-0000-0000-000017690000}"/>
    <cellStyle name="Percent [2] 7 2 2 5 2" xfId="26900" xr:uid="{00000000-0005-0000-0000-000018690000}"/>
    <cellStyle name="Percent [2] 7 2 2 5 3" xfId="26901" xr:uid="{00000000-0005-0000-0000-000019690000}"/>
    <cellStyle name="Percent [2] 7 2 2 6" xfId="26902" xr:uid="{00000000-0005-0000-0000-00001A690000}"/>
    <cellStyle name="Percent [2] 7 2 2 7" xfId="26903" xr:uid="{00000000-0005-0000-0000-00001B690000}"/>
    <cellStyle name="Percent [2] 7 2 2 8" xfId="26904" xr:uid="{00000000-0005-0000-0000-00001C690000}"/>
    <cellStyle name="Percent [2] 7 2 3" xfId="26905" xr:uid="{00000000-0005-0000-0000-00001D690000}"/>
    <cellStyle name="Percent [2] 7 2 3 2" xfId="26906" xr:uid="{00000000-0005-0000-0000-00001E690000}"/>
    <cellStyle name="Percent [2] 7 2 3 2 2" xfId="26907" xr:uid="{00000000-0005-0000-0000-00001F690000}"/>
    <cellStyle name="Percent [2] 7 2 3 2 2 2" xfId="26908" xr:uid="{00000000-0005-0000-0000-000020690000}"/>
    <cellStyle name="Percent [2] 7 2 3 2 2 3" xfId="26909" xr:uid="{00000000-0005-0000-0000-000021690000}"/>
    <cellStyle name="Percent [2] 7 2 3 2 3" xfId="26910" xr:uid="{00000000-0005-0000-0000-000022690000}"/>
    <cellStyle name="Percent [2] 7 2 3 2 3 2" xfId="26911" xr:uid="{00000000-0005-0000-0000-000023690000}"/>
    <cellStyle name="Percent [2] 7 2 3 2 3 3" xfId="26912" xr:uid="{00000000-0005-0000-0000-000024690000}"/>
    <cellStyle name="Percent [2] 7 2 3 2 4" xfId="26913" xr:uid="{00000000-0005-0000-0000-000025690000}"/>
    <cellStyle name="Percent [2] 7 2 3 2 5" xfId="26914" xr:uid="{00000000-0005-0000-0000-000026690000}"/>
    <cellStyle name="Percent [2] 7 2 3 2 6" xfId="26915" xr:uid="{00000000-0005-0000-0000-000027690000}"/>
    <cellStyle name="Percent [2] 7 2 3 3" xfId="26916" xr:uid="{00000000-0005-0000-0000-000028690000}"/>
    <cellStyle name="Percent [2] 7 2 3 3 2" xfId="26917" xr:uid="{00000000-0005-0000-0000-000029690000}"/>
    <cellStyle name="Percent [2] 7 2 3 3 3" xfId="26918" xr:uid="{00000000-0005-0000-0000-00002A690000}"/>
    <cellStyle name="Percent [2] 7 2 3 4" xfId="26919" xr:uid="{00000000-0005-0000-0000-00002B690000}"/>
    <cellStyle name="Percent [2] 7 2 3 4 2" xfId="26920" xr:uid="{00000000-0005-0000-0000-00002C690000}"/>
    <cellStyle name="Percent [2] 7 2 3 4 3" xfId="26921" xr:uid="{00000000-0005-0000-0000-00002D690000}"/>
    <cellStyle name="Percent [2] 7 2 3 5" xfId="26922" xr:uid="{00000000-0005-0000-0000-00002E690000}"/>
    <cellStyle name="Percent [2] 7 2 3 5 2" xfId="26923" xr:uid="{00000000-0005-0000-0000-00002F690000}"/>
    <cellStyle name="Percent [2] 7 2 3 5 3" xfId="26924" xr:uid="{00000000-0005-0000-0000-000030690000}"/>
    <cellStyle name="Percent [2] 7 2 3 6" xfId="26925" xr:uid="{00000000-0005-0000-0000-000031690000}"/>
    <cellStyle name="Percent [2] 7 2 3 7" xfId="26926" xr:uid="{00000000-0005-0000-0000-000032690000}"/>
    <cellStyle name="Percent [2] 7 2 3 8" xfId="26927" xr:uid="{00000000-0005-0000-0000-000033690000}"/>
    <cellStyle name="Percent [2] 7 2 4" xfId="26928" xr:uid="{00000000-0005-0000-0000-000034690000}"/>
    <cellStyle name="Percent [2] 7 2 4 2" xfId="26929" xr:uid="{00000000-0005-0000-0000-000035690000}"/>
    <cellStyle name="Percent [2] 7 2 4 2 2" xfId="26930" xr:uid="{00000000-0005-0000-0000-000036690000}"/>
    <cellStyle name="Percent [2] 7 2 4 2 3" xfId="26931" xr:uid="{00000000-0005-0000-0000-000037690000}"/>
    <cellStyle name="Percent [2] 7 2 4 3" xfId="26932" xr:uid="{00000000-0005-0000-0000-000038690000}"/>
    <cellStyle name="Percent [2] 7 2 4 3 2" xfId="26933" xr:uid="{00000000-0005-0000-0000-000039690000}"/>
    <cellStyle name="Percent [2] 7 2 4 3 3" xfId="26934" xr:uid="{00000000-0005-0000-0000-00003A690000}"/>
    <cellStyle name="Percent [2] 7 2 4 4" xfId="26935" xr:uid="{00000000-0005-0000-0000-00003B690000}"/>
    <cellStyle name="Percent [2] 7 2 4 5" xfId="26936" xr:uid="{00000000-0005-0000-0000-00003C690000}"/>
    <cellStyle name="Percent [2] 7 2 4 6" xfId="26937" xr:uid="{00000000-0005-0000-0000-00003D690000}"/>
    <cellStyle name="Percent [2] 7 2 5" xfId="26938" xr:uid="{00000000-0005-0000-0000-00003E690000}"/>
    <cellStyle name="Percent [2] 7 2 5 2" xfId="26939" xr:uid="{00000000-0005-0000-0000-00003F690000}"/>
    <cellStyle name="Percent [2] 7 2 5 3" xfId="26940" xr:uid="{00000000-0005-0000-0000-000040690000}"/>
    <cellStyle name="Percent [2] 7 2 6" xfId="26941" xr:uid="{00000000-0005-0000-0000-000041690000}"/>
    <cellStyle name="Percent [2] 7 2 6 2" xfId="26942" xr:uid="{00000000-0005-0000-0000-000042690000}"/>
    <cellStyle name="Percent [2] 7 2 6 3" xfId="26943" xr:uid="{00000000-0005-0000-0000-000043690000}"/>
    <cellStyle name="Percent [2] 7 2 7" xfId="26944" xr:uid="{00000000-0005-0000-0000-000044690000}"/>
    <cellStyle name="Percent [2] 7 2 7 2" xfId="26945" xr:uid="{00000000-0005-0000-0000-000045690000}"/>
    <cellStyle name="Percent [2] 7 2 7 3" xfId="26946" xr:uid="{00000000-0005-0000-0000-000046690000}"/>
    <cellStyle name="Percent [2] 7 2 8" xfId="26947" xr:uid="{00000000-0005-0000-0000-000047690000}"/>
    <cellStyle name="Percent [2] 7 2 9" xfId="26948" xr:uid="{00000000-0005-0000-0000-000048690000}"/>
    <cellStyle name="Percent [2] 7 3" xfId="26949" xr:uid="{00000000-0005-0000-0000-000049690000}"/>
    <cellStyle name="Percent [2] 7 3 2" xfId="26950" xr:uid="{00000000-0005-0000-0000-00004A690000}"/>
    <cellStyle name="Percent [2] 7 3 2 2" xfId="26951" xr:uid="{00000000-0005-0000-0000-00004B690000}"/>
    <cellStyle name="Percent [2] 7 3 2 2 2" xfId="26952" xr:uid="{00000000-0005-0000-0000-00004C690000}"/>
    <cellStyle name="Percent [2] 7 3 2 2 3" xfId="26953" xr:uid="{00000000-0005-0000-0000-00004D690000}"/>
    <cellStyle name="Percent [2] 7 3 2 3" xfId="26954" xr:uid="{00000000-0005-0000-0000-00004E690000}"/>
    <cellStyle name="Percent [2] 7 3 2 3 2" xfId="26955" xr:uid="{00000000-0005-0000-0000-00004F690000}"/>
    <cellStyle name="Percent [2] 7 3 2 3 3" xfId="26956" xr:uid="{00000000-0005-0000-0000-000050690000}"/>
    <cellStyle name="Percent [2] 7 3 2 4" xfId="26957" xr:uid="{00000000-0005-0000-0000-000051690000}"/>
    <cellStyle name="Percent [2] 7 3 2 5" xfId="26958" xr:uid="{00000000-0005-0000-0000-000052690000}"/>
    <cellStyle name="Percent [2] 7 3 2 6" xfId="26959" xr:uid="{00000000-0005-0000-0000-000053690000}"/>
    <cellStyle name="Percent [2] 7 3 3" xfId="26960" xr:uid="{00000000-0005-0000-0000-000054690000}"/>
    <cellStyle name="Percent [2] 7 3 3 2" xfId="26961" xr:uid="{00000000-0005-0000-0000-000055690000}"/>
    <cellStyle name="Percent [2] 7 3 3 3" xfId="26962" xr:uid="{00000000-0005-0000-0000-000056690000}"/>
    <cellStyle name="Percent [2] 7 3 4" xfId="26963" xr:uid="{00000000-0005-0000-0000-000057690000}"/>
    <cellStyle name="Percent [2] 7 3 4 2" xfId="26964" xr:uid="{00000000-0005-0000-0000-000058690000}"/>
    <cellStyle name="Percent [2] 7 3 4 3" xfId="26965" xr:uid="{00000000-0005-0000-0000-000059690000}"/>
    <cellStyle name="Percent [2] 7 3 5" xfId="26966" xr:uid="{00000000-0005-0000-0000-00005A690000}"/>
    <cellStyle name="Percent [2] 7 3 5 2" xfId="26967" xr:uid="{00000000-0005-0000-0000-00005B690000}"/>
    <cellStyle name="Percent [2] 7 3 5 3" xfId="26968" xr:uid="{00000000-0005-0000-0000-00005C690000}"/>
    <cellStyle name="Percent [2] 7 3 6" xfId="26969" xr:uid="{00000000-0005-0000-0000-00005D690000}"/>
    <cellStyle name="Percent [2] 7 3 7" xfId="26970" xr:uid="{00000000-0005-0000-0000-00005E690000}"/>
    <cellStyle name="Percent [2] 7 3 8" xfId="26971" xr:uid="{00000000-0005-0000-0000-00005F690000}"/>
    <cellStyle name="Percent [2] 7 4" xfId="26972" xr:uid="{00000000-0005-0000-0000-000060690000}"/>
    <cellStyle name="Percent [2] 7 4 2" xfId="26973" xr:uid="{00000000-0005-0000-0000-000061690000}"/>
    <cellStyle name="Percent [2] 7 4 2 2" xfId="26974" xr:uid="{00000000-0005-0000-0000-000062690000}"/>
    <cellStyle name="Percent [2] 7 4 2 2 2" xfId="26975" xr:uid="{00000000-0005-0000-0000-000063690000}"/>
    <cellStyle name="Percent [2] 7 4 2 2 3" xfId="26976" xr:uid="{00000000-0005-0000-0000-000064690000}"/>
    <cellStyle name="Percent [2] 7 4 2 3" xfId="26977" xr:uid="{00000000-0005-0000-0000-000065690000}"/>
    <cellStyle name="Percent [2] 7 4 2 3 2" xfId="26978" xr:uid="{00000000-0005-0000-0000-000066690000}"/>
    <cellStyle name="Percent [2] 7 4 2 3 3" xfId="26979" xr:uid="{00000000-0005-0000-0000-000067690000}"/>
    <cellStyle name="Percent [2] 7 4 2 4" xfId="26980" xr:uid="{00000000-0005-0000-0000-000068690000}"/>
    <cellStyle name="Percent [2] 7 4 2 5" xfId="26981" xr:uid="{00000000-0005-0000-0000-000069690000}"/>
    <cellStyle name="Percent [2] 7 4 2 6" xfId="26982" xr:uid="{00000000-0005-0000-0000-00006A690000}"/>
    <cellStyle name="Percent [2] 7 4 3" xfId="26983" xr:uid="{00000000-0005-0000-0000-00006B690000}"/>
    <cellStyle name="Percent [2] 7 4 3 2" xfId="26984" xr:uid="{00000000-0005-0000-0000-00006C690000}"/>
    <cellStyle name="Percent [2] 7 4 3 3" xfId="26985" xr:uid="{00000000-0005-0000-0000-00006D690000}"/>
    <cellStyle name="Percent [2] 7 4 4" xfId="26986" xr:uid="{00000000-0005-0000-0000-00006E690000}"/>
    <cellStyle name="Percent [2] 7 4 4 2" xfId="26987" xr:uid="{00000000-0005-0000-0000-00006F690000}"/>
    <cellStyle name="Percent [2] 7 4 4 3" xfId="26988" xr:uid="{00000000-0005-0000-0000-000070690000}"/>
    <cellStyle name="Percent [2] 7 4 5" xfId="26989" xr:uid="{00000000-0005-0000-0000-000071690000}"/>
    <cellStyle name="Percent [2] 7 4 5 2" xfId="26990" xr:uid="{00000000-0005-0000-0000-000072690000}"/>
    <cellStyle name="Percent [2] 7 4 5 3" xfId="26991" xr:uid="{00000000-0005-0000-0000-000073690000}"/>
    <cellStyle name="Percent [2] 7 4 6" xfId="26992" xr:uid="{00000000-0005-0000-0000-000074690000}"/>
    <cellStyle name="Percent [2] 7 4 7" xfId="26993" xr:uid="{00000000-0005-0000-0000-000075690000}"/>
    <cellStyle name="Percent [2] 7 4 8" xfId="26994" xr:uid="{00000000-0005-0000-0000-000076690000}"/>
    <cellStyle name="Percent [2] 7 5" xfId="26995" xr:uid="{00000000-0005-0000-0000-000077690000}"/>
    <cellStyle name="Percent [2] 7 5 2" xfId="26996" xr:uid="{00000000-0005-0000-0000-000078690000}"/>
    <cellStyle name="Percent [2] 7 5 2 2" xfId="26997" xr:uid="{00000000-0005-0000-0000-000079690000}"/>
    <cellStyle name="Percent [2] 7 5 2 2 2" xfId="26998" xr:uid="{00000000-0005-0000-0000-00007A690000}"/>
    <cellStyle name="Percent [2] 7 5 2 2 3" xfId="26999" xr:uid="{00000000-0005-0000-0000-00007B690000}"/>
    <cellStyle name="Percent [2] 7 5 2 3" xfId="27000" xr:uid="{00000000-0005-0000-0000-00007C690000}"/>
    <cellStyle name="Percent [2] 7 5 2 3 2" xfId="27001" xr:uid="{00000000-0005-0000-0000-00007D690000}"/>
    <cellStyle name="Percent [2] 7 5 2 3 3" xfId="27002" xr:uid="{00000000-0005-0000-0000-00007E690000}"/>
    <cellStyle name="Percent [2] 7 5 2 4" xfId="27003" xr:uid="{00000000-0005-0000-0000-00007F690000}"/>
    <cellStyle name="Percent [2] 7 5 2 5" xfId="27004" xr:uid="{00000000-0005-0000-0000-000080690000}"/>
    <cellStyle name="Percent [2] 7 5 2 6" xfId="27005" xr:uid="{00000000-0005-0000-0000-000081690000}"/>
    <cellStyle name="Percent [2] 7 5 3" xfId="27006" xr:uid="{00000000-0005-0000-0000-000082690000}"/>
    <cellStyle name="Percent [2] 7 5 3 2" xfId="27007" xr:uid="{00000000-0005-0000-0000-000083690000}"/>
    <cellStyle name="Percent [2] 7 5 3 3" xfId="27008" xr:uid="{00000000-0005-0000-0000-000084690000}"/>
    <cellStyle name="Percent [2] 7 5 4" xfId="27009" xr:uid="{00000000-0005-0000-0000-000085690000}"/>
    <cellStyle name="Percent [2] 7 5 4 2" xfId="27010" xr:uid="{00000000-0005-0000-0000-000086690000}"/>
    <cellStyle name="Percent [2] 7 5 4 3" xfId="27011" xr:uid="{00000000-0005-0000-0000-000087690000}"/>
    <cellStyle name="Percent [2] 7 5 5" xfId="27012" xr:uid="{00000000-0005-0000-0000-000088690000}"/>
    <cellStyle name="Percent [2] 7 5 5 2" xfId="27013" xr:uid="{00000000-0005-0000-0000-000089690000}"/>
    <cellStyle name="Percent [2] 7 5 5 3" xfId="27014" xr:uid="{00000000-0005-0000-0000-00008A690000}"/>
    <cellStyle name="Percent [2] 7 5 6" xfId="27015" xr:uid="{00000000-0005-0000-0000-00008B690000}"/>
    <cellStyle name="Percent [2] 7 5 7" xfId="27016" xr:uid="{00000000-0005-0000-0000-00008C690000}"/>
    <cellStyle name="Percent [2] 7 5 8" xfId="27017" xr:uid="{00000000-0005-0000-0000-00008D690000}"/>
    <cellStyle name="Percent [2] 7 6" xfId="27018" xr:uid="{00000000-0005-0000-0000-00008E690000}"/>
    <cellStyle name="Percent [2] 7 6 2" xfId="27019" xr:uid="{00000000-0005-0000-0000-00008F690000}"/>
    <cellStyle name="Percent [2] 7 6 2 2" xfId="27020" xr:uid="{00000000-0005-0000-0000-000090690000}"/>
    <cellStyle name="Percent [2] 7 6 2 3" xfId="27021" xr:uid="{00000000-0005-0000-0000-000091690000}"/>
    <cellStyle name="Percent [2] 7 6 3" xfId="27022" xr:uid="{00000000-0005-0000-0000-000092690000}"/>
    <cellStyle name="Percent [2] 7 6 3 2" xfId="27023" xr:uid="{00000000-0005-0000-0000-000093690000}"/>
    <cellStyle name="Percent [2] 7 6 3 3" xfId="27024" xr:uid="{00000000-0005-0000-0000-000094690000}"/>
    <cellStyle name="Percent [2] 7 6 4" xfId="27025" xr:uid="{00000000-0005-0000-0000-000095690000}"/>
    <cellStyle name="Percent [2] 7 6 5" xfId="27026" xr:uid="{00000000-0005-0000-0000-000096690000}"/>
    <cellStyle name="Percent [2] 7 6 6" xfId="27027" xr:uid="{00000000-0005-0000-0000-000097690000}"/>
    <cellStyle name="Percent [2] 7 7" xfId="27028" xr:uid="{00000000-0005-0000-0000-000098690000}"/>
    <cellStyle name="Percent [2] 7 7 2" xfId="27029" xr:uid="{00000000-0005-0000-0000-000099690000}"/>
    <cellStyle name="Percent [2] 7 7 3" xfId="27030" xr:uid="{00000000-0005-0000-0000-00009A690000}"/>
    <cellStyle name="Percent [2] 7 8" xfId="27031" xr:uid="{00000000-0005-0000-0000-00009B690000}"/>
    <cellStyle name="Percent [2] 7 8 2" xfId="27032" xr:uid="{00000000-0005-0000-0000-00009C690000}"/>
    <cellStyle name="Percent [2] 7 8 3" xfId="27033" xr:uid="{00000000-0005-0000-0000-00009D690000}"/>
    <cellStyle name="Percent [2] 7 9" xfId="27034" xr:uid="{00000000-0005-0000-0000-00009E690000}"/>
    <cellStyle name="Percent [2] 7 9 2" xfId="27035" xr:uid="{00000000-0005-0000-0000-00009F690000}"/>
    <cellStyle name="Percent [2] 7 9 3" xfId="27036" xr:uid="{00000000-0005-0000-0000-0000A0690000}"/>
    <cellStyle name="Percent [2] 8" xfId="27037" xr:uid="{00000000-0005-0000-0000-0000A1690000}"/>
    <cellStyle name="Percent [2] 8 10" xfId="27038" xr:uid="{00000000-0005-0000-0000-0000A2690000}"/>
    <cellStyle name="Percent [2] 8 11" xfId="27039" xr:uid="{00000000-0005-0000-0000-0000A3690000}"/>
    <cellStyle name="Percent [2] 8 12" xfId="27040" xr:uid="{00000000-0005-0000-0000-0000A4690000}"/>
    <cellStyle name="Percent [2] 8 2" xfId="27041" xr:uid="{00000000-0005-0000-0000-0000A5690000}"/>
    <cellStyle name="Percent [2] 8 2 10" xfId="27042" xr:uid="{00000000-0005-0000-0000-0000A6690000}"/>
    <cellStyle name="Percent [2] 8 2 2" xfId="27043" xr:uid="{00000000-0005-0000-0000-0000A7690000}"/>
    <cellStyle name="Percent [2] 8 2 2 2" xfId="27044" xr:uid="{00000000-0005-0000-0000-0000A8690000}"/>
    <cellStyle name="Percent [2] 8 2 2 2 2" xfId="27045" xr:uid="{00000000-0005-0000-0000-0000A9690000}"/>
    <cellStyle name="Percent [2] 8 2 2 2 2 2" xfId="27046" xr:uid="{00000000-0005-0000-0000-0000AA690000}"/>
    <cellStyle name="Percent [2] 8 2 2 2 2 3" xfId="27047" xr:uid="{00000000-0005-0000-0000-0000AB690000}"/>
    <cellStyle name="Percent [2] 8 2 2 2 3" xfId="27048" xr:uid="{00000000-0005-0000-0000-0000AC690000}"/>
    <cellStyle name="Percent [2] 8 2 2 2 3 2" xfId="27049" xr:uid="{00000000-0005-0000-0000-0000AD690000}"/>
    <cellStyle name="Percent [2] 8 2 2 2 3 3" xfId="27050" xr:uid="{00000000-0005-0000-0000-0000AE690000}"/>
    <cellStyle name="Percent [2] 8 2 2 2 4" xfId="27051" xr:uid="{00000000-0005-0000-0000-0000AF690000}"/>
    <cellStyle name="Percent [2] 8 2 2 2 5" xfId="27052" xr:uid="{00000000-0005-0000-0000-0000B0690000}"/>
    <cellStyle name="Percent [2] 8 2 2 2 6" xfId="27053" xr:uid="{00000000-0005-0000-0000-0000B1690000}"/>
    <cellStyle name="Percent [2] 8 2 2 3" xfId="27054" xr:uid="{00000000-0005-0000-0000-0000B2690000}"/>
    <cellStyle name="Percent [2] 8 2 2 3 2" xfId="27055" xr:uid="{00000000-0005-0000-0000-0000B3690000}"/>
    <cellStyle name="Percent [2] 8 2 2 3 3" xfId="27056" xr:uid="{00000000-0005-0000-0000-0000B4690000}"/>
    <cellStyle name="Percent [2] 8 2 2 4" xfId="27057" xr:uid="{00000000-0005-0000-0000-0000B5690000}"/>
    <cellStyle name="Percent [2] 8 2 2 4 2" xfId="27058" xr:uid="{00000000-0005-0000-0000-0000B6690000}"/>
    <cellStyle name="Percent [2] 8 2 2 4 3" xfId="27059" xr:uid="{00000000-0005-0000-0000-0000B7690000}"/>
    <cellStyle name="Percent [2] 8 2 2 5" xfId="27060" xr:uid="{00000000-0005-0000-0000-0000B8690000}"/>
    <cellStyle name="Percent [2] 8 2 2 5 2" xfId="27061" xr:uid="{00000000-0005-0000-0000-0000B9690000}"/>
    <cellStyle name="Percent [2] 8 2 2 5 3" xfId="27062" xr:uid="{00000000-0005-0000-0000-0000BA690000}"/>
    <cellStyle name="Percent [2] 8 2 2 6" xfId="27063" xr:uid="{00000000-0005-0000-0000-0000BB690000}"/>
    <cellStyle name="Percent [2] 8 2 2 7" xfId="27064" xr:uid="{00000000-0005-0000-0000-0000BC690000}"/>
    <cellStyle name="Percent [2] 8 2 2 8" xfId="27065" xr:uid="{00000000-0005-0000-0000-0000BD690000}"/>
    <cellStyle name="Percent [2] 8 2 3" xfId="27066" xr:uid="{00000000-0005-0000-0000-0000BE690000}"/>
    <cellStyle name="Percent [2] 8 2 3 2" xfId="27067" xr:uid="{00000000-0005-0000-0000-0000BF690000}"/>
    <cellStyle name="Percent [2] 8 2 3 2 2" xfId="27068" xr:uid="{00000000-0005-0000-0000-0000C0690000}"/>
    <cellStyle name="Percent [2] 8 2 3 2 2 2" xfId="27069" xr:uid="{00000000-0005-0000-0000-0000C1690000}"/>
    <cellStyle name="Percent [2] 8 2 3 2 2 3" xfId="27070" xr:uid="{00000000-0005-0000-0000-0000C2690000}"/>
    <cellStyle name="Percent [2] 8 2 3 2 3" xfId="27071" xr:uid="{00000000-0005-0000-0000-0000C3690000}"/>
    <cellStyle name="Percent [2] 8 2 3 2 3 2" xfId="27072" xr:uid="{00000000-0005-0000-0000-0000C4690000}"/>
    <cellStyle name="Percent [2] 8 2 3 2 3 3" xfId="27073" xr:uid="{00000000-0005-0000-0000-0000C5690000}"/>
    <cellStyle name="Percent [2] 8 2 3 2 4" xfId="27074" xr:uid="{00000000-0005-0000-0000-0000C6690000}"/>
    <cellStyle name="Percent [2] 8 2 3 2 5" xfId="27075" xr:uid="{00000000-0005-0000-0000-0000C7690000}"/>
    <cellStyle name="Percent [2] 8 2 3 2 6" xfId="27076" xr:uid="{00000000-0005-0000-0000-0000C8690000}"/>
    <cellStyle name="Percent [2] 8 2 3 3" xfId="27077" xr:uid="{00000000-0005-0000-0000-0000C9690000}"/>
    <cellStyle name="Percent [2] 8 2 3 3 2" xfId="27078" xr:uid="{00000000-0005-0000-0000-0000CA690000}"/>
    <cellStyle name="Percent [2] 8 2 3 3 3" xfId="27079" xr:uid="{00000000-0005-0000-0000-0000CB690000}"/>
    <cellStyle name="Percent [2] 8 2 3 4" xfId="27080" xr:uid="{00000000-0005-0000-0000-0000CC690000}"/>
    <cellStyle name="Percent [2] 8 2 3 4 2" xfId="27081" xr:uid="{00000000-0005-0000-0000-0000CD690000}"/>
    <cellStyle name="Percent [2] 8 2 3 4 3" xfId="27082" xr:uid="{00000000-0005-0000-0000-0000CE690000}"/>
    <cellStyle name="Percent [2] 8 2 3 5" xfId="27083" xr:uid="{00000000-0005-0000-0000-0000CF690000}"/>
    <cellStyle name="Percent [2] 8 2 3 5 2" xfId="27084" xr:uid="{00000000-0005-0000-0000-0000D0690000}"/>
    <cellStyle name="Percent [2] 8 2 3 5 3" xfId="27085" xr:uid="{00000000-0005-0000-0000-0000D1690000}"/>
    <cellStyle name="Percent [2] 8 2 3 6" xfId="27086" xr:uid="{00000000-0005-0000-0000-0000D2690000}"/>
    <cellStyle name="Percent [2] 8 2 3 7" xfId="27087" xr:uid="{00000000-0005-0000-0000-0000D3690000}"/>
    <cellStyle name="Percent [2] 8 2 3 8" xfId="27088" xr:uid="{00000000-0005-0000-0000-0000D4690000}"/>
    <cellStyle name="Percent [2] 8 2 4" xfId="27089" xr:uid="{00000000-0005-0000-0000-0000D5690000}"/>
    <cellStyle name="Percent [2] 8 2 4 2" xfId="27090" xr:uid="{00000000-0005-0000-0000-0000D6690000}"/>
    <cellStyle name="Percent [2] 8 2 4 2 2" xfId="27091" xr:uid="{00000000-0005-0000-0000-0000D7690000}"/>
    <cellStyle name="Percent [2] 8 2 4 2 3" xfId="27092" xr:uid="{00000000-0005-0000-0000-0000D8690000}"/>
    <cellStyle name="Percent [2] 8 2 4 3" xfId="27093" xr:uid="{00000000-0005-0000-0000-0000D9690000}"/>
    <cellStyle name="Percent [2] 8 2 4 3 2" xfId="27094" xr:uid="{00000000-0005-0000-0000-0000DA690000}"/>
    <cellStyle name="Percent [2] 8 2 4 3 3" xfId="27095" xr:uid="{00000000-0005-0000-0000-0000DB690000}"/>
    <cellStyle name="Percent [2] 8 2 4 4" xfId="27096" xr:uid="{00000000-0005-0000-0000-0000DC690000}"/>
    <cellStyle name="Percent [2] 8 2 4 5" xfId="27097" xr:uid="{00000000-0005-0000-0000-0000DD690000}"/>
    <cellStyle name="Percent [2] 8 2 4 6" xfId="27098" xr:uid="{00000000-0005-0000-0000-0000DE690000}"/>
    <cellStyle name="Percent [2] 8 2 5" xfId="27099" xr:uid="{00000000-0005-0000-0000-0000DF690000}"/>
    <cellStyle name="Percent [2] 8 2 5 2" xfId="27100" xr:uid="{00000000-0005-0000-0000-0000E0690000}"/>
    <cellStyle name="Percent [2] 8 2 5 3" xfId="27101" xr:uid="{00000000-0005-0000-0000-0000E1690000}"/>
    <cellStyle name="Percent [2] 8 2 6" xfId="27102" xr:uid="{00000000-0005-0000-0000-0000E2690000}"/>
    <cellStyle name="Percent [2] 8 2 6 2" xfId="27103" xr:uid="{00000000-0005-0000-0000-0000E3690000}"/>
    <cellStyle name="Percent [2] 8 2 6 3" xfId="27104" xr:uid="{00000000-0005-0000-0000-0000E4690000}"/>
    <cellStyle name="Percent [2] 8 2 7" xfId="27105" xr:uid="{00000000-0005-0000-0000-0000E5690000}"/>
    <cellStyle name="Percent [2] 8 2 7 2" xfId="27106" xr:uid="{00000000-0005-0000-0000-0000E6690000}"/>
    <cellStyle name="Percent [2] 8 2 7 3" xfId="27107" xr:uid="{00000000-0005-0000-0000-0000E7690000}"/>
    <cellStyle name="Percent [2] 8 2 8" xfId="27108" xr:uid="{00000000-0005-0000-0000-0000E8690000}"/>
    <cellStyle name="Percent [2] 8 2 9" xfId="27109" xr:uid="{00000000-0005-0000-0000-0000E9690000}"/>
    <cellStyle name="Percent [2] 8 3" xfId="27110" xr:uid="{00000000-0005-0000-0000-0000EA690000}"/>
    <cellStyle name="Percent [2] 8 3 2" xfId="27111" xr:uid="{00000000-0005-0000-0000-0000EB690000}"/>
    <cellStyle name="Percent [2] 8 3 2 2" xfId="27112" xr:uid="{00000000-0005-0000-0000-0000EC690000}"/>
    <cellStyle name="Percent [2] 8 3 2 2 2" xfId="27113" xr:uid="{00000000-0005-0000-0000-0000ED690000}"/>
    <cellStyle name="Percent [2] 8 3 2 2 3" xfId="27114" xr:uid="{00000000-0005-0000-0000-0000EE690000}"/>
    <cellStyle name="Percent [2] 8 3 2 3" xfId="27115" xr:uid="{00000000-0005-0000-0000-0000EF690000}"/>
    <cellStyle name="Percent [2] 8 3 2 3 2" xfId="27116" xr:uid="{00000000-0005-0000-0000-0000F0690000}"/>
    <cellStyle name="Percent [2] 8 3 2 3 3" xfId="27117" xr:uid="{00000000-0005-0000-0000-0000F1690000}"/>
    <cellStyle name="Percent [2] 8 3 2 4" xfId="27118" xr:uid="{00000000-0005-0000-0000-0000F2690000}"/>
    <cellStyle name="Percent [2] 8 3 2 5" xfId="27119" xr:uid="{00000000-0005-0000-0000-0000F3690000}"/>
    <cellStyle name="Percent [2] 8 3 2 6" xfId="27120" xr:uid="{00000000-0005-0000-0000-0000F4690000}"/>
    <cellStyle name="Percent [2] 8 3 3" xfId="27121" xr:uid="{00000000-0005-0000-0000-0000F5690000}"/>
    <cellStyle name="Percent [2] 8 3 3 2" xfId="27122" xr:uid="{00000000-0005-0000-0000-0000F6690000}"/>
    <cellStyle name="Percent [2] 8 3 3 3" xfId="27123" xr:uid="{00000000-0005-0000-0000-0000F7690000}"/>
    <cellStyle name="Percent [2] 8 3 4" xfId="27124" xr:uid="{00000000-0005-0000-0000-0000F8690000}"/>
    <cellStyle name="Percent [2] 8 3 4 2" xfId="27125" xr:uid="{00000000-0005-0000-0000-0000F9690000}"/>
    <cellStyle name="Percent [2] 8 3 4 3" xfId="27126" xr:uid="{00000000-0005-0000-0000-0000FA690000}"/>
    <cellStyle name="Percent [2] 8 3 5" xfId="27127" xr:uid="{00000000-0005-0000-0000-0000FB690000}"/>
    <cellStyle name="Percent [2] 8 3 5 2" xfId="27128" xr:uid="{00000000-0005-0000-0000-0000FC690000}"/>
    <cellStyle name="Percent [2] 8 3 5 3" xfId="27129" xr:uid="{00000000-0005-0000-0000-0000FD690000}"/>
    <cellStyle name="Percent [2] 8 3 6" xfId="27130" xr:uid="{00000000-0005-0000-0000-0000FE690000}"/>
    <cellStyle name="Percent [2] 8 3 7" xfId="27131" xr:uid="{00000000-0005-0000-0000-0000FF690000}"/>
    <cellStyle name="Percent [2] 8 3 8" xfId="27132" xr:uid="{00000000-0005-0000-0000-0000006A0000}"/>
    <cellStyle name="Percent [2] 8 4" xfId="27133" xr:uid="{00000000-0005-0000-0000-0000016A0000}"/>
    <cellStyle name="Percent [2] 8 4 2" xfId="27134" xr:uid="{00000000-0005-0000-0000-0000026A0000}"/>
    <cellStyle name="Percent [2] 8 4 2 2" xfId="27135" xr:uid="{00000000-0005-0000-0000-0000036A0000}"/>
    <cellStyle name="Percent [2] 8 4 2 2 2" xfId="27136" xr:uid="{00000000-0005-0000-0000-0000046A0000}"/>
    <cellStyle name="Percent [2] 8 4 2 2 3" xfId="27137" xr:uid="{00000000-0005-0000-0000-0000056A0000}"/>
    <cellStyle name="Percent [2] 8 4 2 3" xfId="27138" xr:uid="{00000000-0005-0000-0000-0000066A0000}"/>
    <cellStyle name="Percent [2] 8 4 2 3 2" xfId="27139" xr:uid="{00000000-0005-0000-0000-0000076A0000}"/>
    <cellStyle name="Percent [2] 8 4 2 3 3" xfId="27140" xr:uid="{00000000-0005-0000-0000-0000086A0000}"/>
    <cellStyle name="Percent [2] 8 4 2 4" xfId="27141" xr:uid="{00000000-0005-0000-0000-0000096A0000}"/>
    <cellStyle name="Percent [2] 8 4 2 5" xfId="27142" xr:uid="{00000000-0005-0000-0000-00000A6A0000}"/>
    <cellStyle name="Percent [2] 8 4 2 6" xfId="27143" xr:uid="{00000000-0005-0000-0000-00000B6A0000}"/>
    <cellStyle name="Percent [2] 8 4 3" xfId="27144" xr:uid="{00000000-0005-0000-0000-00000C6A0000}"/>
    <cellStyle name="Percent [2] 8 4 3 2" xfId="27145" xr:uid="{00000000-0005-0000-0000-00000D6A0000}"/>
    <cellStyle name="Percent [2] 8 4 3 3" xfId="27146" xr:uid="{00000000-0005-0000-0000-00000E6A0000}"/>
    <cellStyle name="Percent [2] 8 4 4" xfId="27147" xr:uid="{00000000-0005-0000-0000-00000F6A0000}"/>
    <cellStyle name="Percent [2] 8 4 4 2" xfId="27148" xr:uid="{00000000-0005-0000-0000-0000106A0000}"/>
    <cellStyle name="Percent [2] 8 4 4 3" xfId="27149" xr:uid="{00000000-0005-0000-0000-0000116A0000}"/>
    <cellStyle name="Percent [2] 8 4 5" xfId="27150" xr:uid="{00000000-0005-0000-0000-0000126A0000}"/>
    <cellStyle name="Percent [2] 8 4 5 2" xfId="27151" xr:uid="{00000000-0005-0000-0000-0000136A0000}"/>
    <cellStyle name="Percent [2] 8 4 5 3" xfId="27152" xr:uid="{00000000-0005-0000-0000-0000146A0000}"/>
    <cellStyle name="Percent [2] 8 4 6" xfId="27153" xr:uid="{00000000-0005-0000-0000-0000156A0000}"/>
    <cellStyle name="Percent [2] 8 4 7" xfId="27154" xr:uid="{00000000-0005-0000-0000-0000166A0000}"/>
    <cellStyle name="Percent [2] 8 4 8" xfId="27155" xr:uid="{00000000-0005-0000-0000-0000176A0000}"/>
    <cellStyle name="Percent [2] 8 5" xfId="27156" xr:uid="{00000000-0005-0000-0000-0000186A0000}"/>
    <cellStyle name="Percent [2] 8 5 2" xfId="27157" xr:uid="{00000000-0005-0000-0000-0000196A0000}"/>
    <cellStyle name="Percent [2] 8 5 2 2" xfId="27158" xr:uid="{00000000-0005-0000-0000-00001A6A0000}"/>
    <cellStyle name="Percent [2] 8 5 2 2 2" xfId="27159" xr:uid="{00000000-0005-0000-0000-00001B6A0000}"/>
    <cellStyle name="Percent [2] 8 5 2 2 3" xfId="27160" xr:uid="{00000000-0005-0000-0000-00001C6A0000}"/>
    <cellStyle name="Percent [2] 8 5 2 3" xfId="27161" xr:uid="{00000000-0005-0000-0000-00001D6A0000}"/>
    <cellStyle name="Percent [2] 8 5 2 3 2" xfId="27162" xr:uid="{00000000-0005-0000-0000-00001E6A0000}"/>
    <cellStyle name="Percent [2] 8 5 2 3 3" xfId="27163" xr:uid="{00000000-0005-0000-0000-00001F6A0000}"/>
    <cellStyle name="Percent [2] 8 5 2 4" xfId="27164" xr:uid="{00000000-0005-0000-0000-0000206A0000}"/>
    <cellStyle name="Percent [2] 8 5 2 5" xfId="27165" xr:uid="{00000000-0005-0000-0000-0000216A0000}"/>
    <cellStyle name="Percent [2] 8 5 2 6" xfId="27166" xr:uid="{00000000-0005-0000-0000-0000226A0000}"/>
    <cellStyle name="Percent [2] 8 5 3" xfId="27167" xr:uid="{00000000-0005-0000-0000-0000236A0000}"/>
    <cellStyle name="Percent [2] 8 5 3 2" xfId="27168" xr:uid="{00000000-0005-0000-0000-0000246A0000}"/>
    <cellStyle name="Percent [2] 8 5 3 3" xfId="27169" xr:uid="{00000000-0005-0000-0000-0000256A0000}"/>
    <cellStyle name="Percent [2] 8 5 4" xfId="27170" xr:uid="{00000000-0005-0000-0000-0000266A0000}"/>
    <cellStyle name="Percent [2] 8 5 4 2" xfId="27171" xr:uid="{00000000-0005-0000-0000-0000276A0000}"/>
    <cellStyle name="Percent [2] 8 5 4 3" xfId="27172" xr:uid="{00000000-0005-0000-0000-0000286A0000}"/>
    <cellStyle name="Percent [2] 8 5 5" xfId="27173" xr:uid="{00000000-0005-0000-0000-0000296A0000}"/>
    <cellStyle name="Percent [2] 8 5 5 2" xfId="27174" xr:uid="{00000000-0005-0000-0000-00002A6A0000}"/>
    <cellStyle name="Percent [2] 8 5 5 3" xfId="27175" xr:uid="{00000000-0005-0000-0000-00002B6A0000}"/>
    <cellStyle name="Percent [2] 8 5 6" xfId="27176" xr:uid="{00000000-0005-0000-0000-00002C6A0000}"/>
    <cellStyle name="Percent [2] 8 5 7" xfId="27177" xr:uid="{00000000-0005-0000-0000-00002D6A0000}"/>
    <cellStyle name="Percent [2] 8 5 8" xfId="27178" xr:uid="{00000000-0005-0000-0000-00002E6A0000}"/>
    <cellStyle name="Percent [2] 8 6" xfId="27179" xr:uid="{00000000-0005-0000-0000-00002F6A0000}"/>
    <cellStyle name="Percent [2] 8 6 2" xfId="27180" xr:uid="{00000000-0005-0000-0000-0000306A0000}"/>
    <cellStyle name="Percent [2] 8 6 2 2" xfId="27181" xr:uid="{00000000-0005-0000-0000-0000316A0000}"/>
    <cellStyle name="Percent [2] 8 6 2 3" xfId="27182" xr:uid="{00000000-0005-0000-0000-0000326A0000}"/>
    <cellStyle name="Percent [2] 8 6 3" xfId="27183" xr:uid="{00000000-0005-0000-0000-0000336A0000}"/>
    <cellStyle name="Percent [2] 8 6 3 2" xfId="27184" xr:uid="{00000000-0005-0000-0000-0000346A0000}"/>
    <cellStyle name="Percent [2] 8 6 3 3" xfId="27185" xr:uid="{00000000-0005-0000-0000-0000356A0000}"/>
    <cellStyle name="Percent [2] 8 6 4" xfId="27186" xr:uid="{00000000-0005-0000-0000-0000366A0000}"/>
    <cellStyle name="Percent [2] 8 6 5" xfId="27187" xr:uid="{00000000-0005-0000-0000-0000376A0000}"/>
    <cellStyle name="Percent [2] 8 6 6" xfId="27188" xr:uid="{00000000-0005-0000-0000-0000386A0000}"/>
    <cellStyle name="Percent [2] 8 7" xfId="27189" xr:uid="{00000000-0005-0000-0000-0000396A0000}"/>
    <cellStyle name="Percent [2] 8 7 2" xfId="27190" xr:uid="{00000000-0005-0000-0000-00003A6A0000}"/>
    <cellStyle name="Percent [2] 8 7 3" xfId="27191" xr:uid="{00000000-0005-0000-0000-00003B6A0000}"/>
    <cellStyle name="Percent [2] 8 8" xfId="27192" xr:uid="{00000000-0005-0000-0000-00003C6A0000}"/>
    <cellStyle name="Percent [2] 8 8 2" xfId="27193" xr:uid="{00000000-0005-0000-0000-00003D6A0000}"/>
    <cellStyle name="Percent [2] 8 8 3" xfId="27194" xr:uid="{00000000-0005-0000-0000-00003E6A0000}"/>
    <cellStyle name="Percent [2] 8 9" xfId="27195" xr:uid="{00000000-0005-0000-0000-00003F6A0000}"/>
    <cellStyle name="Percent [2] 8 9 2" xfId="27196" xr:uid="{00000000-0005-0000-0000-0000406A0000}"/>
    <cellStyle name="Percent [2] 8 9 3" xfId="27197" xr:uid="{00000000-0005-0000-0000-0000416A0000}"/>
    <cellStyle name="Percent [2] 9" xfId="27198" xr:uid="{00000000-0005-0000-0000-0000426A0000}"/>
    <cellStyle name="Percent [2] 9 10" xfId="27199" xr:uid="{00000000-0005-0000-0000-0000436A0000}"/>
    <cellStyle name="Percent [2] 9 11" xfId="27200" xr:uid="{00000000-0005-0000-0000-0000446A0000}"/>
    <cellStyle name="Percent [2] 9 12" xfId="27201" xr:uid="{00000000-0005-0000-0000-0000456A0000}"/>
    <cellStyle name="Percent [2] 9 2" xfId="27202" xr:uid="{00000000-0005-0000-0000-0000466A0000}"/>
    <cellStyle name="Percent [2] 9 2 10" xfId="27203" xr:uid="{00000000-0005-0000-0000-0000476A0000}"/>
    <cellStyle name="Percent [2] 9 2 2" xfId="27204" xr:uid="{00000000-0005-0000-0000-0000486A0000}"/>
    <cellStyle name="Percent [2] 9 2 2 2" xfId="27205" xr:uid="{00000000-0005-0000-0000-0000496A0000}"/>
    <cellStyle name="Percent [2] 9 2 2 2 2" xfId="27206" xr:uid="{00000000-0005-0000-0000-00004A6A0000}"/>
    <cellStyle name="Percent [2] 9 2 2 2 2 2" xfId="27207" xr:uid="{00000000-0005-0000-0000-00004B6A0000}"/>
    <cellStyle name="Percent [2] 9 2 2 2 2 3" xfId="27208" xr:uid="{00000000-0005-0000-0000-00004C6A0000}"/>
    <cellStyle name="Percent [2] 9 2 2 2 3" xfId="27209" xr:uid="{00000000-0005-0000-0000-00004D6A0000}"/>
    <cellStyle name="Percent [2] 9 2 2 2 3 2" xfId="27210" xr:uid="{00000000-0005-0000-0000-00004E6A0000}"/>
    <cellStyle name="Percent [2] 9 2 2 2 3 3" xfId="27211" xr:uid="{00000000-0005-0000-0000-00004F6A0000}"/>
    <cellStyle name="Percent [2] 9 2 2 2 4" xfId="27212" xr:uid="{00000000-0005-0000-0000-0000506A0000}"/>
    <cellStyle name="Percent [2] 9 2 2 2 5" xfId="27213" xr:uid="{00000000-0005-0000-0000-0000516A0000}"/>
    <cellStyle name="Percent [2] 9 2 2 2 6" xfId="27214" xr:uid="{00000000-0005-0000-0000-0000526A0000}"/>
    <cellStyle name="Percent [2] 9 2 2 3" xfId="27215" xr:uid="{00000000-0005-0000-0000-0000536A0000}"/>
    <cellStyle name="Percent [2] 9 2 2 3 2" xfId="27216" xr:uid="{00000000-0005-0000-0000-0000546A0000}"/>
    <cellStyle name="Percent [2] 9 2 2 3 3" xfId="27217" xr:uid="{00000000-0005-0000-0000-0000556A0000}"/>
    <cellStyle name="Percent [2] 9 2 2 4" xfId="27218" xr:uid="{00000000-0005-0000-0000-0000566A0000}"/>
    <cellStyle name="Percent [2] 9 2 2 4 2" xfId="27219" xr:uid="{00000000-0005-0000-0000-0000576A0000}"/>
    <cellStyle name="Percent [2] 9 2 2 4 3" xfId="27220" xr:uid="{00000000-0005-0000-0000-0000586A0000}"/>
    <cellStyle name="Percent [2] 9 2 2 5" xfId="27221" xr:uid="{00000000-0005-0000-0000-0000596A0000}"/>
    <cellStyle name="Percent [2] 9 2 2 5 2" xfId="27222" xr:uid="{00000000-0005-0000-0000-00005A6A0000}"/>
    <cellStyle name="Percent [2] 9 2 2 5 3" xfId="27223" xr:uid="{00000000-0005-0000-0000-00005B6A0000}"/>
    <cellStyle name="Percent [2] 9 2 2 6" xfId="27224" xr:uid="{00000000-0005-0000-0000-00005C6A0000}"/>
    <cellStyle name="Percent [2] 9 2 2 7" xfId="27225" xr:uid="{00000000-0005-0000-0000-00005D6A0000}"/>
    <cellStyle name="Percent [2] 9 2 2 8" xfId="27226" xr:uid="{00000000-0005-0000-0000-00005E6A0000}"/>
    <cellStyle name="Percent [2] 9 2 3" xfId="27227" xr:uid="{00000000-0005-0000-0000-00005F6A0000}"/>
    <cellStyle name="Percent [2] 9 2 3 2" xfId="27228" xr:uid="{00000000-0005-0000-0000-0000606A0000}"/>
    <cellStyle name="Percent [2] 9 2 3 2 2" xfId="27229" xr:uid="{00000000-0005-0000-0000-0000616A0000}"/>
    <cellStyle name="Percent [2] 9 2 3 2 2 2" xfId="27230" xr:uid="{00000000-0005-0000-0000-0000626A0000}"/>
    <cellStyle name="Percent [2] 9 2 3 2 2 3" xfId="27231" xr:uid="{00000000-0005-0000-0000-0000636A0000}"/>
    <cellStyle name="Percent [2] 9 2 3 2 3" xfId="27232" xr:uid="{00000000-0005-0000-0000-0000646A0000}"/>
    <cellStyle name="Percent [2] 9 2 3 2 3 2" xfId="27233" xr:uid="{00000000-0005-0000-0000-0000656A0000}"/>
    <cellStyle name="Percent [2] 9 2 3 2 3 3" xfId="27234" xr:uid="{00000000-0005-0000-0000-0000666A0000}"/>
    <cellStyle name="Percent [2] 9 2 3 2 4" xfId="27235" xr:uid="{00000000-0005-0000-0000-0000676A0000}"/>
    <cellStyle name="Percent [2] 9 2 3 2 5" xfId="27236" xr:uid="{00000000-0005-0000-0000-0000686A0000}"/>
    <cellStyle name="Percent [2] 9 2 3 2 6" xfId="27237" xr:uid="{00000000-0005-0000-0000-0000696A0000}"/>
    <cellStyle name="Percent [2] 9 2 3 3" xfId="27238" xr:uid="{00000000-0005-0000-0000-00006A6A0000}"/>
    <cellStyle name="Percent [2] 9 2 3 3 2" xfId="27239" xr:uid="{00000000-0005-0000-0000-00006B6A0000}"/>
    <cellStyle name="Percent [2] 9 2 3 3 3" xfId="27240" xr:uid="{00000000-0005-0000-0000-00006C6A0000}"/>
    <cellStyle name="Percent [2] 9 2 3 4" xfId="27241" xr:uid="{00000000-0005-0000-0000-00006D6A0000}"/>
    <cellStyle name="Percent [2] 9 2 3 4 2" xfId="27242" xr:uid="{00000000-0005-0000-0000-00006E6A0000}"/>
    <cellStyle name="Percent [2] 9 2 3 4 3" xfId="27243" xr:uid="{00000000-0005-0000-0000-00006F6A0000}"/>
    <cellStyle name="Percent [2] 9 2 3 5" xfId="27244" xr:uid="{00000000-0005-0000-0000-0000706A0000}"/>
    <cellStyle name="Percent [2] 9 2 3 5 2" xfId="27245" xr:uid="{00000000-0005-0000-0000-0000716A0000}"/>
    <cellStyle name="Percent [2] 9 2 3 5 3" xfId="27246" xr:uid="{00000000-0005-0000-0000-0000726A0000}"/>
    <cellStyle name="Percent [2] 9 2 3 6" xfId="27247" xr:uid="{00000000-0005-0000-0000-0000736A0000}"/>
    <cellStyle name="Percent [2] 9 2 3 7" xfId="27248" xr:uid="{00000000-0005-0000-0000-0000746A0000}"/>
    <cellStyle name="Percent [2] 9 2 3 8" xfId="27249" xr:uid="{00000000-0005-0000-0000-0000756A0000}"/>
    <cellStyle name="Percent [2] 9 2 4" xfId="27250" xr:uid="{00000000-0005-0000-0000-0000766A0000}"/>
    <cellStyle name="Percent [2] 9 2 4 2" xfId="27251" xr:uid="{00000000-0005-0000-0000-0000776A0000}"/>
    <cellStyle name="Percent [2] 9 2 4 2 2" xfId="27252" xr:uid="{00000000-0005-0000-0000-0000786A0000}"/>
    <cellStyle name="Percent [2] 9 2 4 2 3" xfId="27253" xr:uid="{00000000-0005-0000-0000-0000796A0000}"/>
    <cellStyle name="Percent [2] 9 2 4 3" xfId="27254" xr:uid="{00000000-0005-0000-0000-00007A6A0000}"/>
    <cellStyle name="Percent [2] 9 2 4 3 2" xfId="27255" xr:uid="{00000000-0005-0000-0000-00007B6A0000}"/>
    <cellStyle name="Percent [2] 9 2 4 3 3" xfId="27256" xr:uid="{00000000-0005-0000-0000-00007C6A0000}"/>
    <cellStyle name="Percent [2] 9 2 4 4" xfId="27257" xr:uid="{00000000-0005-0000-0000-00007D6A0000}"/>
    <cellStyle name="Percent [2] 9 2 4 5" xfId="27258" xr:uid="{00000000-0005-0000-0000-00007E6A0000}"/>
    <cellStyle name="Percent [2] 9 2 4 6" xfId="27259" xr:uid="{00000000-0005-0000-0000-00007F6A0000}"/>
    <cellStyle name="Percent [2] 9 2 5" xfId="27260" xr:uid="{00000000-0005-0000-0000-0000806A0000}"/>
    <cellStyle name="Percent [2] 9 2 5 2" xfId="27261" xr:uid="{00000000-0005-0000-0000-0000816A0000}"/>
    <cellStyle name="Percent [2] 9 2 5 3" xfId="27262" xr:uid="{00000000-0005-0000-0000-0000826A0000}"/>
    <cellStyle name="Percent [2] 9 2 6" xfId="27263" xr:uid="{00000000-0005-0000-0000-0000836A0000}"/>
    <cellStyle name="Percent [2] 9 2 6 2" xfId="27264" xr:uid="{00000000-0005-0000-0000-0000846A0000}"/>
    <cellStyle name="Percent [2] 9 2 6 3" xfId="27265" xr:uid="{00000000-0005-0000-0000-0000856A0000}"/>
    <cellStyle name="Percent [2] 9 2 7" xfId="27266" xr:uid="{00000000-0005-0000-0000-0000866A0000}"/>
    <cellStyle name="Percent [2] 9 2 7 2" xfId="27267" xr:uid="{00000000-0005-0000-0000-0000876A0000}"/>
    <cellStyle name="Percent [2] 9 2 7 3" xfId="27268" xr:uid="{00000000-0005-0000-0000-0000886A0000}"/>
    <cellStyle name="Percent [2] 9 2 8" xfId="27269" xr:uid="{00000000-0005-0000-0000-0000896A0000}"/>
    <cellStyle name="Percent [2] 9 2 9" xfId="27270" xr:uid="{00000000-0005-0000-0000-00008A6A0000}"/>
    <cellStyle name="Percent [2] 9 3" xfId="27271" xr:uid="{00000000-0005-0000-0000-00008B6A0000}"/>
    <cellStyle name="Percent [2] 9 3 2" xfId="27272" xr:uid="{00000000-0005-0000-0000-00008C6A0000}"/>
    <cellStyle name="Percent [2] 9 3 2 2" xfId="27273" xr:uid="{00000000-0005-0000-0000-00008D6A0000}"/>
    <cellStyle name="Percent [2] 9 3 2 2 2" xfId="27274" xr:uid="{00000000-0005-0000-0000-00008E6A0000}"/>
    <cellStyle name="Percent [2] 9 3 2 2 3" xfId="27275" xr:uid="{00000000-0005-0000-0000-00008F6A0000}"/>
    <cellStyle name="Percent [2] 9 3 2 3" xfId="27276" xr:uid="{00000000-0005-0000-0000-0000906A0000}"/>
    <cellStyle name="Percent [2] 9 3 2 3 2" xfId="27277" xr:uid="{00000000-0005-0000-0000-0000916A0000}"/>
    <cellStyle name="Percent [2] 9 3 2 3 3" xfId="27278" xr:uid="{00000000-0005-0000-0000-0000926A0000}"/>
    <cellStyle name="Percent [2] 9 3 2 4" xfId="27279" xr:uid="{00000000-0005-0000-0000-0000936A0000}"/>
    <cellStyle name="Percent [2] 9 3 2 5" xfId="27280" xr:uid="{00000000-0005-0000-0000-0000946A0000}"/>
    <cellStyle name="Percent [2] 9 3 2 6" xfId="27281" xr:uid="{00000000-0005-0000-0000-0000956A0000}"/>
    <cellStyle name="Percent [2] 9 3 3" xfId="27282" xr:uid="{00000000-0005-0000-0000-0000966A0000}"/>
    <cellStyle name="Percent [2] 9 3 3 2" xfId="27283" xr:uid="{00000000-0005-0000-0000-0000976A0000}"/>
    <cellStyle name="Percent [2] 9 3 3 3" xfId="27284" xr:uid="{00000000-0005-0000-0000-0000986A0000}"/>
    <cellStyle name="Percent [2] 9 3 4" xfId="27285" xr:uid="{00000000-0005-0000-0000-0000996A0000}"/>
    <cellStyle name="Percent [2] 9 3 4 2" xfId="27286" xr:uid="{00000000-0005-0000-0000-00009A6A0000}"/>
    <cellStyle name="Percent [2] 9 3 4 3" xfId="27287" xr:uid="{00000000-0005-0000-0000-00009B6A0000}"/>
    <cellStyle name="Percent [2] 9 3 5" xfId="27288" xr:uid="{00000000-0005-0000-0000-00009C6A0000}"/>
    <cellStyle name="Percent [2] 9 3 5 2" xfId="27289" xr:uid="{00000000-0005-0000-0000-00009D6A0000}"/>
    <cellStyle name="Percent [2] 9 3 5 3" xfId="27290" xr:uid="{00000000-0005-0000-0000-00009E6A0000}"/>
    <cellStyle name="Percent [2] 9 3 6" xfId="27291" xr:uid="{00000000-0005-0000-0000-00009F6A0000}"/>
    <cellStyle name="Percent [2] 9 3 7" xfId="27292" xr:uid="{00000000-0005-0000-0000-0000A06A0000}"/>
    <cellStyle name="Percent [2] 9 3 8" xfId="27293" xr:uid="{00000000-0005-0000-0000-0000A16A0000}"/>
    <cellStyle name="Percent [2] 9 4" xfId="27294" xr:uid="{00000000-0005-0000-0000-0000A26A0000}"/>
    <cellStyle name="Percent [2] 9 4 2" xfId="27295" xr:uid="{00000000-0005-0000-0000-0000A36A0000}"/>
    <cellStyle name="Percent [2] 9 4 2 2" xfId="27296" xr:uid="{00000000-0005-0000-0000-0000A46A0000}"/>
    <cellStyle name="Percent [2] 9 4 2 2 2" xfId="27297" xr:uid="{00000000-0005-0000-0000-0000A56A0000}"/>
    <cellStyle name="Percent [2] 9 4 2 2 3" xfId="27298" xr:uid="{00000000-0005-0000-0000-0000A66A0000}"/>
    <cellStyle name="Percent [2] 9 4 2 3" xfId="27299" xr:uid="{00000000-0005-0000-0000-0000A76A0000}"/>
    <cellStyle name="Percent [2] 9 4 2 3 2" xfId="27300" xr:uid="{00000000-0005-0000-0000-0000A86A0000}"/>
    <cellStyle name="Percent [2] 9 4 2 3 3" xfId="27301" xr:uid="{00000000-0005-0000-0000-0000A96A0000}"/>
    <cellStyle name="Percent [2] 9 4 2 4" xfId="27302" xr:uid="{00000000-0005-0000-0000-0000AA6A0000}"/>
    <cellStyle name="Percent [2] 9 4 2 5" xfId="27303" xr:uid="{00000000-0005-0000-0000-0000AB6A0000}"/>
    <cellStyle name="Percent [2] 9 4 2 6" xfId="27304" xr:uid="{00000000-0005-0000-0000-0000AC6A0000}"/>
    <cellStyle name="Percent [2] 9 4 3" xfId="27305" xr:uid="{00000000-0005-0000-0000-0000AD6A0000}"/>
    <cellStyle name="Percent [2] 9 4 3 2" xfId="27306" xr:uid="{00000000-0005-0000-0000-0000AE6A0000}"/>
    <cellStyle name="Percent [2] 9 4 3 3" xfId="27307" xr:uid="{00000000-0005-0000-0000-0000AF6A0000}"/>
    <cellStyle name="Percent [2] 9 4 4" xfId="27308" xr:uid="{00000000-0005-0000-0000-0000B06A0000}"/>
    <cellStyle name="Percent [2] 9 4 4 2" xfId="27309" xr:uid="{00000000-0005-0000-0000-0000B16A0000}"/>
    <cellStyle name="Percent [2] 9 4 4 3" xfId="27310" xr:uid="{00000000-0005-0000-0000-0000B26A0000}"/>
    <cellStyle name="Percent [2] 9 4 5" xfId="27311" xr:uid="{00000000-0005-0000-0000-0000B36A0000}"/>
    <cellStyle name="Percent [2] 9 4 5 2" xfId="27312" xr:uid="{00000000-0005-0000-0000-0000B46A0000}"/>
    <cellStyle name="Percent [2] 9 4 5 3" xfId="27313" xr:uid="{00000000-0005-0000-0000-0000B56A0000}"/>
    <cellStyle name="Percent [2] 9 4 6" xfId="27314" xr:uid="{00000000-0005-0000-0000-0000B66A0000}"/>
    <cellStyle name="Percent [2] 9 4 7" xfId="27315" xr:uid="{00000000-0005-0000-0000-0000B76A0000}"/>
    <cellStyle name="Percent [2] 9 4 8" xfId="27316" xr:uid="{00000000-0005-0000-0000-0000B86A0000}"/>
    <cellStyle name="Percent [2] 9 5" xfId="27317" xr:uid="{00000000-0005-0000-0000-0000B96A0000}"/>
    <cellStyle name="Percent [2] 9 5 2" xfId="27318" xr:uid="{00000000-0005-0000-0000-0000BA6A0000}"/>
    <cellStyle name="Percent [2] 9 5 2 2" xfId="27319" xr:uid="{00000000-0005-0000-0000-0000BB6A0000}"/>
    <cellStyle name="Percent [2] 9 5 2 2 2" xfId="27320" xr:uid="{00000000-0005-0000-0000-0000BC6A0000}"/>
    <cellStyle name="Percent [2] 9 5 2 2 3" xfId="27321" xr:uid="{00000000-0005-0000-0000-0000BD6A0000}"/>
    <cellStyle name="Percent [2] 9 5 2 3" xfId="27322" xr:uid="{00000000-0005-0000-0000-0000BE6A0000}"/>
    <cellStyle name="Percent [2] 9 5 2 3 2" xfId="27323" xr:uid="{00000000-0005-0000-0000-0000BF6A0000}"/>
    <cellStyle name="Percent [2] 9 5 2 3 3" xfId="27324" xr:uid="{00000000-0005-0000-0000-0000C06A0000}"/>
    <cellStyle name="Percent [2] 9 5 2 4" xfId="27325" xr:uid="{00000000-0005-0000-0000-0000C16A0000}"/>
    <cellStyle name="Percent [2] 9 5 2 5" xfId="27326" xr:uid="{00000000-0005-0000-0000-0000C26A0000}"/>
    <cellStyle name="Percent [2] 9 5 2 6" xfId="27327" xr:uid="{00000000-0005-0000-0000-0000C36A0000}"/>
    <cellStyle name="Percent [2] 9 5 3" xfId="27328" xr:uid="{00000000-0005-0000-0000-0000C46A0000}"/>
    <cellStyle name="Percent [2] 9 5 3 2" xfId="27329" xr:uid="{00000000-0005-0000-0000-0000C56A0000}"/>
    <cellStyle name="Percent [2] 9 5 3 3" xfId="27330" xr:uid="{00000000-0005-0000-0000-0000C66A0000}"/>
    <cellStyle name="Percent [2] 9 5 4" xfId="27331" xr:uid="{00000000-0005-0000-0000-0000C76A0000}"/>
    <cellStyle name="Percent [2] 9 5 4 2" xfId="27332" xr:uid="{00000000-0005-0000-0000-0000C86A0000}"/>
    <cellStyle name="Percent [2] 9 5 4 3" xfId="27333" xr:uid="{00000000-0005-0000-0000-0000C96A0000}"/>
    <cellStyle name="Percent [2] 9 5 5" xfId="27334" xr:uid="{00000000-0005-0000-0000-0000CA6A0000}"/>
    <cellStyle name="Percent [2] 9 5 5 2" xfId="27335" xr:uid="{00000000-0005-0000-0000-0000CB6A0000}"/>
    <cellStyle name="Percent [2] 9 5 5 3" xfId="27336" xr:uid="{00000000-0005-0000-0000-0000CC6A0000}"/>
    <cellStyle name="Percent [2] 9 5 6" xfId="27337" xr:uid="{00000000-0005-0000-0000-0000CD6A0000}"/>
    <cellStyle name="Percent [2] 9 5 7" xfId="27338" xr:uid="{00000000-0005-0000-0000-0000CE6A0000}"/>
    <cellStyle name="Percent [2] 9 5 8" xfId="27339" xr:uid="{00000000-0005-0000-0000-0000CF6A0000}"/>
    <cellStyle name="Percent [2] 9 6" xfId="27340" xr:uid="{00000000-0005-0000-0000-0000D06A0000}"/>
    <cellStyle name="Percent [2] 9 6 2" xfId="27341" xr:uid="{00000000-0005-0000-0000-0000D16A0000}"/>
    <cellStyle name="Percent [2] 9 6 2 2" xfId="27342" xr:uid="{00000000-0005-0000-0000-0000D26A0000}"/>
    <cellStyle name="Percent [2] 9 6 2 3" xfId="27343" xr:uid="{00000000-0005-0000-0000-0000D36A0000}"/>
    <cellStyle name="Percent [2] 9 6 3" xfId="27344" xr:uid="{00000000-0005-0000-0000-0000D46A0000}"/>
    <cellStyle name="Percent [2] 9 6 3 2" xfId="27345" xr:uid="{00000000-0005-0000-0000-0000D56A0000}"/>
    <cellStyle name="Percent [2] 9 6 3 3" xfId="27346" xr:uid="{00000000-0005-0000-0000-0000D66A0000}"/>
    <cellStyle name="Percent [2] 9 6 4" xfId="27347" xr:uid="{00000000-0005-0000-0000-0000D76A0000}"/>
    <cellStyle name="Percent [2] 9 6 5" xfId="27348" xr:uid="{00000000-0005-0000-0000-0000D86A0000}"/>
    <cellStyle name="Percent [2] 9 6 6" xfId="27349" xr:uid="{00000000-0005-0000-0000-0000D96A0000}"/>
    <cellStyle name="Percent [2] 9 7" xfId="27350" xr:uid="{00000000-0005-0000-0000-0000DA6A0000}"/>
    <cellStyle name="Percent [2] 9 7 2" xfId="27351" xr:uid="{00000000-0005-0000-0000-0000DB6A0000}"/>
    <cellStyle name="Percent [2] 9 7 3" xfId="27352" xr:uid="{00000000-0005-0000-0000-0000DC6A0000}"/>
    <cellStyle name="Percent [2] 9 8" xfId="27353" xr:uid="{00000000-0005-0000-0000-0000DD6A0000}"/>
    <cellStyle name="Percent [2] 9 8 2" xfId="27354" xr:uid="{00000000-0005-0000-0000-0000DE6A0000}"/>
    <cellStyle name="Percent [2] 9 8 3" xfId="27355" xr:uid="{00000000-0005-0000-0000-0000DF6A0000}"/>
    <cellStyle name="Percent [2] 9 9" xfId="27356" xr:uid="{00000000-0005-0000-0000-0000E06A0000}"/>
    <cellStyle name="Percent [2] 9 9 2" xfId="27357" xr:uid="{00000000-0005-0000-0000-0000E16A0000}"/>
    <cellStyle name="Percent [2] 9 9 3" xfId="27358" xr:uid="{00000000-0005-0000-0000-0000E26A0000}"/>
    <cellStyle name="Percent 10" xfId="27359" xr:uid="{00000000-0005-0000-0000-0000E36A0000}"/>
    <cellStyle name="Percent 10 2" xfId="27360" xr:uid="{00000000-0005-0000-0000-0000E46A0000}"/>
    <cellStyle name="Percent 10 2 2" xfId="27361" xr:uid="{00000000-0005-0000-0000-0000E56A0000}"/>
    <cellStyle name="Percent 10 2 2 2" xfId="27362" xr:uid="{00000000-0005-0000-0000-0000E66A0000}"/>
    <cellStyle name="Percent 10 2 2 3" xfId="27363" xr:uid="{00000000-0005-0000-0000-0000E76A0000}"/>
    <cellStyle name="Percent 10 2 3" xfId="27364" xr:uid="{00000000-0005-0000-0000-0000E86A0000}"/>
    <cellStyle name="Percent 10 2 3 2" xfId="27365" xr:uid="{00000000-0005-0000-0000-0000E96A0000}"/>
    <cellStyle name="Percent 10 2 3 3" xfId="27366" xr:uid="{00000000-0005-0000-0000-0000EA6A0000}"/>
    <cellStyle name="Percent 10 2 4" xfId="27367" xr:uid="{00000000-0005-0000-0000-0000EB6A0000}"/>
    <cellStyle name="Percent 10 2 5" xfId="27368" xr:uid="{00000000-0005-0000-0000-0000EC6A0000}"/>
    <cellStyle name="Percent 10 2 6" xfId="27369" xr:uid="{00000000-0005-0000-0000-0000ED6A0000}"/>
    <cellStyle name="Percent 10 3" xfId="27370" xr:uid="{00000000-0005-0000-0000-0000EE6A0000}"/>
    <cellStyle name="Percent 10 3 2" xfId="27371" xr:uid="{00000000-0005-0000-0000-0000EF6A0000}"/>
    <cellStyle name="Percent 10 3 3" xfId="27372" xr:uid="{00000000-0005-0000-0000-0000F06A0000}"/>
    <cellStyle name="Percent 10 4" xfId="27373" xr:uid="{00000000-0005-0000-0000-0000F16A0000}"/>
    <cellStyle name="Percent 10 4 2" xfId="27374" xr:uid="{00000000-0005-0000-0000-0000F26A0000}"/>
    <cellStyle name="Percent 10 4 3" xfId="27375" xr:uid="{00000000-0005-0000-0000-0000F36A0000}"/>
    <cellStyle name="Percent 10 5" xfId="27376" xr:uid="{00000000-0005-0000-0000-0000F46A0000}"/>
    <cellStyle name="Percent 10 6" xfId="27377" xr:uid="{00000000-0005-0000-0000-0000F56A0000}"/>
    <cellStyle name="Percent 10 7" xfId="27378" xr:uid="{00000000-0005-0000-0000-0000F66A0000}"/>
    <cellStyle name="Percent 11" xfId="27379" xr:uid="{00000000-0005-0000-0000-0000F76A0000}"/>
    <cellStyle name="Percent 11 10" xfId="27380" xr:uid="{00000000-0005-0000-0000-0000F86A0000}"/>
    <cellStyle name="Percent 11 10 2" xfId="27381" xr:uid="{00000000-0005-0000-0000-0000F96A0000}"/>
    <cellStyle name="Percent 11 10 2 2" xfId="27382" xr:uid="{00000000-0005-0000-0000-0000FA6A0000}"/>
    <cellStyle name="Percent 11 10 2 2 2" xfId="27383" xr:uid="{00000000-0005-0000-0000-0000FB6A0000}"/>
    <cellStyle name="Percent 11 10 2 2 3" xfId="27384" xr:uid="{00000000-0005-0000-0000-0000FC6A0000}"/>
    <cellStyle name="Percent 11 10 2 3" xfId="27385" xr:uid="{00000000-0005-0000-0000-0000FD6A0000}"/>
    <cellStyle name="Percent 11 10 2 3 2" xfId="27386" xr:uid="{00000000-0005-0000-0000-0000FE6A0000}"/>
    <cellStyle name="Percent 11 10 2 3 3" xfId="27387" xr:uid="{00000000-0005-0000-0000-0000FF6A0000}"/>
    <cellStyle name="Percent 11 10 2 4" xfId="27388" xr:uid="{00000000-0005-0000-0000-0000006B0000}"/>
    <cellStyle name="Percent 11 10 2 5" xfId="27389" xr:uid="{00000000-0005-0000-0000-0000016B0000}"/>
    <cellStyle name="Percent 11 10 2 6" xfId="27390" xr:uid="{00000000-0005-0000-0000-0000026B0000}"/>
    <cellStyle name="Percent 11 10 3" xfId="27391" xr:uid="{00000000-0005-0000-0000-0000036B0000}"/>
    <cellStyle name="Percent 11 10 3 2" xfId="27392" xr:uid="{00000000-0005-0000-0000-0000046B0000}"/>
    <cellStyle name="Percent 11 10 3 3" xfId="27393" xr:uid="{00000000-0005-0000-0000-0000056B0000}"/>
    <cellStyle name="Percent 11 10 4" xfId="27394" xr:uid="{00000000-0005-0000-0000-0000066B0000}"/>
    <cellStyle name="Percent 11 10 4 2" xfId="27395" xr:uid="{00000000-0005-0000-0000-0000076B0000}"/>
    <cellStyle name="Percent 11 10 4 3" xfId="27396" xr:uid="{00000000-0005-0000-0000-0000086B0000}"/>
    <cellStyle name="Percent 11 10 5" xfId="27397" xr:uid="{00000000-0005-0000-0000-0000096B0000}"/>
    <cellStyle name="Percent 11 10 6" xfId="27398" xr:uid="{00000000-0005-0000-0000-00000A6B0000}"/>
    <cellStyle name="Percent 11 10 7" xfId="27399" xr:uid="{00000000-0005-0000-0000-00000B6B0000}"/>
    <cellStyle name="Percent 11 11" xfId="27400" xr:uid="{00000000-0005-0000-0000-00000C6B0000}"/>
    <cellStyle name="Percent 11 11 2" xfId="27401" xr:uid="{00000000-0005-0000-0000-00000D6B0000}"/>
    <cellStyle name="Percent 11 11 2 2" xfId="27402" xr:uid="{00000000-0005-0000-0000-00000E6B0000}"/>
    <cellStyle name="Percent 11 11 2 2 2" xfId="27403" xr:uid="{00000000-0005-0000-0000-00000F6B0000}"/>
    <cellStyle name="Percent 11 11 2 2 3" xfId="27404" xr:uid="{00000000-0005-0000-0000-0000106B0000}"/>
    <cellStyle name="Percent 11 11 2 3" xfId="27405" xr:uid="{00000000-0005-0000-0000-0000116B0000}"/>
    <cellStyle name="Percent 11 11 2 3 2" xfId="27406" xr:uid="{00000000-0005-0000-0000-0000126B0000}"/>
    <cellStyle name="Percent 11 11 2 3 3" xfId="27407" xr:uid="{00000000-0005-0000-0000-0000136B0000}"/>
    <cellStyle name="Percent 11 11 2 4" xfId="27408" xr:uid="{00000000-0005-0000-0000-0000146B0000}"/>
    <cellStyle name="Percent 11 11 2 5" xfId="27409" xr:uid="{00000000-0005-0000-0000-0000156B0000}"/>
    <cellStyle name="Percent 11 11 2 6" xfId="27410" xr:uid="{00000000-0005-0000-0000-0000166B0000}"/>
    <cellStyle name="Percent 11 11 3" xfId="27411" xr:uid="{00000000-0005-0000-0000-0000176B0000}"/>
    <cellStyle name="Percent 11 11 3 2" xfId="27412" xr:uid="{00000000-0005-0000-0000-0000186B0000}"/>
    <cellStyle name="Percent 11 11 3 3" xfId="27413" xr:uid="{00000000-0005-0000-0000-0000196B0000}"/>
    <cellStyle name="Percent 11 11 4" xfId="27414" xr:uid="{00000000-0005-0000-0000-00001A6B0000}"/>
    <cellStyle name="Percent 11 11 4 2" xfId="27415" xr:uid="{00000000-0005-0000-0000-00001B6B0000}"/>
    <cellStyle name="Percent 11 11 4 3" xfId="27416" xr:uid="{00000000-0005-0000-0000-00001C6B0000}"/>
    <cellStyle name="Percent 11 11 5" xfId="27417" xr:uid="{00000000-0005-0000-0000-00001D6B0000}"/>
    <cellStyle name="Percent 11 11 6" xfId="27418" xr:uid="{00000000-0005-0000-0000-00001E6B0000}"/>
    <cellStyle name="Percent 11 11 7" xfId="27419" xr:uid="{00000000-0005-0000-0000-00001F6B0000}"/>
    <cellStyle name="Percent 11 12" xfId="27420" xr:uid="{00000000-0005-0000-0000-0000206B0000}"/>
    <cellStyle name="Percent 11 12 2" xfId="27421" xr:uid="{00000000-0005-0000-0000-0000216B0000}"/>
    <cellStyle name="Percent 11 12 2 2" xfId="27422" xr:uid="{00000000-0005-0000-0000-0000226B0000}"/>
    <cellStyle name="Percent 11 12 2 3" xfId="27423" xr:uid="{00000000-0005-0000-0000-0000236B0000}"/>
    <cellStyle name="Percent 11 12 3" xfId="27424" xr:uid="{00000000-0005-0000-0000-0000246B0000}"/>
    <cellStyle name="Percent 11 12 3 2" xfId="27425" xr:uid="{00000000-0005-0000-0000-0000256B0000}"/>
    <cellStyle name="Percent 11 12 3 3" xfId="27426" xr:uid="{00000000-0005-0000-0000-0000266B0000}"/>
    <cellStyle name="Percent 11 12 4" xfId="27427" xr:uid="{00000000-0005-0000-0000-0000276B0000}"/>
    <cellStyle name="Percent 11 12 5" xfId="27428" xr:uid="{00000000-0005-0000-0000-0000286B0000}"/>
    <cellStyle name="Percent 11 12 6" xfId="27429" xr:uid="{00000000-0005-0000-0000-0000296B0000}"/>
    <cellStyle name="Percent 11 13" xfId="27430" xr:uid="{00000000-0005-0000-0000-00002A6B0000}"/>
    <cellStyle name="Percent 11 13 2" xfId="27431" xr:uid="{00000000-0005-0000-0000-00002B6B0000}"/>
    <cellStyle name="Percent 11 13 3" xfId="27432" xr:uid="{00000000-0005-0000-0000-00002C6B0000}"/>
    <cellStyle name="Percent 11 14" xfId="27433" xr:uid="{00000000-0005-0000-0000-00002D6B0000}"/>
    <cellStyle name="Percent 11 14 2" xfId="27434" xr:uid="{00000000-0005-0000-0000-00002E6B0000}"/>
    <cellStyle name="Percent 11 14 3" xfId="27435" xr:uid="{00000000-0005-0000-0000-00002F6B0000}"/>
    <cellStyle name="Percent 11 15" xfId="27436" xr:uid="{00000000-0005-0000-0000-0000306B0000}"/>
    <cellStyle name="Percent 11 16" xfId="27437" xr:uid="{00000000-0005-0000-0000-0000316B0000}"/>
    <cellStyle name="Percent 11 17" xfId="27438" xr:uid="{00000000-0005-0000-0000-0000326B0000}"/>
    <cellStyle name="Percent 11 2" xfId="27439" xr:uid="{00000000-0005-0000-0000-0000336B0000}"/>
    <cellStyle name="Percent 11 2 2" xfId="27440" xr:uid="{00000000-0005-0000-0000-0000346B0000}"/>
    <cellStyle name="Percent 11 2 2 2" xfId="27441" xr:uid="{00000000-0005-0000-0000-0000356B0000}"/>
    <cellStyle name="Percent 11 2 2 2 2" xfId="27442" xr:uid="{00000000-0005-0000-0000-0000366B0000}"/>
    <cellStyle name="Percent 11 2 2 2 3" xfId="27443" xr:uid="{00000000-0005-0000-0000-0000376B0000}"/>
    <cellStyle name="Percent 11 2 2 3" xfId="27444" xr:uid="{00000000-0005-0000-0000-0000386B0000}"/>
    <cellStyle name="Percent 11 2 2 3 2" xfId="27445" xr:uid="{00000000-0005-0000-0000-0000396B0000}"/>
    <cellStyle name="Percent 11 2 2 3 3" xfId="27446" xr:uid="{00000000-0005-0000-0000-00003A6B0000}"/>
    <cellStyle name="Percent 11 2 2 4" xfId="27447" xr:uid="{00000000-0005-0000-0000-00003B6B0000}"/>
    <cellStyle name="Percent 11 2 2 5" xfId="27448" xr:uid="{00000000-0005-0000-0000-00003C6B0000}"/>
    <cellStyle name="Percent 11 2 2 6" xfId="27449" xr:uid="{00000000-0005-0000-0000-00003D6B0000}"/>
    <cellStyle name="Percent 11 2 3" xfId="27450" xr:uid="{00000000-0005-0000-0000-00003E6B0000}"/>
    <cellStyle name="Percent 11 2 3 2" xfId="27451" xr:uid="{00000000-0005-0000-0000-00003F6B0000}"/>
    <cellStyle name="Percent 11 2 3 3" xfId="27452" xr:uid="{00000000-0005-0000-0000-0000406B0000}"/>
    <cellStyle name="Percent 11 2 4" xfId="27453" xr:uid="{00000000-0005-0000-0000-0000416B0000}"/>
    <cellStyle name="Percent 11 2 4 2" xfId="27454" xr:uid="{00000000-0005-0000-0000-0000426B0000}"/>
    <cellStyle name="Percent 11 2 4 3" xfId="27455" xr:uid="{00000000-0005-0000-0000-0000436B0000}"/>
    <cellStyle name="Percent 11 2 5" xfId="27456" xr:uid="{00000000-0005-0000-0000-0000446B0000}"/>
    <cellStyle name="Percent 11 2 6" xfId="27457" xr:uid="{00000000-0005-0000-0000-0000456B0000}"/>
    <cellStyle name="Percent 11 2 7" xfId="27458" xr:uid="{00000000-0005-0000-0000-0000466B0000}"/>
    <cellStyle name="Percent 11 3" xfId="27459" xr:uid="{00000000-0005-0000-0000-0000476B0000}"/>
    <cellStyle name="Percent 11 3 2" xfId="27460" xr:uid="{00000000-0005-0000-0000-0000486B0000}"/>
    <cellStyle name="Percent 11 3 2 2" xfId="27461" xr:uid="{00000000-0005-0000-0000-0000496B0000}"/>
    <cellStyle name="Percent 11 3 2 2 2" xfId="27462" xr:uid="{00000000-0005-0000-0000-00004A6B0000}"/>
    <cellStyle name="Percent 11 3 2 2 3" xfId="27463" xr:uid="{00000000-0005-0000-0000-00004B6B0000}"/>
    <cellStyle name="Percent 11 3 2 3" xfId="27464" xr:uid="{00000000-0005-0000-0000-00004C6B0000}"/>
    <cellStyle name="Percent 11 3 2 3 2" xfId="27465" xr:uid="{00000000-0005-0000-0000-00004D6B0000}"/>
    <cellStyle name="Percent 11 3 2 3 3" xfId="27466" xr:uid="{00000000-0005-0000-0000-00004E6B0000}"/>
    <cellStyle name="Percent 11 3 2 4" xfId="27467" xr:uid="{00000000-0005-0000-0000-00004F6B0000}"/>
    <cellStyle name="Percent 11 3 2 5" xfId="27468" xr:uid="{00000000-0005-0000-0000-0000506B0000}"/>
    <cellStyle name="Percent 11 3 2 6" xfId="27469" xr:uid="{00000000-0005-0000-0000-0000516B0000}"/>
    <cellStyle name="Percent 11 3 3" xfId="27470" xr:uid="{00000000-0005-0000-0000-0000526B0000}"/>
    <cellStyle name="Percent 11 3 3 2" xfId="27471" xr:uid="{00000000-0005-0000-0000-0000536B0000}"/>
    <cellStyle name="Percent 11 3 3 3" xfId="27472" xr:uid="{00000000-0005-0000-0000-0000546B0000}"/>
    <cellStyle name="Percent 11 3 4" xfId="27473" xr:uid="{00000000-0005-0000-0000-0000556B0000}"/>
    <cellStyle name="Percent 11 3 4 2" xfId="27474" xr:uid="{00000000-0005-0000-0000-0000566B0000}"/>
    <cellStyle name="Percent 11 3 4 3" xfId="27475" xr:uid="{00000000-0005-0000-0000-0000576B0000}"/>
    <cellStyle name="Percent 11 3 5" xfId="27476" xr:uid="{00000000-0005-0000-0000-0000586B0000}"/>
    <cellStyle name="Percent 11 3 6" xfId="27477" xr:uid="{00000000-0005-0000-0000-0000596B0000}"/>
    <cellStyle name="Percent 11 3 7" xfId="27478" xr:uid="{00000000-0005-0000-0000-00005A6B0000}"/>
    <cellStyle name="Percent 11 4" xfId="27479" xr:uid="{00000000-0005-0000-0000-00005B6B0000}"/>
    <cellStyle name="Percent 11 4 2" xfId="27480" xr:uid="{00000000-0005-0000-0000-00005C6B0000}"/>
    <cellStyle name="Percent 11 4 2 2" xfId="27481" xr:uid="{00000000-0005-0000-0000-00005D6B0000}"/>
    <cellStyle name="Percent 11 4 2 2 2" xfId="27482" xr:uid="{00000000-0005-0000-0000-00005E6B0000}"/>
    <cellStyle name="Percent 11 4 2 2 3" xfId="27483" xr:uid="{00000000-0005-0000-0000-00005F6B0000}"/>
    <cellStyle name="Percent 11 4 2 3" xfId="27484" xr:uid="{00000000-0005-0000-0000-0000606B0000}"/>
    <cellStyle name="Percent 11 4 2 3 2" xfId="27485" xr:uid="{00000000-0005-0000-0000-0000616B0000}"/>
    <cellStyle name="Percent 11 4 2 3 3" xfId="27486" xr:uid="{00000000-0005-0000-0000-0000626B0000}"/>
    <cellStyle name="Percent 11 4 2 4" xfId="27487" xr:uid="{00000000-0005-0000-0000-0000636B0000}"/>
    <cellStyle name="Percent 11 4 2 5" xfId="27488" xr:uid="{00000000-0005-0000-0000-0000646B0000}"/>
    <cellStyle name="Percent 11 4 2 6" xfId="27489" xr:uid="{00000000-0005-0000-0000-0000656B0000}"/>
    <cellStyle name="Percent 11 4 3" xfId="27490" xr:uid="{00000000-0005-0000-0000-0000666B0000}"/>
    <cellStyle name="Percent 11 4 3 2" xfId="27491" xr:uid="{00000000-0005-0000-0000-0000676B0000}"/>
    <cellStyle name="Percent 11 4 3 3" xfId="27492" xr:uid="{00000000-0005-0000-0000-0000686B0000}"/>
    <cellStyle name="Percent 11 4 4" xfId="27493" xr:uid="{00000000-0005-0000-0000-0000696B0000}"/>
    <cellStyle name="Percent 11 4 4 2" xfId="27494" xr:uid="{00000000-0005-0000-0000-00006A6B0000}"/>
    <cellStyle name="Percent 11 4 4 3" xfId="27495" xr:uid="{00000000-0005-0000-0000-00006B6B0000}"/>
    <cellStyle name="Percent 11 4 5" xfId="27496" xr:uid="{00000000-0005-0000-0000-00006C6B0000}"/>
    <cellStyle name="Percent 11 4 6" xfId="27497" xr:uid="{00000000-0005-0000-0000-00006D6B0000}"/>
    <cellStyle name="Percent 11 4 7" xfId="27498" xr:uid="{00000000-0005-0000-0000-00006E6B0000}"/>
    <cellStyle name="Percent 11 5" xfId="27499" xr:uid="{00000000-0005-0000-0000-00006F6B0000}"/>
    <cellStyle name="Percent 11 5 2" xfId="27500" xr:uid="{00000000-0005-0000-0000-0000706B0000}"/>
    <cellStyle name="Percent 11 5 2 2" xfId="27501" xr:uid="{00000000-0005-0000-0000-0000716B0000}"/>
    <cellStyle name="Percent 11 5 2 2 2" xfId="27502" xr:uid="{00000000-0005-0000-0000-0000726B0000}"/>
    <cellStyle name="Percent 11 5 2 2 3" xfId="27503" xr:uid="{00000000-0005-0000-0000-0000736B0000}"/>
    <cellStyle name="Percent 11 5 2 3" xfId="27504" xr:uid="{00000000-0005-0000-0000-0000746B0000}"/>
    <cellStyle name="Percent 11 5 2 3 2" xfId="27505" xr:uid="{00000000-0005-0000-0000-0000756B0000}"/>
    <cellStyle name="Percent 11 5 2 3 3" xfId="27506" xr:uid="{00000000-0005-0000-0000-0000766B0000}"/>
    <cellStyle name="Percent 11 5 2 4" xfId="27507" xr:uid="{00000000-0005-0000-0000-0000776B0000}"/>
    <cellStyle name="Percent 11 5 2 5" xfId="27508" xr:uid="{00000000-0005-0000-0000-0000786B0000}"/>
    <cellStyle name="Percent 11 5 2 6" xfId="27509" xr:uid="{00000000-0005-0000-0000-0000796B0000}"/>
    <cellStyle name="Percent 11 5 3" xfId="27510" xr:uid="{00000000-0005-0000-0000-00007A6B0000}"/>
    <cellStyle name="Percent 11 5 3 2" xfId="27511" xr:uid="{00000000-0005-0000-0000-00007B6B0000}"/>
    <cellStyle name="Percent 11 5 3 3" xfId="27512" xr:uid="{00000000-0005-0000-0000-00007C6B0000}"/>
    <cellStyle name="Percent 11 5 4" xfId="27513" xr:uid="{00000000-0005-0000-0000-00007D6B0000}"/>
    <cellStyle name="Percent 11 5 4 2" xfId="27514" xr:uid="{00000000-0005-0000-0000-00007E6B0000}"/>
    <cellStyle name="Percent 11 5 4 3" xfId="27515" xr:uid="{00000000-0005-0000-0000-00007F6B0000}"/>
    <cellStyle name="Percent 11 5 5" xfId="27516" xr:uid="{00000000-0005-0000-0000-0000806B0000}"/>
    <cellStyle name="Percent 11 5 6" xfId="27517" xr:uid="{00000000-0005-0000-0000-0000816B0000}"/>
    <cellStyle name="Percent 11 5 7" xfId="27518" xr:uid="{00000000-0005-0000-0000-0000826B0000}"/>
    <cellStyle name="Percent 11 6" xfId="27519" xr:uid="{00000000-0005-0000-0000-0000836B0000}"/>
    <cellStyle name="Percent 11 6 2" xfId="27520" xr:uid="{00000000-0005-0000-0000-0000846B0000}"/>
    <cellStyle name="Percent 11 6 2 2" xfId="27521" xr:uid="{00000000-0005-0000-0000-0000856B0000}"/>
    <cellStyle name="Percent 11 6 2 2 2" xfId="27522" xr:uid="{00000000-0005-0000-0000-0000866B0000}"/>
    <cellStyle name="Percent 11 6 2 2 3" xfId="27523" xr:uid="{00000000-0005-0000-0000-0000876B0000}"/>
    <cellStyle name="Percent 11 6 2 3" xfId="27524" xr:uid="{00000000-0005-0000-0000-0000886B0000}"/>
    <cellStyle name="Percent 11 6 2 3 2" xfId="27525" xr:uid="{00000000-0005-0000-0000-0000896B0000}"/>
    <cellStyle name="Percent 11 6 2 3 3" xfId="27526" xr:uid="{00000000-0005-0000-0000-00008A6B0000}"/>
    <cellStyle name="Percent 11 6 2 4" xfId="27527" xr:uid="{00000000-0005-0000-0000-00008B6B0000}"/>
    <cellStyle name="Percent 11 6 2 5" xfId="27528" xr:uid="{00000000-0005-0000-0000-00008C6B0000}"/>
    <cellStyle name="Percent 11 6 2 6" xfId="27529" xr:uid="{00000000-0005-0000-0000-00008D6B0000}"/>
    <cellStyle name="Percent 11 6 3" xfId="27530" xr:uid="{00000000-0005-0000-0000-00008E6B0000}"/>
    <cellStyle name="Percent 11 6 3 2" xfId="27531" xr:uid="{00000000-0005-0000-0000-00008F6B0000}"/>
    <cellStyle name="Percent 11 6 3 3" xfId="27532" xr:uid="{00000000-0005-0000-0000-0000906B0000}"/>
    <cellStyle name="Percent 11 6 4" xfId="27533" xr:uid="{00000000-0005-0000-0000-0000916B0000}"/>
    <cellStyle name="Percent 11 6 4 2" xfId="27534" xr:uid="{00000000-0005-0000-0000-0000926B0000}"/>
    <cellStyle name="Percent 11 6 4 3" xfId="27535" xr:uid="{00000000-0005-0000-0000-0000936B0000}"/>
    <cellStyle name="Percent 11 6 5" xfId="27536" xr:uid="{00000000-0005-0000-0000-0000946B0000}"/>
    <cellStyle name="Percent 11 6 6" xfId="27537" xr:uid="{00000000-0005-0000-0000-0000956B0000}"/>
    <cellStyle name="Percent 11 6 7" xfId="27538" xr:uid="{00000000-0005-0000-0000-0000966B0000}"/>
    <cellStyle name="Percent 11 7" xfId="27539" xr:uid="{00000000-0005-0000-0000-0000976B0000}"/>
    <cellStyle name="Percent 11 7 2" xfId="27540" xr:uid="{00000000-0005-0000-0000-0000986B0000}"/>
    <cellStyle name="Percent 11 7 2 2" xfId="27541" xr:uid="{00000000-0005-0000-0000-0000996B0000}"/>
    <cellStyle name="Percent 11 7 2 2 2" xfId="27542" xr:uid="{00000000-0005-0000-0000-00009A6B0000}"/>
    <cellStyle name="Percent 11 7 2 2 3" xfId="27543" xr:uid="{00000000-0005-0000-0000-00009B6B0000}"/>
    <cellStyle name="Percent 11 7 2 3" xfId="27544" xr:uid="{00000000-0005-0000-0000-00009C6B0000}"/>
    <cellStyle name="Percent 11 7 2 3 2" xfId="27545" xr:uid="{00000000-0005-0000-0000-00009D6B0000}"/>
    <cellStyle name="Percent 11 7 2 3 3" xfId="27546" xr:uid="{00000000-0005-0000-0000-00009E6B0000}"/>
    <cellStyle name="Percent 11 7 2 4" xfId="27547" xr:uid="{00000000-0005-0000-0000-00009F6B0000}"/>
    <cellStyle name="Percent 11 7 2 5" xfId="27548" xr:uid="{00000000-0005-0000-0000-0000A06B0000}"/>
    <cellStyle name="Percent 11 7 2 6" xfId="27549" xr:uid="{00000000-0005-0000-0000-0000A16B0000}"/>
    <cellStyle name="Percent 11 7 3" xfId="27550" xr:uid="{00000000-0005-0000-0000-0000A26B0000}"/>
    <cellStyle name="Percent 11 7 3 2" xfId="27551" xr:uid="{00000000-0005-0000-0000-0000A36B0000}"/>
    <cellStyle name="Percent 11 7 3 3" xfId="27552" xr:uid="{00000000-0005-0000-0000-0000A46B0000}"/>
    <cellStyle name="Percent 11 7 4" xfId="27553" xr:uid="{00000000-0005-0000-0000-0000A56B0000}"/>
    <cellStyle name="Percent 11 7 4 2" xfId="27554" xr:uid="{00000000-0005-0000-0000-0000A66B0000}"/>
    <cellStyle name="Percent 11 7 4 3" xfId="27555" xr:uid="{00000000-0005-0000-0000-0000A76B0000}"/>
    <cellStyle name="Percent 11 7 5" xfId="27556" xr:uid="{00000000-0005-0000-0000-0000A86B0000}"/>
    <cellStyle name="Percent 11 7 6" xfId="27557" xr:uid="{00000000-0005-0000-0000-0000A96B0000}"/>
    <cellStyle name="Percent 11 7 7" xfId="27558" xr:uid="{00000000-0005-0000-0000-0000AA6B0000}"/>
    <cellStyle name="Percent 11 8" xfId="27559" xr:uid="{00000000-0005-0000-0000-0000AB6B0000}"/>
    <cellStyle name="Percent 11 8 2" xfId="27560" xr:uid="{00000000-0005-0000-0000-0000AC6B0000}"/>
    <cellStyle name="Percent 11 8 2 2" xfId="27561" xr:uid="{00000000-0005-0000-0000-0000AD6B0000}"/>
    <cellStyle name="Percent 11 8 2 2 2" xfId="27562" xr:uid="{00000000-0005-0000-0000-0000AE6B0000}"/>
    <cellStyle name="Percent 11 8 2 2 3" xfId="27563" xr:uid="{00000000-0005-0000-0000-0000AF6B0000}"/>
    <cellStyle name="Percent 11 8 2 3" xfId="27564" xr:uid="{00000000-0005-0000-0000-0000B06B0000}"/>
    <cellStyle name="Percent 11 8 2 3 2" xfId="27565" xr:uid="{00000000-0005-0000-0000-0000B16B0000}"/>
    <cellStyle name="Percent 11 8 2 3 3" xfId="27566" xr:uid="{00000000-0005-0000-0000-0000B26B0000}"/>
    <cellStyle name="Percent 11 8 2 4" xfId="27567" xr:uid="{00000000-0005-0000-0000-0000B36B0000}"/>
    <cellStyle name="Percent 11 8 2 5" xfId="27568" xr:uid="{00000000-0005-0000-0000-0000B46B0000}"/>
    <cellStyle name="Percent 11 8 2 6" xfId="27569" xr:uid="{00000000-0005-0000-0000-0000B56B0000}"/>
    <cellStyle name="Percent 11 8 3" xfId="27570" xr:uid="{00000000-0005-0000-0000-0000B66B0000}"/>
    <cellStyle name="Percent 11 8 3 2" xfId="27571" xr:uid="{00000000-0005-0000-0000-0000B76B0000}"/>
    <cellStyle name="Percent 11 8 3 3" xfId="27572" xr:uid="{00000000-0005-0000-0000-0000B86B0000}"/>
    <cellStyle name="Percent 11 8 4" xfId="27573" xr:uid="{00000000-0005-0000-0000-0000B96B0000}"/>
    <cellStyle name="Percent 11 8 4 2" xfId="27574" xr:uid="{00000000-0005-0000-0000-0000BA6B0000}"/>
    <cellStyle name="Percent 11 8 4 3" xfId="27575" xr:uid="{00000000-0005-0000-0000-0000BB6B0000}"/>
    <cellStyle name="Percent 11 8 5" xfId="27576" xr:uid="{00000000-0005-0000-0000-0000BC6B0000}"/>
    <cellStyle name="Percent 11 8 6" xfId="27577" xr:uid="{00000000-0005-0000-0000-0000BD6B0000}"/>
    <cellStyle name="Percent 11 8 7" xfId="27578" xr:uid="{00000000-0005-0000-0000-0000BE6B0000}"/>
    <cellStyle name="Percent 11 9" xfId="27579" xr:uid="{00000000-0005-0000-0000-0000BF6B0000}"/>
    <cellStyle name="Percent 11 9 2" xfId="27580" xr:uid="{00000000-0005-0000-0000-0000C06B0000}"/>
    <cellStyle name="Percent 11 9 2 2" xfId="27581" xr:uid="{00000000-0005-0000-0000-0000C16B0000}"/>
    <cellStyle name="Percent 11 9 2 2 2" xfId="27582" xr:uid="{00000000-0005-0000-0000-0000C26B0000}"/>
    <cellStyle name="Percent 11 9 2 2 3" xfId="27583" xr:uid="{00000000-0005-0000-0000-0000C36B0000}"/>
    <cellStyle name="Percent 11 9 2 3" xfId="27584" xr:uid="{00000000-0005-0000-0000-0000C46B0000}"/>
    <cellStyle name="Percent 11 9 2 3 2" xfId="27585" xr:uid="{00000000-0005-0000-0000-0000C56B0000}"/>
    <cellStyle name="Percent 11 9 2 3 3" xfId="27586" xr:uid="{00000000-0005-0000-0000-0000C66B0000}"/>
    <cellStyle name="Percent 11 9 2 4" xfId="27587" xr:uid="{00000000-0005-0000-0000-0000C76B0000}"/>
    <cellStyle name="Percent 11 9 2 5" xfId="27588" xr:uid="{00000000-0005-0000-0000-0000C86B0000}"/>
    <cellStyle name="Percent 11 9 2 6" xfId="27589" xr:uid="{00000000-0005-0000-0000-0000C96B0000}"/>
    <cellStyle name="Percent 11 9 3" xfId="27590" xr:uid="{00000000-0005-0000-0000-0000CA6B0000}"/>
    <cellStyle name="Percent 11 9 3 2" xfId="27591" xr:uid="{00000000-0005-0000-0000-0000CB6B0000}"/>
    <cellStyle name="Percent 11 9 3 3" xfId="27592" xr:uid="{00000000-0005-0000-0000-0000CC6B0000}"/>
    <cellStyle name="Percent 11 9 4" xfId="27593" xr:uid="{00000000-0005-0000-0000-0000CD6B0000}"/>
    <cellStyle name="Percent 11 9 4 2" xfId="27594" xr:uid="{00000000-0005-0000-0000-0000CE6B0000}"/>
    <cellStyle name="Percent 11 9 4 3" xfId="27595" xr:uid="{00000000-0005-0000-0000-0000CF6B0000}"/>
    <cellStyle name="Percent 11 9 5" xfId="27596" xr:uid="{00000000-0005-0000-0000-0000D06B0000}"/>
    <cellStyle name="Percent 11 9 6" xfId="27597" xr:uid="{00000000-0005-0000-0000-0000D16B0000}"/>
    <cellStyle name="Percent 11 9 7" xfId="27598" xr:uid="{00000000-0005-0000-0000-0000D26B0000}"/>
    <cellStyle name="Percent 12" xfId="27599" xr:uid="{00000000-0005-0000-0000-0000D36B0000}"/>
    <cellStyle name="Percent 12 2" xfId="27600" xr:uid="{00000000-0005-0000-0000-0000D46B0000}"/>
    <cellStyle name="Percent 12 2 2" xfId="27601" xr:uid="{00000000-0005-0000-0000-0000D56B0000}"/>
    <cellStyle name="Percent 12 2 2 2" xfId="27602" xr:uid="{00000000-0005-0000-0000-0000D66B0000}"/>
    <cellStyle name="Percent 12 2 2 3" xfId="27603" xr:uid="{00000000-0005-0000-0000-0000D76B0000}"/>
    <cellStyle name="Percent 12 2 3" xfId="27604" xr:uid="{00000000-0005-0000-0000-0000D86B0000}"/>
    <cellStyle name="Percent 12 2 3 2" xfId="27605" xr:uid="{00000000-0005-0000-0000-0000D96B0000}"/>
    <cellStyle name="Percent 12 2 3 3" xfId="27606" xr:uid="{00000000-0005-0000-0000-0000DA6B0000}"/>
    <cellStyle name="Percent 12 2 4" xfId="27607" xr:uid="{00000000-0005-0000-0000-0000DB6B0000}"/>
    <cellStyle name="Percent 12 2 5" xfId="27608" xr:uid="{00000000-0005-0000-0000-0000DC6B0000}"/>
    <cellStyle name="Percent 12 2 6" xfId="27609" xr:uid="{00000000-0005-0000-0000-0000DD6B0000}"/>
    <cellStyle name="Percent 12 3" xfId="27610" xr:uid="{00000000-0005-0000-0000-0000DE6B0000}"/>
    <cellStyle name="Percent 12 3 2" xfId="27611" xr:uid="{00000000-0005-0000-0000-0000DF6B0000}"/>
    <cellStyle name="Percent 12 3 3" xfId="27612" xr:uid="{00000000-0005-0000-0000-0000E06B0000}"/>
    <cellStyle name="Percent 12 4" xfId="27613" xr:uid="{00000000-0005-0000-0000-0000E16B0000}"/>
    <cellStyle name="Percent 12 4 2" xfId="27614" xr:uid="{00000000-0005-0000-0000-0000E26B0000}"/>
    <cellStyle name="Percent 12 4 3" xfId="27615" xr:uid="{00000000-0005-0000-0000-0000E36B0000}"/>
    <cellStyle name="Percent 12 5" xfId="27616" xr:uid="{00000000-0005-0000-0000-0000E46B0000}"/>
    <cellStyle name="Percent 12 6" xfId="27617" xr:uid="{00000000-0005-0000-0000-0000E56B0000}"/>
    <cellStyle name="Percent 12 7" xfId="27618" xr:uid="{00000000-0005-0000-0000-0000E66B0000}"/>
    <cellStyle name="Percent 13" xfId="27619" xr:uid="{00000000-0005-0000-0000-0000E76B0000}"/>
    <cellStyle name="Percent 13 2" xfId="27620" xr:uid="{00000000-0005-0000-0000-0000E86B0000}"/>
    <cellStyle name="Percent 13 2 2" xfId="27621" xr:uid="{00000000-0005-0000-0000-0000E96B0000}"/>
    <cellStyle name="Percent 13 2 3" xfId="27622" xr:uid="{00000000-0005-0000-0000-0000EA6B0000}"/>
    <cellStyle name="Percent 13 3" xfId="27623" xr:uid="{00000000-0005-0000-0000-0000EB6B0000}"/>
    <cellStyle name="Percent 13 3 2" xfId="27624" xr:uid="{00000000-0005-0000-0000-0000EC6B0000}"/>
    <cellStyle name="Percent 13 3 3" xfId="27625" xr:uid="{00000000-0005-0000-0000-0000ED6B0000}"/>
    <cellStyle name="Percent 13 4" xfId="27626" xr:uid="{00000000-0005-0000-0000-0000EE6B0000}"/>
    <cellStyle name="Percent 13 5" xfId="27627" xr:uid="{00000000-0005-0000-0000-0000EF6B0000}"/>
    <cellStyle name="Percent 13 6" xfId="27628" xr:uid="{00000000-0005-0000-0000-0000F06B0000}"/>
    <cellStyle name="Percent 14" xfId="27629" xr:uid="{00000000-0005-0000-0000-0000F16B0000}"/>
    <cellStyle name="Percent 14 2" xfId="27630" xr:uid="{00000000-0005-0000-0000-0000F26B0000}"/>
    <cellStyle name="Percent 14 3" xfId="27631" xr:uid="{00000000-0005-0000-0000-0000F36B0000}"/>
    <cellStyle name="Percent 14 4" xfId="27632" xr:uid="{00000000-0005-0000-0000-0000F46B0000}"/>
    <cellStyle name="Percent 15" xfId="27633" xr:uid="{00000000-0005-0000-0000-0000F56B0000}"/>
    <cellStyle name="Percent 15 2" xfId="27634" xr:uid="{00000000-0005-0000-0000-0000F66B0000}"/>
    <cellStyle name="Percent 15 3" xfId="27635" xr:uid="{00000000-0005-0000-0000-0000F76B0000}"/>
    <cellStyle name="Percent 15 4" xfId="27636" xr:uid="{00000000-0005-0000-0000-0000F86B0000}"/>
    <cellStyle name="Percent 16" xfId="27637" xr:uid="{00000000-0005-0000-0000-0000F96B0000}"/>
    <cellStyle name="Percent 16 2" xfId="27638" xr:uid="{00000000-0005-0000-0000-0000FA6B0000}"/>
    <cellStyle name="Percent 17" xfId="27639" xr:uid="{00000000-0005-0000-0000-0000FB6B0000}"/>
    <cellStyle name="Percent 17 2" xfId="27640" xr:uid="{00000000-0005-0000-0000-0000FC6B0000}"/>
    <cellStyle name="Percent 17 3" xfId="27641" xr:uid="{00000000-0005-0000-0000-0000FD6B0000}"/>
    <cellStyle name="Percent 18" xfId="27642" xr:uid="{00000000-0005-0000-0000-0000FE6B0000}"/>
    <cellStyle name="Percent 18 2" xfId="27643" xr:uid="{00000000-0005-0000-0000-0000FF6B0000}"/>
    <cellStyle name="Percent 18 3" xfId="27644" xr:uid="{00000000-0005-0000-0000-0000006C0000}"/>
    <cellStyle name="Percent 19" xfId="27645" xr:uid="{00000000-0005-0000-0000-0000016C0000}"/>
    <cellStyle name="Percent 19 2" xfId="27646" xr:uid="{00000000-0005-0000-0000-0000026C0000}"/>
    <cellStyle name="Percent 2" xfId="27647" xr:uid="{00000000-0005-0000-0000-0000036C0000}"/>
    <cellStyle name="Percent 2 10" xfId="27648" xr:uid="{00000000-0005-0000-0000-0000046C0000}"/>
    <cellStyle name="Percent 2 10 10" xfId="27649" xr:uid="{00000000-0005-0000-0000-0000056C0000}"/>
    <cellStyle name="Percent 2 10 2" xfId="27650" xr:uid="{00000000-0005-0000-0000-0000066C0000}"/>
    <cellStyle name="Percent 2 10 2 2" xfId="27651" xr:uid="{00000000-0005-0000-0000-0000076C0000}"/>
    <cellStyle name="Percent 2 10 2 2 2" xfId="27652" xr:uid="{00000000-0005-0000-0000-0000086C0000}"/>
    <cellStyle name="Percent 2 10 2 2 2 2" xfId="27653" xr:uid="{00000000-0005-0000-0000-0000096C0000}"/>
    <cellStyle name="Percent 2 10 2 2 2 3" xfId="27654" xr:uid="{00000000-0005-0000-0000-00000A6C0000}"/>
    <cellStyle name="Percent 2 10 2 2 3" xfId="27655" xr:uid="{00000000-0005-0000-0000-00000B6C0000}"/>
    <cellStyle name="Percent 2 10 2 2 3 2" xfId="27656" xr:uid="{00000000-0005-0000-0000-00000C6C0000}"/>
    <cellStyle name="Percent 2 10 2 2 3 3" xfId="27657" xr:uid="{00000000-0005-0000-0000-00000D6C0000}"/>
    <cellStyle name="Percent 2 10 2 2 4" xfId="27658" xr:uid="{00000000-0005-0000-0000-00000E6C0000}"/>
    <cellStyle name="Percent 2 10 2 2 5" xfId="27659" xr:uid="{00000000-0005-0000-0000-00000F6C0000}"/>
    <cellStyle name="Percent 2 10 2 2 6" xfId="27660" xr:uid="{00000000-0005-0000-0000-0000106C0000}"/>
    <cellStyle name="Percent 2 10 2 3" xfId="27661" xr:uid="{00000000-0005-0000-0000-0000116C0000}"/>
    <cellStyle name="Percent 2 10 2 3 2" xfId="27662" xr:uid="{00000000-0005-0000-0000-0000126C0000}"/>
    <cellStyle name="Percent 2 10 2 3 3" xfId="27663" xr:uid="{00000000-0005-0000-0000-0000136C0000}"/>
    <cellStyle name="Percent 2 10 2 4" xfId="27664" xr:uid="{00000000-0005-0000-0000-0000146C0000}"/>
    <cellStyle name="Percent 2 10 2 4 2" xfId="27665" xr:uid="{00000000-0005-0000-0000-0000156C0000}"/>
    <cellStyle name="Percent 2 10 2 4 3" xfId="27666" xr:uid="{00000000-0005-0000-0000-0000166C0000}"/>
    <cellStyle name="Percent 2 10 2 5" xfId="27667" xr:uid="{00000000-0005-0000-0000-0000176C0000}"/>
    <cellStyle name="Percent 2 10 2 5 2" xfId="27668" xr:uid="{00000000-0005-0000-0000-0000186C0000}"/>
    <cellStyle name="Percent 2 10 2 5 3" xfId="27669" xr:uid="{00000000-0005-0000-0000-0000196C0000}"/>
    <cellStyle name="Percent 2 10 2 6" xfId="27670" xr:uid="{00000000-0005-0000-0000-00001A6C0000}"/>
    <cellStyle name="Percent 2 10 2 7" xfId="27671" xr:uid="{00000000-0005-0000-0000-00001B6C0000}"/>
    <cellStyle name="Percent 2 10 2 8" xfId="27672" xr:uid="{00000000-0005-0000-0000-00001C6C0000}"/>
    <cellStyle name="Percent 2 10 3" xfId="27673" xr:uid="{00000000-0005-0000-0000-00001D6C0000}"/>
    <cellStyle name="Percent 2 10 3 2" xfId="27674" xr:uid="{00000000-0005-0000-0000-00001E6C0000}"/>
    <cellStyle name="Percent 2 10 3 2 2" xfId="27675" xr:uid="{00000000-0005-0000-0000-00001F6C0000}"/>
    <cellStyle name="Percent 2 10 3 2 2 2" xfId="27676" xr:uid="{00000000-0005-0000-0000-0000206C0000}"/>
    <cellStyle name="Percent 2 10 3 2 2 3" xfId="27677" xr:uid="{00000000-0005-0000-0000-0000216C0000}"/>
    <cellStyle name="Percent 2 10 3 2 3" xfId="27678" xr:uid="{00000000-0005-0000-0000-0000226C0000}"/>
    <cellStyle name="Percent 2 10 3 2 3 2" xfId="27679" xr:uid="{00000000-0005-0000-0000-0000236C0000}"/>
    <cellStyle name="Percent 2 10 3 2 3 3" xfId="27680" xr:uid="{00000000-0005-0000-0000-0000246C0000}"/>
    <cellStyle name="Percent 2 10 3 2 4" xfId="27681" xr:uid="{00000000-0005-0000-0000-0000256C0000}"/>
    <cellStyle name="Percent 2 10 3 2 5" xfId="27682" xr:uid="{00000000-0005-0000-0000-0000266C0000}"/>
    <cellStyle name="Percent 2 10 3 2 6" xfId="27683" xr:uid="{00000000-0005-0000-0000-0000276C0000}"/>
    <cellStyle name="Percent 2 10 3 3" xfId="27684" xr:uid="{00000000-0005-0000-0000-0000286C0000}"/>
    <cellStyle name="Percent 2 10 3 3 2" xfId="27685" xr:uid="{00000000-0005-0000-0000-0000296C0000}"/>
    <cellStyle name="Percent 2 10 3 3 3" xfId="27686" xr:uid="{00000000-0005-0000-0000-00002A6C0000}"/>
    <cellStyle name="Percent 2 10 3 4" xfId="27687" xr:uid="{00000000-0005-0000-0000-00002B6C0000}"/>
    <cellStyle name="Percent 2 10 3 4 2" xfId="27688" xr:uid="{00000000-0005-0000-0000-00002C6C0000}"/>
    <cellStyle name="Percent 2 10 3 4 3" xfId="27689" xr:uid="{00000000-0005-0000-0000-00002D6C0000}"/>
    <cellStyle name="Percent 2 10 3 5" xfId="27690" xr:uid="{00000000-0005-0000-0000-00002E6C0000}"/>
    <cellStyle name="Percent 2 10 3 5 2" xfId="27691" xr:uid="{00000000-0005-0000-0000-00002F6C0000}"/>
    <cellStyle name="Percent 2 10 3 5 3" xfId="27692" xr:uid="{00000000-0005-0000-0000-0000306C0000}"/>
    <cellStyle name="Percent 2 10 3 6" xfId="27693" xr:uid="{00000000-0005-0000-0000-0000316C0000}"/>
    <cellStyle name="Percent 2 10 3 7" xfId="27694" xr:uid="{00000000-0005-0000-0000-0000326C0000}"/>
    <cellStyle name="Percent 2 10 3 8" xfId="27695" xr:uid="{00000000-0005-0000-0000-0000336C0000}"/>
    <cellStyle name="Percent 2 10 4" xfId="27696" xr:uid="{00000000-0005-0000-0000-0000346C0000}"/>
    <cellStyle name="Percent 2 10 4 2" xfId="27697" xr:uid="{00000000-0005-0000-0000-0000356C0000}"/>
    <cellStyle name="Percent 2 10 4 2 2" xfId="27698" xr:uid="{00000000-0005-0000-0000-0000366C0000}"/>
    <cellStyle name="Percent 2 10 4 2 3" xfId="27699" xr:uid="{00000000-0005-0000-0000-0000376C0000}"/>
    <cellStyle name="Percent 2 10 4 3" xfId="27700" xr:uid="{00000000-0005-0000-0000-0000386C0000}"/>
    <cellStyle name="Percent 2 10 4 3 2" xfId="27701" xr:uid="{00000000-0005-0000-0000-0000396C0000}"/>
    <cellStyle name="Percent 2 10 4 3 3" xfId="27702" xr:uid="{00000000-0005-0000-0000-00003A6C0000}"/>
    <cellStyle name="Percent 2 10 4 4" xfId="27703" xr:uid="{00000000-0005-0000-0000-00003B6C0000}"/>
    <cellStyle name="Percent 2 10 4 5" xfId="27704" xr:uid="{00000000-0005-0000-0000-00003C6C0000}"/>
    <cellStyle name="Percent 2 10 4 6" xfId="27705" xr:uid="{00000000-0005-0000-0000-00003D6C0000}"/>
    <cellStyle name="Percent 2 10 5" xfId="27706" xr:uid="{00000000-0005-0000-0000-00003E6C0000}"/>
    <cellStyle name="Percent 2 10 5 2" xfId="27707" xr:uid="{00000000-0005-0000-0000-00003F6C0000}"/>
    <cellStyle name="Percent 2 10 5 3" xfId="27708" xr:uid="{00000000-0005-0000-0000-0000406C0000}"/>
    <cellStyle name="Percent 2 10 6" xfId="27709" xr:uid="{00000000-0005-0000-0000-0000416C0000}"/>
    <cellStyle name="Percent 2 10 6 2" xfId="27710" xr:uid="{00000000-0005-0000-0000-0000426C0000}"/>
    <cellStyle name="Percent 2 10 6 3" xfId="27711" xr:uid="{00000000-0005-0000-0000-0000436C0000}"/>
    <cellStyle name="Percent 2 10 7" xfId="27712" xr:uid="{00000000-0005-0000-0000-0000446C0000}"/>
    <cellStyle name="Percent 2 10 7 2" xfId="27713" xr:uid="{00000000-0005-0000-0000-0000456C0000}"/>
    <cellStyle name="Percent 2 10 7 3" xfId="27714" xr:uid="{00000000-0005-0000-0000-0000466C0000}"/>
    <cellStyle name="Percent 2 10 8" xfId="27715" xr:uid="{00000000-0005-0000-0000-0000476C0000}"/>
    <cellStyle name="Percent 2 10 9" xfId="27716" xr:uid="{00000000-0005-0000-0000-0000486C0000}"/>
    <cellStyle name="Percent 2 100" xfId="27717" xr:uid="{00000000-0005-0000-0000-0000496C0000}"/>
    <cellStyle name="Percent 2 100 2" xfId="27718" xr:uid="{00000000-0005-0000-0000-00004A6C0000}"/>
    <cellStyle name="Percent 2 100 3" xfId="27719" xr:uid="{00000000-0005-0000-0000-00004B6C0000}"/>
    <cellStyle name="Percent 2 101" xfId="27720" xr:uid="{00000000-0005-0000-0000-00004C6C0000}"/>
    <cellStyle name="Percent 2 101 2" xfId="27721" xr:uid="{00000000-0005-0000-0000-00004D6C0000}"/>
    <cellStyle name="Percent 2 101 3" xfId="27722" xr:uid="{00000000-0005-0000-0000-00004E6C0000}"/>
    <cellStyle name="Percent 2 102" xfId="27723" xr:uid="{00000000-0005-0000-0000-00004F6C0000}"/>
    <cellStyle name="Percent 2 103" xfId="27724" xr:uid="{00000000-0005-0000-0000-0000506C0000}"/>
    <cellStyle name="Percent 2 104" xfId="27725" xr:uid="{00000000-0005-0000-0000-0000516C0000}"/>
    <cellStyle name="Percent 2 11" xfId="27726" xr:uid="{00000000-0005-0000-0000-0000526C0000}"/>
    <cellStyle name="Percent 2 11 2" xfId="27727" xr:uid="{00000000-0005-0000-0000-0000536C0000}"/>
    <cellStyle name="Percent 2 11 2 2" xfId="27728" xr:uid="{00000000-0005-0000-0000-0000546C0000}"/>
    <cellStyle name="Percent 2 11 2 2 2" xfId="27729" xr:uid="{00000000-0005-0000-0000-0000556C0000}"/>
    <cellStyle name="Percent 2 11 2 2 3" xfId="27730" xr:uid="{00000000-0005-0000-0000-0000566C0000}"/>
    <cellStyle name="Percent 2 11 2 3" xfId="27731" xr:uid="{00000000-0005-0000-0000-0000576C0000}"/>
    <cellStyle name="Percent 2 11 2 3 2" xfId="27732" xr:uid="{00000000-0005-0000-0000-0000586C0000}"/>
    <cellStyle name="Percent 2 11 2 3 3" xfId="27733" xr:uid="{00000000-0005-0000-0000-0000596C0000}"/>
    <cellStyle name="Percent 2 11 2 4" xfId="27734" xr:uid="{00000000-0005-0000-0000-00005A6C0000}"/>
    <cellStyle name="Percent 2 11 2 5" xfId="27735" xr:uid="{00000000-0005-0000-0000-00005B6C0000}"/>
    <cellStyle name="Percent 2 11 2 6" xfId="27736" xr:uid="{00000000-0005-0000-0000-00005C6C0000}"/>
    <cellStyle name="Percent 2 11 3" xfId="27737" xr:uid="{00000000-0005-0000-0000-00005D6C0000}"/>
    <cellStyle name="Percent 2 11 3 2" xfId="27738" xr:uid="{00000000-0005-0000-0000-00005E6C0000}"/>
    <cellStyle name="Percent 2 11 3 3" xfId="27739" xr:uid="{00000000-0005-0000-0000-00005F6C0000}"/>
    <cellStyle name="Percent 2 11 4" xfId="27740" xr:uid="{00000000-0005-0000-0000-0000606C0000}"/>
    <cellStyle name="Percent 2 11 4 2" xfId="27741" xr:uid="{00000000-0005-0000-0000-0000616C0000}"/>
    <cellStyle name="Percent 2 11 4 3" xfId="27742" xr:uid="{00000000-0005-0000-0000-0000626C0000}"/>
    <cellStyle name="Percent 2 11 5" xfId="27743" xr:uid="{00000000-0005-0000-0000-0000636C0000}"/>
    <cellStyle name="Percent 2 11 5 2" xfId="27744" xr:uid="{00000000-0005-0000-0000-0000646C0000}"/>
    <cellStyle name="Percent 2 11 5 3" xfId="27745" xr:uid="{00000000-0005-0000-0000-0000656C0000}"/>
    <cellStyle name="Percent 2 11 6" xfId="27746" xr:uid="{00000000-0005-0000-0000-0000666C0000}"/>
    <cellStyle name="Percent 2 11 7" xfId="27747" xr:uid="{00000000-0005-0000-0000-0000676C0000}"/>
    <cellStyle name="Percent 2 11 8" xfId="27748" xr:uid="{00000000-0005-0000-0000-0000686C0000}"/>
    <cellStyle name="Percent 2 12" xfId="27749" xr:uid="{00000000-0005-0000-0000-0000696C0000}"/>
    <cellStyle name="Percent 2 12 2" xfId="27750" xr:uid="{00000000-0005-0000-0000-00006A6C0000}"/>
    <cellStyle name="Percent 2 12 2 2" xfId="27751" xr:uid="{00000000-0005-0000-0000-00006B6C0000}"/>
    <cellStyle name="Percent 2 12 2 2 2" xfId="27752" xr:uid="{00000000-0005-0000-0000-00006C6C0000}"/>
    <cellStyle name="Percent 2 12 2 2 3" xfId="27753" xr:uid="{00000000-0005-0000-0000-00006D6C0000}"/>
    <cellStyle name="Percent 2 12 2 3" xfId="27754" xr:uid="{00000000-0005-0000-0000-00006E6C0000}"/>
    <cellStyle name="Percent 2 12 2 3 2" xfId="27755" xr:uid="{00000000-0005-0000-0000-00006F6C0000}"/>
    <cellStyle name="Percent 2 12 2 3 3" xfId="27756" xr:uid="{00000000-0005-0000-0000-0000706C0000}"/>
    <cellStyle name="Percent 2 12 2 4" xfId="27757" xr:uid="{00000000-0005-0000-0000-0000716C0000}"/>
    <cellStyle name="Percent 2 12 2 5" xfId="27758" xr:uid="{00000000-0005-0000-0000-0000726C0000}"/>
    <cellStyle name="Percent 2 12 2 6" xfId="27759" xr:uid="{00000000-0005-0000-0000-0000736C0000}"/>
    <cellStyle name="Percent 2 12 3" xfId="27760" xr:uid="{00000000-0005-0000-0000-0000746C0000}"/>
    <cellStyle name="Percent 2 12 3 2" xfId="27761" xr:uid="{00000000-0005-0000-0000-0000756C0000}"/>
    <cellStyle name="Percent 2 12 3 3" xfId="27762" xr:uid="{00000000-0005-0000-0000-0000766C0000}"/>
    <cellStyle name="Percent 2 12 4" xfId="27763" xr:uid="{00000000-0005-0000-0000-0000776C0000}"/>
    <cellStyle name="Percent 2 12 4 2" xfId="27764" xr:uid="{00000000-0005-0000-0000-0000786C0000}"/>
    <cellStyle name="Percent 2 12 4 3" xfId="27765" xr:uid="{00000000-0005-0000-0000-0000796C0000}"/>
    <cellStyle name="Percent 2 12 5" xfId="27766" xr:uid="{00000000-0005-0000-0000-00007A6C0000}"/>
    <cellStyle name="Percent 2 12 5 2" xfId="27767" xr:uid="{00000000-0005-0000-0000-00007B6C0000}"/>
    <cellStyle name="Percent 2 12 5 3" xfId="27768" xr:uid="{00000000-0005-0000-0000-00007C6C0000}"/>
    <cellStyle name="Percent 2 12 6" xfId="27769" xr:uid="{00000000-0005-0000-0000-00007D6C0000}"/>
    <cellStyle name="Percent 2 12 7" xfId="27770" xr:uid="{00000000-0005-0000-0000-00007E6C0000}"/>
    <cellStyle name="Percent 2 12 8" xfId="27771" xr:uid="{00000000-0005-0000-0000-00007F6C0000}"/>
    <cellStyle name="Percent 2 13" xfId="27772" xr:uid="{00000000-0005-0000-0000-0000806C0000}"/>
    <cellStyle name="Percent 2 13 2" xfId="27773" xr:uid="{00000000-0005-0000-0000-0000816C0000}"/>
    <cellStyle name="Percent 2 13 2 2" xfId="27774" xr:uid="{00000000-0005-0000-0000-0000826C0000}"/>
    <cellStyle name="Percent 2 13 2 2 2" xfId="27775" xr:uid="{00000000-0005-0000-0000-0000836C0000}"/>
    <cellStyle name="Percent 2 13 2 2 3" xfId="27776" xr:uid="{00000000-0005-0000-0000-0000846C0000}"/>
    <cellStyle name="Percent 2 13 2 3" xfId="27777" xr:uid="{00000000-0005-0000-0000-0000856C0000}"/>
    <cellStyle name="Percent 2 13 2 3 2" xfId="27778" xr:uid="{00000000-0005-0000-0000-0000866C0000}"/>
    <cellStyle name="Percent 2 13 2 3 3" xfId="27779" xr:uid="{00000000-0005-0000-0000-0000876C0000}"/>
    <cellStyle name="Percent 2 13 2 4" xfId="27780" xr:uid="{00000000-0005-0000-0000-0000886C0000}"/>
    <cellStyle name="Percent 2 13 2 5" xfId="27781" xr:uid="{00000000-0005-0000-0000-0000896C0000}"/>
    <cellStyle name="Percent 2 13 2 6" xfId="27782" xr:uid="{00000000-0005-0000-0000-00008A6C0000}"/>
    <cellStyle name="Percent 2 13 3" xfId="27783" xr:uid="{00000000-0005-0000-0000-00008B6C0000}"/>
    <cellStyle name="Percent 2 13 3 2" xfId="27784" xr:uid="{00000000-0005-0000-0000-00008C6C0000}"/>
    <cellStyle name="Percent 2 13 3 3" xfId="27785" xr:uid="{00000000-0005-0000-0000-00008D6C0000}"/>
    <cellStyle name="Percent 2 13 4" xfId="27786" xr:uid="{00000000-0005-0000-0000-00008E6C0000}"/>
    <cellStyle name="Percent 2 13 4 2" xfId="27787" xr:uid="{00000000-0005-0000-0000-00008F6C0000}"/>
    <cellStyle name="Percent 2 13 4 3" xfId="27788" xr:uid="{00000000-0005-0000-0000-0000906C0000}"/>
    <cellStyle name="Percent 2 13 5" xfId="27789" xr:uid="{00000000-0005-0000-0000-0000916C0000}"/>
    <cellStyle name="Percent 2 13 5 2" xfId="27790" xr:uid="{00000000-0005-0000-0000-0000926C0000}"/>
    <cellStyle name="Percent 2 13 5 3" xfId="27791" xr:uid="{00000000-0005-0000-0000-0000936C0000}"/>
    <cellStyle name="Percent 2 13 6" xfId="27792" xr:uid="{00000000-0005-0000-0000-0000946C0000}"/>
    <cellStyle name="Percent 2 13 7" xfId="27793" xr:uid="{00000000-0005-0000-0000-0000956C0000}"/>
    <cellStyle name="Percent 2 13 8" xfId="27794" xr:uid="{00000000-0005-0000-0000-0000966C0000}"/>
    <cellStyle name="Percent 2 14" xfId="27795" xr:uid="{00000000-0005-0000-0000-0000976C0000}"/>
    <cellStyle name="Percent 2 14 2" xfId="27796" xr:uid="{00000000-0005-0000-0000-0000986C0000}"/>
    <cellStyle name="Percent 2 14 2 2" xfId="27797" xr:uid="{00000000-0005-0000-0000-0000996C0000}"/>
    <cellStyle name="Percent 2 14 2 2 2" xfId="27798" xr:uid="{00000000-0005-0000-0000-00009A6C0000}"/>
    <cellStyle name="Percent 2 14 2 2 3" xfId="27799" xr:uid="{00000000-0005-0000-0000-00009B6C0000}"/>
    <cellStyle name="Percent 2 14 2 3" xfId="27800" xr:uid="{00000000-0005-0000-0000-00009C6C0000}"/>
    <cellStyle name="Percent 2 14 2 3 2" xfId="27801" xr:uid="{00000000-0005-0000-0000-00009D6C0000}"/>
    <cellStyle name="Percent 2 14 2 3 3" xfId="27802" xr:uid="{00000000-0005-0000-0000-00009E6C0000}"/>
    <cellStyle name="Percent 2 14 2 4" xfId="27803" xr:uid="{00000000-0005-0000-0000-00009F6C0000}"/>
    <cellStyle name="Percent 2 14 2 5" xfId="27804" xr:uid="{00000000-0005-0000-0000-0000A06C0000}"/>
    <cellStyle name="Percent 2 14 2 6" xfId="27805" xr:uid="{00000000-0005-0000-0000-0000A16C0000}"/>
    <cellStyle name="Percent 2 14 3" xfId="27806" xr:uid="{00000000-0005-0000-0000-0000A26C0000}"/>
    <cellStyle name="Percent 2 14 3 2" xfId="27807" xr:uid="{00000000-0005-0000-0000-0000A36C0000}"/>
    <cellStyle name="Percent 2 14 3 3" xfId="27808" xr:uid="{00000000-0005-0000-0000-0000A46C0000}"/>
    <cellStyle name="Percent 2 14 4" xfId="27809" xr:uid="{00000000-0005-0000-0000-0000A56C0000}"/>
    <cellStyle name="Percent 2 14 4 2" xfId="27810" xr:uid="{00000000-0005-0000-0000-0000A66C0000}"/>
    <cellStyle name="Percent 2 14 4 3" xfId="27811" xr:uid="{00000000-0005-0000-0000-0000A76C0000}"/>
    <cellStyle name="Percent 2 14 5" xfId="27812" xr:uid="{00000000-0005-0000-0000-0000A86C0000}"/>
    <cellStyle name="Percent 2 14 6" xfId="27813" xr:uid="{00000000-0005-0000-0000-0000A96C0000}"/>
    <cellStyle name="Percent 2 14 7" xfId="27814" xr:uid="{00000000-0005-0000-0000-0000AA6C0000}"/>
    <cellStyle name="Percent 2 15" xfId="27815" xr:uid="{00000000-0005-0000-0000-0000AB6C0000}"/>
    <cellStyle name="Percent 2 15 2" xfId="27816" xr:uid="{00000000-0005-0000-0000-0000AC6C0000}"/>
    <cellStyle name="Percent 2 15 2 2" xfId="27817" xr:uid="{00000000-0005-0000-0000-0000AD6C0000}"/>
    <cellStyle name="Percent 2 15 2 2 2" xfId="27818" xr:uid="{00000000-0005-0000-0000-0000AE6C0000}"/>
    <cellStyle name="Percent 2 15 2 2 3" xfId="27819" xr:uid="{00000000-0005-0000-0000-0000AF6C0000}"/>
    <cellStyle name="Percent 2 15 2 3" xfId="27820" xr:uid="{00000000-0005-0000-0000-0000B06C0000}"/>
    <cellStyle name="Percent 2 15 2 3 2" xfId="27821" xr:uid="{00000000-0005-0000-0000-0000B16C0000}"/>
    <cellStyle name="Percent 2 15 2 3 3" xfId="27822" xr:uid="{00000000-0005-0000-0000-0000B26C0000}"/>
    <cellStyle name="Percent 2 15 2 4" xfId="27823" xr:uid="{00000000-0005-0000-0000-0000B36C0000}"/>
    <cellStyle name="Percent 2 15 2 5" xfId="27824" xr:uid="{00000000-0005-0000-0000-0000B46C0000}"/>
    <cellStyle name="Percent 2 15 2 6" xfId="27825" xr:uid="{00000000-0005-0000-0000-0000B56C0000}"/>
    <cellStyle name="Percent 2 15 3" xfId="27826" xr:uid="{00000000-0005-0000-0000-0000B66C0000}"/>
    <cellStyle name="Percent 2 15 3 2" xfId="27827" xr:uid="{00000000-0005-0000-0000-0000B76C0000}"/>
    <cellStyle name="Percent 2 15 3 3" xfId="27828" xr:uid="{00000000-0005-0000-0000-0000B86C0000}"/>
    <cellStyle name="Percent 2 15 4" xfId="27829" xr:uid="{00000000-0005-0000-0000-0000B96C0000}"/>
    <cellStyle name="Percent 2 15 4 2" xfId="27830" xr:uid="{00000000-0005-0000-0000-0000BA6C0000}"/>
    <cellStyle name="Percent 2 15 4 3" xfId="27831" xr:uid="{00000000-0005-0000-0000-0000BB6C0000}"/>
    <cellStyle name="Percent 2 15 5" xfId="27832" xr:uid="{00000000-0005-0000-0000-0000BC6C0000}"/>
    <cellStyle name="Percent 2 15 6" xfId="27833" xr:uid="{00000000-0005-0000-0000-0000BD6C0000}"/>
    <cellStyle name="Percent 2 15 7" xfId="27834" xr:uid="{00000000-0005-0000-0000-0000BE6C0000}"/>
    <cellStyle name="Percent 2 16" xfId="27835" xr:uid="{00000000-0005-0000-0000-0000BF6C0000}"/>
    <cellStyle name="Percent 2 16 2" xfId="27836" xr:uid="{00000000-0005-0000-0000-0000C06C0000}"/>
    <cellStyle name="Percent 2 16 2 2" xfId="27837" xr:uid="{00000000-0005-0000-0000-0000C16C0000}"/>
    <cellStyle name="Percent 2 16 2 2 2" xfId="27838" xr:uid="{00000000-0005-0000-0000-0000C26C0000}"/>
    <cellStyle name="Percent 2 16 2 2 3" xfId="27839" xr:uid="{00000000-0005-0000-0000-0000C36C0000}"/>
    <cellStyle name="Percent 2 16 2 3" xfId="27840" xr:uid="{00000000-0005-0000-0000-0000C46C0000}"/>
    <cellStyle name="Percent 2 16 2 3 2" xfId="27841" xr:uid="{00000000-0005-0000-0000-0000C56C0000}"/>
    <cellStyle name="Percent 2 16 2 3 3" xfId="27842" xr:uid="{00000000-0005-0000-0000-0000C66C0000}"/>
    <cellStyle name="Percent 2 16 2 4" xfId="27843" xr:uid="{00000000-0005-0000-0000-0000C76C0000}"/>
    <cellStyle name="Percent 2 16 2 5" xfId="27844" xr:uid="{00000000-0005-0000-0000-0000C86C0000}"/>
    <cellStyle name="Percent 2 16 2 6" xfId="27845" xr:uid="{00000000-0005-0000-0000-0000C96C0000}"/>
    <cellStyle name="Percent 2 16 3" xfId="27846" xr:uid="{00000000-0005-0000-0000-0000CA6C0000}"/>
    <cellStyle name="Percent 2 16 3 2" xfId="27847" xr:uid="{00000000-0005-0000-0000-0000CB6C0000}"/>
    <cellStyle name="Percent 2 16 3 3" xfId="27848" xr:uid="{00000000-0005-0000-0000-0000CC6C0000}"/>
    <cellStyle name="Percent 2 16 4" xfId="27849" xr:uid="{00000000-0005-0000-0000-0000CD6C0000}"/>
    <cellStyle name="Percent 2 16 4 2" xfId="27850" xr:uid="{00000000-0005-0000-0000-0000CE6C0000}"/>
    <cellStyle name="Percent 2 16 4 3" xfId="27851" xr:uid="{00000000-0005-0000-0000-0000CF6C0000}"/>
    <cellStyle name="Percent 2 16 5" xfId="27852" xr:uid="{00000000-0005-0000-0000-0000D06C0000}"/>
    <cellStyle name="Percent 2 16 6" xfId="27853" xr:uid="{00000000-0005-0000-0000-0000D16C0000}"/>
    <cellStyle name="Percent 2 16 7" xfId="27854" xr:uid="{00000000-0005-0000-0000-0000D26C0000}"/>
    <cellStyle name="Percent 2 17" xfId="27855" xr:uid="{00000000-0005-0000-0000-0000D36C0000}"/>
    <cellStyle name="Percent 2 17 2" xfId="27856" xr:uid="{00000000-0005-0000-0000-0000D46C0000}"/>
    <cellStyle name="Percent 2 17 2 2" xfId="27857" xr:uid="{00000000-0005-0000-0000-0000D56C0000}"/>
    <cellStyle name="Percent 2 17 2 2 2" xfId="27858" xr:uid="{00000000-0005-0000-0000-0000D66C0000}"/>
    <cellStyle name="Percent 2 17 2 2 3" xfId="27859" xr:uid="{00000000-0005-0000-0000-0000D76C0000}"/>
    <cellStyle name="Percent 2 17 2 3" xfId="27860" xr:uid="{00000000-0005-0000-0000-0000D86C0000}"/>
    <cellStyle name="Percent 2 17 2 3 2" xfId="27861" xr:uid="{00000000-0005-0000-0000-0000D96C0000}"/>
    <cellStyle name="Percent 2 17 2 3 3" xfId="27862" xr:uid="{00000000-0005-0000-0000-0000DA6C0000}"/>
    <cellStyle name="Percent 2 17 2 4" xfId="27863" xr:uid="{00000000-0005-0000-0000-0000DB6C0000}"/>
    <cellStyle name="Percent 2 17 2 5" xfId="27864" xr:uid="{00000000-0005-0000-0000-0000DC6C0000}"/>
    <cellStyle name="Percent 2 17 2 6" xfId="27865" xr:uid="{00000000-0005-0000-0000-0000DD6C0000}"/>
    <cellStyle name="Percent 2 17 3" xfId="27866" xr:uid="{00000000-0005-0000-0000-0000DE6C0000}"/>
    <cellStyle name="Percent 2 17 3 2" xfId="27867" xr:uid="{00000000-0005-0000-0000-0000DF6C0000}"/>
    <cellStyle name="Percent 2 17 3 3" xfId="27868" xr:uid="{00000000-0005-0000-0000-0000E06C0000}"/>
    <cellStyle name="Percent 2 17 4" xfId="27869" xr:uid="{00000000-0005-0000-0000-0000E16C0000}"/>
    <cellStyle name="Percent 2 17 4 2" xfId="27870" xr:uid="{00000000-0005-0000-0000-0000E26C0000}"/>
    <cellStyle name="Percent 2 17 4 3" xfId="27871" xr:uid="{00000000-0005-0000-0000-0000E36C0000}"/>
    <cellStyle name="Percent 2 17 5" xfId="27872" xr:uid="{00000000-0005-0000-0000-0000E46C0000}"/>
    <cellStyle name="Percent 2 17 6" xfId="27873" xr:uid="{00000000-0005-0000-0000-0000E56C0000}"/>
    <cellStyle name="Percent 2 17 7" xfId="27874" xr:uid="{00000000-0005-0000-0000-0000E66C0000}"/>
    <cellStyle name="Percent 2 18" xfId="27875" xr:uid="{00000000-0005-0000-0000-0000E76C0000}"/>
    <cellStyle name="Percent 2 18 2" xfId="27876" xr:uid="{00000000-0005-0000-0000-0000E86C0000}"/>
    <cellStyle name="Percent 2 18 2 2" xfId="27877" xr:uid="{00000000-0005-0000-0000-0000E96C0000}"/>
    <cellStyle name="Percent 2 18 2 2 2" xfId="27878" xr:uid="{00000000-0005-0000-0000-0000EA6C0000}"/>
    <cellStyle name="Percent 2 18 2 2 3" xfId="27879" xr:uid="{00000000-0005-0000-0000-0000EB6C0000}"/>
    <cellStyle name="Percent 2 18 2 3" xfId="27880" xr:uid="{00000000-0005-0000-0000-0000EC6C0000}"/>
    <cellStyle name="Percent 2 18 2 3 2" xfId="27881" xr:uid="{00000000-0005-0000-0000-0000ED6C0000}"/>
    <cellStyle name="Percent 2 18 2 3 3" xfId="27882" xr:uid="{00000000-0005-0000-0000-0000EE6C0000}"/>
    <cellStyle name="Percent 2 18 2 4" xfId="27883" xr:uid="{00000000-0005-0000-0000-0000EF6C0000}"/>
    <cellStyle name="Percent 2 18 2 5" xfId="27884" xr:uid="{00000000-0005-0000-0000-0000F06C0000}"/>
    <cellStyle name="Percent 2 18 2 6" xfId="27885" xr:uid="{00000000-0005-0000-0000-0000F16C0000}"/>
    <cellStyle name="Percent 2 18 3" xfId="27886" xr:uid="{00000000-0005-0000-0000-0000F26C0000}"/>
    <cellStyle name="Percent 2 18 3 2" xfId="27887" xr:uid="{00000000-0005-0000-0000-0000F36C0000}"/>
    <cellStyle name="Percent 2 18 3 3" xfId="27888" xr:uid="{00000000-0005-0000-0000-0000F46C0000}"/>
    <cellStyle name="Percent 2 18 4" xfId="27889" xr:uid="{00000000-0005-0000-0000-0000F56C0000}"/>
    <cellStyle name="Percent 2 18 4 2" xfId="27890" xr:uid="{00000000-0005-0000-0000-0000F66C0000}"/>
    <cellStyle name="Percent 2 18 4 3" xfId="27891" xr:uid="{00000000-0005-0000-0000-0000F76C0000}"/>
    <cellStyle name="Percent 2 18 5" xfId="27892" xr:uid="{00000000-0005-0000-0000-0000F86C0000}"/>
    <cellStyle name="Percent 2 18 6" xfId="27893" xr:uid="{00000000-0005-0000-0000-0000F96C0000}"/>
    <cellStyle name="Percent 2 18 7" xfId="27894" xr:uid="{00000000-0005-0000-0000-0000FA6C0000}"/>
    <cellStyle name="Percent 2 19" xfId="27895" xr:uid="{00000000-0005-0000-0000-0000FB6C0000}"/>
    <cellStyle name="Percent 2 19 2" xfId="27896" xr:uid="{00000000-0005-0000-0000-0000FC6C0000}"/>
    <cellStyle name="Percent 2 19 2 2" xfId="27897" xr:uid="{00000000-0005-0000-0000-0000FD6C0000}"/>
    <cellStyle name="Percent 2 19 2 2 2" xfId="27898" xr:uid="{00000000-0005-0000-0000-0000FE6C0000}"/>
    <cellStyle name="Percent 2 19 2 2 3" xfId="27899" xr:uid="{00000000-0005-0000-0000-0000FF6C0000}"/>
    <cellStyle name="Percent 2 19 2 3" xfId="27900" xr:uid="{00000000-0005-0000-0000-0000006D0000}"/>
    <cellStyle name="Percent 2 19 2 3 2" xfId="27901" xr:uid="{00000000-0005-0000-0000-0000016D0000}"/>
    <cellStyle name="Percent 2 19 2 3 3" xfId="27902" xr:uid="{00000000-0005-0000-0000-0000026D0000}"/>
    <cellStyle name="Percent 2 19 2 4" xfId="27903" xr:uid="{00000000-0005-0000-0000-0000036D0000}"/>
    <cellStyle name="Percent 2 19 2 5" xfId="27904" xr:uid="{00000000-0005-0000-0000-0000046D0000}"/>
    <cellStyle name="Percent 2 19 2 6" xfId="27905" xr:uid="{00000000-0005-0000-0000-0000056D0000}"/>
    <cellStyle name="Percent 2 19 3" xfId="27906" xr:uid="{00000000-0005-0000-0000-0000066D0000}"/>
    <cellStyle name="Percent 2 19 3 2" xfId="27907" xr:uid="{00000000-0005-0000-0000-0000076D0000}"/>
    <cellStyle name="Percent 2 19 3 3" xfId="27908" xr:uid="{00000000-0005-0000-0000-0000086D0000}"/>
    <cellStyle name="Percent 2 19 4" xfId="27909" xr:uid="{00000000-0005-0000-0000-0000096D0000}"/>
    <cellStyle name="Percent 2 19 4 2" xfId="27910" xr:uid="{00000000-0005-0000-0000-00000A6D0000}"/>
    <cellStyle name="Percent 2 19 4 3" xfId="27911" xr:uid="{00000000-0005-0000-0000-00000B6D0000}"/>
    <cellStyle name="Percent 2 19 5" xfId="27912" xr:uid="{00000000-0005-0000-0000-00000C6D0000}"/>
    <cellStyle name="Percent 2 19 6" xfId="27913" xr:uid="{00000000-0005-0000-0000-00000D6D0000}"/>
    <cellStyle name="Percent 2 19 7" xfId="27914" xr:uid="{00000000-0005-0000-0000-00000E6D0000}"/>
    <cellStyle name="Percent 2 2" xfId="27915" xr:uid="{00000000-0005-0000-0000-00000F6D0000}"/>
    <cellStyle name="Percent 2 2 10" xfId="27916" xr:uid="{00000000-0005-0000-0000-0000106D0000}"/>
    <cellStyle name="Percent 2 2 10 2" xfId="27917" xr:uid="{00000000-0005-0000-0000-0000116D0000}"/>
    <cellStyle name="Percent 2 2 10 2 2" xfId="27918" xr:uid="{00000000-0005-0000-0000-0000126D0000}"/>
    <cellStyle name="Percent 2 2 10 2 2 2" xfId="27919" xr:uid="{00000000-0005-0000-0000-0000136D0000}"/>
    <cellStyle name="Percent 2 2 10 2 2 3" xfId="27920" xr:uid="{00000000-0005-0000-0000-0000146D0000}"/>
    <cellStyle name="Percent 2 2 10 2 3" xfId="27921" xr:uid="{00000000-0005-0000-0000-0000156D0000}"/>
    <cellStyle name="Percent 2 2 10 2 3 2" xfId="27922" xr:uid="{00000000-0005-0000-0000-0000166D0000}"/>
    <cellStyle name="Percent 2 2 10 2 3 3" xfId="27923" xr:uid="{00000000-0005-0000-0000-0000176D0000}"/>
    <cellStyle name="Percent 2 2 10 2 4" xfId="27924" xr:uid="{00000000-0005-0000-0000-0000186D0000}"/>
    <cellStyle name="Percent 2 2 10 2 5" xfId="27925" xr:uid="{00000000-0005-0000-0000-0000196D0000}"/>
    <cellStyle name="Percent 2 2 10 2 6" xfId="27926" xr:uid="{00000000-0005-0000-0000-00001A6D0000}"/>
    <cellStyle name="Percent 2 2 10 3" xfId="27927" xr:uid="{00000000-0005-0000-0000-00001B6D0000}"/>
    <cellStyle name="Percent 2 2 10 3 2" xfId="27928" xr:uid="{00000000-0005-0000-0000-00001C6D0000}"/>
    <cellStyle name="Percent 2 2 10 3 3" xfId="27929" xr:uid="{00000000-0005-0000-0000-00001D6D0000}"/>
    <cellStyle name="Percent 2 2 10 4" xfId="27930" xr:uid="{00000000-0005-0000-0000-00001E6D0000}"/>
    <cellStyle name="Percent 2 2 10 4 2" xfId="27931" xr:uid="{00000000-0005-0000-0000-00001F6D0000}"/>
    <cellStyle name="Percent 2 2 10 4 3" xfId="27932" xr:uid="{00000000-0005-0000-0000-0000206D0000}"/>
    <cellStyle name="Percent 2 2 10 5" xfId="27933" xr:uid="{00000000-0005-0000-0000-0000216D0000}"/>
    <cellStyle name="Percent 2 2 10 6" xfId="27934" xr:uid="{00000000-0005-0000-0000-0000226D0000}"/>
    <cellStyle name="Percent 2 2 10 7" xfId="27935" xr:uid="{00000000-0005-0000-0000-0000236D0000}"/>
    <cellStyle name="Percent 2 2 11" xfId="27936" xr:uid="{00000000-0005-0000-0000-0000246D0000}"/>
    <cellStyle name="Percent 2 2 11 2" xfId="27937" xr:uid="{00000000-0005-0000-0000-0000256D0000}"/>
    <cellStyle name="Percent 2 2 11 2 2" xfId="27938" xr:uid="{00000000-0005-0000-0000-0000266D0000}"/>
    <cellStyle name="Percent 2 2 11 2 2 2" xfId="27939" xr:uid="{00000000-0005-0000-0000-0000276D0000}"/>
    <cellStyle name="Percent 2 2 11 2 2 3" xfId="27940" xr:uid="{00000000-0005-0000-0000-0000286D0000}"/>
    <cellStyle name="Percent 2 2 11 2 3" xfId="27941" xr:uid="{00000000-0005-0000-0000-0000296D0000}"/>
    <cellStyle name="Percent 2 2 11 2 3 2" xfId="27942" xr:uid="{00000000-0005-0000-0000-00002A6D0000}"/>
    <cellStyle name="Percent 2 2 11 2 3 3" xfId="27943" xr:uid="{00000000-0005-0000-0000-00002B6D0000}"/>
    <cellStyle name="Percent 2 2 11 2 4" xfId="27944" xr:uid="{00000000-0005-0000-0000-00002C6D0000}"/>
    <cellStyle name="Percent 2 2 11 2 5" xfId="27945" xr:uid="{00000000-0005-0000-0000-00002D6D0000}"/>
    <cellStyle name="Percent 2 2 11 2 6" xfId="27946" xr:uid="{00000000-0005-0000-0000-00002E6D0000}"/>
    <cellStyle name="Percent 2 2 11 3" xfId="27947" xr:uid="{00000000-0005-0000-0000-00002F6D0000}"/>
    <cellStyle name="Percent 2 2 11 3 2" xfId="27948" xr:uid="{00000000-0005-0000-0000-0000306D0000}"/>
    <cellStyle name="Percent 2 2 11 3 3" xfId="27949" xr:uid="{00000000-0005-0000-0000-0000316D0000}"/>
    <cellStyle name="Percent 2 2 11 4" xfId="27950" xr:uid="{00000000-0005-0000-0000-0000326D0000}"/>
    <cellStyle name="Percent 2 2 11 4 2" xfId="27951" xr:uid="{00000000-0005-0000-0000-0000336D0000}"/>
    <cellStyle name="Percent 2 2 11 4 3" xfId="27952" xr:uid="{00000000-0005-0000-0000-0000346D0000}"/>
    <cellStyle name="Percent 2 2 11 5" xfId="27953" xr:uid="{00000000-0005-0000-0000-0000356D0000}"/>
    <cellStyle name="Percent 2 2 11 6" xfId="27954" xr:uid="{00000000-0005-0000-0000-0000366D0000}"/>
    <cellStyle name="Percent 2 2 11 7" xfId="27955" xr:uid="{00000000-0005-0000-0000-0000376D0000}"/>
    <cellStyle name="Percent 2 2 12" xfId="27956" xr:uid="{00000000-0005-0000-0000-0000386D0000}"/>
    <cellStyle name="Percent 2 2 12 2" xfId="27957" xr:uid="{00000000-0005-0000-0000-0000396D0000}"/>
    <cellStyle name="Percent 2 2 12 2 2" xfId="27958" xr:uid="{00000000-0005-0000-0000-00003A6D0000}"/>
    <cellStyle name="Percent 2 2 12 2 2 2" xfId="27959" xr:uid="{00000000-0005-0000-0000-00003B6D0000}"/>
    <cellStyle name="Percent 2 2 12 2 2 3" xfId="27960" xr:uid="{00000000-0005-0000-0000-00003C6D0000}"/>
    <cellStyle name="Percent 2 2 12 2 3" xfId="27961" xr:uid="{00000000-0005-0000-0000-00003D6D0000}"/>
    <cellStyle name="Percent 2 2 12 2 3 2" xfId="27962" xr:uid="{00000000-0005-0000-0000-00003E6D0000}"/>
    <cellStyle name="Percent 2 2 12 2 3 3" xfId="27963" xr:uid="{00000000-0005-0000-0000-00003F6D0000}"/>
    <cellStyle name="Percent 2 2 12 2 4" xfId="27964" xr:uid="{00000000-0005-0000-0000-0000406D0000}"/>
    <cellStyle name="Percent 2 2 12 2 5" xfId="27965" xr:uid="{00000000-0005-0000-0000-0000416D0000}"/>
    <cellStyle name="Percent 2 2 12 2 6" xfId="27966" xr:uid="{00000000-0005-0000-0000-0000426D0000}"/>
    <cellStyle name="Percent 2 2 12 3" xfId="27967" xr:uid="{00000000-0005-0000-0000-0000436D0000}"/>
    <cellStyle name="Percent 2 2 12 3 2" xfId="27968" xr:uid="{00000000-0005-0000-0000-0000446D0000}"/>
    <cellStyle name="Percent 2 2 12 3 3" xfId="27969" xr:uid="{00000000-0005-0000-0000-0000456D0000}"/>
    <cellStyle name="Percent 2 2 12 4" xfId="27970" xr:uid="{00000000-0005-0000-0000-0000466D0000}"/>
    <cellStyle name="Percent 2 2 12 4 2" xfId="27971" xr:uid="{00000000-0005-0000-0000-0000476D0000}"/>
    <cellStyle name="Percent 2 2 12 4 3" xfId="27972" xr:uid="{00000000-0005-0000-0000-0000486D0000}"/>
    <cellStyle name="Percent 2 2 12 5" xfId="27973" xr:uid="{00000000-0005-0000-0000-0000496D0000}"/>
    <cellStyle name="Percent 2 2 12 6" xfId="27974" xr:uid="{00000000-0005-0000-0000-00004A6D0000}"/>
    <cellStyle name="Percent 2 2 12 7" xfId="27975" xr:uid="{00000000-0005-0000-0000-00004B6D0000}"/>
    <cellStyle name="Percent 2 2 13" xfId="27976" xr:uid="{00000000-0005-0000-0000-00004C6D0000}"/>
    <cellStyle name="Percent 2 2 13 2" xfId="27977" xr:uid="{00000000-0005-0000-0000-00004D6D0000}"/>
    <cellStyle name="Percent 2 2 13 2 2" xfId="27978" xr:uid="{00000000-0005-0000-0000-00004E6D0000}"/>
    <cellStyle name="Percent 2 2 13 2 2 2" xfId="27979" xr:uid="{00000000-0005-0000-0000-00004F6D0000}"/>
    <cellStyle name="Percent 2 2 13 2 2 3" xfId="27980" xr:uid="{00000000-0005-0000-0000-0000506D0000}"/>
    <cellStyle name="Percent 2 2 13 2 3" xfId="27981" xr:uid="{00000000-0005-0000-0000-0000516D0000}"/>
    <cellStyle name="Percent 2 2 13 2 3 2" xfId="27982" xr:uid="{00000000-0005-0000-0000-0000526D0000}"/>
    <cellStyle name="Percent 2 2 13 2 3 3" xfId="27983" xr:uid="{00000000-0005-0000-0000-0000536D0000}"/>
    <cellStyle name="Percent 2 2 13 2 4" xfId="27984" xr:uid="{00000000-0005-0000-0000-0000546D0000}"/>
    <cellStyle name="Percent 2 2 13 2 5" xfId="27985" xr:uid="{00000000-0005-0000-0000-0000556D0000}"/>
    <cellStyle name="Percent 2 2 13 2 6" xfId="27986" xr:uid="{00000000-0005-0000-0000-0000566D0000}"/>
    <cellStyle name="Percent 2 2 13 3" xfId="27987" xr:uid="{00000000-0005-0000-0000-0000576D0000}"/>
    <cellStyle name="Percent 2 2 13 3 2" xfId="27988" xr:uid="{00000000-0005-0000-0000-0000586D0000}"/>
    <cellStyle name="Percent 2 2 13 3 3" xfId="27989" xr:uid="{00000000-0005-0000-0000-0000596D0000}"/>
    <cellStyle name="Percent 2 2 13 4" xfId="27990" xr:uid="{00000000-0005-0000-0000-00005A6D0000}"/>
    <cellStyle name="Percent 2 2 13 4 2" xfId="27991" xr:uid="{00000000-0005-0000-0000-00005B6D0000}"/>
    <cellStyle name="Percent 2 2 13 4 3" xfId="27992" xr:uid="{00000000-0005-0000-0000-00005C6D0000}"/>
    <cellStyle name="Percent 2 2 13 5" xfId="27993" xr:uid="{00000000-0005-0000-0000-00005D6D0000}"/>
    <cellStyle name="Percent 2 2 13 6" xfId="27994" xr:uid="{00000000-0005-0000-0000-00005E6D0000}"/>
    <cellStyle name="Percent 2 2 13 7" xfId="27995" xr:uid="{00000000-0005-0000-0000-00005F6D0000}"/>
    <cellStyle name="Percent 2 2 14" xfId="27996" xr:uid="{00000000-0005-0000-0000-0000606D0000}"/>
    <cellStyle name="Percent 2 2 14 2" xfId="27997" xr:uid="{00000000-0005-0000-0000-0000616D0000}"/>
    <cellStyle name="Percent 2 2 14 2 2" xfId="27998" xr:uid="{00000000-0005-0000-0000-0000626D0000}"/>
    <cellStyle name="Percent 2 2 14 2 2 2" xfId="27999" xr:uid="{00000000-0005-0000-0000-0000636D0000}"/>
    <cellStyle name="Percent 2 2 14 2 2 3" xfId="28000" xr:uid="{00000000-0005-0000-0000-0000646D0000}"/>
    <cellStyle name="Percent 2 2 14 2 3" xfId="28001" xr:uid="{00000000-0005-0000-0000-0000656D0000}"/>
    <cellStyle name="Percent 2 2 14 2 3 2" xfId="28002" xr:uid="{00000000-0005-0000-0000-0000666D0000}"/>
    <cellStyle name="Percent 2 2 14 2 3 3" xfId="28003" xr:uid="{00000000-0005-0000-0000-0000676D0000}"/>
    <cellStyle name="Percent 2 2 14 2 4" xfId="28004" xr:uid="{00000000-0005-0000-0000-0000686D0000}"/>
    <cellStyle name="Percent 2 2 14 2 5" xfId="28005" xr:uid="{00000000-0005-0000-0000-0000696D0000}"/>
    <cellStyle name="Percent 2 2 14 2 6" xfId="28006" xr:uid="{00000000-0005-0000-0000-00006A6D0000}"/>
    <cellStyle name="Percent 2 2 14 3" xfId="28007" xr:uid="{00000000-0005-0000-0000-00006B6D0000}"/>
    <cellStyle name="Percent 2 2 14 3 2" xfId="28008" xr:uid="{00000000-0005-0000-0000-00006C6D0000}"/>
    <cellStyle name="Percent 2 2 14 3 3" xfId="28009" xr:uid="{00000000-0005-0000-0000-00006D6D0000}"/>
    <cellStyle name="Percent 2 2 14 4" xfId="28010" xr:uid="{00000000-0005-0000-0000-00006E6D0000}"/>
    <cellStyle name="Percent 2 2 14 4 2" xfId="28011" xr:uid="{00000000-0005-0000-0000-00006F6D0000}"/>
    <cellStyle name="Percent 2 2 14 4 3" xfId="28012" xr:uid="{00000000-0005-0000-0000-0000706D0000}"/>
    <cellStyle name="Percent 2 2 14 5" xfId="28013" xr:uid="{00000000-0005-0000-0000-0000716D0000}"/>
    <cellStyle name="Percent 2 2 14 6" xfId="28014" xr:uid="{00000000-0005-0000-0000-0000726D0000}"/>
    <cellStyle name="Percent 2 2 14 7" xfId="28015" xr:uid="{00000000-0005-0000-0000-0000736D0000}"/>
    <cellStyle name="Percent 2 2 15" xfId="28016" xr:uid="{00000000-0005-0000-0000-0000746D0000}"/>
    <cellStyle name="Percent 2 2 15 2" xfId="28017" xr:uid="{00000000-0005-0000-0000-0000756D0000}"/>
    <cellStyle name="Percent 2 2 15 2 2" xfId="28018" xr:uid="{00000000-0005-0000-0000-0000766D0000}"/>
    <cellStyle name="Percent 2 2 15 2 2 2" xfId="28019" xr:uid="{00000000-0005-0000-0000-0000776D0000}"/>
    <cellStyle name="Percent 2 2 15 2 2 3" xfId="28020" xr:uid="{00000000-0005-0000-0000-0000786D0000}"/>
    <cellStyle name="Percent 2 2 15 2 3" xfId="28021" xr:uid="{00000000-0005-0000-0000-0000796D0000}"/>
    <cellStyle name="Percent 2 2 15 2 3 2" xfId="28022" xr:uid="{00000000-0005-0000-0000-00007A6D0000}"/>
    <cellStyle name="Percent 2 2 15 2 3 3" xfId="28023" xr:uid="{00000000-0005-0000-0000-00007B6D0000}"/>
    <cellStyle name="Percent 2 2 15 2 4" xfId="28024" xr:uid="{00000000-0005-0000-0000-00007C6D0000}"/>
    <cellStyle name="Percent 2 2 15 2 5" xfId="28025" xr:uid="{00000000-0005-0000-0000-00007D6D0000}"/>
    <cellStyle name="Percent 2 2 15 2 6" xfId="28026" xr:uid="{00000000-0005-0000-0000-00007E6D0000}"/>
    <cellStyle name="Percent 2 2 15 3" xfId="28027" xr:uid="{00000000-0005-0000-0000-00007F6D0000}"/>
    <cellStyle name="Percent 2 2 15 3 2" xfId="28028" xr:uid="{00000000-0005-0000-0000-0000806D0000}"/>
    <cellStyle name="Percent 2 2 15 3 3" xfId="28029" xr:uid="{00000000-0005-0000-0000-0000816D0000}"/>
    <cellStyle name="Percent 2 2 15 4" xfId="28030" xr:uid="{00000000-0005-0000-0000-0000826D0000}"/>
    <cellStyle name="Percent 2 2 15 4 2" xfId="28031" xr:uid="{00000000-0005-0000-0000-0000836D0000}"/>
    <cellStyle name="Percent 2 2 15 4 3" xfId="28032" xr:uid="{00000000-0005-0000-0000-0000846D0000}"/>
    <cellStyle name="Percent 2 2 15 5" xfId="28033" xr:uid="{00000000-0005-0000-0000-0000856D0000}"/>
    <cellStyle name="Percent 2 2 15 6" xfId="28034" xr:uid="{00000000-0005-0000-0000-0000866D0000}"/>
    <cellStyle name="Percent 2 2 15 7" xfId="28035" xr:uid="{00000000-0005-0000-0000-0000876D0000}"/>
    <cellStyle name="Percent 2 2 16" xfId="28036" xr:uid="{00000000-0005-0000-0000-0000886D0000}"/>
    <cellStyle name="Percent 2 2 16 2" xfId="28037" xr:uid="{00000000-0005-0000-0000-0000896D0000}"/>
    <cellStyle name="Percent 2 2 16 2 2" xfId="28038" xr:uid="{00000000-0005-0000-0000-00008A6D0000}"/>
    <cellStyle name="Percent 2 2 16 2 2 2" xfId="28039" xr:uid="{00000000-0005-0000-0000-00008B6D0000}"/>
    <cellStyle name="Percent 2 2 16 2 2 3" xfId="28040" xr:uid="{00000000-0005-0000-0000-00008C6D0000}"/>
    <cellStyle name="Percent 2 2 16 2 3" xfId="28041" xr:uid="{00000000-0005-0000-0000-00008D6D0000}"/>
    <cellStyle name="Percent 2 2 16 2 3 2" xfId="28042" xr:uid="{00000000-0005-0000-0000-00008E6D0000}"/>
    <cellStyle name="Percent 2 2 16 2 3 3" xfId="28043" xr:uid="{00000000-0005-0000-0000-00008F6D0000}"/>
    <cellStyle name="Percent 2 2 16 2 4" xfId="28044" xr:uid="{00000000-0005-0000-0000-0000906D0000}"/>
    <cellStyle name="Percent 2 2 16 2 5" xfId="28045" xr:uid="{00000000-0005-0000-0000-0000916D0000}"/>
    <cellStyle name="Percent 2 2 16 2 6" xfId="28046" xr:uid="{00000000-0005-0000-0000-0000926D0000}"/>
    <cellStyle name="Percent 2 2 16 3" xfId="28047" xr:uid="{00000000-0005-0000-0000-0000936D0000}"/>
    <cellStyle name="Percent 2 2 16 3 2" xfId="28048" xr:uid="{00000000-0005-0000-0000-0000946D0000}"/>
    <cellStyle name="Percent 2 2 16 3 3" xfId="28049" xr:uid="{00000000-0005-0000-0000-0000956D0000}"/>
    <cellStyle name="Percent 2 2 16 4" xfId="28050" xr:uid="{00000000-0005-0000-0000-0000966D0000}"/>
    <cellStyle name="Percent 2 2 16 4 2" xfId="28051" xr:uid="{00000000-0005-0000-0000-0000976D0000}"/>
    <cellStyle name="Percent 2 2 16 4 3" xfId="28052" xr:uid="{00000000-0005-0000-0000-0000986D0000}"/>
    <cellStyle name="Percent 2 2 16 5" xfId="28053" xr:uid="{00000000-0005-0000-0000-0000996D0000}"/>
    <cellStyle name="Percent 2 2 16 6" xfId="28054" xr:uid="{00000000-0005-0000-0000-00009A6D0000}"/>
    <cellStyle name="Percent 2 2 16 7" xfId="28055" xr:uid="{00000000-0005-0000-0000-00009B6D0000}"/>
    <cellStyle name="Percent 2 2 17" xfId="28056" xr:uid="{00000000-0005-0000-0000-00009C6D0000}"/>
    <cellStyle name="Percent 2 2 17 2" xfId="28057" xr:uid="{00000000-0005-0000-0000-00009D6D0000}"/>
    <cellStyle name="Percent 2 2 17 2 2" xfId="28058" xr:uid="{00000000-0005-0000-0000-00009E6D0000}"/>
    <cellStyle name="Percent 2 2 17 2 2 2" xfId="28059" xr:uid="{00000000-0005-0000-0000-00009F6D0000}"/>
    <cellStyle name="Percent 2 2 17 2 2 3" xfId="28060" xr:uid="{00000000-0005-0000-0000-0000A06D0000}"/>
    <cellStyle name="Percent 2 2 17 2 3" xfId="28061" xr:uid="{00000000-0005-0000-0000-0000A16D0000}"/>
    <cellStyle name="Percent 2 2 17 2 3 2" xfId="28062" xr:uid="{00000000-0005-0000-0000-0000A26D0000}"/>
    <cellStyle name="Percent 2 2 17 2 3 3" xfId="28063" xr:uid="{00000000-0005-0000-0000-0000A36D0000}"/>
    <cellStyle name="Percent 2 2 17 2 4" xfId="28064" xr:uid="{00000000-0005-0000-0000-0000A46D0000}"/>
    <cellStyle name="Percent 2 2 17 2 5" xfId="28065" xr:uid="{00000000-0005-0000-0000-0000A56D0000}"/>
    <cellStyle name="Percent 2 2 17 2 6" xfId="28066" xr:uid="{00000000-0005-0000-0000-0000A66D0000}"/>
    <cellStyle name="Percent 2 2 17 3" xfId="28067" xr:uid="{00000000-0005-0000-0000-0000A76D0000}"/>
    <cellStyle name="Percent 2 2 17 3 2" xfId="28068" xr:uid="{00000000-0005-0000-0000-0000A86D0000}"/>
    <cellStyle name="Percent 2 2 17 3 3" xfId="28069" xr:uid="{00000000-0005-0000-0000-0000A96D0000}"/>
    <cellStyle name="Percent 2 2 17 4" xfId="28070" xr:uid="{00000000-0005-0000-0000-0000AA6D0000}"/>
    <cellStyle name="Percent 2 2 17 4 2" xfId="28071" xr:uid="{00000000-0005-0000-0000-0000AB6D0000}"/>
    <cellStyle name="Percent 2 2 17 4 3" xfId="28072" xr:uid="{00000000-0005-0000-0000-0000AC6D0000}"/>
    <cellStyle name="Percent 2 2 17 5" xfId="28073" xr:uid="{00000000-0005-0000-0000-0000AD6D0000}"/>
    <cellStyle name="Percent 2 2 17 6" xfId="28074" xr:uid="{00000000-0005-0000-0000-0000AE6D0000}"/>
    <cellStyle name="Percent 2 2 17 7" xfId="28075" xr:uid="{00000000-0005-0000-0000-0000AF6D0000}"/>
    <cellStyle name="Percent 2 2 18" xfId="28076" xr:uid="{00000000-0005-0000-0000-0000B06D0000}"/>
    <cellStyle name="Percent 2 2 18 2" xfId="28077" xr:uid="{00000000-0005-0000-0000-0000B16D0000}"/>
    <cellStyle name="Percent 2 2 18 2 2" xfId="28078" xr:uid="{00000000-0005-0000-0000-0000B26D0000}"/>
    <cellStyle name="Percent 2 2 18 2 2 2" xfId="28079" xr:uid="{00000000-0005-0000-0000-0000B36D0000}"/>
    <cellStyle name="Percent 2 2 18 2 2 3" xfId="28080" xr:uid="{00000000-0005-0000-0000-0000B46D0000}"/>
    <cellStyle name="Percent 2 2 18 2 3" xfId="28081" xr:uid="{00000000-0005-0000-0000-0000B56D0000}"/>
    <cellStyle name="Percent 2 2 18 2 3 2" xfId="28082" xr:uid="{00000000-0005-0000-0000-0000B66D0000}"/>
    <cellStyle name="Percent 2 2 18 2 3 3" xfId="28083" xr:uid="{00000000-0005-0000-0000-0000B76D0000}"/>
    <cellStyle name="Percent 2 2 18 2 4" xfId="28084" xr:uid="{00000000-0005-0000-0000-0000B86D0000}"/>
    <cellStyle name="Percent 2 2 18 2 5" xfId="28085" xr:uid="{00000000-0005-0000-0000-0000B96D0000}"/>
    <cellStyle name="Percent 2 2 18 2 6" xfId="28086" xr:uid="{00000000-0005-0000-0000-0000BA6D0000}"/>
    <cellStyle name="Percent 2 2 18 3" xfId="28087" xr:uid="{00000000-0005-0000-0000-0000BB6D0000}"/>
    <cellStyle name="Percent 2 2 18 3 2" xfId="28088" xr:uid="{00000000-0005-0000-0000-0000BC6D0000}"/>
    <cellStyle name="Percent 2 2 18 3 3" xfId="28089" xr:uid="{00000000-0005-0000-0000-0000BD6D0000}"/>
    <cellStyle name="Percent 2 2 18 4" xfId="28090" xr:uid="{00000000-0005-0000-0000-0000BE6D0000}"/>
    <cellStyle name="Percent 2 2 18 4 2" xfId="28091" xr:uid="{00000000-0005-0000-0000-0000BF6D0000}"/>
    <cellStyle name="Percent 2 2 18 4 3" xfId="28092" xr:uid="{00000000-0005-0000-0000-0000C06D0000}"/>
    <cellStyle name="Percent 2 2 18 5" xfId="28093" xr:uid="{00000000-0005-0000-0000-0000C16D0000}"/>
    <cellStyle name="Percent 2 2 18 6" xfId="28094" xr:uid="{00000000-0005-0000-0000-0000C26D0000}"/>
    <cellStyle name="Percent 2 2 18 7" xfId="28095" xr:uid="{00000000-0005-0000-0000-0000C36D0000}"/>
    <cellStyle name="Percent 2 2 19" xfId="28096" xr:uid="{00000000-0005-0000-0000-0000C46D0000}"/>
    <cellStyle name="Percent 2 2 19 2" xfId="28097" xr:uid="{00000000-0005-0000-0000-0000C56D0000}"/>
    <cellStyle name="Percent 2 2 19 2 2" xfId="28098" xr:uid="{00000000-0005-0000-0000-0000C66D0000}"/>
    <cellStyle name="Percent 2 2 19 2 2 2" xfId="28099" xr:uid="{00000000-0005-0000-0000-0000C76D0000}"/>
    <cellStyle name="Percent 2 2 19 2 2 3" xfId="28100" xr:uid="{00000000-0005-0000-0000-0000C86D0000}"/>
    <cellStyle name="Percent 2 2 19 2 3" xfId="28101" xr:uid="{00000000-0005-0000-0000-0000C96D0000}"/>
    <cellStyle name="Percent 2 2 19 2 3 2" xfId="28102" xr:uid="{00000000-0005-0000-0000-0000CA6D0000}"/>
    <cellStyle name="Percent 2 2 19 2 3 3" xfId="28103" xr:uid="{00000000-0005-0000-0000-0000CB6D0000}"/>
    <cellStyle name="Percent 2 2 19 2 4" xfId="28104" xr:uid="{00000000-0005-0000-0000-0000CC6D0000}"/>
    <cellStyle name="Percent 2 2 19 2 5" xfId="28105" xr:uid="{00000000-0005-0000-0000-0000CD6D0000}"/>
    <cellStyle name="Percent 2 2 19 2 6" xfId="28106" xr:uid="{00000000-0005-0000-0000-0000CE6D0000}"/>
    <cellStyle name="Percent 2 2 19 3" xfId="28107" xr:uid="{00000000-0005-0000-0000-0000CF6D0000}"/>
    <cellStyle name="Percent 2 2 19 3 2" xfId="28108" xr:uid="{00000000-0005-0000-0000-0000D06D0000}"/>
    <cellStyle name="Percent 2 2 19 3 3" xfId="28109" xr:uid="{00000000-0005-0000-0000-0000D16D0000}"/>
    <cellStyle name="Percent 2 2 19 4" xfId="28110" xr:uid="{00000000-0005-0000-0000-0000D26D0000}"/>
    <cellStyle name="Percent 2 2 19 4 2" xfId="28111" xr:uid="{00000000-0005-0000-0000-0000D36D0000}"/>
    <cellStyle name="Percent 2 2 19 4 3" xfId="28112" xr:uid="{00000000-0005-0000-0000-0000D46D0000}"/>
    <cellStyle name="Percent 2 2 19 5" xfId="28113" xr:uid="{00000000-0005-0000-0000-0000D56D0000}"/>
    <cellStyle name="Percent 2 2 19 6" xfId="28114" xr:uid="{00000000-0005-0000-0000-0000D66D0000}"/>
    <cellStyle name="Percent 2 2 19 7" xfId="28115" xr:uid="{00000000-0005-0000-0000-0000D76D0000}"/>
    <cellStyle name="Percent 2 2 2" xfId="28116" xr:uid="{00000000-0005-0000-0000-0000D86D0000}"/>
    <cellStyle name="Percent 2 2 2 10" xfId="28117" xr:uid="{00000000-0005-0000-0000-0000D96D0000}"/>
    <cellStyle name="Percent 2 2 2 10 2" xfId="28118" xr:uid="{00000000-0005-0000-0000-0000DA6D0000}"/>
    <cellStyle name="Percent 2 2 2 10 2 2" xfId="28119" xr:uid="{00000000-0005-0000-0000-0000DB6D0000}"/>
    <cellStyle name="Percent 2 2 2 10 2 2 2" xfId="28120" xr:uid="{00000000-0005-0000-0000-0000DC6D0000}"/>
    <cellStyle name="Percent 2 2 2 10 2 2 3" xfId="28121" xr:uid="{00000000-0005-0000-0000-0000DD6D0000}"/>
    <cellStyle name="Percent 2 2 2 10 2 3" xfId="28122" xr:uid="{00000000-0005-0000-0000-0000DE6D0000}"/>
    <cellStyle name="Percent 2 2 2 10 2 3 2" xfId="28123" xr:uid="{00000000-0005-0000-0000-0000DF6D0000}"/>
    <cellStyle name="Percent 2 2 2 10 2 3 3" xfId="28124" xr:uid="{00000000-0005-0000-0000-0000E06D0000}"/>
    <cellStyle name="Percent 2 2 2 10 2 4" xfId="28125" xr:uid="{00000000-0005-0000-0000-0000E16D0000}"/>
    <cellStyle name="Percent 2 2 2 10 2 5" xfId="28126" xr:uid="{00000000-0005-0000-0000-0000E26D0000}"/>
    <cellStyle name="Percent 2 2 2 10 2 6" xfId="28127" xr:uid="{00000000-0005-0000-0000-0000E36D0000}"/>
    <cellStyle name="Percent 2 2 2 10 3" xfId="28128" xr:uid="{00000000-0005-0000-0000-0000E46D0000}"/>
    <cellStyle name="Percent 2 2 2 10 3 2" xfId="28129" xr:uid="{00000000-0005-0000-0000-0000E56D0000}"/>
    <cellStyle name="Percent 2 2 2 10 3 3" xfId="28130" xr:uid="{00000000-0005-0000-0000-0000E66D0000}"/>
    <cellStyle name="Percent 2 2 2 10 4" xfId="28131" xr:uid="{00000000-0005-0000-0000-0000E76D0000}"/>
    <cellStyle name="Percent 2 2 2 10 4 2" xfId="28132" xr:uid="{00000000-0005-0000-0000-0000E86D0000}"/>
    <cellStyle name="Percent 2 2 2 10 4 3" xfId="28133" xr:uid="{00000000-0005-0000-0000-0000E96D0000}"/>
    <cellStyle name="Percent 2 2 2 10 5" xfId="28134" xr:uid="{00000000-0005-0000-0000-0000EA6D0000}"/>
    <cellStyle name="Percent 2 2 2 10 6" xfId="28135" xr:uid="{00000000-0005-0000-0000-0000EB6D0000}"/>
    <cellStyle name="Percent 2 2 2 10 7" xfId="28136" xr:uid="{00000000-0005-0000-0000-0000EC6D0000}"/>
    <cellStyle name="Percent 2 2 2 11" xfId="28137" xr:uid="{00000000-0005-0000-0000-0000ED6D0000}"/>
    <cellStyle name="Percent 2 2 2 11 2" xfId="28138" xr:uid="{00000000-0005-0000-0000-0000EE6D0000}"/>
    <cellStyle name="Percent 2 2 2 11 2 2" xfId="28139" xr:uid="{00000000-0005-0000-0000-0000EF6D0000}"/>
    <cellStyle name="Percent 2 2 2 11 2 2 2" xfId="28140" xr:uid="{00000000-0005-0000-0000-0000F06D0000}"/>
    <cellStyle name="Percent 2 2 2 11 2 2 3" xfId="28141" xr:uid="{00000000-0005-0000-0000-0000F16D0000}"/>
    <cellStyle name="Percent 2 2 2 11 2 3" xfId="28142" xr:uid="{00000000-0005-0000-0000-0000F26D0000}"/>
    <cellStyle name="Percent 2 2 2 11 2 3 2" xfId="28143" xr:uid="{00000000-0005-0000-0000-0000F36D0000}"/>
    <cellStyle name="Percent 2 2 2 11 2 3 3" xfId="28144" xr:uid="{00000000-0005-0000-0000-0000F46D0000}"/>
    <cellStyle name="Percent 2 2 2 11 2 4" xfId="28145" xr:uid="{00000000-0005-0000-0000-0000F56D0000}"/>
    <cellStyle name="Percent 2 2 2 11 2 5" xfId="28146" xr:uid="{00000000-0005-0000-0000-0000F66D0000}"/>
    <cellStyle name="Percent 2 2 2 11 2 6" xfId="28147" xr:uid="{00000000-0005-0000-0000-0000F76D0000}"/>
    <cellStyle name="Percent 2 2 2 11 3" xfId="28148" xr:uid="{00000000-0005-0000-0000-0000F86D0000}"/>
    <cellStyle name="Percent 2 2 2 11 3 2" xfId="28149" xr:uid="{00000000-0005-0000-0000-0000F96D0000}"/>
    <cellStyle name="Percent 2 2 2 11 3 3" xfId="28150" xr:uid="{00000000-0005-0000-0000-0000FA6D0000}"/>
    <cellStyle name="Percent 2 2 2 11 4" xfId="28151" xr:uid="{00000000-0005-0000-0000-0000FB6D0000}"/>
    <cellStyle name="Percent 2 2 2 11 4 2" xfId="28152" xr:uid="{00000000-0005-0000-0000-0000FC6D0000}"/>
    <cellStyle name="Percent 2 2 2 11 4 3" xfId="28153" xr:uid="{00000000-0005-0000-0000-0000FD6D0000}"/>
    <cellStyle name="Percent 2 2 2 11 5" xfId="28154" xr:uid="{00000000-0005-0000-0000-0000FE6D0000}"/>
    <cellStyle name="Percent 2 2 2 11 6" xfId="28155" xr:uid="{00000000-0005-0000-0000-0000FF6D0000}"/>
    <cellStyle name="Percent 2 2 2 11 7" xfId="28156" xr:uid="{00000000-0005-0000-0000-0000006E0000}"/>
    <cellStyle name="Percent 2 2 2 12" xfId="28157" xr:uid="{00000000-0005-0000-0000-0000016E0000}"/>
    <cellStyle name="Percent 2 2 2 12 2" xfId="28158" xr:uid="{00000000-0005-0000-0000-0000026E0000}"/>
    <cellStyle name="Percent 2 2 2 12 2 2" xfId="28159" xr:uid="{00000000-0005-0000-0000-0000036E0000}"/>
    <cellStyle name="Percent 2 2 2 12 2 2 2" xfId="28160" xr:uid="{00000000-0005-0000-0000-0000046E0000}"/>
    <cellStyle name="Percent 2 2 2 12 2 2 3" xfId="28161" xr:uid="{00000000-0005-0000-0000-0000056E0000}"/>
    <cellStyle name="Percent 2 2 2 12 2 3" xfId="28162" xr:uid="{00000000-0005-0000-0000-0000066E0000}"/>
    <cellStyle name="Percent 2 2 2 12 2 3 2" xfId="28163" xr:uid="{00000000-0005-0000-0000-0000076E0000}"/>
    <cellStyle name="Percent 2 2 2 12 2 3 3" xfId="28164" xr:uid="{00000000-0005-0000-0000-0000086E0000}"/>
    <cellStyle name="Percent 2 2 2 12 2 4" xfId="28165" xr:uid="{00000000-0005-0000-0000-0000096E0000}"/>
    <cellStyle name="Percent 2 2 2 12 2 5" xfId="28166" xr:uid="{00000000-0005-0000-0000-00000A6E0000}"/>
    <cellStyle name="Percent 2 2 2 12 2 6" xfId="28167" xr:uid="{00000000-0005-0000-0000-00000B6E0000}"/>
    <cellStyle name="Percent 2 2 2 12 3" xfId="28168" xr:uid="{00000000-0005-0000-0000-00000C6E0000}"/>
    <cellStyle name="Percent 2 2 2 12 3 2" xfId="28169" xr:uid="{00000000-0005-0000-0000-00000D6E0000}"/>
    <cellStyle name="Percent 2 2 2 12 3 3" xfId="28170" xr:uid="{00000000-0005-0000-0000-00000E6E0000}"/>
    <cellStyle name="Percent 2 2 2 12 4" xfId="28171" xr:uid="{00000000-0005-0000-0000-00000F6E0000}"/>
    <cellStyle name="Percent 2 2 2 12 4 2" xfId="28172" xr:uid="{00000000-0005-0000-0000-0000106E0000}"/>
    <cellStyle name="Percent 2 2 2 12 4 3" xfId="28173" xr:uid="{00000000-0005-0000-0000-0000116E0000}"/>
    <cellStyle name="Percent 2 2 2 12 5" xfId="28174" xr:uid="{00000000-0005-0000-0000-0000126E0000}"/>
    <cellStyle name="Percent 2 2 2 12 6" xfId="28175" xr:uid="{00000000-0005-0000-0000-0000136E0000}"/>
    <cellStyle name="Percent 2 2 2 12 7" xfId="28176" xr:uid="{00000000-0005-0000-0000-0000146E0000}"/>
    <cellStyle name="Percent 2 2 2 13" xfId="28177" xr:uid="{00000000-0005-0000-0000-0000156E0000}"/>
    <cellStyle name="Percent 2 2 2 13 2" xfId="28178" xr:uid="{00000000-0005-0000-0000-0000166E0000}"/>
    <cellStyle name="Percent 2 2 2 13 2 2" xfId="28179" xr:uid="{00000000-0005-0000-0000-0000176E0000}"/>
    <cellStyle name="Percent 2 2 2 13 2 2 2" xfId="28180" xr:uid="{00000000-0005-0000-0000-0000186E0000}"/>
    <cellStyle name="Percent 2 2 2 13 2 2 3" xfId="28181" xr:uid="{00000000-0005-0000-0000-0000196E0000}"/>
    <cellStyle name="Percent 2 2 2 13 2 3" xfId="28182" xr:uid="{00000000-0005-0000-0000-00001A6E0000}"/>
    <cellStyle name="Percent 2 2 2 13 2 3 2" xfId="28183" xr:uid="{00000000-0005-0000-0000-00001B6E0000}"/>
    <cellStyle name="Percent 2 2 2 13 2 3 3" xfId="28184" xr:uid="{00000000-0005-0000-0000-00001C6E0000}"/>
    <cellStyle name="Percent 2 2 2 13 2 4" xfId="28185" xr:uid="{00000000-0005-0000-0000-00001D6E0000}"/>
    <cellStyle name="Percent 2 2 2 13 2 5" xfId="28186" xr:uid="{00000000-0005-0000-0000-00001E6E0000}"/>
    <cellStyle name="Percent 2 2 2 13 2 6" xfId="28187" xr:uid="{00000000-0005-0000-0000-00001F6E0000}"/>
    <cellStyle name="Percent 2 2 2 13 3" xfId="28188" xr:uid="{00000000-0005-0000-0000-0000206E0000}"/>
    <cellStyle name="Percent 2 2 2 13 3 2" xfId="28189" xr:uid="{00000000-0005-0000-0000-0000216E0000}"/>
    <cellStyle name="Percent 2 2 2 13 3 3" xfId="28190" xr:uid="{00000000-0005-0000-0000-0000226E0000}"/>
    <cellStyle name="Percent 2 2 2 13 4" xfId="28191" xr:uid="{00000000-0005-0000-0000-0000236E0000}"/>
    <cellStyle name="Percent 2 2 2 13 4 2" xfId="28192" xr:uid="{00000000-0005-0000-0000-0000246E0000}"/>
    <cellStyle name="Percent 2 2 2 13 4 3" xfId="28193" xr:uid="{00000000-0005-0000-0000-0000256E0000}"/>
    <cellStyle name="Percent 2 2 2 13 5" xfId="28194" xr:uid="{00000000-0005-0000-0000-0000266E0000}"/>
    <cellStyle name="Percent 2 2 2 13 6" xfId="28195" xr:uid="{00000000-0005-0000-0000-0000276E0000}"/>
    <cellStyle name="Percent 2 2 2 13 7" xfId="28196" xr:uid="{00000000-0005-0000-0000-0000286E0000}"/>
    <cellStyle name="Percent 2 2 2 14" xfId="28197" xr:uid="{00000000-0005-0000-0000-0000296E0000}"/>
    <cellStyle name="Percent 2 2 2 14 2" xfId="28198" xr:uid="{00000000-0005-0000-0000-00002A6E0000}"/>
    <cellStyle name="Percent 2 2 2 14 2 2" xfId="28199" xr:uid="{00000000-0005-0000-0000-00002B6E0000}"/>
    <cellStyle name="Percent 2 2 2 14 2 3" xfId="28200" xr:uid="{00000000-0005-0000-0000-00002C6E0000}"/>
    <cellStyle name="Percent 2 2 2 14 3" xfId="28201" xr:uid="{00000000-0005-0000-0000-00002D6E0000}"/>
    <cellStyle name="Percent 2 2 2 14 3 2" xfId="28202" xr:uid="{00000000-0005-0000-0000-00002E6E0000}"/>
    <cellStyle name="Percent 2 2 2 14 3 3" xfId="28203" xr:uid="{00000000-0005-0000-0000-00002F6E0000}"/>
    <cellStyle name="Percent 2 2 2 14 4" xfId="28204" xr:uid="{00000000-0005-0000-0000-0000306E0000}"/>
    <cellStyle name="Percent 2 2 2 14 5" xfId="28205" xr:uid="{00000000-0005-0000-0000-0000316E0000}"/>
    <cellStyle name="Percent 2 2 2 14 6" xfId="28206" xr:uid="{00000000-0005-0000-0000-0000326E0000}"/>
    <cellStyle name="Percent 2 2 2 15" xfId="28207" xr:uid="{00000000-0005-0000-0000-0000336E0000}"/>
    <cellStyle name="Percent 2 2 2 15 2" xfId="28208" xr:uid="{00000000-0005-0000-0000-0000346E0000}"/>
    <cellStyle name="Percent 2 2 2 15 3" xfId="28209" xr:uid="{00000000-0005-0000-0000-0000356E0000}"/>
    <cellStyle name="Percent 2 2 2 16" xfId="28210" xr:uid="{00000000-0005-0000-0000-0000366E0000}"/>
    <cellStyle name="Percent 2 2 2 16 2" xfId="28211" xr:uid="{00000000-0005-0000-0000-0000376E0000}"/>
    <cellStyle name="Percent 2 2 2 16 3" xfId="28212" xr:uid="{00000000-0005-0000-0000-0000386E0000}"/>
    <cellStyle name="Percent 2 2 2 17" xfId="28213" xr:uid="{00000000-0005-0000-0000-0000396E0000}"/>
    <cellStyle name="Percent 2 2 2 17 2" xfId="28214" xr:uid="{00000000-0005-0000-0000-00003A6E0000}"/>
    <cellStyle name="Percent 2 2 2 17 3" xfId="28215" xr:uid="{00000000-0005-0000-0000-00003B6E0000}"/>
    <cellStyle name="Percent 2 2 2 18" xfId="28216" xr:uid="{00000000-0005-0000-0000-00003C6E0000}"/>
    <cellStyle name="Percent 2 2 2 19" xfId="28217" xr:uid="{00000000-0005-0000-0000-00003D6E0000}"/>
    <cellStyle name="Percent 2 2 2 2" xfId="28218" xr:uid="{00000000-0005-0000-0000-00003E6E0000}"/>
    <cellStyle name="Percent 2 2 2 2 2" xfId="28219" xr:uid="{00000000-0005-0000-0000-00003F6E0000}"/>
    <cellStyle name="Percent 2 2 2 2 2 2" xfId="28220" xr:uid="{00000000-0005-0000-0000-0000406E0000}"/>
    <cellStyle name="Percent 2 2 2 2 2 2 2" xfId="28221" xr:uid="{00000000-0005-0000-0000-0000416E0000}"/>
    <cellStyle name="Percent 2 2 2 2 2 2 3" xfId="28222" xr:uid="{00000000-0005-0000-0000-0000426E0000}"/>
    <cellStyle name="Percent 2 2 2 2 2 3" xfId="28223" xr:uid="{00000000-0005-0000-0000-0000436E0000}"/>
    <cellStyle name="Percent 2 2 2 2 2 3 2" xfId="28224" xr:uid="{00000000-0005-0000-0000-0000446E0000}"/>
    <cellStyle name="Percent 2 2 2 2 2 3 3" xfId="28225" xr:uid="{00000000-0005-0000-0000-0000456E0000}"/>
    <cellStyle name="Percent 2 2 2 2 2 4" xfId="28226" xr:uid="{00000000-0005-0000-0000-0000466E0000}"/>
    <cellStyle name="Percent 2 2 2 2 2 5" xfId="28227" xr:uid="{00000000-0005-0000-0000-0000476E0000}"/>
    <cellStyle name="Percent 2 2 2 2 2 6" xfId="28228" xr:uid="{00000000-0005-0000-0000-0000486E0000}"/>
    <cellStyle name="Percent 2 2 2 2 3" xfId="28229" xr:uid="{00000000-0005-0000-0000-0000496E0000}"/>
    <cellStyle name="Percent 2 2 2 2 3 2" xfId="28230" xr:uid="{00000000-0005-0000-0000-00004A6E0000}"/>
    <cellStyle name="Percent 2 2 2 2 3 3" xfId="28231" xr:uid="{00000000-0005-0000-0000-00004B6E0000}"/>
    <cellStyle name="Percent 2 2 2 2 4" xfId="28232" xr:uid="{00000000-0005-0000-0000-00004C6E0000}"/>
    <cellStyle name="Percent 2 2 2 2 4 2" xfId="28233" xr:uid="{00000000-0005-0000-0000-00004D6E0000}"/>
    <cellStyle name="Percent 2 2 2 2 4 3" xfId="28234" xr:uid="{00000000-0005-0000-0000-00004E6E0000}"/>
    <cellStyle name="Percent 2 2 2 2 5" xfId="28235" xr:uid="{00000000-0005-0000-0000-00004F6E0000}"/>
    <cellStyle name="Percent 2 2 2 2 5 2" xfId="28236" xr:uid="{00000000-0005-0000-0000-0000506E0000}"/>
    <cellStyle name="Percent 2 2 2 2 5 3" xfId="28237" xr:uid="{00000000-0005-0000-0000-0000516E0000}"/>
    <cellStyle name="Percent 2 2 2 2 6" xfId="28238" xr:uid="{00000000-0005-0000-0000-0000526E0000}"/>
    <cellStyle name="Percent 2 2 2 2 7" xfId="28239" xr:uid="{00000000-0005-0000-0000-0000536E0000}"/>
    <cellStyle name="Percent 2 2 2 2 8" xfId="28240" xr:uid="{00000000-0005-0000-0000-0000546E0000}"/>
    <cellStyle name="Percent 2 2 2 20" xfId="28241" xr:uid="{00000000-0005-0000-0000-0000556E0000}"/>
    <cellStyle name="Percent 2 2 2 3" xfId="28242" xr:uid="{00000000-0005-0000-0000-0000566E0000}"/>
    <cellStyle name="Percent 2 2 2 3 2" xfId="28243" xr:uid="{00000000-0005-0000-0000-0000576E0000}"/>
    <cellStyle name="Percent 2 2 2 3 2 2" xfId="28244" xr:uid="{00000000-0005-0000-0000-0000586E0000}"/>
    <cellStyle name="Percent 2 2 2 3 2 2 2" xfId="28245" xr:uid="{00000000-0005-0000-0000-0000596E0000}"/>
    <cellStyle name="Percent 2 2 2 3 2 2 3" xfId="28246" xr:uid="{00000000-0005-0000-0000-00005A6E0000}"/>
    <cellStyle name="Percent 2 2 2 3 2 3" xfId="28247" xr:uid="{00000000-0005-0000-0000-00005B6E0000}"/>
    <cellStyle name="Percent 2 2 2 3 2 3 2" xfId="28248" xr:uid="{00000000-0005-0000-0000-00005C6E0000}"/>
    <cellStyle name="Percent 2 2 2 3 2 3 3" xfId="28249" xr:uid="{00000000-0005-0000-0000-00005D6E0000}"/>
    <cellStyle name="Percent 2 2 2 3 2 4" xfId="28250" xr:uid="{00000000-0005-0000-0000-00005E6E0000}"/>
    <cellStyle name="Percent 2 2 2 3 2 5" xfId="28251" xr:uid="{00000000-0005-0000-0000-00005F6E0000}"/>
    <cellStyle name="Percent 2 2 2 3 2 6" xfId="28252" xr:uid="{00000000-0005-0000-0000-0000606E0000}"/>
    <cellStyle name="Percent 2 2 2 3 3" xfId="28253" xr:uid="{00000000-0005-0000-0000-0000616E0000}"/>
    <cellStyle name="Percent 2 2 2 3 3 2" xfId="28254" xr:uid="{00000000-0005-0000-0000-0000626E0000}"/>
    <cellStyle name="Percent 2 2 2 3 3 3" xfId="28255" xr:uid="{00000000-0005-0000-0000-0000636E0000}"/>
    <cellStyle name="Percent 2 2 2 3 4" xfId="28256" xr:uid="{00000000-0005-0000-0000-0000646E0000}"/>
    <cellStyle name="Percent 2 2 2 3 4 2" xfId="28257" xr:uid="{00000000-0005-0000-0000-0000656E0000}"/>
    <cellStyle name="Percent 2 2 2 3 4 3" xfId="28258" xr:uid="{00000000-0005-0000-0000-0000666E0000}"/>
    <cellStyle name="Percent 2 2 2 3 5" xfId="28259" xr:uid="{00000000-0005-0000-0000-0000676E0000}"/>
    <cellStyle name="Percent 2 2 2 3 5 2" xfId="28260" xr:uid="{00000000-0005-0000-0000-0000686E0000}"/>
    <cellStyle name="Percent 2 2 2 3 5 3" xfId="28261" xr:uid="{00000000-0005-0000-0000-0000696E0000}"/>
    <cellStyle name="Percent 2 2 2 3 6" xfId="28262" xr:uid="{00000000-0005-0000-0000-00006A6E0000}"/>
    <cellStyle name="Percent 2 2 2 3 7" xfId="28263" xr:uid="{00000000-0005-0000-0000-00006B6E0000}"/>
    <cellStyle name="Percent 2 2 2 3 8" xfId="28264" xr:uid="{00000000-0005-0000-0000-00006C6E0000}"/>
    <cellStyle name="Percent 2 2 2 4" xfId="28265" xr:uid="{00000000-0005-0000-0000-00006D6E0000}"/>
    <cellStyle name="Percent 2 2 2 4 2" xfId="28266" xr:uid="{00000000-0005-0000-0000-00006E6E0000}"/>
    <cellStyle name="Percent 2 2 2 4 2 2" xfId="28267" xr:uid="{00000000-0005-0000-0000-00006F6E0000}"/>
    <cellStyle name="Percent 2 2 2 4 2 2 2" xfId="28268" xr:uid="{00000000-0005-0000-0000-0000706E0000}"/>
    <cellStyle name="Percent 2 2 2 4 2 2 3" xfId="28269" xr:uid="{00000000-0005-0000-0000-0000716E0000}"/>
    <cellStyle name="Percent 2 2 2 4 2 3" xfId="28270" xr:uid="{00000000-0005-0000-0000-0000726E0000}"/>
    <cellStyle name="Percent 2 2 2 4 2 3 2" xfId="28271" xr:uid="{00000000-0005-0000-0000-0000736E0000}"/>
    <cellStyle name="Percent 2 2 2 4 2 3 3" xfId="28272" xr:uid="{00000000-0005-0000-0000-0000746E0000}"/>
    <cellStyle name="Percent 2 2 2 4 2 4" xfId="28273" xr:uid="{00000000-0005-0000-0000-0000756E0000}"/>
    <cellStyle name="Percent 2 2 2 4 2 5" xfId="28274" xr:uid="{00000000-0005-0000-0000-0000766E0000}"/>
    <cellStyle name="Percent 2 2 2 4 2 6" xfId="28275" xr:uid="{00000000-0005-0000-0000-0000776E0000}"/>
    <cellStyle name="Percent 2 2 2 4 3" xfId="28276" xr:uid="{00000000-0005-0000-0000-0000786E0000}"/>
    <cellStyle name="Percent 2 2 2 4 3 2" xfId="28277" xr:uid="{00000000-0005-0000-0000-0000796E0000}"/>
    <cellStyle name="Percent 2 2 2 4 3 3" xfId="28278" xr:uid="{00000000-0005-0000-0000-00007A6E0000}"/>
    <cellStyle name="Percent 2 2 2 4 4" xfId="28279" xr:uid="{00000000-0005-0000-0000-00007B6E0000}"/>
    <cellStyle name="Percent 2 2 2 4 4 2" xfId="28280" xr:uid="{00000000-0005-0000-0000-00007C6E0000}"/>
    <cellStyle name="Percent 2 2 2 4 4 3" xfId="28281" xr:uid="{00000000-0005-0000-0000-00007D6E0000}"/>
    <cellStyle name="Percent 2 2 2 4 5" xfId="28282" xr:uid="{00000000-0005-0000-0000-00007E6E0000}"/>
    <cellStyle name="Percent 2 2 2 4 6" xfId="28283" xr:uid="{00000000-0005-0000-0000-00007F6E0000}"/>
    <cellStyle name="Percent 2 2 2 4 7" xfId="28284" xr:uid="{00000000-0005-0000-0000-0000806E0000}"/>
    <cellStyle name="Percent 2 2 2 5" xfId="28285" xr:uid="{00000000-0005-0000-0000-0000816E0000}"/>
    <cellStyle name="Percent 2 2 2 5 2" xfId="28286" xr:uid="{00000000-0005-0000-0000-0000826E0000}"/>
    <cellStyle name="Percent 2 2 2 5 2 2" xfId="28287" xr:uid="{00000000-0005-0000-0000-0000836E0000}"/>
    <cellStyle name="Percent 2 2 2 5 2 2 2" xfId="28288" xr:uid="{00000000-0005-0000-0000-0000846E0000}"/>
    <cellStyle name="Percent 2 2 2 5 2 2 3" xfId="28289" xr:uid="{00000000-0005-0000-0000-0000856E0000}"/>
    <cellStyle name="Percent 2 2 2 5 2 3" xfId="28290" xr:uid="{00000000-0005-0000-0000-0000866E0000}"/>
    <cellStyle name="Percent 2 2 2 5 2 3 2" xfId="28291" xr:uid="{00000000-0005-0000-0000-0000876E0000}"/>
    <cellStyle name="Percent 2 2 2 5 2 3 3" xfId="28292" xr:uid="{00000000-0005-0000-0000-0000886E0000}"/>
    <cellStyle name="Percent 2 2 2 5 2 4" xfId="28293" xr:uid="{00000000-0005-0000-0000-0000896E0000}"/>
    <cellStyle name="Percent 2 2 2 5 2 5" xfId="28294" xr:uid="{00000000-0005-0000-0000-00008A6E0000}"/>
    <cellStyle name="Percent 2 2 2 5 2 6" xfId="28295" xr:uid="{00000000-0005-0000-0000-00008B6E0000}"/>
    <cellStyle name="Percent 2 2 2 5 3" xfId="28296" xr:uid="{00000000-0005-0000-0000-00008C6E0000}"/>
    <cellStyle name="Percent 2 2 2 5 3 2" xfId="28297" xr:uid="{00000000-0005-0000-0000-00008D6E0000}"/>
    <cellStyle name="Percent 2 2 2 5 3 3" xfId="28298" xr:uid="{00000000-0005-0000-0000-00008E6E0000}"/>
    <cellStyle name="Percent 2 2 2 5 4" xfId="28299" xr:uid="{00000000-0005-0000-0000-00008F6E0000}"/>
    <cellStyle name="Percent 2 2 2 5 4 2" xfId="28300" xr:uid="{00000000-0005-0000-0000-0000906E0000}"/>
    <cellStyle name="Percent 2 2 2 5 4 3" xfId="28301" xr:uid="{00000000-0005-0000-0000-0000916E0000}"/>
    <cellStyle name="Percent 2 2 2 5 5" xfId="28302" xr:uid="{00000000-0005-0000-0000-0000926E0000}"/>
    <cellStyle name="Percent 2 2 2 5 6" xfId="28303" xr:uid="{00000000-0005-0000-0000-0000936E0000}"/>
    <cellStyle name="Percent 2 2 2 5 7" xfId="28304" xr:uid="{00000000-0005-0000-0000-0000946E0000}"/>
    <cellStyle name="Percent 2 2 2 6" xfId="28305" xr:uid="{00000000-0005-0000-0000-0000956E0000}"/>
    <cellStyle name="Percent 2 2 2 6 2" xfId="28306" xr:uid="{00000000-0005-0000-0000-0000966E0000}"/>
    <cellStyle name="Percent 2 2 2 6 2 2" xfId="28307" xr:uid="{00000000-0005-0000-0000-0000976E0000}"/>
    <cellStyle name="Percent 2 2 2 6 2 2 2" xfId="28308" xr:uid="{00000000-0005-0000-0000-0000986E0000}"/>
    <cellStyle name="Percent 2 2 2 6 2 2 3" xfId="28309" xr:uid="{00000000-0005-0000-0000-0000996E0000}"/>
    <cellStyle name="Percent 2 2 2 6 2 3" xfId="28310" xr:uid="{00000000-0005-0000-0000-00009A6E0000}"/>
    <cellStyle name="Percent 2 2 2 6 2 3 2" xfId="28311" xr:uid="{00000000-0005-0000-0000-00009B6E0000}"/>
    <cellStyle name="Percent 2 2 2 6 2 3 3" xfId="28312" xr:uid="{00000000-0005-0000-0000-00009C6E0000}"/>
    <cellStyle name="Percent 2 2 2 6 2 4" xfId="28313" xr:uid="{00000000-0005-0000-0000-00009D6E0000}"/>
    <cellStyle name="Percent 2 2 2 6 2 5" xfId="28314" xr:uid="{00000000-0005-0000-0000-00009E6E0000}"/>
    <cellStyle name="Percent 2 2 2 6 2 6" xfId="28315" xr:uid="{00000000-0005-0000-0000-00009F6E0000}"/>
    <cellStyle name="Percent 2 2 2 6 3" xfId="28316" xr:uid="{00000000-0005-0000-0000-0000A06E0000}"/>
    <cellStyle name="Percent 2 2 2 6 3 2" xfId="28317" xr:uid="{00000000-0005-0000-0000-0000A16E0000}"/>
    <cellStyle name="Percent 2 2 2 6 3 3" xfId="28318" xr:uid="{00000000-0005-0000-0000-0000A26E0000}"/>
    <cellStyle name="Percent 2 2 2 6 4" xfId="28319" xr:uid="{00000000-0005-0000-0000-0000A36E0000}"/>
    <cellStyle name="Percent 2 2 2 6 4 2" xfId="28320" xr:uid="{00000000-0005-0000-0000-0000A46E0000}"/>
    <cellStyle name="Percent 2 2 2 6 4 3" xfId="28321" xr:uid="{00000000-0005-0000-0000-0000A56E0000}"/>
    <cellStyle name="Percent 2 2 2 6 5" xfId="28322" xr:uid="{00000000-0005-0000-0000-0000A66E0000}"/>
    <cellStyle name="Percent 2 2 2 6 6" xfId="28323" xr:uid="{00000000-0005-0000-0000-0000A76E0000}"/>
    <cellStyle name="Percent 2 2 2 6 7" xfId="28324" xr:uid="{00000000-0005-0000-0000-0000A86E0000}"/>
    <cellStyle name="Percent 2 2 2 7" xfId="28325" xr:uid="{00000000-0005-0000-0000-0000A96E0000}"/>
    <cellStyle name="Percent 2 2 2 7 2" xfId="28326" xr:uid="{00000000-0005-0000-0000-0000AA6E0000}"/>
    <cellStyle name="Percent 2 2 2 7 2 2" xfId="28327" xr:uid="{00000000-0005-0000-0000-0000AB6E0000}"/>
    <cellStyle name="Percent 2 2 2 7 2 2 2" xfId="28328" xr:uid="{00000000-0005-0000-0000-0000AC6E0000}"/>
    <cellStyle name="Percent 2 2 2 7 2 2 3" xfId="28329" xr:uid="{00000000-0005-0000-0000-0000AD6E0000}"/>
    <cellStyle name="Percent 2 2 2 7 2 3" xfId="28330" xr:uid="{00000000-0005-0000-0000-0000AE6E0000}"/>
    <cellStyle name="Percent 2 2 2 7 2 3 2" xfId="28331" xr:uid="{00000000-0005-0000-0000-0000AF6E0000}"/>
    <cellStyle name="Percent 2 2 2 7 2 3 3" xfId="28332" xr:uid="{00000000-0005-0000-0000-0000B06E0000}"/>
    <cellStyle name="Percent 2 2 2 7 2 4" xfId="28333" xr:uid="{00000000-0005-0000-0000-0000B16E0000}"/>
    <cellStyle name="Percent 2 2 2 7 2 5" xfId="28334" xr:uid="{00000000-0005-0000-0000-0000B26E0000}"/>
    <cellStyle name="Percent 2 2 2 7 2 6" xfId="28335" xr:uid="{00000000-0005-0000-0000-0000B36E0000}"/>
    <cellStyle name="Percent 2 2 2 7 3" xfId="28336" xr:uid="{00000000-0005-0000-0000-0000B46E0000}"/>
    <cellStyle name="Percent 2 2 2 7 3 2" xfId="28337" xr:uid="{00000000-0005-0000-0000-0000B56E0000}"/>
    <cellStyle name="Percent 2 2 2 7 3 3" xfId="28338" xr:uid="{00000000-0005-0000-0000-0000B66E0000}"/>
    <cellStyle name="Percent 2 2 2 7 4" xfId="28339" xr:uid="{00000000-0005-0000-0000-0000B76E0000}"/>
    <cellStyle name="Percent 2 2 2 7 4 2" xfId="28340" xr:uid="{00000000-0005-0000-0000-0000B86E0000}"/>
    <cellStyle name="Percent 2 2 2 7 4 3" xfId="28341" xr:uid="{00000000-0005-0000-0000-0000B96E0000}"/>
    <cellStyle name="Percent 2 2 2 7 5" xfId="28342" xr:uid="{00000000-0005-0000-0000-0000BA6E0000}"/>
    <cellStyle name="Percent 2 2 2 7 6" xfId="28343" xr:uid="{00000000-0005-0000-0000-0000BB6E0000}"/>
    <cellStyle name="Percent 2 2 2 7 7" xfId="28344" xr:uid="{00000000-0005-0000-0000-0000BC6E0000}"/>
    <cellStyle name="Percent 2 2 2 8" xfId="28345" xr:uid="{00000000-0005-0000-0000-0000BD6E0000}"/>
    <cellStyle name="Percent 2 2 2 8 2" xfId="28346" xr:uid="{00000000-0005-0000-0000-0000BE6E0000}"/>
    <cellStyle name="Percent 2 2 2 8 2 2" xfId="28347" xr:uid="{00000000-0005-0000-0000-0000BF6E0000}"/>
    <cellStyle name="Percent 2 2 2 8 2 2 2" xfId="28348" xr:uid="{00000000-0005-0000-0000-0000C06E0000}"/>
    <cellStyle name="Percent 2 2 2 8 2 2 3" xfId="28349" xr:uid="{00000000-0005-0000-0000-0000C16E0000}"/>
    <cellStyle name="Percent 2 2 2 8 2 3" xfId="28350" xr:uid="{00000000-0005-0000-0000-0000C26E0000}"/>
    <cellStyle name="Percent 2 2 2 8 2 3 2" xfId="28351" xr:uid="{00000000-0005-0000-0000-0000C36E0000}"/>
    <cellStyle name="Percent 2 2 2 8 2 3 3" xfId="28352" xr:uid="{00000000-0005-0000-0000-0000C46E0000}"/>
    <cellStyle name="Percent 2 2 2 8 2 4" xfId="28353" xr:uid="{00000000-0005-0000-0000-0000C56E0000}"/>
    <cellStyle name="Percent 2 2 2 8 2 5" xfId="28354" xr:uid="{00000000-0005-0000-0000-0000C66E0000}"/>
    <cellStyle name="Percent 2 2 2 8 2 6" xfId="28355" xr:uid="{00000000-0005-0000-0000-0000C76E0000}"/>
    <cellStyle name="Percent 2 2 2 8 3" xfId="28356" xr:uid="{00000000-0005-0000-0000-0000C86E0000}"/>
    <cellStyle name="Percent 2 2 2 8 3 2" xfId="28357" xr:uid="{00000000-0005-0000-0000-0000C96E0000}"/>
    <cellStyle name="Percent 2 2 2 8 3 3" xfId="28358" xr:uid="{00000000-0005-0000-0000-0000CA6E0000}"/>
    <cellStyle name="Percent 2 2 2 8 4" xfId="28359" xr:uid="{00000000-0005-0000-0000-0000CB6E0000}"/>
    <cellStyle name="Percent 2 2 2 8 4 2" xfId="28360" xr:uid="{00000000-0005-0000-0000-0000CC6E0000}"/>
    <cellStyle name="Percent 2 2 2 8 4 3" xfId="28361" xr:uid="{00000000-0005-0000-0000-0000CD6E0000}"/>
    <cellStyle name="Percent 2 2 2 8 5" xfId="28362" xr:uid="{00000000-0005-0000-0000-0000CE6E0000}"/>
    <cellStyle name="Percent 2 2 2 8 6" xfId="28363" xr:uid="{00000000-0005-0000-0000-0000CF6E0000}"/>
    <cellStyle name="Percent 2 2 2 8 7" xfId="28364" xr:uid="{00000000-0005-0000-0000-0000D06E0000}"/>
    <cellStyle name="Percent 2 2 2 9" xfId="28365" xr:uid="{00000000-0005-0000-0000-0000D16E0000}"/>
    <cellStyle name="Percent 2 2 2 9 2" xfId="28366" xr:uid="{00000000-0005-0000-0000-0000D26E0000}"/>
    <cellStyle name="Percent 2 2 2 9 2 2" xfId="28367" xr:uid="{00000000-0005-0000-0000-0000D36E0000}"/>
    <cellStyle name="Percent 2 2 2 9 2 2 2" xfId="28368" xr:uid="{00000000-0005-0000-0000-0000D46E0000}"/>
    <cellStyle name="Percent 2 2 2 9 2 2 3" xfId="28369" xr:uid="{00000000-0005-0000-0000-0000D56E0000}"/>
    <cellStyle name="Percent 2 2 2 9 2 3" xfId="28370" xr:uid="{00000000-0005-0000-0000-0000D66E0000}"/>
    <cellStyle name="Percent 2 2 2 9 2 3 2" xfId="28371" xr:uid="{00000000-0005-0000-0000-0000D76E0000}"/>
    <cellStyle name="Percent 2 2 2 9 2 3 3" xfId="28372" xr:uid="{00000000-0005-0000-0000-0000D86E0000}"/>
    <cellStyle name="Percent 2 2 2 9 2 4" xfId="28373" xr:uid="{00000000-0005-0000-0000-0000D96E0000}"/>
    <cellStyle name="Percent 2 2 2 9 2 5" xfId="28374" xr:uid="{00000000-0005-0000-0000-0000DA6E0000}"/>
    <cellStyle name="Percent 2 2 2 9 2 6" xfId="28375" xr:uid="{00000000-0005-0000-0000-0000DB6E0000}"/>
    <cellStyle name="Percent 2 2 2 9 3" xfId="28376" xr:uid="{00000000-0005-0000-0000-0000DC6E0000}"/>
    <cellStyle name="Percent 2 2 2 9 3 2" xfId="28377" xr:uid="{00000000-0005-0000-0000-0000DD6E0000}"/>
    <cellStyle name="Percent 2 2 2 9 3 3" xfId="28378" xr:uid="{00000000-0005-0000-0000-0000DE6E0000}"/>
    <cellStyle name="Percent 2 2 2 9 4" xfId="28379" xr:uid="{00000000-0005-0000-0000-0000DF6E0000}"/>
    <cellStyle name="Percent 2 2 2 9 4 2" xfId="28380" xr:uid="{00000000-0005-0000-0000-0000E06E0000}"/>
    <cellStyle name="Percent 2 2 2 9 4 3" xfId="28381" xr:uid="{00000000-0005-0000-0000-0000E16E0000}"/>
    <cellStyle name="Percent 2 2 2 9 5" xfId="28382" xr:uid="{00000000-0005-0000-0000-0000E26E0000}"/>
    <cellStyle name="Percent 2 2 2 9 6" xfId="28383" xr:uid="{00000000-0005-0000-0000-0000E36E0000}"/>
    <cellStyle name="Percent 2 2 2 9 7" xfId="28384" xr:uid="{00000000-0005-0000-0000-0000E46E0000}"/>
    <cellStyle name="Percent 2 2 20" xfId="28385" xr:uid="{00000000-0005-0000-0000-0000E56E0000}"/>
    <cellStyle name="Percent 2 2 20 2" xfId="28386" xr:uid="{00000000-0005-0000-0000-0000E66E0000}"/>
    <cellStyle name="Percent 2 2 20 2 2" xfId="28387" xr:uid="{00000000-0005-0000-0000-0000E76E0000}"/>
    <cellStyle name="Percent 2 2 20 2 2 2" xfId="28388" xr:uid="{00000000-0005-0000-0000-0000E86E0000}"/>
    <cellStyle name="Percent 2 2 20 2 2 3" xfId="28389" xr:uid="{00000000-0005-0000-0000-0000E96E0000}"/>
    <cellStyle name="Percent 2 2 20 2 3" xfId="28390" xr:uid="{00000000-0005-0000-0000-0000EA6E0000}"/>
    <cellStyle name="Percent 2 2 20 2 3 2" xfId="28391" xr:uid="{00000000-0005-0000-0000-0000EB6E0000}"/>
    <cellStyle name="Percent 2 2 20 2 3 3" xfId="28392" xr:uid="{00000000-0005-0000-0000-0000EC6E0000}"/>
    <cellStyle name="Percent 2 2 20 2 4" xfId="28393" xr:uid="{00000000-0005-0000-0000-0000ED6E0000}"/>
    <cellStyle name="Percent 2 2 20 2 5" xfId="28394" xr:uid="{00000000-0005-0000-0000-0000EE6E0000}"/>
    <cellStyle name="Percent 2 2 20 2 6" xfId="28395" xr:uid="{00000000-0005-0000-0000-0000EF6E0000}"/>
    <cellStyle name="Percent 2 2 20 3" xfId="28396" xr:uid="{00000000-0005-0000-0000-0000F06E0000}"/>
    <cellStyle name="Percent 2 2 20 3 2" xfId="28397" xr:uid="{00000000-0005-0000-0000-0000F16E0000}"/>
    <cellStyle name="Percent 2 2 20 3 3" xfId="28398" xr:uid="{00000000-0005-0000-0000-0000F26E0000}"/>
    <cellStyle name="Percent 2 2 20 4" xfId="28399" xr:uid="{00000000-0005-0000-0000-0000F36E0000}"/>
    <cellStyle name="Percent 2 2 20 4 2" xfId="28400" xr:uid="{00000000-0005-0000-0000-0000F46E0000}"/>
    <cellStyle name="Percent 2 2 20 4 3" xfId="28401" xr:uid="{00000000-0005-0000-0000-0000F56E0000}"/>
    <cellStyle name="Percent 2 2 20 5" xfId="28402" xr:uid="{00000000-0005-0000-0000-0000F66E0000}"/>
    <cellStyle name="Percent 2 2 20 6" xfId="28403" xr:uid="{00000000-0005-0000-0000-0000F76E0000}"/>
    <cellStyle name="Percent 2 2 20 7" xfId="28404" xr:uid="{00000000-0005-0000-0000-0000F86E0000}"/>
    <cellStyle name="Percent 2 2 21" xfId="28405" xr:uid="{00000000-0005-0000-0000-0000F96E0000}"/>
    <cellStyle name="Percent 2 2 21 2" xfId="28406" xr:uid="{00000000-0005-0000-0000-0000FA6E0000}"/>
    <cellStyle name="Percent 2 2 21 2 2" xfId="28407" xr:uid="{00000000-0005-0000-0000-0000FB6E0000}"/>
    <cellStyle name="Percent 2 2 21 2 2 2" xfId="28408" xr:uid="{00000000-0005-0000-0000-0000FC6E0000}"/>
    <cellStyle name="Percent 2 2 21 2 2 3" xfId="28409" xr:uid="{00000000-0005-0000-0000-0000FD6E0000}"/>
    <cellStyle name="Percent 2 2 21 2 3" xfId="28410" xr:uid="{00000000-0005-0000-0000-0000FE6E0000}"/>
    <cellStyle name="Percent 2 2 21 2 3 2" xfId="28411" xr:uid="{00000000-0005-0000-0000-0000FF6E0000}"/>
    <cellStyle name="Percent 2 2 21 2 3 3" xfId="28412" xr:uid="{00000000-0005-0000-0000-0000006F0000}"/>
    <cellStyle name="Percent 2 2 21 2 4" xfId="28413" xr:uid="{00000000-0005-0000-0000-0000016F0000}"/>
    <cellStyle name="Percent 2 2 21 2 5" xfId="28414" xr:uid="{00000000-0005-0000-0000-0000026F0000}"/>
    <cellStyle name="Percent 2 2 21 2 6" xfId="28415" xr:uid="{00000000-0005-0000-0000-0000036F0000}"/>
    <cellStyle name="Percent 2 2 21 3" xfId="28416" xr:uid="{00000000-0005-0000-0000-0000046F0000}"/>
    <cellStyle name="Percent 2 2 21 3 2" xfId="28417" xr:uid="{00000000-0005-0000-0000-0000056F0000}"/>
    <cellStyle name="Percent 2 2 21 3 3" xfId="28418" xr:uid="{00000000-0005-0000-0000-0000066F0000}"/>
    <cellStyle name="Percent 2 2 21 4" xfId="28419" xr:uid="{00000000-0005-0000-0000-0000076F0000}"/>
    <cellStyle name="Percent 2 2 21 4 2" xfId="28420" xr:uid="{00000000-0005-0000-0000-0000086F0000}"/>
    <cellStyle name="Percent 2 2 21 4 3" xfId="28421" xr:uid="{00000000-0005-0000-0000-0000096F0000}"/>
    <cellStyle name="Percent 2 2 21 5" xfId="28422" xr:uid="{00000000-0005-0000-0000-00000A6F0000}"/>
    <cellStyle name="Percent 2 2 21 6" xfId="28423" xr:uid="{00000000-0005-0000-0000-00000B6F0000}"/>
    <cellStyle name="Percent 2 2 21 7" xfId="28424" xr:uid="{00000000-0005-0000-0000-00000C6F0000}"/>
    <cellStyle name="Percent 2 2 22" xfId="28425" xr:uid="{00000000-0005-0000-0000-00000D6F0000}"/>
    <cellStyle name="Percent 2 2 22 2" xfId="28426" xr:uid="{00000000-0005-0000-0000-00000E6F0000}"/>
    <cellStyle name="Percent 2 2 22 2 2" xfId="28427" xr:uid="{00000000-0005-0000-0000-00000F6F0000}"/>
    <cellStyle name="Percent 2 2 22 2 2 2" xfId="28428" xr:uid="{00000000-0005-0000-0000-0000106F0000}"/>
    <cellStyle name="Percent 2 2 22 2 2 3" xfId="28429" xr:uid="{00000000-0005-0000-0000-0000116F0000}"/>
    <cellStyle name="Percent 2 2 22 2 3" xfId="28430" xr:uid="{00000000-0005-0000-0000-0000126F0000}"/>
    <cellStyle name="Percent 2 2 22 2 3 2" xfId="28431" xr:uid="{00000000-0005-0000-0000-0000136F0000}"/>
    <cellStyle name="Percent 2 2 22 2 3 3" xfId="28432" xr:uid="{00000000-0005-0000-0000-0000146F0000}"/>
    <cellStyle name="Percent 2 2 22 2 4" xfId="28433" xr:uid="{00000000-0005-0000-0000-0000156F0000}"/>
    <cellStyle name="Percent 2 2 22 2 5" xfId="28434" xr:uid="{00000000-0005-0000-0000-0000166F0000}"/>
    <cellStyle name="Percent 2 2 22 2 6" xfId="28435" xr:uid="{00000000-0005-0000-0000-0000176F0000}"/>
    <cellStyle name="Percent 2 2 22 3" xfId="28436" xr:uid="{00000000-0005-0000-0000-0000186F0000}"/>
    <cellStyle name="Percent 2 2 22 3 2" xfId="28437" xr:uid="{00000000-0005-0000-0000-0000196F0000}"/>
    <cellStyle name="Percent 2 2 22 3 3" xfId="28438" xr:uid="{00000000-0005-0000-0000-00001A6F0000}"/>
    <cellStyle name="Percent 2 2 22 4" xfId="28439" xr:uid="{00000000-0005-0000-0000-00001B6F0000}"/>
    <cellStyle name="Percent 2 2 22 4 2" xfId="28440" xr:uid="{00000000-0005-0000-0000-00001C6F0000}"/>
    <cellStyle name="Percent 2 2 22 4 3" xfId="28441" xr:uid="{00000000-0005-0000-0000-00001D6F0000}"/>
    <cellStyle name="Percent 2 2 22 5" xfId="28442" xr:uid="{00000000-0005-0000-0000-00001E6F0000}"/>
    <cellStyle name="Percent 2 2 22 6" xfId="28443" xr:uid="{00000000-0005-0000-0000-00001F6F0000}"/>
    <cellStyle name="Percent 2 2 22 7" xfId="28444" xr:uid="{00000000-0005-0000-0000-0000206F0000}"/>
    <cellStyle name="Percent 2 2 23" xfId="28445" xr:uid="{00000000-0005-0000-0000-0000216F0000}"/>
    <cellStyle name="Percent 2 2 23 2" xfId="28446" xr:uid="{00000000-0005-0000-0000-0000226F0000}"/>
    <cellStyle name="Percent 2 2 23 2 2" xfId="28447" xr:uid="{00000000-0005-0000-0000-0000236F0000}"/>
    <cellStyle name="Percent 2 2 23 2 2 2" xfId="28448" xr:uid="{00000000-0005-0000-0000-0000246F0000}"/>
    <cellStyle name="Percent 2 2 23 2 2 3" xfId="28449" xr:uid="{00000000-0005-0000-0000-0000256F0000}"/>
    <cellStyle name="Percent 2 2 23 2 3" xfId="28450" xr:uid="{00000000-0005-0000-0000-0000266F0000}"/>
    <cellStyle name="Percent 2 2 23 2 3 2" xfId="28451" xr:uid="{00000000-0005-0000-0000-0000276F0000}"/>
    <cellStyle name="Percent 2 2 23 2 3 3" xfId="28452" xr:uid="{00000000-0005-0000-0000-0000286F0000}"/>
    <cellStyle name="Percent 2 2 23 2 4" xfId="28453" xr:uid="{00000000-0005-0000-0000-0000296F0000}"/>
    <cellStyle name="Percent 2 2 23 2 5" xfId="28454" xr:uid="{00000000-0005-0000-0000-00002A6F0000}"/>
    <cellStyle name="Percent 2 2 23 2 6" xfId="28455" xr:uid="{00000000-0005-0000-0000-00002B6F0000}"/>
    <cellStyle name="Percent 2 2 23 3" xfId="28456" xr:uid="{00000000-0005-0000-0000-00002C6F0000}"/>
    <cellStyle name="Percent 2 2 23 3 2" xfId="28457" xr:uid="{00000000-0005-0000-0000-00002D6F0000}"/>
    <cellStyle name="Percent 2 2 23 3 3" xfId="28458" xr:uid="{00000000-0005-0000-0000-00002E6F0000}"/>
    <cellStyle name="Percent 2 2 23 4" xfId="28459" xr:uid="{00000000-0005-0000-0000-00002F6F0000}"/>
    <cellStyle name="Percent 2 2 23 4 2" xfId="28460" xr:uid="{00000000-0005-0000-0000-0000306F0000}"/>
    <cellStyle name="Percent 2 2 23 4 3" xfId="28461" xr:uid="{00000000-0005-0000-0000-0000316F0000}"/>
    <cellStyle name="Percent 2 2 23 5" xfId="28462" xr:uid="{00000000-0005-0000-0000-0000326F0000}"/>
    <cellStyle name="Percent 2 2 23 6" xfId="28463" xr:uid="{00000000-0005-0000-0000-0000336F0000}"/>
    <cellStyle name="Percent 2 2 23 7" xfId="28464" xr:uid="{00000000-0005-0000-0000-0000346F0000}"/>
    <cellStyle name="Percent 2 2 24" xfId="28465" xr:uid="{00000000-0005-0000-0000-0000356F0000}"/>
    <cellStyle name="Percent 2 2 24 2" xfId="28466" xr:uid="{00000000-0005-0000-0000-0000366F0000}"/>
    <cellStyle name="Percent 2 2 24 2 2" xfId="28467" xr:uid="{00000000-0005-0000-0000-0000376F0000}"/>
    <cellStyle name="Percent 2 2 24 2 2 2" xfId="28468" xr:uid="{00000000-0005-0000-0000-0000386F0000}"/>
    <cellStyle name="Percent 2 2 24 2 2 3" xfId="28469" xr:uid="{00000000-0005-0000-0000-0000396F0000}"/>
    <cellStyle name="Percent 2 2 24 2 3" xfId="28470" xr:uid="{00000000-0005-0000-0000-00003A6F0000}"/>
    <cellStyle name="Percent 2 2 24 2 3 2" xfId="28471" xr:uid="{00000000-0005-0000-0000-00003B6F0000}"/>
    <cellStyle name="Percent 2 2 24 2 3 3" xfId="28472" xr:uid="{00000000-0005-0000-0000-00003C6F0000}"/>
    <cellStyle name="Percent 2 2 24 2 4" xfId="28473" xr:uid="{00000000-0005-0000-0000-00003D6F0000}"/>
    <cellStyle name="Percent 2 2 24 2 5" xfId="28474" xr:uid="{00000000-0005-0000-0000-00003E6F0000}"/>
    <cellStyle name="Percent 2 2 24 2 6" xfId="28475" xr:uid="{00000000-0005-0000-0000-00003F6F0000}"/>
    <cellStyle name="Percent 2 2 24 3" xfId="28476" xr:uid="{00000000-0005-0000-0000-0000406F0000}"/>
    <cellStyle name="Percent 2 2 24 3 2" xfId="28477" xr:uid="{00000000-0005-0000-0000-0000416F0000}"/>
    <cellStyle name="Percent 2 2 24 3 3" xfId="28478" xr:uid="{00000000-0005-0000-0000-0000426F0000}"/>
    <cellStyle name="Percent 2 2 24 4" xfId="28479" xr:uid="{00000000-0005-0000-0000-0000436F0000}"/>
    <cellStyle name="Percent 2 2 24 4 2" xfId="28480" xr:uid="{00000000-0005-0000-0000-0000446F0000}"/>
    <cellStyle name="Percent 2 2 24 4 3" xfId="28481" xr:uid="{00000000-0005-0000-0000-0000456F0000}"/>
    <cellStyle name="Percent 2 2 24 5" xfId="28482" xr:uid="{00000000-0005-0000-0000-0000466F0000}"/>
    <cellStyle name="Percent 2 2 24 6" xfId="28483" xr:uid="{00000000-0005-0000-0000-0000476F0000}"/>
    <cellStyle name="Percent 2 2 24 7" xfId="28484" xr:uid="{00000000-0005-0000-0000-0000486F0000}"/>
    <cellStyle name="Percent 2 2 25" xfId="28485" xr:uid="{00000000-0005-0000-0000-0000496F0000}"/>
    <cellStyle name="Percent 2 2 25 2" xfId="28486" xr:uid="{00000000-0005-0000-0000-00004A6F0000}"/>
    <cellStyle name="Percent 2 2 25 2 2" xfId="28487" xr:uid="{00000000-0005-0000-0000-00004B6F0000}"/>
    <cellStyle name="Percent 2 2 25 2 2 2" xfId="28488" xr:uid="{00000000-0005-0000-0000-00004C6F0000}"/>
    <cellStyle name="Percent 2 2 25 2 2 3" xfId="28489" xr:uid="{00000000-0005-0000-0000-00004D6F0000}"/>
    <cellStyle name="Percent 2 2 25 2 3" xfId="28490" xr:uid="{00000000-0005-0000-0000-00004E6F0000}"/>
    <cellStyle name="Percent 2 2 25 2 3 2" xfId="28491" xr:uid="{00000000-0005-0000-0000-00004F6F0000}"/>
    <cellStyle name="Percent 2 2 25 2 3 3" xfId="28492" xr:uid="{00000000-0005-0000-0000-0000506F0000}"/>
    <cellStyle name="Percent 2 2 25 2 4" xfId="28493" xr:uid="{00000000-0005-0000-0000-0000516F0000}"/>
    <cellStyle name="Percent 2 2 25 2 5" xfId="28494" xr:uid="{00000000-0005-0000-0000-0000526F0000}"/>
    <cellStyle name="Percent 2 2 25 2 6" xfId="28495" xr:uid="{00000000-0005-0000-0000-0000536F0000}"/>
    <cellStyle name="Percent 2 2 25 3" xfId="28496" xr:uid="{00000000-0005-0000-0000-0000546F0000}"/>
    <cellStyle name="Percent 2 2 25 3 2" xfId="28497" xr:uid="{00000000-0005-0000-0000-0000556F0000}"/>
    <cellStyle name="Percent 2 2 25 3 3" xfId="28498" xr:uid="{00000000-0005-0000-0000-0000566F0000}"/>
    <cellStyle name="Percent 2 2 25 4" xfId="28499" xr:uid="{00000000-0005-0000-0000-0000576F0000}"/>
    <cellStyle name="Percent 2 2 25 4 2" xfId="28500" xr:uid="{00000000-0005-0000-0000-0000586F0000}"/>
    <cellStyle name="Percent 2 2 25 4 3" xfId="28501" xr:uid="{00000000-0005-0000-0000-0000596F0000}"/>
    <cellStyle name="Percent 2 2 25 5" xfId="28502" xr:uid="{00000000-0005-0000-0000-00005A6F0000}"/>
    <cellStyle name="Percent 2 2 25 6" xfId="28503" xr:uid="{00000000-0005-0000-0000-00005B6F0000}"/>
    <cellStyle name="Percent 2 2 25 7" xfId="28504" xr:uid="{00000000-0005-0000-0000-00005C6F0000}"/>
    <cellStyle name="Percent 2 2 26" xfId="28505" xr:uid="{00000000-0005-0000-0000-00005D6F0000}"/>
    <cellStyle name="Percent 2 2 26 2" xfId="28506" xr:uid="{00000000-0005-0000-0000-00005E6F0000}"/>
    <cellStyle name="Percent 2 2 26 2 2" xfId="28507" xr:uid="{00000000-0005-0000-0000-00005F6F0000}"/>
    <cellStyle name="Percent 2 2 26 2 2 2" xfId="28508" xr:uid="{00000000-0005-0000-0000-0000606F0000}"/>
    <cellStyle name="Percent 2 2 26 2 2 3" xfId="28509" xr:uid="{00000000-0005-0000-0000-0000616F0000}"/>
    <cellStyle name="Percent 2 2 26 2 3" xfId="28510" xr:uid="{00000000-0005-0000-0000-0000626F0000}"/>
    <cellStyle name="Percent 2 2 26 2 3 2" xfId="28511" xr:uid="{00000000-0005-0000-0000-0000636F0000}"/>
    <cellStyle name="Percent 2 2 26 2 3 3" xfId="28512" xr:uid="{00000000-0005-0000-0000-0000646F0000}"/>
    <cellStyle name="Percent 2 2 26 2 4" xfId="28513" xr:uid="{00000000-0005-0000-0000-0000656F0000}"/>
    <cellStyle name="Percent 2 2 26 2 5" xfId="28514" xr:uid="{00000000-0005-0000-0000-0000666F0000}"/>
    <cellStyle name="Percent 2 2 26 2 6" xfId="28515" xr:uid="{00000000-0005-0000-0000-0000676F0000}"/>
    <cellStyle name="Percent 2 2 26 3" xfId="28516" xr:uid="{00000000-0005-0000-0000-0000686F0000}"/>
    <cellStyle name="Percent 2 2 26 3 2" xfId="28517" xr:uid="{00000000-0005-0000-0000-0000696F0000}"/>
    <cellStyle name="Percent 2 2 26 3 3" xfId="28518" xr:uid="{00000000-0005-0000-0000-00006A6F0000}"/>
    <cellStyle name="Percent 2 2 26 4" xfId="28519" xr:uid="{00000000-0005-0000-0000-00006B6F0000}"/>
    <cellStyle name="Percent 2 2 26 4 2" xfId="28520" xr:uid="{00000000-0005-0000-0000-00006C6F0000}"/>
    <cellStyle name="Percent 2 2 26 4 3" xfId="28521" xr:uid="{00000000-0005-0000-0000-00006D6F0000}"/>
    <cellStyle name="Percent 2 2 26 5" xfId="28522" xr:uid="{00000000-0005-0000-0000-00006E6F0000}"/>
    <cellStyle name="Percent 2 2 26 6" xfId="28523" xr:uid="{00000000-0005-0000-0000-00006F6F0000}"/>
    <cellStyle name="Percent 2 2 26 7" xfId="28524" xr:uid="{00000000-0005-0000-0000-0000706F0000}"/>
    <cellStyle name="Percent 2 2 27" xfId="28525" xr:uid="{00000000-0005-0000-0000-0000716F0000}"/>
    <cellStyle name="Percent 2 2 27 2" xfId="28526" xr:uid="{00000000-0005-0000-0000-0000726F0000}"/>
    <cellStyle name="Percent 2 2 27 2 2" xfId="28527" xr:uid="{00000000-0005-0000-0000-0000736F0000}"/>
    <cellStyle name="Percent 2 2 27 2 2 2" xfId="28528" xr:uid="{00000000-0005-0000-0000-0000746F0000}"/>
    <cellStyle name="Percent 2 2 27 2 2 3" xfId="28529" xr:uid="{00000000-0005-0000-0000-0000756F0000}"/>
    <cellStyle name="Percent 2 2 27 2 3" xfId="28530" xr:uid="{00000000-0005-0000-0000-0000766F0000}"/>
    <cellStyle name="Percent 2 2 27 2 3 2" xfId="28531" xr:uid="{00000000-0005-0000-0000-0000776F0000}"/>
    <cellStyle name="Percent 2 2 27 2 3 3" xfId="28532" xr:uid="{00000000-0005-0000-0000-0000786F0000}"/>
    <cellStyle name="Percent 2 2 27 2 4" xfId="28533" xr:uid="{00000000-0005-0000-0000-0000796F0000}"/>
    <cellStyle name="Percent 2 2 27 2 5" xfId="28534" xr:uid="{00000000-0005-0000-0000-00007A6F0000}"/>
    <cellStyle name="Percent 2 2 27 2 6" xfId="28535" xr:uid="{00000000-0005-0000-0000-00007B6F0000}"/>
    <cellStyle name="Percent 2 2 27 3" xfId="28536" xr:uid="{00000000-0005-0000-0000-00007C6F0000}"/>
    <cellStyle name="Percent 2 2 27 3 2" xfId="28537" xr:uid="{00000000-0005-0000-0000-00007D6F0000}"/>
    <cellStyle name="Percent 2 2 27 3 3" xfId="28538" xr:uid="{00000000-0005-0000-0000-00007E6F0000}"/>
    <cellStyle name="Percent 2 2 27 4" xfId="28539" xr:uid="{00000000-0005-0000-0000-00007F6F0000}"/>
    <cellStyle name="Percent 2 2 27 4 2" xfId="28540" xr:uid="{00000000-0005-0000-0000-0000806F0000}"/>
    <cellStyle name="Percent 2 2 27 4 3" xfId="28541" xr:uid="{00000000-0005-0000-0000-0000816F0000}"/>
    <cellStyle name="Percent 2 2 27 5" xfId="28542" xr:uid="{00000000-0005-0000-0000-0000826F0000}"/>
    <cellStyle name="Percent 2 2 27 6" xfId="28543" xr:uid="{00000000-0005-0000-0000-0000836F0000}"/>
    <cellStyle name="Percent 2 2 27 7" xfId="28544" xr:uid="{00000000-0005-0000-0000-0000846F0000}"/>
    <cellStyle name="Percent 2 2 28" xfId="28545" xr:uid="{00000000-0005-0000-0000-0000856F0000}"/>
    <cellStyle name="Percent 2 2 28 2" xfId="28546" xr:uid="{00000000-0005-0000-0000-0000866F0000}"/>
    <cellStyle name="Percent 2 2 28 2 2" xfId="28547" xr:uid="{00000000-0005-0000-0000-0000876F0000}"/>
    <cellStyle name="Percent 2 2 28 2 2 2" xfId="28548" xr:uid="{00000000-0005-0000-0000-0000886F0000}"/>
    <cellStyle name="Percent 2 2 28 2 2 3" xfId="28549" xr:uid="{00000000-0005-0000-0000-0000896F0000}"/>
    <cellStyle name="Percent 2 2 28 2 3" xfId="28550" xr:uid="{00000000-0005-0000-0000-00008A6F0000}"/>
    <cellStyle name="Percent 2 2 28 2 3 2" xfId="28551" xr:uid="{00000000-0005-0000-0000-00008B6F0000}"/>
    <cellStyle name="Percent 2 2 28 2 3 3" xfId="28552" xr:uid="{00000000-0005-0000-0000-00008C6F0000}"/>
    <cellStyle name="Percent 2 2 28 2 4" xfId="28553" xr:uid="{00000000-0005-0000-0000-00008D6F0000}"/>
    <cellStyle name="Percent 2 2 28 2 5" xfId="28554" xr:uid="{00000000-0005-0000-0000-00008E6F0000}"/>
    <cellStyle name="Percent 2 2 28 2 6" xfId="28555" xr:uid="{00000000-0005-0000-0000-00008F6F0000}"/>
    <cellStyle name="Percent 2 2 28 3" xfId="28556" xr:uid="{00000000-0005-0000-0000-0000906F0000}"/>
    <cellStyle name="Percent 2 2 28 3 2" xfId="28557" xr:uid="{00000000-0005-0000-0000-0000916F0000}"/>
    <cellStyle name="Percent 2 2 28 3 3" xfId="28558" xr:uid="{00000000-0005-0000-0000-0000926F0000}"/>
    <cellStyle name="Percent 2 2 28 4" xfId="28559" xr:uid="{00000000-0005-0000-0000-0000936F0000}"/>
    <cellStyle name="Percent 2 2 28 4 2" xfId="28560" xr:uid="{00000000-0005-0000-0000-0000946F0000}"/>
    <cellStyle name="Percent 2 2 28 4 3" xfId="28561" xr:uid="{00000000-0005-0000-0000-0000956F0000}"/>
    <cellStyle name="Percent 2 2 28 5" xfId="28562" xr:uid="{00000000-0005-0000-0000-0000966F0000}"/>
    <cellStyle name="Percent 2 2 28 6" xfId="28563" xr:uid="{00000000-0005-0000-0000-0000976F0000}"/>
    <cellStyle name="Percent 2 2 28 7" xfId="28564" xr:uid="{00000000-0005-0000-0000-0000986F0000}"/>
    <cellStyle name="Percent 2 2 29" xfId="28565" xr:uid="{00000000-0005-0000-0000-0000996F0000}"/>
    <cellStyle name="Percent 2 2 29 2" xfId="28566" xr:uid="{00000000-0005-0000-0000-00009A6F0000}"/>
    <cellStyle name="Percent 2 2 29 2 2" xfId="28567" xr:uid="{00000000-0005-0000-0000-00009B6F0000}"/>
    <cellStyle name="Percent 2 2 29 2 2 2" xfId="28568" xr:uid="{00000000-0005-0000-0000-00009C6F0000}"/>
    <cellStyle name="Percent 2 2 29 2 2 3" xfId="28569" xr:uid="{00000000-0005-0000-0000-00009D6F0000}"/>
    <cellStyle name="Percent 2 2 29 2 3" xfId="28570" xr:uid="{00000000-0005-0000-0000-00009E6F0000}"/>
    <cellStyle name="Percent 2 2 29 2 3 2" xfId="28571" xr:uid="{00000000-0005-0000-0000-00009F6F0000}"/>
    <cellStyle name="Percent 2 2 29 2 3 3" xfId="28572" xr:uid="{00000000-0005-0000-0000-0000A06F0000}"/>
    <cellStyle name="Percent 2 2 29 2 4" xfId="28573" xr:uid="{00000000-0005-0000-0000-0000A16F0000}"/>
    <cellStyle name="Percent 2 2 29 2 5" xfId="28574" xr:uid="{00000000-0005-0000-0000-0000A26F0000}"/>
    <cellStyle name="Percent 2 2 29 2 6" xfId="28575" xr:uid="{00000000-0005-0000-0000-0000A36F0000}"/>
    <cellStyle name="Percent 2 2 29 3" xfId="28576" xr:uid="{00000000-0005-0000-0000-0000A46F0000}"/>
    <cellStyle name="Percent 2 2 29 3 2" xfId="28577" xr:uid="{00000000-0005-0000-0000-0000A56F0000}"/>
    <cellStyle name="Percent 2 2 29 3 3" xfId="28578" xr:uid="{00000000-0005-0000-0000-0000A66F0000}"/>
    <cellStyle name="Percent 2 2 29 4" xfId="28579" xr:uid="{00000000-0005-0000-0000-0000A76F0000}"/>
    <cellStyle name="Percent 2 2 29 4 2" xfId="28580" xr:uid="{00000000-0005-0000-0000-0000A86F0000}"/>
    <cellStyle name="Percent 2 2 29 4 3" xfId="28581" xr:uid="{00000000-0005-0000-0000-0000A96F0000}"/>
    <cellStyle name="Percent 2 2 29 5" xfId="28582" xr:uid="{00000000-0005-0000-0000-0000AA6F0000}"/>
    <cellStyle name="Percent 2 2 29 6" xfId="28583" xr:uid="{00000000-0005-0000-0000-0000AB6F0000}"/>
    <cellStyle name="Percent 2 2 29 7" xfId="28584" xr:uid="{00000000-0005-0000-0000-0000AC6F0000}"/>
    <cellStyle name="Percent 2 2 3" xfId="28585" xr:uid="{00000000-0005-0000-0000-0000AD6F0000}"/>
    <cellStyle name="Percent 2 2 3 2" xfId="28586" xr:uid="{00000000-0005-0000-0000-0000AE6F0000}"/>
    <cellStyle name="Percent 2 2 3 2 2" xfId="28587" xr:uid="{00000000-0005-0000-0000-0000AF6F0000}"/>
    <cellStyle name="Percent 2 2 3 2 2 2" xfId="28588" xr:uid="{00000000-0005-0000-0000-0000B06F0000}"/>
    <cellStyle name="Percent 2 2 3 2 2 3" xfId="28589" xr:uid="{00000000-0005-0000-0000-0000B16F0000}"/>
    <cellStyle name="Percent 2 2 3 2 3" xfId="28590" xr:uid="{00000000-0005-0000-0000-0000B26F0000}"/>
    <cellStyle name="Percent 2 2 3 2 3 2" xfId="28591" xr:uid="{00000000-0005-0000-0000-0000B36F0000}"/>
    <cellStyle name="Percent 2 2 3 2 3 3" xfId="28592" xr:uid="{00000000-0005-0000-0000-0000B46F0000}"/>
    <cellStyle name="Percent 2 2 3 2 4" xfId="28593" xr:uid="{00000000-0005-0000-0000-0000B56F0000}"/>
    <cellStyle name="Percent 2 2 3 2 5" xfId="28594" xr:uid="{00000000-0005-0000-0000-0000B66F0000}"/>
    <cellStyle name="Percent 2 2 3 2 6" xfId="28595" xr:uid="{00000000-0005-0000-0000-0000B76F0000}"/>
    <cellStyle name="Percent 2 2 3 3" xfId="28596" xr:uid="{00000000-0005-0000-0000-0000B86F0000}"/>
    <cellStyle name="Percent 2 2 3 3 2" xfId="28597" xr:uid="{00000000-0005-0000-0000-0000B96F0000}"/>
    <cellStyle name="Percent 2 2 3 3 3" xfId="28598" xr:uid="{00000000-0005-0000-0000-0000BA6F0000}"/>
    <cellStyle name="Percent 2 2 3 4" xfId="28599" xr:uid="{00000000-0005-0000-0000-0000BB6F0000}"/>
    <cellStyle name="Percent 2 2 3 4 2" xfId="28600" xr:uid="{00000000-0005-0000-0000-0000BC6F0000}"/>
    <cellStyle name="Percent 2 2 3 4 3" xfId="28601" xr:uid="{00000000-0005-0000-0000-0000BD6F0000}"/>
    <cellStyle name="Percent 2 2 3 5" xfId="28602" xr:uid="{00000000-0005-0000-0000-0000BE6F0000}"/>
    <cellStyle name="Percent 2 2 3 5 2" xfId="28603" xr:uid="{00000000-0005-0000-0000-0000BF6F0000}"/>
    <cellStyle name="Percent 2 2 3 5 3" xfId="28604" xr:uid="{00000000-0005-0000-0000-0000C06F0000}"/>
    <cellStyle name="Percent 2 2 3 6" xfId="28605" xr:uid="{00000000-0005-0000-0000-0000C16F0000}"/>
    <cellStyle name="Percent 2 2 3 7" xfId="28606" xr:uid="{00000000-0005-0000-0000-0000C26F0000}"/>
    <cellStyle name="Percent 2 2 3 8" xfId="28607" xr:uid="{00000000-0005-0000-0000-0000C36F0000}"/>
    <cellStyle name="Percent 2 2 30" xfId="28608" xr:uid="{00000000-0005-0000-0000-0000C46F0000}"/>
    <cellStyle name="Percent 2 2 30 2" xfId="28609" xr:uid="{00000000-0005-0000-0000-0000C56F0000}"/>
    <cellStyle name="Percent 2 2 30 2 2" xfId="28610" xr:uid="{00000000-0005-0000-0000-0000C66F0000}"/>
    <cellStyle name="Percent 2 2 30 2 2 2" xfId="28611" xr:uid="{00000000-0005-0000-0000-0000C76F0000}"/>
    <cellStyle name="Percent 2 2 30 2 2 3" xfId="28612" xr:uid="{00000000-0005-0000-0000-0000C86F0000}"/>
    <cellStyle name="Percent 2 2 30 2 3" xfId="28613" xr:uid="{00000000-0005-0000-0000-0000C96F0000}"/>
    <cellStyle name="Percent 2 2 30 2 3 2" xfId="28614" xr:uid="{00000000-0005-0000-0000-0000CA6F0000}"/>
    <cellStyle name="Percent 2 2 30 2 3 3" xfId="28615" xr:uid="{00000000-0005-0000-0000-0000CB6F0000}"/>
    <cellStyle name="Percent 2 2 30 2 4" xfId="28616" xr:uid="{00000000-0005-0000-0000-0000CC6F0000}"/>
    <cellStyle name="Percent 2 2 30 2 5" xfId="28617" xr:uid="{00000000-0005-0000-0000-0000CD6F0000}"/>
    <cellStyle name="Percent 2 2 30 2 6" xfId="28618" xr:uid="{00000000-0005-0000-0000-0000CE6F0000}"/>
    <cellStyle name="Percent 2 2 30 3" xfId="28619" xr:uid="{00000000-0005-0000-0000-0000CF6F0000}"/>
    <cellStyle name="Percent 2 2 30 3 2" xfId="28620" xr:uid="{00000000-0005-0000-0000-0000D06F0000}"/>
    <cellStyle name="Percent 2 2 30 3 3" xfId="28621" xr:uid="{00000000-0005-0000-0000-0000D16F0000}"/>
    <cellStyle name="Percent 2 2 30 4" xfId="28622" xr:uid="{00000000-0005-0000-0000-0000D26F0000}"/>
    <cellStyle name="Percent 2 2 30 4 2" xfId="28623" xr:uid="{00000000-0005-0000-0000-0000D36F0000}"/>
    <cellStyle name="Percent 2 2 30 4 3" xfId="28624" xr:uid="{00000000-0005-0000-0000-0000D46F0000}"/>
    <cellStyle name="Percent 2 2 30 5" xfId="28625" xr:uid="{00000000-0005-0000-0000-0000D56F0000}"/>
    <cellStyle name="Percent 2 2 30 6" xfId="28626" xr:uid="{00000000-0005-0000-0000-0000D66F0000}"/>
    <cellStyle name="Percent 2 2 30 7" xfId="28627" xr:uid="{00000000-0005-0000-0000-0000D76F0000}"/>
    <cellStyle name="Percent 2 2 31" xfId="28628" xr:uid="{00000000-0005-0000-0000-0000D86F0000}"/>
    <cellStyle name="Percent 2 2 31 2" xfId="28629" xr:uid="{00000000-0005-0000-0000-0000D96F0000}"/>
    <cellStyle name="Percent 2 2 31 2 2" xfId="28630" xr:uid="{00000000-0005-0000-0000-0000DA6F0000}"/>
    <cellStyle name="Percent 2 2 31 2 2 2" xfId="28631" xr:uid="{00000000-0005-0000-0000-0000DB6F0000}"/>
    <cellStyle name="Percent 2 2 31 2 2 3" xfId="28632" xr:uid="{00000000-0005-0000-0000-0000DC6F0000}"/>
    <cellStyle name="Percent 2 2 31 2 3" xfId="28633" xr:uid="{00000000-0005-0000-0000-0000DD6F0000}"/>
    <cellStyle name="Percent 2 2 31 2 3 2" xfId="28634" xr:uid="{00000000-0005-0000-0000-0000DE6F0000}"/>
    <cellStyle name="Percent 2 2 31 2 3 3" xfId="28635" xr:uid="{00000000-0005-0000-0000-0000DF6F0000}"/>
    <cellStyle name="Percent 2 2 31 2 4" xfId="28636" xr:uid="{00000000-0005-0000-0000-0000E06F0000}"/>
    <cellStyle name="Percent 2 2 31 2 5" xfId="28637" xr:uid="{00000000-0005-0000-0000-0000E16F0000}"/>
    <cellStyle name="Percent 2 2 31 2 6" xfId="28638" xr:uid="{00000000-0005-0000-0000-0000E26F0000}"/>
    <cellStyle name="Percent 2 2 31 3" xfId="28639" xr:uid="{00000000-0005-0000-0000-0000E36F0000}"/>
    <cellStyle name="Percent 2 2 31 3 2" xfId="28640" xr:uid="{00000000-0005-0000-0000-0000E46F0000}"/>
    <cellStyle name="Percent 2 2 31 3 3" xfId="28641" xr:uid="{00000000-0005-0000-0000-0000E56F0000}"/>
    <cellStyle name="Percent 2 2 31 4" xfId="28642" xr:uid="{00000000-0005-0000-0000-0000E66F0000}"/>
    <cellStyle name="Percent 2 2 31 4 2" xfId="28643" xr:uid="{00000000-0005-0000-0000-0000E76F0000}"/>
    <cellStyle name="Percent 2 2 31 4 3" xfId="28644" xr:uid="{00000000-0005-0000-0000-0000E86F0000}"/>
    <cellStyle name="Percent 2 2 31 5" xfId="28645" xr:uid="{00000000-0005-0000-0000-0000E96F0000}"/>
    <cellStyle name="Percent 2 2 31 6" xfId="28646" xr:uid="{00000000-0005-0000-0000-0000EA6F0000}"/>
    <cellStyle name="Percent 2 2 31 7" xfId="28647" xr:uid="{00000000-0005-0000-0000-0000EB6F0000}"/>
    <cellStyle name="Percent 2 2 32" xfId="28648" xr:uid="{00000000-0005-0000-0000-0000EC6F0000}"/>
    <cellStyle name="Percent 2 2 32 2" xfId="28649" xr:uid="{00000000-0005-0000-0000-0000ED6F0000}"/>
    <cellStyle name="Percent 2 2 32 2 2" xfId="28650" xr:uid="{00000000-0005-0000-0000-0000EE6F0000}"/>
    <cellStyle name="Percent 2 2 32 2 2 2" xfId="28651" xr:uid="{00000000-0005-0000-0000-0000EF6F0000}"/>
    <cellStyle name="Percent 2 2 32 2 2 3" xfId="28652" xr:uid="{00000000-0005-0000-0000-0000F06F0000}"/>
    <cellStyle name="Percent 2 2 32 2 3" xfId="28653" xr:uid="{00000000-0005-0000-0000-0000F16F0000}"/>
    <cellStyle name="Percent 2 2 32 2 3 2" xfId="28654" xr:uid="{00000000-0005-0000-0000-0000F26F0000}"/>
    <cellStyle name="Percent 2 2 32 2 3 3" xfId="28655" xr:uid="{00000000-0005-0000-0000-0000F36F0000}"/>
    <cellStyle name="Percent 2 2 32 2 4" xfId="28656" xr:uid="{00000000-0005-0000-0000-0000F46F0000}"/>
    <cellStyle name="Percent 2 2 32 2 5" xfId="28657" xr:uid="{00000000-0005-0000-0000-0000F56F0000}"/>
    <cellStyle name="Percent 2 2 32 2 6" xfId="28658" xr:uid="{00000000-0005-0000-0000-0000F66F0000}"/>
    <cellStyle name="Percent 2 2 32 3" xfId="28659" xr:uid="{00000000-0005-0000-0000-0000F76F0000}"/>
    <cellStyle name="Percent 2 2 32 3 2" xfId="28660" xr:uid="{00000000-0005-0000-0000-0000F86F0000}"/>
    <cellStyle name="Percent 2 2 32 3 3" xfId="28661" xr:uid="{00000000-0005-0000-0000-0000F96F0000}"/>
    <cellStyle name="Percent 2 2 32 4" xfId="28662" xr:uid="{00000000-0005-0000-0000-0000FA6F0000}"/>
    <cellStyle name="Percent 2 2 32 4 2" xfId="28663" xr:uid="{00000000-0005-0000-0000-0000FB6F0000}"/>
    <cellStyle name="Percent 2 2 32 4 3" xfId="28664" xr:uid="{00000000-0005-0000-0000-0000FC6F0000}"/>
    <cellStyle name="Percent 2 2 32 5" xfId="28665" xr:uid="{00000000-0005-0000-0000-0000FD6F0000}"/>
    <cellStyle name="Percent 2 2 32 6" xfId="28666" xr:uid="{00000000-0005-0000-0000-0000FE6F0000}"/>
    <cellStyle name="Percent 2 2 32 7" xfId="28667" xr:uid="{00000000-0005-0000-0000-0000FF6F0000}"/>
    <cellStyle name="Percent 2 2 33" xfId="28668" xr:uid="{00000000-0005-0000-0000-000000700000}"/>
    <cellStyle name="Percent 2 2 33 2" xfId="28669" xr:uid="{00000000-0005-0000-0000-000001700000}"/>
    <cellStyle name="Percent 2 2 33 2 2" xfId="28670" xr:uid="{00000000-0005-0000-0000-000002700000}"/>
    <cellStyle name="Percent 2 2 33 2 2 2" xfId="28671" xr:uid="{00000000-0005-0000-0000-000003700000}"/>
    <cellStyle name="Percent 2 2 33 2 2 3" xfId="28672" xr:uid="{00000000-0005-0000-0000-000004700000}"/>
    <cellStyle name="Percent 2 2 33 2 3" xfId="28673" xr:uid="{00000000-0005-0000-0000-000005700000}"/>
    <cellStyle name="Percent 2 2 33 2 3 2" xfId="28674" xr:uid="{00000000-0005-0000-0000-000006700000}"/>
    <cellStyle name="Percent 2 2 33 2 3 3" xfId="28675" xr:uid="{00000000-0005-0000-0000-000007700000}"/>
    <cellStyle name="Percent 2 2 33 2 4" xfId="28676" xr:uid="{00000000-0005-0000-0000-000008700000}"/>
    <cellStyle name="Percent 2 2 33 2 5" xfId="28677" xr:uid="{00000000-0005-0000-0000-000009700000}"/>
    <cellStyle name="Percent 2 2 33 2 6" xfId="28678" xr:uid="{00000000-0005-0000-0000-00000A700000}"/>
    <cellStyle name="Percent 2 2 33 3" xfId="28679" xr:uid="{00000000-0005-0000-0000-00000B700000}"/>
    <cellStyle name="Percent 2 2 33 3 2" xfId="28680" xr:uid="{00000000-0005-0000-0000-00000C700000}"/>
    <cellStyle name="Percent 2 2 33 3 3" xfId="28681" xr:uid="{00000000-0005-0000-0000-00000D700000}"/>
    <cellStyle name="Percent 2 2 33 4" xfId="28682" xr:uid="{00000000-0005-0000-0000-00000E700000}"/>
    <cellStyle name="Percent 2 2 33 4 2" xfId="28683" xr:uid="{00000000-0005-0000-0000-00000F700000}"/>
    <cellStyle name="Percent 2 2 33 4 3" xfId="28684" xr:uid="{00000000-0005-0000-0000-000010700000}"/>
    <cellStyle name="Percent 2 2 33 5" xfId="28685" xr:uid="{00000000-0005-0000-0000-000011700000}"/>
    <cellStyle name="Percent 2 2 33 6" xfId="28686" xr:uid="{00000000-0005-0000-0000-000012700000}"/>
    <cellStyle name="Percent 2 2 33 7" xfId="28687" xr:uid="{00000000-0005-0000-0000-000013700000}"/>
    <cellStyle name="Percent 2 2 34" xfId="28688" xr:uid="{00000000-0005-0000-0000-000014700000}"/>
    <cellStyle name="Percent 2 2 34 2" xfId="28689" xr:uid="{00000000-0005-0000-0000-000015700000}"/>
    <cellStyle name="Percent 2 2 34 2 2" xfId="28690" xr:uid="{00000000-0005-0000-0000-000016700000}"/>
    <cellStyle name="Percent 2 2 34 2 2 2" xfId="28691" xr:uid="{00000000-0005-0000-0000-000017700000}"/>
    <cellStyle name="Percent 2 2 34 2 2 3" xfId="28692" xr:uid="{00000000-0005-0000-0000-000018700000}"/>
    <cellStyle name="Percent 2 2 34 2 3" xfId="28693" xr:uid="{00000000-0005-0000-0000-000019700000}"/>
    <cellStyle name="Percent 2 2 34 2 3 2" xfId="28694" xr:uid="{00000000-0005-0000-0000-00001A700000}"/>
    <cellStyle name="Percent 2 2 34 2 3 3" xfId="28695" xr:uid="{00000000-0005-0000-0000-00001B700000}"/>
    <cellStyle name="Percent 2 2 34 2 4" xfId="28696" xr:uid="{00000000-0005-0000-0000-00001C700000}"/>
    <cellStyle name="Percent 2 2 34 2 5" xfId="28697" xr:uid="{00000000-0005-0000-0000-00001D700000}"/>
    <cellStyle name="Percent 2 2 34 2 6" xfId="28698" xr:uid="{00000000-0005-0000-0000-00001E700000}"/>
    <cellStyle name="Percent 2 2 34 3" xfId="28699" xr:uid="{00000000-0005-0000-0000-00001F700000}"/>
    <cellStyle name="Percent 2 2 34 3 2" xfId="28700" xr:uid="{00000000-0005-0000-0000-000020700000}"/>
    <cellStyle name="Percent 2 2 34 3 3" xfId="28701" xr:uid="{00000000-0005-0000-0000-000021700000}"/>
    <cellStyle name="Percent 2 2 34 4" xfId="28702" xr:uid="{00000000-0005-0000-0000-000022700000}"/>
    <cellStyle name="Percent 2 2 34 4 2" xfId="28703" xr:uid="{00000000-0005-0000-0000-000023700000}"/>
    <cellStyle name="Percent 2 2 34 4 3" xfId="28704" xr:uid="{00000000-0005-0000-0000-000024700000}"/>
    <cellStyle name="Percent 2 2 34 5" xfId="28705" xr:uid="{00000000-0005-0000-0000-000025700000}"/>
    <cellStyle name="Percent 2 2 34 6" xfId="28706" xr:uid="{00000000-0005-0000-0000-000026700000}"/>
    <cellStyle name="Percent 2 2 34 7" xfId="28707" xr:uid="{00000000-0005-0000-0000-000027700000}"/>
    <cellStyle name="Percent 2 2 35" xfId="28708" xr:uid="{00000000-0005-0000-0000-000028700000}"/>
    <cellStyle name="Percent 2 2 35 2" xfId="28709" xr:uid="{00000000-0005-0000-0000-000029700000}"/>
    <cellStyle name="Percent 2 2 35 2 2" xfId="28710" xr:uid="{00000000-0005-0000-0000-00002A700000}"/>
    <cellStyle name="Percent 2 2 35 2 2 2" xfId="28711" xr:uid="{00000000-0005-0000-0000-00002B700000}"/>
    <cellStyle name="Percent 2 2 35 2 2 3" xfId="28712" xr:uid="{00000000-0005-0000-0000-00002C700000}"/>
    <cellStyle name="Percent 2 2 35 2 3" xfId="28713" xr:uid="{00000000-0005-0000-0000-00002D700000}"/>
    <cellStyle name="Percent 2 2 35 2 3 2" xfId="28714" xr:uid="{00000000-0005-0000-0000-00002E700000}"/>
    <cellStyle name="Percent 2 2 35 2 3 3" xfId="28715" xr:uid="{00000000-0005-0000-0000-00002F700000}"/>
    <cellStyle name="Percent 2 2 35 2 4" xfId="28716" xr:uid="{00000000-0005-0000-0000-000030700000}"/>
    <cellStyle name="Percent 2 2 35 2 5" xfId="28717" xr:uid="{00000000-0005-0000-0000-000031700000}"/>
    <cellStyle name="Percent 2 2 35 2 6" xfId="28718" xr:uid="{00000000-0005-0000-0000-000032700000}"/>
    <cellStyle name="Percent 2 2 35 3" xfId="28719" xr:uid="{00000000-0005-0000-0000-000033700000}"/>
    <cellStyle name="Percent 2 2 35 3 2" xfId="28720" xr:uid="{00000000-0005-0000-0000-000034700000}"/>
    <cellStyle name="Percent 2 2 35 3 3" xfId="28721" xr:uid="{00000000-0005-0000-0000-000035700000}"/>
    <cellStyle name="Percent 2 2 35 4" xfId="28722" xr:uid="{00000000-0005-0000-0000-000036700000}"/>
    <cellStyle name="Percent 2 2 35 4 2" xfId="28723" xr:uid="{00000000-0005-0000-0000-000037700000}"/>
    <cellStyle name="Percent 2 2 35 4 3" xfId="28724" xr:uid="{00000000-0005-0000-0000-000038700000}"/>
    <cellStyle name="Percent 2 2 35 5" xfId="28725" xr:uid="{00000000-0005-0000-0000-000039700000}"/>
    <cellStyle name="Percent 2 2 35 6" xfId="28726" xr:uid="{00000000-0005-0000-0000-00003A700000}"/>
    <cellStyle name="Percent 2 2 35 7" xfId="28727" xr:uid="{00000000-0005-0000-0000-00003B700000}"/>
    <cellStyle name="Percent 2 2 36" xfId="28728" xr:uid="{00000000-0005-0000-0000-00003C700000}"/>
    <cellStyle name="Percent 2 2 36 2" xfId="28729" xr:uid="{00000000-0005-0000-0000-00003D700000}"/>
    <cellStyle name="Percent 2 2 36 2 2" xfId="28730" xr:uid="{00000000-0005-0000-0000-00003E700000}"/>
    <cellStyle name="Percent 2 2 36 2 2 2" xfId="28731" xr:uid="{00000000-0005-0000-0000-00003F700000}"/>
    <cellStyle name="Percent 2 2 36 2 2 3" xfId="28732" xr:uid="{00000000-0005-0000-0000-000040700000}"/>
    <cellStyle name="Percent 2 2 36 2 3" xfId="28733" xr:uid="{00000000-0005-0000-0000-000041700000}"/>
    <cellStyle name="Percent 2 2 36 2 3 2" xfId="28734" xr:uid="{00000000-0005-0000-0000-000042700000}"/>
    <cellStyle name="Percent 2 2 36 2 3 3" xfId="28735" xr:uid="{00000000-0005-0000-0000-000043700000}"/>
    <cellStyle name="Percent 2 2 36 2 4" xfId="28736" xr:uid="{00000000-0005-0000-0000-000044700000}"/>
    <cellStyle name="Percent 2 2 36 2 5" xfId="28737" xr:uid="{00000000-0005-0000-0000-000045700000}"/>
    <cellStyle name="Percent 2 2 36 2 6" xfId="28738" xr:uid="{00000000-0005-0000-0000-000046700000}"/>
    <cellStyle name="Percent 2 2 36 3" xfId="28739" xr:uid="{00000000-0005-0000-0000-000047700000}"/>
    <cellStyle name="Percent 2 2 36 3 2" xfId="28740" xr:uid="{00000000-0005-0000-0000-000048700000}"/>
    <cellStyle name="Percent 2 2 36 3 3" xfId="28741" xr:uid="{00000000-0005-0000-0000-000049700000}"/>
    <cellStyle name="Percent 2 2 36 4" xfId="28742" xr:uid="{00000000-0005-0000-0000-00004A700000}"/>
    <cellStyle name="Percent 2 2 36 4 2" xfId="28743" xr:uid="{00000000-0005-0000-0000-00004B700000}"/>
    <cellStyle name="Percent 2 2 36 4 3" xfId="28744" xr:uid="{00000000-0005-0000-0000-00004C700000}"/>
    <cellStyle name="Percent 2 2 36 5" xfId="28745" xr:uid="{00000000-0005-0000-0000-00004D700000}"/>
    <cellStyle name="Percent 2 2 36 6" xfId="28746" xr:uid="{00000000-0005-0000-0000-00004E700000}"/>
    <cellStyle name="Percent 2 2 36 7" xfId="28747" xr:uid="{00000000-0005-0000-0000-00004F700000}"/>
    <cellStyle name="Percent 2 2 37" xfId="28748" xr:uid="{00000000-0005-0000-0000-000050700000}"/>
    <cellStyle name="Percent 2 2 37 2" xfId="28749" xr:uid="{00000000-0005-0000-0000-000051700000}"/>
    <cellStyle name="Percent 2 2 37 2 2" xfId="28750" xr:uid="{00000000-0005-0000-0000-000052700000}"/>
    <cellStyle name="Percent 2 2 37 2 2 2" xfId="28751" xr:uid="{00000000-0005-0000-0000-000053700000}"/>
    <cellStyle name="Percent 2 2 37 2 2 3" xfId="28752" xr:uid="{00000000-0005-0000-0000-000054700000}"/>
    <cellStyle name="Percent 2 2 37 2 3" xfId="28753" xr:uid="{00000000-0005-0000-0000-000055700000}"/>
    <cellStyle name="Percent 2 2 37 2 3 2" xfId="28754" xr:uid="{00000000-0005-0000-0000-000056700000}"/>
    <cellStyle name="Percent 2 2 37 2 3 3" xfId="28755" xr:uid="{00000000-0005-0000-0000-000057700000}"/>
    <cellStyle name="Percent 2 2 37 2 4" xfId="28756" xr:uid="{00000000-0005-0000-0000-000058700000}"/>
    <cellStyle name="Percent 2 2 37 2 5" xfId="28757" xr:uid="{00000000-0005-0000-0000-000059700000}"/>
    <cellStyle name="Percent 2 2 37 2 6" xfId="28758" xr:uid="{00000000-0005-0000-0000-00005A700000}"/>
    <cellStyle name="Percent 2 2 37 3" xfId="28759" xr:uid="{00000000-0005-0000-0000-00005B700000}"/>
    <cellStyle name="Percent 2 2 37 3 2" xfId="28760" xr:uid="{00000000-0005-0000-0000-00005C700000}"/>
    <cellStyle name="Percent 2 2 37 3 3" xfId="28761" xr:uid="{00000000-0005-0000-0000-00005D700000}"/>
    <cellStyle name="Percent 2 2 37 4" xfId="28762" xr:uid="{00000000-0005-0000-0000-00005E700000}"/>
    <cellStyle name="Percent 2 2 37 4 2" xfId="28763" xr:uid="{00000000-0005-0000-0000-00005F700000}"/>
    <cellStyle name="Percent 2 2 37 4 3" xfId="28764" xr:uid="{00000000-0005-0000-0000-000060700000}"/>
    <cellStyle name="Percent 2 2 37 5" xfId="28765" xr:uid="{00000000-0005-0000-0000-000061700000}"/>
    <cellStyle name="Percent 2 2 37 6" xfId="28766" xr:uid="{00000000-0005-0000-0000-000062700000}"/>
    <cellStyle name="Percent 2 2 37 7" xfId="28767" xr:uid="{00000000-0005-0000-0000-000063700000}"/>
    <cellStyle name="Percent 2 2 38" xfId="28768" xr:uid="{00000000-0005-0000-0000-000064700000}"/>
    <cellStyle name="Percent 2 2 38 2" xfId="28769" xr:uid="{00000000-0005-0000-0000-000065700000}"/>
    <cellStyle name="Percent 2 2 38 2 2" xfId="28770" xr:uid="{00000000-0005-0000-0000-000066700000}"/>
    <cellStyle name="Percent 2 2 38 2 2 2" xfId="28771" xr:uid="{00000000-0005-0000-0000-000067700000}"/>
    <cellStyle name="Percent 2 2 38 2 2 3" xfId="28772" xr:uid="{00000000-0005-0000-0000-000068700000}"/>
    <cellStyle name="Percent 2 2 38 2 3" xfId="28773" xr:uid="{00000000-0005-0000-0000-000069700000}"/>
    <cellStyle name="Percent 2 2 38 2 3 2" xfId="28774" xr:uid="{00000000-0005-0000-0000-00006A700000}"/>
    <cellStyle name="Percent 2 2 38 2 3 3" xfId="28775" xr:uid="{00000000-0005-0000-0000-00006B700000}"/>
    <cellStyle name="Percent 2 2 38 2 4" xfId="28776" xr:uid="{00000000-0005-0000-0000-00006C700000}"/>
    <cellStyle name="Percent 2 2 38 2 5" xfId="28777" xr:uid="{00000000-0005-0000-0000-00006D700000}"/>
    <cellStyle name="Percent 2 2 38 2 6" xfId="28778" xr:uid="{00000000-0005-0000-0000-00006E700000}"/>
    <cellStyle name="Percent 2 2 38 3" xfId="28779" xr:uid="{00000000-0005-0000-0000-00006F700000}"/>
    <cellStyle name="Percent 2 2 38 3 2" xfId="28780" xr:uid="{00000000-0005-0000-0000-000070700000}"/>
    <cellStyle name="Percent 2 2 38 3 3" xfId="28781" xr:uid="{00000000-0005-0000-0000-000071700000}"/>
    <cellStyle name="Percent 2 2 38 4" xfId="28782" xr:uid="{00000000-0005-0000-0000-000072700000}"/>
    <cellStyle name="Percent 2 2 38 4 2" xfId="28783" xr:uid="{00000000-0005-0000-0000-000073700000}"/>
    <cellStyle name="Percent 2 2 38 4 3" xfId="28784" xr:uid="{00000000-0005-0000-0000-000074700000}"/>
    <cellStyle name="Percent 2 2 38 5" xfId="28785" xr:uid="{00000000-0005-0000-0000-000075700000}"/>
    <cellStyle name="Percent 2 2 38 6" xfId="28786" xr:uid="{00000000-0005-0000-0000-000076700000}"/>
    <cellStyle name="Percent 2 2 38 7" xfId="28787" xr:uid="{00000000-0005-0000-0000-000077700000}"/>
    <cellStyle name="Percent 2 2 39" xfId="28788" xr:uid="{00000000-0005-0000-0000-000078700000}"/>
    <cellStyle name="Percent 2 2 39 2" xfId="28789" xr:uid="{00000000-0005-0000-0000-000079700000}"/>
    <cellStyle name="Percent 2 2 39 2 2" xfId="28790" xr:uid="{00000000-0005-0000-0000-00007A700000}"/>
    <cellStyle name="Percent 2 2 39 2 2 2" xfId="28791" xr:uid="{00000000-0005-0000-0000-00007B700000}"/>
    <cellStyle name="Percent 2 2 39 2 2 3" xfId="28792" xr:uid="{00000000-0005-0000-0000-00007C700000}"/>
    <cellStyle name="Percent 2 2 39 2 3" xfId="28793" xr:uid="{00000000-0005-0000-0000-00007D700000}"/>
    <cellStyle name="Percent 2 2 39 2 3 2" xfId="28794" xr:uid="{00000000-0005-0000-0000-00007E700000}"/>
    <cellStyle name="Percent 2 2 39 2 3 3" xfId="28795" xr:uid="{00000000-0005-0000-0000-00007F700000}"/>
    <cellStyle name="Percent 2 2 39 2 4" xfId="28796" xr:uid="{00000000-0005-0000-0000-000080700000}"/>
    <cellStyle name="Percent 2 2 39 2 5" xfId="28797" xr:uid="{00000000-0005-0000-0000-000081700000}"/>
    <cellStyle name="Percent 2 2 39 2 6" xfId="28798" xr:uid="{00000000-0005-0000-0000-000082700000}"/>
    <cellStyle name="Percent 2 2 39 3" xfId="28799" xr:uid="{00000000-0005-0000-0000-000083700000}"/>
    <cellStyle name="Percent 2 2 39 3 2" xfId="28800" xr:uid="{00000000-0005-0000-0000-000084700000}"/>
    <cellStyle name="Percent 2 2 39 3 3" xfId="28801" xr:uid="{00000000-0005-0000-0000-000085700000}"/>
    <cellStyle name="Percent 2 2 39 4" xfId="28802" xr:uid="{00000000-0005-0000-0000-000086700000}"/>
    <cellStyle name="Percent 2 2 39 4 2" xfId="28803" xr:uid="{00000000-0005-0000-0000-000087700000}"/>
    <cellStyle name="Percent 2 2 39 4 3" xfId="28804" xr:uid="{00000000-0005-0000-0000-000088700000}"/>
    <cellStyle name="Percent 2 2 39 5" xfId="28805" xr:uid="{00000000-0005-0000-0000-000089700000}"/>
    <cellStyle name="Percent 2 2 39 6" xfId="28806" xr:uid="{00000000-0005-0000-0000-00008A700000}"/>
    <cellStyle name="Percent 2 2 39 7" xfId="28807" xr:uid="{00000000-0005-0000-0000-00008B700000}"/>
    <cellStyle name="Percent 2 2 4" xfId="28808" xr:uid="{00000000-0005-0000-0000-00008C700000}"/>
    <cellStyle name="Percent 2 2 4 2" xfId="28809" xr:uid="{00000000-0005-0000-0000-00008D700000}"/>
    <cellStyle name="Percent 2 2 4 2 2" xfId="28810" xr:uid="{00000000-0005-0000-0000-00008E700000}"/>
    <cellStyle name="Percent 2 2 4 2 2 2" xfId="28811" xr:uid="{00000000-0005-0000-0000-00008F700000}"/>
    <cellStyle name="Percent 2 2 4 2 2 3" xfId="28812" xr:uid="{00000000-0005-0000-0000-000090700000}"/>
    <cellStyle name="Percent 2 2 4 2 3" xfId="28813" xr:uid="{00000000-0005-0000-0000-000091700000}"/>
    <cellStyle name="Percent 2 2 4 2 3 2" xfId="28814" xr:uid="{00000000-0005-0000-0000-000092700000}"/>
    <cellStyle name="Percent 2 2 4 2 3 3" xfId="28815" xr:uid="{00000000-0005-0000-0000-000093700000}"/>
    <cellStyle name="Percent 2 2 4 2 4" xfId="28816" xr:uid="{00000000-0005-0000-0000-000094700000}"/>
    <cellStyle name="Percent 2 2 4 2 5" xfId="28817" xr:uid="{00000000-0005-0000-0000-000095700000}"/>
    <cellStyle name="Percent 2 2 4 2 6" xfId="28818" xr:uid="{00000000-0005-0000-0000-000096700000}"/>
    <cellStyle name="Percent 2 2 4 3" xfId="28819" xr:uid="{00000000-0005-0000-0000-000097700000}"/>
    <cellStyle name="Percent 2 2 4 3 2" xfId="28820" xr:uid="{00000000-0005-0000-0000-000098700000}"/>
    <cellStyle name="Percent 2 2 4 3 3" xfId="28821" xr:uid="{00000000-0005-0000-0000-000099700000}"/>
    <cellStyle name="Percent 2 2 4 4" xfId="28822" xr:uid="{00000000-0005-0000-0000-00009A700000}"/>
    <cellStyle name="Percent 2 2 4 4 2" xfId="28823" xr:uid="{00000000-0005-0000-0000-00009B700000}"/>
    <cellStyle name="Percent 2 2 4 4 3" xfId="28824" xr:uid="{00000000-0005-0000-0000-00009C700000}"/>
    <cellStyle name="Percent 2 2 4 5" xfId="28825" xr:uid="{00000000-0005-0000-0000-00009D700000}"/>
    <cellStyle name="Percent 2 2 4 5 2" xfId="28826" xr:uid="{00000000-0005-0000-0000-00009E700000}"/>
    <cellStyle name="Percent 2 2 4 5 3" xfId="28827" xr:uid="{00000000-0005-0000-0000-00009F700000}"/>
    <cellStyle name="Percent 2 2 4 6" xfId="28828" xr:uid="{00000000-0005-0000-0000-0000A0700000}"/>
    <cellStyle name="Percent 2 2 4 7" xfId="28829" xr:uid="{00000000-0005-0000-0000-0000A1700000}"/>
    <cellStyle name="Percent 2 2 4 8" xfId="28830" xr:uid="{00000000-0005-0000-0000-0000A2700000}"/>
    <cellStyle name="Percent 2 2 40" xfId="28831" xr:uid="{00000000-0005-0000-0000-0000A3700000}"/>
    <cellStyle name="Percent 2 2 40 2" xfId="28832" xr:uid="{00000000-0005-0000-0000-0000A4700000}"/>
    <cellStyle name="Percent 2 2 40 2 2" xfId="28833" xr:uid="{00000000-0005-0000-0000-0000A5700000}"/>
    <cellStyle name="Percent 2 2 40 2 2 2" xfId="28834" xr:uid="{00000000-0005-0000-0000-0000A6700000}"/>
    <cellStyle name="Percent 2 2 40 2 2 3" xfId="28835" xr:uid="{00000000-0005-0000-0000-0000A7700000}"/>
    <cellStyle name="Percent 2 2 40 2 3" xfId="28836" xr:uid="{00000000-0005-0000-0000-0000A8700000}"/>
    <cellStyle name="Percent 2 2 40 2 3 2" xfId="28837" xr:uid="{00000000-0005-0000-0000-0000A9700000}"/>
    <cellStyle name="Percent 2 2 40 2 3 3" xfId="28838" xr:uid="{00000000-0005-0000-0000-0000AA700000}"/>
    <cellStyle name="Percent 2 2 40 2 4" xfId="28839" xr:uid="{00000000-0005-0000-0000-0000AB700000}"/>
    <cellStyle name="Percent 2 2 40 2 5" xfId="28840" xr:uid="{00000000-0005-0000-0000-0000AC700000}"/>
    <cellStyle name="Percent 2 2 40 2 6" xfId="28841" xr:uid="{00000000-0005-0000-0000-0000AD700000}"/>
    <cellStyle name="Percent 2 2 40 3" xfId="28842" xr:uid="{00000000-0005-0000-0000-0000AE700000}"/>
    <cellStyle name="Percent 2 2 40 3 2" xfId="28843" xr:uid="{00000000-0005-0000-0000-0000AF700000}"/>
    <cellStyle name="Percent 2 2 40 3 3" xfId="28844" xr:uid="{00000000-0005-0000-0000-0000B0700000}"/>
    <cellStyle name="Percent 2 2 40 4" xfId="28845" xr:uid="{00000000-0005-0000-0000-0000B1700000}"/>
    <cellStyle name="Percent 2 2 40 4 2" xfId="28846" xr:uid="{00000000-0005-0000-0000-0000B2700000}"/>
    <cellStyle name="Percent 2 2 40 4 3" xfId="28847" xr:uid="{00000000-0005-0000-0000-0000B3700000}"/>
    <cellStyle name="Percent 2 2 40 5" xfId="28848" xr:uid="{00000000-0005-0000-0000-0000B4700000}"/>
    <cellStyle name="Percent 2 2 40 6" xfId="28849" xr:uid="{00000000-0005-0000-0000-0000B5700000}"/>
    <cellStyle name="Percent 2 2 40 7" xfId="28850" xr:uid="{00000000-0005-0000-0000-0000B6700000}"/>
    <cellStyle name="Percent 2 2 41" xfId="28851" xr:uid="{00000000-0005-0000-0000-0000B7700000}"/>
    <cellStyle name="Percent 2 2 41 2" xfId="28852" xr:uid="{00000000-0005-0000-0000-0000B8700000}"/>
    <cellStyle name="Percent 2 2 41 2 2" xfId="28853" xr:uid="{00000000-0005-0000-0000-0000B9700000}"/>
    <cellStyle name="Percent 2 2 41 2 2 2" xfId="28854" xr:uid="{00000000-0005-0000-0000-0000BA700000}"/>
    <cellStyle name="Percent 2 2 41 2 2 3" xfId="28855" xr:uid="{00000000-0005-0000-0000-0000BB700000}"/>
    <cellStyle name="Percent 2 2 41 2 3" xfId="28856" xr:uid="{00000000-0005-0000-0000-0000BC700000}"/>
    <cellStyle name="Percent 2 2 41 2 3 2" xfId="28857" xr:uid="{00000000-0005-0000-0000-0000BD700000}"/>
    <cellStyle name="Percent 2 2 41 2 3 3" xfId="28858" xr:uid="{00000000-0005-0000-0000-0000BE700000}"/>
    <cellStyle name="Percent 2 2 41 2 4" xfId="28859" xr:uid="{00000000-0005-0000-0000-0000BF700000}"/>
    <cellStyle name="Percent 2 2 41 2 5" xfId="28860" xr:uid="{00000000-0005-0000-0000-0000C0700000}"/>
    <cellStyle name="Percent 2 2 41 2 6" xfId="28861" xr:uid="{00000000-0005-0000-0000-0000C1700000}"/>
    <cellStyle name="Percent 2 2 41 3" xfId="28862" xr:uid="{00000000-0005-0000-0000-0000C2700000}"/>
    <cellStyle name="Percent 2 2 41 3 2" xfId="28863" xr:uid="{00000000-0005-0000-0000-0000C3700000}"/>
    <cellStyle name="Percent 2 2 41 3 3" xfId="28864" xr:uid="{00000000-0005-0000-0000-0000C4700000}"/>
    <cellStyle name="Percent 2 2 41 4" xfId="28865" xr:uid="{00000000-0005-0000-0000-0000C5700000}"/>
    <cellStyle name="Percent 2 2 41 4 2" xfId="28866" xr:uid="{00000000-0005-0000-0000-0000C6700000}"/>
    <cellStyle name="Percent 2 2 41 4 3" xfId="28867" xr:uid="{00000000-0005-0000-0000-0000C7700000}"/>
    <cellStyle name="Percent 2 2 41 5" xfId="28868" xr:uid="{00000000-0005-0000-0000-0000C8700000}"/>
    <cellStyle name="Percent 2 2 41 6" xfId="28869" xr:uid="{00000000-0005-0000-0000-0000C9700000}"/>
    <cellStyle name="Percent 2 2 41 7" xfId="28870" xr:uid="{00000000-0005-0000-0000-0000CA700000}"/>
    <cellStyle name="Percent 2 2 42" xfId="28871" xr:uid="{00000000-0005-0000-0000-0000CB700000}"/>
    <cellStyle name="Percent 2 2 42 2" xfId="28872" xr:uid="{00000000-0005-0000-0000-0000CC700000}"/>
    <cellStyle name="Percent 2 2 42 2 2" xfId="28873" xr:uid="{00000000-0005-0000-0000-0000CD700000}"/>
    <cellStyle name="Percent 2 2 42 2 2 2" xfId="28874" xr:uid="{00000000-0005-0000-0000-0000CE700000}"/>
    <cellStyle name="Percent 2 2 42 2 2 3" xfId="28875" xr:uid="{00000000-0005-0000-0000-0000CF700000}"/>
    <cellStyle name="Percent 2 2 42 2 3" xfId="28876" xr:uid="{00000000-0005-0000-0000-0000D0700000}"/>
    <cellStyle name="Percent 2 2 42 2 3 2" xfId="28877" xr:uid="{00000000-0005-0000-0000-0000D1700000}"/>
    <cellStyle name="Percent 2 2 42 2 3 3" xfId="28878" xr:uid="{00000000-0005-0000-0000-0000D2700000}"/>
    <cellStyle name="Percent 2 2 42 2 4" xfId="28879" xr:uid="{00000000-0005-0000-0000-0000D3700000}"/>
    <cellStyle name="Percent 2 2 42 2 5" xfId="28880" xr:uid="{00000000-0005-0000-0000-0000D4700000}"/>
    <cellStyle name="Percent 2 2 42 2 6" xfId="28881" xr:uid="{00000000-0005-0000-0000-0000D5700000}"/>
    <cellStyle name="Percent 2 2 42 3" xfId="28882" xr:uid="{00000000-0005-0000-0000-0000D6700000}"/>
    <cellStyle name="Percent 2 2 42 3 2" xfId="28883" xr:uid="{00000000-0005-0000-0000-0000D7700000}"/>
    <cellStyle name="Percent 2 2 42 3 3" xfId="28884" xr:uid="{00000000-0005-0000-0000-0000D8700000}"/>
    <cellStyle name="Percent 2 2 42 4" xfId="28885" xr:uid="{00000000-0005-0000-0000-0000D9700000}"/>
    <cellStyle name="Percent 2 2 42 4 2" xfId="28886" xr:uid="{00000000-0005-0000-0000-0000DA700000}"/>
    <cellStyle name="Percent 2 2 42 4 3" xfId="28887" xr:uid="{00000000-0005-0000-0000-0000DB700000}"/>
    <cellStyle name="Percent 2 2 42 5" xfId="28888" xr:uid="{00000000-0005-0000-0000-0000DC700000}"/>
    <cellStyle name="Percent 2 2 42 6" xfId="28889" xr:uid="{00000000-0005-0000-0000-0000DD700000}"/>
    <cellStyle name="Percent 2 2 42 7" xfId="28890" xr:uid="{00000000-0005-0000-0000-0000DE700000}"/>
    <cellStyle name="Percent 2 2 43" xfId="28891" xr:uid="{00000000-0005-0000-0000-0000DF700000}"/>
    <cellStyle name="Percent 2 2 43 2" xfId="28892" xr:uid="{00000000-0005-0000-0000-0000E0700000}"/>
    <cellStyle name="Percent 2 2 43 2 2" xfId="28893" xr:uid="{00000000-0005-0000-0000-0000E1700000}"/>
    <cellStyle name="Percent 2 2 43 2 2 2" xfId="28894" xr:uid="{00000000-0005-0000-0000-0000E2700000}"/>
    <cellStyle name="Percent 2 2 43 2 2 3" xfId="28895" xr:uid="{00000000-0005-0000-0000-0000E3700000}"/>
    <cellStyle name="Percent 2 2 43 2 3" xfId="28896" xr:uid="{00000000-0005-0000-0000-0000E4700000}"/>
    <cellStyle name="Percent 2 2 43 2 3 2" xfId="28897" xr:uid="{00000000-0005-0000-0000-0000E5700000}"/>
    <cellStyle name="Percent 2 2 43 2 3 3" xfId="28898" xr:uid="{00000000-0005-0000-0000-0000E6700000}"/>
    <cellStyle name="Percent 2 2 43 2 4" xfId="28899" xr:uid="{00000000-0005-0000-0000-0000E7700000}"/>
    <cellStyle name="Percent 2 2 43 2 5" xfId="28900" xr:uid="{00000000-0005-0000-0000-0000E8700000}"/>
    <cellStyle name="Percent 2 2 43 2 6" xfId="28901" xr:uid="{00000000-0005-0000-0000-0000E9700000}"/>
    <cellStyle name="Percent 2 2 43 3" xfId="28902" xr:uid="{00000000-0005-0000-0000-0000EA700000}"/>
    <cellStyle name="Percent 2 2 43 3 2" xfId="28903" xr:uid="{00000000-0005-0000-0000-0000EB700000}"/>
    <cellStyle name="Percent 2 2 43 3 3" xfId="28904" xr:uid="{00000000-0005-0000-0000-0000EC700000}"/>
    <cellStyle name="Percent 2 2 43 4" xfId="28905" xr:uid="{00000000-0005-0000-0000-0000ED700000}"/>
    <cellStyle name="Percent 2 2 43 4 2" xfId="28906" xr:uid="{00000000-0005-0000-0000-0000EE700000}"/>
    <cellStyle name="Percent 2 2 43 4 3" xfId="28907" xr:uid="{00000000-0005-0000-0000-0000EF700000}"/>
    <cellStyle name="Percent 2 2 43 5" xfId="28908" xr:uid="{00000000-0005-0000-0000-0000F0700000}"/>
    <cellStyle name="Percent 2 2 43 6" xfId="28909" xr:uid="{00000000-0005-0000-0000-0000F1700000}"/>
    <cellStyle name="Percent 2 2 43 7" xfId="28910" xr:uid="{00000000-0005-0000-0000-0000F2700000}"/>
    <cellStyle name="Percent 2 2 44" xfId="28911" xr:uid="{00000000-0005-0000-0000-0000F3700000}"/>
    <cellStyle name="Percent 2 2 44 2" xfId="28912" xr:uid="{00000000-0005-0000-0000-0000F4700000}"/>
    <cellStyle name="Percent 2 2 44 2 2" xfId="28913" xr:uid="{00000000-0005-0000-0000-0000F5700000}"/>
    <cellStyle name="Percent 2 2 44 2 2 2" xfId="28914" xr:uid="{00000000-0005-0000-0000-0000F6700000}"/>
    <cellStyle name="Percent 2 2 44 2 2 3" xfId="28915" xr:uid="{00000000-0005-0000-0000-0000F7700000}"/>
    <cellStyle name="Percent 2 2 44 2 3" xfId="28916" xr:uid="{00000000-0005-0000-0000-0000F8700000}"/>
    <cellStyle name="Percent 2 2 44 2 3 2" xfId="28917" xr:uid="{00000000-0005-0000-0000-0000F9700000}"/>
    <cellStyle name="Percent 2 2 44 2 3 3" xfId="28918" xr:uid="{00000000-0005-0000-0000-0000FA700000}"/>
    <cellStyle name="Percent 2 2 44 2 4" xfId="28919" xr:uid="{00000000-0005-0000-0000-0000FB700000}"/>
    <cellStyle name="Percent 2 2 44 2 5" xfId="28920" xr:uid="{00000000-0005-0000-0000-0000FC700000}"/>
    <cellStyle name="Percent 2 2 44 2 6" xfId="28921" xr:uid="{00000000-0005-0000-0000-0000FD700000}"/>
    <cellStyle name="Percent 2 2 44 3" xfId="28922" xr:uid="{00000000-0005-0000-0000-0000FE700000}"/>
    <cellStyle name="Percent 2 2 44 3 2" xfId="28923" xr:uid="{00000000-0005-0000-0000-0000FF700000}"/>
    <cellStyle name="Percent 2 2 44 3 3" xfId="28924" xr:uid="{00000000-0005-0000-0000-000000710000}"/>
    <cellStyle name="Percent 2 2 44 4" xfId="28925" xr:uid="{00000000-0005-0000-0000-000001710000}"/>
    <cellStyle name="Percent 2 2 44 4 2" xfId="28926" xr:uid="{00000000-0005-0000-0000-000002710000}"/>
    <cellStyle name="Percent 2 2 44 4 3" xfId="28927" xr:uid="{00000000-0005-0000-0000-000003710000}"/>
    <cellStyle name="Percent 2 2 44 5" xfId="28928" xr:uid="{00000000-0005-0000-0000-000004710000}"/>
    <cellStyle name="Percent 2 2 44 6" xfId="28929" xr:uid="{00000000-0005-0000-0000-000005710000}"/>
    <cellStyle name="Percent 2 2 44 7" xfId="28930" xr:uid="{00000000-0005-0000-0000-000006710000}"/>
    <cellStyle name="Percent 2 2 45" xfId="28931" xr:uid="{00000000-0005-0000-0000-000007710000}"/>
    <cellStyle name="Percent 2 2 45 2" xfId="28932" xr:uid="{00000000-0005-0000-0000-000008710000}"/>
    <cellStyle name="Percent 2 2 45 2 2" xfId="28933" xr:uid="{00000000-0005-0000-0000-000009710000}"/>
    <cellStyle name="Percent 2 2 45 2 2 2" xfId="28934" xr:uid="{00000000-0005-0000-0000-00000A710000}"/>
    <cellStyle name="Percent 2 2 45 2 2 3" xfId="28935" xr:uid="{00000000-0005-0000-0000-00000B710000}"/>
    <cellStyle name="Percent 2 2 45 2 3" xfId="28936" xr:uid="{00000000-0005-0000-0000-00000C710000}"/>
    <cellStyle name="Percent 2 2 45 2 3 2" xfId="28937" xr:uid="{00000000-0005-0000-0000-00000D710000}"/>
    <cellStyle name="Percent 2 2 45 2 3 3" xfId="28938" xr:uid="{00000000-0005-0000-0000-00000E710000}"/>
    <cellStyle name="Percent 2 2 45 2 4" xfId="28939" xr:uid="{00000000-0005-0000-0000-00000F710000}"/>
    <cellStyle name="Percent 2 2 45 2 5" xfId="28940" xr:uid="{00000000-0005-0000-0000-000010710000}"/>
    <cellStyle name="Percent 2 2 45 2 6" xfId="28941" xr:uid="{00000000-0005-0000-0000-000011710000}"/>
    <cellStyle name="Percent 2 2 45 3" xfId="28942" xr:uid="{00000000-0005-0000-0000-000012710000}"/>
    <cellStyle name="Percent 2 2 45 3 2" xfId="28943" xr:uid="{00000000-0005-0000-0000-000013710000}"/>
    <cellStyle name="Percent 2 2 45 3 3" xfId="28944" xr:uid="{00000000-0005-0000-0000-000014710000}"/>
    <cellStyle name="Percent 2 2 45 4" xfId="28945" xr:uid="{00000000-0005-0000-0000-000015710000}"/>
    <cellStyle name="Percent 2 2 45 4 2" xfId="28946" xr:uid="{00000000-0005-0000-0000-000016710000}"/>
    <cellStyle name="Percent 2 2 45 4 3" xfId="28947" xr:uid="{00000000-0005-0000-0000-000017710000}"/>
    <cellStyle name="Percent 2 2 45 5" xfId="28948" xr:uid="{00000000-0005-0000-0000-000018710000}"/>
    <cellStyle name="Percent 2 2 45 6" xfId="28949" xr:uid="{00000000-0005-0000-0000-000019710000}"/>
    <cellStyle name="Percent 2 2 45 7" xfId="28950" xr:uid="{00000000-0005-0000-0000-00001A710000}"/>
    <cellStyle name="Percent 2 2 46" xfId="28951" xr:uid="{00000000-0005-0000-0000-00001B710000}"/>
    <cellStyle name="Percent 2 2 46 2" xfId="28952" xr:uid="{00000000-0005-0000-0000-00001C710000}"/>
    <cellStyle name="Percent 2 2 46 2 2" xfId="28953" xr:uid="{00000000-0005-0000-0000-00001D710000}"/>
    <cellStyle name="Percent 2 2 46 2 2 2" xfId="28954" xr:uid="{00000000-0005-0000-0000-00001E710000}"/>
    <cellStyle name="Percent 2 2 46 2 2 3" xfId="28955" xr:uid="{00000000-0005-0000-0000-00001F710000}"/>
    <cellStyle name="Percent 2 2 46 2 3" xfId="28956" xr:uid="{00000000-0005-0000-0000-000020710000}"/>
    <cellStyle name="Percent 2 2 46 2 3 2" xfId="28957" xr:uid="{00000000-0005-0000-0000-000021710000}"/>
    <cellStyle name="Percent 2 2 46 2 3 3" xfId="28958" xr:uid="{00000000-0005-0000-0000-000022710000}"/>
    <cellStyle name="Percent 2 2 46 2 4" xfId="28959" xr:uid="{00000000-0005-0000-0000-000023710000}"/>
    <cellStyle name="Percent 2 2 46 2 5" xfId="28960" xr:uid="{00000000-0005-0000-0000-000024710000}"/>
    <cellStyle name="Percent 2 2 46 2 6" xfId="28961" xr:uid="{00000000-0005-0000-0000-000025710000}"/>
    <cellStyle name="Percent 2 2 46 3" xfId="28962" xr:uid="{00000000-0005-0000-0000-000026710000}"/>
    <cellStyle name="Percent 2 2 46 3 2" xfId="28963" xr:uid="{00000000-0005-0000-0000-000027710000}"/>
    <cellStyle name="Percent 2 2 46 3 3" xfId="28964" xr:uid="{00000000-0005-0000-0000-000028710000}"/>
    <cellStyle name="Percent 2 2 46 4" xfId="28965" xr:uid="{00000000-0005-0000-0000-000029710000}"/>
    <cellStyle name="Percent 2 2 46 4 2" xfId="28966" xr:uid="{00000000-0005-0000-0000-00002A710000}"/>
    <cellStyle name="Percent 2 2 46 4 3" xfId="28967" xr:uid="{00000000-0005-0000-0000-00002B710000}"/>
    <cellStyle name="Percent 2 2 46 5" xfId="28968" xr:uid="{00000000-0005-0000-0000-00002C710000}"/>
    <cellStyle name="Percent 2 2 46 6" xfId="28969" xr:uid="{00000000-0005-0000-0000-00002D710000}"/>
    <cellStyle name="Percent 2 2 46 7" xfId="28970" xr:uid="{00000000-0005-0000-0000-00002E710000}"/>
    <cellStyle name="Percent 2 2 47" xfId="28971" xr:uid="{00000000-0005-0000-0000-00002F710000}"/>
    <cellStyle name="Percent 2 2 47 2" xfId="28972" xr:uid="{00000000-0005-0000-0000-000030710000}"/>
    <cellStyle name="Percent 2 2 47 2 2" xfId="28973" xr:uid="{00000000-0005-0000-0000-000031710000}"/>
    <cellStyle name="Percent 2 2 47 2 2 2" xfId="28974" xr:uid="{00000000-0005-0000-0000-000032710000}"/>
    <cellStyle name="Percent 2 2 47 2 2 3" xfId="28975" xr:uid="{00000000-0005-0000-0000-000033710000}"/>
    <cellStyle name="Percent 2 2 47 2 3" xfId="28976" xr:uid="{00000000-0005-0000-0000-000034710000}"/>
    <cellStyle name="Percent 2 2 47 2 3 2" xfId="28977" xr:uid="{00000000-0005-0000-0000-000035710000}"/>
    <cellStyle name="Percent 2 2 47 2 3 3" xfId="28978" xr:uid="{00000000-0005-0000-0000-000036710000}"/>
    <cellStyle name="Percent 2 2 47 2 4" xfId="28979" xr:uid="{00000000-0005-0000-0000-000037710000}"/>
    <cellStyle name="Percent 2 2 47 2 5" xfId="28980" xr:uid="{00000000-0005-0000-0000-000038710000}"/>
    <cellStyle name="Percent 2 2 47 2 6" xfId="28981" xr:uid="{00000000-0005-0000-0000-000039710000}"/>
    <cellStyle name="Percent 2 2 47 3" xfId="28982" xr:uid="{00000000-0005-0000-0000-00003A710000}"/>
    <cellStyle name="Percent 2 2 47 3 2" xfId="28983" xr:uid="{00000000-0005-0000-0000-00003B710000}"/>
    <cellStyle name="Percent 2 2 47 3 3" xfId="28984" xr:uid="{00000000-0005-0000-0000-00003C710000}"/>
    <cellStyle name="Percent 2 2 47 4" xfId="28985" xr:uid="{00000000-0005-0000-0000-00003D710000}"/>
    <cellStyle name="Percent 2 2 47 4 2" xfId="28986" xr:uid="{00000000-0005-0000-0000-00003E710000}"/>
    <cellStyle name="Percent 2 2 47 4 3" xfId="28987" xr:uid="{00000000-0005-0000-0000-00003F710000}"/>
    <cellStyle name="Percent 2 2 47 5" xfId="28988" xr:uid="{00000000-0005-0000-0000-000040710000}"/>
    <cellStyle name="Percent 2 2 47 6" xfId="28989" xr:uid="{00000000-0005-0000-0000-000041710000}"/>
    <cellStyle name="Percent 2 2 47 7" xfId="28990" xr:uid="{00000000-0005-0000-0000-000042710000}"/>
    <cellStyle name="Percent 2 2 48" xfId="28991" xr:uid="{00000000-0005-0000-0000-000043710000}"/>
    <cellStyle name="Percent 2 2 48 2" xfId="28992" xr:uid="{00000000-0005-0000-0000-000044710000}"/>
    <cellStyle name="Percent 2 2 48 2 2" xfId="28993" xr:uid="{00000000-0005-0000-0000-000045710000}"/>
    <cellStyle name="Percent 2 2 48 2 2 2" xfId="28994" xr:uid="{00000000-0005-0000-0000-000046710000}"/>
    <cellStyle name="Percent 2 2 48 2 2 3" xfId="28995" xr:uid="{00000000-0005-0000-0000-000047710000}"/>
    <cellStyle name="Percent 2 2 48 2 3" xfId="28996" xr:uid="{00000000-0005-0000-0000-000048710000}"/>
    <cellStyle name="Percent 2 2 48 2 3 2" xfId="28997" xr:uid="{00000000-0005-0000-0000-000049710000}"/>
    <cellStyle name="Percent 2 2 48 2 3 3" xfId="28998" xr:uid="{00000000-0005-0000-0000-00004A710000}"/>
    <cellStyle name="Percent 2 2 48 2 4" xfId="28999" xr:uid="{00000000-0005-0000-0000-00004B710000}"/>
    <cellStyle name="Percent 2 2 48 2 5" xfId="29000" xr:uid="{00000000-0005-0000-0000-00004C710000}"/>
    <cellStyle name="Percent 2 2 48 2 6" xfId="29001" xr:uid="{00000000-0005-0000-0000-00004D710000}"/>
    <cellStyle name="Percent 2 2 48 3" xfId="29002" xr:uid="{00000000-0005-0000-0000-00004E710000}"/>
    <cellStyle name="Percent 2 2 48 3 2" xfId="29003" xr:uid="{00000000-0005-0000-0000-00004F710000}"/>
    <cellStyle name="Percent 2 2 48 3 3" xfId="29004" xr:uid="{00000000-0005-0000-0000-000050710000}"/>
    <cellStyle name="Percent 2 2 48 4" xfId="29005" xr:uid="{00000000-0005-0000-0000-000051710000}"/>
    <cellStyle name="Percent 2 2 48 4 2" xfId="29006" xr:uid="{00000000-0005-0000-0000-000052710000}"/>
    <cellStyle name="Percent 2 2 48 4 3" xfId="29007" xr:uid="{00000000-0005-0000-0000-000053710000}"/>
    <cellStyle name="Percent 2 2 48 5" xfId="29008" xr:uid="{00000000-0005-0000-0000-000054710000}"/>
    <cellStyle name="Percent 2 2 48 6" xfId="29009" xr:uid="{00000000-0005-0000-0000-000055710000}"/>
    <cellStyle name="Percent 2 2 48 7" xfId="29010" xr:uid="{00000000-0005-0000-0000-000056710000}"/>
    <cellStyle name="Percent 2 2 49" xfId="29011" xr:uid="{00000000-0005-0000-0000-000057710000}"/>
    <cellStyle name="Percent 2 2 49 2" xfId="29012" xr:uid="{00000000-0005-0000-0000-000058710000}"/>
    <cellStyle name="Percent 2 2 49 2 2" xfId="29013" xr:uid="{00000000-0005-0000-0000-000059710000}"/>
    <cellStyle name="Percent 2 2 49 2 2 2" xfId="29014" xr:uid="{00000000-0005-0000-0000-00005A710000}"/>
    <cellStyle name="Percent 2 2 49 2 2 3" xfId="29015" xr:uid="{00000000-0005-0000-0000-00005B710000}"/>
    <cellStyle name="Percent 2 2 49 2 3" xfId="29016" xr:uid="{00000000-0005-0000-0000-00005C710000}"/>
    <cellStyle name="Percent 2 2 49 2 3 2" xfId="29017" xr:uid="{00000000-0005-0000-0000-00005D710000}"/>
    <cellStyle name="Percent 2 2 49 2 3 3" xfId="29018" xr:uid="{00000000-0005-0000-0000-00005E710000}"/>
    <cellStyle name="Percent 2 2 49 2 4" xfId="29019" xr:uid="{00000000-0005-0000-0000-00005F710000}"/>
    <cellStyle name="Percent 2 2 49 2 5" xfId="29020" xr:uid="{00000000-0005-0000-0000-000060710000}"/>
    <cellStyle name="Percent 2 2 49 2 6" xfId="29021" xr:uid="{00000000-0005-0000-0000-000061710000}"/>
    <cellStyle name="Percent 2 2 49 3" xfId="29022" xr:uid="{00000000-0005-0000-0000-000062710000}"/>
    <cellStyle name="Percent 2 2 49 3 2" xfId="29023" xr:uid="{00000000-0005-0000-0000-000063710000}"/>
    <cellStyle name="Percent 2 2 49 3 3" xfId="29024" xr:uid="{00000000-0005-0000-0000-000064710000}"/>
    <cellStyle name="Percent 2 2 49 4" xfId="29025" xr:uid="{00000000-0005-0000-0000-000065710000}"/>
    <cellStyle name="Percent 2 2 49 4 2" xfId="29026" xr:uid="{00000000-0005-0000-0000-000066710000}"/>
    <cellStyle name="Percent 2 2 49 4 3" xfId="29027" xr:uid="{00000000-0005-0000-0000-000067710000}"/>
    <cellStyle name="Percent 2 2 49 5" xfId="29028" xr:uid="{00000000-0005-0000-0000-000068710000}"/>
    <cellStyle name="Percent 2 2 49 6" xfId="29029" xr:uid="{00000000-0005-0000-0000-000069710000}"/>
    <cellStyle name="Percent 2 2 49 7" xfId="29030" xr:uid="{00000000-0005-0000-0000-00006A710000}"/>
    <cellStyle name="Percent 2 2 5" xfId="29031" xr:uid="{00000000-0005-0000-0000-00006B710000}"/>
    <cellStyle name="Percent 2 2 5 2" xfId="29032" xr:uid="{00000000-0005-0000-0000-00006C710000}"/>
    <cellStyle name="Percent 2 2 5 2 2" xfId="29033" xr:uid="{00000000-0005-0000-0000-00006D710000}"/>
    <cellStyle name="Percent 2 2 5 2 2 2" xfId="29034" xr:uid="{00000000-0005-0000-0000-00006E710000}"/>
    <cellStyle name="Percent 2 2 5 2 2 3" xfId="29035" xr:uid="{00000000-0005-0000-0000-00006F710000}"/>
    <cellStyle name="Percent 2 2 5 2 3" xfId="29036" xr:uid="{00000000-0005-0000-0000-000070710000}"/>
    <cellStyle name="Percent 2 2 5 2 3 2" xfId="29037" xr:uid="{00000000-0005-0000-0000-000071710000}"/>
    <cellStyle name="Percent 2 2 5 2 3 3" xfId="29038" xr:uid="{00000000-0005-0000-0000-000072710000}"/>
    <cellStyle name="Percent 2 2 5 2 4" xfId="29039" xr:uid="{00000000-0005-0000-0000-000073710000}"/>
    <cellStyle name="Percent 2 2 5 2 5" xfId="29040" xr:uid="{00000000-0005-0000-0000-000074710000}"/>
    <cellStyle name="Percent 2 2 5 2 6" xfId="29041" xr:uid="{00000000-0005-0000-0000-000075710000}"/>
    <cellStyle name="Percent 2 2 5 3" xfId="29042" xr:uid="{00000000-0005-0000-0000-000076710000}"/>
    <cellStyle name="Percent 2 2 5 3 2" xfId="29043" xr:uid="{00000000-0005-0000-0000-000077710000}"/>
    <cellStyle name="Percent 2 2 5 3 3" xfId="29044" xr:uid="{00000000-0005-0000-0000-000078710000}"/>
    <cellStyle name="Percent 2 2 5 4" xfId="29045" xr:uid="{00000000-0005-0000-0000-000079710000}"/>
    <cellStyle name="Percent 2 2 5 4 2" xfId="29046" xr:uid="{00000000-0005-0000-0000-00007A710000}"/>
    <cellStyle name="Percent 2 2 5 4 3" xfId="29047" xr:uid="{00000000-0005-0000-0000-00007B710000}"/>
    <cellStyle name="Percent 2 2 5 5" xfId="29048" xr:uid="{00000000-0005-0000-0000-00007C710000}"/>
    <cellStyle name="Percent 2 2 5 5 2" xfId="29049" xr:uid="{00000000-0005-0000-0000-00007D710000}"/>
    <cellStyle name="Percent 2 2 5 5 3" xfId="29050" xr:uid="{00000000-0005-0000-0000-00007E710000}"/>
    <cellStyle name="Percent 2 2 5 6" xfId="29051" xr:uid="{00000000-0005-0000-0000-00007F710000}"/>
    <cellStyle name="Percent 2 2 5 7" xfId="29052" xr:uid="{00000000-0005-0000-0000-000080710000}"/>
    <cellStyle name="Percent 2 2 5 8" xfId="29053" xr:uid="{00000000-0005-0000-0000-000081710000}"/>
    <cellStyle name="Percent 2 2 50" xfId="29054" xr:uid="{00000000-0005-0000-0000-000082710000}"/>
    <cellStyle name="Percent 2 2 50 2" xfId="29055" xr:uid="{00000000-0005-0000-0000-000083710000}"/>
    <cellStyle name="Percent 2 2 50 2 2" xfId="29056" xr:uid="{00000000-0005-0000-0000-000084710000}"/>
    <cellStyle name="Percent 2 2 50 2 2 2" xfId="29057" xr:uid="{00000000-0005-0000-0000-000085710000}"/>
    <cellStyle name="Percent 2 2 50 2 2 3" xfId="29058" xr:uid="{00000000-0005-0000-0000-000086710000}"/>
    <cellStyle name="Percent 2 2 50 2 3" xfId="29059" xr:uid="{00000000-0005-0000-0000-000087710000}"/>
    <cellStyle name="Percent 2 2 50 2 3 2" xfId="29060" xr:uid="{00000000-0005-0000-0000-000088710000}"/>
    <cellStyle name="Percent 2 2 50 2 3 3" xfId="29061" xr:uid="{00000000-0005-0000-0000-000089710000}"/>
    <cellStyle name="Percent 2 2 50 2 4" xfId="29062" xr:uid="{00000000-0005-0000-0000-00008A710000}"/>
    <cellStyle name="Percent 2 2 50 2 5" xfId="29063" xr:uid="{00000000-0005-0000-0000-00008B710000}"/>
    <cellStyle name="Percent 2 2 50 2 6" xfId="29064" xr:uid="{00000000-0005-0000-0000-00008C710000}"/>
    <cellStyle name="Percent 2 2 50 3" xfId="29065" xr:uid="{00000000-0005-0000-0000-00008D710000}"/>
    <cellStyle name="Percent 2 2 50 3 2" xfId="29066" xr:uid="{00000000-0005-0000-0000-00008E710000}"/>
    <cellStyle name="Percent 2 2 50 3 3" xfId="29067" xr:uid="{00000000-0005-0000-0000-00008F710000}"/>
    <cellStyle name="Percent 2 2 50 4" xfId="29068" xr:uid="{00000000-0005-0000-0000-000090710000}"/>
    <cellStyle name="Percent 2 2 50 4 2" xfId="29069" xr:uid="{00000000-0005-0000-0000-000091710000}"/>
    <cellStyle name="Percent 2 2 50 4 3" xfId="29070" xr:uid="{00000000-0005-0000-0000-000092710000}"/>
    <cellStyle name="Percent 2 2 50 5" xfId="29071" xr:uid="{00000000-0005-0000-0000-000093710000}"/>
    <cellStyle name="Percent 2 2 50 6" xfId="29072" xr:uid="{00000000-0005-0000-0000-000094710000}"/>
    <cellStyle name="Percent 2 2 50 7" xfId="29073" xr:uid="{00000000-0005-0000-0000-000095710000}"/>
    <cellStyle name="Percent 2 2 51" xfId="29074" xr:uid="{00000000-0005-0000-0000-000096710000}"/>
    <cellStyle name="Percent 2 2 51 2" xfId="29075" xr:uid="{00000000-0005-0000-0000-000097710000}"/>
    <cellStyle name="Percent 2 2 51 2 2" xfId="29076" xr:uid="{00000000-0005-0000-0000-000098710000}"/>
    <cellStyle name="Percent 2 2 51 2 2 2" xfId="29077" xr:uid="{00000000-0005-0000-0000-000099710000}"/>
    <cellStyle name="Percent 2 2 51 2 2 3" xfId="29078" xr:uid="{00000000-0005-0000-0000-00009A710000}"/>
    <cellStyle name="Percent 2 2 51 2 3" xfId="29079" xr:uid="{00000000-0005-0000-0000-00009B710000}"/>
    <cellStyle name="Percent 2 2 51 2 3 2" xfId="29080" xr:uid="{00000000-0005-0000-0000-00009C710000}"/>
    <cellStyle name="Percent 2 2 51 2 3 3" xfId="29081" xr:uid="{00000000-0005-0000-0000-00009D710000}"/>
    <cellStyle name="Percent 2 2 51 2 4" xfId="29082" xr:uid="{00000000-0005-0000-0000-00009E710000}"/>
    <cellStyle name="Percent 2 2 51 2 5" xfId="29083" xr:uid="{00000000-0005-0000-0000-00009F710000}"/>
    <cellStyle name="Percent 2 2 51 2 6" xfId="29084" xr:uid="{00000000-0005-0000-0000-0000A0710000}"/>
    <cellStyle name="Percent 2 2 51 3" xfId="29085" xr:uid="{00000000-0005-0000-0000-0000A1710000}"/>
    <cellStyle name="Percent 2 2 51 3 2" xfId="29086" xr:uid="{00000000-0005-0000-0000-0000A2710000}"/>
    <cellStyle name="Percent 2 2 51 3 3" xfId="29087" xr:uid="{00000000-0005-0000-0000-0000A3710000}"/>
    <cellStyle name="Percent 2 2 51 4" xfId="29088" xr:uid="{00000000-0005-0000-0000-0000A4710000}"/>
    <cellStyle name="Percent 2 2 51 4 2" xfId="29089" xr:uid="{00000000-0005-0000-0000-0000A5710000}"/>
    <cellStyle name="Percent 2 2 51 4 3" xfId="29090" xr:uid="{00000000-0005-0000-0000-0000A6710000}"/>
    <cellStyle name="Percent 2 2 51 5" xfId="29091" xr:uid="{00000000-0005-0000-0000-0000A7710000}"/>
    <cellStyle name="Percent 2 2 51 6" xfId="29092" xr:uid="{00000000-0005-0000-0000-0000A8710000}"/>
    <cellStyle name="Percent 2 2 51 7" xfId="29093" xr:uid="{00000000-0005-0000-0000-0000A9710000}"/>
    <cellStyle name="Percent 2 2 52" xfId="29094" xr:uid="{00000000-0005-0000-0000-0000AA710000}"/>
    <cellStyle name="Percent 2 2 52 2" xfId="29095" xr:uid="{00000000-0005-0000-0000-0000AB710000}"/>
    <cellStyle name="Percent 2 2 52 2 2" xfId="29096" xr:uid="{00000000-0005-0000-0000-0000AC710000}"/>
    <cellStyle name="Percent 2 2 52 2 2 2" xfId="29097" xr:uid="{00000000-0005-0000-0000-0000AD710000}"/>
    <cellStyle name="Percent 2 2 52 2 2 3" xfId="29098" xr:uid="{00000000-0005-0000-0000-0000AE710000}"/>
    <cellStyle name="Percent 2 2 52 2 3" xfId="29099" xr:uid="{00000000-0005-0000-0000-0000AF710000}"/>
    <cellStyle name="Percent 2 2 52 2 3 2" xfId="29100" xr:uid="{00000000-0005-0000-0000-0000B0710000}"/>
    <cellStyle name="Percent 2 2 52 2 3 3" xfId="29101" xr:uid="{00000000-0005-0000-0000-0000B1710000}"/>
    <cellStyle name="Percent 2 2 52 2 4" xfId="29102" xr:uid="{00000000-0005-0000-0000-0000B2710000}"/>
    <cellStyle name="Percent 2 2 52 2 5" xfId="29103" xr:uid="{00000000-0005-0000-0000-0000B3710000}"/>
    <cellStyle name="Percent 2 2 52 2 6" xfId="29104" xr:uid="{00000000-0005-0000-0000-0000B4710000}"/>
    <cellStyle name="Percent 2 2 52 3" xfId="29105" xr:uid="{00000000-0005-0000-0000-0000B5710000}"/>
    <cellStyle name="Percent 2 2 52 3 2" xfId="29106" xr:uid="{00000000-0005-0000-0000-0000B6710000}"/>
    <cellStyle name="Percent 2 2 52 3 3" xfId="29107" xr:uid="{00000000-0005-0000-0000-0000B7710000}"/>
    <cellStyle name="Percent 2 2 52 4" xfId="29108" xr:uid="{00000000-0005-0000-0000-0000B8710000}"/>
    <cellStyle name="Percent 2 2 52 4 2" xfId="29109" xr:uid="{00000000-0005-0000-0000-0000B9710000}"/>
    <cellStyle name="Percent 2 2 52 4 3" xfId="29110" xr:uid="{00000000-0005-0000-0000-0000BA710000}"/>
    <cellStyle name="Percent 2 2 52 5" xfId="29111" xr:uid="{00000000-0005-0000-0000-0000BB710000}"/>
    <cellStyle name="Percent 2 2 52 6" xfId="29112" xr:uid="{00000000-0005-0000-0000-0000BC710000}"/>
    <cellStyle name="Percent 2 2 52 7" xfId="29113" xr:uid="{00000000-0005-0000-0000-0000BD710000}"/>
    <cellStyle name="Percent 2 2 53" xfId="29114" xr:uid="{00000000-0005-0000-0000-0000BE710000}"/>
    <cellStyle name="Percent 2 2 53 2" xfId="29115" xr:uid="{00000000-0005-0000-0000-0000BF710000}"/>
    <cellStyle name="Percent 2 2 53 2 2" xfId="29116" xr:uid="{00000000-0005-0000-0000-0000C0710000}"/>
    <cellStyle name="Percent 2 2 53 2 2 2" xfId="29117" xr:uid="{00000000-0005-0000-0000-0000C1710000}"/>
    <cellStyle name="Percent 2 2 53 2 2 3" xfId="29118" xr:uid="{00000000-0005-0000-0000-0000C2710000}"/>
    <cellStyle name="Percent 2 2 53 2 3" xfId="29119" xr:uid="{00000000-0005-0000-0000-0000C3710000}"/>
    <cellStyle name="Percent 2 2 53 2 3 2" xfId="29120" xr:uid="{00000000-0005-0000-0000-0000C4710000}"/>
    <cellStyle name="Percent 2 2 53 2 3 3" xfId="29121" xr:uid="{00000000-0005-0000-0000-0000C5710000}"/>
    <cellStyle name="Percent 2 2 53 2 4" xfId="29122" xr:uid="{00000000-0005-0000-0000-0000C6710000}"/>
    <cellStyle name="Percent 2 2 53 2 5" xfId="29123" xr:uid="{00000000-0005-0000-0000-0000C7710000}"/>
    <cellStyle name="Percent 2 2 53 2 6" xfId="29124" xr:uid="{00000000-0005-0000-0000-0000C8710000}"/>
    <cellStyle name="Percent 2 2 53 3" xfId="29125" xr:uid="{00000000-0005-0000-0000-0000C9710000}"/>
    <cellStyle name="Percent 2 2 53 3 2" xfId="29126" xr:uid="{00000000-0005-0000-0000-0000CA710000}"/>
    <cellStyle name="Percent 2 2 53 3 3" xfId="29127" xr:uid="{00000000-0005-0000-0000-0000CB710000}"/>
    <cellStyle name="Percent 2 2 53 4" xfId="29128" xr:uid="{00000000-0005-0000-0000-0000CC710000}"/>
    <cellStyle name="Percent 2 2 53 4 2" xfId="29129" xr:uid="{00000000-0005-0000-0000-0000CD710000}"/>
    <cellStyle name="Percent 2 2 53 4 3" xfId="29130" xr:uid="{00000000-0005-0000-0000-0000CE710000}"/>
    <cellStyle name="Percent 2 2 53 5" xfId="29131" xr:uid="{00000000-0005-0000-0000-0000CF710000}"/>
    <cellStyle name="Percent 2 2 53 6" xfId="29132" xr:uid="{00000000-0005-0000-0000-0000D0710000}"/>
    <cellStyle name="Percent 2 2 53 7" xfId="29133" xr:uid="{00000000-0005-0000-0000-0000D1710000}"/>
    <cellStyle name="Percent 2 2 54" xfId="29134" xr:uid="{00000000-0005-0000-0000-0000D2710000}"/>
    <cellStyle name="Percent 2 2 54 2" xfId="29135" xr:uid="{00000000-0005-0000-0000-0000D3710000}"/>
    <cellStyle name="Percent 2 2 55" xfId="29136" xr:uid="{00000000-0005-0000-0000-0000D4710000}"/>
    <cellStyle name="Percent 2 2 55 2" xfId="29137" xr:uid="{00000000-0005-0000-0000-0000D5710000}"/>
    <cellStyle name="Percent 2 2 56" xfId="29138" xr:uid="{00000000-0005-0000-0000-0000D6710000}"/>
    <cellStyle name="Percent 2 2 56 2" xfId="29139" xr:uid="{00000000-0005-0000-0000-0000D7710000}"/>
    <cellStyle name="Percent 2 2 57" xfId="29140" xr:uid="{00000000-0005-0000-0000-0000D8710000}"/>
    <cellStyle name="Percent 2 2 57 2" xfId="29141" xr:uid="{00000000-0005-0000-0000-0000D9710000}"/>
    <cellStyle name="Percent 2 2 58" xfId="29142" xr:uid="{00000000-0005-0000-0000-0000DA710000}"/>
    <cellStyle name="Percent 2 2 58 2" xfId="29143" xr:uid="{00000000-0005-0000-0000-0000DB710000}"/>
    <cellStyle name="Percent 2 2 59" xfId="29144" xr:uid="{00000000-0005-0000-0000-0000DC710000}"/>
    <cellStyle name="Percent 2 2 59 2" xfId="29145" xr:uid="{00000000-0005-0000-0000-0000DD710000}"/>
    <cellStyle name="Percent 2 2 6" xfId="29146" xr:uid="{00000000-0005-0000-0000-0000DE710000}"/>
    <cellStyle name="Percent 2 2 6 2" xfId="29147" xr:uid="{00000000-0005-0000-0000-0000DF710000}"/>
    <cellStyle name="Percent 2 2 6 2 2" xfId="29148" xr:uid="{00000000-0005-0000-0000-0000E0710000}"/>
    <cellStyle name="Percent 2 2 6 2 2 2" xfId="29149" xr:uid="{00000000-0005-0000-0000-0000E1710000}"/>
    <cellStyle name="Percent 2 2 6 2 2 3" xfId="29150" xr:uid="{00000000-0005-0000-0000-0000E2710000}"/>
    <cellStyle name="Percent 2 2 6 2 3" xfId="29151" xr:uid="{00000000-0005-0000-0000-0000E3710000}"/>
    <cellStyle name="Percent 2 2 6 2 3 2" xfId="29152" xr:uid="{00000000-0005-0000-0000-0000E4710000}"/>
    <cellStyle name="Percent 2 2 6 2 3 3" xfId="29153" xr:uid="{00000000-0005-0000-0000-0000E5710000}"/>
    <cellStyle name="Percent 2 2 6 2 4" xfId="29154" xr:uid="{00000000-0005-0000-0000-0000E6710000}"/>
    <cellStyle name="Percent 2 2 6 2 5" xfId="29155" xr:uid="{00000000-0005-0000-0000-0000E7710000}"/>
    <cellStyle name="Percent 2 2 6 2 6" xfId="29156" xr:uid="{00000000-0005-0000-0000-0000E8710000}"/>
    <cellStyle name="Percent 2 2 6 3" xfId="29157" xr:uid="{00000000-0005-0000-0000-0000E9710000}"/>
    <cellStyle name="Percent 2 2 6 3 2" xfId="29158" xr:uid="{00000000-0005-0000-0000-0000EA710000}"/>
    <cellStyle name="Percent 2 2 6 3 3" xfId="29159" xr:uid="{00000000-0005-0000-0000-0000EB710000}"/>
    <cellStyle name="Percent 2 2 6 4" xfId="29160" xr:uid="{00000000-0005-0000-0000-0000EC710000}"/>
    <cellStyle name="Percent 2 2 6 4 2" xfId="29161" xr:uid="{00000000-0005-0000-0000-0000ED710000}"/>
    <cellStyle name="Percent 2 2 6 4 3" xfId="29162" xr:uid="{00000000-0005-0000-0000-0000EE710000}"/>
    <cellStyle name="Percent 2 2 6 5" xfId="29163" xr:uid="{00000000-0005-0000-0000-0000EF710000}"/>
    <cellStyle name="Percent 2 2 6 6" xfId="29164" xr:uid="{00000000-0005-0000-0000-0000F0710000}"/>
    <cellStyle name="Percent 2 2 6 7" xfId="29165" xr:uid="{00000000-0005-0000-0000-0000F1710000}"/>
    <cellStyle name="Percent 2 2 60" xfId="29166" xr:uid="{00000000-0005-0000-0000-0000F2710000}"/>
    <cellStyle name="Percent 2 2 60 2" xfId="29167" xr:uid="{00000000-0005-0000-0000-0000F3710000}"/>
    <cellStyle name="Percent 2 2 61" xfId="29168" xr:uid="{00000000-0005-0000-0000-0000F4710000}"/>
    <cellStyle name="Percent 2 2 61 2" xfId="29169" xr:uid="{00000000-0005-0000-0000-0000F5710000}"/>
    <cellStyle name="Percent 2 2 62" xfId="29170" xr:uid="{00000000-0005-0000-0000-0000F6710000}"/>
    <cellStyle name="Percent 2 2 62 2" xfId="29171" xr:uid="{00000000-0005-0000-0000-0000F7710000}"/>
    <cellStyle name="Percent 2 2 63" xfId="29172" xr:uid="{00000000-0005-0000-0000-0000F8710000}"/>
    <cellStyle name="Percent 2 2 63 2" xfId="29173" xr:uid="{00000000-0005-0000-0000-0000F9710000}"/>
    <cellStyle name="Percent 2 2 64" xfId="29174" xr:uid="{00000000-0005-0000-0000-0000FA710000}"/>
    <cellStyle name="Percent 2 2 64 2" xfId="29175" xr:uid="{00000000-0005-0000-0000-0000FB710000}"/>
    <cellStyle name="Percent 2 2 65" xfId="29176" xr:uid="{00000000-0005-0000-0000-0000FC710000}"/>
    <cellStyle name="Percent 2 2 65 2" xfId="29177" xr:uid="{00000000-0005-0000-0000-0000FD710000}"/>
    <cellStyle name="Percent 2 2 65 2 2" xfId="29178" xr:uid="{00000000-0005-0000-0000-0000FE710000}"/>
    <cellStyle name="Percent 2 2 65 2 3" xfId="29179" xr:uid="{00000000-0005-0000-0000-0000FF710000}"/>
    <cellStyle name="Percent 2 2 65 3" xfId="29180" xr:uid="{00000000-0005-0000-0000-000000720000}"/>
    <cellStyle name="Percent 2 2 65 3 2" xfId="29181" xr:uid="{00000000-0005-0000-0000-000001720000}"/>
    <cellStyle name="Percent 2 2 65 3 3" xfId="29182" xr:uid="{00000000-0005-0000-0000-000002720000}"/>
    <cellStyle name="Percent 2 2 65 4" xfId="29183" xr:uid="{00000000-0005-0000-0000-000003720000}"/>
    <cellStyle name="Percent 2 2 65 5" xfId="29184" xr:uid="{00000000-0005-0000-0000-000004720000}"/>
    <cellStyle name="Percent 2 2 65 6" xfId="29185" xr:uid="{00000000-0005-0000-0000-000005720000}"/>
    <cellStyle name="Percent 2 2 66" xfId="29186" xr:uid="{00000000-0005-0000-0000-000006720000}"/>
    <cellStyle name="Percent 2 2 66 2" xfId="29187" xr:uid="{00000000-0005-0000-0000-000007720000}"/>
    <cellStyle name="Percent 2 2 66 3" xfId="29188" xr:uid="{00000000-0005-0000-0000-000008720000}"/>
    <cellStyle name="Percent 2 2 67" xfId="29189" xr:uid="{00000000-0005-0000-0000-000009720000}"/>
    <cellStyle name="Percent 2 2 67 2" xfId="29190" xr:uid="{00000000-0005-0000-0000-00000A720000}"/>
    <cellStyle name="Percent 2 2 67 3" xfId="29191" xr:uid="{00000000-0005-0000-0000-00000B720000}"/>
    <cellStyle name="Percent 2 2 68" xfId="29192" xr:uid="{00000000-0005-0000-0000-00000C720000}"/>
    <cellStyle name="Percent 2 2 68 2" xfId="29193" xr:uid="{00000000-0005-0000-0000-00000D720000}"/>
    <cellStyle name="Percent 2 2 68 3" xfId="29194" xr:uid="{00000000-0005-0000-0000-00000E720000}"/>
    <cellStyle name="Percent 2 2 69" xfId="29195" xr:uid="{00000000-0005-0000-0000-00000F720000}"/>
    <cellStyle name="Percent 2 2 7" xfId="29196" xr:uid="{00000000-0005-0000-0000-000010720000}"/>
    <cellStyle name="Percent 2 2 7 2" xfId="29197" xr:uid="{00000000-0005-0000-0000-000011720000}"/>
    <cellStyle name="Percent 2 2 7 2 2" xfId="29198" xr:uid="{00000000-0005-0000-0000-000012720000}"/>
    <cellStyle name="Percent 2 2 7 2 2 2" xfId="29199" xr:uid="{00000000-0005-0000-0000-000013720000}"/>
    <cellStyle name="Percent 2 2 7 2 2 3" xfId="29200" xr:uid="{00000000-0005-0000-0000-000014720000}"/>
    <cellStyle name="Percent 2 2 7 2 3" xfId="29201" xr:uid="{00000000-0005-0000-0000-000015720000}"/>
    <cellStyle name="Percent 2 2 7 2 3 2" xfId="29202" xr:uid="{00000000-0005-0000-0000-000016720000}"/>
    <cellStyle name="Percent 2 2 7 2 3 3" xfId="29203" xr:uid="{00000000-0005-0000-0000-000017720000}"/>
    <cellStyle name="Percent 2 2 7 2 4" xfId="29204" xr:uid="{00000000-0005-0000-0000-000018720000}"/>
    <cellStyle name="Percent 2 2 7 2 5" xfId="29205" xr:uid="{00000000-0005-0000-0000-000019720000}"/>
    <cellStyle name="Percent 2 2 7 2 6" xfId="29206" xr:uid="{00000000-0005-0000-0000-00001A720000}"/>
    <cellStyle name="Percent 2 2 7 3" xfId="29207" xr:uid="{00000000-0005-0000-0000-00001B720000}"/>
    <cellStyle name="Percent 2 2 7 3 2" xfId="29208" xr:uid="{00000000-0005-0000-0000-00001C720000}"/>
    <cellStyle name="Percent 2 2 7 3 3" xfId="29209" xr:uid="{00000000-0005-0000-0000-00001D720000}"/>
    <cellStyle name="Percent 2 2 7 4" xfId="29210" xr:uid="{00000000-0005-0000-0000-00001E720000}"/>
    <cellStyle name="Percent 2 2 7 4 2" xfId="29211" xr:uid="{00000000-0005-0000-0000-00001F720000}"/>
    <cellStyle name="Percent 2 2 7 4 3" xfId="29212" xr:uid="{00000000-0005-0000-0000-000020720000}"/>
    <cellStyle name="Percent 2 2 7 5" xfId="29213" xr:uid="{00000000-0005-0000-0000-000021720000}"/>
    <cellStyle name="Percent 2 2 7 6" xfId="29214" xr:uid="{00000000-0005-0000-0000-000022720000}"/>
    <cellStyle name="Percent 2 2 7 7" xfId="29215" xr:uid="{00000000-0005-0000-0000-000023720000}"/>
    <cellStyle name="Percent 2 2 70" xfId="29216" xr:uid="{00000000-0005-0000-0000-000024720000}"/>
    <cellStyle name="Percent 2 2 71" xfId="29217" xr:uid="{00000000-0005-0000-0000-000025720000}"/>
    <cellStyle name="Percent 2 2 8" xfId="29218" xr:uid="{00000000-0005-0000-0000-000026720000}"/>
    <cellStyle name="Percent 2 2 8 2" xfId="29219" xr:uid="{00000000-0005-0000-0000-000027720000}"/>
    <cellStyle name="Percent 2 2 8 2 2" xfId="29220" xr:uid="{00000000-0005-0000-0000-000028720000}"/>
    <cellStyle name="Percent 2 2 8 2 2 2" xfId="29221" xr:uid="{00000000-0005-0000-0000-000029720000}"/>
    <cellStyle name="Percent 2 2 8 2 2 3" xfId="29222" xr:uid="{00000000-0005-0000-0000-00002A720000}"/>
    <cellStyle name="Percent 2 2 8 2 3" xfId="29223" xr:uid="{00000000-0005-0000-0000-00002B720000}"/>
    <cellStyle name="Percent 2 2 8 2 3 2" xfId="29224" xr:uid="{00000000-0005-0000-0000-00002C720000}"/>
    <cellStyle name="Percent 2 2 8 2 3 3" xfId="29225" xr:uid="{00000000-0005-0000-0000-00002D720000}"/>
    <cellStyle name="Percent 2 2 8 2 4" xfId="29226" xr:uid="{00000000-0005-0000-0000-00002E720000}"/>
    <cellStyle name="Percent 2 2 8 2 5" xfId="29227" xr:uid="{00000000-0005-0000-0000-00002F720000}"/>
    <cellStyle name="Percent 2 2 8 2 6" xfId="29228" xr:uid="{00000000-0005-0000-0000-000030720000}"/>
    <cellStyle name="Percent 2 2 8 3" xfId="29229" xr:uid="{00000000-0005-0000-0000-000031720000}"/>
    <cellStyle name="Percent 2 2 8 3 2" xfId="29230" xr:uid="{00000000-0005-0000-0000-000032720000}"/>
    <cellStyle name="Percent 2 2 8 3 3" xfId="29231" xr:uid="{00000000-0005-0000-0000-000033720000}"/>
    <cellStyle name="Percent 2 2 8 4" xfId="29232" xr:uid="{00000000-0005-0000-0000-000034720000}"/>
    <cellStyle name="Percent 2 2 8 4 2" xfId="29233" xr:uid="{00000000-0005-0000-0000-000035720000}"/>
    <cellStyle name="Percent 2 2 8 4 3" xfId="29234" xr:uid="{00000000-0005-0000-0000-000036720000}"/>
    <cellStyle name="Percent 2 2 8 5" xfId="29235" xr:uid="{00000000-0005-0000-0000-000037720000}"/>
    <cellStyle name="Percent 2 2 8 6" xfId="29236" xr:uid="{00000000-0005-0000-0000-000038720000}"/>
    <cellStyle name="Percent 2 2 8 7" xfId="29237" xr:uid="{00000000-0005-0000-0000-000039720000}"/>
    <cellStyle name="Percent 2 2 9" xfId="29238" xr:uid="{00000000-0005-0000-0000-00003A720000}"/>
    <cellStyle name="Percent 2 2 9 2" xfId="29239" xr:uid="{00000000-0005-0000-0000-00003B720000}"/>
    <cellStyle name="Percent 2 2 9 2 2" xfId="29240" xr:uid="{00000000-0005-0000-0000-00003C720000}"/>
    <cellStyle name="Percent 2 2 9 2 2 2" xfId="29241" xr:uid="{00000000-0005-0000-0000-00003D720000}"/>
    <cellStyle name="Percent 2 2 9 2 2 3" xfId="29242" xr:uid="{00000000-0005-0000-0000-00003E720000}"/>
    <cellStyle name="Percent 2 2 9 2 3" xfId="29243" xr:uid="{00000000-0005-0000-0000-00003F720000}"/>
    <cellStyle name="Percent 2 2 9 2 3 2" xfId="29244" xr:uid="{00000000-0005-0000-0000-000040720000}"/>
    <cellStyle name="Percent 2 2 9 2 3 3" xfId="29245" xr:uid="{00000000-0005-0000-0000-000041720000}"/>
    <cellStyle name="Percent 2 2 9 2 4" xfId="29246" xr:uid="{00000000-0005-0000-0000-000042720000}"/>
    <cellStyle name="Percent 2 2 9 2 5" xfId="29247" xr:uid="{00000000-0005-0000-0000-000043720000}"/>
    <cellStyle name="Percent 2 2 9 2 6" xfId="29248" xr:uid="{00000000-0005-0000-0000-000044720000}"/>
    <cellStyle name="Percent 2 2 9 3" xfId="29249" xr:uid="{00000000-0005-0000-0000-000045720000}"/>
    <cellStyle name="Percent 2 2 9 3 2" xfId="29250" xr:uid="{00000000-0005-0000-0000-000046720000}"/>
    <cellStyle name="Percent 2 2 9 3 3" xfId="29251" xr:uid="{00000000-0005-0000-0000-000047720000}"/>
    <cellStyle name="Percent 2 2 9 4" xfId="29252" xr:uid="{00000000-0005-0000-0000-000048720000}"/>
    <cellStyle name="Percent 2 2 9 4 2" xfId="29253" xr:uid="{00000000-0005-0000-0000-000049720000}"/>
    <cellStyle name="Percent 2 2 9 4 3" xfId="29254" xr:uid="{00000000-0005-0000-0000-00004A720000}"/>
    <cellStyle name="Percent 2 2 9 5" xfId="29255" xr:uid="{00000000-0005-0000-0000-00004B720000}"/>
    <cellStyle name="Percent 2 2 9 6" xfId="29256" xr:uid="{00000000-0005-0000-0000-00004C720000}"/>
    <cellStyle name="Percent 2 2 9 7" xfId="29257" xr:uid="{00000000-0005-0000-0000-00004D720000}"/>
    <cellStyle name="Percent 2 20" xfId="29258" xr:uid="{00000000-0005-0000-0000-00004E720000}"/>
    <cellStyle name="Percent 2 20 2" xfId="29259" xr:uid="{00000000-0005-0000-0000-00004F720000}"/>
    <cellStyle name="Percent 2 20 2 2" xfId="29260" xr:uid="{00000000-0005-0000-0000-000050720000}"/>
    <cellStyle name="Percent 2 20 2 2 2" xfId="29261" xr:uid="{00000000-0005-0000-0000-000051720000}"/>
    <cellStyle name="Percent 2 20 2 2 3" xfId="29262" xr:uid="{00000000-0005-0000-0000-000052720000}"/>
    <cellStyle name="Percent 2 20 2 3" xfId="29263" xr:uid="{00000000-0005-0000-0000-000053720000}"/>
    <cellStyle name="Percent 2 20 2 3 2" xfId="29264" xr:uid="{00000000-0005-0000-0000-000054720000}"/>
    <cellStyle name="Percent 2 20 2 3 3" xfId="29265" xr:uid="{00000000-0005-0000-0000-000055720000}"/>
    <cellStyle name="Percent 2 20 2 4" xfId="29266" xr:uid="{00000000-0005-0000-0000-000056720000}"/>
    <cellStyle name="Percent 2 20 2 5" xfId="29267" xr:uid="{00000000-0005-0000-0000-000057720000}"/>
    <cellStyle name="Percent 2 20 2 6" xfId="29268" xr:uid="{00000000-0005-0000-0000-000058720000}"/>
    <cellStyle name="Percent 2 20 3" xfId="29269" xr:uid="{00000000-0005-0000-0000-000059720000}"/>
    <cellStyle name="Percent 2 20 3 2" xfId="29270" xr:uid="{00000000-0005-0000-0000-00005A720000}"/>
    <cellStyle name="Percent 2 20 3 3" xfId="29271" xr:uid="{00000000-0005-0000-0000-00005B720000}"/>
    <cellStyle name="Percent 2 20 4" xfId="29272" xr:uid="{00000000-0005-0000-0000-00005C720000}"/>
    <cellStyle name="Percent 2 20 4 2" xfId="29273" xr:uid="{00000000-0005-0000-0000-00005D720000}"/>
    <cellStyle name="Percent 2 20 4 3" xfId="29274" xr:uid="{00000000-0005-0000-0000-00005E720000}"/>
    <cellStyle name="Percent 2 20 5" xfId="29275" xr:uid="{00000000-0005-0000-0000-00005F720000}"/>
    <cellStyle name="Percent 2 20 6" xfId="29276" xr:uid="{00000000-0005-0000-0000-000060720000}"/>
    <cellStyle name="Percent 2 20 7" xfId="29277" xr:uid="{00000000-0005-0000-0000-000061720000}"/>
    <cellStyle name="Percent 2 21" xfId="29278" xr:uid="{00000000-0005-0000-0000-000062720000}"/>
    <cellStyle name="Percent 2 21 2" xfId="29279" xr:uid="{00000000-0005-0000-0000-000063720000}"/>
    <cellStyle name="Percent 2 21 2 2" xfId="29280" xr:uid="{00000000-0005-0000-0000-000064720000}"/>
    <cellStyle name="Percent 2 21 2 2 2" xfId="29281" xr:uid="{00000000-0005-0000-0000-000065720000}"/>
    <cellStyle name="Percent 2 21 2 2 3" xfId="29282" xr:uid="{00000000-0005-0000-0000-000066720000}"/>
    <cellStyle name="Percent 2 21 2 3" xfId="29283" xr:uid="{00000000-0005-0000-0000-000067720000}"/>
    <cellStyle name="Percent 2 21 2 3 2" xfId="29284" xr:uid="{00000000-0005-0000-0000-000068720000}"/>
    <cellStyle name="Percent 2 21 2 3 3" xfId="29285" xr:uid="{00000000-0005-0000-0000-000069720000}"/>
    <cellStyle name="Percent 2 21 2 4" xfId="29286" xr:uid="{00000000-0005-0000-0000-00006A720000}"/>
    <cellStyle name="Percent 2 21 2 5" xfId="29287" xr:uid="{00000000-0005-0000-0000-00006B720000}"/>
    <cellStyle name="Percent 2 21 2 6" xfId="29288" xr:uid="{00000000-0005-0000-0000-00006C720000}"/>
    <cellStyle name="Percent 2 21 3" xfId="29289" xr:uid="{00000000-0005-0000-0000-00006D720000}"/>
    <cellStyle name="Percent 2 21 3 2" xfId="29290" xr:uid="{00000000-0005-0000-0000-00006E720000}"/>
    <cellStyle name="Percent 2 21 3 3" xfId="29291" xr:uid="{00000000-0005-0000-0000-00006F720000}"/>
    <cellStyle name="Percent 2 21 4" xfId="29292" xr:uid="{00000000-0005-0000-0000-000070720000}"/>
    <cellStyle name="Percent 2 21 4 2" xfId="29293" xr:uid="{00000000-0005-0000-0000-000071720000}"/>
    <cellStyle name="Percent 2 21 4 3" xfId="29294" xr:uid="{00000000-0005-0000-0000-000072720000}"/>
    <cellStyle name="Percent 2 21 5" xfId="29295" xr:uid="{00000000-0005-0000-0000-000073720000}"/>
    <cellStyle name="Percent 2 21 6" xfId="29296" xr:uid="{00000000-0005-0000-0000-000074720000}"/>
    <cellStyle name="Percent 2 21 7" xfId="29297" xr:uid="{00000000-0005-0000-0000-000075720000}"/>
    <cellStyle name="Percent 2 22" xfId="29298" xr:uid="{00000000-0005-0000-0000-000076720000}"/>
    <cellStyle name="Percent 2 22 2" xfId="29299" xr:uid="{00000000-0005-0000-0000-000077720000}"/>
    <cellStyle name="Percent 2 23" xfId="29300" xr:uid="{00000000-0005-0000-0000-000078720000}"/>
    <cellStyle name="Percent 2 23 2" xfId="29301" xr:uid="{00000000-0005-0000-0000-000079720000}"/>
    <cellStyle name="Percent 2 24" xfId="29302" xr:uid="{00000000-0005-0000-0000-00007A720000}"/>
    <cellStyle name="Percent 2 24 2" xfId="29303" xr:uid="{00000000-0005-0000-0000-00007B720000}"/>
    <cellStyle name="Percent 2 25" xfId="29304" xr:uid="{00000000-0005-0000-0000-00007C720000}"/>
    <cellStyle name="Percent 2 25 2" xfId="29305" xr:uid="{00000000-0005-0000-0000-00007D720000}"/>
    <cellStyle name="Percent 2 26" xfId="29306" xr:uid="{00000000-0005-0000-0000-00007E720000}"/>
    <cellStyle name="Percent 2 26 2" xfId="29307" xr:uid="{00000000-0005-0000-0000-00007F720000}"/>
    <cellStyle name="Percent 2 27" xfId="29308" xr:uid="{00000000-0005-0000-0000-000080720000}"/>
    <cellStyle name="Percent 2 27 2" xfId="29309" xr:uid="{00000000-0005-0000-0000-000081720000}"/>
    <cellStyle name="Percent 2 28" xfId="29310" xr:uid="{00000000-0005-0000-0000-000082720000}"/>
    <cellStyle name="Percent 2 28 2" xfId="29311" xr:uid="{00000000-0005-0000-0000-000083720000}"/>
    <cellStyle name="Percent 2 29" xfId="29312" xr:uid="{00000000-0005-0000-0000-000084720000}"/>
    <cellStyle name="Percent 2 29 2" xfId="29313" xr:uid="{00000000-0005-0000-0000-000085720000}"/>
    <cellStyle name="Percent 2 3" xfId="29314" xr:uid="{00000000-0005-0000-0000-000086720000}"/>
    <cellStyle name="Percent 2 3 10" xfId="29315" xr:uid="{00000000-0005-0000-0000-000087720000}"/>
    <cellStyle name="Percent 2 3 11" xfId="29316" xr:uid="{00000000-0005-0000-0000-000088720000}"/>
    <cellStyle name="Percent 2 3 12" xfId="29317" xr:uid="{00000000-0005-0000-0000-000089720000}"/>
    <cellStyle name="Percent 2 3 2" xfId="29318" xr:uid="{00000000-0005-0000-0000-00008A720000}"/>
    <cellStyle name="Percent 2 3 2 10" xfId="29319" xr:uid="{00000000-0005-0000-0000-00008B720000}"/>
    <cellStyle name="Percent 2 3 2 2" xfId="29320" xr:uid="{00000000-0005-0000-0000-00008C720000}"/>
    <cellStyle name="Percent 2 3 2 2 2" xfId="29321" xr:uid="{00000000-0005-0000-0000-00008D720000}"/>
    <cellStyle name="Percent 2 3 2 2 2 2" xfId="29322" xr:uid="{00000000-0005-0000-0000-00008E720000}"/>
    <cellStyle name="Percent 2 3 2 2 2 2 2" xfId="29323" xr:uid="{00000000-0005-0000-0000-00008F720000}"/>
    <cellStyle name="Percent 2 3 2 2 2 2 3" xfId="29324" xr:uid="{00000000-0005-0000-0000-000090720000}"/>
    <cellStyle name="Percent 2 3 2 2 2 3" xfId="29325" xr:uid="{00000000-0005-0000-0000-000091720000}"/>
    <cellStyle name="Percent 2 3 2 2 2 3 2" xfId="29326" xr:uid="{00000000-0005-0000-0000-000092720000}"/>
    <cellStyle name="Percent 2 3 2 2 2 3 3" xfId="29327" xr:uid="{00000000-0005-0000-0000-000093720000}"/>
    <cellStyle name="Percent 2 3 2 2 2 4" xfId="29328" xr:uid="{00000000-0005-0000-0000-000094720000}"/>
    <cellStyle name="Percent 2 3 2 2 2 5" xfId="29329" xr:uid="{00000000-0005-0000-0000-000095720000}"/>
    <cellStyle name="Percent 2 3 2 2 2 6" xfId="29330" xr:uid="{00000000-0005-0000-0000-000096720000}"/>
    <cellStyle name="Percent 2 3 2 2 3" xfId="29331" xr:uid="{00000000-0005-0000-0000-000097720000}"/>
    <cellStyle name="Percent 2 3 2 2 3 2" xfId="29332" xr:uid="{00000000-0005-0000-0000-000098720000}"/>
    <cellStyle name="Percent 2 3 2 2 3 3" xfId="29333" xr:uid="{00000000-0005-0000-0000-000099720000}"/>
    <cellStyle name="Percent 2 3 2 2 4" xfId="29334" xr:uid="{00000000-0005-0000-0000-00009A720000}"/>
    <cellStyle name="Percent 2 3 2 2 4 2" xfId="29335" xr:uid="{00000000-0005-0000-0000-00009B720000}"/>
    <cellStyle name="Percent 2 3 2 2 4 3" xfId="29336" xr:uid="{00000000-0005-0000-0000-00009C720000}"/>
    <cellStyle name="Percent 2 3 2 2 5" xfId="29337" xr:uid="{00000000-0005-0000-0000-00009D720000}"/>
    <cellStyle name="Percent 2 3 2 2 5 2" xfId="29338" xr:uid="{00000000-0005-0000-0000-00009E720000}"/>
    <cellStyle name="Percent 2 3 2 2 5 3" xfId="29339" xr:uid="{00000000-0005-0000-0000-00009F720000}"/>
    <cellStyle name="Percent 2 3 2 2 6" xfId="29340" xr:uid="{00000000-0005-0000-0000-0000A0720000}"/>
    <cellStyle name="Percent 2 3 2 2 7" xfId="29341" xr:uid="{00000000-0005-0000-0000-0000A1720000}"/>
    <cellStyle name="Percent 2 3 2 2 8" xfId="29342" xr:uid="{00000000-0005-0000-0000-0000A2720000}"/>
    <cellStyle name="Percent 2 3 2 3" xfId="29343" xr:uid="{00000000-0005-0000-0000-0000A3720000}"/>
    <cellStyle name="Percent 2 3 2 3 2" xfId="29344" xr:uid="{00000000-0005-0000-0000-0000A4720000}"/>
    <cellStyle name="Percent 2 3 2 3 2 2" xfId="29345" xr:uid="{00000000-0005-0000-0000-0000A5720000}"/>
    <cellStyle name="Percent 2 3 2 3 2 2 2" xfId="29346" xr:uid="{00000000-0005-0000-0000-0000A6720000}"/>
    <cellStyle name="Percent 2 3 2 3 2 2 3" xfId="29347" xr:uid="{00000000-0005-0000-0000-0000A7720000}"/>
    <cellStyle name="Percent 2 3 2 3 2 3" xfId="29348" xr:uid="{00000000-0005-0000-0000-0000A8720000}"/>
    <cellStyle name="Percent 2 3 2 3 2 3 2" xfId="29349" xr:uid="{00000000-0005-0000-0000-0000A9720000}"/>
    <cellStyle name="Percent 2 3 2 3 2 3 3" xfId="29350" xr:uid="{00000000-0005-0000-0000-0000AA720000}"/>
    <cellStyle name="Percent 2 3 2 3 2 4" xfId="29351" xr:uid="{00000000-0005-0000-0000-0000AB720000}"/>
    <cellStyle name="Percent 2 3 2 3 2 5" xfId="29352" xr:uid="{00000000-0005-0000-0000-0000AC720000}"/>
    <cellStyle name="Percent 2 3 2 3 2 6" xfId="29353" xr:uid="{00000000-0005-0000-0000-0000AD720000}"/>
    <cellStyle name="Percent 2 3 2 3 3" xfId="29354" xr:uid="{00000000-0005-0000-0000-0000AE720000}"/>
    <cellStyle name="Percent 2 3 2 3 3 2" xfId="29355" xr:uid="{00000000-0005-0000-0000-0000AF720000}"/>
    <cellStyle name="Percent 2 3 2 3 3 3" xfId="29356" xr:uid="{00000000-0005-0000-0000-0000B0720000}"/>
    <cellStyle name="Percent 2 3 2 3 4" xfId="29357" xr:uid="{00000000-0005-0000-0000-0000B1720000}"/>
    <cellStyle name="Percent 2 3 2 3 4 2" xfId="29358" xr:uid="{00000000-0005-0000-0000-0000B2720000}"/>
    <cellStyle name="Percent 2 3 2 3 4 3" xfId="29359" xr:uid="{00000000-0005-0000-0000-0000B3720000}"/>
    <cellStyle name="Percent 2 3 2 3 5" xfId="29360" xr:uid="{00000000-0005-0000-0000-0000B4720000}"/>
    <cellStyle name="Percent 2 3 2 3 5 2" xfId="29361" xr:uid="{00000000-0005-0000-0000-0000B5720000}"/>
    <cellStyle name="Percent 2 3 2 3 5 3" xfId="29362" xr:uid="{00000000-0005-0000-0000-0000B6720000}"/>
    <cellStyle name="Percent 2 3 2 3 6" xfId="29363" xr:uid="{00000000-0005-0000-0000-0000B7720000}"/>
    <cellStyle name="Percent 2 3 2 3 7" xfId="29364" xr:uid="{00000000-0005-0000-0000-0000B8720000}"/>
    <cellStyle name="Percent 2 3 2 3 8" xfId="29365" xr:uid="{00000000-0005-0000-0000-0000B9720000}"/>
    <cellStyle name="Percent 2 3 2 4" xfId="29366" xr:uid="{00000000-0005-0000-0000-0000BA720000}"/>
    <cellStyle name="Percent 2 3 2 4 2" xfId="29367" xr:uid="{00000000-0005-0000-0000-0000BB720000}"/>
    <cellStyle name="Percent 2 3 2 4 2 2" xfId="29368" xr:uid="{00000000-0005-0000-0000-0000BC720000}"/>
    <cellStyle name="Percent 2 3 2 4 2 3" xfId="29369" xr:uid="{00000000-0005-0000-0000-0000BD720000}"/>
    <cellStyle name="Percent 2 3 2 4 3" xfId="29370" xr:uid="{00000000-0005-0000-0000-0000BE720000}"/>
    <cellStyle name="Percent 2 3 2 4 3 2" xfId="29371" xr:uid="{00000000-0005-0000-0000-0000BF720000}"/>
    <cellStyle name="Percent 2 3 2 4 3 3" xfId="29372" xr:uid="{00000000-0005-0000-0000-0000C0720000}"/>
    <cellStyle name="Percent 2 3 2 4 4" xfId="29373" xr:uid="{00000000-0005-0000-0000-0000C1720000}"/>
    <cellStyle name="Percent 2 3 2 4 5" xfId="29374" xr:uid="{00000000-0005-0000-0000-0000C2720000}"/>
    <cellStyle name="Percent 2 3 2 4 6" xfId="29375" xr:uid="{00000000-0005-0000-0000-0000C3720000}"/>
    <cellStyle name="Percent 2 3 2 5" xfId="29376" xr:uid="{00000000-0005-0000-0000-0000C4720000}"/>
    <cellStyle name="Percent 2 3 2 5 2" xfId="29377" xr:uid="{00000000-0005-0000-0000-0000C5720000}"/>
    <cellStyle name="Percent 2 3 2 5 3" xfId="29378" xr:uid="{00000000-0005-0000-0000-0000C6720000}"/>
    <cellStyle name="Percent 2 3 2 6" xfId="29379" xr:uid="{00000000-0005-0000-0000-0000C7720000}"/>
    <cellStyle name="Percent 2 3 2 6 2" xfId="29380" xr:uid="{00000000-0005-0000-0000-0000C8720000}"/>
    <cellStyle name="Percent 2 3 2 6 3" xfId="29381" xr:uid="{00000000-0005-0000-0000-0000C9720000}"/>
    <cellStyle name="Percent 2 3 2 7" xfId="29382" xr:uid="{00000000-0005-0000-0000-0000CA720000}"/>
    <cellStyle name="Percent 2 3 2 7 2" xfId="29383" xr:uid="{00000000-0005-0000-0000-0000CB720000}"/>
    <cellStyle name="Percent 2 3 2 7 3" xfId="29384" xr:uid="{00000000-0005-0000-0000-0000CC720000}"/>
    <cellStyle name="Percent 2 3 2 8" xfId="29385" xr:uid="{00000000-0005-0000-0000-0000CD720000}"/>
    <cellStyle name="Percent 2 3 2 9" xfId="29386" xr:uid="{00000000-0005-0000-0000-0000CE720000}"/>
    <cellStyle name="Percent 2 3 3" xfId="29387" xr:uid="{00000000-0005-0000-0000-0000CF720000}"/>
    <cellStyle name="Percent 2 3 3 2" xfId="29388" xr:uid="{00000000-0005-0000-0000-0000D0720000}"/>
    <cellStyle name="Percent 2 3 3 2 2" xfId="29389" xr:uid="{00000000-0005-0000-0000-0000D1720000}"/>
    <cellStyle name="Percent 2 3 3 2 2 2" xfId="29390" xr:uid="{00000000-0005-0000-0000-0000D2720000}"/>
    <cellStyle name="Percent 2 3 3 2 2 3" xfId="29391" xr:uid="{00000000-0005-0000-0000-0000D3720000}"/>
    <cellStyle name="Percent 2 3 3 2 3" xfId="29392" xr:uid="{00000000-0005-0000-0000-0000D4720000}"/>
    <cellStyle name="Percent 2 3 3 2 3 2" xfId="29393" xr:uid="{00000000-0005-0000-0000-0000D5720000}"/>
    <cellStyle name="Percent 2 3 3 2 3 3" xfId="29394" xr:uid="{00000000-0005-0000-0000-0000D6720000}"/>
    <cellStyle name="Percent 2 3 3 2 4" xfId="29395" xr:uid="{00000000-0005-0000-0000-0000D7720000}"/>
    <cellStyle name="Percent 2 3 3 2 5" xfId="29396" xr:uid="{00000000-0005-0000-0000-0000D8720000}"/>
    <cellStyle name="Percent 2 3 3 2 6" xfId="29397" xr:uid="{00000000-0005-0000-0000-0000D9720000}"/>
    <cellStyle name="Percent 2 3 3 3" xfId="29398" xr:uid="{00000000-0005-0000-0000-0000DA720000}"/>
    <cellStyle name="Percent 2 3 3 3 2" xfId="29399" xr:uid="{00000000-0005-0000-0000-0000DB720000}"/>
    <cellStyle name="Percent 2 3 3 3 3" xfId="29400" xr:uid="{00000000-0005-0000-0000-0000DC720000}"/>
    <cellStyle name="Percent 2 3 3 4" xfId="29401" xr:uid="{00000000-0005-0000-0000-0000DD720000}"/>
    <cellStyle name="Percent 2 3 3 4 2" xfId="29402" xr:uid="{00000000-0005-0000-0000-0000DE720000}"/>
    <cellStyle name="Percent 2 3 3 4 3" xfId="29403" xr:uid="{00000000-0005-0000-0000-0000DF720000}"/>
    <cellStyle name="Percent 2 3 3 5" xfId="29404" xr:uid="{00000000-0005-0000-0000-0000E0720000}"/>
    <cellStyle name="Percent 2 3 3 5 2" xfId="29405" xr:uid="{00000000-0005-0000-0000-0000E1720000}"/>
    <cellStyle name="Percent 2 3 3 5 3" xfId="29406" xr:uid="{00000000-0005-0000-0000-0000E2720000}"/>
    <cellStyle name="Percent 2 3 3 6" xfId="29407" xr:uid="{00000000-0005-0000-0000-0000E3720000}"/>
    <cellStyle name="Percent 2 3 3 7" xfId="29408" xr:uid="{00000000-0005-0000-0000-0000E4720000}"/>
    <cellStyle name="Percent 2 3 3 8" xfId="29409" xr:uid="{00000000-0005-0000-0000-0000E5720000}"/>
    <cellStyle name="Percent 2 3 4" xfId="29410" xr:uid="{00000000-0005-0000-0000-0000E6720000}"/>
    <cellStyle name="Percent 2 3 4 2" xfId="29411" xr:uid="{00000000-0005-0000-0000-0000E7720000}"/>
    <cellStyle name="Percent 2 3 4 2 2" xfId="29412" xr:uid="{00000000-0005-0000-0000-0000E8720000}"/>
    <cellStyle name="Percent 2 3 4 2 2 2" xfId="29413" xr:uid="{00000000-0005-0000-0000-0000E9720000}"/>
    <cellStyle name="Percent 2 3 4 2 2 3" xfId="29414" xr:uid="{00000000-0005-0000-0000-0000EA720000}"/>
    <cellStyle name="Percent 2 3 4 2 3" xfId="29415" xr:uid="{00000000-0005-0000-0000-0000EB720000}"/>
    <cellStyle name="Percent 2 3 4 2 3 2" xfId="29416" xr:uid="{00000000-0005-0000-0000-0000EC720000}"/>
    <cellStyle name="Percent 2 3 4 2 3 3" xfId="29417" xr:uid="{00000000-0005-0000-0000-0000ED720000}"/>
    <cellStyle name="Percent 2 3 4 2 4" xfId="29418" xr:uid="{00000000-0005-0000-0000-0000EE720000}"/>
    <cellStyle name="Percent 2 3 4 2 5" xfId="29419" xr:uid="{00000000-0005-0000-0000-0000EF720000}"/>
    <cellStyle name="Percent 2 3 4 2 6" xfId="29420" xr:uid="{00000000-0005-0000-0000-0000F0720000}"/>
    <cellStyle name="Percent 2 3 4 3" xfId="29421" xr:uid="{00000000-0005-0000-0000-0000F1720000}"/>
    <cellStyle name="Percent 2 3 4 3 2" xfId="29422" xr:uid="{00000000-0005-0000-0000-0000F2720000}"/>
    <cellStyle name="Percent 2 3 4 3 3" xfId="29423" xr:uid="{00000000-0005-0000-0000-0000F3720000}"/>
    <cellStyle name="Percent 2 3 4 4" xfId="29424" xr:uid="{00000000-0005-0000-0000-0000F4720000}"/>
    <cellStyle name="Percent 2 3 4 4 2" xfId="29425" xr:uid="{00000000-0005-0000-0000-0000F5720000}"/>
    <cellStyle name="Percent 2 3 4 4 3" xfId="29426" xr:uid="{00000000-0005-0000-0000-0000F6720000}"/>
    <cellStyle name="Percent 2 3 4 5" xfId="29427" xr:uid="{00000000-0005-0000-0000-0000F7720000}"/>
    <cellStyle name="Percent 2 3 4 5 2" xfId="29428" xr:uid="{00000000-0005-0000-0000-0000F8720000}"/>
    <cellStyle name="Percent 2 3 4 5 3" xfId="29429" xr:uid="{00000000-0005-0000-0000-0000F9720000}"/>
    <cellStyle name="Percent 2 3 4 6" xfId="29430" xr:uid="{00000000-0005-0000-0000-0000FA720000}"/>
    <cellStyle name="Percent 2 3 4 7" xfId="29431" xr:uid="{00000000-0005-0000-0000-0000FB720000}"/>
    <cellStyle name="Percent 2 3 4 8" xfId="29432" xr:uid="{00000000-0005-0000-0000-0000FC720000}"/>
    <cellStyle name="Percent 2 3 5" xfId="29433" xr:uid="{00000000-0005-0000-0000-0000FD720000}"/>
    <cellStyle name="Percent 2 3 5 2" xfId="29434" xr:uid="{00000000-0005-0000-0000-0000FE720000}"/>
    <cellStyle name="Percent 2 3 5 2 2" xfId="29435" xr:uid="{00000000-0005-0000-0000-0000FF720000}"/>
    <cellStyle name="Percent 2 3 5 2 2 2" xfId="29436" xr:uid="{00000000-0005-0000-0000-000000730000}"/>
    <cellStyle name="Percent 2 3 5 2 2 3" xfId="29437" xr:uid="{00000000-0005-0000-0000-000001730000}"/>
    <cellStyle name="Percent 2 3 5 2 3" xfId="29438" xr:uid="{00000000-0005-0000-0000-000002730000}"/>
    <cellStyle name="Percent 2 3 5 2 3 2" xfId="29439" xr:uid="{00000000-0005-0000-0000-000003730000}"/>
    <cellStyle name="Percent 2 3 5 2 3 3" xfId="29440" xr:uid="{00000000-0005-0000-0000-000004730000}"/>
    <cellStyle name="Percent 2 3 5 2 4" xfId="29441" xr:uid="{00000000-0005-0000-0000-000005730000}"/>
    <cellStyle name="Percent 2 3 5 2 5" xfId="29442" xr:uid="{00000000-0005-0000-0000-000006730000}"/>
    <cellStyle name="Percent 2 3 5 2 6" xfId="29443" xr:uid="{00000000-0005-0000-0000-000007730000}"/>
    <cellStyle name="Percent 2 3 5 3" xfId="29444" xr:uid="{00000000-0005-0000-0000-000008730000}"/>
    <cellStyle name="Percent 2 3 5 3 2" xfId="29445" xr:uid="{00000000-0005-0000-0000-000009730000}"/>
    <cellStyle name="Percent 2 3 5 3 3" xfId="29446" xr:uid="{00000000-0005-0000-0000-00000A730000}"/>
    <cellStyle name="Percent 2 3 5 4" xfId="29447" xr:uid="{00000000-0005-0000-0000-00000B730000}"/>
    <cellStyle name="Percent 2 3 5 4 2" xfId="29448" xr:uid="{00000000-0005-0000-0000-00000C730000}"/>
    <cellStyle name="Percent 2 3 5 4 3" xfId="29449" xr:uid="{00000000-0005-0000-0000-00000D730000}"/>
    <cellStyle name="Percent 2 3 5 5" xfId="29450" xr:uid="{00000000-0005-0000-0000-00000E730000}"/>
    <cellStyle name="Percent 2 3 5 5 2" xfId="29451" xr:uid="{00000000-0005-0000-0000-00000F730000}"/>
    <cellStyle name="Percent 2 3 5 5 3" xfId="29452" xr:uid="{00000000-0005-0000-0000-000010730000}"/>
    <cellStyle name="Percent 2 3 5 6" xfId="29453" xr:uid="{00000000-0005-0000-0000-000011730000}"/>
    <cellStyle name="Percent 2 3 5 7" xfId="29454" xr:uid="{00000000-0005-0000-0000-000012730000}"/>
    <cellStyle name="Percent 2 3 5 8" xfId="29455" xr:uid="{00000000-0005-0000-0000-000013730000}"/>
    <cellStyle name="Percent 2 3 6" xfId="29456" xr:uid="{00000000-0005-0000-0000-000014730000}"/>
    <cellStyle name="Percent 2 3 6 2" xfId="29457" xr:uid="{00000000-0005-0000-0000-000015730000}"/>
    <cellStyle name="Percent 2 3 6 2 2" xfId="29458" xr:uid="{00000000-0005-0000-0000-000016730000}"/>
    <cellStyle name="Percent 2 3 6 2 3" xfId="29459" xr:uid="{00000000-0005-0000-0000-000017730000}"/>
    <cellStyle name="Percent 2 3 6 3" xfId="29460" xr:uid="{00000000-0005-0000-0000-000018730000}"/>
    <cellStyle name="Percent 2 3 6 3 2" xfId="29461" xr:uid="{00000000-0005-0000-0000-000019730000}"/>
    <cellStyle name="Percent 2 3 6 3 3" xfId="29462" xr:uid="{00000000-0005-0000-0000-00001A730000}"/>
    <cellStyle name="Percent 2 3 6 4" xfId="29463" xr:uid="{00000000-0005-0000-0000-00001B730000}"/>
    <cellStyle name="Percent 2 3 6 5" xfId="29464" xr:uid="{00000000-0005-0000-0000-00001C730000}"/>
    <cellStyle name="Percent 2 3 6 6" xfId="29465" xr:uid="{00000000-0005-0000-0000-00001D730000}"/>
    <cellStyle name="Percent 2 3 7" xfId="29466" xr:uid="{00000000-0005-0000-0000-00001E730000}"/>
    <cellStyle name="Percent 2 3 7 2" xfId="29467" xr:uid="{00000000-0005-0000-0000-00001F730000}"/>
    <cellStyle name="Percent 2 3 7 3" xfId="29468" xr:uid="{00000000-0005-0000-0000-000020730000}"/>
    <cellStyle name="Percent 2 3 8" xfId="29469" xr:uid="{00000000-0005-0000-0000-000021730000}"/>
    <cellStyle name="Percent 2 3 8 2" xfId="29470" xr:uid="{00000000-0005-0000-0000-000022730000}"/>
    <cellStyle name="Percent 2 3 8 3" xfId="29471" xr:uid="{00000000-0005-0000-0000-000023730000}"/>
    <cellStyle name="Percent 2 3 9" xfId="29472" xr:uid="{00000000-0005-0000-0000-000024730000}"/>
    <cellStyle name="Percent 2 3 9 2" xfId="29473" xr:uid="{00000000-0005-0000-0000-000025730000}"/>
    <cellStyle name="Percent 2 3 9 3" xfId="29474" xr:uid="{00000000-0005-0000-0000-000026730000}"/>
    <cellStyle name="Percent 2 30" xfId="29475" xr:uid="{00000000-0005-0000-0000-000027730000}"/>
    <cellStyle name="Percent 2 30 2" xfId="29476" xr:uid="{00000000-0005-0000-0000-000028730000}"/>
    <cellStyle name="Percent 2 31" xfId="29477" xr:uid="{00000000-0005-0000-0000-000029730000}"/>
    <cellStyle name="Percent 2 31 2" xfId="29478" xr:uid="{00000000-0005-0000-0000-00002A730000}"/>
    <cellStyle name="Percent 2 32" xfId="29479" xr:uid="{00000000-0005-0000-0000-00002B730000}"/>
    <cellStyle name="Percent 2 32 2" xfId="29480" xr:uid="{00000000-0005-0000-0000-00002C730000}"/>
    <cellStyle name="Percent 2 33" xfId="29481" xr:uid="{00000000-0005-0000-0000-00002D730000}"/>
    <cellStyle name="Percent 2 33 2" xfId="29482" xr:uid="{00000000-0005-0000-0000-00002E730000}"/>
    <cellStyle name="Percent 2 34" xfId="29483" xr:uid="{00000000-0005-0000-0000-00002F730000}"/>
    <cellStyle name="Percent 2 34 2" xfId="29484" xr:uid="{00000000-0005-0000-0000-000030730000}"/>
    <cellStyle name="Percent 2 35" xfId="29485" xr:uid="{00000000-0005-0000-0000-000031730000}"/>
    <cellStyle name="Percent 2 35 2" xfId="29486" xr:uid="{00000000-0005-0000-0000-000032730000}"/>
    <cellStyle name="Percent 2 36" xfId="29487" xr:uid="{00000000-0005-0000-0000-000033730000}"/>
    <cellStyle name="Percent 2 36 2" xfId="29488" xr:uid="{00000000-0005-0000-0000-000034730000}"/>
    <cellStyle name="Percent 2 37" xfId="29489" xr:uid="{00000000-0005-0000-0000-000035730000}"/>
    <cellStyle name="Percent 2 37 2" xfId="29490" xr:uid="{00000000-0005-0000-0000-000036730000}"/>
    <cellStyle name="Percent 2 38" xfId="29491" xr:uid="{00000000-0005-0000-0000-000037730000}"/>
    <cellStyle name="Percent 2 38 2" xfId="29492" xr:uid="{00000000-0005-0000-0000-000038730000}"/>
    <cellStyle name="Percent 2 39" xfId="29493" xr:uid="{00000000-0005-0000-0000-000039730000}"/>
    <cellStyle name="Percent 2 39 2" xfId="29494" xr:uid="{00000000-0005-0000-0000-00003A730000}"/>
    <cellStyle name="Percent 2 4" xfId="29495" xr:uid="{00000000-0005-0000-0000-00003B730000}"/>
    <cellStyle name="Percent 2 4 10" xfId="29496" xr:uid="{00000000-0005-0000-0000-00003C730000}"/>
    <cellStyle name="Percent 2 4 11" xfId="29497" xr:uid="{00000000-0005-0000-0000-00003D730000}"/>
    <cellStyle name="Percent 2 4 12" xfId="29498" xr:uid="{00000000-0005-0000-0000-00003E730000}"/>
    <cellStyle name="Percent 2 4 2" xfId="29499" xr:uid="{00000000-0005-0000-0000-00003F730000}"/>
    <cellStyle name="Percent 2 4 2 10" xfId="29500" xr:uid="{00000000-0005-0000-0000-000040730000}"/>
    <cellStyle name="Percent 2 4 2 2" xfId="29501" xr:uid="{00000000-0005-0000-0000-000041730000}"/>
    <cellStyle name="Percent 2 4 2 2 2" xfId="29502" xr:uid="{00000000-0005-0000-0000-000042730000}"/>
    <cellStyle name="Percent 2 4 2 2 2 2" xfId="29503" xr:uid="{00000000-0005-0000-0000-000043730000}"/>
    <cellStyle name="Percent 2 4 2 2 2 2 2" xfId="29504" xr:uid="{00000000-0005-0000-0000-000044730000}"/>
    <cellStyle name="Percent 2 4 2 2 2 2 3" xfId="29505" xr:uid="{00000000-0005-0000-0000-000045730000}"/>
    <cellStyle name="Percent 2 4 2 2 2 3" xfId="29506" xr:uid="{00000000-0005-0000-0000-000046730000}"/>
    <cellStyle name="Percent 2 4 2 2 2 3 2" xfId="29507" xr:uid="{00000000-0005-0000-0000-000047730000}"/>
    <cellStyle name="Percent 2 4 2 2 2 3 3" xfId="29508" xr:uid="{00000000-0005-0000-0000-000048730000}"/>
    <cellStyle name="Percent 2 4 2 2 2 4" xfId="29509" xr:uid="{00000000-0005-0000-0000-000049730000}"/>
    <cellStyle name="Percent 2 4 2 2 2 5" xfId="29510" xr:uid="{00000000-0005-0000-0000-00004A730000}"/>
    <cellStyle name="Percent 2 4 2 2 2 6" xfId="29511" xr:uid="{00000000-0005-0000-0000-00004B730000}"/>
    <cellStyle name="Percent 2 4 2 2 3" xfId="29512" xr:uid="{00000000-0005-0000-0000-00004C730000}"/>
    <cellStyle name="Percent 2 4 2 2 3 2" xfId="29513" xr:uid="{00000000-0005-0000-0000-00004D730000}"/>
    <cellStyle name="Percent 2 4 2 2 3 3" xfId="29514" xr:uid="{00000000-0005-0000-0000-00004E730000}"/>
    <cellStyle name="Percent 2 4 2 2 4" xfId="29515" xr:uid="{00000000-0005-0000-0000-00004F730000}"/>
    <cellStyle name="Percent 2 4 2 2 4 2" xfId="29516" xr:uid="{00000000-0005-0000-0000-000050730000}"/>
    <cellStyle name="Percent 2 4 2 2 4 3" xfId="29517" xr:uid="{00000000-0005-0000-0000-000051730000}"/>
    <cellStyle name="Percent 2 4 2 2 5" xfId="29518" xr:uid="{00000000-0005-0000-0000-000052730000}"/>
    <cellStyle name="Percent 2 4 2 2 5 2" xfId="29519" xr:uid="{00000000-0005-0000-0000-000053730000}"/>
    <cellStyle name="Percent 2 4 2 2 5 3" xfId="29520" xr:uid="{00000000-0005-0000-0000-000054730000}"/>
    <cellStyle name="Percent 2 4 2 2 6" xfId="29521" xr:uid="{00000000-0005-0000-0000-000055730000}"/>
    <cellStyle name="Percent 2 4 2 2 7" xfId="29522" xr:uid="{00000000-0005-0000-0000-000056730000}"/>
    <cellStyle name="Percent 2 4 2 2 8" xfId="29523" xr:uid="{00000000-0005-0000-0000-000057730000}"/>
    <cellStyle name="Percent 2 4 2 3" xfId="29524" xr:uid="{00000000-0005-0000-0000-000058730000}"/>
    <cellStyle name="Percent 2 4 2 3 2" xfId="29525" xr:uid="{00000000-0005-0000-0000-000059730000}"/>
    <cellStyle name="Percent 2 4 2 3 2 2" xfId="29526" xr:uid="{00000000-0005-0000-0000-00005A730000}"/>
    <cellStyle name="Percent 2 4 2 3 2 2 2" xfId="29527" xr:uid="{00000000-0005-0000-0000-00005B730000}"/>
    <cellStyle name="Percent 2 4 2 3 2 2 3" xfId="29528" xr:uid="{00000000-0005-0000-0000-00005C730000}"/>
    <cellStyle name="Percent 2 4 2 3 2 3" xfId="29529" xr:uid="{00000000-0005-0000-0000-00005D730000}"/>
    <cellStyle name="Percent 2 4 2 3 2 3 2" xfId="29530" xr:uid="{00000000-0005-0000-0000-00005E730000}"/>
    <cellStyle name="Percent 2 4 2 3 2 3 3" xfId="29531" xr:uid="{00000000-0005-0000-0000-00005F730000}"/>
    <cellStyle name="Percent 2 4 2 3 2 4" xfId="29532" xr:uid="{00000000-0005-0000-0000-000060730000}"/>
    <cellStyle name="Percent 2 4 2 3 2 5" xfId="29533" xr:uid="{00000000-0005-0000-0000-000061730000}"/>
    <cellStyle name="Percent 2 4 2 3 2 6" xfId="29534" xr:uid="{00000000-0005-0000-0000-000062730000}"/>
    <cellStyle name="Percent 2 4 2 3 3" xfId="29535" xr:uid="{00000000-0005-0000-0000-000063730000}"/>
    <cellStyle name="Percent 2 4 2 3 3 2" xfId="29536" xr:uid="{00000000-0005-0000-0000-000064730000}"/>
    <cellStyle name="Percent 2 4 2 3 3 3" xfId="29537" xr:uid="{00000000-0005-0000-0000-000065730000}"/>
    <cellStyle name="Percent 2 4 2 3 4" xfId="29538" xr:uid="{00000000-0005-0000-0000-000066730000}"/>
    <cellStyle name="Percent 2 4 2 3 4 2" xfId="29539" xr:uid="{00000000-0005-0000-0000-000067730000}"/>
    <cellStyle name="Percent 2 4 2 3 4 3" xfId="29540" xr:uid="{00000000-0005-0000-0000-000068730000}"/>
    <cellStyle name="Percent 2 4 2 3 5" xfId="29541" xr:uid="{00000000-0005-0000-0000-000069730000}"/>
    <cellStyle name="Percent 2 4 2 3 5 2" xfId="29542" xr:uid="{00000000-0005-0000-0000-00006A730000}"/>
    <cellStyle name="Percent 2 4 2 3 5 3" xfId="29543" xr:uid="{00000000-0005-0000-0000-00006B730000}"/>
    <cellStyle name="Percent 2 4 2 3 6" xfId="29544" xr:uid="{00000000-0005-0000-0000-00006C730000}"/>
    <cellStyle name="Percent 2 4 2 3 7" xfId="29545" xr:uid="{00000000-0005-0000-0000-00006D730000}"/>
    <cellStyle name="Percent 2 4 2 3 8" xfId="29546" xr:uid="{00000000-0005-0000-0000-00006E730000}"/>
    <cellStyle name="Percent 2 4 2 4" xfId="29547" xr:uid="{00000000-0005-0000-0000-00006F730000}"/>
    <cellStyle name="Percent 2 4 2 4 2" xfId="29548" xr:uid="{00000000-0005-0000-0000-000070730000}"/>
    <cellStyle name="Percent 2 4 2 4 2 2" xfId="29549" xr:uid="{00000000-0005-0000-0000-000071730000}"/>
    <cellStyle name="Percent 2 4 2 4 2 3" xfId="29550" xr:uid="{00000000-0005-0000-0000-000072730000}"/>
    <cellStyle name="Percent 2 4 2 4 3" xfId="29551" xr:uid="{00000000-0005-0000-0000-000073730000}"/>
    <cellStyle name="Percent 2 4 2 4 3 2" xfId="29552" xr:uid="{00000000-0005-0000-0000-000074730000}"/>
    <cellStyle name="Percent 2 4 2 4 3 3" xfId="29553" xr:uid="{00000000-0005-0000-0000-000075730000}"/>
    <cellStyle name="Percent 2 4 2 4 4" xfId="29554" xr:uid="{00000000-0005-0000-0000-000076730000}"/>
    <cellStyle name="Percent 2 4 2 4 5" xfId="29555" xr:uid="{00000000-0005-0000-0000-000077730000}"/>
    <cellStyle name="Percent 2 4 2 4 6" xfId="29556" xr:uid="{00000000-0005-0000-0000-000078730000}"/>
    <cellStyle name="Percent 2 4 2 5" xfId="29557" xr:uid="{00000000-0005-0000-0000-000079730000}"/>
    <cellStyle name="Percent 2 4 2 5 2" xfId="29558" xr:uid="{00000000-0005-0000-0000-00007A730000}"/>
    <cellStyle name="Percent 2 4 2 5 3" xfId="29559" xr:uid="{00000000-0005-0000-0000-00007B730000}"/>
    <cellStyle name="Percent 2 4 2 6" xfId="29560" xr:uid="{00000000-0005-0000-0000-00007C730000}"/>
    <cellStyle name="Percent 2 4 2 6 2" xfId="29561" xr:uid="{00000000-0005-0000-0000-00007D730000}"/>
    <cellStyle name="Percent 2 4 2 6 3" xfId="29562" xr:uid="{00000000-0005-0000-0000-00007E730000}"/>
    <cellStyle name="Percent 2 4 2 7" xfId="29563" xr:uid="{00000000-0005-0000-0000-00007F730000}"/>
    <cellStyle name="Percent 2 4 2 7 2" xfId="29564" xr:uid="{00000000-0005-0000-0000-000080730000}"/>
    <cellStyle name="Percent 2 4 2 7 3" xfId="29565" xr:uid="{00000000-0005-0000-0000-000081730000}"/>
    <cellStyle name="Percent 2 4 2 8" xfId="29566" xr:uid="{00000000-0005-0000-0000-000082730000}"/>
    <cellStyle name="Percent 2 4 2 9" xfId="29567" xr:uid="{00000000-0005-0000-0000-000083730000}"/>
    <cellStyle name="Percent 2 4 3" xfId="29568" xr:uid="{00000000-0005-0000-0000-000084730000}"/>
    <cellStyle name="Percent 2 4 3 2" xfId="29569" xr:uid="{00000000-0005-0000-0000-000085730000}"/>
    <cellStyle name="Percent 2 4 3 2 2" xfId="29570" xr:uid="{00000000-0005-0000-0000-000086730000}"/>
    <cellStyle name="Percent 2 4 3 2 2 2" xfId="29571" xr:uid="{00000000-0005-0000-0000-000087730000}"/>
    <cellStyle name="Percent 2 4 3 2 2 3" xfId="29572" xr:uid="{00000000-0005-0000-0000-000088730000}"/>
    <cellStyle name="Percent 2 4 3 2 3" xfId="29573" xr:uid="{00000000-0005-0000-0000-000089730000}"/>
    <cellStyle name="Percent 2 4 3 2 3 2" xfId="29574" xr:uid="{00000000-0005-0000-0000-00008A730000}"/>
    <cellStyle name="Percent 2 4 3 2 3 3" xfId="29575" xr:uid="{00000000-0005-0000-0000-00008B730000}"/>
    <cellStyle name="Percent 2 4 3 2 4" xfId="29576" xr:uid="{00000000-0005-0000-0000-00008C730000}"/>
    <cellStyle name="Percent 2 4 3 2 5" xfId="29577" xr:uid="{00000000-0005-0000-0000-00008D730000}"/>
    <cellStyle name="Percent 2 4 3 2 6" xfId="29578" xr:uid="{00000000-0005-0000-0000-00008E730000}"/>
    <cellStyle name="Percent 2 4 3 3" xfId="29579" xr:uid="{00000000-0005-0000-0000-00008F730000}"/>
    <cellStyle name="Percent 2 4 3 3 2" xfId="29580" xr:uid="{00000000-0005-0000-0000-000090730000}"/>
    <cellStyle name="Percent 2 4 3 3 3" xfId="29581" xr:uid="{00000000-0005-0000-0000-000091730000}"/>
    <cellStyle name="Percent 2 4 3 4" xfId="29582" xr:uid="{00000000-0005-0000-0000-000092730000}"/>
    <cellStyle name="Percent 2 4 3 4 2" xfId="29583" xr:uid="{00000000-0005-0000-0000-000093730000}"/>
    <cellStyle name="Percent 2 4 3 4 3" xfId="29584" xr:uid="{00000000-0005-0000-0000-000094730000}"/>
    <cellStyle name="Percent 2 4 3 5" xfId="29585" xr:uid="{00000000-0005-0000-0000-000095730000}"/>
    <cellStyle name="Percent 2 4 3 5 2" xfId="29586" xr:uid="{00000000-0005-0000-0000-000096730000}"/>
    <cellStyle name="Percent 2 4 3 5 3" xfId="29587" xr:uid="{00000000-0005-0000-0000-000097730000}"/>
    <cellStyle name="Percent 2 4 3 6" xfId="29588" xr:uid="{00000000-0005-0000-0000-000098730000}"/>
    <cellStyle name="Percent 2 4 3 7" xfId="29589" xr:uid="{00000000-0005-0000-0000-000099730000}"/>
    <cellStyle name="Percent 2 4 3 8" xfId="29590" xr:uid="{00000000-0005-0000-0000-00009A730000}"/>
    <cellStyle name="Percent 2 4 4" xfId="29591" xr:uid="{00000000-0005-0000-0000-00009B730000}"/>
    <cellStyle name="Percent 2 4 4 2" xfId="29592" xr:uid="{00000000-0005-0000-0000-00009C730000}"/>
    <cellStyle name="Percent 2 4 4 2 2" xfId="29593" xr:uid="{00000000-0005-0000-0000-00009D730000}"/>
    <cellStyle name="Percent 2 4 4 2 2 2" xfId="29594" xr:uid="{00000000-0005-0000-0000-00009E730000}"/>
    <cellStyle name="Percent 2 4 4 2 2 3" xfId="29595" xr:uid="{00000000-0005-0000-0000-00009F730000}"/>
    <cellStyle name="Percent 2 4 4 2 3" xfId="29596" xr:uid="{00000000-0005-0000-0000-0000A0730000}"/>
    <cellStyle name="Percent 2 4 4 2 3 2" xfId="29597" xr:uid="{00000000-0005-0000-0000-0000A1730000}"/>
    <cellStyle name="Percent 2 4 4 2 3 3" xfId="29598" xr:uid="{00000000-0005-0000-0000-0000A2730000}"/>
    <cellStyle name="Percent 2 4 4 2 4" xfId="29599" xr:uid="{00000000-0005-0000-0000-0000A3730000}"/>
    <cellStyle name="Percent 2 4 4 2 5" xfId="29600" xr:uid="{00000000-0005-0000-0000-0000A4730000}"/>
    <cellStyle name="Percent 2 4 4 2 6" xfId="29601" xr:uid="{00000000-0005-0000-0000-0000A5730000}"/>
    <cellStyle name="Percent 2 4 4 3" xfId="29602" xr:uid="{00000000-0005-0000-0000-0000A6730000}"/>
    <cellStyle name="Percent 2 4 4 3 2" xfId="29603" xr:uid="{00000000-0005-0000-0000-0000A7730000}"/>
    <cellStyle name="Percent 2 4 4 3 3" xfId="29604" xr:uid="{00000000-0005-0000-0000-0000A8730000}"/>
    <cellStyle name="Percent 2 4 4 4" xfId="29605" xr:uid="{00000000-0005-0000-0000-0000A9730000}"/>
    <cellStyle name="Percent 2 4 4 4 2" xfId="29606" xr:uid="{00000000-0005-0000-0000-0000AA730000}"/>
    <cellStyle name="Percent 2 4 4 4 3" xfId="29607" xr:uid="{00000000-0005-0000-0000-0000AB730000}"/>
    <cellStyle name="Percent 2 4 4 5" xfId="29608" xr:uid="{00000000-0005-0000-0000-0000AC730000}"/>
    <cellStyle name="Percent 2 4 4 5 2" xfId="29609" xr:uid="{00000000-0005-0000-0000-0000AD730000}"/>
    <cellStyle name="Percent 2 4 4 5 3" xfId="29610" xr:uid="{00000000-0005-0000-0000-0000AE730000}"/>
    <cellStyle name="Percent 2 4 4 6" xfId="29611" xr:uid="{00000000-0005-0000-0000-0000AF730000}"/>
    <cellStyle name="Percent 2 4 4 7" xfId="29612" xr:uid="{00000000-0005-0000-0000-0000B0730000}"/>
    <cellStyle name="Percent 2 4 4 8" xfId="29613" xr:uid="{00000000-0005-0000-0000-0000B1730000}"/>
    <cellStyle name="Percent 2 4 5" xfId="29614" xr:uid="{00000000-0005-0000-0000-0000B2730000}"/>
    <cellStyle name="Percent 2 4 5 2" xfId="29615" xr:uid="{00000000-0005-0000-0000-0000B3730000}"/>
    <cellStyle name="Percent 2 4 5 2 2" xfId="29616" xr:uid="{00000000-0005-0000-0000-0000B4730000}"/>
    <cellStyle name="Percent 2 4 5 2 2 2" xfId="29617" xr:uid="{00000000-0005-0000-0000-0000B5730000}"/>
    <cellStyle name="Percent 2 4 5 2 2 3" xfId="29618" xr:uid="{00000000-0005-0000-0000-0000B6730000}"/>
    <cellStyle name="Percent 2 4 5 2 3" xfId="29619" xr:uid="{00000000-0005-0000-0000-0000B7730000}"/>
    <cellStyle name="Percent 2 4 5 2 3 2" xfId="29620" xr:uid="{00000000-0005-0000-0000-0000B8730000}"/>
    <cellStyle name="Percent 2 4 5 2 3 3" xfId="29621" xr:uid="{00000000-0005-0000-0000-0000B9730000}"/>
    <cellStyle name="Percent 2 4 5 2 4" xfId="29622" xr:uid="{00000000-0005-0000-0000-0000BA730000}"/>
    <cellStyle name="Percent 2 4 5 2 5" xfId="29623" xr:uid="{00000000-0005-0000-0000-0000BB730000}"/>
    <cellStyle name="Percent 2 4 5 2 6" xfId="29624" xr:uid="{00000000-0005-0000-0000-0000BC730000}"/>
    <cellStyle name="Percent 2 4 5 3" xfId="29625" xr:uid="{00000000-0005-0000-0000-0000BD730000}"/>
    <cellStyle name="Percent 2 4 5 3 2" xfId="29626" xr:uid="{00000000-0005-0000-0000-0000BE730000}"/>
    <cellStyle name="Percent 2 4 5 3 3" xfId="29627" xr:uid="{00000000-0005-0000-0000-0000BF730000}"/>
    <cellStyle name="Percent 2 4 5 4" xfId="29628" xr:uid="{00000000-0005-0000-0000-0000C0730000}"/>
    <cellStyle name="Percent 2 4 5 4 2" xfId="29629" xr:uid="{00000000-0005-0000-0000-0000C1730000}"/>
    <cellStyle name="Percent 2 4 5 4 3" xfId="29630" xr:uid="{00000000-0005-0000-0000-0000C2730000}"/>
    <cellStyle name="Percent 2 4 5 5" xfId="29631" xr:uid="{00000000-0005-0000-0000-0000C3730000}"/>
    <cellStyle name="Percent 2 4 5 5 2" xfId="29632" xr:uid="{00000000-0005-0000-0000-0000C4730000}"/>
    <cellStyle name="Percent 2 4 5 5 3" xfId="29633" xr:uid="{00000000-0005-0000-0000-0000C5730000}"/>
    <cellStyle name="Percent 2 4 5 6" xfId="29634" xr:uid="{00000000-0005-0000-0000-0000C6730000}"/>
    <cellStyle name="Percent 2 4 5 7" xfId="29635" xr:uid="{00000000-0005-0000-0000-0000C7730000}"/>
    <cellStyle name="Percent 2 4 5 8" xfId="29636" xr:uid="{00000000-0005-0000-0000-0000C8730000}"/>
    <cellStyle name="Percent 2 4 6" xfId="29637" xr:uid="{00000000-0005-0000-0000-0000C9730000}"/>
    <cellStyle name="Percent 2 4 6 2" xfId="29638" xr:uid="{00000000-0005-0000-0000-0000CA730000}"/>
    <cellStyle name="Percent 2 4 6 2 2" xfId="29639" xr:uid="{00000000-0005-0000-0000-0000CB730000}"/>
    <cellStyle name="Percent 2 4 6 2 3" xfId="29640" xr:uid="{00000000-0005-0000-0000-0000CC730000}"/>
    <cellStyle name="Percent 2 4 6 3" xfId="29641" xr:uid="{00000000-0005-0000-0000-0000CD730000}"/>
    <cellStyle name="Percent 2 4 6 3 2" xfId="29642" xr:uid="{00000000-0005-0000-0000-0000CE730000}"/>
    <cellStyle name="Percent 2 4 6 3 3" xfId="29643" xr:uid="{00000000-0005-0000-0000-0000CF730000}"/>
    <cellStyle name="Percent 2 4 6 4" xfId="29644" xr:uid="{00000000-0005-0000-0000-0000D0730000}"/>
    <cellStyle name="Percent 2 4 6 5" xfId="29645" xr:uid="{00000000-0005-0000-0000-0000D1730000}"/>
    <cellStyle name="Percent 2 4 6 6" xfId="29646" xr:uid="{00000000-0005-0000-0000-0000D2730000}"/>
    <cellStyle name="Percent 2 4 7" xfId="29647" xr:uid="{00000000-0005-0000-0000-0000D3730000}"/>
    <cellStyle name="Percent 2 4 7 2" xfId="29648" xr:uid="{00000000-0005-0000-0000-0000D4730000}"/>
    <cellStyle name="Percent 2 4 7 3" xfId="29649" xr:uid="{00000000-0005-0000-0000-0000D5730000}"/>
    <cellStyle name="Percent 2 4 8" xfId="29650" xr:uid="{00000000-0005-0000-0000-0000D6730000}"/>
    <cellStyle name="Percent 2 4 8 2" xfId="29651" xr:uid="{00000000-0005-0000-0000-0000D7730000}"/>
    <cellStyle name="Percent 2 4 8 3" xfId="29652" xr:uid="{00000000-0005-0000-0000-0000D8730000}"/>
    <cellStyle name="Percent 2 4 9" xfId="29653" xr:uid="{00000000-0005-0000-0000-0000D9730000}"/>
    <cellStyle name="Percent 2 4 9 2" xfId="29654" xr:uid="{00000000-0005-0000-0000-0000DA730000}"/>
    <cellStyle name="Percent 2 4 9 3" xfId="29655" xr:uid="{00000000-0005-0000-0000-0000DB730000}"/>
    <cellStyle name="Percent 2 40" xfId="29656" xr:uid="{00000000-0005-0000-0000-0000DC730000}"/>
    <cellStyle name="Percent 2 40 2" xfId="29657" xr:uid="{00000000-0005-0000-0000-0000DD730000}"/>
    <cellStyle name="Percent 2 41" xfId="29658" xr:uid="{00000000-0005-0000-0000-0000DE730000}"/>
    <cellStyle name="Percent 2 41 2" xfId="29659" xr:uid="{00000000-0005-0000-0000-0000DF730000}"/>
    <cellStyle name="Percent 2 42" xfId="29660" xr:uid="{00000000-0005-0000-0000-0000E0730000}"/>
    <cellStyle name="Percent 2 42 2" xfId="29661" xr:uid="{00000000-0005-0000-0000-0000E1730000}"/>
    <cellStyle name="Percent 2 43" xfId="29662" xr:uid="{00000000-0005-0000-0000-0000E2730000}"/>
    <cellStyle name="Percent 2 43 2" xfId="29663" xr:uid="{00000000-0005-0000-0000-0000E3730000}"/>
    <cellStyle name="Percent 2 44" xfId="29664" xr:uid="{00000000-0005-0000-0000-0000E4730000}"/>
    <cellStyle name="Percent 2 44 2" xfId="29665" xr:uid="{00000000-0005-0000-0000-0000E5730000}"/>
    <cellStyle name="Percent 2 45" xfId="29666" xr:uid="{00000000-0005-0000-0000-0000E6730000}"/>
    <cellStyle name="Percent 2 45 2" xfId="29667" xr:uid="{00000000-0005-0000-0000-0000E7730000}"/>
    <cellStyle name="Percent 2 46" xfId="29668" xr:uid="{00000000-0005-0000-0000-0000E8730000}"/>
    <cellStyle name="Percent 2 46 2" xfId="29669" xr:uid="{00000000-0005-0000-0000-0000E9730000}"/>
    <cellStyle name="Percent 2 47" xfId="29670" xr:uid="{00000000-0005-0000-0000-0000EA730000}"/>
    <cellStyle name="Percent 2 47 2" xfId="29671" xr:uid="{00000000-0005-0000-0000-0000EB730000}"/>
    <cellStyle name="Percent 2 48" xfId="29672" xr:uid="{00000000-0005-0000-0000-0000EC730000}"/>
    <cellStyle name="Percent 2 48 2" xfId="29673" xr:uid="{00000000-0005-0000-0000-0000ED730000}"/>
    <cellStyle name="Percent 2 49" xfId="29674" xr:uid="{00000000-0005-0000-0000-0000EE730000}"/>
    <cellStyle name="Percent 2 49 2" xfId="29675" xr:uid="{00000000-0005-0000-0000-0000EF730000}"/>
    <cellStyle name="Percent 2 5" xfId="29676" xr:uid="{00000000-0005-0000-0000-0000F0730000}"/>
    <cellStyle name="Percent 2 5 10" xfId="29677" xr:uid="{00000000-0005-0000-0000-0000F1730000}"/>
    <cellStyle name="Percent 2 5 11" xfId="29678" xr:uid="{00000000-0005-0000-0000-0000F2730000}"/>
    <cellStyle name="Percent 2 5 12" xfId="29679" xr:uid="{00000000-0005-0000-0000-0000F3730000}"/>
    <cellStyle name="Percent 2 5 2" xfId="29680" xr:uid="{00000000-0005-0000-0000-0000F4730000}"/>
    <cellStyle name="Percent 2 5 2 10" xfId="29681" xr:uid="{00000000-0005-0000-0000-0000F5730000}"/>
    <cellStyle name="Percent 2 5 2 2" xfId="29682" xr:uid="{00000000-0005-0000-0000-0000F6730000}"/>
    <cellStyle name="Percent 2 5 2 2 2" xfId="29683" xr:uid="{00000000-0005-0000-0000-0000F7730000}"/>
    <cellStyle name="Percent 2 5 2 2 2 2" xfId="29684" xr:uid="{00000000-0005-0000-0000-0000F8730000}"/>
    <cellStyle name="Percent 2 5 2 2 2 2 2" xfId="29685" xr:uid="{00000000-0005-0000-0000-0000F9730000}"/>
    <cellStyle name="Percent 2 5 2 2 2 2 3" xfId="29686" xr:uid="{00000000-0005-0000-0000-0000FA730000}"/>
    <cellStyle name="Percent 2 5 2 2 2 3" xfId="29687" xr:uid="{00000000-0005-0000-0000-0000FB730000}"/>
    <cellStyle name="Percent 2 5 2 2 2 3 2" xfId="29688" xr:uid="{00000000-0005-0000-0000-0000FC730000}"/>
    <cellStyle name="Percent 2 5 2 2 2 3 3" xfId="29689" xr:uid="{00000000-0005-0000-0000-0000FD730000}"/>
    <cellStyle name="Percent 2 5 2 2 2 4" xfId="29690" xr:uid="{00000000-0005-0000-0000-0000FE730000}"/>
    <cellStyle name="Percent 2 5 2 2 2 5" xfId="29691" xr:uid="{00000000-0005-0000-0000-0000FF730000}"/>
    <cellStyle name="Percent 2 5 2 2 2 6" xfId="29692" xr:uid="{00000000-0005-0000-0000-000000740000}"/>
    <cellStyle name="Percent 2 5 2 2 3" xfId="29693" xr:uid="{00000000-0005-0000-0000-000001740000}"/>
    <cellStyle name="Percent 2 5 2 2 3 2" xfId="29694" xr:uid="{00000000-0005-0000-0000-000002740000}"/>
    <cellStyle name="Percent 2 5 2 2 3 3" xfId="29695" xr:uid="{00000000-0005-0000-0000-000003740000}"/>
    <cellStyle name="Percent 2 5 2 2 4" xfId="29696" xr:uid="{00000000-0005-0000-0000-000004740000}"/>
    <cellStyle name="Percent 2 5 2 2 4 2" xfId="29697" xr:uid="{00000000-0005-0000-0000-000005740000}"/>
    <cellStyle name="Percent 2 5 2 2 4 3" xfId="29698" xr:uid="{00000000-0005-0000-0000-000006740000}"/>
    <cellStyle name="Percent 2 5 2 2 5" xfId="29699" xr:uid="{00000000-0005-0000-0000-000007740000}"/>
    <cellStyle name="Percent 2 5 2 2 5 2" xfId="29700" xr:uid="{00000000-0005-0000-0000-000008740000}"/>
    <cellStyle name="Percent 2 5 2 2 5 3" xfId="29701" xr:uid="{00000000-0005-0000-0000-000009740000}"/>
    <cellStyle name="Percent 2 5 2 2 6" xfId="29702" xr:uid="{00000000-0005-0000-0000-00000A740000}"/>
    <cellStyle name="Percent 2 5 2 2 7" xfId="29703" xr:uid="{00000000-0005-0000-0000-00000B740000}"/>
    <cellStyle name="Percent 2 5 2 2 8" xfId="29704" xr:uid="{00000000-0005-0000-0000-00000C740000}"/>
    <cellStyle name="Percent 2 5 2 3" xfId="29705" xr:uid="{00000000-0005-0000-0000-00000D740000}"/>
    <cellStyle name="Percent 2 5 2 3 2" xfId="29706" xr:uid="{00000000-0005-0000-0000-00000E740000}"/>
    <cellStyle name="Percent 2 5 2 3 2 2" xfId="29707" xr:uid="{00000000-0005-0000-0000-00000F740000}"/>
    <cellStyle name="Percent 2 5 2 3 2 2 2" xfId="29708" xr:uid="{00000000-0005-0000-0000-000010740000}"/>
    <cellStyle name="Percent 2 5 2 3 2 2 3" xfId="29709" xr:uid="{00000000-0005-0000-0000-000011740000}"/>
    <cellStyle name="Percent 2 5 2 3 2 3" xfId="29710" xr:uid="{00000000-0005-0000-0000-000012740000}"/>
    <cellStyle name="Percent 2 5 2 3 2 3 2" xfId="29711" xr:uid="{00000000-0005-0000-0000-000013740000}"/>
    <cellStyle name="Percent 2 5 2 3 2 3 3" xfId="29712" xr:uid="{00000000-0005-0000-0000-000014740000}"/>
    <cellStyle name="Percent 2 5 2 3 2 4" xfId="29713" xr:uid="{00000000-0005-0000-0000-000015740000}"/>
    <cellStyle name="Percent 2 5 2 3 2 5" xfId="29714" xr:uid="{00000000-0005-0000-0000-000016740000}"/>
    <cellStyle name="Percent 2 5 2 3 2 6" xfId="29715" xr:uid="{00000000-0005-0000-0000-000017740000}"/>
    <cellStyle name="Percent 2 5 2 3 3" xfId="29716" xr:uid="{00000000-0005-0000-0000-000018740000}"/>
    <cellStyle name="Percent 2 5 2 3 3 2" xfId="29717" xr:uid="{00000000-0005-0000-0000-000019740000}"/>
    <cellStyle name="Percent 2 5 2 3 3 3" xfId="29718" xr:uid="{00000000-0005-0000-0000-00001A740000}"/>
    <cellStyle name="Percent 2 5 2 3 4" xfId="29719" xr:uid="{00000000-0005-0000-0000-00001B740000}"/>
    <cellStyle name="Percent 2 5 2 3 4 2" xfId="29720" xr:uid="{00000000-0005-0000-0000-00001C740000}"/>
    <cellStyle name="Percent 2 5 2 3 4 3" xfId="29721" xr:uid="{00000000-0005-0000-0000-00001D740000}"/>
    <cellStyle name="Percent 2 5 2 3 5" xfId="29722" xr:uid="{00000000-0005-0000-0000-00001E740000}"/>
    <cellStyle name="Percent 2 5 2 3 5 2" xfId="29723" xr:uid="{00000000-0005-0000-0000-00001F740000}"/>
    <cellStyle name="Percent 2 5 2 3 5 3" xfId="29724" xr:uid="{00000000-0005-0000-0000-000020740000}"/>
    <cellStyle name="Percent 2 5 2 3 6" xfId="29725" xr:uid="{00000000-0005-0000-0000-000021740000}"/>
    <cellStyle name="Percent 2 5 2 3 7" xfId="29726" xr:uid="{00000000-0005-0000-0000-000022740000}"/>
    <cellStyle name="Percent 2 5 2 3 8" xfId="29727" xr:uid="{00000000-0005-0000-0000-000023740000}"/>
    <cellStyle name="Percent 2 5 2 4" xfId="29728" xr:uid="{00000000-0005-0000-0000-000024740000}"/>
    <cellStyle name="Percent 2 5 2 4 2" xfId="29729" xr:uid="{00000000-0005-0000-0000-000025740000}"/>
    <cellStyle name="Percent 2 5 2 4 2 2" xfId="29730" xr:uid="{00000000-0005-0000-0000-000026740000}"/>
    <cellStyle name="Percent 2 5 2 4 2 3" xfId="29731" xr:uid="{00000000-0005-0000-0000-000027740000}"/>
    <cellStyle name="Percent 2 5 2 4 3" xfId="29732" xr:uid="{00000000-0005-0000-0000-000028740000}"/>
    <cellStyle name="Percent 2 5 2 4 3 2" xfId="29733" xr:uid="{00000000-0005-0000-0000-000029740000}"/>
    <cellStyle name="Percent 2 5 2 4 3 3" xfId="29734" xr:uid="{00000000-0005-0000-0000-00002A740000}"/>
    <cellStyle name="Percent 2 5 2 4 4" xfId="29735" xr:uid="{00000000-0005-0000-0000-00002B740000}"/>
    <cellStyle name="Percent 2 5 2 4 5" xfId="29736" xr:uid="{00000000-0005-0000-0000-00002C740000}"/>
    <cellStyle name="Percent 2 5 2 4 6" xfId="29737" xr:uid="{00000000-0005-0000-0000-00002D740000}"/>
    <cellStyle name="Percent 2 5 2 5" xfId="29738" xr:uid="{00000000-0005-0000-0000-00002E740000}"/>
    <cellStyle name="Percent 2 5 2 5 2" xfId="29739" xr:uid="{00000000-0005-0000-0000-00002F740000}"/>
    <cellStyle name="Percent 2 5 2 5 3" xfId="29740" xr:uid="{00000000-0005-0000-0000-000030740000}"/>
    <cellStyle name="Percent 2 5 2 6" xfId="29741" xr:uid="{00000000-0005-0000-0000-000031740000}"/>
    <cellStyle name="Percent 2 5 2 6 2" xfId="29742" xr:uid="{00000000-0005-0000-0000-000032740000}"/>
    <cellStyle name="Percent 2 5 2 6 3" xfId="29743" xr:uid="{00000000-0005-0000-0000-000033740000}"/>
    <cellStyle name="Percent 2 5 2 7" xfId="29744" xr:uid="{00000000-0005-0000-0000-000034740000}"/>
    <cellStyle name="Percent 2 5 2 7 2" xfId="29745" xr:uid="{00000000-0005-0000-0000-000035740000}"/>
    <cellStyle name="Percent 2 5 2 7 3" xfId="29746" xr:uid="{00000000-0005-0000-0000-000036740000}"/>
    <cellStyle name="Percent 2 5 2 8" xfId="29747" xr:uid="{00000000-0005-0000-0000-000037740000}"/>
    <cellStyle name="Percent 2 5 2 9" xfId="29748" xr:uid="{00000000-0005-0000-0000-000038740000}"/>
    <cellStyle name="Percent 2 5 3" xfId="29749" xr:uid="{00000000-0005-0000-0000-000039740000}"/>
    <cellStyle name="Percent 2 5 3 2" xfId="29750" xr:uid="{00000000-0005-0000-0000-00003A740000}"/>
    <cellStyle name="Percent 2 5 3 2 2" xfId="29751" xr:uid="{00000000-0005-0000-0000-00003B740000}"/>
    <cellStyle name="Percent 2 5 3 2 2 2" xfId="29752" xr:uid="{00000000-0005-0000-0000-00003C740000}"/>
    <cellStyle name="Percent 2 5 3 2 2 3" xfId="29753" xr:uid="{00000000-0005-0000-0000-00003D740000}"/>
    <cellStyle name="Percent 2 5 3 2 3" xfId="29754" xr:uid="{00000000-0005-0000-0000-00003E740000}"/>
    <cellStyle name="Percent 2 5 3 2 3 2" xfId="29755" xr:uid="{00000000-0005-0000-0000-00003F740000}"/>
    <cellStyle name="Percent 2 5 3 2 3 3" xfId="29756" xr:uid="{00000000-0005-0000-0000-000040740000}"/>
    <cellStyle name="Percent 2 5 3 2 4" xfId="29757" xr:uid="{00000000-0005-0000-0000-000041740000}"/>
    <cellStyle name="Percent 2 5 3 2 5" xfId="29758" xr:uid="{00000000-0005-0000-0000-000042740000}"/>
    <cellStyle name="Percent 2 5 3 2 6" xfId="29759" xr:uid="{00000000-0005-0000-0000-000043740000}"/>
    <cellStyle name="Percent 2 5 3 3" xfId="29760" xr:uid="{00000000-0005-0000-0000-000044740000}"/>
    <cellStyle name="Percent 2 5 3 3 2" xfId="29761" xr:uid="{00000000-0005-0000-0000-000045740000}"/>
    <cellStyle name="Percent 2 5 3 3 3" xfId="29762" xr:uid="{00000000-0005-0000-0000-000046740000}"/>
    <cellStyle name="Percent 2 5 3 4" xfId="29763" xr:uid="{00000000-0005-0000-0000-000047740000}"/>
    <cellStyle name="Percent 2 5 3 4 2" xfId="29764" xr:uid="{00000000-0005-0000-0000-000048740000}"/>
    <cellStyle name="Percent 2 5 3 4 3" xfId="29765" xr:uid="{00000000-0005-0000-0000-000049740000}"/>
    <cellStyle name="Percent 2 5 3 5" xfId="29766" xr:uid="{00000000-0005-0000-0000-00004A740000}"/>
    <cellStyle name="Percent 2 5 3 5 2" xfId="29767" xr:uid="{00000000-0005-0000-0000-00004B740000}"/>
    <cellStyle name="Percent 2 5 3 5 3" xfId="29768" xr:uid="{00000000-0005-0000-0000-00004C740000}"/>
    <cellStyle name="Percent 2 5 3 6" xfId="29769" xr:uid="{00000000-0005-0000-0000-00004D740000}"/>
    <cellStyle name="Percent 2 5 3 7" xfId="29770" xr:uid="{00000000-0005-0000-0000-00004E740000}"/>
    <cellStyle name="Percent 2 5 3 8" xfId="29771" xr:uid="{00000000-0005-0000-0000-00004F740000}"/>
    <cellStyle name="Percent 2 5 4" xfId="29772" xr:uid="{00000000-0005-0000-0000-000050740000}"/>
    <cellStyle name="Percent 2 5 4 2" xfId="29773" xr:uid="{00000000-0005-0000-0000-000051740000}"/>
    <cellStyle name="Percent 2 5 4 2 2" xfId="29774" xr:uid="{00000000-0005-0000-0000-000052740000}"/>
    <cellStyle name="Percent 2 5 4 2 2 2" xfId="29775" xr:uid="{00000000-0005-0000-0000-000053740000}"/>
    <cellStyle name="Percent 2 5 4 2 2 3" xfId="29776" xr:uid="{00000000-0005-0000-0000-000054740000}"/>
    <cellStyle name="Percent 2 5 4 2 3" xfId="29777" xr:uid="{00000000-0005-0000-0000-000055740000}"/>
    <cellStyle name="Percent 2 5 4 2 3 2" xfId="29778" xr:uid="{00000000-0005-0000-0000-000056740000}"/>
    <cellStyle name="Percent 2 5 4 2 3 3" xfId="29779" xr:uid="{00000000-0005-0000-0000-000057740000}"/>
    <cellStyle name="Percent 2 5 4 2 4" xfId="29780" xr:uid="{00000000-0005-0000-0000-000058740000}"/>
    <cellStyle name="Percent 2 5 4 2 5" xfId="29781" xr:uid="{00000000-0005-0000-0000-000059740000}"/>
    <cellStyle name="Percent 2 5 4 2 6" xfId="29782" xr:uid="{00000000-0005-0000-0000-00005A740000}"/>
    <cellStyle name="Percent 2 5 4 3" xfId="29783" xr:uid="{00000000-0005-0000-0000-00005B740000}"/>
    <cellStyle name="Percent 2 5 4 3 2" xfId="29784" xr:uid="{00000000-0005-0000-0000-00005C740000}"/>
    <cellStyle name="Percent 2 5 4 3 3" xfId="29785" xr:uid="{00000000-0005-0000-0000-00005D740000}"/>
    <cellStyle name="Percent 2 5 4 4" xfId="29786" xr:uid="{00000000-0005-0000-0000-00005E740000}"/>
    <cellStyle name="Percent 2 5 4 4 2" xfId="29787" xr:uid="{00000000-0005-0000-0000-00005F740000}"/>
    <cellStyle name="Percent 2 5 4 4 3" xfId="29788" xr:uid="{00000000-0005-0000-0000-000060740000}"/>
    <cellStyle name="Percent 2 5 4 5" xfId="29789" xr:uid="{00000000-0005-0000-0000-000061740000}"/>
    <cellStyle name="Percent 2 5 4 5 2" xfId="29790" xr:uid="{00000000-0005-0000-0000-000062740000}"/>
    <cellStyle name="Percent 2 5 4 5 3" xfId="29791" xr:uid="{00000000-0005-0000-0000-000063740000}"/>
    <cellStyle name="Percent 2 5 4 6" xfId="29792" xr:uid="{00000000-0005-0000-0000-000064740000}"/>
    <cellStyle name="Percent 2 5 4 7" xfId="29793" xr:uid="{00000000-0005-0000-0000-000065740000}"/>
    <cellStyle name="Percent 2 5 4 8" xfId="29794" xr:uid="{00000000-0005-0000-0000-000066740000}"/>
    <cellStyle name="Percent 2 5 5" xfId="29795" xr:uid="{00000000-0005-0000-0000-000067740000}"/>
    <cellStyle name="Percent 2 5 5 2" xfId="29796" xr:uid="{00000000-0005-0000-0000-000068740000}"/>
    <cellStyle name="Percent 2 5 5 2 2" xfId="29797" xr:uid="{00000000-0005-0000-0000-000069740000}"/>
    <cellStyle name="Percent 2 5 5 2 2 2" xfId="29798" xr:uid="{00000000-0005-0000-0000-00006A740000}"/>
    <cellStyle name="Percent 2 5 5 2 2 3" xfId="29799" xr:uid="{00000000-0005-0000-0000-00006B740000}"/>
    <cellStyle name="Percent 2 5 5 2 3" xfId="29800" xr:uid="{00000000-0005-0000-0000-00006C740000}"/>
    <cellStyle name="Percent 2 5 5 2 3 2" xfId="29801" xr:uid="{00000000-0005-0000-0000-00006D740000}"/>
    <cellStyle name="Percent 2 5 5 2 3 3" xfId="29802" xr:uid="{00000000-0005-0000-0000-00006E740000}"/>
    <cellStyle name="Percent 2 5 5 2 4" xfId="29803" xr:uid="{00000000-0005-0000-0000-00006F740000}"/>
    <cellStyle name="Percent 2 5 5 2 5" xfId="29804" xr:uid="{00000000-0005-0000-0000-000070740000}"/>
    <cellStyle name="Percent 2 5 5 2 6" xfId="29805" xr:uid="{00000000-0005-0000-0000-000071740000}"/>
    <cellStyle name="Percent 2 5 5 3" xfId="29806" xr:uid="{00000000-0005-0000-0000-000072740000}"/>
    <cellStyle name="Percent 2 5 5 3 2" xfId="29807" xr:uid="{00000000-0005-0000-0000-000073740000}"/>
    <cellStyle name="Percent 2 5 5 3 3" xfId="29808" xr:uid="{00000000-0005-0000-0000-000074740000}"/>
    <cellStyle name="Percent 2 5 5 4" xfId="29809" xr:uid="{00000000-0005-0000-0000-000075740000}"/>
    <cellStyle name="Percent 2 5 5 4 2" xfId="29810" xr:uid="{00000000-0005-0000-0000-000076740000}"/>
    <cellStyle name="Percent 2 5 5 4 3" xfId="29811" xr:uid="{00000000-0005-0000-0000-000077740000}"/>
    <cellStyle name="Percent 2 5 5 5" xfId="29812" xr:uid="{00000000-0005-0000-0000-000078740000}"/>
    <cellStyle name="Percent 2 5 5 5 2" xfId="29813" xr:uid="{00000000-0005-0000-0000-000079740000}"/>
    <cellStyle name="Percent 2 5 5 5 3" xfId="29814" xr:uid="{00000000-0005-0000-0000-00007A740000}"/>
    <cellStyle name="Percent 2 5 5 6" xfId="29815" xr:uid="{00000000-0005-0000-0000-00007B740000}"/>
    <cellStyle name="Percent 2 5 5 7" xfId="29816" xr:uid="{00000000-0005-0000-0000-00007C740000}"/>
    <cellStyle name="Percent 2 5 5 8" xfId="29817" xr:uid="{00000000-0005-0000-0000-00007D740000}"/>
    <cellStyle name="Percent 2 5 6" xfId="29818" xr:uid="{00000000-0005-0000-0000-00007E740000}"/>
    <cellStyle name="Percent 2 5 6 2" xfId="29819" xr:uid="{00000000-0005-0000-0000-00007F740000}"/>
    <cellStyle name="Percent 2 5 6 2 2" xfId="29820" xr:uid="{00000000-0005-0000-0000-000080740000}"/>
    <cellStyle name="Percent 2 5 6 2 3" xfId="29821" xr:uid="{00000000-0005-0000-0000-000081740000}"/>
    <cellStyle name="Percent 2 5 6 3" xfId="29822" xr:uid="{00000000-0005-0000-0000-000082740000}"/>
    <cellStyle name="Percent 2 5 6 3 2" xfId="29823" xr:uid="{00000000-0005-0000-0000-000083740000}"/>
    <cellStyle name="Percent 2 5 6 3 3" xfId="29824" xr:uid="{00000000-0005-0000-0000-000084740000}"/>
    <cellStyle name="Percent 2 5 6 4" xfId="29825" xr:uid="{00000000-0005-0000-0000-000085740000}"/>
    <cellStyle name="Percent 2 5 6 5" xfId="29826" xr:uid="{00000000-0005-0000-0000-000086740000}"/>
    <cellStyle name="Percent 2 5 6 6" xfId="29827" xr:uid="{00000000-0005-0000-0000-000087740000}"/>
    <cellStyle name="Percent 2 5 7" xfId="29828" xr:uid="{00000000-0005-0000-0000-000088740000}"/>
    <cellStyle name="Percent 2 5 7 2" xfId="29829" xr:uid="{00000000-0005-0000-0000-000089740000}"/>
    <cellStyle name="Percent 2 5 7 3" xfId="29830" xr:uid="{00000000-0005-0000-0000-00008A740000}"/>
    <cellStyle name="Percent 2 5 8" xfId="29831" xr:uid="{00000000-0005-0000-0000-00008B740000}"/>
    <cellStyle name="Percent 2 5 8 2" xfId="29832" xr:uid="{00000000-0005-0000-0000-00008C740000}"/>
    <cellStyle name="Percent 2 5 8 3" xfId="29833" xr:uid="{00000000-0005-0000-0000-00008D740000}"/>
    <cellStyle name="Percent 2 5 9" xfId="29834" xr:uid="{00000000-0005-0000-0000-00008E740000}"/>
    <cellStyle name="Percent 2 5 9 2" xfId="29835" xr:uid="{00000000-0005-0000-0000-00008F740000}"/>
    <cellStyle name="Percent 2 5 9 3" xfId="29836" xr:uid="{00000000-0005-0000-0000-000090740000}"/>
    <cellStyle name="Percent 2 50" xfId="29837" xr:uid="{00000000-0005-0000-0000-000091740000}"/>
    <cellStyle name="Percent 2 50 2" xfId="29838" xr:uid="{00000000-0005-0000-0000-000092740000}"/>
    <cellStyle name="Percent 2 51" xfId="29839" xr:uid="{00000000-0005-0000-0000-000093740000}"/>
    <cellStyle name="Percent 2 51 2" xfId="29840" xr:uid="{00000000-0005-0000-0000-000094740000}"/>
    <cellStyle name="Percent 2 52" xfId="29841" xr:uid="{00000000-0005-0000-0000-000095740000}"/>
    <cellStyle name="Percent 2 52 2" xfId="29842" xr:uid="{00000000-0005-0000-0000-000096740000}"/>
    <cellStyle name="Percent 2 53" xfId="29843" xr:uid="{00000000-0005-0000-0000-000097740000}"/>
    <cellStyle name="Percent 2 53 2" xfId="29844" xr:uid="{00000000-0005-0000-0000-000098740000}"/>
    <cellStyle name="Percent 2 54" xfId="29845" xr:uid="{00000000-0005-0000-0000-000099740000}"/>
    <cellStyle name="Percent 2 54 2" xfId="29846" xr:uid="{00000000-0005-0000-0000-00009A740000}"/>
    <cellStyle name="Percent 2 55" xfId="29847" xr:uid="{00000000-0005-0000-0000-00009B740000}"/>
    <cellStyle name="Percent 2 55 2" xfId="29848" xr:uid="{00000000-0005-0000-0000-00009C740000}"/>
    <cellStyle name="Percent 2 56" xfId="29849" xr:uid="{00000000-0005-0000-0000-00009D740000}"/>
    <cellStyle name="Percent 2 56 2" xfId="29850" xr:uid="{00000000-0005-0000-0000-00009E740000}"/>
    <cellStyle name="Percent 2 57" xfId="29851" xr:uid="{00000000-0005-0000-0000-00009F740000}"/>
    <cellStyle name="Percent 2 57 2" xfId="29852" xr:uid="{00000000-0005-0000-0000-0000A0740000}"/>
    <cellStyle name="Percent 2 58" xfId="29853" xr:uid="{00000000-0005-0000-0000-0000A1740000}"/>
    <cellStyle name="Percent 2 58 2" xfId="29854" xr:uid="{00000000-0005-0000-0000-0000A2740000}"/>
    <cellStyle name="Percent 2 59" xfId="29855" xr:uid="{00000000-0005-0000-0000-0000A3740000}"/>
    <cellStyle name="Percent 2 59 2" xfId="29856" xr:uid="{00000000-0005-0000-0000-0000A4740000}"/>
    <cellStyle name="Percent 2 6" xfId="29857" xr:uid="{00000000-0005-0000-0000-0000A5740000}"/>
    <cellStyle name="Percent 2 6 10" xfId="29858" xr:uid="{00000000-0005-0000-0000-0000A6740000}"/>
    <cellStyle name="Percent 2 6 11" xfId="29859" xr:uid="{00000000-0005-0000-0000-0000A7740000}"/>
    <cellStyle name="Percent 2 6 12" xfId="29860" xr:uid="{00000000-0005-0000-0000-0000A8740000}"/>
    <cellStyle name="Percent 2 6 2" xfId="29861" xr:uid="{00000000-0005-0000-0000-0000A9740000}"/>
    <cellStyle name="Percent 2 6 2 10" xfId="29862" xr:uid="{00000000-0005-0000-0000-0000AA740000}"/>
    <cellStyle name="Percent 2 6 2 2" xfId="29863" xr:uid="{00000000-0005-0000-0000-0000AB740000}"/>
    <cellStyle name="Percent 2 6 2 2 2" xfId="29864" xr:uid="{00000000-0005-0000-0000-0000AC740000}"/>
    <cellStyle name="Percent 2 6 2 2 2 2" xfId="29865" xr:uid="{00000000-0005-0000-0000-0000AD740000}"/>
    <cellStyle name="Percent 2 6 2 2 2 2 2" xfId="29866" xr:uid="{00000000-0005-0000-0000-0000AE740000}"/>
    <cellStyle name="Percent 2 6 2 2 2 2 3" xfId="29867" xr:uid="{00000000-0005-0000-0000-0000AF740000}"/>
    <cellStyle name="Percent 2 6 2 2 2 3" xfId="29868" xr:uid="{00000000-0005-0000-0000-0000B0740000}"/>
    <cellStyle name="Percent 2 6 2 2 2 3 2" xfId="29869" xr:uid="{00000000-0005-0000-0000-0000B1740000}"/>
    <cellStyle name="Percent 2 6 2 2 2 3 3" xfId="29870" xr:uid="{00000000-0005-0000-0000-0000B2740000}"/>
    <cellStyle name="Percent 2 6 2 2 2 4" xfId="29871" xr:uid="{00000000-0005-0000-0000-0000B3740000}"/>
    <cellStyle name="Percent 2 6 2 2 2 5" xfId="29872" xr:uid="{00000000-0005-0000-0000-0000B4740000}"/>
    <cellStyle name="Percent 2 6 2 2 2 6" xfId="29873" xr:uid="{00000000-0005-0000-0000-0000B5740000}"/>
    <cellStyle name="Percent 2 6 2 2 3" xfId="29874" xr:uid="{00000000-0005-0000-0000-0000B6740000}"/>
    <cellStyle name="Percent 2 6 2 2 3 2" xfId="29875" xr:uid="{00000000-0005-0000-0000-0000B7740000}"/>
    <cellStyle name="Percent 2 6 2 2 3 3" xfId="29876" xr:uid="{00000000-0005-0000-0000-0000B8740000}"/>
    <cellStyle name="Percent 2 6 2 2 4" xfId="29877" xr:uid="{00000000-0005-0000-0000-0000B9740000}"/>
    <cellStyle name="Percent 2 6 2 2 4 2" xfId="29878" xr:uid="{00000000-0005-0000-0000-0000BA740000}"/>
    <cellStyle name="Percent 2 6 2 2 4 3" xfId="29879" xr:uid="{00000000-0005-0000-0000-0000BB740000}"/>
    <cellStyle name="Percent 2 6 2 2 5" xfId="29880" xr:uid="{00000000-0005-0000-0000-0000BC740000}"/>
    <cellStyle name="Percent 2 6 2 2 5 2" xfId="29881" xr:uid="{00000000-0005-0000-0000-0000BD740000}"/>
    <cellStyle name="Percent 2 6 2 2 5 3" xfId="29882" xr:uid="{00000000-0005-0000-0000-0000BE740000}"/>
    <cellStyle name="Percent 2 6 2 2 6" xfId="29883" xr:uid="{00000000-0005-0000-0000-0000BF740000}"/>
    <cellStyle name="Percent 2 6 2 2 7" xfId="29884" xr:uid="{00000000-0005-0000-0000-0000C0740000}"/>
    <cellStyle name="Percent 2 6 2 2 8" xfId="29885" xr:uid="{00000000-0005-0000-0000-0000C1740000}"/>
    <cellStyle name="Percent 2 6 2 3" xfId="29886" xr:uid="{00000000-0005-0000-0000-0000C2740000}"/>
    <cellStyle name="Percent 2 6 2 3 2" xfId="29887" xr:uid="{00000000-0005-0000-0000-0000C3740000}"/>
    <cellStyle name="Percent 2 6 2 3 2 2" xfId="29888" xr:uid="{00000000-0005-0000-0000-0000C4740000}"/>
    <cellStyle name="Percent 2 6 2 3 2 2 2" xfId="29889" xr:uid="{00000000-0005-0000-0000-0000C5740000}"/>
    <cellStyle name="Percent 2 6 2 3 2 2 3" xfId="29890" xr:uid="{00000000-0005-0000-0000-0000C6740000}"/>
    <cellStyle name="Percent 2 6 2 3 2 3" xfId="29891" xr:uid="{00000000-0005-0000-0000-0000C7740000}"/>
    <cellStyle name="Percent 2 6 2 3 2 3 2" xfId="29892" xr:uid="{00000000-0005-0000-0000-0000C8740000}"/>
    <cellStyle name="Percent 2 6 2 3 2 3 3" xfId="29893" xr:uid="{00000000-0005-0000-0000-0000C9740000}"/>
    <cellStyle name="Percent 2 6 2 3 2 4" xfId="29894" xr:uid="{00000000-0005-0000-0000-0000CA740000}"/>
    <cellStyle name="Percent 2 6 2 3 2 5" xfId="29895" xr:uid="{00000000-0005-0000-0000-0000CB740000}"/>
    <cellStyle name="Percent 2 6 2 3 2 6" xfId="29896" xr:uid="{00000000-0005-0000-0000-0000CC740000}"/>
    <cellStyle name="Percent 2 6 2 3 3" xfId="29897" xr:uid="{00000000-0005-0000-0000-0000CD740000}"/>
    <cellStyle name="Percent 2 6 2 3 3 2" xfId="29898" xr:uid="{00000000-0005-0000-0000-0000CE740000}"/>
    <cellStyle name="Percent 2 6 2 3 3 3" xfId="29899" xr:uid="{00000000-0005-0000-0000-0000CF740000}"/>
    <cellStyle name="Percent 2 6 2 3 4" xfId="29900" xr:uid="{00000000-0005-0000-0000-0000D0740000}"/>
    <cellStyle name="Percent 2 6 2 3 4 2" xfId="29901" xr:uid="{00000000-0005-0000-0000-0000D1740000}"/>
    <cellStyle name="Percent 2 6 2 3 4 3" xfId="29902" xr:uid="{00000000-0005-0000-0000-0000D2740000}"/>
    <cellStyle name="Percent 2 6 2 3 5" xfId="29903" xr:uid="{00000000-0005-0000-0000-0000D3740000}"/>
    <cellStyle name="Percent 2 6 2 3 5 2" xfId="29904" xr:uid="{00000000-0005-0000-0000-0000D4740000}"/>
    <cellStyle name="Percent 2 6 2 3 5 3" xfId="29905" xr:uid="{00000000-0005-0000-0000-0000D5740000}"/>
    <cellStyle name="Percent 2 6 2 3 6" xfId="29906" xr:uid="{00000000-0005-0000-0000-0000D6740000}"/>
    <cellStyle name="Percent 2 6 2 3 7" xfId="29907" xr:uid="{00000000-0005-0000-0000-0000D7740000}"/>
    <cellStyle name="Percent 2 6 2 3 8" xfId="29908" xr:uid="{00000000-0005-0000-0000-0000D8740000}"/>
    <cellStyle name="Percent 2 6 2 4" xfId="29909" xr:uid="{00000000-0005-0000-0000-0000D9740000}"/>
    <cellStyle name="Percent 2 6 2 4 2" xfId="29910" xr:uid="{00000000-0005-0000-0000-0000DA740000}"/>
    <cellStyle name="Percent 2 6 2 4 2 2" xfId="29911" xr:uid="{00000000-0005-0000-0000-0000DB740000}"/>
    <cellStyle name="Percent 2 6 2 4 2 3" xfId="29912" xr:uid="{00000000-0005-0000-0000-0000DC740000}"/>
    <cellStyle name="Percent 2 6 2 4 3" xfId="29913" xr:uid="{00000000-0005-0000-0000-0000DD740000}"/>
    <cellStyle name="Percent 2 6 2 4 3 2" xfId="29914" xr:uid="{00000000-0005-0000-0000-0000DE740000}"/>
    <cellStyle name="Percent 2 6 2 4 3 3" xfId="29915" xr:uid="{00000000-0005-0000-0000-0000DF740000}"/>
    <cellStyle name="Percent 2 6 2 4 4" xfId="29916" xr:uid="{00000000-0005-0000-0000-0000E0740000}"/>
    <cellStyle name="Percent 2 6 2 4 5" xfId="29917" xr:uid="{00000000-0005-0000-0000-0000E1740000}"/>
    <cellStyle name="Percent 2 6 2 4 6" xfId="29918" xr:uid="{00000000-0005-0000-0000-0000E2740000}"/>
    <cellStyle name="Percent 2 6 2 5" xfId="29919" xr:uid="{00000000-0005-0000-0000-0000E3740000}"/>
    <cellStyle name="Percent 2 6 2 5 2" xfId="29920" xr:uid="{00000000-0005-0000-0000-0000E4740000}"/>
    <cellStyle name="Percent 2 6 2 5 3" xfId="29921" xr:uid="{00000000-0005-0000-0000-0000E5740000}"/>
    <cellStyle name="Percent 2 6 2 6" xfId="29922" xr:uid="{00000000-0005-0000-0000-0000E6740000}"/>
    <cellStyle name="Percent 2 6 2 6 2" xfId="29923" xr:uid="{00000000-0005-0000-0000-0000E7740000}"/>
    <cellStyle name="Percent 2 6 2 6 3" xfId="29924" xr:uid="{00000000-0005-0000-0000-0000E8740000}"/>
    <cellStyle name="Percent 2 6 2 7" xfId="29925" xr:uid="{00000000-0005-0000-0000-0000E9740000}"/>
    <cellStyle name="Percent 2 6 2 7 2" xfId="29926" xr:uid="{00000000-0005-0000-0000-0000EA740000}"/>
    <cellStyle name="Percent 2 6 2 7 3" xfId="29927" xr:uid="{00000000-0005-0000-0000-0000EB740000}"/>
    <cellStyle name="Percent 2 6 2 8" xfId="29928" xr:uid="{00000000-0005-0000-0000-0000EC740000}"/>
    <cellStyle name="Percent 2 6 2 9" xfId="29929" xr:uid="{00000000-0005-0000-0000-0000ED740000}"/>
    <cellStyle name="Percent 2 6 3" xfId="29930" xr:uid="{00000000-0005-0000-0000-0000EE740000}"/>
    <cellStyle name="Percent 2 6 3 2" xfId="29931" xr:uid="{00000000-0005-0000-0000-0000EF740000}"/>
    <cellStyle name="Percent 2 6 3 2 2" xfId="29932" xr:uid="{00000000-0005-0000-0000-0000F0740000}"/>
    <cellStyle name="Percent 2 6 3 2 2 2" xfId="29933" xr:uid="{00000000-0005-0000-0000-0000F1740000}"/>
    <cellStyle name="Percent 2 6 3 2 2 3" xfId="29934" xr:uid="{00000000-0005-0000-0000-0000F2740000}"/>
    <cellStyle name="Percent 2 6 3 2 3" xfId="29935" xr:uid="{00000000-0005-0000-0000-0000F3740000}"/>
    <cellStyle name="Percent 2 6 3 2 3 2" xfId="29936" xr:uid="{00000000-0005-0000-0000-0000F4740000}"/>
    <cellStyle name="Percent 2 6 3 2 3 3" xfId="29937" xr:uid="{00000000-0005-0000-0000-0000F5740000}"/>
    <cellStyle name="Percent 2 6 3 2 4" xfId="29938" xr:uid="{00000000-0005-0000-0000-0000F6740000}"/>
    <cellStyle name="Percent 2 6 3 2 5" xfId="29939" xr:uid="{00000000-0005-0000-0000-0000F7740000}"/>
    <cellStyle name="Percent 2 6 3 2 6" xfId="29940" xr:uid="{00000000-0005-0000-0000-0000F8740000}"/>
    <cellStyle name="Percent 2 6 3 3" xfId="29941" xr:uid="{00000000-0005-0000-0000-0000F9740000}"/>
    <cellStyle name="Percent 2 6 3 3 2" xfId="29942" xr:uid="{00000000-0005-0000-0000-0000FA740000}"/>
    <cellStyle name="Percent 2 6 3 3 3" xfId="29943" xr:uid="{00000000-0005-0000-0000-0000FB740000}"/>
    <cellStyle name="Percent 2 6 3 4" xfId="29944" xr:uid="{00000000-0005-0000-0000-0000FC740000}"/>
    <cellStyle name="Percent 2 6 3 4 2" xfId="29945" xr:uid="{00000000-0005-0000-0000-0000FD740000}"/>
    <cellStyle name="Percent 2 6 3 4 3" xfId="29946" xr:uid="{00000000-0005-0000-0000-0000FE740000}"/>
    <cellStyle name="Percent 2 6 3 5" xfId="29947" xr:uid="{00000000-0005-0000-0000-0000FF740000}"/>
    <cellStyle name="Percent 2 6 3 5 2" xfId="29948" xr:uid="{00000000-0005-0000-0000-000000750000}"/>
    <cellStyle name="Percent 2 6 3 5 3" xfId="29949" xr:uid="{00000000-0005-0000-0000-000001750000}"/>
    <cellStyle name="Percent 2 6 3 6" xfId="29950" xr:uid="{00000000-0005-0000-0000-000002750000}"/>
    <cellStyle name="Percent 2 6 3 7" xfId="29951" xr:uid="{00000000-0005-0000-0000-000003750000}"/>
    <cellStyle name="Percent 2 6 3 8" xfId="29952" xr:uid="{00000000-0005-0000-0000-000004750000}"/>
    <cellStyle name="Percent 2 6 4" xfId="29953" xr:uid="{00000000-0005-0000-0000-000005750000}"/>
    <cellStyle name="Percent 2 6 4 2" xfId="29954" xr:uid="{00000000-0005-0000-0000-000006750000}"/>
    <cellStyle name="Percent 2 6 4 2 2" xfId="29955" xr:uid="{00000000-0005-0000-0000-000007750000}"/>
    <cellStyle name="Percent 2 6 4 2 2 2" xfId="29956" xr:uid="{00000000-0005-0000-0000-000008750000}"/>
    <cellStyle name="Percent 2 6 4 2 2 3" xfId="29957" xr:uid="{00000000-0005-0000-0000-000009750000}"/>
    <cellStyle name="Percent 2 6 4 2 3" xfId="29958" xr:uid="{00000000-0005-0000-0000-00000A750000}"/>
    <cellStyle name="Percent 2 6 4 2 3 2" xfId="29959" xr:uid="{00000000-0005-0000-0000-00000B750000}"/>
    <cellStyle name="Percent 2 6 4 2 3 3" xfId="29960" xr:uid="{00000000-0005-0000-0000-00000C750000}"/>
    <cellStyle name="Percent 2 6 4 2 4" xfId="29961" xr:uid="{00000000-0005-0000-0000-00000D750000}"/>
    <cellStyle name="Percent 2 6 4 2 5" xfId="29962" xr:uid="{00000000-0005-0000-0000-00000E750000}"/>
    <cellStyle name="Percent 2 6 4 2 6" xfId="29963" xr:uid="{00000000-0005-0000-0000-00000F750000}"/>
    <cellStyle name="Percent 2 6 4 3" xfId="29964" xr:uid="{00000000-0005-0000-0000-000010750000}"/>
    <cellStyle name="Percent 2 6 4 3 2" xfId="29965" xr:uid="{00000000-0005-0000-0000-000011750000}"/>
    <cellStyle name="Percent 2 6 4 3 3" xfId="29966" xr:uid="{00000000-0005-0000-0000-000012750000}"/>
    <cellStyle name="Percent 2 6 4 4" xfId="29967" xr:uid="{00000000-0005-0000-0000-000013750000}"/>
    <cellStyle name="Percent 2 6 4 4 2" xfId="29968" xr:uid="{00000000-0005-0000-0000-000014750000}"/>
    <cellStyle name="Percent 2 6 4 4 3" xfId="29969" xr:uid="{00000000-0005-0000-0000-000015750000}"/>
    <cellStyle name="Percent 2 6 4 5" xfId="29970" xr:uid="{00000000-0005-0000-0000-000016750000}"/>
    <cellStyle name="Percent 2 6 4 5 2" xfId="29971" xr:uid="{00000000-0005-0000-0000-000017750000}"/>
    <cellStyle name="Percent 2 6 4 5 3" xfId="29972" xr:uid="{00000000-0005-0000-0000-000018750000}"/>
    <cellStyle name="Percent 2 6 4 6" xfId="29973" xr:uid="{00000000-0005-0000-0000-000019750000}"/>
    <cellStyle name="Percent 2 6 4 7" xfId="29974" xr:uid="{00000000-0005-0000-0000-00001A750000}"/>
    <cellStyle name="Percent 2 6 4 8" xfId="29975" xr:uid="{00000000-0005-0000-0000-00001B750000}"/>
    <cellStyle name="Percent 2 6 5" xfId="29976" xr:uid="{00000000-0005-0000-0000-00001C750000}"/>
    <cellStyle name="Percent 2 6 5 2" xfId="29977" xr:uid="{00000000-0005-0000-0000-00001D750000}"/>
    <cellStyle name="Percent 2 6 5 2 2" xfId="29978" xr:uid="{00000000-0005-0000-0000-00001E750000}"/>
    <cellStyle name="Percent 2 6 5 2 2 2" xfId="29979" xr:uid="{00000000-0005-0000-0000-00001F750000}"/>
    <cellStyle name="Percent 2 6 5 2 2 3" xfId="29980" xr:uid="{00000000-0005-0000-0000-000020750000}"/>
    <cellStyle name="Percent 2 6 5 2 3" xfId="29981" xr:uid="{00000000-0005-0000-0000-000021750000}"/>
    <cellStyle name="Percent 2 6 5 2 3 2" xfId="29982" xr:uid="{00000000-0005-0000-0000-000022750000}"/>
    <cellStyle name="Percent 2 6 5 2 3 3" xfId="29983" xr:uid="{00000000-0005-0000-0000-000023750000}"/>
    <cellStyle name="Percent 2 6 5 2 4" xfId="29984" xr:uid="{00000000-0005-0000-0000-000024750000}"/>
    <cellStyle name="Percent 2 6 5 2 5" xfId="29985" xr:uid="{00000000-0005-0000-0000-000025750000}"/>
    <cellStyle name="Percent 2 6 5 2 6" xfId="29986" xr:uid="{00000000-0005-0000-0000-000026750000}"/>
    <cellStyle name="Percent 2 6 5 3" xfId="29987" xr:uid="{00000000-0005-0000-0000-000027750000}"/>
    <cellStyle name="Percent 2 6 5 3 2" xfId="29988" xr:uid="{00000000-0005-0000-0000-000028750000}"/>
    <cellStyle name="Percent 2 6 5 3 3" xfId="29989" xr:uid="{00000000-0005-0000-0000-000029750000}"/>
    <cellStyle name="Percent 2 6 5 4" xfId="29990" xr:uid="{00000000-0005-0000-0000-00002A750000}"/>
    <cellStyle name="Percent 2 6 5 4 2" xfId="29991" xr:uid="{00000000-0005-0000-0000-00002B750000}"/>
    <cellStyle name="Percent 2 6 5 4 3" xfId="29992" xr:uid="{00000000-0005-0000-0000-00002C750000}"/>
    <cellStyle name="Percent 2 6 5 5" xfId="29993" xr:uid="{00000000-0005-0000-0000-00002D750000}"/>
    <cellStyle name="Percent 2 6 5 5 2" xfId="29994" xr:uid="{00000000-0005-0000-0000-00002E750000}"/>
    <cellStyle name="Percent 2 6 5 5 3" xfId="29995" xr:uid="{00000000-0005-0000-0000-00002F750000}"/>
    <cellStyle name="Percent 2 6 5 6" xfId="29996" xr:uid="{00000000-0005-0000-0000-000030750000}"/>
    <cellStyle name="Percent 2 6 5 7" xfId="29997" xr:uid="{00000000-0005-0000-0000-000031750000}"/>
    <cellStyle name="Percent 2 6 5 8" xfId="29998" xr:uid="{00000000-0005-0000-0000-000032750000}"/>
    <cellStyle name="Percent 2 6 6" xfId="29999" xr:uid="{00000000-0005-0000-0000-000033750000}"/>
    <cellStyle name="Percent 2 6 6 2" xfId="30000" xr:uid="{00000000-0005-0000-0000-000034750000}"/>
    <cellStyle name="Percent 2 6 6 2 2" xfId="30001" xr:uid="{00000000-0005-0000-0000-000035750000}"/>
    <cellStyle name="Percent 2 6 6 2 3" xfId="30002" xr:uid="{00000000-0005-0000-0000-000036750000}"/>
    <cellStyle name="Percent 2 6 6 3" xfId="30003" xr:uid="{00000000-0005-0000-0000-000037750000}"/>
    <cellStyle name="Percent 2 6 6 3 2" xfId="30004" xr:uid="{00000000-0005-0000-0000-000038750000}"/>
    <cellStyle name="Percent 2 6 6 3 3" xfId="30005" xr:uid="{00000000-0005-0000-0000-000039750000}"/>
    <cellStyle name="Percent 2 6 6 4" xfId="30006" xr:uid="{00000000-0005-0000-0000-00003A750000}"/>
    <cellStyle name="Percent 2 6 6 5" xfId="30007" xr:uid="{00000000-0005-0000-0000-00003B750000}"/>
    <cellStyle name="Percent 2 6 6 6" xfId="30008" xr:uid="{00000000-0005-0000-0000-00003C750000}"/>
    <cellStyle name="Percent 2 6 7" xfId="30009" xr:uid="{00000000-0005-0000-0000-00003D750000}"/>
    <cellStyle name="Percent 2 6 7 2" xfId="30010" xr:uid="{00000000-0005-0000-0000-00003E750000}"/>
    <cellStyle name="Percent 2 6 7 3" xfId="30011" xr:uid="{00000000-0005-0000-0000-00003F750000}"/>
    <cellStyle name="Percent 2 6 8" xfId="30012" xr:uid="{00000000-0005-0000-0000-000040750000}"/>
    <cellStyle name="Percent 2 6 8 2" xfId="30013" xr:uid="{00000000-0005-0000-0000-000041750000}"/>
    <cellStyle name="Percent 2 6 8 3" xfId="30014" xr:uid="{00000000-0005-0000-0000-000042750000}"/>
    <cellStyle name="Percent 2 6 9" xfId="30015" xr:uid="{00000000-0005-0000-0000-000043750000}"/>
    <cellStyle name="Percent 2 6 9 2" xfId="30016" xr:uid="{00000000-0005-0000-0000-000044750000}"/>
    <cellStyle name="Percent 2 6 9 3" xfId="30017" xr:uid="{00000000-0005-0000-0000-000045750000}"/>
    <cellStyle name="Percent 2 60" xfId="30018" xr:uid="{00000000-0005-0000-0000-000046750000}"/>
    <cellStyle name="Percent 2 60 2" xfId="30019" xr:uid="{00000000-0005-0000-0000-000047750000}"/>
    <cellStyle name="Percent 2 61" xfId="30020" xr:uid="{00000000-0005-0000-0000-000048750000}"/>
    <cellStyle name="Percent 2 61 2" xfId="30021" xr:uid="{00000000-0005-0000-0000-000049750000}"/>
    <cellStyle name="Percent 2 62" xfId="30022" xr:uid="{00000000-0005-0000-0000-00004A750000}"/>
    <cellStyle name="Percent 2 62 2" xfId="30023" xr:uid="{00000000-0005-0000-0000-00004B750000}"/>
    <cellStyle name="Percent 2 63" xfId="30024" xr:uid="{00000000-0005-0000-0000-00004C750000}"/>
    <cellStyle name="Percent 2 63 2" xfId="30025" xr:uid="{00000000-0005-0000-0000-00004D750000}"/>
    <cellStyle name="Percent 2 64" xfId="30026" xr:uid="{00000000-0005-0000-0000-00004E750000}"/>
    <cellStyle name="Percent 2 64 2" xfId="30027" xr:uid="{00000000-0005-0000-0000-00004F750000}"/>
    <cellStyle name="Percent 2 65" xfId="30028" xr:uid="{00000000-0005-0000-0000-000050750000}"/>
    <cellStyle name="Percent 2 65 2" xfId="30029" xr:uid="{00000000-0005-0000-0000-000051750000}"/>
    <cellStyle name="Percent 2 66" xfId="30030" xr:uid="{00000000-0005-0000-0000-000052750000}"/>
    <cellStyle name="Percent 2 66 2" xfId="30031" xr:uid="{00000000-0005-0000-0000-000053750000}"/>
    <cellStyle name="Percent 2 67" xfId="30032" xr:uid="{00000000-0005-0000-0000-000054750000}"/>
    <cellStyle name="Percent 2 67 2" xfId="30033" xr:uid="{00000000-0005-0000-0000-000055750000}"/>
    <cellStyle name="Percent 2 68" xfId="30034" xr:uid="{00000000-0005-0000-0000-000056750000}"/>
    <cellStyle name="Percent 2 68 2" xfId="30035" xr:uid="{00000000-0005-0000-0000-000057750000}"/>
    <cellStyle name="Percent 2 69" xfId="30036" xr:uid="{00000000-0005-0000-0000-000058750000}"/>
    <cellStyle name="Percent 2 69 2" xfId="30037" xr:uid="{00000000-0005-0000-0000-000059750000}"/>
    <cellStyle name="Percent 2 7" xfId="30038" xr:uid="{00000000-0005-0000-0000-00005A750000}"/>
    <cellStyle name="Percent 2 7 10" xfId="30039" xr:uid="{00000000-0005-0000-0000-00005B750000}"/>
    <cellStyle name="Percent 2 7 11" xfId="30040" xr:uid="{00000000-0005-0000-0000-00005C750000}"/>
    <cellStyle name="Percent 2 7 12" xfId="30041" xr:uid="{00000000-0005-0000-0000-00005D750000}"/>
    <cellStyle name="Percent 2 7 2" xfId="30042" xr:uid="{00000000-0005-0000-0000-00005E750000}"/>
    <cellStyle name="Percent 2 7 2 10" xfId="30043" xr:uid="{00000000-0005-0000-0000-00005F750000}"/>
    <cellStyle name="Percent 2 7 2 2" xfId="30044" xr:uid="{00000000-0005-0000-0000-000060750000}"/>
    <cellStyle name="Percent 2 7 2 2 2" xfId="30045" xr:uid="{00000000-0005-0000-0000-000061750000}"/>
    <cellStyle name="Percent 2 7 2 2 2 2" xfId="30046" xr:uid="{00000000-0005-0000-0000-000062750000}"/>
    <cellStyle name="Percent 2 7 2 2 2 2 2" xfId="30047" xr:uid="{00000000-0005-0000-0000-000063750000}"/>
    <cellStyle name="Percent 2 7 2 2 2 2 3" xfId="30048" xr:uid="{00000000-0005-0000-0000-000064750000}"/>
    <cellStyle name="Percent 2 7 2 2 2 3" xfId="30049" xr:uid="{00000000-0005-0000-0000-000065750000}"/>
    <cellStyle name="Percent 2 7 2 2 2 3 2" xfId="30050" xr:uid="{00000000-0005-0000-0000-000066750000}"/>
    <cellStyle name="Percent 2 7 2 2 2 3 3" xfId="30051" xr:uid="{00000000-0005-0000-0000-000067750000}"/>
    <cellStyle name="Percent 2 7 2 2 2 4" xfId="30052" xr:uid="{00000000-0005-0000-0000-000068750000}"/>
    <cellStyle name="Percent 2 7 2 2 2 5" xfId="30053" xr:uid="{00000000-0005-0000-0000-000069750000}"/>
    <cellStyle name="Percent 2 7 2 2 2 6" xfId="30054" xr:uid="{00000000-0005-0000-0000-00006A750000}"/>
    <cellStyle name="Percent 2 7 2 2 3" xfId="30055" xr:uid="{00000000-0005-0000-0000-00006B750000}"/>
    <cellStyle name="Percent 2 7 2 2 3 2" xfId="30056" xr:uid="{00000000-0005-0000-0000-00006C750000}"/>
    <cellStyle name="Percent 2 7 2 2 3 3" xfId="30057" xr:uid="{00000000-0005-0000-0000-00006D750000}"/>
    <cellStyle name="Percent 2 7 2 2 4" xfId="30058" xr:uid="{00000000-0005-0000-0000-00006E750000}"/>
    <cellStyle name="Percent 2 7 2 2 4 2" xfId="30059" xr:uid="{00000000-0005-0000-0000-00006F750000}"/>
    <cellStyle name="Percent 2 7 2 2 4 3" xfId="30060" xr:uid="{00000000-0005-0000-0000-000070750000}"/>
    <cellStyle name="Percent 2 7 2 2 5" xfId="30061" xr:uid="{00000000-0005-0000-0000-000071750000}"/>
    <cellStyle name="Percent 2 7 2 2 5 2" xfId="30062" xr:uid="{00000000-0005-0000-0000-000072750000}"/>
    <cellStyle name="Percent 2 7 2 2 5 3" xfId="30063" xr:uid="{00000000-0005-0000-0000-000073750000}"/>
    <cellStyle name="Percent 2 7 2 2 6" xfId="30064" xr:uid="{00000000-0005-0000-0000-000074750000}"/>
    <cellStyle name="Percent 2 7 2 2 7" xfId="30065" xr:uid="{00000000-0005-0000-0000-000075750000}"/>
    <cellStyle name="Percent 2 7 2 2 8" xfId="30066" xr:uid="{00000000-0005-0000-0000-000076750000}"/>
    <cellStyle name="Percent 2 7 2 3" xfId="30067" xr:uid="{00000000-0005-0000-0000-000077750000}"/>
    <cellStyle name="Percent 2 7 2 3 2" xfId="30068" xr:uid="{00000000-0005-0000-0000-000078750000}"/>
    <cellStyle name="Percent 2 7 2 3 2 2" xfId="30069" xr:uid="{00000000-0005-0000-0000-000079750000}"/>
    <cellStyle name="Percent 2 7 2 3 2 2 2" xfId="30070" xr:uid="{00000000-0005-0000-0000-00007A750000}"/>
    <cellStyle name="Percent 2 7 2 3 2 2 3" xfId="30071" xr:uid="{00000000-0005-0000-0000-00007B750000}"/>
    <cellStyle name="Percent 2 7 2 3 2 3" xfId="30072" xr:uid="{00000000-0005-0000-0000-00007C750000}"/>
    <cellStyle name="Percent 2 7 2 3 2 3 2" xfId="30073" xr:uid="{00000000-0005-0000-0000-00007D750000}"/>
    <cellStyle name="Percent 2 7 2 3 2 3 3" xfId="30074" xr:uid="{00000000-0005-0000-0000-00007E750000}"/>
    <cellStyle name="Percent 2 7 2 3 2 4" xfId="30075" xr:uid="{00000000-0005-0000-0000-00007F750000}"/>
    <cellStyle name="Percent 2 7 2 3 2 5" xfId="30076" xr:uid="{00000000-0005-0000-0000-000080750000}"/>
    <cellStyle name="Percent 2 7 2 3 2 6" xfId="30077" xr:uid="{00000000-0005-0000-0000-000081750000}"/>
    <cellStyle name="Percent 2 7 2 3 3" xfId="30078" xr:uid="{00000000-0005-0000-0000-000082750000}"/>
    <cellStyle name="Percent 2 7 2 3 3 2" xfId="30079" xr:uid="{00000000-0005-0000-0000-000083750000}"/>
    <cellStyle name="Percent 2 7 2 3 3 3" xfId="30080" xr:uid="{00000000-0005-0000-0000-000084750000}"/>
    <cellStyle name="Percent 2 7 2 3 4" xfId="30081" xr:uid="{00000000-0005-0000-0000-000085750000}"/>
    <cellStyle name="Percent 2 7 2 3 4 2" xfId="30082" xr:uid="{00000000-0005-0000-0000-000086750000}"/>
    <cellStyle name="Percent 2 7 2 3 4 3" xfId="30083" xr:uid="{00000000-0005-0000-0000-000087750000}"/>
    <cellStyle name="Percent 2 7 2 3 5" xfId="30084" xr:uid="{00000000-0005-0000-0000-000088750000}"/>
    <cellStyle name="Percent 2 7 2 3 5 2" xfId="30085" xr:uid="{00000000-0005-0000-0000-000089750000}"/>
    <cellStyle name="Percent 2 7 2 3 5 3" xfId="30086" xr:uid="{00000000-0005-0000-0000-00008A750000}"/>
    <cellStyle name="Percent 2 7 2 3 6" xfId="30087" xr:uid="{00000000-0005-0000-0000-00008B750000}"/>
    <cellStyle name="Percent 2 7 2 3 7" xfId="30088" xr:uid="{00000000-0005-0000-0000-00008C750000}"/>
    <cellStyle name="Percent 2 7 2 3 8" xfId="30089" xr:uid="{00000000-0005-0000-0000-00008D750000}"/>
    <cellStyle name="Percent 2 7 2 4" xfId="30090" xr:uid="{00000000-0005-0000-0000-00008E750000}"/>
    <cellStyle name="Percent 2 7 2 4 2" xfId="30091" xr:uid="{00000000-0005-0000-0000-00008F750000}"/>
    <cellStyle name="Percent 2 7 2 4 2 2" xfId="30092" xr:uid="{00000000-0005-0000-0000-000090750000}"/>
    <cellStyle name="Percent 2 7 2 4 2 3" xfId="30093" xr:uid="{00000000-0005-0000-0000-000091750000}"/>
    <cellStyle name="Percent 2 7 2 4 3" xfId="30094" xr:uid="{00000000-0005-0000-0000-000092750000}"/>
    <cellStyle name="Percent 2 7 2 4 3 2" xfId="30095" xr:uid="{00000000-0005-0000-0000-000093750000}"/>
    <cellStyle name="Percent 2 7 2 4 3 3" xfId="30096" xr:uid="{00000000-0005-0000-0000-000094750000}"/>
    <cellStyle name="Percent 2 7 2 4 4" xfId="30097" xr:uid="{00000000-0005-0000-0000-000095750000}"/>
    <cellStyle name="Percent 2 7 2 4 5" xfId="30098" xr:uid="{00000000-0005-0000-0000-000096750000}"/>
    <cellStyle name="Percent 2 7 2 4 6" xfId="30099" xr:uid="{00000000-0005-0000-0000-000097750000}"/>
    <cellStyle name="Percent 2 7 2 5" xfId="30100" xr:uid="{00000000-0005-0000-0000-000098750000}"/>
    <cellStyle name="Percent 2 7 2 5 2" xfId="30101" xr:uid="{00000000-0005-0000-0000-000099750000}"/>
    <cellStyle name="Percent 2 7 2 5 3" xfId="30102" xr:uid="{00000000-0005-0000-0000-00009A750000}"/>
    <cellStyle name="Percent 2 7 2 6" xfId="30103" xr:uid="{00000000-0005-0000-0000-00009B750000}"/>
    <cellStyle name="Percent 2 7 2 6 2" xfId="30104" xr:uid="{00000000-0005-0000-0000-00009C750000}"/>
    <cellStyle name="Percent 2 7 2 6 3" xfId="30105" xr:uid="{00000000-0005-0000-0000-00009D750000}"/>
    <cellStyle name="Percent 2 7 2 7" xfId="30106" xr:uid="{00000000-0005-0000-0000-00009E750000}"/>
    <cellStyle name="Percent 2 7 2 7 2" xfId="30107" xr:uid="{00000000-0005-0000-0000-00009F750000}"/>
    <cellStyle name="Percent 2 7 2 7 3" xfId="30108" xr:uid="{00000000-0005-0000-0000-0000A0750000}"/>
    <cellStyle name="Percent 2 7 2 8" xfId="30109" xr:uid="{00000000-0005-0000-0000-0000A1750000}"/>
    <cellStyle name="Percent 2 7 2 9" xfId="30110" xr:uid="{00000000-0005-0000-0000-0000A2750000}"/>
    <cellStyle name="Percent 2 7 3" xfId="30111" xr:uid="{00000000-0005-0000-0000-0000A3750000}"/>
    <cellStyle name="Percent 2 7 3 2" xfId="30112" xr:uid="{00000000-0005-0000-0000-0000A4750000}"/>
    <cellStyle name="Percent 2 7 3 2 2" xfId="30113" xr:uid="{00000000-0005-0000-0000-0000A5750000}"/>
    <cellStyle name="Percent 2 7 3 2 2 2" xfId="30114" xr:uid="{00000000-0005-0000-0000-0000A6750000}"/>
    <cellStyle name="Percent 2 7 3 2 2 3" xfId="30115" xr:uid="{00000000-0005-0000-0000-0000A7750000}"/>
    <cellStyle name="Percent 2 7 3 2 3" xfId="30116" xr:uid="{00000000-0005-0000-0000-0000A8750000}"/>
    <cellStyle name="Percent 2 7 3 2 3 2" xfId="30117" xr:uid="{00000000-0005-0000-0000-0000A9750000}"/>
    <cellStyle name="Percent 2 7 3 2 3 3" xfId="30118" xr:uid="{00000000-0005-0000-0000-0000AA750000}"/>
    <cellStyle name="Percent 2 7 3 2 4" xfId="30119" xr:uid="{00000000-0005-0000-0000-0000AB750000}"/>
    <cellStyle name="Percent 2 7 3 2 5" xfId="30120" xr:uid="{00000000-0005-0000-0000-0000AC750000}"/>
    <cellStyle name="Percent 2 7 3 2 6" xfId="30121" xr:uid="{00000000-0005-0000-0000-0000AD750000}"/>
    <cellStyle name="Percent 2 7 3 3" xfId="30122" xr:uid="{00000000-0005-0000-0000-0000AE750000}"/>
    <cellStyle name="Percent 2 7 3 3 2" xfId="30123" xr:uid="{00000000-0005-0000-0000-0000AF750000}"/>
    <cellStyle name="Percent 2 7 3 3 3" xfId="30124" xr:uid="{00000000-0005-0000-0000-0000B0750000}"/>
    <cellStyle name="Percent 2 7 3 4" xfId="30125" xr:uid="{00000000-0005-0000-0000-0000B1750000}"/>
    <cellStyle name="Percent 2 7 3 4 2" xfId="30126" xr:uid="{00000000-0005-0000-0000-0000B2750000}"/>
    <cellStyle name="Percent 2 7 3 4 3" xfId="30127" xr:uid="{00000000-0005-0000-0000-0000B3750000}"/>
    <cellStyle name="Percent 2 7 3 5" xfId="30128" xr:uid="{00000000-0005-0000-0000-0000B4750000}"/>
    <cellStyle name="Percent 2 7 3 5 2" xfId="30129" xr:uid="{00000000-0005-0000-0000-0000B5750000}"/>
    <cellStyle name="Percent 2 7 3 5 3" xfId="30130" xr:uid="{00000000-0005-0000-0000-0000B6750000}"/>
    <cellStyle name="Percent 2 7 3 6" xfId="30131" xr:uid="{00000000-0005-0000-0000-0000B7750000}"/>
    <cellStyle name="Percent 2 7 3 7" xfId="30132" xr:uid="{00000000-0005-0000-0000-0000B8750000}"/>
    <cellStyle name="Percent 2 7 3 8" xfId="30133" xr:uid="{00000000-0005-0000-0000-0000B9750000}"/>
    <cellStyle name="Percent 2 7 4" xfId="30134" xr:uid="{00000000-0005-0000-0000-0000BA750000}"/>
    <cellStyle name="Percent 2 7 4 2" xfId="30135" xr:uid="{00000000-0005-0000-0000-0000BB750000}"/>
    <cellStyle name="Percent 2 7 4 2 2" xfId="30136" xr:uid="{00000000-0005-0000-0000-0000BC750000}"/>
    <cellStyle name="Percent 2 7 4 2 2 2" xfId="30137" xr:uid="{00000000-0005-0000-0000-0000BD750000}"/>
    <cellStyle name="Percent 2 7 4 2 2 3" xfId="30138" xr:uid="{00000000-0005-0000-0000-0000BE750000}"/>
    <cellStyle name="Percent 2 7 4 2 3" xfId="30139" xr:uid="{00000000-0005-0000-0000-0000BF750000}"/>
    <cellStyle name="Percent 2 7 4 2 3 2" xfId="30140" xr:uid="{00000000-0005-0000-0000-0000C0750000}"/>
    <cellStyle name="Percent 2 7 4 2 3 3" xfId="30141" xr:uid="{00000000-0005-0000-0000-0000C1750000}"/>
    <cellStyle name="Percent 2 7 4 2 4" xfId="30142" xr:uid="{00000000-0005-0000-0000-0000C2750000}"/>
    <cellStyle name="Percent 2 7 4 2 5" xfId="30143" xr:uid="{00000000-0005-0000-0000-0000C3750000}"/>
    <cellStyle name="Percent 2 7 4 2 6" xfId="30144" xr:uid="{00000000-0005-0000-0000-0000C4750000}"/>
    <cellStyle name="Percent 2 7 4 3" xfId="30145" xr:uid="{00000000-0005-0000-0000-0000C5750000}"/>
    <cellStyle name="Percent 2 7 4 3 2" xfId="30146" xr:uid="{00000000-0005-0000-0000-0000C6750000}"/>
    <cellStyle name="Percent 2 7 4 3 3" xfId="30147" xr:uid="{00000000-0005-0000-0000-0000C7750000}"/>
    <cellStyle name="Percent 2 7 4 4" xfId="30148" xr:uid="{00000000-0005-0000-0000-0000C8750000}"/>
    <cellStyle name="Percent 2 7 4 4 2" xfId="30149" xr:uid="{00000000-0005-0000-0000-0000C9750000}"/>
    <cellStyle name="Percent 2 7 4 4 3" xfId="30150" xr:uid="{00000000-0005-0000-0000-0000CA750000}"/>
    <cellStyle name="Percent 2 7 4 5" xfId="30151" xr:uid="{00000000-0005-0000-0000-0000CB750000}"/>
    <cellStyle name="Percent 2 7 4 5 2" xfId="30152" xr:uid="{00000000-0005-0000-0000-0000CC750000}"/>
    <cellStyle name="Percent 2 7 4 5 3" xfId="30153" xr:uid="{00000000-0005-0000-0000-0000CD750000}"/>
    <cellStyle name="Percent 2 7 4 6" xfId="30154" xr:uid="{00000000-0005-0000-0000-0000CE750000}"/>
    <cellStyle name="Percent 2 7 4 7" xfId="30155" xr:uid="{00000000-0005-0000-0000-0000CF750000}"/>
    <cellStyle name="Percent 2 7 4 8" xfId="30156" xr:uid="{00000000-0005-0000-0000-0000D0750000}"/>
    <cellStyle name="Percent 2 7 5" xfId="30157" xr:uid="{00000000-0005-0000-0000-0000D1750000}"/>
    <cellStyle name="Percent 2 7 5 2" xfId="30158" xr:uid="{00000000-0005-0000-0000-0000D2750000}"/>
    <cellStyle name="Percent 2 7 5 2 2" xfId="30159" xr:uid="{00000000-0005-0000-0000-0000D3750000}"/>
    <cellStyle name="Percent 2 7 5 2 2 2" xfId="30160" xr:uid="{00000000-0005-0000-0000-0000D4750000}"/>
    <cellStyle name="Percent 2 7 5 2 2 3" xfId="30161" xr:uid="{00000000-0005-0000-0000-0000D5750000}"/>
    <cellStyle name="Percent 2 7 5 2 3" xfId="30162" xr:uid="{00000000-0005-0000-0000-0000D6750000}"/>
    <cellStyle name="Percent 2 7 5 2 3 2" xfId="30163" xr:uid="{00000000-0005-0000-0000-0000D7750000}"/>
    <cellStyle name="Percent 2 7 5 2 3 3" xfId="30164" xr:uid="{00000000-0005-0000-0000-0000D8750000}"/>
    <cellStyle name="Percent 2 7 5 2 4" xfId="30165" xr:uid="{00000000-0005-0000-0000-0000D9750000}"/>
    <cellStyle name="Percent 2 7 5 2 5" xfId="30166" xr:uid="{00000000-0005-0000-0000-0000DA750000}"/>
    <cellStyle name="Percent 2 7 5 2 6" xfId="30167" xr:uid="{00000000-0005-0000-0000-0000DB750000}"/>
    <cellStyle name="Percent 2 7 5 3" xfId="30168" xr:uid="{00000000-0005-0000-0000-0000DC750000}"/>
    <cellStyle name="Percent 2 7 5 3 2" xfId="30169" xr:uid="{00000000-0005-0000-0000-0000DD750000}"/>
    <cellStyle name="Percent 2 7 5 3 3" xfId="30170" xr:uid="{00000000-0005-0000-0000-0000DE750000}"/>
    <cellStyle name="Percent 2 7 5 4" xfId="30171" xr:uid="{00000000-0005-0000-0000-0000DF750000}"/>
    <cellStyle name="Percent 2 7 5 4 2" xfId="30172" xr:uid="{00000000-0005-0000-0000-0000E0750000}"/>
    <cellStyle name="Percent 2 7 5 4 3" xfId="30173" xr:uid="{00000000-0005-0000-0000-0000E1750000}"/>
    <cellStyle name="Percent 2 7 5 5" xfId="30174" xr:uid="{00000000-0005-0000-0000-0000E2750000}"/>
    <cellStyle name="Percent 2 7 5 5 2" xfId="30175" xr:uid="{00000000-0005-0000-0000-0000E3750000}"/>
    <cellStyle name="Percent 2 7 5 5 3" xfId="30176" xr:uid="{00000000-0005-0000-0000-0000E4750000}"/>
    <cellStyle name="Percent 2 7 5 6" xfId="30177" xr:uid="{00000000-0005-0000-0000-0000E5750000}"/>
    <cellStyle name="Percent 2 7 5 7" xfId="30178" xr:uid="{00000000-0005-0000-0000-0000E6750000}"/>
    <cellStyle name="Percent 2 7 5 8" xfId="30179" xr:uid="{00000000-0005-0000-0000-0000E7750000}"/>
    <cellStyle name="Percent 2 7 6" xfId="30180" xr:uid="{00000000-0005-0000-0000-0000E8750000}"/>
    <cellStyle name="Percent 2 7 6 2" xfId="30181" xr:uid="{00000000-0005-0000-0000-0000E9750000}"/>
    <cellStyle name="Percent 2 7 6 2 2" xfId="30182" xr:uid="{00000000-0005-0000-0000-0000EA750000}"/>
    <cellStyle name="Percent 2 7 6 2 3" xfId="30183" xr:uid="{00000000-0005-0000-0000-0000EB750000}"/>
    <cellStyle name="Percent 2 7 6 3" xfId="30184" xr:uid="{00000000-0005-0000-0000-0000EC750000}"/>
    <cellStyle name="Percent 2 7 6 3 2" xfId="30185" xr:uid="{00000000-0005-0000-0000-0000ED750000}"/>
    <cellStyle name="Percent 2 7 6 3 3" xfId="30186" xr:uid="{00000000-0005-0000-0000-0000EE750000}"/>
    <cellStyle name="Percent 2 7 6 4" xfId="30187" xr:uid="{00000000-0005-0000-0000-0000EF750000}"/>
    <cellStyle name="Percent 2 7 6 5" xfId="30188" xr:uid="{00000000-0005-0000-0000-0000F0750000}"/>
    <cellStyle name="Percent 2 7 6 6" xfId="30189" xr:uid="{00000000-0005-0000-0000-0000F1750000}"/>
    <cellStyle name="Percent 2 7 7" xfId="30190" xr:uid="{00000000-0005-0000-0000-0000F2750000}"/>
    <cellStyle name="Percent 2 7 7 2" xfId="30191" xr:uid="{00000000-0005-0000-0000-0000F3750000}"/>
    <cellStyle name="Percent 2 7 7 3" xfId="30192" xr:uid="{00000000-0005-0000-0000-0000F4750000}"/>
    <cellStyle name="Percent 2 7 8" xfId="30193" xr:uid="{00000000-0005-0000-0000-0000F5750000}"/>
    <cellStyle name="Percent 2 7 8 2" xfId="30194" xr:uid="{00000000-0005-0000-0000-0000F6750000}"/>
    <cellStyle name="Percent 2 7 8 3" xfId="30195" xr:uid="{00000000-0005-0000-0000-0000F7750000}"/>
    <cellStyle name="Percent 2 7 9" xfId="30196" xr:uid="{00000000-0005-0000-0000-0000F8750000}"/>
    <cellStyle name="Percent 2 7 9 2" xfId="30197" xr:uid="{00000000-0005-0000-0000-0000F9750000}"/>
    <cellStyle name="Percent 2 7 9 3" xfId="30198" xr:uid="{00000000-0005-0000-0000-0000FA750000}"/>
    <cellStyle name="Percent 2 70" xfId="30199" xr:uid="{00000000-0005-0000-0000-0000FB750000}"/>
    <cellStyle name="Percent 2 70 2" xfId="30200" xr:uid="{00000000-0005-0000-0000-0000FC750000}"/>
    <cellStyle name="Percent 2 71" xfId="30201" xr:uid="{00000000-0005-0000-0000-0000FD750000}"/>
    <cellStyle name="Percent 2 71 2" xfId="30202" xr:uid="{00000000-0005-0000-0000-0000FE750000}"/>
    <cellStyle name="Percent 2 72" xfId="30203" xr:uid="{00000000-0005-0000-0000-0000FF750000}"/>
    <cellStyle name="Percent 2 72 2" xfId="30204" xr:uid="{00000000-0005-0000-0000-000000760000}"/>
    <cellStyle name="Percent 2 73" xfId="30205" xr:uid="{00000000-0005-0000-0000-000001760000}"/>
    <cellStyle name="Percent 2 73 2" xfId="30206" xr:uid="{00000000-0005-0000-0000-000002760000}"/>
    <cellStyle name="Percent 2 73 2 2" xfId="30207" xr:uid="{00000000-0005-0000-0000-000003760000}"/>
    <cellStyle name="Percent 2 73 2 2 2" xfId="30208" xr:uid="{00000000-0005-0000-0000-000004760000}"/>
    <cellStyle name="Percent 2 73 2 2 3" xfId="30209" xr:uid="{00000000-0005-0000-0000-000005760000}"/>
    <cellStyle name="Percent 2 73 2 3" xfId="30210" xr:uid="{00000000-0005-0000-0000-000006760000}"/>
    <cellStyle name="Percent 2 73 2 3 2" xfId="30211" xr:uid="{00000000-0005-0000-0000-000007760000}"/>
    <cellStyle name="Percent 2 73 2 3 3" xfId="30212" xr:uid="{00000000-0005-0000-0000-000008760000}"/>
    <cellStyle name="Percent 2 73 2 4" xfId="30213" xr:uid="{00000000-0005-0000-0000-000009760000}"/>
    <cellStyle name="Percent 2 73 2 5" xfId="30214" xr:uid="{00000000-0005-0000-0000-00000A760000}"/>
    <cellStyle name="Percent 2 73 2 6" xfId="30215" xr:uid="{00000000-0005-0000-0000-00000B760000}"/>
    <cellStyle name="Percent 2 73 3" xfId="30216" xr:uid="{00000000-0005-0000-0000-00000C760000}"/>
    <cellStyle name="Percent 2 73 3 2" xfId="30217" xr:uid="{00000000-0005-0000-0000-00000D760000}"/>
    <cellStyle name="Percent 2 73 3 3" xfId="30218" xr:uid="{00000000-0005-0000-0000-00000E760000}"/>
    <cellStyle name="Percent 2 73 4" xfId="30219" xr:uid="{00000000-0005-0000-0000-00000F760000}"/>
    <cellStyle name="Percent 2 73 4 2" xfId="30220" xr:uid="{00000000-0005-0000-0000-000010760000}"/>
    <cellStyle name="Percent 2 73 4 3" xfId="30221" xr:uid="{00000000-0005-0000-0000-000011760000}"/>
    <cellStyle name="Percent 2 73 5" xfId="30222" xr:uid="{00000000-0005-0000-0000-000012760000}"/>
    <cellStyle name="Percent 2 73 6" xfId="30223" xr:uid="{00000000-0005-0000-0000-000013760000}"/>
    <cellStyle name="Percent 2 73 7" xfId="30224" xr:uid="{00000000-0005-0000-0000-000014760000}"/>
    <cellStyle name="Percent 2 74" xfId="30225" xr:uid="{00000000-0005-0000-0000-000015760000}"/>
    <cellStyle name="Percent 2 74 2" xfId="30226" xr:uid="{00000000-0005-0000-0000-000016760000}"/>
    <cellStyle name="Percent 2 74 2 2" xfId="30227" xr:uid="{00000000-0005-0000-0000-000017760000}"/>
    <cellStyle name="Percent 2 74 2 2 2" xfId="30228" xr:uid="{00000000-0005-0000-0000-000018760000}"/>
    <cellStyle name="Percent 2 74 2 2 3" xfId="30229" xr:uid="{00000000-0005-0000-0000-000019760000}"/>
    <cellStyle name="Percent 2 74 2 3" xfId="30230" xr:uid="{00000000-0005-0000-0000-00001A760000}"/>
    <cellStyle name="Percent 2 74 2 3 2" xfId="30231" xr:uid="{00000000-0005-0000-0000-00001B760000}"/>
    <cellStyle name="Percent 2 74 2 3 3" xfId="30232" xr:uid="{00000000-0005-0000-0000-00001C760000}"/>
    <cellStyle name="Percent 2 74 2 4" xfId="30233" xr:uid="{00000000-0005-0000-0000-00001D760000}"/>
    <cellStyle name="Percent 2 74 2 5" xfId="30234" xr:uid="{00000000-0005-0000-0000-00001E760000}"/>
    <cellStyle name="Percent 2 74 2 6" xfId="30235" xr:uid="{00000000-0005-0000-0000-00001F760000}"/>
    <cellStyle name="Percent 2 74 3" xfId="30236" xr:uid="{00000000-0005-0000-0000-000020760000}"/>
    <cellStyle name="Percent 2 74 3 2" xfId="30237" xr:uid="{00000000-0005-0000-0000-000021760000}"/>
    <cellStyle name="Percent 2 74 3 3" xfId="30238" xr:uid="{00000000-0005-0000-0000-000022760000}"/>
    <cellStyle name="Percent 2 74 4" xfId="30239" xr:uid="{00000000-0005-0000-0000-000023760000}"/>
    <cellStyle name="Percent 2 74 4 2" xfId="30240" xr:uid="{00000000-0005-0000-0000-000024760000}"/>
    <cellStyle name="Percent 2 74 4 3" xfId="30241" xr:uid="{00000000-0005-0000-0000-000025760000}"/>
    <cellStyle name="Percent 2 74 5" xfId="30242" xr:uid="{00000000-0005-0000-0000-000026760000}"/>
    <cellStyle name="Percent 2 74 6" xfId="30243" xr:uid="{00000000-0005-0000-0000-000027760000}"/>
    <cellStyle name="Percent 2 74 7" xfId="30244" xr:uid="{00000000-0005-0000-0000-000028760000}"/>
    <cellStyle name="Percent 2 75" xfId="30245" xr:uid="{00000000-0005-0000-0000-000029760000}"/>
    <cellStyle name="Percent 2 75 2" xfId="30246" xr:uid="{00000000-0005-0000-0000-00002A760000}"/>
    <cellStyle name="Percent 2 75 2 2" xfId="30247" xr:uid="{00000000-0005-0000-0000-00002B760000}"/>
    <cellStyle name="Percent 2 75 2 2 2" xfId="30248" xr:uid="{00000000-0005-0000-0000-00002C760000}"/>
    <cellStyle name="Percent 2 75 2 2 3" xfId="30249" xr:uid="{00000000-0005-0000-0000-00002D760000}"/>
    <cellStyle name="Percent 2 75 2 3" xfId="30250" xr:uid="{00000000-0005-0000-0000-00002E760000}"/>
    <cellStyle name="Percent 2 75 2 3 2" xfId="30251" xr:uid="{00000000-0005-0000-0000-00002F760000}"/>
    <cellStyle name="Percent 2 75 2 3 3" xfId="30252" xr:uid="{00000000-0005-0000-0000-000030760000}"/>
    <cellStyle name="Percent 2 75 2 4" xfId="30253" xr:uid="{00000000-0005-0000-0000-000031760000}"/>
    <cellStyle name="Percent 2 75 2 5" xfId="30254" xr:uid="{00000000-0005-0000-0000-000032760000}"/>
    <cellStyle name="Percent 2 75 2 6" xfId="30255" xr:uid="{00000000-0005-0000-0000-000033760000}"/>
    <cellStyle name="Percent 2 75 3" xfId="30256" xr:uid="{00000000-0005-0000-0000-000034760000}"/>
    <cellStyle name="Percent 2 75 3 2" xfId="30257" xr:uid="{00000000-0005-0000-0000-000035760000}"/>
    <cellStyle name="Percent 2 75 3 3" xfId="30258" xr:uid="{00000000-0005-0000-0000-000036760000}"/>
    <cellStyle name="Percent 2 75 4" xfId="30259" xr:uid="{00000000-0005-0000-0000-000037760000}"/>
    <cellStyle name="Percent 2 75 4 2" xfId="30260" xr:uid="{00000000-0005-0000-0000-000038760000}"/>
    <cellStyle name="Percent 2 75 4 3" xfId="30261" xr:uid="{00000000-0005-0000-0000-000039760000}"/>
    <cellStyle name="Percent 2 75 5" xfId="30262" xr:uid="{00000000-0005-0000-0000-00003A760000}"/>
    <cellStyle name="Percent 2 75 6" xfId="30263" xr:uid="{00000000-0005-0000-0000-00003B760000}"/>
    <cellStyle name="Percent 2 75 7" xfId="30264" xr:uid="{00000000-0005-0000-0000-00003C760000}"/>
    <cellStyle name="Percent 2 76" xfId="30265" xr:uid="{00000000-0005-0000-0000-00003D760000}"/>
    <cellStyle name="Percent 2 76 2" xfId="30266" xr:uid="{00000000-0005-0000-0000-00003E760000}"/>
    <cellStyle name="Percent 2 76 2 2" xfId="30267" xr:uid="{00000000-0005-0000-0000-00003F760000}"/>
    <cellStyle name="Percent 2 76 2 2 2" xfId="30268" xr:uid="{00000000-0005-0000-0000-000040760000}"/>
    <cellStyle name="Percent 2 76 2 2 3" xfId="30269" xr:uid="{00000000-0005-0000-0000-000041760000}"/>
    <cellStyle name="Percent 2 76 2 3" xfId="30270" xr:uid="{00000000-0005-0000-0000-000042760000}"/>
    <cellStyle name="Percent 2 76 2 3 2" xfId="30271" xr:uid="{00000000-0005-0000-0000-000043760000}"/>
    <cellStyle name="Percent 2 76 2 3 3" xfId="30272" xr:uid="{00000000-0005-0000-0000-000044760000}"/>
    <cellStyle name="Percent 2 76 2 4" xfId="30273" xr:uid="{00000000-0005-0000-0000-000045760000}"/>
    <cellStyle name="Percent 2 76 2 5" xfId="30274" xr:uid="{00000000-0005-0000-0000-000046760000}"/>
    <cellStyle name="Percent 2 76 2 6" xfId="30275" xr:uid="{00000000-0005-0000-0000-000047760000}"/>
    <cellStyle name="Percent 2 76 3" xfId="30276" xr:uid="{00000000-0005-0000-0000-000048760000}"/>
    <cellStyle name="Percent 2 76 3 2" xfId="30277" xr:uid="{00000000-0005-0000-0000-000049760000}"/>
    <cellStyle name="Percent 2 76 3 3" xfId="30278" xr:uid="{00000000-0005-0000-0000-00004A760000}"/>
    <cellStyle name="Percent 2 76 4" xfId="30279" xr:uid="{00000000-0005-0000-0000-00004B760000}"/>
    <cellStyle name="Percent 2 76 4 2" xfId="30280" xr:uid="{00000000-0005-0000-0000-00004C760000}"/>
    <cellStyle name="Percent 2 76 4 3" xfId="30281" xr:uid="{00000000-0005-0000-0000-00004D760000}"/>
    <cellStyle name="Percent 2 76 5" xfId="30282" xr:uid="{00000000-0005-0000-0000-00004E760000}"/>
    <cellStyle name="Percent 2 76 6" xfId="30283" xr:uid="{00000000-0005-0000-0000-00004F760000}"/>
    <cellStyle name="Percent 2 76 7" xfId="30284" xr:uid="{00000000-0005-0000-0000-000050760000}"/>
    <cellStyle name="Percent 2 77" xfId="30285" xr:uid="{00000000-0005-0000-0000-000051760000}"/>
    <cellStyle name="Percent 2 77 2" xfId="30286" xr:uid="{00000000-0005-0000-0000-000052760000}"/>
    <cellStyle name="Percent 2 77 2 2" xfId="30287" xr:uid="{00000000-0005-0000-0000-000053760000}"/>
    <cellStyle name="Percent 2 77 2 2 2" xfId="30288" xr:uid="{00000000-0005-0000-0000-000054760000}"/>
    <cellStyle name="Percent 2 77 2 2 3" xfId="30289" xr:uid="{00000000-0005-0000-0000-000055760000}"/>
    <cellStyle name="Percent 2 77 2 3" xfId="30290" xr:uid="{00000000-0005-0000-0000-000056760000}"/>
    <cellStyle name="Percent 2 77 2 3 2" xfId="30291" xr:uid="{00000000-0005-0000-0000-000057760000}"/>
    <cellStyle name="Percent 2 77 2 3 3" xfId="30292" xr:uid="{00000000-0005-0000-0000-000058760000}"/>
    <cellStyle name="Percent 2 77 2 4" xfId="30293" xr:uid="{00000000-0005-0000-0000-000059760000}"/>
    <cellStyle name="Percent 2 77 2 5" xfId="30294" xr:uid="{00000000-0005-0000-0000-00005A760000}"/>
    <cellStyle name="Percent 2 77 2 6" xfId="30295" xr:uid="{00000000-0005-0000-0000-00005B760000}"/>
    <cellStyle name="Percent 2 77 3" xfId="30296" xr:uid="{00000000-0005-0000-0000-00005C760000}"/>
    <cellStyle name="Percent 2 77 3 2" xfId="30297" xr:uid="{00000000-0005-0000-0000-00005D760000}"/>
    <cellStyle name="Percent 2 77 3 3" xfId="30298" xr:uid="{00000000-0005-0000-0000-00005E760000}"/>
    <cellStyle name="Percent 2 77 4" xfId="30299" xr:uid="{00000000-0005-0000-0000-00005F760000}"/>
    <cellStyle name="Percent 2 77 4 2" xfId="30300" xr:uid="{00000000-0005-0000-0000-000060760000}"/>
    <cellStyle name="Percent 2 77 4 3" xfId="30301" xr:uid="{00000000-0005-0000-0000-000061760000}"/>
    <cellStyle name="Percent 2 77 5" xfId="30302" xr:uid="{00000000-0005-0000-0000-000062760000}"/>
    <cellStyle name="Percent 2 77 6" xfId="30303" xr:uid="{00000000-0005-0000-0000-000063760000}"/>
    <cellStyle name="Percent 2 77 7" xfId="30304" xr:uid="{00000000-0005-0000-0000-000064760000}"/>
    <cellStyle name="Percent 2 78" xfId="30305" xr:uid="{00000000-0005-0000-0000-000065760000}"/>
    <cellStyle name="Percent 2 78 2" xfId="30306" xr:uid="{00000000-0005-0000-0000-000066760000}"/>
    <cellStyle name="Percent 2 78 2 2" xfId="30307" xr:uid="{00000000-0005-0000-0000-000067760000}"/>
    <cellStyle name="Percent 2 78 2 2 2" xfId="30308" xr:uid="{00000000-0005-0000-0000-000068760000}"/>
    <cellStyle name="Percent 2 78 2 2 3" xfId="30309" xr:uid="{00000000-0005-0000-0000-000069760000}"/>
    <cellStyle name="Percent 2 78 2 3" xfId="30310" xr:uid="{00000000-0005-0000-0000-00006A760000}"/>
    <cellStyle name="Percent 2 78 2 3 2" xfId="30311" xr:uid="{00000000-0005-0000-0000-00006B760000}"/>
    <cellStyle name="Percent 2 78 2 3 3" xfId="30312" xr:uid="{00000000-0005-0000-0000-00006C760000}"/>
    <cellStyle name="Percent 2 78 2 4" xfId="30313" xr:uid="{00000000-0005-0000-0000-00006D760000}"/>
    <cellStyle name="Percent 2 78 2 5" xfId="30314" xr:uid="{00000000-0005-0000-0000-00006E760000}"/>
    <cellStyle name="Percent 2 78 2 6" xfId="30315" xr:uid="{00000000-0005-0000-0000-00006F760000}"/>
    <cellStyle name="Percent 2 78 3" xfId="30316" xr:uid="{00000000-0005-0000-0000-000070760000}"/>
    <cellStyle name="Percent 2 78 3 2" xfId="30317" xr:uid="{00000000-0005-0000-0000-000071760000}"/>
    <cellStyle name="Percent 2 78 3 3" xfId="30318" xr:uid="{00000000-0005-0000-0000-000072760000}"/>
    <cellStyle name="Percent 2 78 4" xfId="30319" xr:uid="{00000000-0005-0000-0000-000073760000}"/>
    <cellStyle name="Percent 2 78 4 2" xfId="30320" xr:uid="{00000000-0005-0000-0000-000074760000}"/>
    <cellStyle name="Percent 2 78 4 3" xfId="30321" xr:uid="{00000000-0005-0000-0000-000075760000}"/>
    <cellStyle name="Percent 2 78 5" xfId="30322" xr:uid="{00000000-0005-0000-0000-000076760000}"/>
    <cellStyle name="Percent 2 78 6" xfId="30323" xr:uid="{00000000-0005-0000-0000-000077760000}"/>
    <cellStyle name="Percent 2 78 7" xfId="30324" xr:uid="{00000000-0005-0000-0000-000078760000}"/>
    <cellStyle name="Percent 2 79" xfId="30325" xr:uid="{00000000-0005-0000-0000-000079760000}"/>
    <cellStyle name="Percent 2 79 2" xfId="30326" xr:uid="{00000000-0005-0000-0000-00007A760000}"/>
    <cellStyle name="Percent 2 79 2 2" xfId="30327" xr:uid="{00000000-0005-0000-0000-00007B760000}"/>
    <cellStyle name="Percent 2 79 2 2 2" xfId="30328" xr:uid="{00000000-0005-0000-0000-00007C760000}"/>
    <cellStyle name="Percent 2 79 2 2 3" xfId="30329" xr:uid="{00000000-0005-0000-0000-00007D760000}"/>
    <cellStyle name="Percent 2 79 2 3" xfId="30330" xr:uid="{00000000-0005-0000-0000-00007E760000}"/>
    <cellStyle name="Percent 2 79 2 3 2" xfId="30331" xr:uid="{00000000-0005-0000-0000-00007F760000}"/>
    <cellStyle name="Percent 2 79 2 3 3" xfId="30332" xr:uid="{00000000-0005-0000-0000-000080760000}"/>
    <cellStyle name="Percent 2 79 2 4" xfId="30333" xr:uid="{00000000-0005-0000-0000-000081760000}"/>
    <cellStyle name="Percent 2 79 2 5" xfId="30334" xr:uid="{00000000-0005-0000-0000-000082760000}"/>
    <cellStyle name="Percent 2 79 2 6" xfId="30335" xr:uid="{00000000-0005-0000-0000-000083760000}"/>
    <cellStyle name="Percent 2 79 3" xfId="30336" xr:uid="{00000000-0005-0000-0000-000084760000}"/>
    <cellStyle name="Percent 2 79 3 2" xfId="30337" xr:uid="{00000000-0005-0000-0000-000085760000}"/>
    <cellStyle name="Percent 2 79 3 3" xfId="30338" xr:uid="{00000000-0005-0000-0000-000086760000}"/>
    <cellStyle name="Percent 2 79 4" xfId="30339" xr:uid="{00000000-0005-0000-0000-000087760000}"/>
    <cellStyle name="Percent 2 79 4 2" xfId="30340" xr:uid="{00000000-0005-0000-0000-000088760000}"/>
    <cellStyle name="Percent 2 79 4 3" xfId="30341" xr:uid="{00000000-0005-0000-0000-000089760000}"/>
    <cellStyle name="Percent 2 79 5" xfId="30342" xr:uid="{00000000-0005-0000-0000-00008A760000}"/>
    <cellStyle name="Percent 2 79 6" xfId="30343" xr:uid="{00000000-0005-0000-0000-00008B760000}"/>
    <cellStyle name="Percent 2 79 7" xfId="30344" xr:uid="{00000000-0005-0000-0000-00008C760000}"/>
    <cellStyle name="Percent 2 8" xfId="30345" xr:uid="{00000000-0005-0000-0000-00008D760000}"/>
    <cellStyle name="Percent 2 8 10" xfId="30346" xr:uid="{00000000-0005-0000-0000-00008E760000}"/>
    <cellStyle name="Percent 2 8 11" xfId="30347" xr:uid="{00000000-0005-0000-0000-00008F760000}"/>
    <cellStyle name="Percent 2 8 12" xfId="30348" xr:uid="{00000000-0005-0000-0000-000090760000}"/>
    <cellStyle name="Percent 2 8 2" xfId="30349" xr:uid="{00000000-0005-0000-0000-000091760000}"/>
    <cellStyle name="Percent 2 8 2 10" xfId="30350" xr:uid="{00000000-0005-0000-0000-000092760000}"/>
    <cellStyle name="Percent 2 8 2 2" xfId="30351" xr:uid="{00000000-0005-0000-0000-000093760000}"/>
    <cellStyle name="Percent 2 8 2 2 2" xfId="30352" xr:uid="{00000000-0005-0000-0000-000094760000}"/>
    <cellStyle name="Percent 2 8 2 2 2 2" xfId="30353" xr:uid="{00000000-0005-0000-0000-000095760000}"/>
    <cellStyle name="Percent 2 8 2 2 2 2 2" xfId="30354" xr:uid="{00000000-0005-0000-0000-000096760000}"/>
    <cellStyle name="Percent 2 8 2 2 2 2 3" xfId="30355" xr:uid="{00000000-0005-0000-0000-000097760000}"/>
    <cellStyle name="Percent 2 8 2 2 2 3" xfId="30356" xr:uid="{00000000-0005-0000-0000-000098760000}"/>
    <cellStyle name="Percent 2 8 2 2 2 3 2" xfId="30357" xr:uid="{00000000-0005-0000-0000-000099760000}"/>
    <cellStyle name="Percent 2 8 2 2 2 3 3" xfId="30358" xr:uid="{00000000-0005-0000-0000-00009A760000}"/>
    <cellStyle name="Percent 2 8 2 2 2 4" xfId="30359" xr:uid="{00000000-0005-0000-0000-00009B760000}"/>
    <cellStyle name="Percent 2 8 2 2 2 5" xfId="30360" xr:uid="{00000000-0005-0000-0000-00009C760000}"/>
    <cellStyle name="Percent 2 8 2 2 2 6" xfId="30361" xr:uid="{00000000-0005-0000-0000-00009D760000}"/>
    <cellStyle name="Percent 2 8 2 2 3" xfId="30362" xr:uid="{00000000-0005-0000-0000-00009E760000}"/>
    <cellStyle name="Percent 2 8 2 2 3 2" xfId="30363" xr:uid="{00000000-0005-0000-0000-00009F760000}"/>
    <cellStyle name="Percent 2 8 2 2 3 3" xfId="30364" xr:uid="{00000000-0005-0000-0000-0000A0760000}"/>
    <cellStyle name="Percent 2 8 2 2 4" xfId="30365" xr:uid="{00000000-0005-0000-0000-0000A1760000}"/>
    <cellStyle name="Percent 2 8 2 2 4 2" xfId="30366" xr:uid="{00000000-0005-0000-0000-0000A2760000}"/>
    <cellStyle name="Percent 2 8 2 2 4 3" xfId="30367" xr:uid="{00000000-0005-0000-0000-0000A3760000}"/>
    <cellStyle name="Percent 2 8 2 2 5" xfId="30368" xr:uid="{00000000-0005-0000-0000-0000A4760000}"/>
    <cellStyle name="Percent 2 8 2 2 5 2" xfId="30369" xr:uid="{00000000-0005-0000-0000-0000A5760000}"/>
    <cellStyle name="Percent 2 8 2 2 5 3" xfId="30370" xr:uid="{00000000-0005-0000-0000-0000A6760000}"/>
    <cellStyle name="Percent 2 8 2 2 6" xfId="30371" xr:uid="{00000000-0005-0000-0000-0000A7760000}"/>
    <cellStyle name="Percent 2 8 2 2 7" xfId="30372" xr:uid="{00000000-0005-0000-0000-0000A8760000}"/>
    <cellStyle name="Percent 2 8 2 2 8" xfId="30373" xr:uid="{00000000-0005-0000-0000-0000A9760000}"/>
    <cellStyle name="Percent 2 8 2 3" xfId="30374" xr:uid="{00000000-0005-0000-0000-0000AA760000}"/>
    <cellStyle name="Percent 2 8 2 3 2" xfId="30375" xr:uid="{00000000-0005-0000-0000-0000AB760000}"/>
    <cellStyle name="Percent 2 8 2 3 2 2" xfId="30376" xr:uid="{00000000-0005-0000-0000-0000AC760000}"/>
    <cellStyle name="Percent 2 8 2 3 2 2 2" xfId="30377" xr:uid="{00000000-0005-0000-0000-0000AD760000}"/>
    <cellStyle name="Percent 2 8 2 3 2 2 3" xfId="30378" xr:uid="{00000000-0005-0000-0000-0000AE760000}"/>
    <cellStyle name="Percent 2 8 2 3 2 3" xfId="30379" xr:uid="{00000000-0005-0000-0000-0000AF760000}"/>
    <cellStyle name="Percent 2 8 2 3 2 3 2" xfId="30380" xr:uid="{00000000-0005-0000-0000-0000B0760000}"/>
    <cellStyle name="Percent 2 8 2 3 2 3 3" xfId="30381" xr:uid="{00000000-0005-0000-0000-0000B1760000}"/>
    <cellStyle name="Percent 2 8 2 3 2 4" xfId="30382" xr:uid="{00000000-0005-0000-0000-0000B2760000}"/>
    <cellStyle name="Percent 2 8 2 3 2 5" xfId="30383" xr:uid="{00000000-0005-0000-0000-0000B3760000}"/>
    <cellStyle name="Percent 2 8 2 3 2 6" xfId="30384" xr:uid="{00000000-0005-0000-0000-0000B4760000}"/>
    <cellStyle name="Percent 2 8 2 3 3" xfId="30385" xr:uid="{00000000-0005-0000-0000-0000B5760000}"/>
    <cellStyle name="Percent 2 8 2 3 3 2" xfId="30386" xr:uid="{00000000-0005-0000-0000-0000B6760000}"/>
    <cellStyle name="Percent 2 8 2 3 3 3" xfId="30387" xr:uid="{00000000-0005-0000-0000-0000B7760000}"/>
    <cellStyle name="Percent 2 8 2 3 4" xfId="30388" xr:uid="{00000000-0005-0000-0000-0000B8760000}"/>
    <cellStyle name="Percent 2 8 2 3 4 2" xfId="30389" xr:uid="{00000000-0005-0000-0000-0000B9760000}"/>
    <cellStyle name="Percent 2 8 2 3 4 3" xfId="30390" xr:uid="{00000000-0005-0000-0000-0000BA760000}"/>
    <cellStyle name="Percent 2 8 2 3 5" xfId="30391" xr:uid="{00000000-0005-0000-0000-0000BB760000}"/>
    <cellStyle name="Percent 2 8 2 3 5 2" xfId="30392" xr:uid="{00000000-0005-0000-0000-0000BC760000}"/>
    <cellStyle name="Percent 2 8 2 3 5 3" xfId="30393" xr:uid="{00000000-0005-0000-0000-0000BD760000}"/>
    <cellStyle name="Percent 2 8 2 3 6" xfId="30394" xr:uid="{00000000-0005-0000-0000-0000BE760000}"/>
    <cellStyle name="Percent 2 8 2 3 7" xfId="30395" xr:uid="{00000000-0005-0000-0000-0000BF760000}"/>
    <cellStyle name="Percent 2 8 2 3 8" xfId="30396" xr:uid="{00000000-0005-0000-0000-0000C0760000}"/>
    <cellStyle name="Percent 2 8 2 4" xfId="30397" xr:uid="{00000000-0005-0000-0000-0000C1760000}"/>
    <cellStyle name="Percent 2 8 2 4 2" xfId="30398" xr:uid="{00000000-0005-0000-0000-0000C2760000}"/>
    <cellStyle name="Percent 2 8 2 4 2 2" xfId="30399" xr:uid="{00000000-0005-0000-0000-0000C3760000}"/>
    <cellStyle name="Percent 2 8 2 4 2 3" xfId="30400" xr:uid="{00000000-0005-0000-0000-0000C4760000}"/>
    <cellStyle name="Percent 2 8 2 4 3" xfId="30401" xr:uid="{00000000-0005-0000-0000-0000C5760000}"/>
    <cellStyle name="Percent 2 8 2 4 3 2" xfId="30402" xr:uid="{00000000-0005-0000-0000-0000C6760000}"/>
    <cellStyle name="Percent 2 8 2 4 3 3" xfId="30403" xr:uid="{00000000-0005-0000-0000-0000C7760000}"/>
    <cellStyle name="Percent 2 8 2 4 4" xfId="30404" xr:uid="{00000000-0005-0000-0000-0000C8760000}"/>
    <cellStyle name="Percent 2 8 2 4 5" xfId="30405" xr:uid="{00000000-0005-0000-0000-0000C9760000}"/>
    <cellStyle name="Percent 2 8 2 4 6" xfId="30406" xr:uid="{00000000-0005-0000-0000-0000CA760000}"/>
    <cellStyle name="Percent 2 8 2 5" xfId="30407" xr:uid="{00000000-0005-0000-0000-0000CB760000}"/>
    <cellStyle name="Percent 2 8 2 5 2" xfId="30408" xr:uid="{00000000-0005-0000-0000-0000CC760000}"/>
    <cellStyle name="Percent 2 8 2 5 3" xfId="30409" xr:uid="{00000000-0005-0000-0000-0000CD760000}"/>
    <cellStyle name="Percent 2 8 2 6" xfId="30410" xr:uid="{00000000-0005-0000-0000-0000CE760000}"/>
    <cellStyle name="Percent 2 8 2 6 2" xfId="30411" xr:uid="{00000000-0005-0000-0000-0000CF760000}"/>
    <cellStyle name="Percent 2 8 2 6 3" xfId="30412" xr:uid="{00000000-0005-0000-0000-0000D0760000}"/>
    <cellStyle name="Percent 2 8 2 7" xfId="30413" xr:uid="{00000000-0005-0000-0000-0000D1760000}"/>
    <cellStyle name="Percent 2 8 2 7 2" xfId="30414" xr:uid="{00000000-0005-0000-0000-0000D2760000}"/>
    <cellStyle name="Percent 2 8 2 7 3" xfId="30415" xr:uid="{00000000-0005-0000-0000-0000D3760000}"/>
    <cellStyle name="Percent 2 8 2 8" xfId="30416" xr:uid="{00000000-0005-0000-0000-0000D4760000}"/>
    <cellStyle name="Percent 2 8 2 9" xfId="30417" xr:uid="{00000000-0005-0000-0000-0000D5760000}"/>
    <cellStyle name="Percent 2 8 3" xfId="30418" xr:uid="{00000000-0005-0000-0000-0000D6760000}"/>
    <cellStyle name="Percent 2 8 3 2" xfId="30419" xr:uid="{00000000-0005-0000-0000-0000D7760000}"/>
    <cellStyle name="Percent 2 8 3 2 2" xfId="30420" xr:uid="{00000000-0005-0000-0000-0000D8760000}"/>
    <cellStyle name="Percent 2 8 3 2 2 2" xfId="30421" xr:uid="{00000000-0005-0000-0000-0000D9760000}"/>
    <cellStyle name="Percent 2 8 3 2 2 3" xfId="30422" xr:uid="{00000000-0005-0000-0000-0000DA760000}"/>
    <cellStyle name="Percent 2 8 3 2 3" xfId="30423" xr:uid="{00000000-0005-0000-0000-0000DB760000}"/>
    <cellStyle name="Percent 2 8 3 2 3 2" xfId="30424" xr:uid="{00000000-0005-0000-0000-0000DC760000}"/>
    <cellStyle name="Percent 2 8 3 2 3 3" xfId="30425" xr:uid="{00000000-0005-0000-0000-0000DD760000}"/>
    <cellStyle name="Percent 2 8 3 2 4" xfId="30426" xr:uid="{00000000-0005-0000-0000-0000DE760000}"/>
    <cellStyle name="Percent 2 8 3 2 5" xfId="30427" xr:uid="{00000000-0005-0000-0000-0000DF760000}"/>
    <cellStyle name="Percent 2 8 3 2 6" xfId="30428" xr:uid="{00000000-0005-0000-0000-0000E0760000}"/>
    <cellStyle name="Percent 2 8 3 3" xfId="30429" xr:uid="{00000000-0005-0000-0000-0000E1760000}"/>
    <cellStyle name="Percent 2 8 3 3 2" xfId="30430" xr:uid="{00000000-0005-0000-0000-0000E2760000}"/>
    <cellStyle name="Percent 2 8 3 3 3" xfId="30431" xr:uid="{00000000-0005-0000-0000-0000E3760000}"/>
    <cellStyle name="Percent 2 8 3 4" xfId="30432" xr:uid="{00000000-0005-0000-0000-0000E4760000}"/>
    <cellStyle name="Percent 2 8 3 4 2" xfId="30433" xr:uid="{00000000-0005-0000-0000-0000E5760000}"/>
    <cellStyle name="Percent 2 8 3 4 3" xfId="30434" xr:uid="{00000000-0005-0000-0000-0000E6760000}"/>
    <cellStyle name="Percent 2 8 3 5" xfId="30435" xr:uid="{00000000-0005-0000-0000-0000E7760000}"/>
    <cellStyle name="Percent 2 8 3 5 2" xfId="30436" xr:uid="{00000000-0005-0000-0000-0000E8760000}"/>
    <cellStyle name="Percent 2 8 3 5 3" xfId="30437" xr:uid="{00000000-0005-0000-0000-0000E9760000}"/>
    <cellStyle name="Percent 2 8 3 6" xfId="30438" xr:uid="{00000000-0005-0000-0000-0000EA760000}"/>
    <cellStyle name="Percent 2 8 3 7" xfId="30439" xr:uid="{00000000-0005-0000-0000-0000EB760000}"/>
    <cellStyle name="Percent 2 8 3 8" xfId="30440" xr:uid="{00000000-0005-0000-0000-0000EC760000}"/>
    <cellStyle name="Percent 2 8 4" xfId="30441" xr:uid="{00000000-0005-0000-0000-0000ED760000}"/>
    <cellStyle name="Percent 2 8 4 2" xfId="30442" xr:uid="{00000000-0005-0000-0000-0000EE760000}"/>
    <cellStyle name="Percent 2 8 4 2 2" xfId="30443" xr:uid="{00000000-0005-0000-0000-0000EF760000}"/>
    <cellStyle name="Percent 2 8 4 2 2 2" xfId="30444" xr:uid="{00000000-0005-0000-0000-0000F0760000}"/>
    <cellStyle name="Percent 2 8 4 2 2 3" xfId="30445" xr:uid="{00000000-0005-0000-0000-0000F1760000}"/>
    <cellStyle name="Percent 2 8 4 2 3" xfId="30446" xr:uid="{00000000-0005-0000-0000-0000F2760000}"/>
    <cellStyle name="Percent 2 8 4 2 3 2" xfId="30447" xr:uid="{00000000-0005-0000-0000-0000F3760000}"/>
    <cellStyle name="Percent 2 8 4 2 3 3" xfId="30448" xr:uid="{00000000-0005-0000-0000-0000F4760000}"/>
    <cellStyle name="Percent 2 8 4 2 4" xfId="30449" xr:uid="{00000000-0005-0000-0000-0000F5760000}"/>
    <cellStyle name="Percent 2 8 4 2 5" xfId="30450" xr:uid="{00000000-0005-0000-0000-0000F6760000}"/>
    <cellStyle name="Percent 2 8 4 2 6" xfId="30451" xr:uid="{00000000-0005-0000-0000-0000F7760000}"/>
    <cellStyle name="Percent 2 8 4 3" xfId="30452" xr:uid="{00000000-0005-0000-0000-0000F8760000}"/>
    <cellStyle name="Percent 2 8 4 3 2" xfId="30453" xr:uid="{00000000-0005-0000-0000-0000F9760000}"/>
    <cellStyle name="Percent 2 8 4 3 3" xfId="30454" xr:uid="{00000000-0005-0000-0000-0000FA760000}"/>
    <cellStyle name="Percent 2 8 4 4" xfId="30455" xr:uid="{00000000-0005-0000-0000-0000FB760000}"/>
    <cellStyle name="Percent 2 8 4 4 2" xfId="30456" xr:uid="{00000000-0005-0000-0000-0000FC760000}"/>
    <cellStyle name="Percent 2 8 4 4 3" xfId="30457" xr:uid="{00000000-0005-0000-0000-0000FD760000}"/>
    <cellStyle name="Percent 2 8 4 5" xfId="30458" xr:uid="{00000000-0005-0000-0000-0000FE760000}"/>
    <cellStyle name="Percent 2 8 4 5 2" xfId="30459" xr:uid="{00000000-0005-0000-0000-0000FF760000}"/>
    <cellStyle name="Percent 2 8 4 5 3" xfId="30460" xr:uid="{00000000-0005-0000-0000-000000770000}"/>
    <cellStyle name="Percent 2 8 4 6" xfId="30461" xr:uid="{00000000-0005-0000-0000-000001770000}"/>
    <cellStyle name="Percent 2 8 4 7" xfId="30462" xr:uid="{00000000-0005-0000-0000-000002770000}"/>
    <cellStyle name="Percent 2 8 4 8" xfId="30463" xr:uid="{00000000-0005-0000-0000-000003770000}"/>
    <cellStyle name="Percent 2 8 5" xfId="30464" xr:uid="{00000000-0005-0000-0000-000004770000}"/>
    <cellStyle name="Percent 2 8 5 2" xfId="30465" xr:uid="{00000000-0005-0000-0000-000005770000}"/>
    <cellStyle name="Percent 2 8 5 2 2" xfId="30466" xr:uid="{00000000-0005-0000-0000-000006770000}"/>
    <cellStyle name="Percent 2 8 5 2 2 2" xfId="30467" xr:uid="{00000000-0005-0000-0000-000007770000}"/>
    <cellStyle name="Percent 2 8 5 2 2 3" xfId="30468" xr:uid="{00000000-0005-0000-0000-000008770000}"/>
    <cellStyle name="Percent 2 8 5 2 3" xfId="30469" xr:uid="{00000000-0005-0000-0000-000009770000}"/>
    <cellStyle name="Percent 2 8 5 2 3 2" xfId="30470" xr:uid="{00000000-0005-0000-0000-00000A770000}"/>
    <cellStyle name="Percent 2 8 5 2 3 3" xfId="30471" xr:uid="{00000000-0005-0000-0000-00000B770000}"/>
    <cellStyle name="Percent 2 8 5 2 4" xfId="30472" xr:uid="{00000000-0005-0000-0000-00000C770000}"/>
    <cellStyle name="Percent 2 8 5 2 5" xfId="30473" xr:uid="{00000000-0005-0000-0000-00000D770000}"/>
    <cellStyle name="Percent 2 8 5 2 6" xfId="30474" xr:uid="{00000000-0005-0000-0000-00000E770000}"/>
    <cellStyle name="Percent 2 8 5 3" xfId="30475" xr:uid="{00000000-0005-0000-0000-00000F770000}"/>
    <cellStyle name="Percent 2 8 5 3 2" xfId="30476" xr:uid="{00000000-0005-0000-0000-000010770000}"/>
    <cellStyle name="Percent 2 8 5 3 3" xfId="30477" xr:uid="{00000000-0005-0000-0000-000011770000}"/>
    <cellStyle name="Percent 2 8 5 4" xfId="30478" xr:uid="{00000000-0005-0000-0000-000012770000}"/>
    <cellStyle name="Percent 2 8 5 4 2" xfId="30479" xr:uid="{00000000-0005-0000-0000-000013770000}"/>
    <cellStyle name="Percent 2 8 5 4 3" xfId="30480" xr:uid="{00000000-0005-0000-0000-000014770000}"/>
    <cellStyle name="Percent 2 8 5 5" xfId="30481" xr:uid="{00000000-0005-0000-0000-000015770000}"/>
    <cellStyle name="Percent 2 8 5 5 2" xfId="30482" xr:uid="{00000000-0005-0000-0000-000016770000}"/>
    <cellStyle name="Percent 2 8 5 5 3" xfId="30483" xr:uid="{00000000-0005-0000-0000-000017770000}"/>
    <cellStyle name="Percent 2 8 5 6" xfId="30484" xr:uid="{00000000-0005-0000-0000-000018770000}"/>
    <cellStyle name="Percent 2 8 5 7" xfId="30485" xr:uid="{00000000-0005-0000-0000-000019770000}"/>
    <cellStyle name="Percent 2 8 5 8" xfId="30486" xr:uid="{00000000-0005-0000-0000-00001A770000}"/>
    <cellStyle name="Percent 2 8 6" xfId="30487" xr:uid="{00000000-0005-0000-0000-00001B770000}"/>
    <cellStyle name="Percent 2 8 6 2" xfId="30488" xr:uid="{00000000-0005-0000-0000-00001C770000}"/>
    <cellStyle name="Percent 2 8 6 2 2" xfId="30489" xr:uid="{00000000-0005-0000-0000-00001D770000}"/>
    <cellStyle name="Percent 2 8 6 2 3" xfId="30490" xr:uid="{00000000-0005-0000-0000-00001E770000}"/>
    <cellStyle name="Percent 2 8 6 3" xfId="30491" xr:uid="{00000000-0005-0000-0000-00001F770000}"/>
    <cellStyle name="Percent 2 8 6 3 2" xfId="30492" xr:uid="{00000000-0005-0000-0000-000020770000}"/>
    <cellStyle name="Percent 2 8 6 3 3" xfId="30493" xr:uid="{00000000-0005-0000-0000-000021770000}"/>
    <cellStyle name="Percent 2 8 6 4" xfId="30494" xr:uid="{00000000-0005-0000-0000-000022770000}"/>
    <cellStyle name="Percent 2 8 6 5" xfId="30495" xr:uid="{00000000-0005-0000-0000-000023770000}"/>
    <cellStyle name="Percent 2 8 6 6" xfId="30496" xr:uid="{00000000-0005-0000-0000-000024770000}"/>
    <cellStyle name="Percent 2 8 7" xfId="30497" xr:uid="{00000000-0005-0000-0000-000025770000}"/>
    <cellStyle name="Percent 2 8 7 2" xfId="30498" xr:uid="{00000000-0005-0000-0000-000026770000}"/>
    <cellStyle name="Percent 2 8 7 3" xfId="30499" xr:uid="{00000000-0005-0000-0000-000027770000}"/>
    <cellStyle name="Percent 2 8 8" xfId="30500" xr:uid="{00000000-0005-0000-0000-000028770000}"/>
    <cellStyle name="Percent 2 8 8 2" xfId="30501" xr:uid="{00000000-0005-0000-0000-000029770000}"/>
    <cellStyle name="Percent 2 8 8 3" xfId="30502" xr:uid="{00000000-0005-0000-0000-00002A770000}"/>
    <cellStyle name="Percent 2 8 9" xfId="30503" xr:uid="{00000000-0005-0000-0000-00002B770000}"/>
    <cellStyle name="Percent 2 8 9 2" xfId="30504" xr:uid="{00000000-0005-0000-0000-00002C770000}"/>
    <cellStyle name="Percent 2 8 9 3" xfId="30505" xr:uid="{00000000-0005-0000-0000-00002D770000}"/>
    <cellStyle name="Percent 2 80" xfId="30506" xr:uid="{00000000-0005-0000-0000-00002E770000}"/>
    <cellStyle name="Percent 2 80 2" xfId="30507" xr:uid="{00000000-0005-0000-0000-00002F770000}"/>
    <cellStyle name="Percent 2 80 2 2" xfId="30508" xr:uid="{00000000-0005-0000-0000-000030770000}"/>
    <cellStyle name="Percent 2 80 2 2 2" xfId="30509" xr:uid="{00000000-0005-0000-0000-000031770000}"/>
    <cellStyle name="Percent 2 80 2 2 3" xfId="30510" xr:uid="{00000000-0005-0000-0000-000032770000}"/>
    <cellStyle name="Percent 2 80 2 3" xfId="30511" xr:uid="{00000000-0005-0000-0000-000033770000}"/>
    <cellStyle name="Percent 2 80 2 3 2" xfId="30512" xr:uid="{00000000-0005-0000-0000-000034770000}"/>
    <cellStyle name="Percent 2 80 2 3 3" xfId="30513" xr:uid="{00000000-0005-0000-0000-000035770000}"/>
    <cellStyle name="Percent 2 80 2 4" xfId="30514" xr:uid="{00000000-0005-0000-0000-000036770000}"/>
    <cellStyle name="Percent 2 80 2 5" xfId="30515" xr:uid="{00000000-0005-0000-0000-000037770000}"/>
    <cellStyle name="Percent 2 80 2 6" xfId="30516" xr:uid="{00000000-0005-0000-0000-000038770000}"/>
    <cellStyle name="Percent 2 80 3" xfId="30517" xr:uid="{00000000-0005-0000-0000-000039770000}"/>
    <cellStyle name="Percent 2 80 3 2" xfId="30518" xr:uid="{00000000-0005-0000-0000-00003A770000}"/>
    <cellStyle name="Percent 2 80 3 3" xfId="30519" xr:uid="{00000000-0005-0000-0000-00003B770000}"/>
    <cellStyle name="Percent 2 80 4" xfId="30520" xr:uid="{00000000-0005-0000-0000-00003C770000}"/>
    <cellStyle name="Percent 2 80 4 2" xfId="30521" xr:uid="{00000000-0005-0000-0000-00003D770000}"/>
    <cellStyle name="Percent 2 80 4 3" xfId="30522" xr:uid="{00000000-0005-0000-0000-00003E770000}"/>
    <cellStyle name="Percent 2 80 5" xfId="30523" xr:uid="{00000000-0005-0000-0000-00003F770000}"/>
    <cellStyle name="Percent 2 80 6" xfId="30524" xr:uid="{00000000-0005-0000-0000-000040770000}"/>
    <cellStyle name="Percent 2 80 7" xfId="30525" xr:uid="{00000000-0005-0000-0000-000041770000}"/>
    <cellStyle name="Percent 2 81" xfId="30526" xr:uid="{00000000-0005-0000-0000-000042770000}"/>
    <cellStyle name="Percent 2 81 2" xfId="30527" xr:uid="{00000000-0005-0000-0000-000043770000}"/>
    <cellStyle name="Percent 2 81 2 2" xfId="30528" xr:uid="{00000000-0005-0000-0000-000044770000}"/>
    <cellStyle name="Percent 2 81 2 2 2" xfId="30529" xr:uid="{00000000-0005-0000-0000-000045770000}"/>
    <cellStyle name="Percent 2 81 2 2 3" xfId="30530" xr:uid="{00000000-0005-0000-0000-000046770000}"/>
    <cellStyle name="Percent 2 81 2 3" xfId="30531" xr:uid="{00000000-0005-0000-0000-000047770000}"/>
    <cellStyle name="Percent 2 81 2 3 2" xfId="30532" xr:uid="{00000000-0005-0000-0000-000048770000}"/>
    <cellStyle name="Percent 2 81 2 3 3" xfId="30533" xr:uid="{00000000-0005-0000-0000-000049770000}"/>
    <cellStyle name="Percent 2 81 2 4" xfId="30534" xr:uid="{00000000-0005-0000-0000-00004A770000}"/>
    <cellStyle name="Percent 2 81 2 5" xfId="30535" xr:uid="{00000000-0005-0000-0000-00004B770000}"/>
    <cellStyle name="Percent 2 81 2 6" xfId="30536" xr:uid="{00000000-0005-0000-0000-00004C770000}"/>
    <cellStyle name="Percent 2 81 3" xfId="30537" xr:uid="{00000000-0005-0000-0000-00004D770000}"/>
    <cellStyle name="Percent 2 81 3 2" xfId="30538" xr:uid="{00000000-0005-0000-0000-00004E770000}"/>
    <cellStyle name="Percent 2 81 3 3" xfId="30539" xr:uid="{00000000-0005-0000-0000-00004F770000}"/>
    <cellStyle name="Percent 2 81 4" xfId="30540" xr:uid="{00000000-0005-0000-0000-000050770000}"/>
    <cellStyle name="Percent 2 81 4 2" xfId="30541" xr:uid="{00000000-0005-0000-0000-000051770000}"/>
    <cellStyle name="Percent 2 81 4 3" xfId="30542" xr:uid="{00000000-0005-0000-0000-000052770000}"/>
    <cellStyle name="Percent 2 81 5" xfId="30543" xr:uid="{00000000-0005-0000-0000-000053770000}"/>
    <cellStyle name="Percent 2 81 6" xfId="30544" xr:uid="{00000000-0005-0000-0000-000054770000}"/>
    <cellStyle name="Percent 2 81 7" xfId="30545" xr:uid="{00000000-0005-0000-0000-000055770000}"/>
    <cellStyle name="Percent 2 82" xfId="30546" xr:uid="{00000000-0005-0000-0000-000056770000}"/>
    <cellStyle name="Percent 2 82 2" xfId="30547" xr:uid="{00000000-0005-0000-0000-000057770000}"/>
    <cellStyle name="Percent 2 82 2 2" xfId="30548" xr:uid="{00000000-0005-0000-0000-000058770000}"/>
    <cellStyle name="Percent 2 82 2 2 2" xfId="30549" xr:uid="{00000000-0005-0000-0000-000059770000}"/>
    <cellStyle name="Percent 2 82 2 2 3" xfId="30550" xr:uid="{00000000-0005-0000-0000-00005A770000}"/>
    <cellStyle name="Percent 2 82 2 3" xfId="30551" xr:uid="{00000000-0005-0000-0000-00005B770000}"/>
    <cellStyle name="Percent 2 82 2 3 2" xfId="30552" xr:uid="{00000000-0005-0000-0000-00005C770000}"/>
    <cellStyle name="Percent 2 82 2 3 3" xfId="30553" xr:uid="{00000000-0005-0000-0000-00005D770000}"/>
    <cellStyle name="Percent 2 82 2 4" xfId="30554" xr:uid="{00000000-0005-0000-0000-00005E770000}"/>
    <cellStyle name="Percent 2 82 2 5" xfId="30555" xr:uid="{00000000-0005-0000-0000-00005F770000}"/>
    <cellStyle name="Percent 2 82 2 6" xfId="30556" xr:uid="{00000000-0005-0000-0000-000060770000}"/>
    <cellStyle name="Percent 2 82 3" xfId="30557" xr:uid="{00000000-0005-0000-0000-000061770000}"/>
    <cellStyle name="Percent 2 82 3 2" xfId="30558" xr:uid="{00000000-0005-0000-0000-000062770000}"/>
    <cellStyle name="Percent 2 82 3 3" xfId="30559" xr:uid="{00000000-0005-0000-0000-000063770000}"/>
    <cellStyle name="Percent 2 82 4" xfId="30560" xr:uid="{00000000-0005-0000-0000-000064770000}"/>
    <cellStyle name="Percent 2 82 4 2" xfId="30561" xr:uid="{00000000-0005-0000-0000-000065770000}"/>
    <cellStyle name="Percent 2 82 4 3" xfId="30562" xr:uid="{00000000-0005-0000-0000-000066770000}"/>
    <cellStyle name="Percent 2 82 5" xfId="30563" xr:uid="{00000000-0005-0000-0000-000067770000}"/>
    <cellStyle name="Percent 2 82 6" xfId="30564" xr:uid="{00000000-0005-0000-0000-000068770000}"/>
    <cellStyle name="Percent 2 82 7" xfId="30565" xr:uid="{00000000-0005-0000-0000-000069770000}"/>
    <cellStyle name="Percent 2 83" xfId="30566" xr:uid="{00000000-0005-0000-0000-00006A770000}"/>
    <cellStyle name="Percent 2 83 2" xfId="30567" xr:uid="{00000000-0005-0000-0000-00006B770000}"/>
    <cellStyle name="Percent 2 83 2 2" xfId="30568" xr:uid="{00000000-0005-0000-0000-00006C770000}"/>
    <cellStyle name="Percent 2 83 2 2 2" xfId="30569" xr:uid="{00000000-0005-0000-0000-00006D770000}"/>
    <cellStyle name="Percent 2 83 2 2 3" xfId="30570" xr:uid="{00000000-0005-0000-0000-00006E770000}"/>
    <cellStyle name="Percent 2 83 2 3" xfId="30571" xr:uid="{00000000-0005-0000-0000-00006F770000}"/>
    <cellStyle name="Percent 2 83 2 3 2" xfId="30572" xr:uid="{00000000-0005-0000-0000-000070770000}"/>
    <cellStyle name="Percent 2 83 2 3 3" xfId="30573" xr:uid="{00000000-0005-0000-0000-000071770000}"/>
    <cellStyle name="Percent 2 83 2 4" xfId="30574" xr:uid="{00000000-0005-0000-0000-000072770000}"/>
    <cellStyle name="Percent 2 83 2 5" xfId="30575" xr:uid="{00000000-0005-0000-0000-000073770000}"/>
    <cellStyle name="Percent 2 83 2 6" xfId="30576" xr:uid="{00000000-0005-0000-0000-000074770000}"/>
    <cellStyle name="Percent 2 83 3" xfId="30577" xr:uid="{00000000-0005-0000-0000-000075770000}"/>
    <cellStyle name="Percent 2 83 3 2" xfId="30578" xr:uid="{00000000-0005-0000-0000-000076770000}"/>
    <cellStyle name="Percent 2 83 3 3" xfId="30579" xr:uid="{00000000-0005-0000-0000-000077770000}"/>
    <cellStyle name="Percent 2 83 4" xfId="30580" xr:uid="{00000000-0005-0000-0000-000078770000}"/>
    <cellStyle name="Percent 2 83 4 2" xfId="30581" xr:uid="{00000000-0005-0000-0000-000079770000}"/>
    <cellStyle name="Percent 2 83 4 3" xfId="30582" xr:uid="{00000000-0005-0000-0000-00007A770000}"/>
    <cellStyle name="Percent 2 83 5" xfId="30583" xr:uid="{00000000-0005-0000-0000-00007B770000}"/>
    <cellStyle name="Percent 2 83 6" xfId="30584" xr:uid="{00000000-0005-0000-0000-00007C770000}"/>
    <cellStyle name="Percent 2 83 7" xfId="30585" xr:uid="{00000000-0005-0000-0000-00007D770000}"/>
    <cellStyle name="Percent 2 84" xfId="30586" xr:uid="{00000000-0005-0000-0000-00007E770000}"/>
    <cellStyle name="Percent 2 84 2" xfId="30587" xr:uid="{00000000-0005-0000-0000-00007F770000}"/>
    <cellStyle name="Percent 2 84 2 2" xfId="30588" xr:uid="{00000000-0005-0000-0000-000080770000}"/>
    <cellStyle name="Percent 2 84 2 2 2" xfId="30589" xr:uid="{00000000-0005-0000-0000-000081770000}"/>
    <cellStyle name="Percent 2 84 2 2 3" xfId="30590" xr:uid="{00000000-0005-0000-0000-000082770000}"/>
    <cellStyle name="Percent 2 84 2 3" xfId="30591" xr:uid="{00000000-0005-0000-0000-000083770000}"/>
    <cellStyle name="Percent 2 84 2 3 2" xfId="30592" xr:uid="{00000000-0005-0000-0000-000084770000}"/>
    <cellStyle name="Percent 2 84 2 3 3" xfId="30593" xr:uid="{00000000-0005-0000-0000-000085770000}"/>
    <cellStyle name="Percent 2 84 2 4" xfId="30594" xr:uid="{00000000-0005-0000-0000-000086770000}"/>
    <cellStyle name="Percent 2 84 2 5" xfId="30595" xr:uid="{00000000-0005-0000-0000-000087770000}"/>
    <cellStyle name="Percent 2 84 2 6" xfId="30596" xr:uid="{00000000-0005-0000-0000-000088770000}"/>
    <cellStyle name="Percent 2 84 3" xfId="30597" xr:uid="{00000000-0005-0000-0000-000089770000}"/>
    <cellStyle name="Percent 2 84 3 2" xfId="30598" xr:uid="{00000000-0005-0000-0000-00008A770000}"/>
    <cellStyle name="Percent 2 84 3 3" xfId="30599" xr:uid="{00000000-0005-0000-0000-00008B770000}"/>
    <cellStyle name="Percent 2 84 4" xfId="30600" xr:uid="{00000000-0005-0000-0000-00008C770000}"/>
    <cellStyle name="Percent 2 84 4 2" xfId="30601" xr:uid="{00000000-0005-0000-0000-00008D770000}"/>
    <cellStyle name="Percent 2 84 4 3" xfId="30602" xr:uid="{00000000-0005-0000-0000-00008E770000}"/>
    <cellStyle name="Percent 2 84 5" xfId="30603" xr:uid="{00000000-0005-0000-0000-00008F770000}"/>
    <cellStyle name="Percent 2 84 6" xfId="30604" xr:uid="{00000000-0005-0000-0000-000090770000}"/>
    <cellStyle name="Percent 2 84 7" xfId="30605" xr:uid="{00000000-0005-0000-0000-000091770000}"/>
    <cellStyle name="Percent 2 85" xfId="30606" xr:uid="{00000000-0005-0000-0000-000092770000}"/>
    <cellStyle name="Percent 2 85 2" xfId="30607" xr:uid="{00000000-0005-0000-0000-000093770000}"/>
    <cellStyle name="Percent 2 85 2 2" xfId="30608" xr:uid="{00000000-0005-0000-0000-000094770000}"/>
    <cellStyle name="Percent 2 85 2 2 2" xfId="30609" xr:uid="{00000000-0005-0000-0000-000095770000}"/>
    <cellStyle name="Percent 2 85 2 2 3" xfId="30610" xr:uid="{00000000-0005-0000-0000-000096770000}"/>
    <cellStyle name="Percent 2 85 2 3" xfId="30611" xr:uid="{00000000-0005-0000-0000-000097770000}"/>
    <cellStyle name="Percent 2 85 2 3 2" xfId="30612" xr:uid="{00000000-0005-0000-0000-000098770000}"/>
    <cellStyle name="Percent 2 85 2 3 3" xfId="30613" xr:uid="{00000000-0005-0000-0000-000099770000}"/>
    <cellStyle name="Percent 2 85 2 4" xfId="30614" xr:uid="{00000000-0005-0000-0000-00009A770000}"/>
    <cellStyle name="Percent 2 85 2 5" xfId="30615" xr:uid="{00000000-0005-0000-0000-00009B770000}"/>
    <cellStyle name="Percent 2 85 2 6" xfId="30616" xr:uid="{00000000-0005-0000-0000-00009C770000}"/>
    <cellStyle name="Percent 2 85 3" xfId="30617" xr:uid="{00000000-0005-0000-0000-00009D770000}"/>
    <cellStyle name="Percent 2 85 3 2" xfId="30618" xr:uid="{00000000-0005-0000-0000-00009E770000}"/>
    <cellStyle name="Percent 2 85 3 3" xfId="30619" xr:uid="{00000000-0005-0000-0000-00009F770000}"/>
    <cellStyle name="Percent 2 85 4" xfId="30620" xr:uid="{00000000-0005-0000-0000-0000A0770000}"/>
    <cellStyle name="Percent 2 85 4 2" xfId="30621" xr:uid="{00000000-0005-0000-0000-0000A1770000}"/>
    <cellStyle name="Percent 2 85 4 3" xfId="30622" xr:uid="{00000000-0005-0000-0000-0000A2770000}"/>
    <cellStyle name="Percent 2 85 5" xfId="30623" xr:uid="{00000000-0005-0000-0000-0000A3770000}"/>
    <cellStyle name="Percent 2 85 6" xfId="30624" xr:uid="{00000000-0005-0000-0000-0000A4770000}"/>
    <cellStyle name="Percent 2 85 7" xfId="30625" xr:uid="{00000000-0005-0000-0000-0000A5770000}"/>
    <cellStyle name="Percent 2 86" xfId="30626" xr:uid="{00000000-0005-0000-0000-0000A6770000}"/>
    <cellStyle name="Percent 2 86 2" xfId="30627" xr:uid="{00000000-0005-0000-0000-0000A7770000}"/>
    <cellStyle name="Percent 2 86 2 2" xfId="30628" xr:uid="{00000000-0005-0000-0000-0000A8770000}"/>
    <cellStyle name="Percent 2 86 2 2 2" xfId="30629" xr:uid="{00000000-0005-0000-0000-0000A9770000}"/>
    <cellStyle name="Percent 2 86 2 2 3" xfId="30630" xr:uid="{00000000-0005-0000-0000-0000AA770000}"/>
    <cellStyle name="Percent 2 86 2 3" xfId="30631" xr:uid="{00000000-0005-0000-0000-0000AB770000}"/>
    <cellStyle name="Percent 2 86 2 3 2" xfId="30632" xr:uid="{00000000-0005-0000-0000-0000AC770000}"/>
    <cellStyle name="Percent 2 86 2 3 3" xfId="30633" xr:uid="{00000000-0005-0000-0000-0000AD770000}"/>
    <cellStyle name="Percent 2 86 2 4" xfId="30634" xr:uid="{00000000-0005-0000-0000-0000AE770000}"/>
    <cellStyle name="Percent 2 86 2 5" xfId="30635" xr:uid="{00000000-0005-0000-0000-0000AF770000}"/>
    <cellStyle name="Percent 2 86 2 6" xfId="30636" xr:uid="{00000000-0005-0000-0000-0000B0770000}"/>
    <cellStyle name="Percent 2 86 3" xfId="30637" xr:uid="{00000000-0005-0000-0000-0000B1770000}"/>
    <cellStyle name="Percent 2 86 3 2" xfId="30638" xr:uid="{00000000-0005-0000-0000-0000B2770000}"/>
    <cellStyle name="Percent 2 86 3 3" xfId="30639" xr:uid="{00000000-0005-0000-0000-0000B3770000}"/>
    <cellStyle name="Percent 2 86 4" xfId="30640" xr:uid="{00000000-0005-0000-0000-0000B4770000}"/>
    <cellStyle name="Percent 2 86 4 2" xfId="30641" xr:uid="{00000000-0005-0000-0000-0000B5770000}"/>
    <cellStyle name="Percent 2 86 4 3" xfId="30642" xr:uid="{00000000-0005-0000-0000-0000B6770000}"/>
    <cellStyle name="Percent 2 86 5" xfId="30643" xr:uid="{00000000-0005-0000-0000-0000B7770000}"/>
    <cellStyle name="Percent 2 86 6" xfId="30644" xr:uid="{00000000-0005-0000-0000-0000B8770000}"/>
    <cellStyle name="Percent 2 86 7" xfId="30645" xr:uid="{00000000-0005-0000-0000-0000B9770000}"/>
    <cellStyle name="Percent 2 87" xfId="30646" xr:uid="{00000000-0005-0000-0000-0000BA770000}"/>
    <cellStyle name="Percent 2 87 2" xfId="30647" xr:uid="{00000000-0005-0000-0000-0000BB770000}"/>
    <cellStyle name="Percent 2 87 2 2" xfId="30648" xr:uid="{00000000-0005-0000-0000-0000BC770000}"/>
    <cellStyle name="Percent 2 87 2 2 2" xfId="30649" xr:uid="{00000000-0005-0000-0000-0000BD770000}"/>
    <cellStyle name="Percent 2 87 2 2 3" xfId="30650" xr:uid="{00000000-0005-0000-0000-0000BE770000}"/>
    <cellStyle name="Percent 2 87 2 3" xfId="30651" xr:uid="{00000000-0005-0000-0000-0000BF770000}"/>
    <cellStyle name="Percent 2 87 2 3 2" xfId="30652" xr:uid="{00000000-0005-0000-0000-0000C0770000}"/>
    <cellStyle name="Percent 2 87 2 3 3" xfId="30653" xr:uid="{00000000-0005-0000-0000-0000C1770000}"/>
    <cellStyle name="Percent 2 87 2 4" xfId="30654" xr:uid="{00000000-0005-0000-0000-0000C2770000}"/>
    <cellStyle name="Percent 2 87 2 5" xfId="30655" xr:uid="{00000000-0005-0000-0000-0000C3770000}"/>
    <cellStyle name="Percent 2 87 2 6" xfId="30656" xr:uid="{00000000-0005-0000-0000-0000C4770000}"/>
    <cellStyle name="Percent 2 87 3" xfId="30657" xr:uid="{00000000-0005-0000-0000-0000C5770000}"/>
    <cellStyle name="Percent 2 87 3 2" xfId="30658" xr:uid="{00000000-0005-0000-0000-0000C6770000}"/>
    <cellStyle name="Percent 2 87 3 3" xfId="30659" xr:uid="{00000000-0005-0000-0000-0000C7770000}"/>
    <cellStyle name="Percent 2 87 4" xfId="30660" xr:uid="{00000000-0005-0000-0000-0000C8770000}"/>
    <cellStyle name="Percent 2 87 4 2" xfId="30661" xr:uid="{00000000-0005-0000-0000-0000C9770000}"/>
    <cellStyle name="Percent 2 87 4 3" xfId="30662" xr:uid="{00000000-0005-0000-0000-0000CA770000}"/>
    <cellStyle name="Percent 2 87 5" xfId="30663" xr:uid="{00000000-0005-0000-0000-0000CB770000}"/>
    <cellStyle name="Percent 2 87 6" xfId="30664" xr:uid="{00000000-0005-0000-0000-0000CC770000}"/>
    <cellStyle name="Percent 2 87 7" xfId="30665" xr:uid="{00000000-0005-0000-0000-0000CD770000}"/>
    <cellStyle name="Percent 2 88" xfId="30666" xr:uid="{00000000-0005-0000-0000-0000CE770000}"/>
    <cellStyle name="Percent 2 88 2" xfId="30667" xr:uid="{00000000-0005-0000-0000-0000CF770000}"/>
    <cellStyle name="Percent 2 88 2 2" xfId="30668" xr:uid="{00000000-0005-0000-0000-0000D0770000}"/>
    <cellStyle name="Percent 2 88 2 2 2" xfId="30669" xr:uid="{00000000-0005-0000-0000-0000D1770000}"/>
    <cellStyle name="Percent 2 88 2 2 3" xfId="30670" xr:uid="{00000000-0005-0000-0000-0000D2770000}"/>
    <cellStyle name="Percent 2 88 2 3" xfId="30671" xr:uid="{00000000-0005-0000-0000-0000D3770000}"/>
    <cellStyle name="Percent 2 88 2 3 2" xfId="30672" xr:uid="{00000000-0005-0000-0000-0000D4770000}"/>
    <cellStyle name="Percent 2 88 2 3 3" xfId="30673" xr:uid="{00000000-0005-0000-0000-0000D5770000}"/>
    <cellStyle name="Percent 2 88 2 4" xfId="30674" xr:uid="{00000000-0005-0000-0000-0000D6770000}"/>
    <cellStyle name="Percent 2 88 2 5" xfId="30675" xr:uid="{00000000-0005-0000-0000-0000D7770000}"/>
    <cellStyle name="Percent 2 88 2 6" xfId="30676" xr:uid="{00000000-0005-0000-0000-0000D8770000}"/>
    <cellStyle name="Percent 2 88 3" xfId="30677" xr:uid="{00000000-0005-0000-0000-0000D9770000}"/>
    <cellStyle name="Percent 2 88 3 2" xfId="30678" xr:uid="{00000000-0005-0000-0000-0000DA770000}"/>
    <cellStyle name="Percent 2 88 3 3" xfId="30679" xr:uid="{00000000-0005-0000-0000-0000DB770000}"/>
    <cellStyle name="Percent 2 88 4" xfId="30680" xr:uid="{00000000-0005-0000-0000-0000DC770000}"/>
    <cellStyle name="Percent 2 88 4 2" xfId="30681" xr:uid="{00000000-0005-0000-0000-0000DD770000}"/>
    <cellStyle name="Percent 2 88 4 3" xfId="30682" xr:uid="{00000000-0005-0000-0000-0000DE770000}"/>
    <cellStyle name="Percent 2 88 5" xfId="30683" xr:uid="{00000000-0005-0000-0000-0000DF770000}"/>
    <cellStyle name="Percent 2 88 6" xfId="30684" xr:uid="{00000000-0005-0000-0000-0000E0770000}"/>
    <cellStyle name="Percent 2 88 7" xfId="30685" xr:uid="{00000000-0005-0000-0000-0000E1770000}"/>
    <cellStyle name="Percent 2 89" xfId="30686" xr:uid="{00000000-0005-0000-0000-0000E2770000}"/>
    <cellStyle name="Percent 2 89 2" xfId="30687" xr:uid="{00000000-0005-0000-0000-0000E3770000}"/>
    <cellStyle name="Percent 2 89 2 2" xfId="30688" xr:uid="{00000000-0005-0000-0000-0000E4770000}"/>
    <cellStyle name="Percent 2 89 2 2 2" xfId="30689" xr:uid="{00000000-0005-0000-0000-0000E5770000}"/>
    <cellStyle name="Percent 2 89 2 2 3" xfId="30690" xr:uid="{00000000-0005-0000-0000-0000E6770000}"/>
    <cellStyle name="Percent 2 89 2 3" xfId="30691" xr:uid="{00000000-0005-0000-0000-0000E7770000}"/>
    <cellStyle name="Percent 2 89 2 3 2" xfId="30692" xr:uid="{00000000-0005-0000-0000-0000E8770000}"/>
    <cellStyle name="Percent 2 89 2 3 3" xfId="30693" xr:uid="{00000000-0005-0000-0000-0000E9770000}"/>
    <cellStyle name="Percent 2 89 2 4" xfId="30694" xr:uid="{00000000-0005-0000-0000-0000EA770000}"/>
    <cellStyle name="Percent 2 89 2 5" xfId="30695" xr:uid="{00000000-0005-0000-0000-0000EB770000}"/>
    <cellStyle name="Percent 2 89 2 6" xfId="30696" xr:uid="{00000000-0005-0000-0000-0000EC770000}"/>
    <cellStyle name="Percent 2 89 3" xfId="30697" xr:uid="{00000000-0005-0000-0000-0000ED770000}"/>
    <cellStyle name="Percent 2 89 3 2" xfId="30698" xr:uid="{00000000-0005-0000-0000-0000EE770000}"/>
    <cellStyle name="Percent 2 89 3 3" xfId="30699" xr:uid="{00000000-0005-0000-0000-0000EF770000}"/>
    <cellStyle name="Percent 2 89 4" xfId="30700" xr:uid="{00000000-0005-0000-0000-0000F0770000}"/>
    <cellStyle name="Percent 2 89 4 2" xfId="30701" xr:uid="{00000000-0005-0000-0000-0000F1770000}"/>
    <cellStyle name="Percent 2 89 4 3" xfId="30702" xr:uid="{00000000-0005-0000-0000-0000F2770000}"/>
    <cellStyle name="Percent 2 89 5" xfId="30703" xr:uid="{00000000-0005-0000-0000-0000F3770000}"/>
    <cellStyle name="Percent 2 89 6" xfId="30704" xr:uid="{00000000-0005-0000-0000-0000F4770000}"/>
    <cellStyle name="Percent 2 89 7" xfId="30705" xr:uid="{00000000-0005-0000-0000-0000F5770000}"/>
    <cellStyle name="Percent 2 9" xfId="30706" xr:uid="{00000000-0005-0000-0000-0000F6770000}"/>
    <cellStyle name="Percent 2 9 10" xfId="30707" xr:uid="{00000000-0005-0000-0000-0000F7770000}"/>
    <cellStyle name="Percent 2 9 11" xfId="30708" xr:uid="{00000000-0005-0000-0000-0000F8770000}"/>
    <cellStyle name="Percent 2 9 12" xfId="30709" xr:uid="{00000000-0005-0000-0000-0000F9770000}"/>
    <cellStyle name="Percent 2 9 2" xfId="30710" xr:uid="{00000000-0005-0000-0000-0000FA770000}"/>
    <cellStyle name="Percent 2 9 2 10" xfId="30711" xr:uid="{00000000-0005-0000-0000-0000FB770000}"/>
    <cellStyle name="Percent 2 9 2 2" xfId="30712" xr:uid="{00000000-0005-0000-0000-0000FC770000}"/>
    <cellStyle name="Percent 2 9 2 2 2" xfId="30713" xr:uid="{00000000-0005-0000-0000-0000FD770000}"/>
    <cellStyle name="Percent 2 9 2 2 2 2" xfId="30714" xr:uid="{00000000-0005-0000-0000-0000FE770000}"/>
    <cellStyle name="Percent 2 9 2 2 2 2 2" xfId="30715" xr:uid="{00000000-0005-0000-0000-0000FF770000}"/>
    <cellStyle name="Percent 2 9 2 2 2 2 3" xfId="30716" xr:uid="{00000000-0005-0000-0000-000000780000}"/>
    <cellStyle name="Percent 2 9 2 2 2 3" xfId="30717" xr:uid="{00000000-0005-0000-0000-000001780000}"/>
    <cellStyle name="Percent 2 9 2 2 2 3 2" xfId="30718" xr:uid="{00000000-0005-0000-0000-000002780000}"/>
    <cellStyle name="Percent 2 9 2 2 2 3 3" xfId="30719" xr:uid="{00000000-0005-0000-0000-000003780000}"/>
    <cellStyle name="Percent 2 9 2 2 2 4" xfId="30720" xr:uid="{00000000-0005-0000-0000-000004780000}"/>
    <cellStyle name="Percent 2 9 2 2 2 5" xfId="30721" xr:uid="{00000000-0005-0000-0000-000005780000}"/>
    <cellStyle name="Percent 2 9 2 2 2 6" xfId="30722" xr:uid="{00000000-0005-0000-0000-000006780000}"/>
    <cellStyle name="Percent 2 9 2 2 3" xfId="30723" xr:uid="{00000000-0005-0000-0000-000007780000}"/>
    <cellStyle name="Percent 2 9 2 2 3 2" xfId="30724" xr:uid="{00000000-0005-0000-0000-000008780000}"/>
    <cellStyle name="Percent 2 9 2 2 3 3" xfId="30725" xr:uid="{00000000-0005-0000-0000-000009780000}"/>
    <cellStyle name="Percent 2 9 2 2 4" xfId="30726" xr:uid="{00000000-0005-0000-0000-00000A780000}"/>
    <cellStyle name="Percent 2 9 2 2 4 2" xfId="30727" xr:uid="{00000000-0005-0000-0000-00000B780000}"/>
    <cellStyle name="Percent 2 9 2 2 4 3" xfId="30728" xr:uid="{00000000-0005-0000-0000-00000C780000}"/>
    <cellStyle name="Percent 2 9 2 2 5" xfId="30729" xr:uid="{00000000-0005-0000-0000-00000D780000}"/>
    <cellStyle name="Percent 2 9 2 2 5 2" xfId="30730" xr:uid="{00000000-0005-0000-0000-00000E780000}"/>
    <cellStyle name="Percent 2 9 2 2 5 3" xfId="30731" xr:uid="{00000000-0005-0000-0000-00000F780000}"/>
    <cellStyle name="Percent 2 9 2 2 6" xfId="30732" xr:uid="{00000000-0005-0000-0000-000010780000}"/>
    <cellStyle name="Percent 2 9 2 2 7" xfId="30733" xr:uid="{00000000-0005-0000-0000-000011780000}"/>
    <cellStyle name="Percent 2 9 2 2 8" xfId="30734" xr:uid="{00000000-0005-0000-0000-000012780000}"/>
    <cellStyle name="Percent 2 9 2 3" xfId="30735" xr:uid="{00000000-0005-0000-0000-000013780000}"/>
    <cellStyle name="Percent 2 9 2 3 2" xfId="30736" xr:uid="{00000000-0005-0000-0000-000014780000}"/>
    <cellStyle name="Percent 2 9 2 3 2 2" xfId="30737" xr:uid="{00000000-0005-0000-0000-000015780000}"/>
    <cellStyle name="Percent 2 9 2 3 2 2 2" xfId="30738" xr:uid="{00000000-0005-0000-0000-000016780000}"/>
    <cellStyle name="Percent 2 9 2 3 2 2 3" xfId="30739" xr:uid="{00000000-0005-0000-0000-000017780000}"/>
    <cellStyle name="Percent 2 9 2 3 2 3" xfId="30740" xr:uid="{00000000-0005-0000-0000-000018780000}"/>
    <cellStyle name="Percent 2 9 2 3 2 3 2" xfId="30741" xr:uid="{00000000-0005-0000-0000-000019780000}"/>
    <cellStyle name="Percent 2 9 2 3 2 3 3" xfId="30742" xr:uid="{00000000-0005-0000-0000-00001A780000}"/>
    <cellStyle name="Percent 2 9 2 3 2 4" xfId="30743" xr:uid="{00000000-0005-0000-0000-00001B780000}"/>
    <cellStyle name="Percent 2 9 2 3 2 5" xfId="30744" xr:uid="{00000000-0005-0000-0000-00001C780000}"/>
    <cellStyle name="Percent 2 9 2 3 2 6" xfId="30745" xr:uid="{00000000-0005-0000-0000-00001D780000}"/>
    <cellStyle name="Percent 2 9 2 3 3" xfId="30746" xr:uid="{00000000-0005-0000-0000-00001E780000}"/>
    <cellStyle name="Percent 2 9 2 3 3 2" xfId="30747" xr:uid="{00000000-0005-0000-0000-00001F780000}"/>
    <cellStyle name="Percent 2 9 2 3 3 3" xfId="30748" xr:uid="{00000000-0005-0000-0000-000020780000}"/>
    <cellStyle name="Percent 2 9 2 3 4" xfId="30749" xr:uid="{00000000-0005-0000-0000-000021780000}"/>
    <cellStyle name="Percent 2 9 2 3 4 2" xfId="30750" xr:uid="{00000000-0005-0000-0000-000022780000}"/>
    <cellStyle name="Percent 2 9 2 3 4 3" xfId="30751" xr:uid="{00000000-0005-0000-0000-000023780000}"/>
    <cellStyle name="Percent 2 9 2 3 5" xfId="30752" xr:uid="{00000000-0005-0000-0000-000024780000}"/>
    <cellStyle name="Percent 2 9 2 3 5 2" xfId="30753" xr:uid="{00000000-0005-0000-0000-000025780000}"/>
    <cellStyle name="Percent 2 9 2 3 5 3" xfId="30754" xr:uid="{00000000-0005-0000-0000-000026780000}"/>
    <cellStyle name="Percent 2 9 2 3 6" xfId="30755" xr:uid="{00000000-0005-0000-0000-000027780000}"/>
    <cellStyle name="Percent 2 9 2 3 7" xfId="30756" xr:uid="{00000000-0005-0000-0000-000028780000}"/>
    <cellStyle name="Percent 2 9 2 3 8" xfId="30757" xr:uid="{00000000-0005-0000-0000-000029780000}"/>
    <cellStyle name="Percent 2 9 2 4" xfId="30758" xr:uid="{00000000-0005-0000-0000-00002A780000}"/>
    <cellStyle name="Percent 2 9 2 4 2" xfId="30759" xr:uid="{00000000-0005-0000-0000-00002B780000}"/>
    <cellStyle name="Percent 2 9 2 4 2 2" xfId="30760" xr:uid="{00000000-0005-0000-0000-00002C780000}"/>
    <cellStyle name="Percent 2 9 2 4 2 3" xfId="30761" xr:uid="{00000000-0005-0000-0000-00002D780000}"/>
    <cellStyle name="Percent 2 9 2 4 3" xfId="30762" xr:uid="{00000000-0005-0000-0000-00002E780000}"/>
    <cellStyle name="Percent 2 9 2 4 3 2" xfId="30763" xr:uid="{00000000-0005-0000-0000-00002F780000}"/>
    <cellStyle name="Percent 2 9 2 4 3 3" xfId="30764" xr:uid="{00000000-0005-0000-0000-000030780000}"/>
    <cellStyle name="Percent 2 9 2 4 4" xfId="30765" xr:uid="{00000000-0005-0000-0000-000031780000}"/>
    <cellStyle name="Percent 2 9 2 4 5" xfId="30766" xr:uid="{00000000-0005-0000-0000-000032780000}"/>
    <cellStyle name="Percent 2 9 2 4 6" xfId="30767" xr:uid="{00000000-0005-0000-0000-000033780000}"/>
    <cellStyle name="Percent 2 9 2 5" xfId="30768" xr:uid="{00000000-0005-0000-0000-000034780000}"/>
    <cellStyle name="Percent 2 9 2 5 2" xfId="30769" xr:uid="{00000000-0005-0000-0000-000035780000}"/>
    <cellStyle name="Percent 2 9 2 5 3" xfId="30770" xr:uid="{00000000-0005-0000-0000-000036780000}"/>
    <cellStyle name="Percent 2 9 2 6" xfId="30771" xr:uid="{00000000-0005-0000-0000-000037780000}"/>
    <cellStyle name="Percent 2 9 2 6 2" xfId="30772" xr:uid="{00000000-0005-0000-0000-000038780000}"/>
    <cellStyle name="Percent 2 9 2 6 3" xfId="30773" xr:uid="{00000000-0005-0000-0000-000039780000}"/>
    <cellStyle name="Percent 2 9 2 7" xfId="30774" xr:uid="{00000000-0005-0000-0000-00003A780000}"/>
    <cellStyle name="Percent 2 9 2 7 2" xfId="30775" xr:uid="{00000000-0005-0000-0000-00003B780000}"/>
    <cellStyle name="Percent 2 9 2 7 3" xfId="30776" xr:uid="{00000000-0005-0000-0000-00003C780000}"/>
    <cellStyle name="Percent 2 9 2 8" xfId="30777" xr:uid="{00000000-0005-0000-0000-00003D780000}"/>
    <cellStyle name="Percent 2 9 2 9" xfId="30778" xr:uid="{00000000-0005-0000-0000-00003E780000}"/>
    <cellStyle name="Percent 2 9 3" xfId="30779" xr:uid="{00000000-0005-0000-0000-00003F780000}"/>
    <cellStyle name="Percent 2 9 3 2" xfId="30780" xr:uid="{00000000-0005-0000-0000-000040780000}"/>
    <cellStyle name="Percent 2 9 3 2 2" xfId="30781" xr:uid="{00000000-0005-0000-0000-000041780000}"/>
    <cellStyle name="Percent 2 9 3 2 2 2" xfId="30782" xr:uid="{00000000-0005-0000-0000-000042780000}"/>
    <cellStyle name="Percent 2 9 3 2 2 3" xfId="30783" xr:uid="{00000000-0005-0000-0000-000043780000}"/>
    <cellStyle name="Percent 2 9 3 2 3" xfId="30784" xr:uid="{00000000-0005-0000-0000-000044780000}"/>
    <cellStyle name="Percent 2 9 3 2 3 2" xfId="30785" xr:uid="{00000000-0005-0000-0000-000045780000}"/>
    <cellStyle name="Percent 2 9 3 2 3 3" xfId="30786" xr:uid="{00000000-0005-0000-0000-000046780000}"/>
    <cellStyle name="Percent 2 9 3 2 4" xfId="30787" xr:uid="{00000000-0005-0000-0000-000047780000}"/>
    <cellStyle name="Percent 2 9 3 2 5" xfId="30788" xr:uid="{00000000-0005-0000-0000-000048780000}"/>
    <cellStyle name="Percent 2 9 3 2 6" xfId="30789" xr:uid="{00000000-0005-0000-0000-000049780000}"/>
    <cellStyle name="Percent 2 9 3 3" xfId="30790" xr:uid="{00000000-0005-0000-0000-00004A780000}"/>
    <cellStyle name="Percent 2 9 3 3 2" xfId="30791" xr:uid="{00000000-0005-0000-0000-00004B780000}"/>
    <cellStyle name="Percent 2 9 3 3 3" xfId="30792" xr:uid="{00000000-0005-0000-0000-00004C780000}"/>
    <cellStyle name="Percent 2 9 3 4" xfId="30793" xr:uid="{00000000-0005-0000-0000-00004D780000}"/>
    <cellStyle name="Percent 2 9 3 4 2" xfId="30794" xr:uid="{00000000-0005-0000-0000-00004E780000}"/>
    <cellStyle name="Percent 2 9 3 4 3" xfId="30795" xr:uid="{00000000-0005-0000-0000-00004F780000}"/>
    <cellStyle name="Percent 2 9 3 5" xfId="30796" xr:uid="{00000000-0005-0000-0000-000050780000}"/>
    <cellStyle name="Percent 2 9 3 5 2" xfId="30797" xr:uid="{00000000-0005-0000-0000-000051780000}"/>
    <cellStyle name="Percent 2 9 3 5 3" xfId="30798" xr:uid="{00000000-0005-0000-0000-000052780000}"/>
    <cellStyle name="Percent 2 9 3 6" xfId="30799" xr:uid="{00000000-0005-0000-0000-000053780000}"/>
    <cellStyle name="Percent 2 9 3 7" xfId="30800" xr:uid="{00000000-0005-0000-0000-000054780000}"/>
    <cellStyle name="Percent 2 9 3 8" xfId="30801" xr:uid="{00000000-0005-0000-0000-000055780000}"/>
    <cellStyle name="Percent 2 9 4" xfId="30802" xr:uid="{00000000-0005-0000-0000-000056780000}"/>
    <cellStyle name="Percent 2 9 4 2" xfId="30803" xr:uid="{00000000-0005-0000-0000-000057780000}"/>
    <cellStyle name="Percent 2 9 4 2 2" xfId="30804" xr:uid="{00000000-0005-0000-0000-000058780000}"/>
    <cellStyle name="Percent 2 9 4 2 2 2" xfId="30805" xr:uid="{00000000-0005-0000-0000-000059780000}"/>
    <cellStyle name="Percent 2 9 4 2 2 3" xfId="30806" xr:uid="{00000000-0005-0000-0000-00005A780000}"/>
    <cellStyle name="Percent 2 9 4 2 3" xfId="30807" xr:uid="{00000000-0005-0000-0000-00005B780000}"/>
    <cellStyle name="Percent 2 9 4 2 3 2" xfId="30808" xr:uid="{00000000-0005-0000-0000-00005C780000}"/>
    <cellStyle name="Percent 2 9 4 2 3 3" xfId="30809" xr:uid="{00000000-0005-0000-0000-00005D780000}"/>
    <cellStyle name="Percent 2 9 4 2 4" xfId="30810" xr:uid="{00000000-0005-0000-0000-00005E780000}"/>
    <cellStyle name="Percent 2 9 4 2 5" xfId="30811" xr:uid="{00000000-0005-0000-0000-00005F780000}"/>
    <cellStyle name="Percent 2 9 4 2 6" xfId="30812" xr:uid="{00000000-0005-0000-0000-000060780000}"/>
    <cellStyle name="Percent 2 9 4 3" xfId="30813" xr:uid="{00000000-0005-0000-0000-000061780000}"/>
    <cellStyle name="Percent 2 9 4 3 2" xfId="30814" xr:uid="{00000000-0005-0000-0000-000062780000}"/>
    <cellStyle name="Percent 2 9 4 3 3" xfId="30815" xr:uid="{00000000-0005-0000-0000-000063780000}"/>
    <cellStyle name="Percent 2 9 4 4" xfId="30816" xr:uid="{00000000-0005-0000-0000-000064780000}"/>
    <cellStyle name="Percent 2 9 4 4 2" xfId="30817" xr:uid="{00000000-0005-0000-0000-000065780000}"/>
    <cellStyle name="Percent 2 9 4 4 3" xfId="30818" xr:uid="{00000000-0005-0000-0000-000066780000}"/>
    <cellStyle name="Percent 2 9 4 5" xfId="30819" xr:uid="{00000000-0005-0000-0000-000067780000}"/>
    <cellStyle name="Percent 2 9 4 5 2" xfId="30820" xr:uid="{00000000-0005-0000-0000-000068780000}"/>
    <cellStyle name="Percent 2 9 4 5 3" xfId="30821" xr:uid="{00000000-0005-0000-0000-000069780000}"/>
    <cellStyle name="Percent 2 9 4 6" xfId="30822" xr:uid="{00000000-0005-0000-0000-00006A780000}"/>
    <cellStyle name="Percent 2 9 4 7" xfId="30823" xr:uid="{00000000-0005-0000-0000-00006B780000}"/>
    <cellStyle name="Percent 2 9 4 8" xfId="30824" xr:uid="{00000000-0005-0000-0000-00006C780000}"/>
    <cellStyle name="Percent 2 9 5" xfId="30825" xr:uid="{00000000-0005-0000-0000-00006D780000}"/>
    <cellStyle name="Percent 2 9 5 2" xfId="30826" xr:uid="{00000000-0005-0000-0000-00006E780000}"/>
    <cellStyle name="Percent 2 9 5 2 2" xfId="30827" xr:uid="{00000000-0005-0000-0000-00006F780000}"/>
    <cellStyle name="Percent 2 9 5 2 2 2" xfId="30828" xr:uid="{00000000-0005-0000-0000-000070780000}"/>
    <cellStyle name="Percent 2 9 5 2 2 3" xfId="30829" xr:uid="{00000000-0005-0000-0000-000071780000}"/>
    <cellStyle name="Percent 2 9 5 2 3" xfId="30830" xr:uid="{00000000-0005-0000-0000-000072780000}"/>
    <cellStyle name="Percent 2 9 5 2 3 2" xfId="30831" xr:uid="{00000000-0005-0000-0000-000073780000}"/>
    <cellStyle name="Percent 2 9 5 2 3 3" xfId="30832" xr:uid="{00000000-0005-0000-0000-000074780000}"/>
    <cellStyle name="Percent 2 9 5 2 4" xfId="30833" xr:uid="{00000000-0005-0000-0000-000075780000}"/>
    <cellStyle name="Percent 2 9 5 2 5" xfId="30834" xr:uid="{00000000-0005-0000-0000-000076780000}"/>
    <cellStyle name="Percent 2 9 5 2 6" xfId="30835" xr:uid="{00000000-0005-0000-0000-000077780000}"/>
    <cellStyle name="Percent 2 9 5 3" xfId="30836" xr:uid="{00000000-0005-0000-0000-000078780000}"/>
    <cellStyle name="Percent 2 9 5 3 2" xfId="30837" xr:uid="{00000000-0005-0000-0000-000079780000}"/>
    <cellStyle name="Percent 2 9 5 3 3" xfId="30838" xr:uid="{00000000-0005-0000-0000-00007A780000}"/>
    <cellStyle name="Percent 2 9 5 4" xfId="30839" xr:uid="{00000000-0005-0000-0000-00007B780000}"/>
    <cellStyle name="Percent 2 9 5 4 2" xfId="30840" xr:uid="{00000000-0005-0000-0000-00007C780000}"/>
    <cellStyle name="Percent 2 9 5 4 3" xfId="30841" xr:uid="{00000000-0005-0000-0000-00007D780000}"/>
    <cellStyle name="Percent 2 9 5 5" xfId="30842" xr:uid="{00000000-0005-0000-0000-00007E780000}"/>
    <cellStyle name="Percent 2 9 5 5 2" xfId="30843" xr:uid="{00000000-0005-0000-0000-00007F780000}"/>
    <cellStyle name="Percent 2 9 5 5 3" xfId="30844" xr:uid="{00000000-0005-0000-0000-000080780000}"/>
    <cellStyle name="Percent 2 9 5 6" xfId="30845" xr:uid="{00000000-0005-0000-0000-000081780000}"/>
    <cellStyle name="Percent 2 9 5 7" xfId="30846" xr:uid="{00000000-0005-0000-0000-000082780000}"/>
    <cellStyle name="Percent 2 9 5 8" xfId="30847" xr:uid="{00000000-0005-0000-0000-000083780000}"/>
    <cellStyle name="Percent 2 9 6" xfId="30848" xr:uid="{00000000-0005-0000-0000-000084780000}"/>
    <cellStyle name="Percent 2 9 6 2" xfId="30849" xr:uid="{00000000-0005-0000-0000-000085780000}"/>
    <cellStyle name="Percent 2 9 6 2 2" xfId="30850" xr:uid="{00000000-0005-0000-0000-000086780000}"/>
    <cellStyle name="Percent 2 9 6 2 3" xfId="30851" xr:uid="{00000000-0005-0000-0000-000087780000}"/>
    <cellStyle name="Percent 2 9 6 3" xfId="30852" xr:uid="{00000000-0005-0000-0000-000088780000}"/>
    <cellStyle name="Percent 2 9 6 3 2" xfId="30853" xr:uid="{00000000-0005-0000-0000-000089780000}"/>
    <cellStyle name="Percent 2 9 6 3 3" xfId="30854" xr:uid="{00000000-0005-0000-0000-00008A780000}"/>
    <cellStyle name="Percent 2 9 6 4" xfId="30855" xr:uid="{00000000-0005-0000-0000-00008B780000}"/>
    <cellStyle name="Percent 2 9 6 5" xfId="30856" xr:uid="{00000000-0005-0000-0000-00008C780000}"/>
    <cellStyle name="Percent 2 9 6 6" xfId="30857" xr:uid="{00000000-0005-0000-0000-00008D780000}"/>
    <cellStyle name="Percent 2 9 7" xfId="30858" xr:uid="{00000000-0005-0000-0000-00008E780000}"/>
    <cellStyle name="Percent 2 9 7 2" xfId="30859" xr:uid="{00000000-0005-0000-0000-00008F780000}"/>
    <cellStyle name="Percent 2 9 7 3" xfId="30860" xr:uid="{00000000-0005-0000-0000-000090780000}"/>
    <cellStyle name="Percent 2 9 8" xfId="30861" xr:uid="{00000000-0005-0000-0000-000091780000}"/>
    <cellStyle name="Percent 2 9 8 2" xfId="30862" xr:uid="{00000000-0005-0000-0000-000092780000}"/>
    <cellStyle name="Percent 2 9 8 3" xfId="30863" xr:uid="{00000000-0005-0000-0000-000093780000}"/>
    <cellStyle name="Percent 2 9 9" xfId="30864" xr:uid="{00000000-0005-0000-0000-000094780000}"/>
    <cellStyle name="Percent 2 9 9 2" xfId="30865" xr:uid="{00000000-0005-0000-0000-000095780000}"/>
    <cellStyle name="Percent 2 9 9 3" xfId="30866" xr:uid="{00000000-0005-0000-0000-000096780000}"/>
    <cellStyle name="Percent 2 90" xfId="30867" xr:uid="{00000000-0005-0000-0000-000097780000}"/>
    <cellStyle name="Percent 2 90 2" xfId="30868" xr:uid="{00000000-0005-0000-0000-000098780000}"/>
    <cellStyle name="Percent 2 90 2 2" xfId="30869" xr:uid="{00000000-0005-0000-0000-000099780000}"/>
    <cellStyle name="Percent 2 90 2 2 2" xfId="30870" xr:uid="{00000000-0005-0000-0000-00009A780000}"/>
    <cellStyle name="Percent 2 90 2 2 3" xfId="30871" xr:uid="{00000000-0005-0000-0000-00009B780000}"/>
    <cellStyle name="Percent 2 90 2 3" xfId="30872" xr:uid="{00000000-0005-0000-0000-00009C780000}"/>
    <cellStyle name="Percent 2 90 2 3 2" xfId="30873" xr:uid="{00000000-0005-0000-0000-00009D780000}"/>
    <cellStyle name="Percent 2 90 2 3 3" xfId="30874" xr:uid="{00000000-0005-0000-0000-00009E780000}"/>
    <cellStyle name="Percent 2 90 2 4" xfId="30875" xr:uid="{00000000-0005-0000-0000-00009F780000}"/>
    <cellStyle name="Percent 2 90 2 5" xfId="30876" xr:uid="{00000000-0005-0000-0000-0000A0780000}"/>
    <cellStyle name="Percent 2 90 2 6" xfId="30877" xr:uid="{00000000-0005-0000-0000-0000A1780000}"/>
    <cellStyle name="Percent 2 90 3" xfId="30878" xr:uid="{00000000-0005-0000-0000-0000A2780000}"/>
    <cellStyle name="Percent 2 90 3 2" xfId="30879" xr:uid="{00000000-0005-0000-0000-0000A3780000}"/>
    <cellStyle name="Percent 2 90 3 3" xfId="30880" xr:uid="{00000000-0005-0000-0000-0000A4780000}"/>
    <cellStyle name="Percent 2 90 4" xfId="30881" xr:uid="{00000000-0005-0000-0000-0000A5780000}"/>
    <cellStyle name="Percent 2 90 4 2" xfId="30882" xr:uid="{00000000-0005-0000-0000-0000A6780000}"/>
    <cellStyle name="Percent 2 90 4 3" xfId="30883" xr:uid="{00000000-0005-0000-0000-0000A7780000}"/>
    <cellStyle name="Percent 2 90 5" xfId="30884" xr:uid="{00000000-0005-0000-0000-0000A8780000}"/>
    <cellStyle name="Percent 2 90 6" xfId="30885" xr:uid="{00000000-0005-0000-0000-0000A9780000}"/>
    <cellStyle name="Percent 2 90 7" xfId="30886" xr:uid="{00000000-0005-0000-0000-0000AA780000}"/>
    <cellStyle name="Percent 2 91" xfId="30887" xr:uid="{00000000-0005-0000-0000-0000AB780000}"/>
    <cellStyle name="Percent 2 91 2" xfId="30888" xr:uid="{00000000-0005-0000-0000-0000AC780000}"/>
    <cellStyle name="Percent 2 91 2 2" xfId="30889" xr:uid="{00000000-0005-0000-0000-0000AD780000}"/>
    <cellStyle name="Percent 2 91 2 2 2" xfId="30890" xr:uid="{00000000-0005-0000-0000-0000AE780000}"/>
    <cellStyle name="Percent 2 91 2 2 3" xfId="30891" xr:uid="{00000000-0005-0000-0000-0000AF780000}"/>
    <cellStyle name="Percent 2 91 2 3" xfId="30892" xr:uid="{00000000-0005-0000-0000-0000B0780000}"/>
    <cellStyle name="Percent 2 91 2 3 2" xfId="30893" xr:uid="{00000000-0005-0000-0000-0000B1780000}"/>
    <cellStyle name="Percent 2 91 2 3 3" xfId="30894" xr:uid="{00000000-0005-0000-0000-0000B2780000}"/>
    <cellStyle name="Percent 2 91 2 4" xfId="30895" xr:uid="{00000000-0005-0000-0000-0000B3780000}"/>
    <cellStyle name="Percent 2 91 2 5" xfId="30896" xr:uid="{00000000-0005-0000-0000-0000B4780000}"/>
    <cellStyle name="Percent 2 91 2 6" xfId="30897" xr:uid="{00000000-0005-0000-0000-0000B5780000}"/>
    <cellStyle name="Percent 2 91 3" xfId="30898" xr:uid="{00000000-0005-0000-0000-0000B6780000}"/>
    <cellStyle name="Percent 2 91 3 2" xfId="30899" xr:uid="{00000000-0005-0000-0000-0000B7780000}"/>
    <cellStyle name="Percent 2 91 3 3" xfId="30900" xr:uid="{00000000-0005-0000-0000-0000B8780000}"/>
    <cellStyle name="Percent 2 91 4" xfId="30901" xr:uid="{00000000-0005-0000-0000-0000B9780000}"/>
    <cellStyle name="Percent 2 91 4 2" xfId="30902" xr:uid="{00000000-0005-0000-0000-0000BA780000}"/>
    <cellStyle name="Percent 2 91 4 3" xfId="30903" xr:uid="{00000000-0005-0000-0000-0000BB780000}"/>
    <cellStyle name="Percent 2 91 5" xfId="30904" xr:uid="{00000000-0005-0000-0000-0000BC780000}"/>
    <cellStyle name="Percent 2 91 6" xfId="30905" xr:uid="{00000000-0005-0000-0000-0000BD780000}"/>
    <cellStyle name="Percent 2 91 7" xfId="30906" xr:uid="{00000000-0005-0000-0000-0000BE780000}"/>
    <cellStyle name="Percent 2 92" xfId="30907" xr:uid="{00000000-0005-0000-0000-0000BF780000}"/>
    <cellStyle name="Percent 2 92 2" xfId="30908" xr:uid="{00000000-0005-0000-0000-0000C0780000}"/>
    <cellStyle name="Percent 2 92 2 2" xfId="30909" xr:uid="{00000000-0005-0000-0000-0000C1780000}"/>
    <cellStyle name="Percent 2 92 2 2 2" xfId="30910" xr:uid="{00000000-0005-0000-0000-0000C2780000}"/>
    <cellStyle name="Percent 2 92 2 2 3" xfId="30911" xr:uid="{00000000-0005-0000-0000-0000C3780000}"/>
    <cellStyle name="Percent 2 92 2 3" xfId="30912" xr:uid="{00000000-0005-0000-0000-0000C4780000}"/>
    <cellStyle name="Percent 2 92 2 3 2" xfId="30913" xr:uid="{00000000-0005-0000-0000-0000C5780000}"/>
    <cellStyle name="Percent 2 92 2 3 3" xfId="30914" xr:uid="{00000000-0005-0000-0000-0000C6780000}"/>
    <cellStyle name="Percent 2 92 2 4" xfId="30915" xr:uid="{00000000-0005-0000-0000-0000C7780000}"/>
    <cellStyle name="Percent 2 92 2 5" xfId="30916" xr:uid="{00000000-0005-0000-0000-0000C8780000}"/>
    <cellStyle name="Percent 2 92 2 6" xfId="30917" xr:uid="{00000000-0005-0000-0000-0000C9780000}"/>
    <cellStyle name="Percent 2 92 3" xfId="30918" xr:uid="{00000000-0005-0000-0000-0000CA780000}"/>
    <cellStyle name="Percent 2 92 3 2" xfId="30919" xr:uid="{00000000-0005-0000-0000-0000CB780000}"/>
    <cellStyle name="Percent 2 92 3 3" xfId="30920" xr:uid="{00000000-0005-0000-0000-0000CC780000}"/>
    <cellStyle name="Percent 2 92 4" xfId="30921" xr:uid="{00000000-0005-0000-0000-0000CD780000}"/>
    <cellStyle name="Percent 2 92 4 2" xfId="30922" xr:uid="{00000000-0005-0000-0000-0000CE780000}"/>
    <cellStyle name="Percent 2 92 4 3" xfId="30923" xr:uid="{00000000-0005-0000-0000-0000CF780000}"/>
    <cellStyle name="Percent 2 92 5" xfId="30924" xr:uid="{00000000-0005-0000-0000-0000D0780000}"/>
    <cellStyle name="Percent 2 92 6" xfId="30925" xr:uid="{00000000-0005-0000-0000-0000D1780000}"/>
    <cellStyle name="Percent 2 92 7" xfId="30926" xr:uid="{00000000-0005-0000-0000-0000D2780000}"/>
    <cellStyle name="Percent 2 93" xfId="30927" xr:uid="{00000000-0005-0000-0000-0000D3780000}"/>
    <cellStyle name="Percent 2 93 2" xfId="30928" xr:uid="{00000000-0005-0000-0000-0000D4780000}"/>
    <cellStyle name="Percent 2 93 2 2" xfId="30929" xr:uid="{00000000-0005-0000-0000-0000D5780000}"/>
    <cellStyle name="Percent 2 93 2 2 2" xfId="30930" xr:uid="{00000000-0005-0000-0000-0000D6780000}"/>
    <cellStyle name="Percent 2 93 2 2 3" xfId="30931" xr:uid="{00000000-0005-0000-0000-0000D7780000}"/>
    <cellStyle name="Percent 2 93 2 3" xfId="30932" xr:uid="{00000000-0005-0000-0000-0000D8780000}"/>
    <cellStyle name="Percent 2 93 2 3 2" xfId="30933" xr:uid="{00000000-0005-0000-0000-0000D9780000}"/>
    <cellStyle name="Percent 2 93 2 3 3" xfId="30934" xr:uid="{00000000-0005-0000-0000-0000DA780000}"/>
    <cellStyle name="Percent 2 93 2 4" xfId="30935" xr:uid="{00000000-0005-0000-0000-0000DB780000}"/>
    <cellStyle name="Percent 2 93 2 5" xfId="30936" xr:uid="{00000000-0005-0000-0000-0000DC780000}"/>
    <cellStyle name="Percent 2 93 2 6" xfId="30937" xr:uid="{00000000-0005-0000-0000-0000DD780000}"/>
    <cellStyle name="Percent 2 93 3" xfId="30938" xr:uid="{00000000-0005-0000-0000-0000DE780000}"/>
    <cellStyle name="Percent 2 93 3 2" xfId="30939" xr:uid="{00000000-0005-0000-0000-0000DF780000}"/>
    <cellStyle name="Percent 2 93 3 3" xfId="30940" xr:uid="{00000000-0005-0000-0000-0000E0780000}"/>
    <cellStyle name="Percent 2 93 4" xfId="30941" xr:uid="{00000000-0005-0000-0000-0000E1780000}"/>
    <cellStyle name="Percent 2 93 4 2" xfId="30942" xr:uid="{00000000-0005-0000-0000-0000E2780000}"/>
    <cellStyle name="Percent 2 93 4 3" xfId="30943" xr:uid="{00000000-0005-0000-0000-0000E3780000}"/>
    <cellStyle name="Percent 2 93 5" xfId="30944" xr:uid="{00000000-0005-0000-0000-0000E4780000}"/>
    <cellStyle name="Percent 2 93 6" xfId="30945" xr:uid="{00000000-0005-0000-0000-0000E5780000}"/>
    <cellStyle name="Percent 2 93 7" xfId="30946" xr:uid="{00000000-0005-0000-0000-0000E6780000}"/>
    <cellStyle name="Percent 2 94" xfId="30947" xr:uid="{00000000-0005-0000-0000-0000E7780000}"/>
    <cellStyle name="Percent 2 94 2" xfId="30948" xr:uid="{00000000-0005-0000-0000-0000E8780000}"/>
    <cellStyle name="Percent 2 94 2 2" xfId="30949" xr:uid="{00000000-0005-0000-0000-0000E9780000}"/>
    <cellStyle name="Percent 2 94 2 2 2" xfId="30950" xr:uid="{00000000-0005-0000-0000-0000EA780000}"/>
    <cellStyle name="Percent 2 94 2 2 3" xfId="30951" xr:uid="{00000000-0005-0000-0000-0000EB780000}"/>
    <cellStyle name="Percent 2 94 2 3" xfId="30952" xr:uid="{00000000-0005-0000-0000-0000EC780000}"/>
    <cellStyle name="Percent 2 94 2 3 2" xfId="30953" xr:uid="{00000000-0005-0000-0000-0000ED780000}"/>
    <cellStyle name="Percent 2 94 2 3 3" xfId="30954" xr:uid="{00000000-0005-0000-0000-0000EE780000}"/>
    <cellStyle name="Percent 2 94 2 4" xfId="30955" xr:uid="{00000000-0005-0000-0000-0000EF780000}"/>
    <cellStyle name="Percent 2 94 2 5" xfId="30956" xr:uid="{00000000-0005-0000-0000-0000F0780000}"/>
    <cellStyle name="Percent 2 94 2 6" xfId="30957" xr:uid="{00000000-0005-0000-0000-0000F1780000}"/>
    <cellStyle name="Percent 2 94 3" xfId="30958" xr:uid="{00000000-0005-0000-0000-0000F2780000}"/>
    <cellStyle name="Percent 2 94 3 2" xfId="30959" xr:uid="{00000000-0005-0000-0000-0000F3780000}"/>
    <cellStyle name="Percent 2 94 3 3" xfId="30960" xr:uid="{00000000-0005-0000-0000-0000F4780000}"/>
    <cellStyle name="Percent 2 94 4" xfId="30961" xr:uid="{00000000-0005-0000-0000-0000F5780000}"/>
    <cellStyle name="Percent 2 94 4 2" xfId="30962" xr:uid="{00000000-0005-0000-0000-0000F6780000}"/>
    <cellStyle name="Percent 2 94 4 3" xfId="30963" xr:uid="{00000000-0005-0000-0000-0000F7780000}"/>
    <cellStyle name="Percent 2 94 5" xfId="30964" xr:uid="{00000000-0005-0000-0000-0000F8780000}"/>
    <cellStyle name="Percent 2 94 6" xfId="30965" xr:uid="{00000000-0005-0000-0000-0000F9780000}"/>
    <cellStyle name="Percent 2 94 7" xfId="30966" xr:uid="{00000000-0005-0000-0000-0000FA780000}"/>
    <cellStyle name="Percent 2 95" xfId="30967" xr:uid="{00000000-0005-0000-0000-0000FB780000}"/>
    <cellStyle name="Percent 2 95 2" xfId="30968" xr:uid="{00000000-0005-0000-0000-0000FC780000}"/>
    <cellStyle name="Percent 2 95 2 2" xfId="30969" xr:uid="{00000000-0005-0000-0000-0000FD780000}"/>
    <cellStyle name="Percent 2 95 2 2 2" xfId="30970" xr:uid="{00000000-0005-0000-0000-0000FE780000}"/>
    <cellStyle name="Percent 2 95 2 2 3" xfId="30971" xr:uid="{00000000-0005-0000-0000-0000FF780000}"/>
    <cellStyle name="Percent 2 95 2 3" xfId="30972" xr:uid="{00000000-0005-0000-0000-000000790000}"/>
    <cellStyle name="Percent 2 95 2 3 2" xfId="30973" xr:uid="{00000000-0005-0000-0000-000001790000}"/>
    <cellStyle name="Percent 2 95 2 3 3" xfId="30974" xr:uid="{00000000-0005-0000-0000-000002790000}"/>
    <cellStyle name="Percent 2 95 2 4" xfId="30975" xr:uid="{00000000-0005-0000-0000-000003790000}"/>
    <cellStyle name="Percent 2 95 2 5" xfId="30976" xr:uid="{00000000-0005-0000-0000-000004790000}"/>
    <cellStyle name="Percent 2 95 2 6" xfId="30977" xr:uid="{00000000-0005-0000-0000-000005790000}"/>
    <cellStyle name="Percent 2 95 3" xfId="30978" xr:uid="{00000000-0005-0000-0000-000006790000}"/>
    <cellStyle name="Percent 2 95 3 2" xfId="30979" xr:uid="{00000000-0005-0000-0000-000007790000}"/>
    <cellStyle name="Percent 2 95 3 3" xfId="30980" xr:uid="{00000000-0005-0000-0000-000008790000}"/>
    <cellStyle name="Percent 2 95 4" xfId="30981" xr:uid="{00000000-0005-0000-0000-000009790000}"/>
    <cellStyle name="Percent 2 95 4 2" xfId="30982" xr:uid="{00000000-0005-0000-0000-00000A790000}"/>
    <cellStyle name="Percent 2 95 4 3" xfId="30983" xr:uid="{00000000-0005-0000-0000-00000B790000}"/>
    <cellStyle name="Percent 2 95 5" xfId="30984" xr:uid="{00000000-0005-0000-0000-00000C790000}"/>
    <cellStyle name="Percent 2 95 6" xfId="30985" xr:uid="{00000000-0005-0000-0000-00000D790000}"/>
    <cellStyle name="Percent 2 95 7" xfId="30986" xr:uid="{00000000-0005-0000-0000-00000E790000}"/>
    <cellStyle name="Percent 2 96" xfId="30987" xr:uid="{00000000-0005-0000-0000-00000F790000}"/>
    <cellStyle name="Percent 2 96 2" xfId="30988" xr:uid="{00000000-0005-0000-0000-000010790000}"/>
    <cellStyle name="Percent 2 96 2 2" xfId="30989" xr:uid="{00000000-0005-0000-0000-000011790000}"/>
    <cellStyle name="Percent 2 96 2 2 2" xfId="30990" xr:uid="{00000000-0005-0000-0000-000012790000}"/>
    <cellStyle name="Percent 2 96 2 2 3" xfId="30991" xr:uid="{00000000-0005-0000-0000-000013790000}"/>
    <cellStyle name="Percent 2 96 2 3" xfId="30992" xr:uid="{00000000-0005-0000-0000-000014790000}"/>
    <cellStyle name="Percent 2 96 2 3 2" xfId="30993" xr:uid="{00000000-0005-0000-0000-000015790000}"/>
    <cellStyle name="Percent 2 96 2 3 3" xfId="30994" xr:uid="{00000000-0005-0000-0000-000016790000}"/>
    <cellStyle name="Percent 2 96 2 4" xfId="30995" xr:uid="{00000000-0005-0000-0000-000017790000}"/>
    <cellStyle name="Percent 2 96 2 5" xfId="30996" xr:uid="{00000000-0005-0000-0000-000018790000}"/>
    <cellStyle name="Percent 2 96 2 6" xfId="30997" xr:uid="{00000000-0005-0000-0000-000019790000}"/>
    <cellStyle name="Percent 2 96 3" xfId="30998" xr:uid="{00000000-0005-0000-0000-00001A790000}"/>
    <cellStyle name="Percent 2 96 3 2" xfId="30999" xr:uid="{00000000-0005-0000-0000-00001B790000}"/>
    <cellStyle name="Percent 2 96 3 3" xfId="31000" xr:uid="{00000000-0005-0000-0000-00001C790000}"/>
    <cellStyle name="Percent 2 96 4" xfId="31001" xr:uid="{00000000-0005-0000-0000-00001D790000}"/>
    <cellStyle name="Percent 2 96 4 2" xfId="31002" xr:uid="{00000000-0005-0000-0000-00001E790000}"/>
    <cellStyle name="Percent 2 96 4 3" xfId="31003" xr:uid="{00000000-0005-0000-0000-00001F790000}"/>
    <cellStyle name="Percent 2 96 5" xfId="31004" xr:uid="{00000000-0005-0000-0000-000020790000}"/>
    <cellStyle name="Percent 2 96 6" xfId="31005" xr:uid="{00000000-0005-0000-0000-000021790000}"/>
    <cellStyle name="Percent 2 96 7" xfId="31006" xr:uid="{00000000-0005-0000-0000-000022790000}"/>
    <cellStyle name="Percent 2 97" xfId="31007" xr:uid="{00000000-0005-0000-0000-000023790000}"/>
    <cellStyle name="Percent 2 97 2" xfId="31008" xr:uid="{00000000-0005-0000-0000-000024790000}"/>
    <cellStyle name="Percent 2 97 2 2" xfId="31009" xr:uid="{00000000-0005-0000-0000-000025790000}"/>
    <cellStyle name="Percent 2 97 2 2 2" xfId="31010" xr:uid="{00000000-0005-0000-0000-000026790000}"/>
    <cellStyle name="Percent 2 97 2 2 3" xfId="31011" xr:uid="{00000000-0005-0000-0000-000027790000}"/>
    <cellStyle name="Percent 2 97 2 3" xfId="31012" xr:uid="{00000000-0005-0000-0000-000028790000}"/>
    <cellStyle name="Percent 2 97 2 3 2" xfId="31013" xr:uid="{00000000-0005-0000-0000-000029790000}"/>
    <cellStyle name="Percent 2 97 2 3 3" xfId="31014" xr:uid="{00000000-0005-0000-0000-00002A790000}"/>
    <cellStyle name="Percent 2 97 2 4" xfId="31015" xr:uid="{00000000-0005-0000-0000-00002B790000}"/>
    <cellStyle name="Percent 2 97 2 5" xfId="31016" xr:uid="{00000000-0005-0000-0000-00002C790000}"/>
    <cellStyle name="Percent 2 97 2 6" xfId="31017" xr:uid="{00000000-0005-0000-0000-00002D790000}"/>
    <cellStyle name="Percent 2 97 3" xfId="31018" xr:uid="{00000000-0005-0000-0000-00002E790000}"/>
    <cellStyle name="Percent 2 97 3 2" xfId="31019" xr:uid="{00000000-0005-0000-0000-00002F790000}"/>
    <cellStyle name="Percent 2 97 3 3" xfId="31020" xr:uid="{00000000-0005-0000-0000-000030790000}"/>
    <cellStyle name="Percent 2 97 4" xfId="31021" xr:uid="{00000000-0005-0000-0000-000031790000}"/>
    <cellStyle name="Percent 2 97 4 2" xfId="31022" xr:uid="{00000000-0005-0000-0000-000032790000}"/>
    <cellStyle name="Percent 2 97 4 3" xfId="31023" xr:uid="{00000000-0005-0000-0000-000033790000}"/>
    <cellStyle name="Percent 2 97 5" xfId="31024" xr:uid="{00000000-0005-0000-0000-000034790000}"/>
    <cellStyle name="Percent 2 97 6" xfId="31025" xr:uid="{00000000-0005-0000-0000-000035790000}"/>
    <cellStyle name="Percent 2 97 7" xfId="31026" xr:uid="{00000000-0005-0000-0000-000036790000}"/>
    <cellStyle name="Percent 2 98" xfId="31027" xr:uid="{00000000-0005-0000-0000-000037790000}"/>
    <cellStyle name="Percent 2 98 2" xfId="31028" xr:uid="{00000000-0005-0000-0000-000038790000}"/>
    <cellStyle name="Percent 2 98 2 2" xfId="31029" xr:uid="{00000000-0005-0000-0000-000039790000}"/>
    <cellStyle name="Percent 2 98 2 3" xfId="31030" xr:uid="{00000000-0005-0000-0000-00003A790000}"/>
    <cellStyle name="Percent 2 98 3" xfId="31031" xr:uid="{00000000-0005-0000-0000-00003B790000}"/>
    <cellStyle name="Percent 2 98 3 2" xfId="31032" xr:uid="{00000000-0005-0000-0000-00003C790000}"/>
    <cellStyle name="Percent 2 98 3 3" xfId="31033" xr:uid="{00000000-0005-0000-0000-00003D790000}"/>
    <cellStyle name="Percent 2 98 4" xfId="31034" xr:uid="{00000000-0005-0000-0000-00003E790000}"/>
    <cellStyle name="Percent 2 98 5" xfId="31035" xr:uid="{00000000-0005-0000-0000-00003F790000}"/>
    <cellStyle name="Percent 2 98 6" xfId="31036" xr:uid="{00000000-0005-0000-0000-000040790000}"/>
    <cellStyle name="Percent 2 99" xfId="31037" xr:uid="{00000000-0005-0000-0000-000041790000}"/>
    <cellStyle name="Percent 2 99 2" xfId="31038" xr:uid="{00000000-0005-0000-0000-000042790000}"/>
    <cellStyle name="Percent 2 99 3" xfId="31039" xr:uid="{00000000-0005-0000-0000-000043790000}"/>
    <cellStyle name="Percent 2 99 4" xfId="31040" xr:uid="{00000000-0005-0000-0000-000044790000}"/>
    <cellStyle name="Percent 20" xfId="31041" xr:uid="{00000000-0005-0000-0000-000045790000}"/>
    <cellStyle name="Percent 21" xfId="31042" xr:uid="{00000000-0005-0000-0000-000046790000}"/>
    <cellStyle name="Percent 22" xfId="31043" xr:uid="{00000000-0005-0000-0000-000047790000}"/>
    <cellStyle name="Percent 23" xfId="31044" xr:uid="{00000000-0005-0000-0000-000048790000}"/>
    <cellStyle name="Percent 24" xfId="31045" xr:uid="{00000000-0005-0000-0000-000049790000}"/>
    <cellStyle name="Percent 25" xfId="31046" xr:uid="{00000000-0005-0000-0000-00004A790000}"/>
    <cellStyle name="Percent 25 2" xfId="31047" xr:uid="{00000000-0005-0000-0000-00004B790000}"/>
    <cellStyle name="Percent 26" xfId="31048" xr:uid="{00000000-0005-0000-0000-00004C790000}"/>
    <cellStyle name="Percent 27" xfId="31049" xr:uid="{00000000-0005-0000-0000-00004D790000}"/>
    <cellStyle name="Percent 27 2" xfId="31050" xr:uid="{00000000-0005-0000-0000-00004E790000}"/>
    <cellStyle name="Percent 28" xfId="31051" xr:uid="{00000000-0005-0000-0000-00004F790000}"/>
    <cellStyle name="Percent 28 2" xfId="31052" xr:uid="{00000000-0005-0000-0000-000050790000}"/>
    <cellStyle name="Percent 3" xfId="31053" xr:uid="{00000000-0005-0000-0000-000051790000}"/>
    <cellStyle name="Percent 3 10" xfId="31054" xr:uid="{00000000-0005-0000-0000-000052790000}"/>
    <cellStyle name="Percent 3 2" xfId="31055" xr:uid="{00000000-0005-0000-0000-000053790000}"/>
    <cellStyle name="Percent 3 2 2" xfId="31056" xr:uid="{00000000-0005-0000-0000-000054790000}"/>
    <cellStyle name="Percent 3 2 2 2" xfId="31057" xr:uid="{00000000-0005-0000-0000-000055790000}"/>
    <cellStyle name="Percent 3 2 2 2 2" xfId="31058" xr:uid="{00000000-0005-0000-0000-000056790000}"/>
    <cellStyle name="Percent 3 2 2 2 3" xfId="31059" xr:uid="{00000000-0005-0000-0000-000057790000}"/>
    <cellStyle name="Percent 3 2 2 3" xfId="31060" xr:uid="{00000000-0005-0000-0000-000058790000}"/>
    <cellStyle name="Percent 3 2 2 3 2" xfId="31061" xr:uid="{00000000-0005-0000-0000-000059790000}"/>
    <cellStyle name="Percent 3 2 2 3 3" xfId="31062" xr:uid="{00000000-0005-0000-0000-00005A790000}"/>
    <cellStyle name="Percent 3 2 2 4" xfId="31063" xr:uid="{00000000-0005-0000-0000-00005B790000}"/>
    <cellStyle name="Percent 3 2 2 5" xfId="31064" xr:uid="{00000000-0005-0000-0000-00005C790000}"/>
    <cellStyle name="Percent 3 2 2 6" xfId="31065" xr:uid="{00000000-0005-0000-0000-00005D790000}"/>
    <cellStyle name="Percent 3 2 3" xfId="31066" xr:uid="{00000000-0005-0000-0000-00005E790000}"/>
    <cellStyle name="Percent 3 2 3 2" xfId="31067" xr:uid="{00000000-0005-0000-0000-00005F790000}"/>
    <cellStyle name="Percent 3 2 3 3" xfId="31068" xr:uid="{00000000-0005-0000-0000-000060790000}"/>
    <cellStyle name="Percent 3 2 4" xfId="31069" xr:uid="{00000000-0005-0000-0000-000061790000}"/>
    <cellStyle name="Percent 3 2 4 2" xfId="31070" xr:uid="{00000000-0005-0000-0000-000062790000}"/>
    <cellStyle name="Percent 3 2 4 3" xfId="31071" xr:uid="{00000000-0005-0000-0000-000063790000}"/>
    <cellStyle name="Percent 3 2 5" xfId="31072" xr:uid="{00000000-0005-0000-0000-000064790000}"/>
    <cellStyle name="Percent 3 2 6" xfId="31073" xr:uid="{00000000-0005-0000-0000-000065790000}"/>
    <cellStyle name="Percent 3 2 7" xfId="31074" xr:uid="{00000000-0005-0000-0000-000066790000}"/>
    <cellStyle name="Percent 3 3" xfId="31075" xr:uid="{00000000-0005-0000-0000-000067790000}"/>
    <cellStyle name="Percent 3 3 2" xfId="31076" xr:uid="{00000000-0005-0000-0000-000068790000}"/>
    <cellStyle name="Percent 3 3 2 2" xfId="31077" xr:uid="{00000000-0005-0000-0000-000069790000}"/>
    <cellStyle name="Percent 3 3 2 2 2" xfId="31078" xr:uid="{00000000-0005-0000-0000-00006A790000}"/>
    <cellStyle name="Percent 3 3 2 2 3" xfId="31079" xr:uid="{00000000-0005-0000-0000-00006B790000}"/>
    <cellStyle name="Percent 3 3 2 3" xfId="31080" xr:uid="{00000000-0005-0000-0000-00006C790000}"/>
    <cellStyle name="Percent 3 3 2 3 2" xfId="31081" xr:uid="{00000000-0005-0000-0000-00006D790000}"/>
    <cellStyle name="Percent 3 3 2 3 3" xfId="31082" xr:uid="{00000000-0005-0000-0000-00006E790000}"/>
    <cellStyle name="Percent 3 3 2 4" xfId="31083" xr:uid="{00000000-0005-0000-0000-00006F790000}"/>
    <cellStyle name="Percent 3 3 2 5" xfId="31084" xr:uid="{00000000-0005-0000-0000-000070790000}"/>
    <cellStyle name="Percent 3 3 2 6" xfId="31085" xr:uid="{00000000-0005-0000-0000-000071790000}"/>
    <cellStyle name="Percent 3 3 3" xfId="31086" xr:uid="{00000000-0005-0000-0000-000072790000}"/>
    <cellStyle name="Percent 3 3 3 2" xfId="31087" xr:uid="{00000000-0005-0000-0000-000073790000}"/>
    <cellStyle name="Percent 3 3 3 3" xfId="31088" xr:uid="{00000000-0005-0000-0000-000074790000}"/>
    <cellStyle name="Percent 3 3 4" xfId="31089" xr:uid="{00000000-0005-0000-0000-000075790000}"/>
    <cellStyle name="Percent 3 3 4 2" xfId="31090" xr:uid="{00000000-0005-0000-0000-000076790000}"/>
    <cellStyle name="Percent 3 3 4 3" xfId="31091" xr:uid="{00000000-0005-0000-0000-000077790000}"/>
    <cellStyle name="Percent 3 3 5" xfId="31092" xr:uid="{00000000-0005-0000-0000-000078790000}"/>
    <cellStyle name="Percent 3 3 6" xfId="31093" xr:uid="{00000000-0005-0000-0000-000079790000}"/>
    <cellStyle name="Percent 3 3 7" xfId="31094" xr:uid="{00000000-0005-0000-0000-00007A790000}"/>
    <cellStyle name="Percent 3 4" xfId="31095" xr:uid="{00000000-0005-0000-0000-00007B790000}"/>
    <cellStyle name="Percent 3 4 2" xfId="31096" xr:uid="{00000000-0005-0000-0000-00007C790000}"/>
    <cellStyle name="Percent 3 4 2 2" xfId="31097" xr:uid="{00000000-0005-0000-0000-00007D790000}"/>
    <cellStyle name="Percent 3 4 2 3" xfId="31098" xr:uid="{00000000-0005-0000-0000-00007E790000}"/>
    <cellStyle name="Percent 3 4 3" xfId="31099" xr:uid="{00000000-0005-0000-0000-00007F790000}"/>
    <cellStyle name="Percent 3 4 3 2" xfId="31100" xr:uid="{00000000-0005-0000-0000-000080790000}"/>
    <cellStyle name="Percent 3 4 3 3" xfId="31101" xr:uid="{00000000-0005-0000-0000-000081790000}"/>
    <cellStyle name="Percent 3 4 4" xfId="31102" xr:uid="{00000000-0005-0000-0000-000082790000}"/>
    <cellStyle name="Percent 3 4 5" xfId="31103" xr:uid="{00000000-0005-0000-0000-000083790000}"/>
    <cellStyle name="Percent 3 4 6" xfId="31104" xr:uid="{00000000-0005-0000-0000-000084790000}"/>
    <cellStyle name="Percent 3 5" xfId="31105" xr:uid="{00000000-0005-0000-0000-000085790000}"/>
    <cellStyle name="Percent 3 5 2" xfId="31106" xr:uid="{00000000-0005-0000-0000-000086790000}"/>
    <cellStyle name="Percent 3 5 3" xfId="31107" xr:uid="{00000000-0005-0000-0000-000087790000}"/>
    <cellStyle name="Percent 3 6" xfId="31108" xr:uid="{00000000-0005-0000-0000-000088790000}"/>
    <cellStyle name="Percent 3 6 2" xfId="31109" xr:uid="{00000000-0005-0000-0000-000089790000}"/>
    <cellStyle name="Percent 3 6 3" xfId="31110" xr:uid="{00000000-0005-0000-0000-00008A790000}"/>
    <cellStyle name="Percent 3 7" xfId="31111" xr:uid="{00000000-0005-0000-0000-00008B790000}"/>
    <cellStyle name="Percent 3 7 2" xfId="31112" xr:uid="{00000000-0005-0000-0000-00008C790000}"/>
    <cellStyle name="Percent 3 7 3" xfId="31113" xr:uid="{00000000-0005-0000-0000-00008D790000}"/>
    <cellStyle name="Percent 3 8" xfId="31114" xr:uid="{00000000-0005-0000-0000-00008E790000}"/>
    <cellStyle name="Percent 3 9" xfId="31115" xr:uid="{00000000-0005-0000-0000-00008F790000}"/>
    <cellStyle name="Percent 38 2" xfId="54707" xr:uid="{00000000-0005-0000-0000-000090790000}"/>
    <cellStyle name="Percent 39" xfId="54712" xr:uid="{5331533A-3296-426D-BF76-4466215C659A}"/>
    <cellStyle name="Percent 4" xfId="31116" xr:uid="{00000000-0005-0000-0000-000091790000}"/>
    <cellStyle name="Percent 4 10" xfId="31117" xr:uid="{00000000-0005-0000-0000-000092790000}"/>
    <cellStyle name="Percent 4 10 2" xfId="31118" xr:uid="{00000000-0005-0000-0000-000093790000}"/>
    <cellStyle name="Percent 4 10 2 2" xfId="31119" xr:uid="{00000000-0005-0000-0000-000094790000}"/>
    <cellStyle name="Percent 4 10 2 2 2" xfId="31120" xr:uid="{00000000-0005-0000-0000-000095790000}"/>
    <cellStyle name="Percent 4 10 2 2 3" xfId="31121" xr:uid="{00000000-0005-0000-0000-000096790000}"/>
    <cellStyle name="Percent 4 10 2 3" xfId="31122" xr:uid="{00000000-0005-0000-0000-000097790000}"/>
    <cellStyle name="Percent 4 10 2 3 2" xfId="31123" xr:uid="{00000000-0005-0000-0000-000098790000}"/>
    <cellStyle name="Percent 4 10 2 3 3" xfId="31124" xr:uid="{00000000-0005-0000-0000-000099790000}"/>
    <cellStyle name="Percent 4 10 2 4" xfId="31125" xr:uid="{00000000-0005-0000-0000-00009A790000}"/>
    <cellStyle name="Percent 4 10 2 5" xfId="31126" xr:uid="{00000000-0005-0000-0000-00009B790000}"/>
    <cellStyle name="Percent 4 10 2 6" xfId="31127" xr:uid="{00000000-0005-0000-0000-00009C790000}"/>
    <cellStyle name="Percent 4 10 3" xfId="31128" xr:uid="{00000000-0005-0000-0000-00009D790000}"/>
    <cellStyle name="Percent 4 10 3 2" xfId="31129" xr:uid="{00000000-0005-0000-0000-00009E790000}"/>
    <cellStyle name="Percent 4 10 3 3" xfId="31130" xr:uid="{00000000-0005-0000-0000-00009F790000}"/>
    <cellStyle name="Percent 4 10 4" xfId="31131" xr:uid="{00000000-0005-0000-0000-0000A0790000}"/>
    <cellStyle name="Percent 4 10 4 2" xfId="31132" xr:uid="{00000000-0005-0000-0000-0000A1790000}"/>
    <cellStyle name="Percent 4 10 4 3" xfId="31133" xr:uid="{00000000-0005-0000-0000-0000A2790000}"/>
    <cellStyle name="Percent 4 10 5" xfId="31134" xr:uid="{00000000-0005-0000-0000-0000A3790000}"/>
    <cellStyle name="Percent 4 10 6" xfId="31135" xr:uid="{00000000-0005-0000-0000-0000A4790000}"/>
    <cellStyle name="Percent 4 10 7" xfId="31136" xr:uid="{00000000-0005-0000-0000-0000A5790000}"/>
    <cellStyle name="Percent 4 11" xfId="31137" xr:uid="{00000000-0005-0000-0000-0000A6790000}"/>
    <cellStyle name="Percent 4 11 2" xfId="31138" xr:uid="{00000000-0005-0000-0000-0000A7790000}"/>
    <cellStyle name="Percent 4 11 2 2" xfId="31139" xr:uid="{00000000-0005-0000-0000-0000A8790000}"/>
    <cellStyle name="Percent 4 11 2 2 2" xfId="31140" xr:uid="{00000000-0005-0000-0000-0000A9790000}"/>
    <cellStyle name="Percent 4 11 2 2 3" xfId="31141" xr:uid="{00000000-0005-0000-0000-0000AA790000}"/>
    <cellStyle name="Percent 4 11 2 3" xfId="31142" xr:uid="{00000000-0005-0000-0000-0000AB790000}"/>
    <cellStyle name="Percent 4 11 2 3 2" xfId="31143" xr:uid="{00000000-0005-0000-0000-0000AC790000}"/>
    <cellStyle name="Percent 4 11 2 3 3" xfId="31144" xr:uid="{00000000-0005-0000-0000-0000AD790000}"/>
    <cellStyle name="Percent 4 11 2 4" xfId="31145" xr:uid="{00000000-0005-0000-0000-0000AE790000}"/>
    <cellStyle name="Percent 4 11 2 5" xfId="31146" xr:uid="{00000000-0005-0000-0000-0000AF790000}"/>
    <cellStyle name="Percent 4 11 2 6" xfId="31147" xr:uid="{00000000-0005-0000-0000-0000B0790000}"/>
    <cellStyle name="Percent 4 11 3" xfId="31148" xr:uid="{00000000-0005-0000-0000-0000B1790000}"/>
    <cellStyle name="Percent 4 11 3 2" xfId="31149" xr:uid="{00000000-0005-0000-0000-0000B2790000}"/>
    <cellStyle name="Percent 4 11 3 3" xfId="31150" xr:uid="{00000000-0005-0000-0000-0000B3790000}"/>
    <cellStyle name="Percent 4 11 4" xfId="31151" xr:uid="{00000000-0005-0000-0000-0000B4790000}"/>
    <cellStyle name="Percent 4 11 4 2" xfId="31152" xr:uid="{00000000-0005-0000-0000-0000B5790000}"/>
    <cellStyle name="Percent 4 11 4 3" xfId="31153" xr:uid="{00000000-0005-0000-0000-0000B6790000}"/>
    <cellStyle name="Percent 4 11 5" xfId="31154" xr:uid="{00000000-0005-0000-0000-0000B7790000}"/>
    <cellStyle name="Percent 4 11 6" xfId="31155" xr:uid="{00000000-0005-0000-0000-0000B8790000}"/>
    <cellStyle name="Percent 4 11 7" xfId="31156" xr:uid="{00000000-0005-0000-0000-0000B9790000}"/>
    <cellStyle name="Percent 4 12" xfId="31157" xr:uid="{00000000-0005-0000-0000-0000BA790000}"/>
    <cellStyle name="Percent 4 12 2" xfId="31158" xr:uid="{00000000-0005-0000-0000-0000BB790000}"/>
    <cellStyle name="Percent 4 12 2 2" xfId="31159" xr:uid="{00000000-0005-0000-0000-0000BC790000}"/>
    <cellStyle name="Percent 4 12 2 2 2" xfId="31160" xr:uid="{00000000-0005-0000-0000-0000BD790000}"/>
    <cellStyle name="Percent 4 12 2 2 3" xfId="31161" xr:uid="{00000000-0005-0000-0000-0000BE790000}"/>
    <cellStyle name="Percent 4 12 2 3" xfId="31162" xr:uid="{00000000-0005-0000-0000-0000BF790000}"/>
    <cellStyle name="Percent 4 12 2 3 2" xfId="31163" xr:uid="{00000000-0005-0000-0000-0000C0790000}"/>
    <cellStyle name="Percent 4 12 2 3 3" xfId="31164" xr:uid="{00000000-0005-0000-0000-0000C1790000}"/>
    <cellStyle name="Percent 4 12 2 4" xfId="31165" xr:uid="{00000000-0005-0000-0000-0000C2790000}"/>
    <cellStyle name="Percent 4 12 2 5" xfId="31166" xr:uid="{00000000-0005-0000-0000-0000C3790000}"/>
    <cellStyle name="Percent 4 12 2 6" xfId="31167" xr:uid="{00000000-0005-0000-0000-0000C4790000}"/>
    <cellStyle name="Percent 4 12 3" xfId="31168" xr:uid="{00000000-0005-0000-0000-0000C5790000}"/>
    <cellStyle name="Percent 4 12 3 2" xfId="31169" xr:uid="{00000000-0005-0000-0000-0000C6790000}"/>
    <cellStyle name="Percent 4 12 3 3" xfId="31170" xr:uid="{00000000-0005-0000-0000-0000C7790000}"/>
    <cellStyle name="Percent 4 12 4" xfId="31171" xr:uid="{00000000-0005-0000-0000-0000C8790000}"/>
    <cellStyle name="Percent 4 12 4 2" xfId="31172" xr:uid="{00000000-0005-0000-0000-0000C9790000}"/>
    <cellStyle name="Percent 4 12 4 3" xfId="31173" xr:uid="{00000000-0005-0000-0000-0000CA790000}"/>
    <cellStyle name="Percent 4 12 5" xfId="31174" xr:uid="{00000000-0005-0000-0000-0000CB790000}"/>
    <cellStyle name="Percent 4 12 6" xfId="31175" xr:uid="{00000000-0005-0000-0000-0000CC790000}"/>
    <cellStyle name="Percent 4 12 7" xfId="31176" xr:uid="{00000000-0005-0000-0000-0000CD790000}"/>
    <cellStyle name="Percent 4 13" xfId="31177" xr:uid="{00000000-0005-0000-0000-0000CE790000}"/>
    <cellStyle name="Percent 4 13 2" xfId="31178" xr:uid="{00000000-0005-0000-0000-0000CF790000}"/>
    <cellStyle name="Percent 4 13 2 2" xfId="31179" xr:uid="{00000000-0005-0000-0000-0000D0790000}"/>
    <cellStyle name="Percent 4 13 2 3" xfId="31180" xr:uid="{00000000-0005-0000-0000-0000D1790000}"/>
    <cellStyle name="Percent 4 13 3" xfId="31181" xr:uid="{00000000-0005-0000-0000-0000D2790000}"/>
    <cellStyle name="Percent 4 13 3 2" xfId="31182" xr:uid="{00000000-0005-0000-0000-0000D3790000}"/>
    <cellStyle name="Percent 4 13 3 3" xfId="31183" xr:uid="{00000000-0005-0000-0000-0000D4790000}"/>
    <cellStyle name="Percent 4 13 4" xfId="31184" xr:uid="{00000000-0005-0000-0000-0000D5790000}"/>
    <cellStyle name="Percent 4 13 5" xfId="31185" xr:uid="{00000000-0005-0000-0000-0000D6790000}"/>
    <cellStyle name="Percent 4 13 6" xfId="31186" xr:uid="{00000000-0005-0000-0000-0000D7790000}"/>
    <cellStyle name="Percent 4 14" xfId="31187" xr:uid="{00000000-0005-0000-0000-0000D8790000}"/>
    <cellStyle name="Percent 4 14 2" xfId="31188" xr:uid="{00000000-0005-0000-0000-0000D9790000}"/>
    <cellStyle name="Percent 4 14 3" xfId="31189" xr:uid="{00000000-0005-0000-0000-0000DA790000}"/>
    <cellStyle name="Percent 4 15" xfId="31190" xr:uid="{00000000-0005-0000-0000-0000DB790000}"/>
    <cellStyle name="Percent 4 15 2" xfId="31191" xr:uid="{00000000-0005-0000-0000-0000DC790000}"/>
    <cellStyle name="Percent 4 15 3" xfId="31192" xr:uid="{00000000-0005-0000-0000-0000DD790000}"/>
    <cellStyle name="Percent 4 16" xfId="31193" xr:uid="{00000000-0005-0000-0000-0000DE790000}"/>
    <cellStyle name="Percent 4 17" xfId="31194" xr:uid="{00000000-0005-0000-0000-0000DF790000}"/>
    <cellStyle name="Percent 4 18" xfId="31195" xr:uid="{00000000-0005-0000-0000-0000E0790000}"/>
    <cellStyle name="Percent 4 2" xfId="31196" xr:uid="{00000000-0005-0000-0000-0000E1790000}"/>
    <cellStyle name="Percent 4 2 2" xfId="31197" xr:uid="{00000000-0005-0000-0000-0000E2790000}"/>
    <cellStyle name="Percent 4 2 2 2" xfId="31198" xr:uid="{00000000-0005-0000-0000-0000E3790000}"/>
    <cellStyle name="Percent 4 2 2 2 2" xfId="31199" xr:uid="{00000000-0005-0000-0000-0000E4790000}"/>
    <cellStyle name="Percent 4 2 2 2 3" xfId="31200" xr:uid="{00000000-0005-0000-0000-0000E5790000}"/>
    <cellStyle name="Percent 4 2 2 3" xfId="31201" xr:uid="{00000000-0005-0000-0000-0000E6790000}"/>
    <cellStyle name="Percent 4 2 2 3 2" xfId="31202" xr:uid="{00000000-0005-0000-0000-0000E7790000}"/>
    <cellStyle name="Percent 4 2 2 3 3" xfId="31203" xr:uid="{00000000-0005-0000-0000-0000E8790000}"/>
    <cellStyle name="Percent 4 2 2 4" xfId="31204" xr:uid="{00000000-0005-0000-0000-0000E9790000}"/>
    <cellStyle name="Percent 4 2 2 5" xfId="31205" xr:uid="{00000000-0005-0000-0000-0000EA790000}"/>
    <cellStyle name="Percent 4 2 2 6" xfId="31206" xr:uid="{00000000-0005-0000-0000-0000EB790000}"/>
    <cellStyle name="Percent 4 2 3" xfId="31207" xr:uid="{00000000-0005-0000-0000-0000EC790000}"/>
    <cellStyle name="Percent 4 2 3 2" xfId="31208" xr:uid="{00000000-0005-0000-0000-0000ED790000}"/>
    <cellStyle name="Percent 4 2 3 3" xfId="31209" xr:uid="{00000000-0005-0000-0000-0000EE790000}"/>
    <cellStyle name="Percent 4 2 4" xfId="31210" xr:uid="{00000000-0005-0000-0000-0000EF790000}"/>
    <cellStyle name="Percent 4 2 4 2" xfId="31211" xr:uid="{00000000-0005-0000-0000-0000F0790000}"/>
    <cellStyle name="Percent 4 2 4 3" xfId="31212" xr:uid="{00000000-0005-0000-0000-0000F1790000}"/>
    <cellStyle name="Percent 4 2 5" xfId="31213" xr:uid="{00000000-0005-0000-0000-0000F2790000}"/>
    <cellStyle name="Percent 4 2 6" xfId="31214" xr:uid="{00000000-0005-0000-0000-0000F3790000}"/>
    <cellStyle name="Percent 4 2 7" xfId="31215" xr:uid="{00000000-0005-0000-0000-0000F4790000}"/>
    <cellStyle name="Percent 4 3" xfId="31216" xr:uid="{00000000-0005-0000-0000-0000F5790000}"/>
    <cellStyle name="Percent 4 3 2" xfId="31217" xr:uid="{00000000-0005-0000-0000-0000F6790000}"/>
    <cellStyle name="Percent 4 3 2 2" xfId="31218" xr:uid="{00000000-0005-0000-0000-0000F7790000}"/>
    <cellStyle name="Percent 4 3 2 2 2" xfId="31219" xr:uid="{00000000-0005-0000-0000-0000F8790000}"/>
    <cellStyle name="Percent 4 3 2 2 3" xfId="31220" xr:uid="{00000000-0005-0000-0000-0000F9790000}"/>
    <cellStyle name="Percent 4 3 2 3" xfId="31221" xr:uid="{00000000-0005-0000-0000-0000FA790000}"/>
    <cellStyle name="Percent 4 3 2 3 2" xfId="31222" xr:uid="{00000000-0005-0000-0000-0000FB790000}"/>
    <cellStyle name="Percent 4 3 2 3 3" xfId="31223" xr:uid="{00000000-0005-0000-0000-0000FC790000}"/>
    <cellStyle name="Percent 4 3 2 4" xfId="31224" xr:uid="{00000000-0005-0000-0000-0000FD790000}"/>
    <cellStyle name="Percent 4 3 2 5" xfId="31225" xr:uid="{00000000-0005-0000-0000-0000FE790000}"/>
    <cellStyle name="Percent 4 3 2 6" xfId="31226" xr:uid="{00000000-0005-0000-0000-0000FF790000}"/>
    <cellStyle name="Percent 4 3 3" xfId="31227" xr:uid="{00000000-0005-0000-0000-0000007A0000}"/>
    <cellStyle name="Percent 4 3 3 2" xfId="31228" xr:uid="{00000000-0005-0000-0000-0000017A0000}"/>
    <cellStyle name="Percent 4 3 3 3" xfId="31229" xr:uid="{00000000-0005-0000-0000-0000027A0000}"/>
    <cellStyle name="Percent 4 3 4" xfId="31230" xr:uid="{00000000-0005-0000-0000-0000037A0000}"/>
    <cellStyle name="Percent 4 3 4 2" xfId="31231" xr:uid="{00000000-0005-0000-0000-0000047A0000}"/>
    <cellStyle name="Percent 4 3 4 3" xfId="31232" xr:uid="{00000000-0005-0000-0000-0000057A0000}"/>
    <cellStyle name="Percent 4 3 5" xfId="31233" xr:uid="{00000000-0005-0000-0000-0000067A0000}"/>
    <cellStyle name="Percent 4 3 6" xfId="31234" xr:uid="{00000000-0005-0000-0000-0000077A0000}"/>
    <cellStyle name="Percent 4 3 7" xfId="31235" xr:uid="{00000000-0005-0000-0000-0000087A0000}"/>
    <cellStyle name="Percent 4 4" xfId="31236" xr:uid="{00000000-0005-0000-0000-0000097A0000}"/>
    <cellStyle name="Percent 4 4 2" xfId="31237" xr:uid="{00000000-0005-0000-0000-00000A7A0000}"/>
    <cellStyle name="Percent 4 4 2 2" xfId="31238" xr:uid="{00000000-0005-0000-0000-00000B7A0000}"/>
    <cellStyle name="Percent 4 4 2 2 2" xfId="31239" xr:uid="{00000000-0005-0000-0000-00000C7A0000}"/>
    <cellStyle name="Percent 4 4 2 2 3" xfId="31240" xr:uid="{00000000-0005-0000-0000-00000D7A0000}"/>
    <cellStyle name="Percent 4 4 2 3" xfId="31241" xr:uid="{00000000-0005-0000-0000-00000E7A0000}"/>
    <cellStyle name="Percent 4 4 2 3 2" xfId="31242" xr:uid="{00000000-0005-0000-0000-00000F7A0000}"/>
    <cellStyle name="Percent 4 4 2 3 3" xfId="31243" xr:uid="{00000000-0005-0000-0000-0000107A0000}"/>
    <cellStyle name="Percent 4 4 2 4" xfId="31244" xr:uid="{00000000-0005-0000-0000-0000117A0000}"/>
    <cellStyle name="Percent 4 4 2 5" xfId="31245" xr:uid="{00000000-0005-0000-0000-0000127A0000}"/>
    <cellStyle name="Percent 4 4 2 6" xfId="31246" xr:uid="{00000000-0005-0000-0000-0000137A0000}"/>
    <cellStyle name="Percent 4 4 3" xfId="31247" xr:uid="{00000000-0005-0000-0000-0000147A0000}"/>
    <cellStyle name="Percent 4 4 3 2" xfId="31248" xr:uid="{00000000-0005-0000-0000-0000157A0000}"/>
    <cellStyle name="Percent 4 4 3 3" xfId="31249" xr:uid="{00000000-0005-0000-0000-0000167A0000}"/>
    <cellStyle name="Percent 4 4 4" xfId="31250" xr:uid="{00000000-0005-0000-0000-0000177A0000}"/>
    <cellStyle name="Percent 4 4 4 2" xfId="31251" xr:uid="{00000000-0005-0000-0000-0000187A0000}"/>
    <cellStyle name="Percent 4 4 4 3" xfId="31252" xr:uid="{00000000-0005-0000-0000-0000197A0000}"/>
    <cellStyle name="Percent 4 4 5" xfId="31253" xr:uid="{00000000-0005-0000-0000-00001A7A0000}"/>
    <cellStyle name="Percent 4 4 6" xfId="31254" xr:uid="{00000000-0005-0000-0000-00001B7A0000}"/>
    <cellStyle name="Percent 4 4 7" xfId="31255" xr:uid="{00000000-0005-0000-0000-00001C7A0000}"/>
    <cellStyle name="Percent 4 5" xfId="31256" xr:uid="{00000000-0005-0000-0000-00001D7A0000}"/>
    <cellStyle name="Percent 4 5 2" xfId="31257" xr:uid="{00000000-0005-0000-0000-00001E7A0000}"/>
    <cellStyle name="Percent 4 5 2 2" xfId="31258" xr:uid="{00000000-0005-0000-0000-00001F7A0000}"/>
    <cellStyle name="Percent 4 5 2 2 2" xfId="31259" xr:uid="{00000000-0005-0000-0000-0000207A0000}"/>
    <cellStyle name="Percent 4 5 2 2 3" xfId="31260" xr:uid="{00000000-0005-0000-0000-0000217A0000}"/>
    <cellStyle name="Percent 4 5 2 3" xfId="31261" xr:uid="{00000000-0005-0000-0000-0000227A0000}"/>
    <cellStyle name="Percent 4 5 2 3 2" xfId="31262" xr:uid="{00000000-0005-0000-0000-0000237A0000}"/>
    <cellStyle name="Percent 4 5 2 3 3" xfId="31263" xr:uid="{00000000-0005-0000-0000-0000247A0000}"/>
    <cellStyle name="Percent 4 5 2 4" xfId="31264" xr:uid="{00000000-0005-0000-0000-0000257A0000}"/>
    <cellStyle name="Percent 4 5 2 5" xfId="31265" xr:uid="{00000000-0005-0000-0000-0000267A0000}"/>
    <cellStyle name="Percent 4 5 2 6" xfId="31266" xr:uid="{00000000-0005-0000-0000-0000277A0000}"/>
    <cellStyle name="Percent 4 5 3" xfId="31267" xr:uid="{00000000-0005-0000-0000-0000287A0000}"/>
    <cellStyle name="Percent 4 5 3 2" xfId="31268" xr:uid="{00000000-0005-0000-0000-0000297A0000}"/>
    <cellStyle name="Percent 4 5 3 3" xfId="31269" xr:uid="{00000000-0005-0000-0000-00002A7A0000}"/>
    <cellStyle name="Percent 4 5 4" xfId="31270" xr:uid="{00000000-0005-0000-0000-00002B7A0000}"/>
    <cellStyle name="Percent 4 5 4 2" xfId="31271" xr:uid="{00000000-0005-0000-0000-00002C7A0000}"/>
    <cellStyle name="Percent 4 5 4 3" xfId="31272" xr:uid="{00000000-0005-0000-0000-00002D7A0000}"/>
    <cellStyle name="Percent 4 5 5" xfId="31273" xr:uid="{00000000-0005-0000-0000-00002E7A0000}"/>
    <cellStyle name="Percent 4 5 6" xfId="31274" xr:uid="{00000000-0005-0000-0000-00002F7A0000}"/>
    <cellStyle name="Percent 4 5 7" xfId="31275" xr:uid="{00000000-0005-0000-0000-0000307A0000}"/>
    <cellStyle name="Percent 4 6" xfId="31276" xr:uid="{00000000-0005-0000-0000-0000317A0000}"/>
    <cellStyle name="Percent 4 6 2" xfId="31277" xr:uid="{00000000-0005-0000-0000-0000327A0000}"/>
    <cellStyle name="Percent 4 6 2 2" xfId="31278" xr:uid="{00000000-0005-0000-0000-0000337A0000}"/>
    <cellStyle name="Percent 4 6 2 2 2" xfId="31279" xr:uid="{00000000-0005-0000-0000-0000347A0000}"/>
    <cellStyle name="Percent 4 6 2 2 3" xfId="31280" xr:uid="{00000000-0005-0000-0000-0000357A0000}"/>
    <cellStyle name="Percent 4 6 2 3" xfId="31281" xr:uid="{00000000-0005-0000-0000-0000367A0000}"/>
    <cellStyle name="Percent 4 6 2 3 2" xfId="31282" xr:uid="{00000000-0005-0000-0000-0000377A0000}"/>
    <cellStyle name="Percent 4 6 2 3 3" xfId="31283" xr:uid="{00000000-0005-0000-0000-0000387A0000}"/>
    <cellStyle name="Percent 4 6 2 4" xfId="31284" xr:uid="{00000000-0005-0000-0000-0000397A0000}"/>
    <cellStyle name="Percent 4 6 2 5" xfId="31285" xr:uid="{00000000-0005-0000-0000-00003A7A0000}"/>
    <cellStyle name="Percent 4 6 2 6" xfId="31286" xr:uid="{00000000-0005-0000-0000-00003B7A0000}"/>
    <cellStyle name="Percent 4 6 3" xfId="31287" xr:uid="{00000000-0005-0000-0000-00003C7A0000}"/>
    <cellStyle name="Percent 4 6 3 2" xfId="31288" xr:uid="{00000000-0005-0000-0000-00003D7A0000}"/>
    <cellStyle name="Percent 4 6 3 3" xfId="31289" xr:uid="{00000000-0005-0000-0000-00003E7A0000}"/>
    <cellStyle name="Percent 4 6 4" xfId="31290" xr:uid="{00000000-0005-0000-0000-00003F7A0000}"/>
    <cellStyle name="Percent 4 6 4 2" xfId="31291" xr:uid="{00000000-0005-0000-0000-0000407A0000}"/>
    <cellStyle name="Percent 4 6 4 3" xfId="31292" xr:uid="{00000000-0005-0000-0000-0000417A0000}"/>
    <cellStyle name="Percent 4 6 5" xfId="31293" xr:uid="{00000000-0005-0000-0000-0000427A0000}"/>
    <cellStyle name="Percent 4 6 6" xfId="31294" xr:uid="{00000000-0005-0000-0000-0000437A0000}"/>
    <cellStyle name="Percent 4 6 7" xfId="31295" xr:uid="{00000000-0005-0000-0000-0000447A0000}"/>
    <cellStyle name="Percent 4 7" xfId="31296" xr:uid="{00000000-0005-0000-0000-0000457A0000}"/>
    <cellStyle name="Percent 4 7 2" xfId="31297" xr:uid="{00000000-0005-0000-0000-0000467A0000}"/>
    <cellStyle name="Percent 4 7 2 2" xfId="31298" xr:uid="{00000000-0005-0000-0000-0000477A0000}"/>
    <cellStyle name="Percent 4 7 2 2 2" xfId="31299" xr:uid="{00000000-0005-0000-0000-0000487A0000}"/>
    <cellStyle name="Percent 4 7 2 2 3" xfId="31300" xr:uid="{00000000-0005-0000-0000-0000497A0000}"/>
    <cellStyle name="Percent 4 7 2 3" xfId="31301" xr:uid="{00000000-0005-0000-0000-00004A7A0000}"/>
    <cellStyle name="Percent 4 7 2 3 2" xfId="31302" xr:uid="{00000000-0005-0000-0000-00004B7A0000}"/>
    <cellStyle name="Percent 4 7 2 3 3" xfId="31303" xr:uid="{00000000-0005-0000-0000-00004C7A0000}"/>
    <cellStyle name="Percent 4 7 2 4" xfId="31304" xr:uid="{00000000-0005-0000-0000-00004D7A0000}"/>
    <cellStyle name="Percent 4 7 2 5" xfId="31305" xr:uid="{00000000-0005-0000-0000-00004E7A0000}"/>
    <cellStyle name="Percent 4 7 2 6" xfId="31306" xr:uid="{00000000-0005-0000-0000-00004F7A0000}"/>
    <cellStyle name="Percent 4 7 3" xfId="31307" xr:uid="{00000000-0005-0000-0000-0000507A0000}"/>
    <cellStyle name="Percent 4 7 3 2" xfId="31308" xr:uid="{00000000-0005-0000-0000-0000517A0000}"/>
    <cellStyle name="Percent 4 7 3 3" xfId="31309" xr:uid="{00000000-0005-0000-0000-0000527A0000}"/>
    <cellStyle name="Percent 4 7 4" xfId="31310" xr:uid="{00000000-0005-0000-0000-0000537A0000}"/>
    <cellStyle name="Percent 4 7 4 2" xfId="31311" xr:uid="{00000000-0005-0000-0000-0000547A0000}"/>
    <cellStyle name="Percent 4 7 4 3" xfId="31312" xr:uid="{00000000-0005-0000-0000-0000557A0000}"/>
    <cellStyle name="Percent 4 7 5" xfId="31313" xr:uid="{00000000-0005-0000-0000-0000567A0000}"/>
    <cellStyle name="Percent 4 7 6" xfId="31314" xr:uid="{00000000-0005-0000-0000-0000577A0000}"/>
    <cellStyle name="Percent 4 7 7" xfId="31315" xr:uid="{00000000-0005-0000-0000-0000587A0000}"/>
    <cellStyle name="Percent 4 8" xfId="31316" xr:uid="{00000000-0005-0000-0000-0000597A0000}"/>
    <cellStyle name="Percent 4 8 2" xfId="31317" xr:uid="{00000000-0005-0000-0000-00005A7A0000}"/>
    <cellStyle name="Percent 4 8 2 2" xfId="31318" xr:uid="{00000000-0005-0000-0000-00005B7A0000}"/>
    <cellStyle name="Percent 4 8 2 2 2" xfId="31319" xr:uid="{00000000-0005-0000-0000-00005C7A0000}"/>
    <cellStyle name="Percent 4 8 2 2 3" xfId="31320" xr:uid="{00000000-0005-0000-0000-00005D7A0000}"/>
    <cellStyle name="Percent 4 8 2 3" xfId="31321" xr:uid="{00000000-0005-0000-0000-00005E7A0000}"/>
    <cellStyle name="Percent 4 8 2 3 2" xfId="31322" xr:uid="{00000000-0005-0000-0000-00005F7A0000}"/>
    <cellStyle name="Percent 4 8 2 3 3" xfId="31323" xr:uid="{00000000-0005-0000-0000-0000607A0000}"/>
    <cellStyle name="Percent 4 8 2 4" xfId="31324" xr:uid="{00000000-0005-0000-0000-0000617A0000}"/>
    <cellStyle name="Percent 4 8 2 5" xfId="31325" xr:uid="{00000000-0005-0000-0000-0000627A0000}"/>
    <cellStyle name="Percent 4 8 2 6" xfId="31326" xr:uid="{00000000-0005-0000-0000-0000637A0000}"/>
    <cellStyle name="Percent 4 8 3" xfId="31327" xr:uid="{00000000-0005-0000-0000-0000647A0000}"/>
    <cellStyle name="Percent 4 8 3 2" xfId="31328" xr:uid="{00000000-0005-0000-0000-0000657A0000}"/>
    <cellStyle name="Percent 4 8 3 3" xfId="31329" xr:uid="{00000000-0005-0000-0000-0000667A0000}"/>
    <cellStyle name="Percent 4 8 4" xfId="31330" xr:uid="{00000000-0005-0000-0000-0000677A0000}"/>
    <cellStyle name="Percent 4 8 4 2" xfId="31331" xr:uid="{00000000-0005-0000-0000-0000687A0000}"/>
    <cellStyle name="Percent 4 8 4 3" xfId="31332" xr:uid="{00000000-0005-0000-0000-0000697A0000}"/>
    <cellStyle name="Percent 4 8 5" xfId="31333" xr:uid="{00000000-0005-0000-0000-00006A7A0000}"/>
    <cellStyle name="Percent 4 8 6" xfId="31334" xr:uid="{00000000-0005-0000-0000-00006B7A0000}"/>
    <cellStyle name="Percent 4 8 7" xfId="31335" xr:uid="{00000000-0005-0000-0000-00006C7A0000}"/>
    <cellStyle name="Percent 4 9" xfId="31336" xr:uid="{00000000-0005-0000-0000-00006D7A0000}"/>
    <cellStyle name="Percent 4 9 2" xfId="31337" xr:uid="{00000000-0005-0000-0000-00006E7A0000}"/>
    <cellStyle name="Percent 4 9 2 2" xfId="31338" xr:uid="{00000000-0005-0000-0000-00006F7A0000}"/>
    <cellStyle name="Percent 4 9 2 2 2" xfId="31339" xr:uid="{00000000-0005-0000-0000-0000707A0000}"/>
    <cellStyle name="Percent 4 9 2 2 3" xfId="31340" xr:uid="{00000000-0005-0000-0000-0000717A0000}"/>
    <cellStyle name="Percent 4 9 2 3" xfId="31341" xr:uid="{00000000-0005-0000-0000-0000727A0000}"/>
    <cellStyle name="Percent 4 9 2 3 2" xfId="31342" xr:uid="{00000000-0005-0000-0000-0000737A0000}"/>
    <cellStyle name="Percent 4 9 2 3 3" xfId="31343" xr:uid="{00000000-0005-0000-0000-0000747A0000}"/>
    <cellStyle name="Percent 4 9 2 4" xfId="31344" xr:uid="{00000000-0005-0000-0000-0000757A0000}"/>
    <cellStyle name="Percent 4 9 2 5" xfId="31345" xr:uid="{00000000-0005-0000-0000-0000767A0000}"/>
    <cellStyle name="Percent 4 9 2 6" xfId="31346" xr:uid="{00000000-0005-0000-0000-0000777A0000}"/>
    <cellStyle name="Percent 4 9 3" xfId="31347" xr:uid="{00000000-0005-0000-0000-0000787A0000}"/>
    <cellStyle name="Percent 4 9 3 2" xfId="31348" xr:uid="{00000000-0005-0000-0000-0000797A0000}"/>
    <cellStyle name="Percent 4 9 3 3" xfId="31349" xr:uid="{00000000-0005-0000-0000-00007A7A0000}"/>
    <cellStyle name="Percent 4 9 4" xfId="31350" xr:uid="{00000000-0005-0000-0000-00007B7A0000}"/>
    <cellStyle name="Percent 4 9 4 2" xfId="31351" xr:uid="{00000000-0005-0000-0000-00007C7A0000}"/>
    <cellStyle name="Percent 4 9 4 3" xfId="31352" xr:uid="{00000000-0005-0000-0000-00007D7A0000}"/>
    <cellStyle name="Percent 4 9 5" xfId="31353" xr:uid="{00000000-0005-0000-0000-00007E7A0000}"/>
    <cellStyle name="Percent 4 9 6" xfId="31354" xr:uid="{00000000-0005-0000-0000-00007F7A0000}"/>
    <cellStyle name="Percent 4 9 7" xfId="31355" xr:uid="{00000000-0005-0000-0000-0000807A0000}"/>
    <cellStyle name="Percent 5" xfId="31356" xr:uid="{00000000-0005-0000-0000-0000817A0000}"/>
    <cellStyle name="Percent 5 10" xfId="31357" xr:uid="{00000000-0005-0000-0000-0000827A0000}"/>
    <cellStyle name="Percent 5 10 2" xfId="31358" xr:uid="{00000000-0005-0000-0000-0000837A0000}"/>
    <cellStyle name="Percent 5 10 2 2" xfId="31359" xr:uid="{00000000-0005-0000-0000-0000847A0000}"/>
    <cellStyle name="Percent 5 10 2 2 2" xfId="31360" xr:uid="{00000000-0005-0000-0000-0000857A0000}"/>
    <cellStyle name="Percent 5 10 2 2 3" xfId="31361" xr:uid="{00000000-0005-0000-0000-0000867A0000}"/>
    <cellStyle name="Percent 5 10 2 3" xfId="31362" xr:uid="{00000000-0005-0000-0000-0000877A0000}"/>
    <cellStyle name="Percent 5 10 2 3 2" xfId="31363" xr:uid="{00000000-0005-0000-0000-0000887A0000}"/>
    <cellStyle name="Percent 5 10 2 3 3" xfId="31364" xr:uid="{00000000-0005-0000-0000-0000897A0000}"/>
    <cellStyle name="Percent 5 10 2 4" xfId="31365" xr:uid="{00000000-0005-0000-0000-00008A7A0000}"/>
    <cellStyle name="Percent 5 10 2 5" xfId="31366" xr:uid="{00000000-0005-0000-0000-00008B7A0000}"/>
    <cellStyle name="Percent 5 10 2 6" xfId="31367" xr:uid="{00000000-0005-0000-0000-00008C7A0000}"/>
    <cellStyle name="Percent 5 10 3" xfId="31368" xr:uid="{00000000-0005-0000-0000-00008D7A0000}"/>
    <cellStyle name="Percent 5 10 3 2" xfId="31369" xr:uid="{00000000-0005-0000-0000-00008E7A0000}"/>
    <cellStyle name="Percent 5 10 3 3" xfId="31370" xr:uid="{00000000-0005-0000-0000-00008F7A0000}"/>
    <cellStyle name="Percent 5 10 4" xfId="31371" xr:uid="{00000000-0005-0000-0000-0000907A0000}"/>
    <cellStyle name="Percent 5 10 4 2" xfId="31372" xr:uid="{00000000-0005-0000-0000-0000917A0000}"/>
    <cellStyle name="Percent 5 10 4 3" xfId="31373" xr:uid="{00000000-0005-0000-0000-0000927A0000}"/>
    <cellStyle name="Percent 5 10 5" xfId="31374" xr:uid="{00000000-0005-0000-0000-0000937A0000}"/>
    <cellStyle name="Percent 5 10 6" xfId="31375" xr:uid="{00000000-0005-0000-0000-0000947A0000}"/>
    <cellStyle name="Percent 5 10 7" xfId="31376" xr:uid="{00000000-0005-0000-0000-0000957A0000}"/>
    <cellStyle name="Percent 5 11" xfId="31377" xr:uid="{00000000-0005-0000-0000-0000967A0000}"/>
    <cellStyle name="Percent 5 11 2" xfId="31378" xr:uid="{00000000-0005-0000-0000-0000977A0000}"/>
    <cellStyle name="Percent 5 11 2 2" xfId="31379" xr:uid="{00000000-0005-0000-0000-0000987A0000}"/>
    <cellStyle name="Percent 5 11 2 2 2" xfId="31380" xr:uid="{00000000-0005-0000-0000-0000997A0000}"/>
    <cellStyle name="Percent 5 11 2 2 3" xfId="31381" xr:uid="{00000000-0005-0000-0000-00009A7A0000}"/>
    <cellStyle name="Percent 5 11 2 3" xfId="31382" xr:uid="{00000000-0005-0000-0000-00009B7A0000}"/>
    <cellStyle name="Percent 5 11 2 3 2" xfId="31383" xr:uid="{00000000-0005-0000-0000-00009C7A0000}"/>
    <cellStyle name="Percent 5 11 2 3 3" xfId="31384" xr:uid="{00000000-0005-0000-0000-00009D7A0000}"/>
    <cellStyle name="Percent 5 11 2 4" xfId="31385" xr:uid="{00000000-0005-0000-0000-00009E7A0000}"/>
    <cellStyle name="Percent 5 11 2 5" xfId="31386" xr:uid="{00000000-0005-0000-0000-00009F7A0000}"/>
    <cellStyle name="Percent 5 11 2 6" xfId="31387" xr:uid="{00000000-0005-0000-0000-0000A07A0000}"/>
    <cellStyle name="Percent 5 11 3" xfId="31388" xr:uid="{00000000-0005-0000-0000-0000A17A0000}"/>
    <cellStyle name="Percent 5 11 3 2" xfId="31389" xr:uid="{00000000-0005-0000-0000-0000A27A0000}"/>
    <cellStyle name="Percent 5 11 3 3" xfId="31390" xr:uid="{00000000-0005-0000-0000-0000A37A0000}"/>
    <cellStyle name="Percent 5 11 4" xfId="31391" xr:uid="{00000000-0005-0000-0000-0000A47A0000}"/>
    <cellStyle name="Percent 5 11 4 2" xfId="31392" xr:uid="{00000000-0005-0000-0000-0000A57A0000}"/>
    <cellStyle name="Percent 5 11 4 3" xfId="31393" xr:uid="{00000000-0005-0000-0000-0000A67A0000}"/>
    <cellStyle name="Percent 5 11 5" xfId="31394" xr:uid="{00000000-0005-0000-0000-0000A77A0000}"/>
    <cellStyle name="Percent 5 11 6" xfId="31395" xr:uid="{00000000-0005-0000-0000-0000A87A0000}"/>
    <cellStyle name="Percent 5 11 7" xfId="31396" xr:uid="{00000000-0005-0000-0000-0000A97A0000}"/>
    <cellStyle name="Percent 5 12" xfId="31397" xr:uid="{00000000-0005-0000-0000-0000AA7A0000}"/>
    <cellStyle name="Percent 5 12 2" xfId="31398" xr:uid="{00000000-0005-0000-0000-0000AB7A0000}"/>
    <cellStyle name="Percent 5 12 2 2" xfId="31399" xr:uid="{00000000-0005-0000-0000-0000AC7A0000}"/>
    <cellStyle name="Percent 5 12 2 3" xfId="31400" xr:uid="{00000000-0005-0000-0000-0000AD7A0000}"/>
    <cellStyle name="Percent 5 12 3" xfId="31401" xr:uid="{00000000-0005-0000-0000-0000AE7A0000}"/>
    <cellStyle name="Percent 5 12 3 2" xfId="31402" xr:uid="{00000000-0005-0000-0000-0000AF7A0000}"/>
    <cellStyle name="Percent 5 12 3 3" xfId="31403" xr:uid="{00000000-0005-0000-0000-0000B07A0000}"/>
    <cellStyle name="Percent 5 12 4" xfId="31404" xr:uid="{00000000-0005-0000-0000-0000B17A0000}"/>
    <cellStyle name="Percent 5 12 5" xfId="31405" xr:uid="{00000000-0005-0000-0000-0000B27A0000}"/>
    <cellStyle name="Percent 5 12 6" xfId="31406" xr:uid="{00000000-0005-0000-0000-0000B37A0000}"/>
    <cellStyle name="Percent 5 13" xfId="31407" xr:uid="{00000000-0005-0000-0000-0000B47A0000}"/>
    <cellStyle name="Percent 5 13 2" xfId="31408" xr:uid="{00000000-0005-0000-0000-0000B57A0000}"/>
    <cellStyle name="Percent 5 13 3" xfId="31409" xr:uid="{00000000-0005-0000-0000-0000B67A0000}"/>
    <cellStyle name="Percent 5 14" xfId="31410" xr:uid="{00000000-0005-0000-0000-0000B77A0000}"/>
    <cellStyle name="Percent 5 14 2" xfId="31411" xr:uid="{00000000-0005-0000-0000-0000B87A0000}"/>
    <cellStyle name="Percent 5 14 3" xfId="31412" xr:uid="{00000000-0005-0000-0000-0000B97A0000}"/>
    <cellStyle name="Percent 5 15" xfId="31413" xr:uid="{00000000-0005-0000-0000-0000BA7A0000}"/>
    <cellStyle name="Percent 5 16" xfId="31414" xr:uid="{00000000-0005-0000-0000-0000BB7A0000}"/>
    <cellStyle name="Percent 5 17" xfId="31415" xr:uid="{00000000-0005-0000-0000-0000BC7A0000}"/>
    <cellStyle name="Percent 5 2" xfId="31416" xr:uid="{00000000-0005-0000-0000-0000BD7A0000}"/>
    <cellStyle name="Percent 5 2 2" xfId="31417" xr:uid="{00000000-0005-0000-0000-0000BE7A0000}"/>
    <cellStyle name="Percent 5 2 2 2" xfId="31418" xr:uid="{00000000-0005-0000-0000-0000BF7A0000}"/>
    <cellStyle name="Percent 5 2 2 2 2" xfId="31419" xr:uid="{00000000-0005-0000-0000-0000C07A0000}"/>
    <cellStyle name="Percent 5 2 2 2 3" xfId="31420" xr:uid="{00000000-0005-0000-0000-0000C17A0000}"/>
    <cellStyle name="Percent 5 2 2 3" xfId="31421" xr:uid="{00000000-0005-0000-0000-0000C27A0000}"/>
    <cellStyle name="Percent 5 2 2 3 2" xfId="31422" xr:uid="{00000000-0005-0000-0000-0000C37A0000}"/>
    <cellStyle name="Percent 5 2 2 3 3" xfId="31423" xr:uid="{00000000-0005-0000-0000-0000C47A0000}"/>
    <cellStyle name="Percent 5 2 2 4" xfId="31424" xr:uid="{00000000-0005-0000-0000-0000C57A0000}"/>
    <cellStyle name="Percent 5 2 2 5" xfId="31425" xr:uid="{00000000-0005-0000-0000-0000C67A0000}"/>
    <cellStyle name="Percent 5 2 2 6" xfId="31426" xr:uid="{00000000-0005-0000-0000-0000C77A0000}"/>
    <cellStyle name="Percent 5 2 3" xfId="31427" xr:uid="{00000000-0005-0000-0000-0000C87A0000}"/>
    <cellStyle name="Percent 5 2 3 2" xfId="31428" xr:uid="{00000000-0005-0000-0000-0000C97A0000}"/>
    <cellStyle name="Percent 5 2 3 3" xfId="31429" xr:uid="{00000000-0005-0000-0000-0000CA7A0000}"/>
    <cellStyle name="Percent 5 2 4" xfId="31430" xr:uid="{00000000-0005-0000-0000-0000CB7A0000}"/>
    <cellStyle name="Percent 5 2 4 2" xfId="31431" xr:uid="{00000000-0005-0000-0000-0000CC7A0000}"/>
    <cellStyle name="Percent 5 2 4 3" xfId="31432" xr:uid="{00000000-0005-0000-0000-0000CD7A0000}"/>
    <cellStyle name="Percent 5 2 5" xfId="31433" xr:uid="{00000000-0005-0000-0000-0000CE7A0000}"/>
    <cellStyle name="Percent 5 2 6" xfId="31434" xr:uid="{00000000-0005-0000-0000-0000CF7A0000}"/>
    <cellStyle name="Percent 5 2 7" xfId="31435" xr:uid="{00000000-0005-0000-0000-0000D07A0000}"/>
    <cellStyle name="Percent 5 3" xfId="31436" xr:uid="{00000000-0005-0000-0000-0000D17A0000}"/>
    <cellStyle name="Percent 5 3 2" xfId="31437" xr:uid="{00000000-0005-0000-0000-0000D27A0000}"/>
    <cellStyle name="Percent 5 3 2 2" xfId="31438" xr:uid="{00000000-0005-0000-0000-0000D37A0000}"/>
    <cellStyle name="Percent 5 3 2 2 2" xfId="31439" xr:uid="{00000000-0005-0000-0000-0000D47A0000}"/>
    <cellStyle name="Percent 5 3 2 2 3" xfId="31440" xr:uid="{00000000-0005-0000-0000-0000D57A0000}"/>
    <cellStyle name="Percent 5 3 2 3" xfId="31441" xr:uid="{00000000-0005-0000-0000-0000D67A0000}"/>
    <cellStyle name="Percent 5 3 2 3 2" xfId="31442" xr:uid="{00000000-0005-0000-0000-0000D77A0000}"/>
    <cellStyle name="Percent 5 3 2 3 3" xfId="31443" xr:uid="{00000000-0005-0000-0000-0000D87A0000}"/>
    <cellStyle name="Percent 5 3 2 4" xfId="31444" xr:uid="{00000000-0005-0000-0000-0000D97A0000}"/>
    <cellStyle name="Percent 5 3 2 5" xfId="31445" xr:uid="{00000000-0005-0000-0000-0000DA7A0000}"/>
    <cellStyle name="Percent 5 3 2 6" xfId="31446" xr:uid="{00000000-0005-0000-0000-0000DB7A0000}"/>
    <cellStyle name="Percent 5 3 3" xfId="31447" xr:uid="{00000000-0005-0000-0000-0000DC7A0000}"/>
    <cellStyle name="Percent 5 3 3 2" xfId="31448" xr:uid="{00000000-0005-0000-0000-0000DD7A0000}"/>
    <cellStyle name="Percent 5 3 3 3" xfId="31449" xr:uid="{00000000-0005-0000-0000-0000DE7A0000}"/>
    <cellStyle name="Percent 5 3 4" xfId="31450" xr:uid="{00000000-0005-0000-0000-0000DF7A0000}"/>
    <cellStyle name="Percent 5 3 4 2" xfId="31451" xr:uid="{00000000-0005-0000-0000-0000E07A0000}"/>
    <cellStyle name="Percent 5 3 4 3" xfId="31452" xr:uid="{00000000-0005-0000-0000-0000E17A0000}"/>
    <cellStyle name="Percent 5 3 5" xfId="31453" xr:uid="{00000000-0005-0000-0000-0000E27A0000}"/>
    <cellStyle name="Percent 5 3 6" xfId="31454" xr:uid="{00000000-0005-0000-0000-0000E37A0000}"/>
    <cellStyle name="Percent 5 3 7" xfId="31455" xr:uid="{00000000-0005-0000-0000-0000E47A0000}"/>
    <cellStyle name="Percent 5 4" xfId="31456" xr:uid="{00000000-0005-0000-0000-0000E57A0000}"/>
    <cellStyle name="Percent 5 4 2" xfId="31457" xr:uid="{00000000-0005-0000-0000-0000E67A0000}"/>
    <cellStyle name="Percent 5 4 2 2" xfId="31458" xr:uid="{00000000-0005-0000-0000-0000E77A0000}"/>
    <cellStyle name="Percent 5 4 2 2 2" xfId="31459" xr:uid="{00000000-0005-0000-0000-0000E87A0000}"/>
    <cellStyle name="Percent 5 4 2 2 3" xfId="31460" xr:uid="{00000000-0005-0000-0000-0000E97A0000}"/>
    <cellStyle name="Percent 5 4 2 3" xfId="31461" xr:uid="{00000000-0005-0000-0000-0000EA7A0000}"/>
    <cellStyle name="Percent 5 4 2 3 2" xfId="31462" xr:uid="{00000000-0005-0000-0000-0000EB7A0000}"/>
    <cellStyle name="Percent 5 4 2 3 3" xfId="31463" xr:uid="{00000000-0005-0000-0000-0000EC7A0000}"/>
    <cellStyle name="Percent 5 4 2 4" xfId="31464" xr:uid="{00000000-0005-0000-0000-0000ED7A0000}"/>
    <cellStyle name="Percent 5 4 2 5" xfId="31465" xr:uid="{00000000-0005-0000-0000-0000EE7A0000}"/>
    <cellStyle name="Percent 5 4 2 6" xfId="31466" xr:uid="{00000000-0005-0000-0000-0000EF7A0000}"/>
    <cellStyle name="Percent 5 4 3" xfId="31467" xr:uid="{00000000-0005-0000-0000-0000F07A0000}"/>
    <cellStyle name="Percent 5 4 3 2" xfId="31468" xr:uid="{00000000-0005-0000-0000-0000F17A0000}"/>
    <cellStyle name="Percent 5 4 3 3" xfId="31469" xr:uid="{00000000-0005-0000-0000-0000F27A0000}"/>
    <cellStyle name="Percent 5 4 4" xfId="31470" xr:uid="{00000000-0005-0000-0000-0000F37A0000}"/>
    <cellStyle name="Percent 5 4 4 2" xfId="31471" xr:uid="{00000000-0005-0000-0000-0000F47A0000}"/>
    <cellStyle name="Percent 5 4 4 3" xfId="31472" xr:uid="{00000000-0005-0000-0000-0000F57A0000}"/>
    <cellStyle name="Percent 5 4 5" xfId="31473" xr:uid="{00000000-0005-0000-0000-0000F67A0000}"/>
    <cellStyle name="Percent 5 4 6" xfId="31474" xr:uid="{00000000-0005-0000-0000-0000F77A0000}"/>
    <cellStyle name="Percent 5 4 7" xfId="31475" xr:uid="{00000000-0005-0000-0000-0000F87A0000}"/>
    <cellStyle name="Percent 5 5" xfId="31476" xr:uid="{00000000-0005-0000-0000-0000F97A0000}"/>
    <cellStyle name="Percent 5 5 2" xfId="31477" xr:uid="{00000000-0005-0000-0000-0000FA7A0000}"/>
    <cellStyle name="Percent 5 5 2 2" xfId="31478" xr:uid="{00000000-0005-0000-0000-0000FB7A0000}"/>
    <cellStyle name="Percent 5 5 2 2 2" xfId="31479" xr:uid="{00000000-0005-0000-0000-0000FC7A0000}"/>
    <cellStyle name="Percent 5 5 2 2 3" xfId="31480" xr:uid="{00000000-0005-0000-0000-0000FD7A0000}"/>
    <cellStyle name="Percent 5 5 2 3" xfId="31481" xr:uid="{00000000-0005-0000-0000-0000FE7A0000}"/>
    <cellStyle name="Percent 5 5 2 3 2" xfId="31482" xr:uid="{00000000-0005-0000-0000-0000FF7A0000}"/>
    <cellStyle name="Percent 5 5 2 3 3" xfId="31483" xr:uid="{00000000-0005-0000-0000-0000007B0000}"/>
    <cellStyle name="Percent 5 5 2 4" xfId="31484" xr:uid="{00000000-0005-0000-0000-0000017B0000}"/>
    <cellStyle name="Percent 5 5 2 5" xfId="31485" xr:uid="{00000000-0005-0000-0000-0000027B0000}"/>
    <cellStyle name="Percent 5 5 2 6" xfId="31486" xr:uid="{00000000-0005-0000-0000-0000037B0000}"/>
    <cellStyle name="Percent 5 5 3" xfId="31487" xr:uid="{00000000-0005-0000-0000-0000047B0000}"/>
    <cellStyle name="Percent 5 5 3 2" xfId="31488" xr:uid="{00000000-0005-0000-0000-0000057B0000}"/>
    <cellStyle name="Percent 5 5 3 3" xfId="31489" xr:uid="{00000000-0005-0000-0000-0000067B0000}"/>
    <cellStyle name="Percent 5 5 4" xfId="31490" xr:uid="{00000000-0005-0000-0000-0000077B0000}"/>
    <cellStyle name="Percent 5 5 4 2" xfId="31491" xr:uid="{00000000-0005-0000-0000-0000087B0000}"/>
    <cellStyle name="Percent 5 5 4 3" xfId="31492" xr:uid="{00000000-0005-0000-0000-0000097B0000}"/>
    <cellStyle name="Percent 5 5 5" xfId="31493" xr:uid="{00000000-0005-0000-0000-00000A7B0000}"/>
    <cellStyle name="Percent 5 5 6" xfId="31494" xr:uid="{00000000-0005-0000-0000-00000B7B0000}"/>
    <cellStyle name="Percent 5 5 7" xfId="31495" xr:uid="{00000000-0005-0000-0000-00000C7B0000}"/>
    <cellStyle name="Percent 5 6" xfId="31496" xr:uid="{00000000-0005-0000-0000-00000D7B0000}"/>
    <cellStyle name="Percent 5 6 2" xfId="31497" xr:uid="{00000000-0005-0000-0000-00000E7B0000}"/>
    <cellStyle name="Percent 5 6 2 2" xfId="31498" xr:uid="{00000000-0005-0000-0000-00000F7B0000}"/>
    <cellStyle name="Percent 5 6 2 2 2" xfId="31499" xr:uid="{00000000-0005-0000-0000-0000107B0000}"/>
    <cellStyle name="Percent 5 6 2 2 3" xfId="31500" xr:uid="{00000000-0005-0000-0000-0000117B0000}"/>
    <cellStyle name="Percent 5 6 2 3" xfId="31501" xr:uid="{00000000-0005-0000-0000-0000127B0000}"/>
    <cellStyle name="Percent 5 6 2 3 2" xfId="31502" xr:uid="{00000000-0005-0000-0000-0000137B0000}"/>
    <cellStyle name="Percent 5 6 2 3 3" xfId="31503" xr:uid="{00000000-0005-0000-0000-0000147B0000}"/>
    <cellStyle name="Percent 5 6 2 4" xfId="31504" xr:uid="{00000000-0005-0000-0000-0000157B0000}"/>
    <cellStyle name="Percent 5 6 2 5" xfId="31505" xr:uid="{00000000-0005-0000-0000-0000167B0000}"/>
    <cellStyle name="Percent 5 6 2 6" xfId="31506" xr:uid="{00000000-0005-0000-0000-0000177B0000}"/>
    <cellStyle name="Percent 5 6 3" xfId="31507" xr:uid="{00000000-0005-0000-0000-0000187B0000}"/>
    <cellStyle name="Percent 5 6 3 2" xfId="31508" xr:uid="{00000000-0005-0000-0000-0000197B0000}"/>
    <cellStyle name="Percent 5 6 3 3" xfId="31509" xr:uid="{00000000-0005-0000-0000-00001A7B0000}"/>
    <cellStyle name="Percent 5 6 4" xfId="31510" xr:uid="{00000000-0005-0000-0000-00001B7B0000}"/>
    <cellStyle name="Percent 5 6 4 2" xfId="31511" xr:uid="{00000000-0005-0000-0000-00001C7B0000}"/>
    <cellStyle name="Percent 5 6 4 3" xfId="31512" xr:uid="{00000000-0005-0000-0000-00001D7B0000}"/>
    <cellStyle name="Percent 5 6 5" xfId="31513" xr:uid="{00000000-0005-0000-0000-00001E7B0000}"/>
    <cellStyle name="Percent 5 6 6" xfId="31514" xr:uid="{00000000-0005-0000-0000-00001F7B0000}"/>
    <cellStyle name="Percent 5 6 7" xfId="31515" xr:uid="{00000000-0005-0000-0000-0000207B0000}"/>
    <cellStyle name="Percent 5 7" xfId="31516" xr:uid="{00000000-0005-0000-0000-0000217B0000}"/>
    <cellStyle name="Percent 5 7 2" xfId="31517" xr:uid="{00000000-0005-0000-0000-0000227B0000}"/>
    <cellStyle name="Percent 5 7 2 2" xfId="31518" xr:uid="{00000000-0005-0000-0000-0000237B0000}"/>
    <cellStyle name="Percent 5 7 2 2 2" xfId="31519" xr:uid="{00000000-0005-0000-0000-0000247B0000}"/>
    <cellStyle name="Percent 5 7 2 2 3" xfId="31520" xr:uid="{00000000-0005-0000-0000-0000257B0000}"/>
    <cellStyle name="Percent 5 7 2 3" xfId="31521" xr:uid="{00000000-0005-0000-0000-0000267B0000}"/>
    <cellStyle name="Percent 5 7 2 3 2" xfId="31522" xr:uid="{00000000-0005-0000-0000-0000277B0000}"/>
    <cellStyle name="Percent 5 7 2 3 3" xfId="31523" xr:uid="{00000000-0005-0000-0000-0000287B0000}"/>
    <cellStyle name="Percent 5 7 2 4" xfId="31524" xr:uid="{00000000-0005-0000-0000-0000297B0000}"/>
    <cellStyle name="Percent 5 7 2 5" xfId="31525" xr:uid="{00000000-0005-0000-0000-00002A7B0000}"/>
    <cellStyle name="Percent 5 7 2 6" xfId="31526" xr:uid="{00000000-0005-0000-0000-00002B7B0000}"/>
    <cellStyle name="Percent 5 7 3" xfId="31527" xr:uid="{00000000-0005-0000-0000-00002C7B0000}"/>
    <cellStyle name="Percent 5 7 3 2" xfId="31528" xr:uid="{00000000-0005-0000-0000-00002D7B0000}"/>
    <cellStyle name="Percent 5 7 3 3" xfId="31529" xr:uid="{00000000-0005-0000-0000-00002E7B0000}"/>
    <cellStyle name="Percent 5 7 4" xfId="31530" xr:uid="{00000000-0005-0000-0000-00002F7B0000}"/>
    <cellStyle name="Percent 5 7 4 2" xfId="31531" xr:uid="{00000000-0005-0000-0000-0000307B0000}"/>
    <cellStyle name="Percent 5 7 4 3" xfId="31532" xr:uid="{00000000-0005-0000-0000-0000317B0000}"/>
    <cellStyle name="Percent 5 7 5" xfId="31533" xr:uid="{00000000-0005-0000-0000-0000327B0000}"/>
    <cellStyle name="Percent 5 7 6" xfId="31534" xr:uid="{00000000-0005-0000-0000-0000337B0000}"/>
    <cellStyle name="Percent 5 7 7" xfId="31535" xr:uid="{00000000-0005-0000-0000-0000347B0000}"/>
    <cellStyle name="Percent 5 8" xfId="31536" xr:uid="{00000000-0005-0000-0000-0000357B0000}"/>
    <cellStyle name="Percent 5 8 2" xfId="31537" xr:uid="{00000000-0005-0000-0000-0000367B0000}"/>
    <cellStyle name="Percent 5 8 2 2" xfId="31538" xr:uid="{00000000-0005-0000-0000-0000377B0000}"/>
    <cellStyle name="Percent 5 8 2 2 2" xfId="31539" xr:uid="{00000000-0005-0000-0000-0000387B0000}"/>
    <cellStyle name="Percent 5 8 2 2 3" xfId="31540" xr:uid="{00000000-0005-0000-0000-0000397B0000}"/>
    <cellStyle name="Percent 5 8 2 3" xfId="31541" xr:uid="{00000000-0005-0000-0000-00003A7B0000}"/>
    <cellStyle name="Percent 5 8 2 3 2" xfId="31542" xr:uid="{00000000-0005-0000-0000-00003B7B0000}"/>
    <cellStyle name="Percent 5 8 2 3 3" xfId="31543" xr:uid="{00000000-0005-0000-0000-00003C7B0000}"/>
    <cellStyle name="Percent 5 8 2 4" xfId="31544" xr:uid="{00000000-0005-0000-0000-00003D7B0000}"/>
    <cellStyle name="Percent 5 8 2 5" xfId="31545" xr:uid="{00000000-0005-0000-0000-00003E7B0000}"/>
    <cellStyle name="Percent 5 8 2 6" xfId="31546" xr:uid="{00000000-0005-0000-0000-00003F7B0000}"/>
    <cellStyle name="Percent 5 8 3" xfId="31547" xr:uid="{00000000-0005-0000-0000-0000407B0000}"/>
    <cellStyle name="Percent 5 8 3 2" xfId="31548" xr:uid="{00000000-0005-0000-0000-0000417B0000}"/>
    <cellStyle name="Percent 5 8 3 3" xfId="31549" xr:uid="{00000000-0005-0000-0000-0000427B0000}"/>
    <cellStyle name="Percent 5 8 4" xfId="31550" xr:uid="{00000000-0005-0000-0000-0000437B0000}"/>
    <cellStyle name="Percent 5 8 4 2" xfId="31551" xr:uid="{00000000-0005-0000-0000-0000447B0000}"/>
    <cellStyle name="Percent 5 8 4 3" xfId="31552" xr:uid="{00000000-0005-0000-0000-0000457B0000}"/>
    <cellStyle name="Percent 5 8 5" xfId="31553" xr:uid="{00000000-0005-0000-0000-0000467B0000}"/>
    <cellStyle name="Percent 5 8 6" xfId="31554" xr:uid="{00000000-0005-0000-0000-0000477B0000}"/>
    <cellStyle name="Percent 5 8 7" xfId="31555" xr:uid="{00000000-0005-0000-0000-0000487B0000}"/>
    <cellStyle name="Percent 5 9" xfId="31556" xr:uid="{00000000-0005-0000-0000-0000497B0000}"/>
    <cellStyle name="Percent 5 9 2" xfId="31557" xr:uid="{00000000-0005-0000-0000-00004A7B0000}"/>
    <cellStyle name="Percent 5 9 2 2" xfId="31558" xr:uid="{00000000-0005-0000-0000-00004B7B0000}"/>
    <cellStyle name="Percent 5 9 2 2 2" xfId="31559" xr:uid="{00000000-0005-0000-0000-00004C7B0000}"/>
    <cellStyle name="Percent 5 9 2 2 3" xfId="31560" xr:uid="{00000000-0005-0000-0000-00004D7B0000}"/>
    <cellStyle name="Percent 5 9 2 3" xfId="31561" xr:uid="{00000000-0005-0000-0000-00004E7B0000}"/>
    <cellStyle name="Percent 5 9 2 3 2" xfId="31562" xr:uid="{00000000-0005-0000-0000-00004F7B0000}"/>
    <cellStyle name="Percent 5 9 2 3 3" xfId="31563" xr:uid="{00000000-0005-0000-0000-0000507B0000}"/>
    <cellStyle name="Percent 5 9 2 4" xfId="31564" xr:uid="{00000000-0005-0000-0000-0000517B0000}"/>
    <cellStyle name="Percent 5 9 2 5" xfId="31565" xr:uid="{00000000-0005-0000-0000-0000527B0000}"/>
    <cellStyle name="Percent 5 9 2 6" xfId="31566" xr:uid="{00000000-0005-0000-0000-0000537B0000}"/>
    <cellStyle name="Percent 5 9 3" xfId="31567" xr:uid="{00000000-0005-0000-0000-0000547B0000}"/>
    <cellStyle name="Percent 5 9 3 2" xfId="31568" xr:uid="{00000000-0005-0000-0000-0000557B0000}"/>
    <cellStyle name="Percent 5 9 3 3" xfId="31569" xr:uid="{00000000-0005-0000-0000-0000567B0000}"/>
    <cellStyle name="Percent 5 9 4" xfId="31570" xr:uid="{00000000-0005-0000-0000-0000577B0000}"/>
    <cellStyle name="Percent 5 9 4 2" xfId="31571" xr:uid="{00000000-0005-0000-0000-0000587B0000}"/>
    <cellStyle name="Percent 5 9 4 3" xfId="31572" xr:uid="{00000000-0005-0000-0000-0000597B0000}"/>
    <cellStyle name="Percent 5 9 5" xfId="31573" xr:uid="{00000000-0005-0000-0000-00005A7B0000}"/>
    <cellStyle name="Percent 5 9 6" xfId="31574" xr:uid="{00000000-0005-0000-0000-00005B7B0000}"/>
    <cellStyle name="Percent 5 9 7" xfId="31575" xr:uid="{00000000-0005-0000-0000-00005C7B0000}"/>
    <cellStyle name="Percent 6" xfId="31576" xr:uid="{00000000-0005-0000-0000-00005D7B0000}"/>
    <cellStyle name="Percent 6 10" xfId="31577" xr:uid="{00000000-0005-0000-0000-00005E7B0000}"/>
    <cellStyle name="Percent 6 10 2" xfId="31578" xr:uid="{00000000-0005-0000-0000-00005F7B0000}"/>
    <cellStyle name="Percent 6 10 2 2" xfId="31579" xr:uid="{00000000-0005-0000-0000-0000607B0000}"/>
    <cellStyle name="Percent 6 10 2 2 2" xfId="31580" xr:uid="{00000000-0005-0000-0000-0000617B0000}"/>
    <cellStyle name="Percent 6 10 2 2 3" xfId="31581" xr:uid="{00000000-0005-0000-0000-0000627B0000}"/>
    <cellStyle name="Percent 6 10 2 3" xfId="31582" xr:uid="{00000000-0005-0000-0000-0000637B0000}"/>
    <cellStyle name="Percent 6 10 2 3 2" xfId="31583" xr:uid="{00000000-0005-0000-0000-0000647B0000}"/>
    <cellStyle name="Percent 6 10 2 3 3" xfId="31584" xr:uid="{00000000-0005-0000-0000-0000657B0000}"/>
    <cellStyle name="Percent 6 10 2 4" xfId="31585" xr:uid="{00000000-0005-0000-0000-0000667B0000}"/>
    <cellStyle name="Percent 6 10 2 5" xfId="31586" xr:uid="{00000000-0005-0000-0000-0000677B0000}"/>
    <cellStyle name="Percent 6 10 2 6" xfId="31587" xr:uid="{00000000-0005-0000-0000-0000687B0000}"/>
    <cellStyle name="Percent 6 10 3" xfId="31588" xr:uid="{00000000-0005-0000-0000-0000697B0000}"/>
    <cellStyle name="Percent 6 10 3 2" xfId="31589" xr:uid="{00000000-0005-0000-0000-00006A7B0000}"/>
    <cellStyle name="Percent 6 10 3 3" xfId="31590" xr:uid="{00000000-0005-0000-0000-00006B7B0000}"/>
    <cellStyle name="Percent 6 10 4" xfId="31591" xr:uid="{00000000-0005-0000-0000-00006C7B0000}"/>
    <cellStyle name="Percent 6 10 4 2" xfId="31592" xr:uid="{00000000-0005-0000-0000-00006D7B0000}"/>
    <cellStyle name="Percent 6 10 4 3" xfId="31593" xr:uid="{00000000-0005-0000-0000-00006E7B0000}"/>
    <cellStyle name="Percent 6 10 5" xfId="31594" xr:uid="{00000000-0005-0000-0000-00006F7B0000}"/>
    <cellStyle name="Percent 6 10 6" xfId="31595" xr:uid="{00000000-0005-0000-0000-0000707B0000}"/>
    <cellStyle name="Percent 6 10 7" xfId="31596" xr:uid="{00000000-0005-0000-0000-0000717B0000}"/>
    <cellStyle name="Percent 6 11" xfId="31597" xr:uid="{00000000-0005-0000-0000-0000727B0000}"/>
    <cellStyle name="Percent 6 11 2" xfId="31598" xr:uid="{00000000-0005-0000-0000-0000737B0000}"/>
    <cellStyle name="Percent 6 11 2 2" xfId="31599" xr:uid="{00000000-0005-0000-0000-0000747B0000}"/>
    <cellStyle name="Percent 6 11 2 2 2" xfId="31600" xr:uid="{00000000-0005-0000-0000-0000757B0000}"/>
    <cellStyle name="Percent 6 11 2 2 3" xfId="31601" xr:uid="{00000000-0005-0000-0000-0000767B0000}"/>
    <cellStyle name="Percent 6 11 2 3" xfId="31602" xr:uid="{00000000-0005-0000-0000-0000777B0000}"/>
    <cellStyle name="Percent 6 11 2 3 2" xfId="31603" xr:uid="{00000000-0005-0000-0000-0000787B0000}"/>
    <cellStyle name="Percent 6 11 2 3 3" xfId="31604" xr:uid="{00000000-0005-0000-0000-0000797B0000}"/>
    <cellStyle name="Percent 6 11 2 4" xfId="31605" xr:uid="{00000000-0005-0000-0000-00007A7B0000}"/>
    <cellStyle name="Percent 6 11 2 5" xfId="31606" xr:uid="{00000000-0005-0000-0000-00007B7B0000}"/>
    <cellStyle name="Percent 6 11 2 6" xfId="31607" xr:uid="{00000000-0005-0000-0000-00007C7B0000}"/>
    <cellStyle name="Percent 6 11 3" xfId="31608" xr:uid="{00000000-0005-0000-0000-00007D7B0000}"/>
    <cellStyle name="Percent 6 11 3 2" xfId="31609" xr:uid="{00000000-0005-0000-0000-00007E7B0000}"/>
    <cellStyle name="Percent 6 11 3 3" xfId="31610" xr:uid="{00000000-0005-0000-0000-00007F7B0000}"/>
    <cellStyle name="Percent 6 11 4" xfId="31611" xr:uid="{00000000-0005-0000-0000-0000807B0000}"/>
    <cellStyle name="Percent 6 11 4 2" xfId="31612" xr:uid="{00000000-0005-0000-0000-0000817B0000}"/>
    <cellStyle name="Percent 6 11 4 3" xfId="31613" xr:uid="{00000000-0005-0000-0000-0000827B0000}"/>
    <cellStyle name="Percent 6 11 5" xfId="31614" xr:uid="{00000000-0005-0000-0000-0000837B0000}"/>
    <cellStyle name="Percent 6 11 6" xfId="31615" xr:uid="{00000000-0005-0000-0000-0000847B0000}"/>
    <cellStyle name="Percent 6 11 7" xfId="31616" xr:uid="{00000000-0005-0000-0000-0000857B0000}"/>
    <cellStyle name="Percent 6 12" xfId="31617" xr:uid="{00000000-0005-0000-0000-0000867B0000}"/>
    <cellStyle name="Percent 6 12 2" xfId="31618" xr:uid="{00000000-0005-0000-0000-0000877B0000}"/>
    <cellStyle name="Percent 6 12 2 2" xfId="31619" xr:uid="{00000000-0005-0000-0000-0000887B0000}"/>
    <cellStyle name="Percent 6 12 2 3" xfId="31620" xr:uid="{00000000-0005-0000-0000-0000897B0000}"/>
    <cellStyle name="Percent 6 12 3" xfId="31621" xr:uid="{00000000-0005-0000-0000-00008A7B0000}"/>
    <cellStyle name="Percent 6 12 3 2" xfId="31622" xr:uid="{00000000-0005-0000-0000-00008B7B0000}"/>
    <cellStyle name="Percent 6 12 3 3" xfId="31623" xr:uid="{00000000-0005-0000-0000-00008C7B0000}"/>
    <cellStyle name="Percent 6 12 4" xfId="31624" xr:uid="{00000000-0005-0000-0000-00008D7B0000}"/>
    <cellStyle name="Percent 6 12 5" xfId="31625" xr:uid="{00000000-0005-0000-0000-00008E7B0000}"/>
    <cellStyle name="Percent 6 12 6" xfId="31626" xr:uid="{00000000-0005-0000-0000-00008F7B0000}"/>
    <cellStyle name="Percent 6 13" xfId="31627" xr:uid="{00000000-0005-0000-0000-0000907B0000}"/>
    <cellStyle name="Percent 6 13 2" xfId="31628" xr:uid="{00000000-0005-0000-0000-0000917B0000}"/>
    <cellStyle name="Percent 6 13 3" xfId="31629" xr:uid="{00000000-0005-0000-0000-0000927B0000}"/>
    <cellStyle name="Percent 6 14" xfId="31630" xr:uid="{00000000-0005-0000-0000-0000937B0000}"/>
    <cellStyle name="Percent 6 14 2" xfId="31631" xr:uid="{00000000-0005-0000-0000-0000947B0000}"/>
    <cellStyle name="Percent 6 14 3" xfId="31632" xr:uid="{00000000-0005-0000-0000-0000957B0000}"/>
    <cellStyle name="Percent 6 15" xfId="31633" xr:uid="{00000000-0005-0000-0000-0000967B0000}"/>
    <cellStyle name="Percent 6 16" xfId="31634" xr:uid="{00000000-0005-0000-0000-0000977B0000}"/>
    <cellStyle name="Percent 6 17" xfId="31635" xr:uid="{00000000-0005-0000-0000-0000987B0000}"/>
    <cellStyle name="Percent 6 2" xfId="31636" xr:uid="{00000000-0005-0000-0000-0000997B0000}"/>
    <cellStyle name="Percent 6 2 2" xfId="31637" xr:uid="{00000000-0005-0000-0000-00009A7B0000}"/>
    <cellStyle name="Percent 6 2 2 2" xfId="31638" xr:uid="{00000000-0005-0000-0000-00009B7B0000}"/>
    <cellStyle name="Percent 6 2 2 2 2" xfId="31639" xr:uid="{00000000-0005-0000-0000-00009C7B0000}"/>
    <cellStyle name="Percent 6 2 2 2 3" xfId="31640" xr:uid="{00000000-0005-0000-0000-00009D7B0000}"/>
    <cellStyle name="Percent 6 2 2 3" xfId="31641" xr:uid="{00000000-0005-0000-0000-00009E7B0000}"/>
    <cellStyle name="Percent 6 2 2 3 2" xfId="31642" xr:uid="{00000000-0005-0000-0000-00009F7B0000}"/>
    <cellStyle name="Percent 6 2 2 3 3" xfId="31643" xr:uid="{00000000-0005-0000-0000-0000A07B0000}"/>
    <cellStyle name="Percent 6 2 2 4" xfId="31644" xr:uid="{00000000-0005-0000-0000-0000A17B0000}"/>
    <cellStyle name="Percent 6 2 2 5" xfId="31645" xr:uid="{00000000-0005-0000-0000-0000A27B0000}"/>
    <cellStyle name="Percent 6 2 2 6" xfId="31646" xr:uid="{00000000-0005-0000-0000-0000A37B0000}"/>
    <cellStyle name="Percent 6 2 3" xfId="31647" xr:uid="{00000000-0005-0000-0000-0000A47B0000}"/>
    <cellStyle name="Percent 6 2 3 2" xfId="31648" xr:uid="{00000000-0005-0000-0000-0000A57B0000}"/>
    <cellStyle name="Percent 6 2 3 3" xfId="31649" xr:uid="{00000000-0005-0000-0000-0000A67B0000}"/>
    <cellStyle name="Percent 6 2 4" xfId="31650" xr:uid="{00000000-0005-0000-0000-0000A77B0000}"/>
    <cellStyle name="Percent 6 2 4 2" xfId="31651" xr:uid="{00000000-0005-0000-0000-0000A87B0000}"/>
    <cellStyle name="Percent 6 2 4 3" xfId="31652" xr:uid="{00000000-0005-0000-0000-0000A97B0000}"/>
    <cellStyle name="Percent 6 2 5" xfId="31653" xr:uid="{00000000-0005-0000-0000-0000AA7B0000}"/>
    <cellStyle name="Percent 6 2 6" xfId="31654" xr:uid="{00000000-0005-0000-0000-0000AB7B0000}"/>
    <cellStyle name="Percent 6 2 7" xfId="31655" xr:uid="{00000000-0005-0000-0000-0000AC7B0000}"/>
    <cellStyle name="Percent 6 3" xfId="31656" xr:uid="{00000000-0005-0000-0000-0000AD7B0000}"/>
    <cellStyle name="Percent 6 3 2" xfId="31657" xr:uid="{00000000-0005-0000-0000-0000AE7B0000}"/>
    <cellStyle name="Percent 6 3 2 2" xfId="31658" xr:uid="{00000000-0005-0000-0000-0000AF7B0000}"/>
    <cellStyle name="Percent 6 3 2 2 2" xfId="31659" xr:uid="{00000000-0005-0000-0000-0000B07B0000}"/>
    <cellStyle name="Percent 6 3 2 2 3" xfId="31660" xr:uid="{00000000-0005-0000-0000-0000B17B0000}"/>
    <cellStyle name="Percent 6 3 2 3" xfId="31661" xr:uid="{00000000-0005-0000-0000-0000B27B0000}"/>
    <cellStyle name="Percent 6 3 2 3 2" xfId="31662" xr:uid="{00000000-0005-0000-0000-0000B37B0000}"/>
    <cellStyle name="Percent 6 3 2 3 3" xfId="31663" xr:uid="{00000000-0005-0000-0000-0000B47B0000}"/>
    <cellStyle name="Percent 6 3 2 4" xfId="31664" xr:uid="{00000000-0005-0000-0000-0000B57B0000}"/>
    <cellStyle name="Percent 6 3 2 5" xfId="31665" xr:uid="{00000000-0005-0000-0000-0000B67B0000}"/>
    <cellStyle name="Percent 6 3 2 6" xfId="31666" xr:uid="{00000000-0005-0000-0000-0000B77B0000}"/>
    <cellStyle name="Percent 6 3 3" xfId="31667" xr:uid="{00000000-0005-0000-0000-0000B87B0000}"/>
    <cellStyle name="Percent 6 3 3 2" xfId="31668" xr:uid="{00000000-0005-0000-0000-0000B97B0000}"/>
    <cellStyle name="Percent 6 3 3 3" xfId="31669" xr:uid="{00000000-0005-0000-0000-0000BA7B0000}"/>
    <cellStyle name="Percent 6 3 4" xfId="31670" xr:uid="{00000000-0005-0000-0000-0000BB7B0000}"/>
    <cellStyle name="Percent 6 3 4 2" xfId="31671" xr:uid="{00000000-0005-0000-0000-0000BC7B0000}"/>
    <cellStyle name="Percent 6 3 4 3" xfId="31672" xr:uid="{00000000-0005-0000-0000-0000BD7B0000}"/>
    <cellStyle name="Percent 6 3 5" xfId="31673" xr:uid="{00000000-0005-0000-0000-0000BE7B0000}"/>
    <cellStyle name="Percent 6 3 6" xfId="31674" xr:uid="{00000000-0005-0000-0000-0000BF7B0000}"/>
    <cellStyle name="Percent 6 3 7" xfId="31675" xr:uid="{00000000-0005-0000-0000-0000C07B0000}"/>
    <cellStyle name="Percent 6 4" xfId="31676" xr:uid="{00000000-0005-0000-0000-0000C17B0000}"/>
    <cellStyle name="Percent 6 4 2" xfId="31677" xr:uid="{00000000-0005-0000-0000-0000C27B0000}"/>
    <cellStyle name="Percent 6 4 2 2" xfId="31678" xr:uid="{00000000-0005-0000-0000-0000C37B0000}"/>
    <cellStyle name="Percent 6 4 2 2 2" xfId="31679" xr:uid="{00000000-0005-0000-0000-0000C47B0000}"/>
    <cellStyle name="Percent 6 4 2 2 3" xfId="31680" xr:uid="{00000000-0005-0000-0000-0000C57B0000}"/>
    <cellStyle name="Percent 6 4 2 3" xfId="31681" xr:uid="{00000000-0005-0000-0000-0000C67B0000}"/>
    <cellStyle name="Percent 6 4 2 3 2" xfId="31682" xr:uid="{00000000-0005-0000-0000-0000C77B0000}"/>
    <cellStyle name="Percent 6 4 2 3 3" xfId="31683" xr:uid="{00000000-0005-0000-0000-0000C87B0000}"/>
    <cellStyle name="Percent 6 4 2 4" xfId="31684" xr:uid="{00000000-0005-0000-0000-0000C97B0000}"/>
    <cellStyle name="Percent 6 4 2 5" xfId="31685" xr:uid="{00000000-0005-0000-0000-0000CA7B0000}"/>
    <cellStyle name="Percent 6 4 2 6" xfId="31686" xr:uid="{00000000-0005-0000-0000-0000CB7B0000}"/>
    <cellStyle name="Percent 6 4 3" xfId="31687" xr:uid="{00000000-0005-0000-0000-0000CC7B0000}"/>
    <cellStyle name="Percent 6 4 3 2" xfId="31688" xr:uid="{00000000-0005-0000-0000-0000CD7B0000}"/>
    <cellStyle name="Percent 6 4 3 3" xfId="31689" xr:uid="{00000000-0005-0000-0000-0000CE7B0000}"/>
    <cellStyle name="Percent 6 4 4" xfId="31690" xr:uid="{00000000-0005-0000-0000-0000CF7B0000}"/>
    <cellStyle name="Percent 6 4 4 2" xfId="31691" xr:uid="{00000000-0005-0000-0000-0000D07B0000}"/>
    <cellStyle name="Percent 6 4 4 3" xfId="31692" xr:uid="{00000000-0005-0000-0000-0000D17B0000}"/>
    <cellStyle name="Percent 6 4 5" xfId="31693" xr:uid="{00000000-0005-0000-0000-0000D27B0000}"/>
    <cellStyle name="Percent 6 4 6" xfId="31694" xr:uid="{00000000-0005-0000-0000-0000D37B0000}"/>
    <cellStyle name="Percent 6 4 7" xfId="31695" xr:uid="{00000000-0005-0000-0000-0000D47B0000}"/>
    <cellStyle name="Percent 6 5" xfId="31696" xr:uid="{00000000-0005-0000-0000-0000D57B0000}"/>
    <cellStyle name="Percent 6 5 2" xfId="31697" xr:uid="{00000000-0005-0000-0000-0000D67B0000}"/>
    <cellStyle name="Percent 6 5 2 2" xfId="31698" xr:uid="{00000000-0005-0000-0000-0000D77B0000}"/>
    <cellStyle name="Percent 6 5 2 2 2" xfId="31699" xr:uid="{00000000-0005-0000-0000-0000D87B0000}"/>
    <cellStyle name="Percent 6 5 2 2 3" xfId="31700" xr:uid="{00000000-0005-0000-0000-0000D97B0000}"/>
    <cellStyle name="Percent 6 5 2 3" xfId="31701" xr:uid="{00000000-0005-0000-0000-0000DA7B0000}"/>
    <cellStyle name="Percent 6 5 2 3 2" xfId="31702" xr:uid="{00000000-0005-0000-0000-0000DB7B0000}"/>
    <cellStyle name="Percent 6 5 2 3 3" xfId="31703" xr:uid="{00000000-0005-0000-0000-0000DC7B0000}"/>
    <cellStyle name="Percent 6 5 2 4" xfId="31704" xr:uid="{00000000-0005-0000-0000-0000DD7B0000}"/>
    <cellStyle name="Percent 6 5 2 5" xfId="31705" xr:uid="{00000000-0005-0000-0000-0000DE7B0000}"/>
    <cellStyle name="Percent 6 5 2 6" xfId="31706" xr:uid="{00000000-0005-0000-0000-0000DF7B0000}"/>
    <cellStyle name="Percent 6 5 3" xfId="31707" xr:uid="{00000000-0005-0000-0000-0000E07B0000}"/>
    <cellStyle name="Percent 6 5 3 2" xfId="31708" xr:uid="{00000000-0005-0000-0000-0000E17B0000}"/>
    <cellStyle name="Percent 6 5 3 3" xfId="31709" xr:uid="{00000000-0005-0000-0000-0000E27B0000}"/>
    <cellStyle name="Percent 6 5 4" xfId="31710" xr:uid="{00000000-0005-0000-0000-0000E37B0000}"/>
    <cellStyle name="Percent 6 5 4 2" xfId="31711" xr:uid="{00000000-0005-0000-0000-0000E47B0000}"/>
    <cellStyle name="Percent 6 5 4 3" xfId="31712" xr:uid="{00000000-0005-0000-0000-0000E57B0000}"/>
    <cellStyle name="Percent 6 5 5" xfId="31713" xr:uid="{00000000-0005-0000-0000-0000E67B0000}"/>
    <cellStyle name="Percent 6 5 6" xfId="31714" xr:uid="{00000000-0005-0000-0000-0000E77B0000}"/>
    <cellStyle name="Percent 6 5 7" xfId="31715" xr:uid="{00000000-0005-0000-0000-0000E87B0000}"/>
    <cellStyle name="Percent 6 6" xfId="31716" xr:uid="{00000000-0005-0000-0000-0000E97B0000}"/>
    <cellStyle name="Percent 6 6 2" xfId="31717" xr:uid="{00000000-0005-0000-0000-0000EA7B0000}"/>
    <cellStyle name="Percent 6 6 2 2" xfId="31718" xr:uid="{00000000-0005-0000-0000-0000EB7B0000}"/>
    <cellStyle name="Percent 6 6 2 2 2" xfId="31719" xr:uid="{00000000-0005-0000-0000-0000EC7B0000}"/>
    <cellStyle name="Percent 6 6 2 2 3" xfId="31720" xr:uid="{00000000-0005-0000-0000-0000ED7B0000}"/>
    <cellStyle name="Percent 6 6 2 3" xfId="31721" xr:uid="{00000000-0005-0000-0000-0000EE7B0000}"/>
    <cellStyle name="Percent 6 6 2 3 2" xfId="31722" xr:uid="{00000000-0005-0000-0000-0000EF7B0000}"/>
    <cellStyle name="Percent 6 6 2 3 3" xfId="31723" xr:uid="{00000000-0005-0000-0000-0000F07B0000}"/>
    <cellStyle name="Percent 6 6 2 4" xfId="31724" xr:uid="{00000000-0005-0000-0000-0000F17B0000}"/>
    <cellStyle name="Percent 6 6 2 5" xfId="31725" xr:uid="{00000000-0005-0000-0000-0000F27B0000}"/>
    <cellStyle name="Percent 6 6 2 6" xfId="31726" xr:uid="{00000000-0005-0000-0000-0000F37B0000}"/>
    <cellStyle name="Percent 6 6 3" xfId="31727" xr:uid="{00000000-0005-0000-0000-0000F47B0000}"/>
    <cellStyle name="Percent 6 6 3 2" xfId="31728" xr:uid="{00000000-0005-0000-0000-0000F57B0000}"/>
    <cellStyle name="Percent 6 6 3 3" xfId="31729" xr:uid="{00000000-0005-0000-0000-0000F67B0000}"/>
    <cellStyle name="Percent 6 6 4" xfId="31730" xr:uid="{00000000-0005-0000-0000-0000F77B0000}"/>
    <cellStyle name="Percent 6 6 4 2" xfId="31731" xr:uid="{00000000-0005-0000-0000-0000F87B0000}"/>
    <cellStyle name="Percent 6 6 4 3" xfId="31732" xr:uid="{00000000-0005-0000-0000-0000F97B0000}"/>
    <cellStyle name="Percent 6 6 5" xfId="31733" xr:uid="{00000000-0005-0000-0000-0000FA7B0000}"/>
    <cellStyle name="Percent 6 6 6" xfId="31734" xr:uid="{00000000-0005-0000-0000-0000FB7B0000}"/>
    <cellStyle name="Percent 6 6 7" xfId="31735" xr:uid="{00000000-0005-0000-0000-0000FC7B0000}"/>
    <cellStyle name="Percent 6 7" xfId="31736" xr:uid="{00000000-0005-0000-0000-0000FD7B0000}"/>
    <cellStyle name="Percent 6 7 2" xfId="31737" xr:uid="{00000000-0005-0000-0000-0000FE7B0000}"/>
    <cellStyle name="Percent 6 7 2 2" xfId="31738" xr:uid="{00000000-0005-0000-0000-0000FF7B0000}"/>
    <cellStyle name="Percent 6 7 2 2 2" xfId="31739" xr:uid="{00000000-0005-0000-0000-0000007C0000}"/>
    <cellStyle name="Percent 6 7 2 2 3" xfId="31740" xr:uid="{00000000-0005-0000-0000-0000017C0000}"/>
    <cellStyle name="Percent 6 7 2 3" xfId="31741" xr:uid="{00000000-0005-0000-0000-0000027C0000}"/>
    <cellStyle name="Percent 6 7 2 3 2" xfId="31742" xr:uid="{00000000-0005-0000-0000-0000037C0000}"/>
    <cellStyle name="Percent 6 7 2 3 3" xfId="31743" xr:uid="{00000000-0005-0000-0000-0000047C0000}"/>
    <cellStyle name="Percent 6 7 2 4" xfId="31744" xr:uid="{00000000-0005-0000-0000-0000057C0000}"/>
    <cellStyle name="Percent 6 7 2 5" xfId="31745" xr:uid="{00000000-0005-0000-0000-0000067C0000}"/>
    <cellStyle name="Percent 6 7 2 6" xfId="31746" xr:uid="{00000000-0005-0000-0000-0000077C0000}"/>
    <cellStyle name="Percent 6 7 3" xfId="31747" xr:uid="{00000000-0005-0000-0000-0000087C0000}"/>
    <cellStyle name="Percent 6 7 3 2" xfId="31748" xr:uid="{00000000-0005-0000-0000-0000097C0000}"/>
    <cellStyle name="Percent 6 7 3 3" xfId="31749" xr:uid="{00000000-0005-0000-0000-00000A7C0000}"/>
    <cellStyle name="Percent 6 7 4" xfId="31750" xr:uid="{00000000-0005-0000-0000-00000B7C0000}"/>
    <cellStyle name="Percent 6 7 4 2" xfId="31751" xr:uid="{00000000-0005-0000-0000-00000C7C0000}"/>
    <cellStyle name="Percent 6 7 4 3" xfId="31752" xr:uid="{00000000-0005-0000-0000-00000D7C0000}"/>
    <cellStyle name="Percent 6 7 5" xfId="31753" xr:uid="{00000000-0005-0000-0000-00000E7C0000}"/>
    <cellStyle name="Percent 6 7 6" xfId="31754" xr:uid="{00000000-0005-0000-0000-00000F7C0000}"/>
    <cellStyle name="Percent 6 7 7" xfId="31755" xr:uid="{00000000-0005-0000-0000-0000107C0000}"/>
    <cellStyle name="Percent 6 8" xfId="31756" xr:uid="{00000000-0005-0000-0000-0000117C0000}"/>
    <cellStyle name="Percent 6 8 2" xfId="31757" xr:uid="{00000000-0005-0000-0000-0000127C0000}"/>
    <cellStyle name="Percent 6 8 2 2" xfId="31758" xr:uid="{00000000-0005-0000-0000-0000137C0000}"/>
    <cellStyle name="Percent 6 8 2 2 2" xfId="31759" xr:uid="{00000000-0005-0000-0000-0000147C0000}"/>
    <cellStyle name="Percent 6 8 2 2 3" xfId="31760" xr:uid="{00000000-0005-0000-0000-0000157C0000}"/>
    <cellStyle name="Percent 6 8 2 3" xfId="31761" xr:uid="{00000000-0005-0000-0000-0000167C0000}"/>
    <cellStyle name="Percent 6 8 2 3 2" xfId="31762" xr:uid="{00000000-0005-0000-0000-0000177C0000}"/>
    <cellStyle name="Percent 6 8 2 3 3" xfId="31763" xr:uid="{00000000-0005-0000-0000-0000187C0000}"/>
    <cellStyle name="Percent 6 8 2 4" xfId="31764" xr:uid="{00000000-0005-0000-0000-0000197C0000}"/>
    <cellStyle name="Percent 6 8 2 5" xfId="31765" xr:uid="{00000000-0005-0000-0000-00001A7C0000}"/>
    <cellStyle name="Percent 6 8 2 6" xfId="31766" xr:uid="{00000000-0005-0000-0000-00001B7C0000}"/>
    <cellStyle name="Percent 6 8 3" xfId="31767" xr:uid="{00000000-0005-0000-0000-00001C7C0000}"/>
    <cellStyle name="Percent 6 8 3 2" xfId="31768" xr:uid="{00000000-0005-0000-0000-00001D7C0000}"/>
    <cellStyle name="Percent 6 8 3 3" xfId="31769" xr:uid="{00000000-0005-0000-0000-00001E7C0000}"/>
    <cellStyle name="Percent 6 8 4" xfId="31770" xr:uid="{00000000-0005-0000-0000-00001F7C0000}"/>
    <cellStyle name="Percent 6 8 4 2" xfId="31771" xr:uid="{00000000-0005-0000-0000-0000207C0000}"/>
    <cellStyle name="Percent 6 8 4 3" xfId="31772" xr:uid="{00000000-0005-0000-0000-0000217C0000}"/>
    <cellStyle name="Percent 6 8 5" xfId="31773" xr:uid="{00000000-0005-0000-0000-0000227C0000}"/>
    <cellStyle name="Percent 6 8 6" xfId="31774" xr:uid="{00000000-0005-0000-0000-0000237C0000}"/>
    <cellStyle name="Percent 6 8 7" xfId="31775" xr:uid="{00000000-0005-0000-0000-0000247C0000}"/>
    <cellStyle name="Percent 6 9" xfId="31776" xr:uid="{00000000-0005-0000-0000-0000257C0000}"/>
    <cellStyle name="Percent 6 9 2" xfId="31777" xr:uid="{00000000-0005-0000-0000-0000267C0000}"/>
    <cellStyle name="Percent 6 9 2 2" xfId="31778" xr:uid="{00000000-0005-0000-0000-0000277C0000}"/>
    <cellStyle name="Percent 6 9 2 2 2" xfId="31779" xr:uid="{00000000-0005-0000-0000-0000287C0000}"/>
    <cellStyle name="Percent 6 9 2 2 3" xfId="31780" xr:uid="{00000000-0005-0000-0000-0000297C0000}"/>
    <cellStyle name="Percent 6 9 2 3" xfId="31781" xr:uid="{00000000-0005-0000-0000-00002A7C0000}"/>
    <cellStyle name="Percent 6 9 2 3 2" xfId="31782" xr:uid="{00000000-0005-0000-0000-00002B7C0000}"/>
    <cellStyle name="Percent 6 9 2 3 3" xfId="31783" xr:uid="{00000000-0005-0000-0000-00002C7C0000}"/>
    <cellStyle name="Percent 6 9 2 4" xfId="31784" xr:uid="{00000000-0005-0000-0000-00002D7C0000}"/>
    <cellStyle name="Percent 6 9 2 5" xfId="31785" xr:uid="{00000000-0005-0000-0000-00002E7C0000}"/>
    <cellStyle name="Percent 6 9 2 6" xfId="31786" xr:uid="{00000000-0005-0000-0000-00002F7C0000}"/>
    <cellStyle name="Percent 6 9 3" xfId="31787" xr:uid="{00000000-0005-0000-0000-0000307C0000}"/>
    <cellStyle name="Percent 6 9 3 2" xfId="31788" xr:uid="{00000000-0005-0000-0000-0000317C0000}"/>
    <cellStyle name="Percent 6 9 3 3" xfId="31789" xr:uid="{00000000-0005-0000-0000-0000327C0000}"/>
    <cellStyle name="Percent 6 9 4" xfId="31790" xr:uid="{00000000-0005-0000-0000-0000337C0000}"/>
    <cellStyle name="Percent 6 9 4 2" xfId="31791" xr:uid="{00000000-0005-0000-0000-0000347C0000}"/>
    <cellStyle name="Percent 6 9 4 3" xfId="31792" xr:uid="{00000000-0005-0000-0000-0000357C0000}"/>
    <cellStyle name="Percent 6 9 5" xfId="31793" xr:uid="{00000000-0005-0000-0000-0000367C0000}"/>
    <cellStyle name="Percent 6 9 6" xfId="31794" xr:uid="{00000000-0005-0000-0000-0000377C0000}"/>
    <cellStyle name="Percent 6 9 7" xfId="31795" xr:uid="{00000000-0005-0000-0000-0000387C0000}"/>
    <cellStyle name="Percent 7" xfId="31796" xr:uid="{00000000-0005-0000-0000-0000397C0000}"/>
    <cellStyle name="Percent 7 10" xfId="31797" xr:uid="{00000000-0005-0000-0000-00003A7C0000}"/>
    <cellStyle name="Percent 7 10 2" xfId="31798" xr:uid="{00000000-0005-0000-0000-00003B7C0000}"/>
    <cellStyle name="Percent 7 10 2 2" xfId="31799" xr:uid="{00000000-0005-0000-0000-00003C7C0000}"/>
    <cellStyle name="Percent 7 10 2 2 2" xfId="31800" xr:uid="{00000000-0005-0000-0000-00003D7C0000}"/>
    <cellStyle name="Percent 7 10 2 2 3" xfId="31801" xr:uid="{00000000-0005-0000-0000-00003E7C0000}"/>
    <cellStyle name="Percent 7 10 2 3" xfId="31802" xr:uid="{00000000-0005-0000-0000-00003F7C0000}"/>
    <cellStyle name="Percent 7 10 2 3 2" xfId="31803" xr:uid="{00000000-0005-0000-0000-0000407C0000}"/>
    <cellStyle name="Percent 7 10 2 3 3" xfId="31804" xr:uid="{00000000-0005-0000-0000-0000417C0000}"/>
    <cellStyle name="Percent 7 10 2 4" xfId="31805" xr:uid="{00000000-0005-0000-0000-0000427C0000}"/>
    <cellStyle name="Percent 7 10 2 5" xfId="31806" xr:uid="{00000000-0005-0000-0000-0000437C0000}"/>
    <cellStyle name="Percent 7 10 2 6" xfId="31807" xr:uid="{00000000-0005-0000-0000-0000447C0000}"/>
    <cellStyle name="Percent 7 10 3" xfId="31808" xr:uid="{00000000-0005-0000-0000-0000457C0000}"/>
    <cellStyle name="Percent 7 10 3 2" xfId="31809" xr:uid="{00000000-0005-0000-0000-0000467C0000}"/>
    <cellStyle name="Percent 7 10 3 3" xfId="31810" xr:uid="{00000000-0005-0000-0000-0000477C0000}"/>
    <cellStyle name="Percent 7 10 4" xfId="31811" xr:uid="{00000000-0005-0000-0000-0000487C0000}"/>
    <cellStyle name="Percent 7 10 4 2" xfId="31812" xr:uid="{00000000-0005-0000-0000-0000497C0000}"/>
    <cellStyle name="Percent 7 10 4 3" xfId="31813" xr:uid="{00000000-0005-0000-0000-00004A7C0000}"/>
    <cellStyle name="Percent 7 10 5" xfId="31814" xr:uid="{00000000-0005-0000-0000-00004B7C0000}"/>
    <cellStyle name="Percent 7 10 6" xfId="31815" xr:uid="{00000000-0005-0000-0000-00004C7C0000}"/>
    <cellStyle name="Percent 7 10 7" xfId="31816" xr:uid="{00000000-0005-0000-0000-00004D7C0000}"/>
    <cellStyle name="Percent 7 11" xfId="31817" xr:uid="{00000000-0005-0000-0000-00004E7C0000}"/>
    <cellStyle name="Percent 7 11 2" xfId="31818" xr:uid="{00000000-0005-0000-0000-00004F7C0000}"/>
    <cellStyle name="Percent 7 11 2 2" xfId="31819" xr:uid="{00000000-0005-0000-0000-0000507C0000}"/>
    <cellStyle name="Percent 7 11 2 2 2" xfId="31820" xr:uid="{00000000-0005-0000-0000-0000517C0000}"/>
    <cellStyle name="Percent 7 11 2 2 3" xfId="31821" xr:uid="{00000000-0005-0000-0000-0000527C0000}"/>
    <cellStyle name="Percent 7 11 2 3" xfId="31822" xr:uid="{00000000-0005-0000-0000-0000537C0000}"/>
    <cellStyle name="Percent 7 11 2 3 2" xfId="31823" xr:uid="{00000000-0005-0000-0000-0000547C0000}"/>
    <cellStyle name="Percent 7 11 2 3 3" xfId="31824" xr:uid="{00000000-0005-0000-0000-0000557C0000}"/>
    <cellStyle name="Percent 7 11 2 4" xfId="31825" xr:uid="{00000000-0005-0000-0000-0000567C0000}"/>
    <cellStyle name="Percent 7 11 2 5" xfId="31826" xr:uid="{00000000-0005-0000-0000-0000577C0000}"/>
    <cellStyle name="Percent 7 11 2 6" xfId="31827" xr:uid="{00000000-0005-0000-0000-0000587C0000}"/>
    <cellStyle name="Percent 7 11 3" xfId="31828" xr:uid="{00000000-0005-0000-0000-0000597C0000}"/>
    <cellStyle name="Percent 7 11 3 2" xfId="31829" xr:uid="{00000000-0005-0000-0000-00005A7C0000}"/>
    <cellStyle name="Percent 7 11 3 3" xfId="31830" xr:uid="{00000000-0005-0000-0000-00005B7C0000}"/>
    <cellStyle name="Percent 7 11 4" xfId="31831" xr:uid="{00000000-0005-0000-0000-00005C7C0000}"/>
    <cellStyle name="Percent 7 11 4 2" xfId="31832" xr:uid="{00000000-0005-0000-0000-00005D7C0000}"/>
    <cellStyle name="Percent 7 11 4 3" xfId="31833" xr:uid="{00000000-0005-0000-0000-00005E7C0000}"/>
    <cellStyle name="Percent 7 11 5" xfId="31834" xr:uid="{00000000-0005-0000-0000-00005F7C0000}"/>
    <cellStyle name="Percent 7 11 6" xfId="31835" xr:uid="{00000000-0005-0000-0000-0000607C0000}"/>
    <cellStyle name="Percent 7 11 7" xfId="31836" xr:uid="{00000000-0005-0000-0000-0000617C0000}"/>
    <cellStyle name="Percent 7 12" xfId="31837" xr:uid="{00000000-0005-0000-0000-0000627C0000}"/>
    <cellStyle name="Percent 7 12 2" xfId="31838" xr:uid="{00000000-0005-0000-0000-0000637C0000}"/>
    <cellStyle name="Percent 7 12 2 2" xfId="31839" xr:uid="{00000000-0005-0000-0000-0000647C0000}"/>
    <cellStyle name="Percent 7 12 2 3" xfId="31840" xr:uid="{00000000-0005-0000-0000-0000657C0000}"/>
    <cellStyle name="Percent 7 12 3" xfId="31841" xr:uid="{00000000-0005-0000-0000-0000667C0000}"/>
    <cellStyle name="Percent 7 12 3 2" xfId="31842" xr:uid="{00000000-0005-0000-0000-0000677C0000}"/>
    <cellStyle name="Percent 7 12 3 3" xfId="31843" xr:uid="{00000000-0005-0000-0000-0000687C0000}"/>
    <cellStyle name="Percent 7 12 4" xfId="31844" xr:uid="{00000000-0005-0000-0000-0000697C0000}"/>
    <cellStyle name="Percent 7 12 5" xfId="31845" xr:uid="{00000000-0005-0000-0000-00006A7C0000}"/>
    <cellStyle name="Percent 7 12 6" xfId="31846" xr:uid="{00000000-0005-0000-0000-00006B7C0000}"/>
    <cellStyle name="Percent 7 13" xfId="31847" xr:uid="{00000000-0005-0000-0000-00006C7C0000}"/>
    <cellStyle name="Percent 7 13 2" xfId="31848" xr:uid="{00000000-0005-0000-0000-00006D7C0000}"/>
    <cellStyle name="Percent 7 13 3" xfId="31849" xr:uid="{00000000-0005-0000-0000-00006E7C0000}"/>
    <cellStyle name="Percent 7 14" xfId="31850" xr:uid="{00000000-0005-0000-0000-00006F7C0000}"/>
    <cellStyle name="Percent 7 14 2" xfId="31851" xr:uid="{00000000-0005-0000-0000-0000707C0000}"/>
    <cellStyle name="Percent 7 14 3" xfId="31852" xr:uid="{00000000-0005-0000-0000-0000717C0000}"/>
    <cellStyle name="Percent 7 15" xfId="31853" xr:uid="{00000000-0005-0000-0000-0000727C0000}"/>
    <cellStyle name="Percent 7 16" xfId="31854" xr:uid="{00000000-0005-0000-0000-0000737C0000}"/>
    <cellStyle name="Percent 7 17" xfId="31855" xr:uid="{00000000-0005-0000-0000-0000747C0000}"/>
    <cellStyle name="Percent 7 2" xfId="31856" xr:uid="{00000000-0005-0000-0000-0000757C0000}"/>
    <cellStyle name="Percent 7 2 2" xfId="31857" xr:uid="{00000000-0005-0000-0000-0000767C0000}"/>
    <cellStyle name="Percent 7 2 2 2" xfId="31858" xr:uid="{00000000-0005-0000-0000-0000777C0000}"/>
    <cellStyle name="Percent 7 2 2 2 2" xfId="31859" xr:uid="{00000000-0005-0000-0000-0000787C0000}"/>
    <cellStyle name="Percent 7 2 2 2 3" xfId="31860" xr:uid="{00000000-0005-0000-0000-0000797C0000}"/>
    <cellStyle name="Percent 7 2 2 3" xfId="31861" xr:uid="{00000000-0005-0000-0000-00007A7C0000}"/>
    <cellStyle name="Percent 7 2 2 3 2" xfId="31862" xr:uid="{00000000-0005-0000-0000-00007B7C0000}"/>
    <cellStyle name="Percent 7 2 2 3 3" xfId="31863" xr:uid="{00000000-0005-0000-0000-00007C7C0000}"/>
    <cellStyle name="Percent 7 2 2 4" xfId="31864" xr:uid="{00000000-0005-0000-0000-00007D7C0000}"/>
    <cellStyle name="Percent 7 2 2 5" xfId="31865" xr:uid="{00000000-0005-0000-0000-00007E7C0000}"/>
    <cellStyle name="Percent 7 2 2 6" xfId="31866" xr:uid="{00000000-0005-0000-0000-00007F7C0000}"/>
    <cellStyle name="Percent 7 2 3" xfId="31867" xr:uid="{00000000-0005-0000-0000-0000807C0000}"/>
    <cellStyle name="Percent 7 2 3 2" xfId="31868" xr:uid="{00000000-0005-0000-0000-0000817C0000}"/>
    <cellStyle name="Percent 7 2 3 3" xfId="31869" xr:uid="{00000000-0005-0000-0000-0000827C0000}"/>
    <cellStyle name="Percent 7 2 4" xfId="31870" xr:uid="{00000000-0005-0000-0000-0000837C0000}"/>
    <cellStyle name="Percent 7 2 4 2" xfId="31871" xr:uid="{00000000-0005-0000-0000-0000847C0000}"/>
    <cellStyle name="Percent 7 2 4 3" xfId="31872" xr:uid="{00000000-0005-0000-0000-0000857C0000}"/>
    <cellStyle name="Percent 7 2 5" xfId="31873" xr:uid="{00000000-0005-0000-0000-0000867C0000}"/>
    <cellStyle name="Percent 7 2 6" xfId="31874" xr:uid="{00000000-0005-0000-0000-0000877C0000}"/>
    <cellStyle name="Percent 7 2 7" xfId="31875" xr:uid="{00000000-0005-0000-0000-0000887C0000}"/>
    <cellStyle name="Percent 7 3" xfId="31876" xr:uid="{00000000-0005-0000-0000-0000897C0000}"/>
    <cellStyle name="Percent 7 3 2" xfId="31877" xr:uid="{00000000-0005-0000-0000-00008A7C0000}"/>
    <cellStyle name="Percent 7 3 2 2" xfId="31878" xr:uid="{00000000-0005-0000-0000-00008B7C0000}"/>
    <cellStyle name="Percent 7 3 2 2 2" xfId="31879" xr:uid="{00000000-0005-0000-0000-00008C7C0000}"/>
    <cellStyle name="Percent 7 3 2 2 3" xfId="31880" xr:uid="{00000000-0005-0000-0000-00008D7C0000}"/>
    <cellStyle name="Percent 7 3 2 3" xfId="31881" xr:uid="{00000000-0005-0000-0000-00008E7C0000}"/>
    <cellStyle name="Percent 7 3 2 3 2" xfId="31882" xr:uid="{00000000-0005-0000-0000-00008F7C0000}"/>
    <cellStyle name="Percent 7 3 2 3 3" xfId="31883" xr:uid="{00000000-0005-0000-0000-0000907C0000}"/>
    <cellStyle name="Percent 7 3 2 4" xfId="31884" xr:uid="{00000000-0005-0000-0000-0000917C0000}"/>
    <cellStyle name="Percent 7 3 2 5" xfId="31885" xr:uid="{00000000-0005-0000-0000-0000927C0000}"/>
    <cellStyle name="Percent 7 3 2 6" xfId="31886" xr:uid="{00000000-0005-0000-0000-0000937C0000}"/>
    <cellStyle name="Percent 7 3 3" xfId="31887" xr:uid="{00000000-0005-0000-0000-0000947C0000}"/>
    <cellStyle name="Percent 7 3 3 2" xfId="31888" xr:uid="{00000000-0005-0000-0000-0000957C0000}"/>
    <cellStyle name="Percent 7 3 3 3" xfId="31889" xr:uid="{00000000-0005-0000-0000-0000967C0000}"/>
    <cellStyle name="Percent 7 3 4" xfId="31890" xr:uid="{00000000-0005-0000-0000-0000977C0000}"/>
    <cellStyle name="Percent 7 3 4 2" xfId="31891" xr:uid="{00000000-0005-0000-0000-0000987C0000}"/>
    <cellStyle name="Percent 7 3 4 3" xfId="31892" xr:uid="{00000000-0005-0000-0000-0000997C0000}"/>
    <cellStyle name="Percent 7 3 5" xfId="31893" xr:uid="{00000000-0005-0000-0000-00009A7C0000}"/>
    <cellStyle name="Percent 7 3 6" xfId="31894" xr:uid="{00000000-0005-0000-0000-00009B7C0000}"/>
    <cellStyle name="Percent 7 3 7" xfId="31895" xr:uid="{00000000-0005-0000-0000-00009C7C0000}"/>
    <cellStyle name="Percent 7 4" xfId="31896" xr:uid="{00000000-0005-0000-0000-00009D7C0000}"/>
    <cellStyle name="Percent 7 4 2" xfId="31897" xr:uid="{00000000-0005-0000-0000-00009E7C0000}"/>
    <cellStyle name="Percent 7 4 2 2" xfId="31898" xr:uid="{00000000-0005-0000-0000-00009F7C0000}"/>
    <cellStyle name="Percent 7 4 2 2 2" xfId="31899" xr:uid="{00000000-0005-0000-0000-0000A07C0000}"/>
    <cellStyle name="Percent 7 4 2 2 3" xfId="31900" xr:uid="{00000000-0005-0000-0000-0000A17C0000}"/>
    <cellStyle name="Percent 7 4 2 3" xfId="31901" xr:uid="{00000000-0005-0000-0000-0000A27C0000}"/>
    <cellStyle name="Percent 7 4 2 3 2" xfId="31902" xr:uid="{00000000-0005-0000-0000-0000A37C0000}"/>
    <cellStyle name="Percent 7 4 2 3 3" xfId="31903" xr:uid="{00000000-0005-0000-0000-0000A47C0000}"/>
    <cellStyle name="Percent 7 4 2 4" xfId="31904" xr:uid="{00000000-0005-0000-0000-0000A57C0000}"/>
    <cellStyle name="Percent 7 4 2 5" xfId="31905" xr:uid="{00000000-0005-0000-0000-0000A67C0000}"/>
    <cellStyle name="Percent 7 4 2 6" xfId="31906" xr:uid="{00000000-0005-0000-0000-0000A77C0000}"/>
    <cellStyle name="Percent 7 4 3" xfId="31907" xr:uid="{00000000-0005-0000-0000-0000A87C0000}"/>
    <cellStyle name="Percent 7 4 3 2" xfId="31908" xr:uid="{00000000-0005-0000-0000-0000A97C0000}"/>
    <cellStyle name="Percent 7 4 3 3" xfId="31909" xr:uid="{00000000-0005-0000-0000-0000AA7C0000}"/>
    <cellStyle name="Percent 7 4 4" xfId="31910" xr:uid="{00000000-0005-0000-0000-0000AB7C0000}"/>
    <cellStyle name="Percent 7 4 4 2" xfId="31911" xr:uid="{00000000-0005-0000-0000-0000AC7C0000}"/>
    <cellStyle name="Percent 7 4 4 3" xfId="31912" xr:uid="{00000000-0005-0000-0000-0000AD7C0000}"/>
    <cellStyle name="Percent 7 4 5" xfId="31913" xr:uid="{00000000-0005-0000-0000-0000AE7C0000}"/>
    <cellStyle name="Percent 7 4 6" xfId="31914" xr:uid="{00000000-0005-0000-0000-0000AF7C0000}"/>
    <cellStyle name="Percent 7 4 7" xfId="31915" xr:uid="{00000000-0005-0000-0000-0000B07C0000}"/>
    <cellStyle name="Percent 7 5" xfId="31916" xr:uid="{00000000-0005-0000-0000-0000B17C0000}"/>
    <cellStyle name="Percent 7 5 2" xfId="31917" xr:uid="{00000000-0005-0000-0000-0000B27C0000}"/>
    <cellStyle name="Percent 7 5 2 2" xfId="31918" xr:uid="{00000000-0005-0000-0000-0000B37C0000}"/>
    <cellStyle name="Percent 7 5 2 2 2" xfId="31919" xr:uid="{00000000-0005-0000-0000-0000B47C0000}"/>
    <cellStyle name="Percent 7 5 2 2 3" xfId="31920" xr:uid="{00000000-0005-0000-0000-0000B57C0000}"/>
    <cellStyle name="Percent 7 5 2 3" xfId="31921" xr:uid="{00000000-0005-0000-0000-0000B67C0000}"/>
    <cellStyle name="Percent 7 5 2 3 2" xfId="31922" xr:uid="{00000000-0005-0000-0000-0000B77C0000}"/>
    <cellStyle name="Percent 7 5 2 3 3" xfId="31923" xr:uid="{00000000-0005-0000-0000-0000B87C0000}"/>
    <cellStyle name="Percent 7 5 2 4" xfId="31924" xr:uid="{00000000-0005-0000-0000-0000B97C0000}"/>
    <cellStyle name="Percent 7 5 2 5" xfId="31925" xr:uid="{00000000-0005-0000-0000-0000BA7C0000}"/>
    <cellStyle name="Percent 7 5 2 6" xfId="31926" xr:uid="{00000000-0005-0000-0000-0000BB7C0000}"/>
    <cellStyle name="Percent 7 5 3" xfId="31927" xr:uid="{00000000-0005-0000-0000-0000BC7C0000}"/>
    <cellStyle name="Percent 7 5 3 2" xfId="31928" xr:uid="{00000000-0005-0000-0000-0000BD7C0000}"/>
    <cellStyle name="Percent 7 5 3 3" xfId="31929" xr:uid="{00000000-0005-0000-0000-0000BE7C0000}"/>
    <cellStyle name="Percent 7 5 4" xfId="31930" xr:uid="{00000000-0005-0000-0000-0000BF7C0000}"/>
    <cellStyle name="Percent 7 5 4 2" xfId="31931" xr:uid="{00000000-0005-0000-0000-0000C07C0000}"/>
    <cellStyle name="Percent 7 5 4 3" xfId="31932" xr:uid="{00000000-0005-0000-0000-0000C17C0000}"/>
    <cellStyle name="Percent 7 5 5" xfId="31933" xr:uid="{00000000-0005-0000-0000-0000C27C0000}"/>
    <cellStyle name="Percent 7 5 6" xfId="31934" xr:uid="{00000000-0005-0000-0000-0000C37C0000}"/>
    <cellStyle name="Percent 7 5 7" xfId="31935" xr:uid="{00000000-0005-0000-0000-0000C47C0000}"/>
    <cellStyle name="Percent 7 6" xfId="31936" xr:uid="{00000000-0005-0000-0000-0000C57C0000}"/>
    <cellStyle name="Percent 7 6 2" xfId="31937" xr:uid="{00000000-0005-0000-0000-0000C67C0000}"/>
    <cellStyle name="Percent 7 6 2 2" xfId="31938" xr:uid="{00000000-0005-0000-0000-0000C77C0000}"/>
    <cellStyle name="Percent 7 6 2 2 2" xfId="31939" xr:uid="{00000000-0005-0000-0000-0000C87C0000}"/>
    <cellStyle name="Percent 7 6 2 2 3" xfId="31940" xr:uid="{00000000-0005-0000-0000-0000C97C0000}"/>
    <cellStyle name="Percent 7 6 2 3" xfId="31941" xr:uid="{00000000-0005-0000-0000-0000CA7C0000}"/>
    <cellStyle name="Percent 7 6 2 3 2" xfId="31942" xr:uid="{00000000-0005-0000-0000-0000CB7C0000}"/>
    <cellStyle name="Percent 7 6 2 3 3" xfId="31943" xr:uid="{00000000-0005-0000-0000-0000CC7C0000}"/>
    <cellStyle name="Percent 7 6 2 4" xfId="31944" xr:uid="{00000000-0005-0000-0000-0000CD7C0000}"/>
    <cellStyle name="Percent 7 6 2 5" xfId="31945" xr:uid="{00000000-0005-0000-0000-0000CE7C0000}"/>
    <cellStyle name="Percent 7 6 2 6" xfId="31946" xr:uid="{00000000-0005-0000-0000-0000CF7C0000}"/>
    <cellStyle name="Percent 7 6 3" xfId="31947" xr:uid="{00000000-0005-0000-0000-0000D07C0000}"/>
    <cellStyle name="Percent 7 6 3 2" xfId="31948" xr:uid="{00000000-0005-0000-0000-0000D17C0000}"/>
    <cellStyle name="Percent 7 6 3 3" xfId="31949" xr:uid="{00000000-0005-0000-0000-0000D27C0000}"/>
    <cellStyle name="Percent 7 6 4" xfId="31950" xr:uid="{00000000-0005-0000-0000-0000D37C0000}"/>
    <cellStyle name="Percent 7 6 4 2" xfId="31951" xr:uid="{00000000-0005-0000-0000-0000D47C0000}"/>
    <cellStyle name="Percent 7 6 4 3" xfId="31952" xr:uid="{00000000-0005-0000-0000-0000D57C0000}"/>
    <cellStyle name="Percent 7 6 5" xfId="31953" xr:uid="{00000000-0005-0000-0000-0000D67C0000}"/>
    <cellStyle name="Percent 7 6 6" xfId="31954" xr:uid="{00000000-0005-0000-0000-0000D77C0000}"/>
    <cellStyle name="Percent 7 6 7" xfId="31955" xr:uid="{00000000-0005-0000-0000-0000D87C0000}"/>
    <cellStyle name="Percent 7 7" xfId="31956" xr:uid="{00000000-0005-0000-0000-0000D97C0000}"/>
    <cellStyle name="Percent 7 7 2" xfId="31957" xr:uid="{00000000-0005-0000-0000-0000DA7C0000}"/>
    <cellStyle name="Percent 7 7 2 2" xfId="31958" xr:uid="{00000000-0005-0000-0000-0000DB7C0000}"/>
    <cellStyle name="Percent 7 7 2 2 2" xfId="31959" xr:uid="{00000000-0005-0000-0000-0000DC7C0000}"/>
    <cellStyle name="Percent 7 7 2 2 3" xfId="31960" xr:uid="{00000000-0005-0000-0000-0000DD7C0000}"/>
    <cellStyle name="Percent 7 7 2 3" xfId="31961" xr:uid="{00000000-0005-0000-0000-0000DE7C0000}"/>
    <cellStyle name="Percent 7 7 2 3 2" xfId="31962" xr:uid="{00000000-0005-0000-0000-0000DF7C0000}"/>
    <cellStyle name="Percent 7 7 2 3 3" xfId="31963" xr:uid="{00000000-0005-0000-0000-0000E07C0000}"/>
    <cellStyle name="Percent 7 7 2 4" xfId="31964" xr:uid="{00000000-0005-0000-0000-0000E17C0000}"/>
    <cellStyle name="Percent 7 7 2 5" xfId="31965" xr:uid="{00000000-0005-0000-0000-0000E27C0000}"/>
    <cellStyle name="Percent 7 7 2 6" xfId="31966" xr:uid="{00000000-0005-0000-0000-0000E37C0000}"/>
    <cellStyle name="Percent 7 7 3" xfId="31967" xr:uid="{00000000-0005-0000-0000-0000E47C0000}"/>
    <cellStyle name="Percent 7 7 3 2" xfId="31968" xr:uid="{00000000-0005-0000-0000-0000E57C0000}"/>
    <cellStyle name="Percent 7 7 3 3" xfId="31969" xr:uid="{00000000-0005-0000-0000-0000E67C0000}"/>
    <cellStyle name="Percent 7 7 4" xfId="31970" xr:uid="{00000000-0005-0000-0000-0000E77C0000}"/>
    <cellStyle name="Percent 7 7 4 2" xfId="31971" xr:uid="{00000000-0005-0000-0000-0000E87C0000}"/>
    <cellStyle name="Percent 7 7 4 3" xfId="31972" xr:uid="{00000000-0005-0000-0000-0000E97C0000}"/>
    <cellStyle name="Percent 7 7 5" xfId="31973" xr:uid="{00000000-0005-0000-0000-0000EA7C0000}"/>
    <cellStyle name="Percent 7 7 6" xfId="31974" xr:uid="{00000000-0005-0000-0000-0000EB7C0000}"/>
    <cellStyle name="Percent 7 7 7" xfId="31975" xr:uid="{00000000-0005-0000-0000-0000EC7C0000}"/>
    <cellStyle name="Percent 7 8" xfId="31976" xr:uid="{00000000-0005-0000-0000-0000ED7C0000}"/>
    <cellStyle name="Percent 7 8 2" xfId="31977" xr:uid="{00000000-0005-0000-0000-0000EE7C0000}"/>
    <cellStyle name="Percent 7 8 2 2" xfId="31978" xr:uid="{00000000-0005-0000-0000-0000EF7C0000}"/>
    <cellStyle name="Percent 7 8 2 2 2" xfId="31979" xr:uid="{00000000-0005-0000-0000-0000F07C0000}"/>
    <cellStyle name="Percent 7 8 2 2 3" xfId="31980" xr:uid="{00000000-0005-0000-0000-0000F17C0000}"/>
    <cellStyle name="Percent 7 8 2 3" xfId="31981" xr:uid="{00000000-0005-0000-0000-0000F27C0000}"/>
    <cellStyle name="Percent 7 8 2 3 2" xfId="31982" xr:uid="{00000000-0005-0000-0000-0000F37C0000}"/>
    <cellStyle name="Percent 7 8 2 3 3" xfId="31983" xr:uid="{00000000-0005-0000-0000-0000F47C0000}"/>
    <cellStyle name="Percent 7 8 2 4" xfId="31984" xr:uid="{00000000-0005-0000-0000-0000F57C0000}"/>
    <cellStyle name="Percent 7 8 2 5" xfId="31985" xr:uid="{00000000-0005-0000-0000-0000F67C0000}"/>
    <cellStyle name="Percent 7 8 2 6" xfId="31986" xr:uid="{00000000-0005-0000-0000-0000F77C0000}"/>
    <cellStyle name="Percent 7 8 3" xfId="31987" xr:uid="{00000000-0005-0000-0000-0000F87C0000}"/>
    <cellStyle name="Percent 7 8 3 2" xfId="31988" xr:uid="{00000000-0005-0000-0000-0000F97C0000}"/>
    <cellStyle name="Percent 7 8 3 3" xfId="31989" xr:uid="{00000000-0005-0000-0000-0000FA7C0000}"/>
    <cellStyle name="Percent 7 8 4" xfId="31990" xr:uid="{00000000-0005-0000-0000-0000FB7C0000}"/>
    <cellStyle name="Percent 7 8 4 2" xfId="31991" xr:uid="{00000000-0005-0000-0000-0000FC7C0000}"/>
    <cellStyle name="Percent 7 8 4 3" xfId="31992" xr:uid="{00000000-0005-0000-0000-0000FD7C0000}"/>
    <cellStyle name="Percent 7 8 5" xfId="31993" xr:uid="{00000000-0005-0000-0000-0000FE7C0000}"/>
    <cellStyle name="Percent 7 8 6" xfId="31994" xr:uid="{00000000-0005-0000-0000-0000FF7C0000}"/>
    <cellStyle name="Percent 7 8 7" xfId="31995" xr:uid="{00000000-0005-0000-0000-0000007D0000}"/>
    <cellStyle name="Percent 7 9" xfId="31996" xr:uid="{00000000-0005-0000-0000-0000017D0000}"/>
    <cellStyle name="Percent 7 9 2" xfId="31997" xr:uid="{00000000-0005-0000-0000-0000027D0000}"/>
    <cellStyle name="Percent 7 9 2 2" xfId="31998" xr:uid="{00000000-0005-0000-0000-0000037D0000}"/>
    <cellStyle name="Percent 7 9 2 2 2" xfId="31999" xr:uid="{00000000-0005-0000-0000-0000047D0000}"/>
    <cellStyle name="Percent 7 9 2 2 3" xfId="32000" xr:uid="{00000000-0005-0000-0000-0000057D0000}"/>
    <cellStyle name="Percent 7 9 2 3" xfId="32001" xr:uid="{00000000-0005-0000-0000-0000067D0000}"/>
    <cellStyle name="Percent 7 9 2 3 2" xfId="32002" xr:uid="{00000000-0005-0000-0000-0000077D0000}"/>
    <cellStyle name="Percent 7 9 2 3 3" xfId="32003" xr:uid="{00000000-0005-0000-0000-0000087D0000}"/>
    <cellStyle name="Percent 7 9 2 4" xfId="32004" xr:uid="{00000000-0005-0000-0000-0000097D0000}"/>
    <cellStyle name="Percent 7 9 2 5" xfId="32005" xr:uid="{00000000-0005-0000-0000-00000A7D0000}"/>
    <cellStyle name="Percent 7 9 2 6" xfId="32006" xr:uid="{00000000-0005-0000-0000-00000B7D0000}"/>
    <cellStyle name="Percent 7 9 3" xfId="32007" xr:uid="{00000000-0005-0000-0000-00000C7D0000}"/>
    <cellStyle name="Percent 7 9 3 2" xfId="32008" xr:uid="{00000000-0005-0000-0000-00000D7D0000}"/>
    <cellStyle name="Percent 7 9 3 3" xfId="32009" xr:uid="{00000000-0005-0000-0000-00000E7D0000}"/>
    <cellStyle name="Percent 7 9 4" xfId="32010" xr:uid="{00000000-0005-0000-0000-00000F7D0000}"/>
    <cellStyle name="Percent 7 9 4 2" xfId="32011" xr:uid="{00000000-0005-0000-0000-0000107D0000}"/>
    <cellStyle name="Percent 7 9 4 3" xfId="32012" xr:uid="{00000000-0005-0000-0000-0000117D0000}"/>
    <cellStyle name="Percent 7 9 5" xfId="32013" xr:uid="{00000000-0005-0000-0000-0000127D0000}"/>
    <cellStyle name="Percent 7 9 6" xfId="32014" xr:uid="{00000000-0005-0000-0000-0000137D0000}"/>
    <cellStyle name="Percent 7 9 7" xfId="32015" xr:uid="{00000000-0005-0000-0000-0000147D0000}"/>
    <cellStyle name="Percent 8" xfId="32016" xr:uid="{00000000-0005-0000-0000-0000157D0000}"/>
    <cellStyle name="Percent 8 10" xfId="32017" xr:uid="{00000000-0005-0000-0000-0000167D0000}"/>
    <cellStyle name="Percent 8 10 2" xfId="32018" xr:uid="{00000000-0005-0000-0000-0000177D0000}"/>
    <cellStyle name="Percent 8 10 2 2" xfId="32019" xr:uid="{00000000-0005-0000-0000-0000187D0000}"/>
    <cellStyle name="Percent 8 10 2 2 2" xfId="32020" xr:uid="{00000000-0005-0000-0000-0000197D0000}"/>
    <cellStyle name="Percent 8 10 2 2 3" xfId="32021" xr:uid="{00000000-0005-0000-0000-00001A7D0000}"/>
    <cellStyle name="Percent 8 10 2 3" xfId="32022" xr:uid="{00000000-0005-0000-0000-00001B7D0000}"/>
    <cellStyle name="Percent 8 10 2 3 2" xfId="32023" xr:uid="{00000000-0005-0000-0000-00001C7D0000}"/>
    <cellStyle name="Percent 8 10 2 3 3" xfId="32024" xr:uid="{00000000-0005-0000-0000-00001D7D0000}"/>
    <cellStyle name="Percent 8 10 2 4" xfId="32025" xr:uid="{00000000-0005-0000-0000-00001E7D0000}"/>
    <cellStyle name="Percent 8 10 2 5" xfId="32026" xr:uid="{00000000-0005-0000-0000-00001F7D0000}"/>
    <cellStyle name="Percent 8 10 2 6" xfId="32027" xr:uid="{00000000-0005-0000-0000-0000207D0000}"/>
    <cellStyle name="Percent 8 10 3" xfId="32028" xr:uid="{00000000-0005-0000-0000-0000217D0000}"/>
    <cellStyle name="Percent 8 10 3 2" xfId="32029" xr:uid="{00000000-0005-0000-0000-0000227D0000}"/>
    <cellStyle name="Percent 8 10 3 3" xfId="32030" xr:uid="{00000000-0005-0000-0000-0000237D0000}"/>
    <cellStyle name="Percent 8 10 4" xfId="32031" xr:uid="{00000000-0005-0000-0000-0000247D0000}"/>
    <cellStyle name="Percent 8 10 4 2" xfId="32032" xr:uid="{00000000-0005-0000-0000-0000257D0000}"/>
    <cellStyle name="Percent 8 10 4 3" xfId="32033" xr:uid="{00000000-0005-0000-0000-0000267D0000}"/>
    <cellStyle name="Percent 8 10 5" xfId="32034" xr:uid="{00000000-0005-0000-0000-0000277D0000}"/>
    <cellStyle name="Percent 8 10 6" xfId="32035" xr:uid="{00000000-0005-0000-0000-0000287D0000}"/>
    <cellStyle name="Percent 8 10 7" xfId="32036" xr:uid="{00000000-0005-0000-0000-0000297D0000}"/>
    <cellStyle name="Percent 8 11" xfId="32037" xr:uid="{00000000-0005-0000-0000-00002A7D0000}"/>
    <cellStyle name="Percent 8 11 2" xfId="32038" xr:uid="{00000000-0005-0000-0000-00002B7D0000}"/>
    <cellStyle name="Percent 8 11 2 2" xfId="32039" xr:uid="{00000000-0005-0000-0000-00002C7D0000}"/>
    <cellStyle name="Percent 8 11 2 2 2" xfId="32040" xr:uid="{00000000-0005-0000-0000-00002D7D0000}"/>
    <cellStyle name="Percent 8 11 2 2 3" xfId="32041" xr:uid="{00000000-0005-0000-0000-00002E7D0000}"/>
    <cellStyle name="Percent 8 11 2 3" xfId="32042" xr:uid="{00000000-0005-0000-0000-00002F7D0000}"/>
    <cellStyle name="Percent 8 11 2 3 2" xfId="32043" xr:uid="{00000000-0005-0000-0000-0000307D0000}"/>
    <cellStyle name="Percent 8 11 2 3 3" xfId="32044" xr:uid="{00000000-0005-0000-0000-0000317D0000}"/>
    <cellStyle name="Percent 8 11 2 4" xfId="32045" xr:uid="{00000000-0005-0000-0000-0000327D0000}"/>
    <cellStyle name="Percent 8 11 2 5" xfId="32046" xr:uid="{00000000-0005-0000-0000-0000337D0000}"/>
    <cellStyle name="Percent 8 11 2 6" xfId="32047" xr:uid="{00000000-0005-0000-0000-0000347D0000}"/>
    <cellStyle name="Percent 8 11 3" xfId="32048" xr:uid="{00000000-0005-0000-0000-0000357D0000}"/>
    <cellStyle name="Percent 8 11 3 2" xfId="32049" xr:uid="{00000000-0005-0000-0000-0000367D0000}"/>
    <cellStyle name="Percent 8 11 3 3" xfId="32050" xr:uid="{00000000-0005-0000-0000-0000377D0000}"/>
    <cellStyle name="Percent 8 11 4" xfId="32051" xr:uid="{00000000-0005-0000-0000-0000387D0000}"/>
    <cellStyle name="Percent 8 11 4 2" xfId="32052" xr:uid="{00000000-0005-0000-0000-0000397D0000}"/>
    <cellStyle name="Percent 8 11 4 3" xfId="32053" xr:uid="{00000000-0005-0000-0000-00003A7D0000}"/>
    <cellStyle name="Percent 8 11 5" xfId="32054" xr:uid="{00000000-0005-0000-0000-00003B7D0000}"/>
    <cellStyle name="Percent 8 11 6" xfId="32055" xr:uid="{00000000-0005-0000-0000-00003C7D0000}"/>
    <cellStyle name="Percent 8 11 7" xfId="32056" xr:uid="{00000000-0005-0000-0000-00003D7D0000}"/>
    <cellStyle name="Percent 8 12" xfId="32057" xr:uid="{00000000-0005-0000-0000-00003E7D0000}"/>
    <cellStyle name="Percent 8 12 2" xfId="32058" xr:uid="{00000000-0005-0000-0000-00003F7D0000}"/>
    <cellStyle name="Percent 8 12 2 2" xfId="32059" xr:uid="{00000000-0005-0000-0000-0000407D0000}"/>
    <cellStyle name="Percent 8 12 2 3" xfId="32060" xr:uid="{00000000-0005-0000-0000-0000417D0000}"/>
    <cellStyle name="Percent 8 12 3" xfId="32061" xr:uid="{00000000-0005-0000-0000-0000427D0000}"/>
    <cellStyle name="Percent 8 12 3 2" xfId="32062" xr:uid="{00000000-0005-0000-0000-0000437D0000}"/>
    <cellStyle name="Percent 8 12 3 3" xfId="32063" xr:uid="{00000000-0005-0000-0000-0000447D0000}"/>
    <cellStyle name="Percent 8 12 4" xfId="32064" xr:uid="{00000000-0005-0000-0000-0000457D0000}"/>
    <cellStyle name="Percent 8 12 5" xfId="32065" xr:uid="{00000000-0005-0000-0000-0000467D0000}"/>
    <cellStyle name="Percent 8 12 6" xfId="32066" xr:uid="{00000000-0005-0000-0000-0000477D0000}"/>
    <cellStyle name="Percent 8 13" xfId="32067" xr:uid="{00000000-0005-0000-0000-0000487D0000}"/>
    <cellStyle name="Percent 8 13 2" xfId="32068" xr:uid="{00000000-0005-0000-0000-0000497D0000}"/>
    <cellStyle name="Percent 8 13 3" xfId="32069" xr:uid="{00000000-0005-0000-0000-00004A7D0000}"/>
    <cellStyle name="Percent 8 14" xfId="32070" xr:uid="{00000000-0005-0000-0000-00004B7D0000}"/>
    <cellStyle name="Percent 8 14 2" xfId="32071" xr:uid="{00000000-0005-0000-0000-00004C7D0000}"/>
    <cellStyle name="Percent 8 14 3" xfId="32072" xr:uid="{00000000-0005-0000-0000-00004D7D0000}"/>
    <cellStyle name="Percent 8 15" xfId="32073" xr:uid="{00000000-0005-0000-0000-00004E7D0000}"/>
    <cellStyle name="Percent 8 16" xfId="32074" xr:uid="{00000000-0005-0000-0000-00004F7D0000}"/>
    <cellStyle name="Percent 8 17" xfId="32075" xr:uid="{00000000-0005-0000-0000-0000507D0000}"/>
    <cellStyle name="Percent 8 2" xfId="32076" xr:uid="{00000000-0005-0000-0000-0000517D0000}"/>
    <cellStyle name="Percent 8 2 2" xfId="32077" xr:uid="{00000000-0005-0000-0000-0000527D0000}"/>
    <cellStyle name="Percent 8 2 2 2" xfId="32078" xr:uid="{00000000-0005-0000-0000-0000537D0000}"/>
    <cellStyle name="Percent 8 2 2 2 2" xfId="32079" xr:uid="{00000000-0005-0000-0000-0000547D0000}"/>
    <cellStyle name="Percent 8 2 2 2 3" xfId="32080" xr:uid="{00000000-0005-0000-0000-0000557D0000}"/>
    <cellStyle name="Percent 8 2 2 3" xfId="32081" xr:uid="{00000000-0005-0000-0000-0000567D0000}"/>
    <cellStyle name="Percent 8 2 2 3 2" xfId="32082" xr:uid="{00000000-0005-0000-0000-0000577D0000}"/>
    <cellStyle name="Percent 8 2 2 3 3" xfId="32083" xr:uid="{00000000-0005-0000-0000-0000587D0000}"/>
    <cellStyle name="Percent 8 2 2 4" xfId="32084" xr:uid="{00000000-0005-0000-0000-0000597D0000}"/>
    <cellStyle name="Percent 8 2 2 5" xfId="32085" xr:uid="{00000000-0005-0000-0000-00005A7D0000}"/>
    <cellStyle name="Percent 8 2 2 6" xfId="32086" xr:uid="{00000000-0005-0000-0000-00005B7D0000}"/>
    <cellStyle name="Percent 8 2 3" xfId="32087" xr:uid="{00000000-0005-0000-0000-00005C7D0000}"/>
    <cellStyle name="Percent 8 2 3 2" xfId="32088" xr:uid="{00000000-0005-0000-0000-00005D7D0000}"/>
    <cellStyle name="Percent 8 2 3 3" xfId="32089" xr:uid="{00000000-0005-0000-0000-00005E7D0000}"/>
    <cellStyle name="Percent 8 2 4" xfId="32090" xr:uid="{00000000-0005-0000-0000-00005F7D0000}"/>
    <cellStyle name="Percent 8 2 4 2" xfId="32091" xr:uid="{00000000-0005-0000-0000-0000607D0000}"/>
    <cellStyle name="Percent 8 2 4 3" xfId="32092" xr:uid="{00000000-0005-0000-0000-0000617D0000}"/>
    <cellStyle name="Percent 8 2 5" xfId="32093" xr:uid="{00000000-0005-0000-0000-0000627D0000}"/>
    <cellStyle name="Percent 8 2 6" xfId="32094" xr:uid="{00000000-0005-0000-0000-0000637D0000}"/>
    <cellStyle name="Percent 8 2 7" xfId="32095" xr:uid="{00000000-0005-0000-0000-0000647D0000}"/>
    <cellStyle name="Percent 8 3" xfId="32096" xr:uid="{00000000-0005-0000-0000-0000657D0000}"/>
    <cellStyle name="Percent 8 3 2" xfId="32097" xr:uid="{00000000-0005-0000-0000-0000667D0000}"/>
    <cellStyle name="Percent 8 3 2 2" xfId="32098" xr:uid="{00000000-0005-0000-0000-0000677D0000}"/>
    <cellStyle name="Percent 8 3 2 2 2" xfId="32099" xr:uid="{00000000-0005-0000-0000-0000687D0000}"/>
    <cellStyle name="Percent 8 3 2 2 3" xfId="32100" xr:uid="{00000000-0005-0000-0000-0000697D0000}"/>
    <cellStyle name="Percent 8 3 2 3" xfId="32101" xr:uid="{00000000-0005-0000-0000-00006A7D0000}"/>
    <cellStyle name="Percent 8 3 2 3 2" xfId="32102" xr:uid="{00000000-0005-0000-0000-00006B7D0000}"/>
    <cellStyle name="Percent 8 3 2 3 3" xfId="32103" xr:uid="{00000000-0005-0000-0000-00006C7D0000}"/>
    <cellStyle name="Percent 8 3 2 4" xfId="32104" xr:uid="{00000000-0005-0000-0000-00006D7D0000}"/>
    <cellStyle name="Percent 8 3 2 5" xfId="32105" xr:uid="{00000000-0005-0000-0000-00006E7D0000}"/>
    <cellStyle name="Percent 8 3 2 6" xfId="32106" xr:uid="{00000000-0005-0000-0000-00006F7D0000}"/>
    <cellStyle name="Percent 8 3 3" xfId="32107" xr:uid="{00000000-0005-0000-0000-0000707D0000}"/>
    <cellStyle name="Percent 8 3 3 2" xfId="32108" xr:uid="{00000000-0005-0000-0000-0000717D0000}"/>
    <cellStyle name="Percent 8 3 3 3" xfId="32109" xr:uid="{00000000-0005-0000-0000-0000727D0000}"/>
    <cellStyle name="Percent 8 3 4" xfId="32110" xr:uid="{00000000-0005-0000-0000-0000737D0000}"/>
    <cellStyle name="Percent 8 3 4 2" xfId="32111" xr:uid="{00000000-0005-0000-0000-0000747D0000}"/>
    <cellStyle name="Percent 8 3 4 3" xfId="32112" xr:uid="{00000000-0005-0000-0000-0000757D0000}"/>
    <cellStyle name="Percent 8 3 5" xfId="32113" xr:uid="{00000000-0005-0000-0000-0000767D0000}"/>
    <cellStyle name="Percent 8 3 6" xfId="32114" xr:uid="{00000000-0005-0000-0000-0000777D0000}"/>
    <cellStyle name="Percent 8 3 7" xfId="32115" xr:uid="{00000000-0005-0000-0000-0000787D0000}"/>
    <cellStyle name="Percent 8 4" xfId="32116" xr:uid="{00000000-0005-0000-0000-0000797D0000}"/>
    <cellStyle name="Percent 8 4 2" xfId="32117" xr:uid="{00000000-0005-0000-0000-00007A7D0000}"/>
    <cellStyle name="Percent 8 4 2 2" xfId="32118" xr:uid="{00000000-0005-0000-0000-00007B7D0000}"/>
    <cellStyle name="Percent 8 4 2 2 2" xfId="32119" xr:uid="{00000000-0005-0000-0000-00007C7D0000}"/>
    <cellStyle name="Percent 8 4 2 2 3" xfId="32120" xr:uid="{00000000-0005-0000-0000-00007D7D0000}"/>
    <cellStyle name="Percent 8 4 2 3" xfId="32121" xr:uid="{00000000-0005-0000-0000-00007E7D0000}"/>
    <cellStyle name="Percent 8 4 2 3 2" xfId="32122" xr:uid="{00000000-0005-0000-0000-00007F7D0000}"/>
    <cellStyle name="Percent 8 4 2 3 3" xfId="32123" xr:uid="{00000000-0005-0000-0000-0000807D0000}"/>
    <cellStyle name="Percent 8 4 2 4" xfId="32124" xr:uid="{00000000-0005-0000-0000-0000817D0000}"/>
    <cellStyle name="Percent 8 4 2 5" xfId="32125" xr:uid="{00000000-0005-0000-0000-0000827D0000}"/>
    <cellStyle name="Percent 8 4 2 6" xfId="32126" xr:uid="{00000000-0005-0000-0000-0000837D0000}"/>
    <cellStyle name="Percent 8 4 3" xfId="32127" xr:uid="{00000000-0005-0000-0000-0000847D0000}"/>
    <cellStyle name="Percent 8 4 3 2" xfId="32128" xr:uid="{00000000-0005-0000-0000-0000857D0000}"/>
    <cellStyle name="Percent 8 4 3 3" xfId="32129" xr:uid="{00000000-0005-0000-0000-0000867D0000}"/>
    <cellStyle name="Percent 8 4 4" xfId="32130" xr:uid="{00000000-0005-0000-0000-0000877D0000}"/>
    <cellStyle name="Percent 8 4 4 2" xfId="32131" xr:uid="{00000000-0005-0000-0000-0000887D0000}"/>
    <cellStyle name="Percent 8 4 4 3" xfId="32132" xr:uid="{00000000-0005-0000-0000-0000897D0000}"/>
    <cellStyle name="Percent 8 4 5" xfId="32133" xr:uid="{00000000-0005-0000-0000-00008A7D0000}"/>
    <cellStyle name="Percent 8 4 6" xfId="32134" xr:uid="{00000000-0005-0000-0000-00008B7D0000}"/>
    <cellStyle name="Percent 8 4 7" xfId="32135" xr:uid="{00000000-0005-0000-0000-00008C7D0000}"/>
    <cellStyle name="Percent 8 5" xfId="32136" xr:uid="{00000000-0005-0000-0000-00008D7D0000}"/>
    <cellStyle name="Percent 8 5 2" xfId="32137" xr:uid="{00000000-0005-0000-0000-00008E7D0000}"/>
    <cellStyle name="Percent 8 5 2 2" xfId="32138" xr:uid="{00000000-0005-0000-0000-00008F7D0000}"/>
    <cellStyle name="Percent 8 5 2 2 2" xfId="32139" xr:uid="{00000000-0005-0000-0000-0000907D0000}"/>
    <cellStyle name="Percent 8 5 2 2 3" xfId="32140" xr:uid="{00000000-0005-0000-0000-0000917D0000}"/>
    <cellStyle name="Percent 8 5 2 3" xfId="32141" xr:uid="{00000000-0005-0000-0000-0000927D0000}"/>
    <cellStyle name="Percent 8 5 2 3 2" xfId="32142" xr:uid="{00000000-0005-0000-0000-0000937D0000}"/>
    <cellStyle name="Percent 8 5 2 3 3" xfId="32143" xr:uid="{00000000-0005-0000-0000-0000947D0000}"/>
    <cellStyle name="Percent 8 5 2 4" xfId="32144" xr:uid="{00000000-0005-0000-0000-0000957D0000}"/>
    <cellStyle name="Percent 8 5 2 5" xfId="32145" xr:uid="{00000000-0005-0000-0000-0000967D0000}"/>
    <cellStyle name="Percent 8 5 2 6" xfId="32146" xr:uid="{00000000-0005-0000-0000-0000977D0000}"/>
    <cellStyle name="Percent 8 5 3" xfId="32147" xr:uid="{00000000-0005-0000-0000-0000987D0000}"/>
    <cellStyle name="Percent 8 5 3 2" xfId="32148" xr:uid="{00000000-0005-0000-0000-0000997D0000}"/>
    <cellStyle name="Percent 8 5 3 3" xfId="32149" xr:uid="{00000000-0005-0000-0000-00009A7D0000}"/>
    <cellStyle name="Percent 8 5 4" xfId="32150" xr:uid="{00000000-0005-0000-0000-00009B7D0000}"/>
    <cellStyle name="Percent 8 5 4 2" xfId="32151" xr:uid="{00000000-0005-0000-0000-00009C7D0000}"/>
    <cellStyle name="Percent 8 5 4 3" xfId="32152" xr:uid="{00000000-0005-0000-0000-00009D7D0000}"/>
    <cellStyle name="Percent 8 5 5" xfId="32153" xr:uid="{00000000-0005-0000-0000-00009E7D0000}"/>
    <cellStyle name="Percent 8 5 6" xfId="32154" xr:uid="{00000000-0005-0000-0000-00009F7D0000}"/>
    <cellStyle name="Percent 8 5 7" xfId="32155" xr:uid="{00000000-0005-0000-0000-0000A07D0000}"/>
    <cellStyle name="Percent 8 6" xfId="32156" xr:uid="{00000000-0005-0000-0000-0000A17D0000}"/>
    <cellStyle name="Percent 8 6 2" xfId="32157" xr:uid="{00000000-0005-0000-0000-0000A27D0000}"/>
    <cellStyle name="Percent 8 6 2 2" xfId="32158" xr:uid="{00000000-0005-0000-0000-0000A37D0000}"/>
    <cellStyle name="Percent 8 6 2 2 2" xfId="32159" xr:uid="{00000000-0005-0000-0000-0000A47D0000}"/>
    <cellStyle name="Percent 8 6 2 2 3" xfId="32160" xr:uid="{00000000-0005-0000-0000-0000A57D0000}"/>
    <cellStyle name="Percent 8 6 2 3" xfId="32161" xr:uid="{00000000-0005-0000-0000-0000A67D0000}"/>
    <cellStyle name="Percent 8 6 2 3 2" xfId="32162" xr:uid="{00000000-0005-0000-0000-0000A77D0000}"/>
    <cellStyle name="Percent 8 6 2 3 3" xfId="32163" xr:uid="{00000000-0005-0000-0000-0000A87D0000}"/>
    <cellStyle name="Percent 8 6 2 4" xfId="32164" xr:uid="{00000000-0005-0000-0000-0000A97D0000}"/>
    <cellStyle name="Percent 8 6 2 5" xfId="32165" xr:uid="{00000000-0005-0000-0000-0000AA7D0000}"/>
    <cellStyle name="Percent 8 6 2 6" xfId="32166" xr:uid="{00000000-0005-0000-0000-0000AB7D0000}"/>
    <cellStyle name="Percent 8 6 3" xfId="32167" xr:uid="{00000000-0005-0000-0000-0000AC7D0000}"/>
    <cellStyle name="Percent 8 6 3 2" xfId="32168" xr:uid="{00000000-0005-0000-0000-0000AD7D0000}"/>
    <cellStyle name="Percent 8 6 3 3" xfId="32169" xr:uid="{00000000-0005-0000-0000-0000AE7D0000}"/>
    <cellStyle name="Percent 8 6 4" xfId="32170" xr:uid="{00000000-0005-0000-0000-0000AF7D0000}"/>
    <cellStyle name="Percent 8 6 4 2" xfId="32171" xr:uid="{00000000-0005-0000-0000-0000B07D0000}"/>
    <cellStyle name="Percent 8 6 4 3" xfId="32172" xr:uid="{00000000-0005-0000-0000-0000B17D0000}"/>
    <cellStyle name="Percent 8 6 5" xfId="32173" xr:uid="{00000000-0005-0000-0000-0000B27D0000}"/>
    <cellStyle name="Percent 8 6 6" xfId="32174" xr:uid="{00000000-0005-0000-0000-0000B37D0000}"/>
    <cellStyle name="Percent 8 6 7" xfId="32175" xr:uid="{00000000-0005-0000-0000-0000B47D0000}"/>
    <cellStyle name="Percent 8 7" xfId="32176" xr:uid="{00000000-0005-0000-0000-0000B57D0000}"/>
    <cellStyle name="Percent 8 7 2" xfId="32177" xr:uid="{00000000-0005-0000-0000-0000B67D0000}"/>
    <cellStyle name="Percent 8 7 2 2" xfId="32178" xr:uid="{00000000-0005-0000-0000-0000B77D0000}"/>
    <cellStyle name="Percent 8 7 2 2 2" xfId="32179" xr:uid="{00000000-0005-0000-0000-0000B87D0000}"/>
    <cellStyle name="Percent 8 7 2 2 3" xfId="32180" xr:uid="{00000000-0005-0000-0000-0000B97D0000}"/>
    <cellStyle name="Percent 8 7 2 3" xfId="32181" xr:uid="{00000000-0005-0000-0000-0000BA7D0000}"/>
    <cellStyle name="Percent 8 7 2 3 2" xfId="32182" xr:uid="{00000000-0005-0000-0000-0000BB7D0000}"/>
    <cellStyle name="Percent 8 7 2 3 3" xfId="32183" xr:uid="{00000000-0005-0000-0000-0000BC7D0000}"/>
    <cellStyle name="Percent 8 7 2 4" xfId="32184" xr:uid="{00000000-0005-0000-0000-0000BD7D0000}"/>
    <cellStyle name="Percent 8 7 2 5" xfId="32185" xr:uid="{00000000-0005-0000-0000-0000BE7D0000}"/>
    <cellStyle name="Percent 8 7 2 6" xfId="32186" xr:uid="{00000000-0005-0000-0000-0000BF7D0000}"/>
    <cellStyle name="Percent 8 7 3" xfId="32187" xr:uid="{00000000-0005-0000-0000-0000C07D0000}"/>
    <cellStyle name="Percent 8 7 3 2" xfId="32188" xr:uid="{00000000-0005-0000-0000-0000C17D0000}"/>
    <cellStyle name="Percent 8 7 3 3" xfId="32189" xr:uid="{00000000-0005-0000-0000-0000C27D0000}"/>
    <cellStyle name="Percent 8 7 4" xfId="32190" xr:uid="{00000000-0005-0000-0000-0000C37D0000}"/>
    <cellStyle name="Percent 8 7 4 2" xfId="32191" xr:uid="{00000000-0005-0000-0000-0000C47D0000}"/>
    <cellStyle name="Percent 8 7 4 3" xfId="32192" xr:uid="{00000000-0005-0000-0000-0000C57D0000}"/>
    <cellStyle name="Percent 8 7 5" xfId="32193" xr:uid="{00000000-0005-0000-0000-0000C67D0000}"/>
    <cellStyle name="Percent 8 7 6" xfId="32194" xr:uid="{00000000-0005-0000-0000-0000C77D0000}"/>
    <cellStyle name="Percent 8 7 7" xfId="32195" xr:uid="{00000000-0005-0000-0000-0000C87D0000}"/>
    <cellStyle name="Percent 8 8" xfId="32196" xr:uid="{00000000-0005-0000-0000-0000C97D0000}"/>
    <cellStyle name="Percent 8 8 2" xfId="32197" xr:uid="{00000000-0005-0000-0000-0000CA7D0000}"/>
    <cellStyle name="Percent 8 8 2 2" xfId="32198" xr:uid="{00000000-0005-0000-0000-0000CB7D0000}"/>
    <cellStyle name="Percent 8 8 2 2 2" xfId="32199" xr:uid="{00000000-0005-0000-0000-0000CC7D0000}"/>
    <cellStyle name="Percent 8 8 2 2 3" xfId="32200" xr:uid="{00000000-0005-0000-0000-0000CD7D0000}"/>
    <cellStyle name="Percent 8 8 2 3" xfId="32201" xr:uid="{00000000-0005-0000-0000-0000CE7D0000}"/>
    <cellStyle name="Percent 8 8 2 3 2" xfId="32202" xr:uid="{00000000-0005-0000-0000-0000CF7D0000}"/>
    <cellStyle name="Percent 8 8 2 3 3" xfId="32203" xr:uid="{00000000-0005-0000-0000-0000D07D0000}"/>
    <cellStyle name="Percent 8 8 2 4" xfId="32204" xr:uid="{00000000-0005-0000-0000-0000D17D0000}"/>
    <cellStyle name="Percent 8 8 2 5" xfId="32205" xr:uid="{00000000-0005-0000-0000-0000D27D0000}"/>
    <cellStyle name="Percent 8 8 2 6" xfId="32206" xr:uid="{00000000-0005-0000-0000-0000D37D0000}"/>
    <cellStyle name="Percent 8 8 3" xfId="32207" xr:uid="{00000000-0005-0000-0000-0000D47D0000}"/>
    <cellStyle name="Percent 8 8 3 2" xfId="32208" xr:uid="{00000000-0005-0000-0000-0000D57D0000}"/>
    <cellStyle name="Percent 8 8 3 3" xfId="32209" xr:uid="{00000000-0005-0000-0000-0000D67D0000}"/>
    <cellStyle name="Percent 8 8 4" xfId="32210" xr:uid="{00000000-0005-0000-0000-0000D77D0000}"/>
    <cellStyle name="Percent 8 8 4 2" xfId="32211" xr:uid="{00000000-0005-0000-0000-0000D87D0000}"/>
    <cellStyle name="Percent 8 8 4 3" xfId="32212" xr:uid="{00000000-0005-0000-0000-0000D97D0000}"/>
    <cellStyle name="Percent 8 8 5" xfId="32213" xr:uid="{00000000-0005-0000-0000-0000DA7D0000}"/>
    <cellStyle name="Percent 8 8 6" xfId="32214" xr:uid="{00000000-0005-0000-0000-0000DB7D0000}"/>
    <cellStyle name="Percent 8 8 7" xfId="32215" xr:uid="{00000000-0005-0000-0000-0000DC7D0000}"/>
    <cellStyle name="Percent 8 9" xfId="32216" xr:uid="{00000000-0005-0000-0000-0000DD7D0000}"/>
    <cellStyle name="Percent 8 9 2" xfId="32217" xr:uid="{00000000-0005-0000-0000-0000DE7D0000}"/>
    <cellStyle name="Percent 8 9 2 2" xfId="32218" xr:uid="{00000000-0005-0000-0000-0000DF7D0000}"/>
    <cellStyle name="Percent 8 9 2 2 2" xfId="32219" xr:uid="{00000000-0005-0000-0000-0000E07D0000}"/>
    <cellStyle name="Percent 8 9 2 2 3" xfId="32220" xr:uid="{00000000-0005-0000-0000-0000E17D0000}"/>
    <cellStyle name="Percent 8 9 2 3" xfId="32221" xr:uid="{00000000-0005-0000-0000-0000E27D0000}"/>
    <cellStyle name="Percent 8 9 2 3 2" xfId="32222" xr:uid="{00000000-0005-0000-0000-0000E37D0000}"/>
    <cellStyle name="Percent 8 9 2 3 3" xfId="32223" xr:uid="{00000000-0005-0000-0000-0000E47D0000}"/>
    <cellStyle name="Percent 8 9 2 4" xfId="32224" xr:uid="{00000000-0005-0000-0000-0000E57D0000}"/>
    <cellStyle name="Percent 8 9 2 5" xfId="32225" xr:uid="{00000000-0005-0000-0000-0000E67D0000}"/>
    <cellStyle name="Percent 8 9 2 6" xfId="32226" xr:uid="{00000000-0005-0000-0000-0000E77D0000}"/>
    <cellStyle name="Percent 8 9 3" xfId="32227" xr:uid="{00000000-0005-0000-0000-0000E87D0000}"/>
    <cellStyle name="Percent 8 9 3 2" xfId="32228" xr:uid="{00000000-0005-0000-0000-0000E97D0000}"/>
    <cellStyle name="Percent 8 9 3 3" xfId="32229" xr:uid="{00000000-0005-0000-0000-0000EA7D0000}"/>
    <cellStyle name="Percent 8 9 4" xfId="32230" xr:uid="{00000000-0005-0000-0000-0000EB7D0000}"/>
    <cellStyle name="Percent 8 9 4 2" xfId="32231" xr:uid="{00000000-0005-0000-0000-0000EC7D0000}"/>
    <cellStyle name="Percent 8 9 4 3" xfId="32232" xr:uid="{00000000-0005-0000-0000-0000ED7D0000}"/>
    <cellStyle name="Percent 8 9 5" xfId="32233" xr:uid="{00000000-0005-0000-0000-0000EE7D0000}"/>
    <cellStyle name="Percent 8 9 6" xfId="32234" xr:uid="{00000000-0005-0000-0000-0000EF7D0000}"/>
    <cellStyle name="Percent 8 9 7" xfId="32235" xr:uid="{00000000-0005-0000-0000-0000F07D0000}"/>
    <cellStyle name="Percent 9" xfId="32236" xr:uid="{00000000-0005-0000-0000-0000F17D0000}"/>
    <cellStyle name="Percent 9 10" xfId="32237" xr:uid="{00000000-0005-0000-0000-0000F27D0000}"/>
    <cellStyle name="Percent 9 10 2" xfId="32238" xr:uid="{00000000-0005-0000-0000-0000F37D0000}"/>
    <cellStyle name="Percent 9 10 2 2" xfId="32239" xr:uid="{00000000-0005-0000-0000-0000F47D0000}"/>
    <cellStyle name="Percent 9 10 2 2 2" xfId="32240" xr:uid="{00000000-0005-0000-0000-0000F57D0000}"/>
    <cellStyle name="Percent 9 10 2 2 3" xfId="32241" xr:uid="{00000000-0005-0000-0000-0000F67D0000}"/>
    <cellStyle name="Percent 9 10 2 3" xfId="32242" xr:uid="{00000000-0005-0000-0000-0000F77D0000}"/>
    <cellStyle name="Percent 9 10 2 3 2" xfId="32243" xr:uid="{00000000-0005-0000-0000-0000F87D0000}"/>
    <cellStyle name="Percent 9 10 2 3 3" xfId="32244" xr:uid="{00000000-0005-0000-0000-0000F97D0000}"/>
    <cellStyle name="Percent 9 10 2 4" xfId="32245" xr:uid="{00000000-0005-0000-0000-0000FA7D0000}"/>
    <cellStyle name="Percent 9 10 2 5" xfId="32246" xr:uid="{00000000-0005-0000-0000-0000FB7D0000}"/>
    <cellStyle name="Percent 9 10 2 6" xfId="32247" xr:uid="{00000000-0005-0000-0000-0000FC7D0000}"/>
    <cellStyle name="Percent 9 10 3" xfId="32248" xr:uid="{00000000-0005-0000-0000-0000FD7D0000}"/>
    <cellStyle name="Percent 9 10 3 2" xfId="32249" xr:uid="{00000000-0005-0000-0000-0000FE7D0000}"/>
    <cellStyle name="Percent 9 10 3 3" xfId="32250" xr:uid="{00000000-0005-0000-0000-0000FF7D0000}"/>
    <cellStyle name="Percent 9 10 4" xfId="32251" xr:uid="{00000000-0005-0000-0000-0000007E0000}"/>
    <cellStyle name="Percent 9 10 4 2" xfId="32252" xr:uid="{00000000-0005-0000-0000-0000017E0000}"/>
    <cellStyle name="Percent 9 10 4 3" xfId="32253" xr:uid="{00000000-0005-0000-0000-0000027E0000}"/>
    <cellStyle name="Percent 9 10 5" xfId="32254" xr:uid="{00000000-0005-0000-0000-0000037E0000}"/>
    <cellStyle name="Percent 9 10 6" xfId="32255" xr:uid="{00000000-0005-0000-0000-0000047E0000}"/>
    <cellStyle name="Percent 9 10 7" xfId="32256" xr:uid="{00000000-0005-0000-0000-0000057E0000}"/>
    <cellStyle name="Percent 9 11" xfId="32257" xr:uid="{00000000-0005-0000-0000-0000067E0000}"/>
    <cellStyle name="Percent 9 11 2" xfId="32258" xr:uid="{00000000-0005-0000-0000-0000077E0000}"/>
    <cellStyle name="Percent 9 11 2 2" xfId="32259" xr:uid="{00000000-0005-0000-0000-0000087E0000}"/>
    <cellStyle name="Percent 9 11 2 2 2" xfId="32260" xr:uid="{00000000-0005-0000-0000-0000097E0000}"/>
    <cellStyle name="Percent 9 11 2 2 3" xfId="32261" xr:uid="{00000000-0005-0000-0000-00000A7E0000}"/>
    <cellStyle name="Percent 9 11 2 3" xfId="32262" xr:uid="{00000000-0005-0000-0000-00000B7E0000}"/>
    <cellStyle name="Percent 9 11 2 3 2" xfId="32263" xr:uid="{00000000-0005-0000-0000-00000C7E0000}"/>
    <cellStyle name="Percent 9 11 2 3 3" xfId="32264" xr:uid="{00000000-0005-0000-0000-00000D7E0000}"/>
    <cellStyle name="Percent 9 11 2 4" xfId="32265" xr:uid="{00000000-0005-0000-0000-00000E7E0000}"/>
    <cellStyle name="Percent 9 11 2 5" xfId="32266" xr:uid="{00000000-0005-0000-0000-00000F7E0000}"/>
    <cellStyle name="Percent 9 11 2 6" xfId="32267" xr:uid="{00000000-0005-0000-0000-0000107E0000}"/>
    <cellStyle name="Percent 9 11 3" xfId="32268" xr:uid="{00000000-0005-0000-0000-0000117E0000}"/>
    <cellStyle name="Percent 9 11 3 2" xfId="32269" xr:uid="{00000000-0005-0000-0000-0000127E0000}"/>
    <cellStyle name="Percent 9 11 3 3" xfId="32270" xr:uid="{00000000-0005-0000-0000-0000137E0000}"/>
    <cellStyle name="Percent 9 11 4" xfId="32271" xr:uid="{00000000-0005-0000-0000-0000147E0000}"/>
    <cellStyle name="Percent 9 11 4 2" xfId="32272" xr:uid="{00000000-0005-0000-0000-0000157E0000}"/>
    <cellStyle name="Percent 9 11 4 3" xfId="32273" xr:uid="{00000000-0005-0000-0000-0000167E0000}"/>
    <cellStyle name="Percent 9 11 5" xfId="32274" xr:uid="{00000000-0005-0000-0000-0000177E0000}"/>
    <cellStyle name="Percent 9 11 6" xfId="32275" xr:uid="{00000000-0005-0000-0000-0000187E0000}"/>
    <cellStyle name="Percent 9 11 7" xfId="32276" xr:uid="{00000000-0005-0000-0000-0000197E0000}"/>
    <cellStyle name="Percent 9 12" xfId="32277" xr:uid="{00000000-0005-0000-0000-00001A7E0000}"/>
    <cellStyle name="Percent 9 12 2" xfId="32278" xr:uid="{00000000-0005-0000-0000-00001B7E0000}"/>
    <cellStyle name="Percent 9 12 2 2" xfId="32279" xr:uid="{00000000-0005-0000-0000-00001C7E0000}"/>
    <cellStyle name="Percent 9 12 2 3" xfId="32280" xr:uid="{00000000-0005-0000-0000-00001D7E0000}"/>
    <cellStyle name="Percent 9 12 3" xfId="32281" xr:uid="{00000000-0005-0000-0000-00001E7E0000}"/>
    <cellStyle name="Percent 9 12 3 2" xfId="32282" xr:uid="{00000000-0005-0000-0000-00001F7E0000}"/>
    <cellStyle name="Percent 9 12 3 3" xfId="32283" xr:uid="{00000000-0005-0000-0000-0000207E0000}"/>
    <cellStyle name="Percent 9 12 4" xfId="32284" xr:uid="{00000000-0005-0000-0000-0000217E0000}"/>
    <cellStyle name="Percent 9 12 5" xfId="32285" xr:uid="{00000000-0005-0000-0000-0000227E0000}"/>
    <cellStyle name="Percent 9 12 6" xfId="32286" xr:uid="{00000000-0005-0000-0000-0000237E0000}"/>
    <cellStyle name="Percent 9 13" xfId="32287" xr:uid="{00000000-0005-0000-0000-0000247E0000}"/>
    <cellStyle name="Percent 9 13 2" xfId="32288" xr:uid="{00000000-0005-0000-0000-0000257E0000}"/>
    <cellStyle name="Percent 9 13 3" xfId="32289" xr:uid="{00000000-0005-0000-0000-0000267E0000}"/>
    <cellStyle name="Percent 9 14" xfId="32290" xr:uid="{00000000-0005-0000-0000-0000277E0000}"/>
    <cellStyle name="Percent 9 14 2" xfId="32291" xr:uid="{00000000-0005-0000-0000-0000287E0000}"/>
    <cellStyle name="Percent 9 14 3" xfId="32292" xr:uid="{00000000-0005-0000-0000-0000297E0000}"/>
    <cellStyle name="Percent 9 15" xfId="32293" xr:uid="{00000000-0005-0000-0000-00002A7E0000}"/>
    <cellStyle name="Percent 9 16" xfId="32294" xr:uid="{00000000-0005-0000-0000-00002B7E0000}"/>
    <cellStyle name="Percent 9 17" xfId="32295" xr:uid="{00000000-0005-0000-0000-00002C7E0000}"/>
    <cellStyle name="Percent 9 2" xfId="32296" xr:uid="{00000000-0005-0000-0000-00002D7E0000}"/>
    <cellStyle name="Percent 9 2 2" xfId="32297" xr:uid="{00000000-0005-0000-0000-00002E7E0000}"/>
    <cellStyle name="Percent 9 2 2 2" xfId="32298" xr:uid="{00000000-0005-0000-0000-00002F7E0000}"/>
    <cellStyle name="Percent 9 2 2 2 2" xfId="32299" xr:uid="{00000000-0005-0000-0000-0000307E0000}"/>
    <cellStyle name="Percent 9 2 2 2 3" xfId="32300" xr:uid="{00000000-0005-0000-0000-0000317E0000}"/>
    <cellStyle name="Percent 9 2 2 3" xfId="32301" xr:uid="{00000000-0005-0000-0000-0000327E0000}"/>
    <cellStyle name="Percent 9 2 2 3 2" xfId="32302" xr:uid="{00000000-0005-0000-0000-0000337E0000}"/>
    <cellStyle name="Percent 9 2 2 3 3" xfId="32303" xr:uid="{00000000-0005-0000-0000-0000347E0000}"/>
    <cellStyle name="Percent 9 2 2 4" xfId="32304" xr:uid="{00000000-0005-0000-0000-0000357E0000}"/>
    <cellStyle name="Percent 9 2 2 5" xfId="32305" xr:uid="{00000000-0005-0000-0000-0000367E0000}"/>
    <cellStyle name="Percent 9 2 2 6" xfId="32306" xr:uid="{00000000-0005-0000-0000-0000377E0000}"/>
    <cellStyle name="Percent 9 2 3" xfId="32307" xr:uid="{00000000-0005-0000-0000-0000387E0000}"/>
    <cellStyle name="Percent 9 2 3 2" xfId="32308" xr:uid="{00000000-0005-0000-0000-0000397E0000}"/>
    <cellStyle name="Percent 9 2 3 3" xfId="32309" xr:uid="{00000000-0005-0000-0000-00003A7E0000}"/>
    <cellStyle name="Percent 9 2 4" xfId="32310" xr:uid="{00000000-0005-0000-0000-00003B7E0000}"/>
    <cellStyle name="Percent 9 2 4 2" xfId="32311" xr:uid="{00000000-0005-0000-0000-00003C7E0000}"/>
    <cellStyle name="Percent 9 2 4 3" xfId="32312" xr:uid="{00000000-0005-0000-0000-00003D7E0000}"/>
    <cellStyle name="Percent 9 2 5" xfId="32313" xr:uid="{00000000-0005-0000-0000-00003E7E0000}"/>
    <cellStyle name="Percent 9 2 6" xfId="32314" xr:uid="{00000000-0005-0000-0000-00003F7E0000}"/>
    <cellStyle name="Percent 9 2 7" xfId="32315" xr:uid="{00000000-0005-0000-0000-0000407E0000}"/>
    <cellStyle name="Percent 9 3" xfId="32316" xr:uid="{00000000-0005-0000-0000-0000417E0000}"/>
    <cellStyle name="Percent 9 3 2" xfId="32317" xr:uid="{00000000-0005-0000-0000-0000427E0000}"/>
    <cellStyle name="Percent 9 3 2 2" xfId="32318" xr:uid="{00000000-0005-0000-0000-0000437E0000}"/>
    <cellStyle name="Percent 9 3 2 2 2" xfId="32319" xr:uid="{00000000-0005-0000-0000-0000447E0000}"/>
    <cellStyle name="Percent 9 3 2 2 3" xfId="32320" xr:uid="{00000000-0005-0000-0000-0000457E0000}"/>
    <cellStyle name="Percent 9 3 2 3" xfId="32321" xr:uid="{00000000-0005-0000-0000-0000467E0000}"/>
    <cellStyle name="Percent 9 3 2 3 2" xfId="32322" xr:uid="{00000000-0005-0000-0000-0000477E0000}"/>
    <cellStyle name="Percent 9 3 2 3 3" xfId="32323" xr:uid="{00000000-0005-0000-0000-0000487E0000}"/>
    <cellStyle name="Percent 9 3 2 4" xfId="32324" xr:uid="{00000000-0005-0000-0000-0000497E0000}"/>
    <cellStyle name="Percent 9 3 2 5" xfId="32325" xr:uid="{00000000-0005-0000-0000-00004A7E0000}"/>
    <cellStyle name="Percent 9 3 2 6" xfId="32326" xr:uid="{00000000-0005-0000-0000-00004B7E0000}"/>
    <cellStyle name="Percent 9 3 3" xfId="32327" xr:uid="{00000000-0005-0000-0000-00004C7E0000}"/>
    <cellStyle name="Percent 9 3 3 2" xfId="32328" xr:uid="{00000000-0005-0000-0000-00004D7E0000}"/>
    <cellStyle name="Percent 9 3 3 3" xfId="32329" xr:uid="{00000000-0005-0000-0000-00004E7E0000}"/>
    <cellStyle name="Percent 9 3 4" xfId="32330" xr:uid="{00000000-0005-0000-0000-00004F7E0000}"/>
    <cellStyle name="Percent 9 3 4 2" xfId="32331" xr:uid="{00000000-0005-0000-0000-0000507E0000}"/>
    <cellStyle name="Percent 9 3 4 3" xfId="32332" xr:uid="{00000000-0005-0000-0000-0000517E0000}"/>
    <cellStyle name="Percent 9 3 5" xfId="32333" xr:uid="{00000000-0005-0000-0000-0000527E0000}"/>
    <cellStyle name="Percent 9 3 6" xfId="32334" xr:uid="{00000000-0005-0000-0000-0000537E0000}"/>
    <cellStyle name="Percent 9 3 7" xfId="32335" xr:uid="{00000000-0005-0000-0000-0000547E0000}"/>
    <cellStyle name="Percent 9 4" xfId="32336" xr:uid="{00000000-0005-0000-0000-0000557E0000}"/>
    <cellStyle name="Percent 9 4 2" xfId="32337" xr:uid="{00000000-0005-0000-0000-0000567E0000}"/>
    <cellStyle name="Percent 9 4 2 2" xfId="32338" xr:uid="{00000000-0005-0000-0000-0000577E0000}"/>
    <cellStyle name="Percent 9 4 2 2 2" xfId="32339" xr:uid="{00000000-0005-0000-0000-0000587E0000}"/>
    <cellStyle name="Percent 9 4 2 2 3" xfId="32340" xr:uid="{00000000-0005-0000-0000-0000597E0000}"/>
    <cellStyle name="Percent 9 4 2 3" xfId="32341" xr:uid="{00000000-0005-0000-0000-00005A7E0000}"/>
    <cellStyle name="Percent 9 4 2 3 2" xfId="32342" xr:uid="{00000000-0005-0000-0000-00005B7E0000}"/>
    <cellStyle name="Percent 9 4 2 3 3" xfId="32343" xr:uid="{00000000-0005-0000-0000-00005C7E0000}"/>
    <cellStyle name="Percent 9 4 2 4" xfId="32344" xr:uid="{00000000-0005-0000-0000-00005D7E0000}"/>
    <cellStyle name="Percent 9 4 2 5" xfId="32345" xr:uid="{00000000-0005-0000-0000-00005E7E0000}"/>
    <cellStyle name="Percent 9 4 2 6" xfId="32346" xr:uid="{00000000-0005-0000-0000-00005F7E0000}"/>
    <cellStyle name="Percent 9 4 3" xfId="32347" xr:uid="{00000000-0005-0000-0000-0000607E0000}"/>
    <cellStyle name="Percent 9 4 3 2" xfId="32348" xr:uid="{00000000-0005-0000-0000-0000617E0000}"/>
    <cellStyle name="Percent 9 4 3 3" xfId="32349" xr:uid="{00000000-0005-0000-0000-0000627E0000}"/>
    <cellStyle name="Percent 9 4 4" xfId="32350" xr:uid="{00000000-0005-0000-0000-0000637E0000}"/>
    <cellStyle name="Percent 9 4 4 2" xfId="32351" xr:uid="{00000000-0005-0000-0000-0000647E0000}"/>
    <cellStyle name="Percent 9 4 4 3" xfId="32352" xr:uid="{00000000-0005-0000-0000-0000657E0000}"/>
    <cellStyle name="Percent 9 4 5" xfId="32353" xr:uid="{00000000-0005-0000-0000-0000667E0000}"/>
    <cellStyle name="Percent 9 4 6" xfId="32354" xr:uid="{00000000-0005-0000-0000-0000677E0000}"/>
    <cellStyle name="Percent 9 4 7" xfId="32355" xr:uid="{00000000-0005-0000-0000-0000687E0000}"/>
    <cellStyle name="Percent 9 5" xfId="32356" xr:uid="{00000000-0005-0000-0000-0000697E0000}"/>
    <cellStyle name="Percent 9 5 2" xfId="32357" xr:uid="{00000000-0005-0000-0000-00006A7E0000}"/>
    <cellStyle name="Percent 9 5 2 2" xfId="32358" xr:uid="{00000000-0005-0000-0000-00006B7E0000}"/>
    <cellStyle name="Percent 9 5 2 2 2" xfId="32359" xr:uid="{00000000-0005-0000-0000-00006C7E0000}"/>
    <cellStyle name="Percent 9 5 2 2 3" xfId="32360" xr:uid="{00000000-0005-0000-0000-00006D7E0000}"/>
    <cellStyle name="Percent 9 5 2 3" xfId="32361" xr:uid="{00000000-0005-0000-0000-00006E7E0000}"/>
    <cellStyle name="Percent 9 5 2 3 2" xfId="32362" xr:uid="{00000000-0005-0000-0000-00006F7E0000}"/>
    <cellStyle name="Percent 9 5 2 3 3" xfId="32363" xr:uid="{00000000-0005-0000-0000-0000707E0000}"/>
    <cellStyle name="Percent 9 5 2 4" xfId="32364" xr:uid="{00000000-0005-0000-0000-0000717E0000}"/>
    <cellStyle name="Percent 9 5 2 5" xfId="32365" xr:uid="{00000000-0005-0000-0000-0000727E0000}"/>
    <cellStyle name="Percent 9 5 2 6" xfId="32366" xr:uid="{00000000-0005-0000-0000-0000737E0000}"/>
    <cellStyle name="Percent 9 5 3" xfId="32367" xr:uid="{00000000-0005-0000-0000-0000747E0000}"/>
    <cellStyle name="Percent 9 5 3 2" xfId="32368" xr:uid="{00000000-0005-0000-0000-0000757E0000}"/>
    <cellStyle name="Percent 9 5 3 3" xfId="32369" xr:uid="{00000000-0005-0000-0000-0000767E0000}"/>
    <cellStyle name="Percent 9 5 4" xfId="32370" xr:uid="{00000000-0005-0000-0000-0000777E0000}"/>
    <cellStyle name="Percent 9 5 4 2" xfId="32371" xr:uid="{00000000-0005-0000-0000-0000787E0000}"/>
    <cellStyle name="Percent 9 5 4 3" xfId="32372" xr:uid="{00000000-0005-0000-0000-0000797E0000}"/>
    <cellStyle name="Percent 9 5 5" xfId="32373" xr:uid="{00000000-0005-0000-0000-00007A7E0000}"/>
    <cellStyle name="Percent 9 5 6" xfId="32374" xr:uid="{00000000-0005-0000-0000-00007B7E0000}"/>
    <cellStyle name="Percent 9 5 7" xfId="32375" xr:uid="{00000000-0005-0000-0000-00007C7E0000}"/>
    <cellStyle name="Percent 9 6" xfId="32376" xr:uid="{00000000-0005-0000-0000-00007D7E0000}"/>
    <cellStyle name="Percent 9 6 2" xfId="32377" xr:uid="{00000000-0005-0000-0000-00007E7E0000}"/>
    <cellStyle name="Percent 9 6 2 2" xfId="32378" xr:uid="{00000000-0005-0000-0000-00007F7E0000}"/>
    <cellStyle name="Percent 9 6 2 2 2" xfId="32379" xr:uid="{00000000-0005-0000-0000-0000807E0000}"/>
    <cellStyle name="Percent 9 6 2 2 3" xfId="32380" xr:uid="{00000000-0005-0000-0000-0000817E0000}"/>
    <cellStyle name="Percent 9 6 2 3" xfId="32381" xr:uid="{00000000-0005-0000-0000-0000827E0000}"/>
    <cellStyle name="Percent 9 6 2 3 2" xfId="32382" xr:uid="{00000000-0005-0000-0000-0000837E0000}"/>
    <cellStyle name="Percent 9 6 2 3 3" xfId="32383" xr:uid="{00000000-0005-0000-0000-0000847E0000}"/>
    <cellStyle name="Percent 9 6 2 4" xfId="32384" xr:uid="{00000000-0005-0000-0000-0000857E0000}"/>
    <cellStyle name="Percent 9 6 2 5" xfId="32385" xr:uid="{00000000-0005-0000-0000-0000867E0000}"/>
    <cellStyle name="Percent 9 6 2 6" xfId="32386" xr:uid="{00000000-0005-0000-0000-0000877E0000}"/>
    <cellStyle name="Percent 9 6 3" xfId="32387" xr:uid="{00000000-0005-0000-0000-0000887E0000}"/>
    <cellStyle name="Percent 9 6 3 2" xfId="32388" xr:uid="{00000000-0005-0000-0000-0000897E0000}"/>
    <cellStyle name="Percent 9 6 3 3" xfId="32389" xr:uid="{00000000-0005-0000-0000-00008A7E0000}"/>
    <cellStyle name="Percent 9 6 4" xfId="32390" xr:uid="{00000000-0005-0000-0000-00008B7E0000}"/>
    <cellStyle name="Percent 9 6 4 2" xfId="32391" xr:uid="{00000000-0005-0000-0000-00008C7E0000}"/>
    <cellStyle name="Percent 9 6 4 3" xfId="32392" xr:uid="{00000000-0005-0000-0000-00008D7E0000}"/>
    <cellStyle name="Percent 9 6 5" xfId="32393" xr:uid="{00000000-0005-0000-0000-00008E7E0000}"/>
    <cellStyle name="Percent 9 6 6" xfId="32394" xr:uid="{00000000-0005-0000-0000-00008F7E0000}"/>
    <cellStyle name="Percent 9 6 7" xfId="32395" xr:uid="{00000000-0005-0000-0000-0000907E0000}"/>
    <cellStyle name="Percent 9 7" xfId="32396" xr:uid="{00000000-0005-0000-0000-0000917E0000}"/>
    <cellStyle name="Percent 9 7 2" xfId="32397" xr:uid="{00000000-0005-0000-0000-0000927E0000}"/>
    <cellStyle name="Percent 9 7 2 2" xfId="32398" xr:uid="{00000000-0005-0000-0000-0000937E0000}"/>
    <cellStyle name="Percent 9 7 2 2 2" xfId="32399" xr:uid="{00000000-0005-0000-0000-0000947E0000}"/>
    <cellStyle name="Percent 9 7 2 2 3" xfId="32400" xr:uid="{00000000-0005-0000-0000-0000957E0000}"/>
    <cellStyle name="Percent 9 7 2 3" xfId="32401" xr:uid="{00000000-0005-0000-0000-0000967E0000}"/>
    <cellStyle name="Percent 9 7 2 3 2" xfId="32402" xr:uid="{00000000-0005-0000-0000-0000977E0000}"/>
    <cellStyle name="Percent 9 7 2 3 3" xfId="32403" xr:uid="{00000000-0005-0000-0000-0000987E0000}"/>
    <cellStyle name="Percent 9 7 2 4" xfId="32404" xr:uid="{00000000-0005-0000-0000-0000997E0000}"/>
    <cellStyle name="Percent 9 7 2 5" xfId="32405" xr:uid="{00000000-0005-0000-0000-00009A7E0000}"/>
    <cellStyle name="Percent 9 7 2 6" xfId="32406" xr:uid="{00000000-0005-0000-0000-00009B7E0000}"/>
    <cellStyle name="Percent 9 7 3" xfId="32407" xr:uid="{00000000-0005-0000-0000-00009C7E0000}"/>
    <cellStyle name="Percent 9 7 3 2" xfId="32408" xr:uid="{00000000-0005-0000-0000-00009D7E0000}"/>
    <cellStyle name="Percent 9 7 3 3" xfId="32409" xr:uid="{00000000-0005-0000-0000-00009E7E0000}"/>
    <cellStyle name="Percent 9 7 4" xfId="32410" xr:uid="{00000000-0005-0000-0000-00009F7E0000}"/>
    <cellStyle name="Percent 9 7 4 2" xfId="32411" xr:uid="{00000000-0005-0000-0000-0000A07E0000}"/>
    <cellStyle name="Percent 9 7 4 3" xfId="32412" xr:uid="{00000000-0005-0000-0000-0000A17E0000}"/>
    <cellStyle name="Percent 9 7 5" xfId="32413" xr:uid="{00000000-0005-0000-0000-0000A27E0000}"/>
    <cellStyle name="Percent 9 7 6" xfId="32414" xr:uid="{00000000-0005-0000-0000-0000A37E0000}"/>
    <cellStyle name="Percent 9 7 7" xfId="32415" xr:uid="{00000000-0005-0000-0000-0000A47E0000}"/>
    <cellStyle name="Percent 9 8" xfId="32416" xr:uid="{00000000-0005-0000-0000-0000A57E0000}"/>
    <cellStyle name="Percent 9 8 2" xfId="32417" xr:uid="{00000000-0005-0000-0000-0000A67E0000}"/>
    <cellStyle name="Percent 9 8 2 2" xfId="32418" xr:uid="{00000000-0005-0000-0000-0000A77E0000}"/>
    <cellStyle name="Percent 9 8 2 2 2" xfId="32419" xr:uid="{00000000-0005-0000-0000-0000A87E0000}"/>
    <cellStyle name="Percent 9 8 2 2 3" xfId="32420" xr:uid="{00000000-0005-0000-0000-0000A97E0000}"/>
    <cellStyle name="Percent 9 8 2 3" xfId="32421" xr:uid="{00000000-0005-0000-0000-0000AA7E0000}"/>
    <cellStyle name="Percent 9 8 2 3 2" xfId="32422" xr:uid="{00000000-0005-0000-0000-0000AB7E0000}"/>
    <cellStyle name="Percent 9 8 2 3 3" xfId="32423" xr:uid="{00000000-0005-0000-0000-0000AC7E0000}"/>
    <cellStyle name="Percent 9 8 2 4" xfId="32424" xr:uid="{00000000-0005-0000-0000-0000AD7E0000}"/>
    <cellStyle name="Percent 9 8 2 5" xfId="32425" xr:uid="{00000000-0005-0000-0000-0000AE7E0000}"/>
    <cellStyle name="Percent 9 8 2 6" xfId="32426" xr:uid="{00000000-0005-0000-0000-0000AF7E0000}"/>
    <cellStyle name="Percent 9 8 3" xfId="32427" xr:uid="{00000000-0005-0000-0000-0000B07E0000}"/>
    <cellStyle name="Percent 9 8 3 2" xfId="32428" xr:uid="{00000000-0005-0000-0000-0000B17E0000}"/>
    <cellStyle name="Percent 9 8 3 3" xfId="32429" xr:uid="{00000000-0005-0000-0000-0000B27E0000}"/>
    <cellStyle name="Percent 9 8 4" xfId="32430" xr:uid="{00000000-0005-0000-0000-0000B37E0000}"/>
    <cellStyle name="Percent 9 8 4 2" xfId="32431" xr:uid="{00000000-0005-0000-0000-0000B47E0000}"/>
    <cellStyle name="Percent 9 8 4 3" xfId="32432" xr:uid="{00000000-0005-0000-0000-0000B57E0000}"/>
    <cellStyle name="Percent 9 8 5" xfId="32433" xr:uid="{00000000-0005-0000-0000-0000B67E0000}"/>
    <cellStyle name="Percent 9 8 6" xfId="32434" xr:uid="{00000000-0005-0000-0000-0000B77E0000}"/>
    <cellStyle name="Percent 9 8 7" xfId="32435" xr:uid="{00000000-0005-0000-0000-0000B87E0000}"/>
    <cellStyle name="Percent 9 9" xfId="32436" xr:uid="{00000000-0005-0000-0000-0000B97E0000}"/>
    <cellStyle name="Percent 9 9 2" xfId="32437" xr:uid="{00000000-0005-0000-0000-0000BA7E0000}"/>
    <cellStyle name="Percent 9 9 2 2" xfId="32438" xr:uid="{00000000-0005-0000-0000-0000BB7E0000}"/>
    <cellStyle name="Percent 9 9 2 2 2" xfId="32439" xr:uid="{00000000-0005-0000-0000-0000BC7E0000}"/>
    <cellStyle name="Percent 9 9 2 2 3" xfId="32440" xr:uid="{00000000-0005-0000-0000-0000BD7E0000}"/>
    <cellStyle name="Percent 9 9 2 3" xfId="32441" xr:uid="{00000000-0005-0000-0000-0000BE7E0000}"/>
    <cellStyle name="Percent 9 9 2 3 2" xfId="32442" xr:uid="{00000000-0005-0000-0000-0000BF7E0000}"/>
    <cellStyle name="Percent 9 9 2 3 3" xfId="32443" xr:uid="{00000000-0005-0000-0000-0000C07E0000}"/>
    <cellStyle name="Percent 9 9 2 4" xfId="32444" xr:uid="{00000000-0005-0000-0000-0000C17E0000}"/>
    <cellStyle name="Percent 9 9 2 5" xfId="32445" xr:uid="{00000000-0005-0000-0000-0000C27E0000}"/>
    <cellStyle name="Percent 9 9 2 6" xfId="32446" xr:uid="{00000000-0005-0000-0000-0000C37E0000}"/>
    <cellStyle name="Percent 9 9 3" xfId="32447" xr:uid="{00000000-0005-0000-0000-0000C47E0000}"/>
    <cellStyle name="Percent 9 9 3 2" xfId="32448" xr:uid="{00000000-0005-0000-0000-0000C57E0000}"/>
    <cellStyle name="Percent 9 9 3 3" xfId="32449" xr:uid="{00000000-0005-0000-0000-0000C67E0000}"/>
    <cellStyle name="Percent 9 9 4" xfId="32450" xr:uid="{00000000-0005-0000-0000-0000C77E0000}"/>
    <cellStyle name="Percent 9 9 4 2" xfId="32451" xr:uid="{00000000-0005-0000-0000-0000C87E0000}"/>
    <cellStyle name="Percent 9 9 4 3" xfId="32452" xr:uid="{00000000-0005-0000-0000-0000C97E0000}"/>
    <cellStyle name="Percent 9 9 5" xfId="32453" xr:uid="{00000000-0005-0000-0000-0000CA7E0000}"/>
    <cellStyle name="Percent 9 9 6" xfId="32454" xr:uid="{00000000-0005-0000-0000-0000CB7E0000}"/>
    <cellStyle name="Percent 9 9 7" xfId="32455" xr:uid="{00000000-0005-0000-0000-0000CC7E0000}"/>
    <cellStyle name="Rangenames" xfId="32456" xr:uid="{00000000-0005-0000-0000-0000CD7E0000}"/>
    <cellStyle name="Second Heading" xfId="32457" xr:uid="{00000000-0005-0000-0000-0000CE7E0000}"/>
    <cellStyle name="Style 1" xfId="32458" xr:uid="{00000000-0005-0000-0000-0000CF7E0000}"/>
    <cellStyle name="Style 1 10" xfId="32459" xr:uid="{00000000-0005-0000-0000-0000D07E0000}"/>
    <cellStyle name="Style 1 10 2" xfId="32460" xr:uid="{00000000-0005-0000-0000-0000D17E0000}"/>
    <cellStyle name="Style 1 10 2 2" xfId="32461" xr:uid="{00000000-0005-0000-0000-0000D27E0000}"/>
    <cellStyle name="Style 1 10 2 2 2" xfId="32462" xr:uid="{00000000-0005-0000-0000-0000D37E0000}"/>
    <cellStyle name="Style 1 10 2 2 3" xfId="32463" xr:uid="{00000000-0005-0000-0000-0000D47E0000}"/>
    <cellStyle name="Style 1 10 2 3" xfId="32464" xr:uid="{00000000-0005-0000-0000-0000D57E0000}"/>
    <cellStyle name="Style 1 10 2 3 2" xfId="32465" xr:uid="{00000000-0005-0000-0000-0000D67E0000}"/>
    <cellStyle name="Style 1 10 2 3 3" xfId="32466" xr:uid="{00000000-0005-0000-0000-0000D77E0000}"/>
    <cellStyle name="Style 1 10 2 4" xfId="32467" xr:uid="{00000000-0005-0000-0000-0000D87E0000}"/>
    <cellStyle name="Style 1 10 2 5" xfId="32468" xr:uid="{00000000-0005-0000-0000-0000D97E0000}"/>
    <cellStyle name="Style 1 10 2 6" xfId="32469" xr:uid="{00000000-0005-0000-0000-0000DA7E0000}"/>
    <cellStyle name="Style 1 10 3" xfId="32470" xr:uid="{00000000-0005-0000-0000-0000DB7E0000}"/>
    <cellStyle name="Style 1 10 3 2" xfId="32471" xr:uid="{00000000-0005-0000-0000-0000DC7E0000}"/>
    <cellStyle name="Style 1 10 3 3" xfId="32472" xr:uid="{00000000-0005-0000-0000-0000DD7E0000}"/>
    <cellStyle name="Style 1 10 4" xfId="32473" xr:uid="{00000000-0005-0000-0000-0000DE7E0000}"/>
    <cellStyle name="Style 1 10 4 2" xfId="32474" xr:uid="{00000000-0005-0000-0000-0000DF7E0000}"/>
    <cellStyle name="Style 1 10 4 3" xfId="32475" xr:uid="{00000000-0005-0000-0000-0000E07E0000}"/>
    <cellStyle name="Style 1 10 5" xfId="32476" xr:uid="{00000000-0005-0000-0000-0000E17E0000}"/>
    <cellStyle name="Style 1 10 6" xfId="32477" xr:uid="{00000000-0005-0000-0000-0000E27E0000}"/>
    <cellStyle name="Style 1 10 7" xfId="32478" xr:uid="{00000000-0005-0000-0000-0000E37E0000}"/>
    <cellStyle name="Style 1 11" xfId="32479" xr:uid="{00000000-0005-0000-0000-0000E47E0000}"/>
    <cellStyle name="Style 1 11 2" xfId="32480" xr:uid="{00000000-0005-0000-0000-0000E57E0000}"/>
    <cellStyle name="Style 1 11 2 2" xfId="32481" xr:uid="{00000000-0005-0000-0000-0000E67E0000}"/>
    <cellStyle name="Style 1 11 2 2 2" xfId="32482" xr:uid="{00000000-0005-0000-0000-0000E77E0000}"/>
    <cellStyle name="Style 1 11 2 2 3" xfId="32483" xr:uid="{00000000-0005-0000-0000-0000E87E0000}"/>
    <cellStyle name="Style 1 11 2 3" xfId="32484" xr:uid="{00000000-0005-0000-0000-0000E97E0000}"/>
    <cellStyle name="Style 1 11 2 3 2" xfId="32485" xr:uid="{00000000-0005-0000-0000-0000EA7E0000}"/>
    <cellStyle name="Style 1 11 2 3 3" xfId="32486" xr:uid="{00000000-0005-0000-0000-0000EB7E0000}"/>
    <cellStyle name="Style 1 11 2 4" xfId="32487" xr:uid="{00000000-0005-0000-0000-0000EC7E0000}"/>
    <cellStyle name="Style 1 11 2 5" xfId="32488" xr:uid="{00000000-0005-0000-0000-0000ED7E0000}"/>
    <cellStyle name="Style 1 11 2 6" xfId="32489" xr:uid="{00000000-0005-0000-0000-0000EE7E0000}"/>
    <cellStyle name="Style 1 11 3" xfId="32490" xr:uid="{00000000-0005-0000-0000-0000EF7E0000}"/>
    <cellStyle name="Style 1 11 3 2" xfId="32491" xr:uid="{00000000-0005-0000-0000-0000F07E0000}"/>
    <cellStyle name="Style 1 11 3 3" xfId="32492" xr:uid="{00000000-0005-0000-0000-0000F17E0000}"/>
    <cellStyle name="Style 1 11 4" xfId="32493" xr:uid="{00000000-0005-0000-0000-0000F27E0000}"/>
    <cellStyle name="Style 1 11 4 2" xfId="32494" xr:uid="{00000000-0005-0000-0000-0000F37E0000}"/>
    <cellStyle name="Style 1 11 4 3" xfId="32495" xr:uid="{00000000-0005-0000-0000-0000F47E0000}"/>
    <cellStyle name="Style 1 11 5" xfId="32496" xr:uid="{00000000-0005-0000-0000-0000F57E0000}"/>
    <cellStyle name="Style 1 11 6" xfId="32497" xr:uid="{00000000-0005-0000-0000-0000F67E0000}"/>
    <cellStyle name="Style 1 11 7" xfId="32498" xr:uid="{00000000-0005-0000-0000-0000F77E0000}"/>
    <cellStyle name="Style 1 12" xfId="32499" xr:uid="{00000000-0005-0000-0000-0000F87E0000}"/>
    <cellStyle name="Style 1 12 2" xfId="32500" xr:uid="{00000000-0005-0000-0000-0000F97E0000}"/>
    <cellStyle name="Style 1 12 2 2" xfId="32501" xr:uid="{00000000-0005-0000-0000-0000FA7E0000}"/>
    <cellStyle name="Style 1 12 2 2 2" xfId="32502" xr:uid="{00000000-0005-0000-0000-0000FB7E0000}"/>
    <cellStyle name="Style 1 12 2 2 3" xfId="32503" xr:uid="{00000000-0005-0000-0000-0000FC7E0000}"/>
    <cellStyle name="Style 1 12 2 3" xfId="32504" xr:uid="{00000000-0005-0000-0000-0000FD7E0000}"/>
    <cellStyle name="Style 1 12 2 3 2" xfId="32505" xr:uid="{00000000-0005-0000-0000-0000FE7E0000}"/>
    <cellStyle name="Style 1 12 2 3 3" xfId="32506" xr:uid="{00000000-0005-0000-0000-0000FF7E0000}"/>
    <cellStyle name="Style 1 12 2 4" xfId="32507" xr:uid="{00000000-0005-0000-0000-0000007F0000}"/>
    <cellStyle name="Style 1 12 2 5" xfId="32508" xr:uid="{00000000-0005-0000-0000-0000017F0000}"/>
    <cellStyle name="Style 1 12 2 6" xfId="32509" xr:uid="{00000000-0005-0000-0000-0000027F0000}"/>
    <cellStyle name="Style 1 12 3" xfId="32510" xr:uid="{00000000-0005-0000-0000-0000037F0000}"/>
    <cellStyle name="Style 1 12 3 2" xfId="32511" xr:uid="{00000000-0005-0000-0000-0000047F0000}"/>
    <cellStyle name="Style 1 12 3 3" xfId="32512" xr:uid="{00000000-0005-0000-0000-0000057F0000}"/>
    <cellStyle name="Style 1 12 4" xfId="32513" xr:uid="{00000000-0005-0000-0000-0000067F0000}"/>
    <cellStyle name="Style 1 12 4 2" xfId="32514" xr:uid="{00000000-0005-0000-0000-0000077F0000}"/>
    <cellStyle name="Style 1 12 4 3" xfId="32515" xr:uid="{00000000-0005-0000-0000-0000087F0000}"/>
    <cellStyle name="Style 1 12 5" xfId="32516" xr:uid="{00000000-0005-0000-0000-0000097F0000}"/>
    <cellStyle name="Style 1 12 6" xfId="32517" xr:uid="{00000000-0005-0000-0000-00000A7F0000}"/>
    <cellStyle name="Style 1 12 7" xfId="32518" xr:uid="{00000000-0005-0000-0000-00000B7F0000}"/>
    <cellStyle name="Style 1 13" xfId="32519" xr:uid="{00000000-0005-0000-0000-00000C7F0000}"/>
    <cellStyle name="Style 1 13 2" xfId="32520" xr:uid="{00000000-0005-0000-0000-00000D7F0000}"/>
    <cellStyle name="Style 1 13 2 2" xfId="32521" xr:uid="{00000000-0005-0000-0000-00000E7F0000}"/>
    <cellStyle name="Style 1 13 2 2 2" xfId="32522" xr:uid="{00000000-0005-0000-0000-00000F7F0000}"/>
    <cellStyle name="Style 1 13 2 2 3" xfId="32523" xr:uid="{00000000-0005-0000-0000-0000107F0000}"/>
    <cellStyle name="Style 1 13 2 3" xfId="32524" xr:uid="{00000000-0005-0000-0000-0000117F0000}"/>
    <cellStyle name="Style 1 13 2 3 2" xfId="32525" xr:uid="{00000000-0005-0000-0000-0000127F0000}"/>
    <cellStyle name="Style 1 13 2 3 3" xfId="32526" xr:uid="{00000000-0005-0000-0000-0000137F0000}"/>
    <cellStyle name="Style 1 13 2 4" xfId="32527" xr:uid="{00000000-0005-0000-0000-0000147F0000}"/>
    <cellStyle name="Style 1 13 2 5" xfId="32528" xr:uid="{00000000-0005-0000-0000-0000157F0000}"/>
    <cellStyle name="Style 1 13 2 6" xfId="32529" xr:uid="{00000000-0005-0000-0000-0000167F0000}"/>
    <cellStyle name="Style 1 13 3" xfId="32530" xr:uid="{00000000-0005-0000-0000-0000177F0000}"/>
    <cellStyle name="Style 1 13 3 2" xfId="32531" xr:uid="{00000000-0005-0000-0000-0000187F0000}"/>
    <cellStyle name="Style 1 13 3 3" xfId="32532" xr:uid="{00000000-0005-0000-0000-0000197F0000}"/>
    <cellStyle name="Style 1 13 4" xfId="32533" xr:uid="{00000000-0005-0000-0000-00001A7F0000}"/>
    <cellStyle name="Style 1 13 4 2" xfId="32534" xr:uid="{00000000-0005-0000-0000-00001B7F0000}"/>
    <cellStyle name="Style 1 13 4 3" xfId="32535" xr:uid="{00000000-0005-0000-0000-00001C7F0000}"/>
    <cellStyle name="Style 1 13 5" xfId="32536" xr:uid="{00000000-0005-0000-0000-00001D7F0000}"/>
    <cellStyle name="Style 1 13 6" xfId="32537" xr:uid="{00000000-0005-0000-0000-00001E7F0000}"/>
    <cellStyle name="Style 1 13 7" xfId="32538" xr:uid="{00000000-0005-0000-0000-00001F7F0000}"/>
    <cellStyle name="Style 1 14" xfId="32539" xr:uid="{00000000-0005-0000-0000-0000207F0000}"/>
    <cellStyle name="Style 1 14 2" xfId="32540" xr:uid="{00000000-0005-0000-0000-0000217F0000}"/>
    <cellStyle name="Style 1 14 2 2" xfId="32541" xr:uid="{00000000-0005-0000-0000-0000227F0000}"/>
    <cellStyle name="Style 1 14 2 2 2" xfId="32542" xr:uid="{00000000-0005-0000-0000-0000237F0000}"/>
    <cellStyle name="Style 1 14 2 2 3" xfId="32543" xr:uid="{00000000-0005-0000-0000-0000247F0000}"/>
    <cellStyle name="Style 1 14 2 3" xfId="32544" xr:uid="{00000000-0005-0000-0000-0000257F0000}"/>
    <cellStyle name="Style 1 14 2 3 2" xfId="32545" xr:uid="{00000000-0005-0000-0000-0000267F0000}"/>
    <cellStyle name="Style 1 14 2 3 3" xfId="32546" xr:uid="{00000000-0005-0000-0000-0000277F0000}"/>
    <cellStyle name="Style 1 14 2 4" xfId="32547" xr:uid="{00000000-0005-0000-0000-0000287F0000}"/>
    <cellStyle name="Style 1 14 2 5" xfId="32548" xr:uid="{00000000-0005-0000-0000-0000297F0000}"/>
    <cellStyle name="Style 1 14 2 6" xfId="32549" xr:uid="{00000000-0005-0000-0000-00002A7F0000}"/>
    <cellStyle name="Style 1 14 3" xfId="32550" xr:uid="{00000000-0005-0000-0000-00002B7F0000}"/>
    <cellStyle name="Style 1 14 3 2" xfId="32551" xr:uid="{00000000-0005-0000-0000-00002C7F0000}"/>
    <cellStyle name="Style 1 14 3 3" xfId="32552" xr:uid="{00000000-0005-0000-0000-00002D7F0000}"/>
    <cellStyle name="Style 1 14 4" xfId="32553" xr:uid="{00000000-0005-0000-0000-00002E7F0000}"/>
    <cellStyle name="Style 1 14 4 2" xfId="32554" xr:uid="{00000000-0005-0000-0000-00002F7F0000}"/>
    <cellStyle name="Style 1 14 4 3" xfId="32555" xr:uid="{00000000-0005-0000-0000-0000307F0000}"/>
    <cellStyle name="Style 1 14 5" xfId="32556" xr:uid="{00000000-0005-0000-0000-0000317F0000}"/>
    <cellStyle name="Style 1 14 6" xfId="32557" xr:uid="{00000000-0005-0000-0000-0000327F0000}"/>
    <cellStyle name="Style 1 14 7" xfId="32558" xr:uid="{00000000-0005-0000-0000-0000337F0000}"/>
    <cellStyle name="Style 1 15" xfId="32559" xr:uid="{00000000-0005-0000-0000-0000347F0000}"/>
    <cellStyle name="Style 1 15 2" xfId="32560" xr:uid="{00000000-0005-0000-0000-0000357F0000}"/>
    <cellStyle name="Style 1 15 2 2" xfId="32561" xr:uid="{00000000-0005-0000-0000-0000367F0000}"/>
    <cellStyle name="Style 1 15 2 2 2" xfId="32562" xr:uid="{00000000-0005-0000-0000-0000377F0000}"/>
    <cellStyle name="Style 1 15 2 2 3" xfId="32563" xr:uid="{00000000-0005-0000-0000-0000387F0000}"/>
    <cellStyle name="Style 1 15 2 3" xfId="32564" xr:uid="{00000000-0005-0000-0000-0000397F0000}"/>
    <cellStyle name="Style 1 15 2 3 2" xfId="32565" xr:uid="{00000000-0005-0000-0000-00003A7F0000}"/>
    <cellStyle name="Style 1 15 2 3 3" xfId="32566" xr:uid="{00000000-0005-0000-0000-00003B7F0000}"/>
    <cellStyle name="Style 1 15 2 4" xfId="32567" xr:uid="{00000000-0005-0000-0000-00003C7F0000}"/>
    <cellStyle name="Style 1 15 2 5" xfId="32568" xr:uid="{00000000-0005-0000-0000-00003D7F0000}"/>
    <cellStyle name="Style 1 15 2 6" xfId="32569" xr:uid="{00000000-0005-0000-0000-00003E7F0000}"/>
    <cellStyle name="Style 1 15 3" xfId="32570" xr:uid="{00000000-0005-0000-0000-00003F7F0000}"/>
    <cellStyle name="Style 1 15 3 2" xfId="32571" xr:uid="{00000000-0005-0000-0000-0000407F0000}"/>
    <cellStyle name="Style 1 15 3 3" xfId="32572" xr:uid="{00000000-0005-0000-0000-0000417F0000}"/>
    <cellStyle name="Style 1 15 4" xfId="32573" xr:uid="{00000000-0005-0000-0000-0000427F0000}"/>
    <cellStyle name="Style 1 15 4 2" xfId="32574" xr:uid="{00000000-0005-0000-0000-0000437F0000}"/>
    <cellStyle name="Style 1 15 4 3" xfId="32575" xr:uid="{00000000-0005-0000-0000-0000447F0000}"/>
    <cellStyle name="Style 1 15 5" xfId="32576" xr:uid="{00000000-0005-0000-0000-0000457F0000}"/>
    <cellStyle name="Style 1 15 6" xfId="32577" xr:uid="{00000000-0005-0000-0000-0000467F0000}"/>
    <cellStyle name="Style 1 15 7" xfId="32578" xr:uid="{00000000-0005-0000-0000-0000477F0000}"/>
    <cellStyle name="Style 1 16" xfId="32579" xr:uid="{00000000-0005-0000-0000-0000487F0000}"/>
    <cellStyle name="Style 1 16 2" xfId="32580" xr:uid="{00000000-0005-0000-0000-0000497F0000}"/>
    <cellStyle name="Style 1 16 2 2" xfId="32581" xr:uid="{00000000-0005-0000-0000-00004A7F0000}"/>
    <cellStyle name="Style 1 16 2 2 2" xfId="32582" xr:uid="{00000000-0005-0000-0000-00004B7F0000}"/>
    <cellStyle name="Style 1 16 2 2 3" xfId="32583" xr:uid="{00000000-0005-0000-0000-00004C7F0000}"/>
    <cellStyle name="Style 1 16 2 3" xfId="32584" xr:uid="{00000000-0005-0000-0000-00004D7F0000}"/>
    <cellStyle name="Style 1 16 2 3 2" xfId="32585" xr:uid="{00000000-0005-0000-0000-00004E7F0000}"/>
    <cellStyle name="Style 1 16 2 3 3" xfId="32586" xr:uid="{00000000-0005-0000-0000-00004F7F0000}"/>
    <cellStyle name="Style 1 16 2 4" xfId="32587" xr:uid="{00000000-0005-0000-0000-0000507F0000}"/>
    <cellStyle name="Style 1 16 2 5" xfId="32588" xr:uid="{00000000-0005-0000-0000-0000517F0000}"/>
    <cellStyle name="Style 1 16 2 6" xfId="32589" xr:uid="{00000000-0005-0000-0000-0000527F0000}"/>
    <cellStyle name="Style 1 16 3" xfId="32590" xr:uid="{00000000-0005-0000-0000-0000537F0000}"/>
    <cellStyle name="Style 1 16 3 2" xfId="32591" xr:uid="{00000000-0005-0000-0000-0000547F0000}"/>
    <cellStyle name="Style 1 16 3 3" xfId="32592" xr:uid="{00000000-0005-0000-0000-0000557F0000}"/>
    <cellStyle name="Style 1 16 4" xfId="32593" xr:uid="{00000000-0005-0000-0000-0000567F0000}"/>
    <cellStyle name="Style 1 16 4 2" xfId="32594" xr:uid="{00000000-0005-0000-0000-0000577F0000}"/>
    <cellStyle name="Style 1 16 4 3" xfId="32595" xr:uid="{00000000-0005-0000-0000-0000587F0000}"/>
    <cellStyle name="Style 1 16 5" xfId="32596" xr:uid="{00000000-0005-0000-0000-0000597F0000}"/>
    <cellStyle name="Style 1 16 6" xfId="32597" xr:uid="{00000000-0005-0000-0000-00005A7F0000}"/>
    <cellStyle name="Style 1 16 7" xfId="32598" xr:uid="{00000000-0005-0000-0000-00005B7F0000}"/>
    <cellStyle name="Style 1 17" xfId="32599" xr:uid="{00000000-0005-0000-0000-00005C7F0000}"/>
    <cellStyle name="Style 1 17 2" xfId="32600" xr:uid="{00000000-0005-0000-0000-00005D7F0000}"/>
    <cellStyle name="Style 1 17 2 2" xfId="32601" xr:uid="{00000000-0005-0000-0000-00005E7F0000}"/>
    <cellStyle name="Style 1 17 2 2 2" xfId="32602" xr:uid="{00000000-0005-0000-0000-00005F7F0000}"/>
    <cellStyle name="Style 1 17 2 2 3" xfId="32603" xr:uid="{00000000-0005-0000-0000-0000607F0000}"/>
    <cellStyle name="Style 1 17 2 3" xfId="32604" xr:uid="{00000000-0005-0000-0000-0000617F0000}"/>
    <cellStyle name="Style 1 17 2 3 2" xfId="32605" xr:uid="{00000000-0005-0000-0000-0000627F0000}"/>
    <cellStyle name="Style 1 17 2 3 3" xfId="32606" xr:uid="{00000000-0005-0000-0000-0000637F0000}"/>
    <cellStyle name="Style 1 17 2 4" xfId="32607" xr:uid="{00000000-0005-0000-0000-0000647F0000}"/>
    <cellStyle name="Style 1 17 2 5" xfId="32608" xr:uid="{00000000-0005-0000-0000-0000657F0000}"/>
    <cellStyle name="Style 1 17 2 6" xfId="32609" xr:uid="{00000000-0005-0000-0000-0000667F0000}"/>
    <cellStyle name="Style 1 17 3" xfId="32610" xr:uid="{00000000-0005-0000-0000-0000677F0000}"/>
    <cellStyle name="Style 1 17 3 2" xfId="32611" xr:uid="{00000000-0005-0000-0000-0000687F0000}"/>
    <cellStyle name="Style 1 17 3 3" xfId="32612" xr:uid="{00000000-0005-0000-0000-0000697F0000}"/>
    <cellStyle name="Style 1 17 4" xfId="32613" xr:uid="{00000000-0005-0000-0000-00006A7F0000}"/>
    <cellStyle name="Style 1 17 4 2" xfId="32614" xr:uid="{00000000-0005-0000-0000-00006B7F0000}"/>
    <cellStyle name="Style 1 17 4 3" xfId="32615" xr:uid="{00000000-0005-0000-0000-00006C7F0000}"/>
    <cellStyle name="Style 1 17 5" xfId="32616" xr:uid="{00000000-0005-0000-0000-00006D7F0000}"/>
    <cellStyle name="Style 1 17 6" xfId="32617" xr:uid="{00000000-0005-0000-0000-00006E7F0000}"/>
    <cellStyle name="Style 1 17 7" xfId="32618" xr:uid="{00000000-0005-0000-0000-00006F7F0000}"/>
    <cellStyle name="Style 1 18" xfId="32619" xr:uid="{00000000-0005-0000-0000-0000707F0000}"/>
    <cellStyle name="Style 1 18 2" xfId="32620" xr:uid="{00000000-0005-0000-0000-0000717F0000}"/>
    <cellStyle name="Style 1 18 2 2" xfId="32621" xr:uid="{00000000-0005-0000-0000-0000727F0000}"/>
    <cellStyle name="Style 1 18 2 2 2" xfId="32622" xr:uid="{00000000-0005-0000-0000-0000737F0000}"/>
    <cellStyle name="Style 1 18 2 2 3" xfId="32623" xr:uid="{00000000-0005-0000-0000-0000747F0000}"/>
    <cellStyle name="Style 1 18 2 3" xfId="32624" xr:uid="{00000000-0005-0000-0000-0000757F0000}"/>
    <cellStyle name="Style 1 18 2 3 2" xfId="32625" xr:uid="{00000000-0005-0000-0000-0000767F0000}"/>
    <cellStyle name="Style 1 18 2 3 3" xfId="32626" xr:uid="{00000000-0005-0000-0000-0000777F0000}"/>
    <cellStyle name="Style 1 18 2 4" xfId="32627" xr:uid="{00000000-0005-0000-0000-0000787F0000}"/>
    <cellStyle name="Style 1 18 2 5" xfId="32628" xr:uid="{00000000-0005-0000-0000-0000797F0000}"/>
    <cellStyle name="Style 1 18 2 6" xfId="32629" xr:uid="{00000000-0005-0000-0000-00007A7F0000}"/>
    <cellStyle name="Style 1 18 3" xfId="32630" xr:uid="{00000000-0005-0000-0000-00007B7F0000}"/>
    <cellStyle name="Style 1 18 3 2" xfId="32631" xr:uid="{00000000-0005-0000-0000-00007C7F0000}"/>
    <cellStyle name="Style 1 18 3 3" xfId="32632" xr:uid="{00000000-0005-0000-0000-00007D7F0000}"/>
    <cellStyle name="Style 1 18 4" xfId="32633" xr:uid="{00000000-0005-0000-0000-00007E7F0000}"/>
    <cellStyle name="Style 1 18 4 2" xfId="32634" xr:uid="{00000000-0005-0000-0000-00007F7F0000}"/>
    <cellStyle name="Style 1 18 4 3" xfId="32635" xr:uid="{00000000-0005-0000-0000-0000807F0000}"/>
    <cellStyle name="Style 1 18 5" xfId="32636" xr:uid="{00000000-0005-0000-0000-0000817F0000}"/>
    <cellStyle name="Style 1 18 6" xfId="32637" xr:uid="{00000000-0005-0000-0000-0000827F0000}"/>
    <cellStyle name="Style 1 18 7" xfId="32638" xr:uid="{00000000-0005-0000-0000-0000837F0000}"/>
    <cellStyle name="Style 1 19" xfId="32639" xr:uid="{00000000-0005-0000-0000-0000847F0000}"/>
    <cellStyle name="Style 1 19 2" xfId="32640" xr:uid="{00000000-0005-0000-0000-0000857F0000}"/>
    <cellStyle name="Style 1 19 2 2" xfId="32641" xr:uid="{00000000-0005-0000-0000-0000867F0000}"/>
    <cellStyle name="Style 1 19 2 2 2" xfId="32642" xr:uid="{00000000-0005-0000-0000-0000877F0000}"/>
    <cellStyle name="Style 1 19 2 2 3" xfId="32643" xr:uid="{00000000-0005-0000-0000-0000887F0000}"/>
    <cellStyle name="Style 1 19 2 3" xfId="32644" xr:uid="{00000000-0005-0000-0000-0000897F0000}"/>
    <cellStyle name="Style 1 19 2 3 2" xfId="32645" xr:uid="{00000000-0005-0000-0000-00008A7F0000}"/>
    <cellStyle name="Style 1 19 2 3 3" xfId="32646" xr:uid="{00000000-0005-0000-0000-00008B7F0000}"/>
    <cellStyle name="Style 1 19 2 4" xfId="32647" xr:uid="{00000000-0005-0000-0000-00008C7F0000}"/>
    <cellStyle name="Style 1 19 2 5" xfId="32648" xr:uid="{00000000-0005-0000-0000-00008D7F0000}"/>
    <cellStyle name="Style 1 19 2 6" xfId="32649" xr:uid="{00000000-0005-0000-0000-00008E7F0000}"/>
    <cellStyle name="Style 1 19 3" xfId="32650" xr:uid="{00000000-0005-0000-0000-00008F7F0000}"/>
    <cellStyle name="Style 1 19 3 2" xfId="32651" xr:uid="{00000000-0005-0000-0000-0000907F0000}"/>
    <cellStyle name="Style 1 19 3 3" xfId="32652" xr:uid="{00000000-0005-0000-0000-0000917F0000}"/>
    <cellStyle name="Style 1 19 4" xfId="32653" xr:uid="{00000000-0005-0000-0000-0000927F0000}"/>
    <cellStyle name="Style 1 19 4 2" xfId="32654" xr:uid="{00000000-0005-0000-0000-0000937F0000}"/>
    <cellStyle name="Style 1 19 4 3" xfId="32655" xr:uid="{00000000-0005-0000-0000-0000947F0000}"/>
    <cellStyle name="Style 1 19 5" xfId="32656" xr:uid="{00000000-0005-0000-0000-0000957F0000}"/>
    <cellStyle name="Style 1 19 6" xfId="32657" xr:uid="{00000000-0005-0000-0000-0000967F0000}"/>
    <cellStyle name="Style 1 19 7" xfId="32658" xr:uid="{00000000-0005-0000-0000-0000977F0000}"/>
    <cellStyle name="Style 1 2" xfId="32659" xr:uid="{00000000-0005-0000-0000-0000987F0000}"/>
    <cellStyle name="Style 1 2 2" xfId="32660" xr:uid="{00000000-0005-0000-0000-0000997F0000}"/>
    <cellStyle name="Style 1 2 2 2" xfId="32661" xr:uid="{00000000-0005-0000-0000-00009A7F0000}"/>
    <cellStyle name="Style 1 2 2 2 2" xfId="32662" xr:uid="{00000000-0005-0000-0000-00009B7F0000}"/>
    <cellStyle name="Style 1 2 2 2 3" xfId="32663" xr:uid="{00000000-0005-0000-0000-00009C7F0000}"/>
    <cellStyle name="Style 1 2 2 3" xfId="32664" xr:uid="{00000000-0005-0000-0000-00009D7F0000}"/>
    <cellStyle name="Style 1 2 2 3 2" xfId="32665" xr:uid="{00000000-0005-0000-0000-00009E7F0000}"/>
    <cellStyle name="Style 1 2 2 3 3" xfId="32666" xr:uid="{00000000-0005-0000-0000-00009F7F0000}"/>
    <cellStyle name="Style 1 2 2 4" xfId="32667" xr:uid="{00000000-0005-0000-0000-0000A07F0000}"/>
    <cellStyle name="Style 1 2 2 5" xfId="32668" xr:uid="{00000000-0005-0000-0000-0000A17F0000}"/>
    <cellStyle name="Style 1 2 2 6" xfId="32669" xr:uid="{00000000-0005-0000-0000-0000A27F0000}"/>
    <cellStyle name="Style 1 2 3" xfId="32670" xr:uid="{00000000-0005-0000-0000-0000A37F0000}"/>
    <cellStyle name="Style 1 2 3 2" xfId="32671" xr:uid="{00000000-0005-0000-0000-0000A47F0000}"/>
    <cellStyle name="Style 1 2 3 3" xfId="32672" xr:uid="{00000000-0005-0000-0000-0000A57F0000}"/>
    <cellStyle name="Style 1 2 4" xfId="32673" xr:uid="{00000000-0005-0000-0000-0000A67F0000}"/>
    <cellStyle name="Style 1 2 4 2" xfId="32674" xr:uid="{00000000-0005-0000-0000-0000A77F0000}"/>
    <cellStyle name="Style 1 2 4 3" xfId="32675" xr:uid="{00000000-0005-0000-0000-0000A87F0000}"/>
    <cellStyle name="Style 1 2 5" xfId="32676" xr:uid="{00000000-0005-0000-0000-0000A97F0000}"/>
    <cellStyle name="Style 1 2 6" xfId="32677" xr:uid="{00000000-0005-0000-0000-0000AA7F0000}"/>
    <cellStyle name="Style 1 2 7" xfId="32678" xr:uid="{00000000-0005-0000-0000-0000AB7F0000}"/>
    <cellStyle name="Style 1 20" xfId="32679" xr:uid="{00000000-0005-0000-0000-0000AC7F0000}"/>
    <cellStyle name="Style 1 20 2" xfId="32680" xr:uid="{00000000-0005-0000-0000-0000AD7F0000}"/>
    <cellStyle name="Style 1 20 2 2" xfId="32681" xr:uid="{00000000-0005-0000-0000-0000AE7F0000}"/>
    <cellStyle name="Style 1 20 2 2 2" xfId="32682" xr:uid="{00000000-0005-0000-0000-0000AF7F0000}"/>
    <cellStyle name="Style 1 20 2 2 3" xfId="32683" xr:uid="{00000000-0005-0000-0000-0000B07F0000}"/>
    <cellStyle name="Style 1 20 2 3" xfId="32684" xr:uid="{00000000-0005-0000-0000-0000B17F0000}"/>
    <cellStyle name="Style 1 20 2 3 2" xfId="32685" xr:uid="{00000000-0005-0000-0000-0000B27F0000}"/>
    <cellStyle name="Style 1 20 2 3 3" xfId="32686" xr:uid="{00000000-0005-0000-0000-0000B37F0000}"/>
    <cellStyle name="Style 1 20 2 4" xfId="32687" xr:uid="{00000000-0005-0000-0000-0000B47F0000}"/>
    <cellStyle name="Style 1 20 2 5" xfId="32688" xr:uid="{00000000-0005-0000-0000-0000B57F0000}"/>
    <cellStyle name="Style 1 20 2 6" xfId="32689" xr:uid="{00000000-0005-0000-0000-0000B67F0000}"/>
    <cellStyle name="Style 1 20 3" xfId="32690" xr:uid="{00000000-0005-0000-0000-0000B77F0000}"/>
    <cellStyle name="Style 1 20 3 2" xfId="32691" xr:uid="{00000000-0005-0000-0000-0000B87F0000}"/>
    <cellStyle name="Style 1 20 3 3" xfId="32692" xr:uid="{00000000-0005-0000-0000-0000B97F0000}"/>
    <cellStyle name="Style 1 20 4" xfId="32693" xr:uid="{00000000-0005-0000-0000-0000BA7F0000}"/>
    <cellStyle name="Style 1 20 4 2" xfId="32694" xr:uid="{00000000-0005-0000-0000-0000BB7F0000}"/>
    <cellStyle name="Style 1 20 4 3" xfId="32695" xr:uid="{00000000-0005-0000-0000-0000BC7F0000}"/>
    <cellStyle name="Style 1 20 5" xfId="32696" xr:uid="{00000000-0005-0000-0000-0000BD7F0000}"/>
    <cellStyle name="Style 1 20 6" xfId="32697" xr:uid="{00000000-0005-0000-0000-0000BE7F0000}"/>
    <cellStyle name="Style 1 20 7" xfId="32698" xr:uid="{00000000-0005-0000-0000-0000BF7F0000}"/>
    <cellStyle name="Style 1 21" xfId="32699" xr:uid="{00000000-0005-0000-0000-0000C07F0000}"/>
    <cellStyle name="Style 1 21 2" xfId="32700" xr:uid="{00000000-0005-0000-0000-0000C17F0000}"/>
    <cellStyle name="Style 1 21 2 2" xfId="32701" xr:uid="{00000000-0005-0000-0000-0000C27F0000}"/>
    <cellStyle name="Style 1 21 2 2 2" xfId="32702" xr:uid="{00000000-0005-0000-0000-0000C37F0000}"/>
    <cellStyle name="Style 1 21 2 2 3" xfId="32703" xr:uid="{00000000-0005-0000-0000-0000C47F0000}"/>
    <cellStyle name="Style 1 21 2 3" xfId="32704" xr:uid="{00000000-0005-0000-0000-0000C57F0000}"/>
    <cellStyle name="Style 1 21 2 3 2" xfId="32705" xr:uid="{00000000-0005-0000-0000-0000C67F0000}"/>
    <cellStyle name="Style 1 21 2 3 3" xfId="32706" xr:uid="{00000000-0005-0000-0000-0000C77F0000}"/>
    <cellStyle name="Style 1 21 2 4" xfId="32707" xr:uid="{00000000-0005-0000-0000-0000C87F0000}"/>
    <cellStyle name="Style 1 21 2 5" xfId="32708" xr:uid="{00000000-0005-0000-0000-0000C97F0000}"/>
    <cellStyle name="Style 1 21 2 6" xfId="32709" xr:uid="{00000000-0005-0000-0000-0000CA7F0000}"/>
    <cellStyle name="Style 1 21 3" xfId="32710" xr:uid="{00000000-0005-0000-0000-0000CB7F0000}"/>
    <cellStyle name="Style 1 21 3 2" xfId="32711" xr:uid="{00000000-0005-0000-0000-0000CC7F0000}"/>
    <cellStyle name="Style 1 21 3 3" xfId="32712" xr:uid="{00000000-0005-0000-0000-0000CD7F0000}"/>
    <cellStyle name="Style 1 21 4" xfId="32713" xr:uid="{00000000-0005-0000-0000-0000CE7F0000}"/>
    <cellStyle name="Style 1 21 4 2" xfId="32714" xr:uid="{00000000-0005-0000-0000-0000CF7F0000}"/>
    <cellStyle name="Style 1 21 4 3" xfId="32715" xr:uid="{00000000-0005-0000-0000-0000D07F0000}"/>
    <cellStyle name="Style 1 21 5" xfId="32716" xr:uid="{00000000-0005-0000-0000-0000D17F0000}"/>
    <cellStyle name="Style 1 21 6" xfId="32717" xr:uid="{00000000-0005-0000-0000-0000D27F0000}"/>
    <cellStyle name="Style 1 21 7" xfId="32718" xr:uid="{00000000-0005-0000-0000-0000D37F0000}"/>
    <cellStyle name="Style 1 22" xfId="32719" xr:uid="{00000000-0005-0000-0000-0000D47F0000}"/>
    <cellStyle name="Style 1 22 2" xfId="32720" xr:uid="{00000000-0005-0000-0000-0000D57F0000}"/>
    <cellStyle name="Style 1 22 2 2" xfId="32721" xr:uid="{00000000-0005-0000-0000-0000D67F0000}"/>
    <cellStyle name="Style 1 22 2 2 2" xfId="32722" xr:uid="{00000000-0005-0000-0000-0000D77F0000}"/>
    <cellStyle name="Style 1 22 2 2 3" xfId="32723" xr:uid="{00000000-0005-0000-0000-0000D87F0000}"/>
    <cellStyle name="Style 1 22 2 3" xfId="32724" xr:uid="{00000000-0005-0000-0000-0000D97F0000}"/>
    <cellStyle name="Style 1 22 2 3 2" xfId="32725" xr:uid="{00000000-0005-0000-0000-0000DA7F0000}"/>
    <cellStyle name="Style 1 22 2 3 3" xfId="32726" xr:uid="{00000000-0005-0000-0000-0000DB7F0000}"/>
    <cellStyle name="Style 1 22 2 4" xfId="32727" xr:uid="{00000000-0005-0000-0000-0000DC7F0000}"/>
    <cellStyle name="Style 1 22 2 5" xfId="32728" xr:uid="{00000000-0005-0000-0000-0000DD7F0000}"/>
    <cellStyle name="Style 1 22 2 6" xfId="32729" xr:uid="{00000000-0005-0000-0000-0000DE7F0000}"/>
    <cellStyle name="Style 1 22 3" xfId="32730" xr:uid="{00000000-0005-0000-0000-0000DF7F0000}"/>
    <cellStyle name="Style 1 22 3 2" xfId="32731" xr:uid="{00000000-0005-0000-0000-0000E07F0000}"/>
    <cellStyle name="Style 1 22 3 3" xfId="32732" xr:uid="{00000000-0005-0000-0000-0000E17F0000}"/>
    <cellStyle name="Style 1 22 4" xfId="32733" xr:uid="{00000000-0005-0000-0000-0000E27F0000}"/>
    <cellStyle name="Style 1 22 4 2" xfId="32734" xr:uid="{00000000-0005-0000-0000-0000E37F0000}"/>
    <cellStyle name="Style 1 22 4 3" xfId="32735" xr:uid="{00000000-0005-0000-0000-0000E47F0000}"/>
    <cellStyle name="Style 1 22 5" xfId="32736" xr:uid="{00000000-0005-0000-0000-0000E57F0000}"/>
    <cellStyle name="Style 1 22 6" xfId="32737" xr:uid="{00000000-0005-0000-0000-0000E67F0000}"/>
    <cellStyle name="Style 1 22 7" xfId="32738" xr:uid="{00000000-0005-0000-0000-0000E77F0000}"/>
    <cellStyle name="Style 1 23" xfId="32739" xr:uid="{00000000-0005-0000-0000-0000E87F0000}"/>
    <cellStyle name="Style 1 23 2" xfId="32740" xr:uid="{00000000-0005-0000-0000-0000E97F0000}"/>
    <cellStyle name="Style 1 23 2 2" xfId="32741" xr:uid="{00000000-0005-0000-0000-0000EA7F0000}"/>
    <cellStyle name="Style 1 23 2 2 2" xfId="32742" xr:uid="{00000000-0005-0000-0000-0000EB7F0000}"/>
    <cellStyle name="Style 1 23 2 2 3" xfId="32743" xr:uid="{00000000-0005-0000-0000-0000EC7F0000}"/>
    <cellStyle name="Style 1 23 2 3" xfId="32744" xr:uid="{00000000-0005-0000-0000-0000ED7F0000}"/>
    <cellStyle name="Style 1 23 2 3 2" xfId="32745" xr:uid="{00000000-0005-0000-0000-0000EE7F0000}"/>
    <cellStyle name="Style 1 23 2 3 3" xfId="32746" xr:uid="{00000000-0005-0000-0000-0000EF7F0000}"/>
    <cellStyle name="Style 1 23 2 4" xfId="32747" xr:uid="{00000000-0005-0000-0000-0000F07F0000}"/>
    <cellStyle name="Style 1 23 2 5" xfId="32748" xr:uid="{00000000-0005-0000-0000-0000F17F0000}"/>
    <cellStyle name="Style 1 23 2 6" xfId="32749" xr:uid="{00000000-0005-0000-0000-0000F27F0000}"/>
    <cellStyle name="Style 1 23 3" xfId="32750" xr:uid="{00000000-0005-0000-0000-0000F37F0000}"/>
    <cellStyle name="Style 1 23 3 2" xfId="32751" xr:uid="{00000000-0005-0000-0000-0000F47F0000}"/>
    <cellStyle name="Style 1 23 3 3" xfId="32752" xr:uid="{00000000-0005-0000-0000-0000F57F0000}"/>
    <cellStyle name="Style 1 23 4" xfId="32753" xr:uid="{00000000-0005-0000-0000-0000F67F0000}"/>
    <cellStyle name="Style 1 23 4 2" xfId="32754" xr:uid="{00000000-0005-0000-0000-0000F77F0000}"/>
    <cellStyle name="Style 1 23 4 3" xfId="32755" xr:uid="{00000000-0005-0000-0000-0000F87F0000}"/>
    <cellStyle name="Style 1 23 5" xfId="32756" xr:uid="{00000000-0005-0000-0000-0000F97F0000}"/>
    <cellStyle name="Style 1 23 6" xfId="32757" xr:uid="{00000000-0005-0000-0000-0000FA7F0000}"/>
    <cellStyle name="Style 1 23 7" xfId="32758" xr:uid="{00000000-0005-0000-0000-0000FB7F0000}"/>
    <cellStyle name="Style 1 24" xfId="32759" xr:uid="{00000000-0005-0000-0000-0000FC7F0000}"/>
    <cellStyle name="Style 1 24 2" xfId="32760" xr:uid="{00000000-0005-0000-0000-0000FD7F0000}"/>
    <cellStyle name="Style 1 24 2 2" xfId="32761" xr:uid="{00000000-0005-0000-0000-0000FE7F0000}"/>
    <cellStyle name="Style 1 24 2 3" xfId="32762" xr:uid="{00000000-0005-0000-0000-0000FF7F0000}"/>
    <cellStyle name="Style 1 24 3" xfId="32763" xr:uid="{00000000-0005-0000-0000-000000800000}"/>
    <cellStyle name="Style 1 24 3 2" xfId="32764" xr:uid="{00000000-0005-0000-0000-000001800000}"/>
    <cellStyle name="Style 1 24 3 3" xfId="32765" xr:uid="{00000000-0005-0000-0000-000002800000}"/>
    <cellStyle name="Style 1 24 4" xfId="32766" xr:uid="{00000000-0005-0000-0000-000003800000}"/>
    <cellStyle name="Style 1 24 5" xfId="32767" xr:uid="{00000000-0005-0000-0000-000004800000}"/>
    <cellStyle name="Style 1 24 6" xfId="32768" xr:uid="{00000000-0005-0000-0000-000005800000}"/>
    <cellStyle name="Style 1 25" xfId="32769" xr:uid="{00000000-0005-0000-0000-000006800000}"/>
    <cellStyle name="Style 1 25 2" xfId="32770" xr:uid="{00000000-0005-0000-0000-000007800000}"/>
    <cellStyle name="Style 1 25 3" xfId="32771" xr:uid="{00000000-0005-0000-0000-000008800000}"/>
    <cellStyle name="Style 1 26" xfId="32772" xr:uid="{00000000-0005-0000-0000-000009800000}"/>
    <cellStyle name="Style 1 26 2" xfId="32773" xr:uid="{00000000-0005-0000-0000-00000A800000}"/>
    <cellStyle name="Style 1 26 3" xfId="32774" xr:uid="{00000000-0005-0000-0000-00000B800000}"/>
    <cellStyle name="Style 1 27" xfId="32775" xr:uid="{00000000-0005-0000-0000-00000C800000}"/>
    <cellStyle name="Style 1 28" xfId="32776" xr:uid="{00000000-0005-0000-0000-00000D800000}"/>
    <cellStyle name="Style 1 29" xfId="32777" xr:uid="{00000000-0005-0000-0000-00000E800000}"/>
    <cellStyle name="Style 1 3" xfId="32778" xr:uid="{00000000-0005-0000-0000-00000F800000}"/>
    <cellStyle name="Style 1 3 2" xfId="32779" xr:uid="{00000000-0005-0000-0000-000010800000}"/>
    <cellStyle name="Style 1 3 2 2" xfId="32780" xr:uid="{00000000-0005-0000-0000-000011800000}"/>
    <cellStyle name="Style 1 3 2 2 2" xfId="32781" xr:uid="{00000000-0005-0000-0000-000012800000}"/>
    <cellStyle name="Style 1 3 2 2 3" xfId="32782" xr:uid="{00000000-0005-0000-0000-000013800000}"/>
    <cellStyle name="Style 1 3 2 3" xfId="32783" xr:uid="{00000000-0005-0000-0000-000014800000}"/>
    <cellStyle name="Style 1 3 2 3 2" xfId="32784" xr:uid="{00000000-0005-0000-0000-000015800000}"/>
    <cellStyle name="Style 1 3 2 3 3" xfId="32785" xr:uid="{00000000-0005-0000-0000-000016800000}"/>
    <cellStyle name="Style 1 3 2 4" xfId="32786" xr:uid="{00000000-0005-0000-0000-000017800000}"/>
    <cellStyle name="Style 1 3 2 5" xfId="32787" xr:uid="{00000000-0005-0000-0000-000018800000}"/>
    <cellStyle name="Style 1 3 2 6" xfId="32788" xr:uid="{00000000-0005-0000-0000-000019800000}"/>
    <cellStyle name="Style 1 3 3" xfId="32789" xr:uid="{00000000-0005-0000-0000-00001A800000}"/>
    <cellStyle name="Style 1 3 3 2" xfId="32790" xr:uid="{00000000-0005-0000-0000-00001B800000}"/>
    <cellStyle name="Style 1 3 3 3" xfId="32791" xr:uid="{00000000-0005-0000-0000-00001C800000}"/>
    <cellStyle name="Style 1 3 4" xfId="32792" xr:uid="{00000000-0005-0000-0000-00001D800000}"/>
    <cellStyle name="Style 1 3 4 2" xfId="32793" xr:uid="{00000000-0005-0000-0000-00001E800000}"/>
    <cellStyle name="Style 1 3 4 3" xfId="32794" xr:uid="{00000000-0005-0000-0000-00001F800000}"/>
    <cellStyle name="Style 1 3 5" xfId="32795" xr:uid="{00000000-0005-0000-0000-000020800000}"/>
    <cellStyle name="Style 1 3 6" xfId="32796" xr:uid="{00000000-0005-0000-0000-000021800000}"/>
    <cellStyle name="Style 1 3 7" xfId="32797" xr:uid="{00000000-0005-0000-0000-000022800000}"/>
    <cellStyle name="Style 1 4" xfId="32798" xr:uid="{00000000-0005-0000-0000-000023800000}"/>
    <cellStyle name="Style 1 4 2" xfId="32799" xr:uid="{00000000-0005-0000-0000-000024800000}"/>
    <cellStyle name="Style 1 4 2 2" xfId="32800" xr:uid="{00000000-0005-0000-0000-000025800000}"/>
    <cellStyle name="Style 1 4 2 2 2" xfId="32801" xr:uid="{00000000-0005-0000-0000-000026800000}"/>
    <cellStyle name="Style 1 4 2 2 3" xfId="32802" xr:uid="{00000000-0005-0000-0000-000027800000}"/>
    <cellStyle name="Style 1 4 2 3" xfId="32803" xr:uid="{00000000-0005-0000-0000-000028800000}"/>
    <cellStyle name="Style 1 4 2 3 2" xfId="32804" xr:uid="{00000000-0005-0000-0000-000029800000}"/>
    <cellStyle name="Style 1 4 2 3 3" xfId="32805" xr:uid="{00000000-0005-0000-0000-00002A800000}"/>
    <cellStyle name="Style 1 4 2 4" xfId="32806" xr:uid="{00000000-0005-0000-0000-00002B800000}"/>
    <cellStyle name="Style 1 4 2 5" xfId="32807" xr:uid="{00000000-0005-0000-0000-00002C800000}"/>
    <cellStyle name="Style 1 4 2 6" xfId="32808" xr:uid="{00000000-0005-0000-0000-00002D800000}"/>
    <cellStyle name="Style 1 4 3" xfId="32809" xr:uid="{00000000-0005-0000-0000-00002E800000}"/>
    <cellStyle name="Style 1 4 3 2" xfId="32810" xr:uid="{00000000-0005-0000-0000-00002F800000}"/>
    <cellStyle name="Style 1 4 3 3" xfId="32811" xr:uid="{00000000-0005-0000-0000-000030800000}"/>
    <cellStyle name="Style 1 4 4" xfId="32812" xr:uid="{00000000-0005-0000-0000-000031800000}"/>
    <cellStyle name="Style 1 4 4 2" xfId="32813" xr:uid="{00000000-0005-0000-0000-000032800000}"/>
    <cellStyle name="Style 1 4 4 3" xfId="32814" xr:uid="{00000000-0005-0000-0000-000033800000}"/>
    <cellStyle name="Style 1 4 5" xfId="32815" xr:uid="{00000000-0005-0000-0000-000034800000}"/>
    <cellStyle name="Style 1 4 6" xfId="32816" xr:uid="{00000000-0005-0000-0000-000035800000}"/>
    <cellStyle name="Style 1 4 7" xfId="32817" xr:uid="{00000000-0005-0000-0000-000036800000}"/>
    <cellStyle name="Style 1 5" xfId="32818" xr:uid="{00000000-0005-0000-0000-000037800000}"/>
    <cellStyle name="Style 1 5 2" xfId="32819" xr:uid="{00000000-0005-0000-0000-000038800000}"/>
    <cellStyle name="Style 1 5 2 2" xfId="32820" xr:uid="{00000000-0005-0000-0000-000039800000}"/>
    <cellStyle name="Style 1 5 2 2 2" xfId="32821" xr:uid="{00000000-0005-0000-0000-00003A800000}"/>
    <cellStyle name="Style 1 5 2 2 3" xfId="32822" xr:uid="{00000000-0005-0000-0000-00003B800000}"/>
    <cellStyle name="Style 1 5 2 3" xfId="32823" xr:uid="{00000000-0005-0000-0000-00003C800000}"/>
    <cellStyle name="Style 1 5 2 3 2" xfId="32824" xr:uid="{00000000-0005-0000-0000-00003D800000}"/>
    <cellStyle name="Style 1 5 2 3 3" xfId="32825" xr:uid="{00000000-0005-0000-0000-00003E800000}"/>
    <cellStyle name="Style 1 5 2 4" xfId="32826" xr:uid="{00000000-0005-0000-0000-00003F800000}"/>
    <cellStyle name="Style 1 5 2 5" xfId="32827" xr:uid="{00000000-0005-0000-0000-000040800000}"/>
    <cellStyle name="Style 1 5 2 6" xfId="32828" xr:uid="{00000000-0005-0000-0000-000041800000}"/>
    <cellStyle name="Style 1 5 3" xfId="32829" xr:uid="{00000000-0005-0000-0000-000042800000}"/>
    <cellStyle name="Style 1 5 3 2" xfId="32830" xr:uid="{00000000-0005-0000-0000-000043800000}"/>
    <cellStyle name="Style 1 5 3 3" xfId="32831" xr:uid="{00000000-0005-0000-0000-000044800000}"/>
    <cellStyle name="Style 1 5 4" xfId="32832" xr:uid="{00000000-0005-0000-0000-000045800000}"/>
    <cellStyle name="Style 1 5 4 2" xfId="32833" xr:uid="{00000000-0005-0000-0000-000046800000}"/>
    <cellStyle name="Style 1 5 4 3" xfId="32834" xr:uid="{00000000-0005-0000-0000-000047800000}"/>
    <cellStyle name="Style 1 5 5" xfId="32835" xr:uid="{00000000-0005-0000-0000-000048800000}"/>
    <cellStyle name="Style 1 5 6" xfId="32836" xr:uid="{00000000-0005-0000-0000-000049800000}"/>
    <cellStyle name="Style 1 5 7" xfId="32837" xr:uid="{00000000-0005-0000-0000-00004A800000}"/>
    <cellStyle name="Style 1 6" xfId="32838" xr:uid="{00000000-0005-0000-0000-00004B800000}"/>
    <cellStyle name="Style 1 6 2" xfId="32839" xr:uid="{00000000-0005-0000-0000-00004C800000}"/>
    <cellStyle name="Style 1 6 2 2" xfId="32840" xr:uid="{00000000-0005-0000-0000-00004D800000}"/>
    <cellStyle name="Style 1 6 2 2 2" xfId="32841" xr:uid="{00000000-0005-0000-0000-00004E800000}"/>
    <cellStyle name="Style 1 6 2 2 3" xfId="32842" xr:uid="{00000000-0005-0000-0000-00004F800000}"/>
    <cellStyle name="Style 1 6 2 3" xfId="32843" xr:uid="{00000000-0005-0000-0000-000050800000}"/>
    <cellStyle name="Style 1 6 2 3 2" xfId="32844" xr:uid="{00000000-0005-0000-0000-000051800000}"/>
    <cellStyle name="Style 1 6 2 3 3" xfId="32845" xr:uid="{00000000-0005-0000-0000-000052800000}"/>
    <cellStyle name="Style 1 6 2 4" xfId="32846" xr:uid="{00000000-0005-0000-0000-000053800000}"/>
    <cellStyle name="Style 1 6 2 5" xfId="32847" xr:uid="{00000000-0005-0000-0000-000054800000}"/>
    <cellStyle name="Style 1 6 2 6" xfId="32848" xr:uid="{00000000-0005-0000-0000-000055800000}"/>
    <cellStyle name="Style 1 6 3" xfId="32849" xr:uid="{00000000-0005-0000-0000-000056800000}"/>
    <cellStyle name="Style 1 6 3 2" xfId="32850" xr:uid="{00000000-0005-0000-0000-000057800000}"/>
    <cellStyle name="Style 1 6 3 3" xfId="32851" xr:uid="{00000000-0005-0000-0000-000058800000}"/>
    <cellStyle name="Style 1 6 4" xfId="32852" xr:uid="{00000000-0005-0000-0000-000059800000}"/>
    <cellStyle name="Style 1 6 4 2" xfId="32853" xr:uid="{00000000-0005-0000-0000-00005A800000}"/>
    <cellStyle name="Style 1 6 4 3" xfId="32854" xr:uid="{00000000-0005-0000-0000-00005B800000}"/>
    <cellStyle name="Style 1 6 5" xfId="32855" xr:uid="{00000000-0005-0000-0000-00005C800000}"/>
    <cellStyle name="Style 1 6 6" xfId="32856" xr:uid="{00000000-0005-0000-0000-00005D800000}"/>
    <cellStyle name="Style 1 6 7" xfId="32857" xr:uid="{00000000-0005-0000-0000-00005E800000}"/>
    <cellStyle name="Style 1 7" xfId="32858" xr:uid="{00000000-0005-0000-0000-00005F800000}"/>
    <cellStyle name="Style 1 7 2" xfId="32859" xr:uid="{00000000-0005-0000-0000-000060800000}"/>
    <cellStyle name="Style 1 7 2 2" xfId="32860" xr:uid="{00000000-0005-0000-0000-000061800000}"/>
    <cellStyle name="Style 1 7 2 2 2" xfId="32861" xr:uid="{00000000-0005-0000-0000-000062800000}"/>
    <cellStyle name="Style 1 7 2 2 3" xfId="32862" xr:uid="{00000000-0005-0000-0000-000063800000}"/>
    <cellStyle name="Style 1 7 2 3" xfId="32863" xr:uid="{00000000-0005-0000-0000-000064800000}"/>
    <cellStyle name="Style 1 7 2 3 2" xfId="32864" xr:uid="{00000000-0005-0000-0000-000065800000}"/>
    <cellStyle name="Style 1 7 2 3 3" xfId="32865" xr:uid="{00000000-0005-0000-0000-000066800000}"/>
    <cellStyle name="Style 1 7 2 4" xfId="32866" xr:uid="{00000000-0005-0000-0000-000067800000}"/>
    <cellStyle name="Style 1 7 2 5" xfId="32867" xr:uid="{00000000-0005-0000-0000-000068800000}"/>
    <cellStyle name="Style 1 7 2 6" xfId="32868" xr:uid="{00000000-0005-0000-0000-000069800000}"/>
    <cellStyle name="Style 1 7 3" xfId="32869" xr:uid="{00000000-0005-0000-0000-00006A800000}"/>
    <cellStyle name="Style 1 7 3 2" xfId="32870" xr:uid="{00000000-0005-0000-0000-00006B800000}"/>
    <cellStyle name="Style 1 7 3 3" xfId="32871" xr:uid="{00000000-0005-0000-0000-00006C800000}"/>
    <cellStyle name="Style 1 7 4" xfId="32872" xr:uid="{00000000-0005-0000-0000-00006D800000}"/>
    <cellStyle name="Style 1 7 4 2" xfId="32873" xr:uid="{00000000-0005-0000-0000-00006E800000}"/>
    <cellStyle name="Style 1 7 4 3" xfId="32874" xr:uid="{00000000-0005-0000-0000-00006F800000}"/>
    <cellStyle name="Style 1 7 5" xfId="32875" xr:uid="{00000000-0005-0000-0000-000070800000}"/>
    <cellStyle name="Style 1 7 6" xfId="32876" xr:uid="{00000000-0005-0000-0000-000071800000}"/>
    <cellStyle name="Style 1 7 7" xfId="32877" xr:uid="{00000000-0005-0000-0000-000072800000}"/>
    <cellStyle name="Style 1 8" xfId="32878" xr:uid="{00000000-0005-0000-0000-000073800000}"/>
    <cellStyle name="Style 1 8 2" xfId="32879" xr:uid="{00000000-0005-0000-0000-000074800000}"/>
    <cellStyle name="Style 1 8 2 2" xfId="32880" xr:uid="{00000000-0005-0000-0000-000075800000}"/>
    <cellStyle name="Style 1 8 2 2 2" xfId="32881" xr:uid="{00000000-0005-0000-0000-000076800000}"/>
    <cellStyle name="Style 1 8 2 2 3" xfId="32882" xr:uid="{00000000-0005-0000-0000-000077800000}"/>
    <cellStyle name="Style 1 8 2 3" xfId="32883" xr:uid="{00000000-0005-0000-0000-000078800000}"/>
    <cellStyle name="Style 1 8 2 3 2" xfId="32884" xr:uid="{00000000-0005-0000-0000-000079800000}"/>
    <cellStyle name="Style 1 8 2 3 3" xfId="32885" xr:uid="{00000000-0005-0000-0000-00007A800000}"/>
    <cellStyle name="Style 1 8 2 4" xfId="32886" xr:uid="{00000000-0005-0000-0000-00007B800000}"/>
    <cellStyle name="Style 1 8 2 5" xfId="32887" xr:uid="{00000000-0005-0000-0000-00007C800000}"/>
    <cellStyle name="Style 1 8 2 6" xfId="32888" xr:uid="{00000000-0005-0000-0000-00007D800000}"/>
    <cellStyle name="Style 1 8 3" xfId="32889" xr:uid="{00000000-0005-0000-0000-00007E800000}"/>
    <cellStyle name="Style 1 8 3 2" xfId="32890" xr:uid="{00000000-0005-0000-0000-00007F800000}"/>
    <cellStyle name="Style 1 8 3 3" xfId="32891" xr:uid="{00000000-0005-0000-0000-000080800000}"/>
    <cellStyle name="Style 1 8 4" xfId="32892" xr:uid="{00000000-0005-0000-0000-000081800000}"/>
    <cellStyle name="Style 1 8 4 2" xfId="32893" xr:uid="{00000000-0005-0000-0000-000082800000}"/>
    <cellStyle name="Style 1 8 4 3" xfId="32894" xr:uid="{00000000-0005-0000-0000-000083800000}"/>
    <cellStyle name="Style 1 8 5" xfId="32895" xr:uid="{00000000-0005-0000-0000-000084800000}"/>
    <cellStyle name="Style 1 8 6" xfId="32896" xr:uid="{00000000-0005-0000-0000-000085800000}"/>
    <cellStyle name="Style 1 8 7" xfId="32897" xr:uid="{00000000-0005-0000-0000-000086800000}"/>
    <cellStyle name="Style 1 9" xfId="32898" xr:uid="{00000000-0005-0000-0000-000087800000}"/>
    <cellStyle name="Style 1 9 2" xfId="32899" xr:uid="{00000000-0005-0000-0000-000088800000}"/>
    <cellStyle name="Style 1 9 2 2" xfId="32900" xr:uid="{00000000-0005-0000-0000-000089800000}"/>
    <cellStyle name="Style 1 9 2 2 2" xfId="32901" xr:uid="{00000000-0005-0000-0000-00008A800000}"/>
    <cellStyle name="Style 1 9 2 2 3" xfId="32902" xr:uid="{00000000-0005-0000-0000-00008B800000}"/>
    <cellStyle name="Style 1 9 2 3" xfId="32903" xr:uid="{00000000-0005-0000-0000-00008C800000}"/>
    <cellStyle name="Style 1 9 2 3 2" xfId="32904" xr:uid="{00000000-0005-0000-0000-00008D800000}"/>
    <cellStyle name="Style 1 9 2 3 3" xfId="32905" xr:uid="{00000000-0005-0000-0000-00008E800000}"/>
    <cellStyle name="Style 1 9 2 4" xfId="32906" xr:uid="{00000000-0005-0000-0000-00008F800000}"/>
    <cellStyle name="Style 1 9 2 5" xfId="32907" xr:uid="{00000000-0005-0000-0000-000090800000}"/>
    <cellStyle name="Style 1 9 2 6" xfId="32908" xr:uid="{00000000-0005-0000-0000-000091800000}"/>
    <cellStyle name="Style 1 9 3" xfId="32909" xr:uid="{00000000-0005-0000-0000-000092800000}"/>
    <cellStyle name="Style 1 9 3 2" xfId="32910" xr:uid="{00000000-0005-0000-0000-000093800000}"/>
    <cellStyle name="Style 1 9 3 3" xfId="32911" xr:uid="{00000000-0005-0000-0000-000094800000}"/>
    <cellStyle name="Style 1 9 4" xfId="32912" xr:uid="{00000000-0005-0000-0000-000095800000}"/>
    <cellStyle name="Style 1 9 4 2" xfId="32913" xr:uid="{00000000-0005-0000-0000-000096800000}"/>
    <cellStyle name="Style 1 9 4 3" xfId="32914" xr:uid="{00000000-0005-0000-0000-000097800000}"/>
    <cellStyle name="Style 1 9 5" xfId="32915" xr:uid="{00000000-0005-0000-0000-000098800000}"/>
    <cellStyle name="Style 1 9 6" xfId="32916" xr:uid="{00000000-0005-0000-0000-000099800000}"/>
    <cellStyle name="Style 1 9 7" xfId="32917" xr:uid="{00000000-0005-0000-0000-00009A800000}"/>
    <cellStyle name="Style 21" xfId="32918" xr:uid="{00000000-0005-0000-0000-00009B800000}"/>
    <cellStyle name="Style 21 10" xfId="32919" xr:uid="{00000000-0005-0000-0000-00009C800000}"/>
    <cellStyle name="Style 21 10 2" xfId="32920" xr:uid="{00000000-0005-0000-0000-00009D800000}"/>
    <cellStyle name="Style 21 10 2 2" xfId="32921" xr:uid="{00000000-0005-0000-0000-00009E800000}"/>
    <cellStyle name="Style 21 10 2 2 2" xfId="32922" xr:uid="{00000000-0005-0000-0000-00009F800000}"/>
    <cellStyle name="Style 21 10 2 2 3" xfId="32923" xr:uid="{00000000-0005-0000-0000-0000A0800000}"/>
    <cellStyle name="Style 21 10 2 3" xfId="32924" xr:uid="{00000000-0005-0000-0000-0000A1800000}"/>
    <cellStyle name="Style 21 10 2 3 2" xfId="32925" xr:uid="{00000000-0005-0000-0000-0000A2800000}"/>
    <cellStyle name="Style 21 10 2 4" xfId="32926" xr:uid="{00000000-0005-0000-0000-0000A3800000}"/>
    <cellStyle name="Style 21 10 3" xfId="32927" xr:uid="{00000000-0005-0000-0000-0000A4800000}"/>
    <cellStyle name="Style 21 11" xfId="32928" xr:uid="{00000000-0005-0000-0000-0000A5800000}"/>
    <cellStyle name="Style 21 11 2" xfId="32929" xr:uid="{00000000-0005-0000-0000-0000A6800000}"/>
    <cellStyle name="Style 21 11 2 2" xfId="32930" xr:uid="{00000000-0005-0000-0000-0000A7800000}"/>
    <cellStyle name="Style 21 11 2 2 2" xfId="32931" xr:uid="{00000000-0005-0000-0000-0000A8800000}"/>
    <cellStyle name="Style 21 11 2 2 3" xfId="32932" xr:uid="{00000000-0005-0000-0000-0000A9800000}"/>
    <cellStyle name="Style 21 11 2 3" xfId="32933" xr:uid="{00000000-0005-0000-0000-0000AA800000}"/>
    <cellStyle name="Style 21 11 2 3 2" xfId="32934" xr:uid="{00000000-0005-0000-0000-0000AB800000}"/>
    <cellStyle name="Style 21 11 2 4" xfId="32935" xr:uid="{00000000-0005-0000-0000-0000AC800000}"/>
    <cellStyle name="Style 21 11 3" xfId="32936" xr:uid="{00000000-0005-0000-0000-0000AD800000}"/>
    <cellStyle name="Style 21 12" xfId="32937" xr:uid="{00000000-0005-0000-0000-0000AE800000}"/>
    <cellStyle name="Style 21 12 2" xfId="32938" xr:uid="{00000000-0005-0000-0000-0000AF800000}"/>
    <cellStyle name="Style 21 12 2 2" xfId="32939" xr:uid="{00000000-0005-0000-0000-0000B0800000}"/>
    <cellStyle name="Style 21 12 2 2 2" xfId="32940" xr:uid="{00000000-0005-0000-0000-0000B1800000}"/>
    <cellStyle name="Style 21 12 2 2 3" xfId="32941" xr:uid="{00000000-0005-0000-0000-0000B2800000}"/>
    <cellStyle name="Style 21 12 2 3" xfId="32942" xr:uid="{00000000-0005-0000-0000-0000B3800000}"/>
    <cellStyle name="Style 21 12 2 3 2" xfId="32943" xr:uid="{00000000-0005-0000-0000-0000B4800000}"/>
    <cellStyle name="Style 21 12 2 4" xfId="32944" xr:uid="{00000000-0005-0000-0000-0000B5800000}"/>
    <cellStyle name="Style 21 12 3" xfId="32945" xr:uid="{00000000-0005-0000-0000-0000B6800000}"/>
    <cellStyle name="Style 21 13" xfId="32946" xr:uid="{00000000-0005-0000-0000-0000B7800000}"/>
    <cellStyle name="Style 21 13 2" xfId="32947" xr:uid="{00000000-0005-0000-0000-0000B8800000}"/>
    <cellStyle name="Style 21 13 2 2" xfId="32948" xr:uid="{00000000-0005-0000-0000-0000B9800000}"/>
    <cellStyle name="Style 21 13 2 2 2" xfId="32949" xr:uid="{00000000-0005-0000-0000-0000BA800000}"/>
    <cellStyle name="Style 21 13 2 2 3" xfId="32950" xr:uid="{00000000-0005-0000-0000-0000BB800000}"/>
    <cellStyle name="Style 21 13 2 3" xfId="32951" xr:uid="{00000000-0005-0000-0000-0000BC800000}"/>
    <cellStyle name="Style 21 13 2 3 2" xfId="32952" xr:uid="{00000000-0005-0000-0000-0000BD800000}"/>
    <cellStyle name="Style 21 13 2 4" xfId="32953" xr:uid="{00000000-0005-0000-0000-0000BE800000}"/>
    <cellStyle name="Style 21 13 3" xfId="32954" xr:uid="{00000000-0005-0000-0000-0000BF800000}"/>
    <cellStyle name="Style 21 14" xfId="32955" xr:uid="{00000000-0005-0000-0000-0000C0800000}"/>
    <cellStyle name="Style 21 14 2" xfId="32956" xr:uid="{00000000-0005-0000-0000-0000C1800000}"/>
    <cellStyle name="Style 21 14 2 2" xfId="32957" xr:uid="{00000000-0005-0000-0000-0000C2800000}"/>
    <cellStyle name="Style 21 14 2 2 2" xfId="32958" xr:uid="{00000000-0005-0000-0000-0000C3800000}"/>
    <cellStyle name="Style 21 14 2 2 3" xfId="32959" xr:uid="{00000000-0005-0000-0000-0000C4800000}"/>
    <cellStyle name="Style 21 14 2 3" xfId="32960" xr:uid="{00000000-0005-0000-0000-0000C5800000}"/>
    <cellStyle name="Style 21 14 2 3 2" xfId="32961" xr:uid="{00000000-0005-0000-0000-0000C6800000}"/>
    <cellStyle name="Style 21 14 2 4" xfId="32962" xr:uid="{00000000-0005-0000-0000-0000C7800000}"/>
    <cellStyle name="Style 21 14 3" xfId="32963" xr:uid="{00000000-0005-0000-0000-0000C8800000}"/>
    <cellStyle name="Style 21 15" xfId="32964" xr:uid="{00000000-0005-0000-0000-0000C9800000}"/>
    <cellStyle name="Style 21 15 2" xfId="32965" xr:uid="{00000000-0005-0000-0000-0000CA800000}"/>
    <cellStyle name="Style 21 15 2 2" xfId="32966" xr:uid="{00000000-0005-0000-0000-0000CB800000}"/>
    <cellStyle name="Style 21 15 2 2 2" xfId="32967" xr:uid="{00000000-0005-0000-0000-0000CC800000}"/>
    <cellStyle name="Style 21 15 2 2 3" xfId="32968" xr:uid="{00000000-0005-0000-0000-0000CD800000}"/>
    <cellStyle name="Style 21 15 2 3" xfId="32969" xr:uid="{00000000-0005-0000-0000-0000CE800000}"/>
    <cellStyle name="Style 21 15 2 3 2" xfId="32970" xr:uid="{00000000-0005-0000-0000-0000CF800000}"/>
    <cellStyle name="Style 21 15 2 4" xfId="32971" xr:uid="{00000000-0005-0000-0000-0000D0800000}"/>
    <cellStyle name="Style 21 15 3" xfId="32972" xr:uid="{00000000-0005-0000-0000-0000D1800000}"/>
    <cellStyle name="Style 21 16" xfId="32973" xr:uid="{00000000-0005-0000-0000-0000D2800000}"/>
    <cellStyle name="Style 21 16 2" xfId="32974" xr:uid="{00000000-0005-0000-0000-0000D3800000}"/>
    <cellStyle name="Style 21 16 2 2" xfId="32975" xr:uid="{00000000-0005-0000-0000-0000D4800000}"/>
    <cellStyle name="Style 21 16 2 3" xfId="32976" xr:uid="{00000000-0005-0000-0000-0000D5800000}"/>
    <cellStyle name="Style 21 16 3" xfId="32977" xr:uid="{00000000-0005-0000-0000-0000D6800000}"/>
    <cellStyle name="Style 21 16 3 2" xfId="32978" xr:uid="{00000000-0005-0000-0000-0000D7800000}"/>
    <cellStyle name="Style 21 16 4" xfId="32979" xr:uid="{00000000-0005-0000-0000-0000D8800000}"/>
    <cellStyle name="Style 21 17" xfId="32980" xr:uid="{00000000-0005-0000-0000-0000D9800000}"/>
    <cellStyle name="Style 21 2" xfId="32981" xr:uid="{00000000-0005-0000-0000-0000DA800000}"/>
    <cellStyle name="Style 21 2 2" xfId="32982" xr:uid="{00000000-0005-0000-0000-0000DB800000}"/>
    <cellStyle name="Style 21 2 2 2" xfId="32983" xr:uid="{00000000-0005-0000-0000-0000DC800000}"/>
    <cellStyle name="Style 21 2 2 2 2" xfId="32984" xr:uid="{00000000-0005-0000-0000-0000DD800000}"/>
    <cellStyle name="Style 21 2 2 2 3" xfId="32985" xr:uid="{00000000-0005-0000-0000-0000DE800000}"/>
    <cellStyle name="Style 21 2 2 3" xfId="32986" xr:uid="{00000000-0005-0000-0000-0000DF800000}"/>
    <cellStyle name="Style 21 2 2 3 2" xfId="32987" xr:uid="{00000000-0005-0000-0000-0000E0800000}"/>
    <cellStyle name="Style 21 2 2 4" xfId="32988" xr:uid="{00000000-0005-0000-0000-0000E1800000}"/>
    <cellStyle name="Style 21 2 3" xfId="32989" xr:uid="{00000000-0005-0000-0000-0000E2800000}"/>
    <cellStyle name="Style 21 3" xfId="32990" xr:uid="{00000000-0005-0000-0000-0000E3800000}"/>
    <cellStyle name="Style 21 3 2" xfId="32991" xr:uid="{00000000-0005-0000-0000-0000E4800000}"/>
    <cellStyle name="Style 21 3 2 2" xfId="32992" xr:uid="{00000000-0005-0000-0000-0000E5800000}"/>
    <cellStyle name="Style 21 3 2 2 2" xfId="32993" xr:uid="{00000000-0005-0000-0000-0000E6800000}"/>
    <cellStyle name="Style 21 3 2 2 3" xfId="32994" xr:uid="{00000000-0005-0000-0000-0000E7800000}"/>
    <cellStyle name="Style 21 3 2 3" xfId="32995" xr:uid="{00000000-0005-0000-0000-0000E8800000}"/>
    <cellStyle name="Style 21 3 2 3 2" xfId="32996" xr:uid="{00000000-0005-0000-0000-0000E9800000}"/>
    <cellStyle name="Style 21 3 2 4" xfId="32997" xr:uid="{00000000-0005-0000-0000-0000EA800000}"/>
    <cellStyle name="Style 21 3 3" xfId="32998" xr:uid="{00000000-0005-0000-0000-0000EB800000}"/>
    <cellStyle name="Style 21 4" xfId="32999" xr:uid="{00000000-0005-0000-0000-0000EC800000}"/>
    <cellStyle name="Style 21 4 2" xfId="33000" xr:uid="{00000000-0005-0000-0000-0000ED800000}"/>
    <cellStyle name="Style 21 4 2 2" xfId="33001" xr:uid="{00000000-0005-0000-0000-0000EE800000}"/>
    <cellStyle name="Style 21 4 2 2 2" xfId="33002" xr:uid="{00000000-0005-0000-0000-0000EF800000}"/>
    <cellStyle name="Style 21 4 2 2 3" xfId="33003" xr:uid="{00000000-0005-0000-0000-0000F0800000}"/>
    <cellStyle name="Style 21 4 2 3" xfId="33004" xr:uid="{00000000-0005-0000-0000-0000F1800000}"/>
    <cellStyle name="Style 21 4 2 3 2" xfId="33005" xr:uid="{00000000-0005-0000-0000-0000F2800000}"/>
    <cellStyle name="Style 21 4 2 4" xfId="33006" xr:uid="{00000000-0005-0000-0000-0000F3800000}"/>
    <cellStyle name="Style 21 4 3" xfId="33007" xr:uid="{00000000-0005-0000-0000-0000F4800000}"/>
    <cellStyle name="Style 21 5" xfId="33008" xr:uid="{00000000-0005-0000-0000-0000F5800000}"/>
    <cellStyle name="Style 21 5 2" xfId="33009" xr:uid="{00000000-0005-0000-0000-0000F6800000}"/>
    <cellStyle name="Style 21 5 2 2" xfId="33010" xr:uid="{00000000-0005-0000-0000-0000F7800000}"/>
    <cellStyle name="Style 21 5 2 2 2" xfId="33011" xr:uid="{00000000-0005-0000-0000-0000F8800000}"/>
    <cellStyle name="Style 21 5 2 2 3" xfId="33012" xr:uid="{00000000-0005-0000-0000-0000F9800000}"/>
    <cellStyle name="Style 21 5 2 3" xfId="33013" xr:uid="{00000000-0005-0000-0000-0000FA800000}"/>
    <cellStyle name="Style 21 5 2 3 2" xfId="33014" xr:uid="{00000000-0005-0000-0000-0000FB800000}"/>
    <cellStyle name="Style 21 5 2 4" xfId="33015" xr:uid="{00000000-0005-0000-0000-0000FC800000}"/>
    <cellStyle name="Style 21 5 3" xfId="33016" xr:uid="{00000000-0005-0000-0000-0000FD800000}"/>
    <cellStyle name="Style 21 6" xfId="33017" xr:uid="{00000000-0005-0000-0000-0000FE800000}"/>
    <cellStyle name="Style 21 6 2" xfId="33018" xr:uid="{00000000-0005-0000-0000-0000FF800000}"/>
    <cellStyle name="Style 21 6 2 2" xfId="33019" xr:uid="{00000000-0005-0000-0000-000000810000}"/>
    <cellStyle name="Style 21 6 2 2 2" xfId="33020" xr:uid="{00000000-0005-0000-0000-000001810000}"/>
    <cellStyle name="Style 21 6 2 2 3" xfId="33021" xr:uid="{00000000-0005-0000-0000-000002810000}"/>
    <cellStyle name="Style 21 6 2 3" xfId="33022" xr:uid="{00000000-0005-0000-0000-000003810000}"/>
    <cellStyle name="Style 21 6 2 3 2" xfId="33023" xr:uid="{00000000-0005-0000-0000-000004810000}"/>
    <cellStyle name="Style 21 6 2 4" xfId="33024" xr:uid="{00000000-0005-0000-0000-000005810000}"/>
    <cellStyle name="Style 21 6 3" xfId="33025" xr:uid="{00000000-0005-0000-0000-000006810000}"/>
    <cellStyle name="Style 21 7" xfId="33026" xr:uid="{00000000-0005-0000-0000-000007810000}"/>
    <cellStyle name="Style 21 7 2" xfId="33027" xr:uid="{00000000-0005-0000-0000-000008810000}"/>
    <cellStyle name="Style 21 7 2 2" xfId="33028" xr:uid="{00000000-0005-0000-0000-000009810000}"/>
    <cellStyle name="Style 21 7 2 2 2" xfId="33029" xr:uid="{00000000-0005-0000-0000-00000A810000}"/>
    <cellStyle name="Style 21 7 2 2 3" xfId="33030" xr:uid="{00000000-0005-0000-0000-00000B810000}"/>
    <cellStyle name="Style 21 7 2 3" xfId="33031" xr:uid="{00000000-0005-0000-0000-00000C810000}"/>
    <cellStyle name="Style 21 7 2 3 2" xfId="33032" xr:uid="{00000000-0005-0000-0000-00000D810000}"/>
    <cellStyle name="Style 21 7 2 4" xfId="33033" xr:uid="{00000000-0005-0000-0000-00000E810000}"/>
    <cellStyle name="Style 21 7 3" xfId="33034" xr:uid="{00000000-0005-0000-0000-00000F810000}"/>
    <cellStyle name="Style 21 8" xfId="33035" xr:uid="{00000000-0005-0000-0000-000010810000}"/>
    <cellStyle name="Style 21 8 2" xfId="33036" xr:uid="{00000000-0005-0000-0000-000011810000}"/>
    <cellStyle name="Style 21 8 2 2" xfId="33037" xr:uid="{00000000-0005-0000-0000-000012810000}"/>
    <cellStyle name="Style 21 8 2 2 2" xfId="33038" xr:uid="{00000000-0005-0000-0000-000013810000}"/>
    <cellStyle name="Style 21 8 2 2 3" xfId="33039" xr:uid="{00000000-0005-0000-0000-000014810000}"/>
    <cellStyle name="Style 21 8 2 3" xfId="33040" xr:uid="{00000000-0005-0000-0000-000015810000}"/>
    <cellStyle name="Style 21 8 2 3 2" xfId="33041" xr:uid="{00000000-0005-0000-0000-000016810000}"/>
    <cellStyle name="Style 21 8 2 4" xfId="33042" xr:uid="{00000000-0005-0000-0000-000017810000}"/>
    <cellStyle name="Style 21 8 3" xfId="33043" xr:uid="{00000000-0005-0000-0000-000018810000}"/>
    <cellStyle name="Style 21 9" xfId="33044" xr:uid="{00000000-0005-0000-0000-000019810000}"/>
    <cellStyle name="Style 21 9 2" xfId="33045" xr:uid="{00000000-0005-0000-0000-00001A810000}"/>
    <cellStyle name="Style 21 9 2 2" xfId="33046" xr:uid="{00000000-0005-0000-0000-00001B810000}"/>
    <cellStyle name="Style 21 9 2 2 2" xfId="33047" xr:uid="{00000000-0005-0000-0000-00001C810000}"/>
    <cellStyle name="Style 21 9 2 2 3" xfId="33048" xr:uid="{00000000-0005-0000-0000-00001D810000}"/>
    <cellStyle name="Style 21 9 2 3" xfId="33049" xr:uid="{00000000-0005-0000-0000-00001E810000}"/>
    <cellStyle name="Style 21 9 2 3 2" xfId="33050" xr:uid="{00000000-0005-0000-0000-00001F810000}"/>
    <cellStyle name="Style 21 9 2 4" xfId="33051" xr:uid="{00000000-0005-0000-0000-000020810000}"/>
    <cellStyle name="Style 21 9 3" xfId="33052" xr:uid="{00000000-0005-0000-0000-000021810000}"/>
    <cellStyle name="Style 22" xfId="33053" xr:uid="{00000000-0005-0000-0000-000022810000}"/>
    <cellStyle name="Style 22 10" xfId="33054" xr:uid="{00000000-0005-0000-0000-000023810000}"/>
    <cellStyle name="Style 22 10 2" xfId="33055" xr:uid="{00000000-0005-0000-0000-000024810000}"/>
    <cellStyle name="Style 22 10 2 2" xfId="33056" xr:uid="{00000000-0005-0000-0000-000025810000}"/>
    <cellStyle name="Style 22 10 2 2 2" xfId="33057" xr:uid="{00000000-0005-0000-0000-000026810000}"/>
    <cellStyle name="Style 22 10 2 2 3" xfId="33058" xr:uid="{00000000-0005-0000-0000-000027810000}"/>
    <cellStyle name="Style 22 10 2 3" xfId="33059" xr:uid="{00000000-0005-0000-0000-000028810000}"/>
    <cellStyle name="Style 22 10 2 3 2" xfId="33060" xr:uid="{00000000-0005-0000-0000-000029810000}"/>
    <cellStyle name="Style 22 10 2 4" xfId="33061" xr:uid="{00000000-0005-0000-0000-00002A810000}"/>
    <cellStyle name="Style 22 10 3" xfId="33062" xr:uid="{00000000-0005-0000-0000-00002B810000}"/>
    <cellStyle name="Style 22 11" xfId="33063" xr:uid="{00000000-0005-0000-0000-00002C810000}"/>
    <cellStyle name="Style 22 11 2" xfId="33064" xr:uid="{00000000-0005-0000-0000-00002D810000}"/>
    <cellStyle name="Style 22 11 2 2" xfId="33065" xr:uid="{00000000-0005-0000-0000-00002E810000}"/>
    <cellStyle name="Style 22 11 2 2 2" xfId="33066" xr:uid="{00000000-0005-0000-0000-00002F810000}"/>
    <cellStyle name="Style 22 11 2 2 3" xfId="33067" xr:uid="{00000000-0005-0000-0000-000030810000}"/>
    <cellStyle name="Style 22 11 2 3" xfId="33068" xr:uid="{00000000-0005-0000-0000-000031810000}"/>
    <cellStyle name="Style 22 11 2 3 2" xfId="33069" xr:uid="{00000000-0005-0000-0000-000032810000}"/>
    <cellStyle name="Style 22 11 2 4" xfId="33070" xr:uid="{00000000-0005-0000-0000-000033810000}"/>
    <cellStyle name="Style 22 11 3" xfId="33071" xr:uid="{00000000-0005-0000-0000-000034810000}"/>
    <cellStyle name="Style 22 12" xfId="33072" xr:uid="{00000000-0005-0000-0000-000035810000}"/>
    <cellStyle name="Style 22 12 2" xfId="33073" xr:uid="{00000000-0005-0000-0000-000036810000}"/>
    <cellStyle name="Style 22 12 2 2" xfId="33074" xr:uid="{00000000-0005-0000-0000-000037810000}"/>
    <cellStyle name="Style 22 12 2 2 2" xfId="33075" xr:uid="{00000000-0005-0000-0000-000038810000}"/>
    <cellStyle name="Style 22 12 2 2 3" xfId="33076" xr:uid="{00000000-0005-0000-0000-000039810000}"/>
    <cellStyle name="Style 22 12 2 3" xfId="33077" xr:uid="{00000000-0005-0000-0000-00003A810000}"/>
    <cellStyle name="Style 22 12 2 3 2" xfId="33078" xr:uid="{00000000-0005-0000-0000-00003B810000}"/>
    <cellStyle name="Style 22 12 2 4" xfId="33079" xr:uid="{00000000-0005-0000-0000-00003C810000}"/>
    <cellStyle name="Style 22 12 3" xfId="33080" xr:uid="{00000000-0005-0000-0000-00003D810000}"/>
    <cellStyle name="Style 22 13" xfId="33081" xr:uid="{00000000-0005-0000-0000-00003E810000}"/>
    <cellStyle name="Style 22 13 2" xfId="33082" xr:uid="{00000000-0005-0000-0000-00003F810000}"/>
    <cellStyle name="Style 22 13 2 2" xfId="33083" xr:uid="{00000000-0005-0000-0000-000040810000}"/>
    <cellStyle name="Style 22 13 2 2 2" xfId="33084" xr:uid="{00000000-0005-0000-0000-000041810000}"/>
    <cellStyle name="Style 22 13 2 2 3" xfId="33085" xr:uid="{00000000-0005-0000-0000-000042810000}"/>
    <cellStyle name="Style 22 13 2 3" xfId="33086" xr:uid="{00000000-0005-0000-0000-000043810000}"/>
    <cellStyle name="Style 22 13 2 3 2" xfId="33087" xr:uid="{00000000-0005-0000-0000-000044810000}"/>
    <cellStyle name="Style 22 13 2 4" xfId="33088" xr:uid="{00000000-0005-0000-0000-000045810000}"/>
    <cellStyle name="Style 22 13 3" xfId="33089" xr:uid="{00000000-0005-0000-0000-000046810000}"/>
    <cellStyle name="Style 22 14" xfId="33090" xr:uid="{00000000-0005-0000-0000-000047810000}"/>
    <cellStyle name="Style 22 14 2" xfId="33091" xr:uid="{00000000-0005-0000-0000-000048810000}"/>
    <cellStyle name="Style 22 14 2 2" xfId="33092" xr:uid="{00000000-0005-0000-0000-000049810000}"/>
    <cellStyle name="Style 22 14 2 2 2" xfId="33093" xr:uid="{00000000-0005-0000-0000-00004A810000}"/>
    <cellStyle name="Style 22 14 2 2 3" xfId="33094" xr:uid="{00000000-0005-0000-0000-00004B810000}"/>
    <cellStyle name="Style 22 14 2 3" xfId="33095" xr:uid="{00000000-0005-0000-0000-00004C810000}"/>
    <cellStyle name="Style 22 14 2 3 2" xfId="33096" xr:uid="{00000000-0005-0000-0000-00004D810000}"/>
    <cellStyle name="Style 22 14 2 4" xfId="33097" xr:uid="{00000000-0005-0000-0000-00004E810000}"/>
    <cellStyle name="Style 22 14 3" xfId="33098" xr:uid="{00000000-0005-0000-0000-00004F810000}"/>
    <cellStyle name="Style 22 15" xfId="33099" xr:uid="{00000000-0005-0000-0000-000050810000}"/>
    <cellStyle name="Style 22 15 2" xfId="33100" xr:uid="{00000000-0005-0000-0000-000051810000}"/>
    <cellStyle name="Style 22 15 2 2" xfId="33101" xr:uid="{00000000-0005-0000-0000-000052810000}"/>
    <cellStyle name="Style 22 15 2 2 2" xfId="33102" xr:uid="{00000000-0005-0000-0000-000053810000}"/>
    <cellStyle name="Style 22 15 2 2 3" xfId="33103" xr:uid="{00000000-0005-0000-0000-000054810000}"/>
    <cellStyle name="Style 22 15 2 3" xfId="33104" xr:uid="{00000000-0005-0000-0000-000055810000}"/>
    <cellStyle name="Style 22 15 2 3 2" xfId="33105" xr:uid="{00000000-0005-0000-0000-000056810000}"/>
    <cellStyle name="Style 22 15 2 4" xfId="33106" xr:uid="{00000000-0005-0000-0000-000057810000}"/>
    <cellStyle name="Style 22 15 3" xfId="33107" xr:uid="{00000000-0005-0000-0000-000058810000}"/>
    <cellStyle name="Style 22 16" xfId="33108" xr:uid="{00000000-0005-0000-0000-000059810000}"/>
    <cellStyle name="Style 22 16 2" xfId="33109" xr:uid="{00000000-0005-0000-0000-00005A810000}"/>
    <cellStyle name="Style 22 16 2 2" xfId="33110" xr:uid="{00000000-0005-0000-0000-00005B810000}"/>
    <cellStyle name="Style 22 16 2 3" xfId="33111" xr:uid="{00000000-0005-0000-0000-00005C810000}"/>
    <cellStyle name="Style 22 16 3" xfId="33112" xr:uid="{00000000-0005-0000-0000-00005D810000}"/>
    <cellStyle name="Style 22 16 3 2" xfId="33113" xr:uid="{00000000-0005-0000-0000-00005E810000}"/>
    <cellStyle name="Style 22 16 4" xfId="33114" xr:uid="{00000000-0005-0000-0000-00005F810000}"/>
    <cellStyle name="Style 22 17" xfId="33115" xr:uid="{00000000-0005-0000-0000-000060810000}"/>
    <cellStyle name="Style 22 2" xfId="33116" xr:uid="{00000000-0005-0000-0000-000061810000}"/>
    <cellStyle name="Style 22 2 2" xfId="33117" xr:uid="{00000000-0005-0000-0000-000062810000}"/>
    <cellStyle name="Style 22 2 2 2" xfId="33118" xr:uid="{00000000-0005-0000-0000-000063810000}"/>
    <cellStyle name="Style 22 2 2 2 2" xfId="33119" xr:uid="{00000000-0005-0000-0000-000064810000}"/>
    <cellStyle name="Style 22 2 2 2 3" xfId="33120" xr:uid="{00000000-0005-0000-0000-000065810000}"/>
    <cellStyle name="Style 22 2 2 3" xfId="33121" xr:uid="{00000000-0005-0000-0000-000066810000}"/>
    <cellStyle name="Style 22 2 2 3 2" xfId="33122" xr:uid="{00000000-0005-0000-0000-000067810000}"/>
    <cellStyle name="Style 22 2 2 4" xfId="33123" xr:uid="{00000000-0005-0000-0000-000068810000}"/>
    <cellStyle name="Style 22 2 3" xfId="33124" xr:uid="{00000000-0005-0000-0000-000069810000}"/>
    <cellStyle name="Style 22 3" xfId="33125" xr:uid="{00000000-0005-0000-0000-00006A810000}"/>
    <cellStyle name="Style 22 3 2" xfId="33126" xr:uid="{00000000-0005-0000-0000-00006B810000}"/>
    <cellStyle name="Style 22 3 2 2" xfId="33127" xr:uid="{00000000-0005-0000-0000-00006C810000}"/>
    <cellStyle name="Style 22 3 2 2 2" xfId="33128" xr:uid="{00000000-0005-0000-0000-00006D810000}"/>
    <cellStyle name="Style 22 3 2 2 3" xfId="33129" xr:uid="{00000000-0005-0000-0000-00006E810000}"/>
    <cellStyle name="Style 22 3 2 3" xfId="33130" xr:uid="{00000000-0005-0000-0000-00006F810000}"/>
    <cellStyle name="Style 22 3 2 3 2" xfId="33131" xr:uid="{00000000-0005-0000-0000-000070810000}"/>
    <cellStyle name="Style 22 3 2 4" xfId="33132" xr:uid="{00000000-0005-0000-0000-000071810000}"/>
    <cellStyle name="Style 22 3 3" xfId="33133" xr:uid="{00000000-0005-0000-0000-000072810000}"/>
    <cellStyle name="Style 22 4" xfId="33134" xr:uid="{00000000-0005-0000-0000-000073810000}"/>
    <cellStyle name="Style 22 4 2" xfId="33135" xr:uid="{00000000-0005-0000-0000-000074810000}"/>
    <cellStyle name="Style 22 4 2 2" xfId="33136" xr:uid="{00000000-0005-0000-0000-000075810000}"/>
    <cellStyle name="Style 22 4 2 2 2" xfId="33137" xr:uid="{00000000-0005-0000-0000-000076810000}"/>
    <cellStyle name="Style 22 4 2 2 3" xfId="33138" xr:uid="{00000000-0005-0000-0000-000077810000}"/>
    <cellStyle name="Style 22 4 2 3" xfId="33139" xr:uid="{00000000-0005-0000-0000-000078810000}"/>
    <cellStyle name="Style 22 4 2 3 2" xfId="33140" xr:uid="{00000000-0005-0000-0000-000079810000}"/>
    <cellStyle name="Style 22 4 2 4" xfId="33141" xr:uid="{00000000-0005-0000-0000-00007A810000}"/>
    <cellStyle name="Style 22 4 3" xfId="33142" xr:uid="{00000000-0005-0000-0000-00007B810000}"/>
    <cellStyle name="Style 22 5" xfId="33143" xr:uid="{00000000-0005-0000-0000-00007C810000}"/>
    <cellStyle name="Style 22 5 2" xfId="33144" xr:uid="{00000000-0005-0000-0000-00007D810000}"/>
    <cellStyle name="Style 22 5 2 2" xfId="33145" xr:uid="{00000000-0005-0000-0000-00007E810000}"/>
    <cellStyle name="Style 22 5 2 2 2" xfId="33146" xr:uid="{00000000-0005-0000-0000-00007F810000}"/>
    <cellStyle name="Style 22 5 2 2 3" xfId="33147" xr:uid="{00000000-0005-0000-0000-000080810000}"/>
    <cellStyle name="Style 22 5 2 3" xfId="33148" xr:uid="{00000000-0005-0000-0000-000081810000}"/>
    <cellStyle name="Style 22 5 2 3 2" xfId="33149" xr:uid="{00000000-0005-0000-0000-000082810000}"/>
    <cellStyle name="Style 22 5 2 4" xfId="33150" xr:uid="{00000000-0005-0000-0000-000083810000}"/>
    <cellStyle name="Style 22 5 3" xfId="33151" xr:uid="{00000000-0005-0000-0000-000084810000}"/>
    <cellStyle name="Style 22 6" xfId="33152" xr:uid="{00000000-0005-0000-0000-000085810000}"/>
    <cellStyle name="Style 22 6 2" xfId="33153" xr:uid="{00000000-0005-0000-0000-000086810000}"/>
    <cellStyle name="Style 22 6 2 2" xfId="33154" xr:uid="{00000000-0005-0000-0000-000087810000}"/>
    <cellStyle name="Style 22 6 2 2 2" xfId="33155" xr:uid="{00000000-0005-0000-0000-000088810000}"/>
    <cellStyle name="Style 22 6 2 2 3" xfId="33156" xr:uid="{00000000-0005-0000-0000-000089810000}"/>
    <cellStyle name="Style 22 6 2 3" xfId="33157" xr:uid="{00000000-0005-0000-0000-00008A810000}"/>
    <cellStyle name="Style 22 6 2 3 2" xfId="33158" xr:uid="{00000000-0005-0000-0000-00008B810000}"/>
    <cellStyle name="Style 22 6 2 4" xfId="33159" xr:uid="{00000000-0005-0000-0000-00008C810000}"/>
    <cellStyle name="Style 22 6 3" xfId="33160" xr:uid="{00000000-0005-0000-0000-00008D810000}"/>
    <cellStyle name="Style 22 7" xfId="33161" xr:uid="{00000000-0005-0000-0000-00008E810000}"/>
    <cellStyle name="Style 22 7 2" xfId="33162" xr:uid="{00000000-0005-0000-0000-00008F810000}"/>
    <cellStyle name="Style 22 7 2 2" xfId="33163" xr:uid="{00000000-0005-0000-0000-000090810000}"/>
    <cellStyle name="Style 22 7 2 2 2" xfId="33164" xr:uid="{00000000-0005-0000-0000-000091810000}"/>
    <cellStyle name="Style 22 7 2 2 3" xfId="33165" xr:uid="{00000000-0005-0000-0000-000092810000}"/>
    <cellStyle name="Style 22 7 2 3" xfId="33166" xr:uid="{00000000-0005-0000-0000-000093810000}"/>
    <cellStyle name="Style 22 7 2 3 2" xfId="33167" xr:uid="{00000000-0005-0000-0000-000094810000}"/>
    <cellStyle name="Style 22 7 2 4" xfId="33168" xr:uid="{00000000-0005-0000-0000-000095810000}"/>
    <cellStyle name="Style 22 7 3" xfId="33169" xr:uid="{00000000-0005-0000-0000-000096810000}"/>
    <cellStyle name="Style 22 8" xfId="33170" xr:uid="{00000000-0005-0000-0000-000097810000}"/>
    <cellStyle name="Style 22 8 2" xfId="33171" xr:uid="{00000000-0005-0000-0000-000098810000}"/>
    <cellStyle name="Style 22 8 2 2" xfId="33172" xr:uid="{00000000-0005-0000-0000-000099810000}"/>
    <cellStyle name="Style 22 8 2 2 2" xfId="33173" xr:uid="{00000000-0005-0000-0000-00009A810000}"/>
    <cellStyle name="Style 22 8 2 2 3" xfId="33174" xr:uid="{00000000-0005-0000-0000-00009B810000}"/>
    <cellStyle name="Style 22 8 2 3" xfId="33175" xr:uid="{00000000-0005-0000-0000-00009C810000}"/>
    <cellStyle name="Style 22 8 2 3 2" xfId="33176" xr:uid="{00000000-0005-0000-0000-00009D810000}"/>
    <cellStyle name="Style 22 8 2 4" xfId="33177" xr:uid="{00000000-0005-0000-0000-00009E810000}"/>
    <cellStyle name="Style 22 8 3" xfId="33178" xr:uid="{00000000-0005-0000-0000-00009F810000}"/>
    <cellStyle name="Style 22 9" xfId="33179" xr:uid="{00000000-0005-0000-0000-0000A0810000}"/>
    <cellStyle name="Style 22 9 2" xfId="33180" xr:uid="{00000000-0005-0000-0000-0000A1810000}"/>
    <cellStyle name="Style 22 9 2 2" xfId="33181" xr:uid="{00000000-0005-0000-0000-0000A2810000}"/>
    <cellStyle name="Style 22 9 2 2 2" xfId="33182" xr:uid="{00000000-0005-0000-0000-0000A3810000}"/>
    <cellStyle name="Style 22 9 2 2 3" xfId="33183" xr:uid="{00000000-0005-0000-0000-0000A4810000}"/>
    <cellStyle name="Style 22 9 2 3" xfId="33184" xr:uid="{00000000-0005-0000-0000-0000A5810000}"/>
    <cellStyle name="Style 22 9 2 3 2" xfId="33185" xr:uid="{00000000-0005-0000-0000-0000A6810000}"/>
    <cellStyle name="Style 22 9 2 4" xfId="33186" xr:uid="{00000000-0005-0000-0000-0000A7810000}"/>
    <cellStyle name="Style 22 9 3" xfId="33187" xr:uid="{00000000-0005-0000-0000-0000A8810000}"/>
    <cellStyle name="Style 23" xfId="33188" xr:uid="{00000000-0005-0000-0000-0000A9810000}"/>
    <cellStyle name="Style 23 10" xfId="33189" xr:uid="{00000000-0005-0000-0000-0000AA810000}"/>
    <cellStyle name="Style 23 10 10" xfId="33190" xr:uid="{00000000-0005-0000-0000-0000AB810000}"/>
    <cellStyle name="Style 23 10 11" xfId="33191" xr:uid="{00000000-0005-0000-0000-0000AC810000}"/>
    <cellStyle name="Style 23 10 12" xfId="33192" xr:uid="{00000000-0005-0000-0000-0000AD810000}"/>
    <cellStyle name="Style 23 10 2" xfId="33193" xr:uid="{00000000-0005-0000-0000-0000AE810000}"/>
    <cellStyle name="Style 23 10 2 10" xfId="33194" xr:uid="{00000000-0005-0000-0000-0000AF810000}"/>
    <cellStyle name="Style 23 10 2 2" xfId="33195" xr:uid="{00000000-0005-0000-0000-0000B0810000}"/>
    <cellStyle name="Style 23 10 2 2 2" xfId="33196" xr:uid="{00000000-0005-0000-0000-0000B1810000}"/>
    <cellStyle name="Style 23 10 2 2 2 2" xfId="33197" xr:uid="{00000000-0005-0000-0000-0000B2810000}"/>
    <cellStyle name="Style 23 10 2 2 2 2 2" xfId="33198" xr:uid="{00000000-0005-0000-0000-0000B3810000}"/>
    <cellStyle name="Style 23 10 2 2 2 2 3" xfId="33199" xr:uid="{00000000-0005-0000-0000-0000B4810000}"/>
    <cellStyle name="Style 23 10 2 2 2 3" xfId="33200" xr:uid="{00000000-0005-0000-0000-0000B5810000}"/>
    <cellStyle name="Style 23 10 2 2 2 3 2" xfId="33201" xr:uid="{00000000-0005-0000-0000-0000B6810000}"/>
    <cellStyle name="Style 23 10 2 2 2 3 3" xfId="33202" xr:uid="{00000000-0005-0000-0000-0000B7810000}"/>
    <cellStyle name="Style 23 10 2 2 2 4" xfId="33203" xr:uid="{00000000-0005-0000-0000-0000B8810000}"/>
    <cellStyle name="Style 23 10 2 2 2 5" xfId="33204" xr:uid="{00000000-0005-0000-0000-0000B9810000}"/>
    <cellStyle name="Style 23 10 2 2 2 6" xfId="33205" xr:uid="{00000000-0005-0000-0000-0000BA810000}"/>
    <cellStyle name="Style 23 10 2 2 3" xfId="33206" xr:uid="{00000000-0005-0000-0000-0000BB810000}"/>
    <cellStyle name="Style 23 10 2 2 3 2" xfId="33207" xr:uid="{00000000-0005-0000-0000-0000BC810000}"/>
    <cellStyle name="Style 23 10 2 2 3 3" xfId="33208" xr:uid="{00000000-0005-0000-0000-0000BD810000}"/>
    <cellStyle name="Style 23 10 2 2 4" xfId="33209" xr:uid="{00000000-0005-0000-0000-0000BE810000}"/>
    <cellStyle name="Style 23 10 2 2 4 2" xfId="33210" xr:uid="{00000000-0005-0000-0000-0000BF810000}"/>
    <cellStyle name="Style 23 10 2 2 4 3" xfId="33211" xr:uid="{00000000-0005-0000-0000-0000C0810000}"/>
    <cellStyle name="Style 23 10 2 2 5" xfId="33212" xr:uid="{00000000-0005-0000-0000-0000C1810000}"/>
    <cellStyle name="Style 23 10 2 2 5 2" xfId="33213" xr:uid="{00000000-0005-0000-0000-0000C2810000}"/>
    <cellStyle name="Style 23 10 2 2 5 3" xfId="33214" xr:uid="{00000000-0005-0000-0000-0000C3810000}"/>
    <cellStyle name="Style 23 10 2 2 6" xfId="33215" xr:uid="{00000000-0005-0000-0000-0000C4810000}"/>
    <cellStyle name="Style 23 10 2 2 7" xfId="33216" xr:uid="{00000000-0005-0000-0000-0000C5810000}"/>
    <cellStyle name="Style 23 10 2 2 8" xfId="33217" xr:uid="{00000000-0005-0000-0000-0000C6810000}"/>
    <cellStyle name="Style 23 10 2 3" xfId="33218" xr:uid="{00000000-0005-0000-0000-0000C7810000}"/>
    <cellStyle name="Style 23 10 2 3 2" xfId="33219" xr:uid="{00000000-0005-0000-0000-0000C8810000}"/>
    <cellStyle name="Style 23 10 2 3 2 2" xfId="33220" xr:uid="{00000000-0005-0000-0000-0000C9810000}"/>
    <cellStyle name="Style 23 10 2 3 2 2 2" xfId="33221" xr:uid="{00000000-0005-0000-0000-0000CA810000}"/>
    <cellStyle name="Style 23 10 2 3 2 2 3" xfId="33222" xr:uid="{00000000-0005-0000-0000-0000CB810000}"/>
    <cellStyle name="Style 23 10 2 3 2 3" xfId="33223" xr:uid="{00000000-0005-0000-0000-0000CC810000}"/>
    <cellStyle name="Style 23 10 2 3 2 3 2" xfId="33224" xr:uid="{00000000-0005-0000-0000-0000CD810000}"/>
    <cellStyle name="Style 23 10 2 3 2 3 3" xfId="33225" xr:uid="{00000000-0005-0000-0000-0000CE810000}"/>
    <cellStyle name="Style 23 10 2 3 2 4" xfId="33226" xr:uid="{00000000-0005-0000-0000-0000CF810000}"/>
    <cellStyle name="Style 23 10 2 3 2 5" xfId="33227" xr:uid="{00000000-0005-0000-0000-0000D0810000}"/>
    <cellStyle name="Style 23 10 2 3 2 6" xfId="33228" xr:uid="{00000000-0005-0000-0000-0000D1810000}"/>
    <cellStyle name="Style 23 10 2 3 3" xfId="33229" xr:uid="{00000000-0005-0000-0000-0000D2810000}"/>
    <cellStyle name="Style 23 10 2 3 3 2" xfId="33230" xr:uid="{00000000-0005-0000-0000-0000D3810000}"/>
    <cellStyle name="Style 23 10 2 3 3 3" xfId="33231" xr:uid="{00000000-0005-0000-0000-0000D4810000}"/>
    <cellStyle name="Style 23 10 2 3 4" xfId="33232" xr:uid="{00000000-0005-0000-0000-0000D5810000}"/>
    <cellStyle name="Style 23 10 2 3 4 2" xfId="33233" xr:uid="{00000000-0005-0000-0000-0000D6810000}"/>
    <cellStyle name="Style 23 10 2 3 4 3" xfId="33234" xr:uid="{00000000-0005-0000-0000-0000D7810000}"/>
    <cellStyle name="Style 23 10 2 3 5" xfId="33235" xr:uid="{00000000-0005-0000-0000-0000D8810000}"/>
    <cellStyle name="Style 23 10 2 3 5 2" xfId="33236" xr:uid="{00000000-0005-0000-0000-0000D9810000}"/>
    <cellStyle name="Style 23 10 2 3 5 3" xfId="33237" xr:uid="{00000000-0005-0000-0000-0000DA810000}"/>
    <cellStyle name="Style 23 10 2 3 6" xfId="33238" xr:uid="{00000000-0005-0000-0000-0000DB810000}"/>
    <cellStyle name="Style 23 10 2 3 7" xfId="33239" xr:uid="{00000000-0005-0000-0000-0000DC810000}"/>
    <cellStyle name="Style 23 10 2 3 8" xfId="33240" xr:uid="{00000000-0005-0000-0000-0000DD810000}"/>
    <cellStyle name="Style 23 10 2 4" xfId="33241" xr:uid="{00000000-0005-0000-0000-0000DE810000}"/>
    <cellStyle name="Style 23 10 2 4 2" xfId="33242" xr:uid="{00000000-0005-0000-0000-0000DF810000}"/>
    <cellStyle name="Style 23 10 2 4 2 2" xfId="33243" xr:uid="{00000000-0005-0000-0000-0000E0810000}"/>
    <cellStyle name="Style 23 10 2 4 2 3" xfId="33244" xr:uid="{00000000-0005-0000-0000-0000E1810000}"/>
    <cellStyle name="Style 23 10 2 4 3" xfId="33245" xr:uid="{00000000-0005-0000-0000-0000E2810000}"/>
    <cellStyle name="Style 23 10 2 4 3 2" xfId="33246" xr:uid="{00000000-0005-0000-0000-0000E3810000}"/>
    <cellStyle name="Style 23 10 2 4 3 3" xfId="33247" xr:uid="{00000000-0005-0000-0000-0000E4810000}"/>
    <cellStyle name="Style 23 10 2 4 4" xfId="33248" xr:uid="{00000000-0005-0000-0000-0000E5810000}"/>
    <cellStyle name="Style 23 10 2 4 5" xfId="33249" xr:uid="{00000000-0005-0000-0000-0000E6810000}"/>
    <cellStyle name="Style 23 10 2 4 6" xfId="33250" xr:uid="{00000000-0005-0000-0000-0000E7810000}"/>
    <cellStyle name="Style 23 10 2 5" xfId="33251" xr:uid="{00000000-0005-0000-0000-0000E8810000}"/>
    <cellStyle name="Style 23 10 2 5 2" xfId="33252" xr:uid="{00000000-0005-0000-0000-0000E9810000}"/>
    <cellStyle name="Style 23 10 2 5 3" xfId="33253" xr:uid="{00000000-0005-0000-0000-0000EA810000}"/>
    <cellStyle name="Style 23 10 2 6" xfId="33254" xr:uid="{00000000-0005-0000-0000-0000EB810000}"/>
    <cellStyle name="Style 23 10 2 6 2" xfId="33255" xr:uid="{00000000-0005-0000-0000-0000EC810000}"/>
    <cellStyle name="Style 23 10 2 6 3" xfId="33256" xr:uid="{00000000-0005-0000-0000-0000ED810000}"/>
    <cellStyle name="Style 23 10 2 7" xfId="33257" xr:uid="{00000000-0005-0000-0000-0000EE810000}"/>
    <cellStyle name="Style 23 10 2 7 2" xfId="33258" xr:uid="{00000000-0005-0000-0000-0000EF810000}"/>
    <cellStyle name="Style 23 10 2 7 3" xfId="33259" xr:uid="{00000000-0005-0000-0000-0000F0810000}"/>
    <cellStyle name="Style 23 10 2 8" xfId="33260" xr:uid="{00000000-0005-0000-0000-0000F1810000}"/>
    <cellStyle name="Style 23 10 2 9" xfId="33261" xr:uid="{00000000-0005-0000-0000-0000F2810000}"/>
    <cellStyle name="Style 23 10 3" xfId="33262" xr:uid="{00000000-0005-0000-0000-0000F3810000}"/>
    <cellStyle name="Style 23 10 3 2" xfId="33263" xr:uid="{00000000-0005-0000-0000-0000F4810000}"/>
    <cellStyle name="Style 23 10 3 2 2" xfId="33264" xr:uid="{00000000-0005-0000-0000-0000F5810000}"/>
    <cellStyle name="Style 23 10 3 2 2 2" xfId="33265" xr:uid="{00000000-0005-0000-0000-0000F6810000}"/>
    <cellStyle name="Style 23 10 3 2 2 3" xfId="33266" xr:uid="{00000000-0005-0000-0000-0000F7810000}"/>
    <cellStyle name="Style 23 10 3 2 3" xfId="33267" xr:uid="{00000000-0005-0000-0000-0000F8810000}"/>
    <cellStyle name="Style 23 10 3 2 3 2" xfId="33268" xr:uid="{00000000-0005-0000-0000-0000F9810000}"/>
    <cellStyle name="Style 23 10 3 2 3 3" xfId="33269" xr:uid="{00000000-0005-0000-0000-0000FA810000}"/>
    <cellStyle name="Style 23 10 3 2 4" xfId="33270" xr:uid="{00000000-0005-0000-0000-0000FB810000}"/>
    <cellStyle name="Style 23 10 3 2 5" xfId="33271" xr:uid="{00000000-0005-0000-0000-0000FC810000}"/>
    <cellStyle name="Style 23 10 3 2 6" xfId="33272" xr:uid="{00000000-0005-0000-0000-0000FD810000}"/>
    <cellStyle name="Style 23 10 3 3" xfId="33273" xr:uid="{00000000-0005-0000-0000-0000FE810000}"/>
    <cellStyle name="Style 23 10 3 3 2" xfId="33274" xr:uid="{00000000-0005-0000-0000-0000FF810000}"/>
    <cellStyle name="Style 23 10 3 3 3" xfId="33275" xr:uid="{00000000-0005-0000-0000-000000820000}"/>
    <cellStyle name="Style 23 10 3 4" xfId="33276" xr:uid="{00000000-0005-0000-0000-000001820000}"/>
    <cellStyle name="Style 23 10 3 4 2" xfId="33277" xr:uid="{00000000-0005-0000-0000-000002820000}"/>
    <cellStyle name="Style 23 10 3 4 3" xfId="33278" xr:uid="{00000000-0005-0000-0000-000003820000}"/>
    <cellStyle name="Style 23 10 3 5" xfId="33279" xr:uid="{00000000-0005-0000-0000-000004820000}"/>
    <cellStyle name="Style 23 10 3 5 2" xfId="33280" xr:uid="{00000000-0005-0000-0000-000005820000}"/>
    <cellStyle name="Style 23 10 3 5 3" xfId="33281" xr:uid="{00000000-0005-0000-0000-000006820000}"/>
    <cellStyle name="Style 23 10 3 6" xfId="33282" xr:uid="{00000000-0005-0000-0000-000007820000}"/>
    <cellStyle name="Style 23 10 3 7" xfId="33283" xr:uid="{00000000-0005-0000-0000-000008820000}"/>
    <cellStyle name="Style 23 10 3 8" xfId="33284" xr:uid="{00000000-0005-0000-0000-000009820000}"/>
    <cellStyle name="Style 23 10 4" xfId="33285" xr:uid="{00000000-0005-0000-0000-00000A820000}"/>
    <cellStyle name="Style 23 10 4 2" xfId="33286" xr:uid="{00000000-0005-0000-0000-00000B820000}"/>
    <cellStyle name="Style 23 10 4 2 2" xfId="33287" xr:uid="{00000000-0005-0000-0000-00000C820000}"/>
    <cellStyle name="Style 23 10 4 2 2 2" xfId="33288" xr:uid="{00000000-0005-0000-0000-00000D820000}"/>
    <cellStyle name="Style 23 10 4 2 2 3" xfId="33289" xr:uid="{00000000-0005-0000-0000-00000E820000}"/>
    <cellStyle name="Style 23 10 4 2 3" xfId="33290" xr:uid="{00000000-0005-0000-0000-00000F820000}"/>
    <cellStyle name="Style 23 10 4 2 3 2" xfId="33291" xr:uid="{00000000-0005-0000-0000-000010820000}"/>
    <cellStyle name="Style 23 10 4 2 3 3" xfId="33292" xr:uid="{00000000-0005-0000-0000-000011820000}"/>
    <cellStyle name="Style 23 10 4 2 4" xfId="33293" xr:uid="{00000000-0005-0000-0000-000012820000}"/>
    <cellStyle name="Style 23 10 4 2 5" xfId="33294" xr:uid="{00000000-0005-0000-0000-000013820000}"/>
    <cellStyle name="Style 23 10 4 2 6" xfId="33295" xr:uid="{00000000-0005-0000-0000-000014820000}"/>
    <cellStyle name="Style 23 10 4 3" xfId="33296" xr:uid="{00000000-0005-0000-0000-000015820000}"/>
    <cellStyle name="Style 23 10 4 3 2" xfId="33297" xr:uid="{00000000-0005-0000-0000-000016820000}"/>
    <cellStyle name="Style 23 10 4 3 3" xfId="33298" xr:uid="{00000000-0005-0000-0000-000017820000}"/>
    <cellStyle name="Style 23 10 4 4" xfId="33299" xr:uid="{00000000-0005-0000-0000-000018820000}"/>
    <cellStyle name="Style 23 10 4 4 2" xfId="33300" xr:uid="{00000000-0005-0000-0000-000019820000}"/>
    <cellStyle name="Style 23 10 4 4 3" xfId="33301" xr:uid="{00000000-0005-0000-0000-00001A820000}"/>
    <cellStyle name="Style 23 10 4 5" xfId="33302" xr:uid="{00000000-0005-0000-0000-00001B820000}"/>
    <cellStyle name="Style 23 10 4 5 2" xfId="33303" xr:uid="{00000000-0005-0000-0000-00001C820000}"/>
    <cellStyle name="Style 23 10 4 5 3" xfId="33304" xr:uid="{00000000-0005-0000-0000-00001D820000}"/>
    <cellStyle name="Style 23 10 4 6" xfId="33305" xr:uid="{00000000-0005-0000-0000-00001E820000}"/>
    <cellStyle name="Style 23 10 4 7" xfId="33306" xr:uid="{00000000-0005-0000-0000-00001F820000}"/>
    <cellStyle name="Style 23 10 4 8" xfId="33307" xr:uid="{00000000-0005-0000-0000-000020820000}"/>
    <cellStyle name="Style 23 10 5" xfId="33308" xr:uid="{00000000-0005-0000-0000-000021820000}"/>
    <cellStyle name="Style 23 10 5 2" xfId="33309" xr:uid="{00000000-0005-0000-0000-000022820000}"/>
    <cellStyle name="Style 23 10 5 2 2" xfId="33310" xr:uid="{00000000-0005-0000-0000-000023820000}"/>
    <cellStyle name="Style 23 10 5 2 2 2" xfId="33311" xr:uid="{00000000-0005-0000-0000-000024820000}"/>
    <cellStyle name="Style 23 10 5 2 2 3" xfId="33312" xr:uid="{00000000-0005-0000-0000-000025820000}"/>
    <cellStyle name="Style 23 10 5 2 3" xfId="33313" xr:uid="{00000000-0005-0000-0000-000026820000}"/>
    <cellStyle name="Style 23 10 5 2 3 2" xfId="33314" xr:uid="{00000000-0005-0000-0000-000027820000}"/>
    <cellStyle name="Style 23 10 5 2 3 3" xfId="33315" xr:uid="{00000000-0005-0000-0000-000028820000}"/>
    <cellStyle name="Style 23 10 5 2 4" xfId="33316" xr:uid="{00000000-0005-0000-0000-000029820000}"/>
    <cellStyle name="Style 23 10 5 2 5" xfId="33317" xr:uid="{00000000-0005-0000-0000-00002A820000}"/>
    <cellStyle name="Style 23 10 5 2 6" xfId="33318" xr:uid="{00000000-0005-0000-0000-00002B820000}"/>
    <cellStyle name="Style 23 10 5 3" xfId="33319" xr:uid="{00000000-0005-0000-0000-00002C820000}"/>
    <cellStyle name="Style 23 10 5 3 2" xfId="33320" xr:uid="{00000000-0005-0000-0000-00002D820000}"/>
    <cellStyle name="Style 23 10 5 3 3" xfId="33321" xr:uid="{00000000-0005-0000-0000-00002E820000}"/>
    <cellStyle name="Style 23 10 5 4" xfId="33322" xr:uid="{00000000-0005-0000-0000-00002F820000}"/>
    <cellStyle name="Style 23 10 5 4 2" xfId="33323" xr:uid="{00000000-0005-0000-0000-000030820000}"/>
    <cellStyle name="Style 23 10 5 4 3" xfId="33324" xr:uid="{00000000-0005-0000-0000-000031820000}"/>
    <cellStyle name="Style 23 10 5 5" xfId="33325" xr:uid="{00000000-0005-0000-0000-000032820000}"/>
    <cellStyle name="Style 23 10 5 5 2" xfId="33326" xr:uid="{00000000-0005-0000-0000-000033820000}"/>
    <cellStyle name="Style 23 10 5 5 3" xfId="33327" xr:uid="{00000000-0005-0000-0000-000034820000}"/>
    <cellStyle name="Style 23 10 5 6" xfId="33328" xr:uid="{00000000-0005-0000-0000-000035820000}"/>
    <cellStyle name="Style 23 10 5 7" xfId="33329" xr:uid="{00000000-0005-0000-0000-000036820000}"/>
    <cellStyle name="Style 23 10 5 8" xfId="33330" xr:uid="{00000000-0005-0000-0000-000037820000}"/>
    <cellStyle name="Style 23 10 6" xfId="33331" xr:uid="{00000000-0005-0000-0000-000038820000}"/>
    <cellStyle name="Style 23 10 6 2" xfId="33332" xr:uid="{00000000-0005-0000-0000-000039820000}"/>
    <cellStyle name="Style 23 10 6 2 2" xfId="33333" xr:uid="{00000000-0005-0000-0000-00003A820000}"/>
    <cellStyle name="Style 23 10 6 2 3" xfId="33334" xr:uid="{00000000-0005-0000-0000-00003B820000}"/>
    <cellStyle name="Style 23 10 6 3" xfId="33335" xr:uid="{00000000-0005-0000-0000-00003C820000}"/>
    <cellStyle name="Style 23 10 6 3 2" xfId="33336" xr:uid="{00000000-0005-0000-0000-00003D820000}"/>
    <cellStyle name="Style 23 10 6 3 3" xfId="33337" xr:uid="{00000000-0005-0000-0000-00003E820000}"/>
    <cellStyle name="Style 23 10 6 4" xfId="33338" xr:uid="{00000000-0005-0000-0000-00003F820000}"/>
    <cellStyle name="Style 23 10 6 5" xfId="33339" xr:uid="{00000000-0005-0000-0000-000040820000}"/>
    <cellStyle name="Style 23 10 6 6" xfId="33340" xr:uid="{00000000-0005-0000-0000-000041820000}"/>
    <cellStyle name="Style 23 10 7" xfId="33341" xr:uid="{00000000-0005-0000-0000-000042820000}"/>
    <cellStyle name="Style 23 10 7 2" xfId="33342" xr:uid="{00000000-0005-0000-0000-000043820000}"/>
    <cellStyle name="Style 23 10 7 3" xfId="33343" xr:uid="{00000000-0005-0000-0000-000044820000}"/>
    <cellStyle name="Style 23 10 8" xfId="33344" xr:uid="{00000000-0005-0000-0000-000045820000}"/>
    <cellStyle name="Style 23 10 8 2" xfId="33345" xr:uid="{00000000-0005-0000-0000-000046820000}"/>
    <cellStyle name="Style 23 10 8 3" xfId="33346" xr:uid="{00000000-0005-0000-0000-000047820000}"/>
    <cellStyle name="Style 23 10 9" xfId="33347" xr:uid="{00000000-0005-0000-0000-000048820000}"/>
    <cellStyle name="Style 23 10 9 2" xfId="33348" xr:uid="{00000000-0005-0000-0000-000049820000}"/>
    <cellStyle name="Style 23 10 9 3" xfId="33349" xr:uid="{00000000-0005-0000-0000-00004A820000}"/>
    <cellStyle name="Style 23 11" xfId="33350" xr:uid="{00000000-0005-0000-0000-00004B820000}"/>
    <cellStyle name="Style 23 11 10" xfId="33351" xr:uid="{00000000-0005-0000-0000-00004C820000}"/>
    <cellStyle name="Style 23 11 11" xfId="33352" xr:uid="{00000000-0005-0000-0000-00004D820000}"/>
    <cellStyle name="Style 23 11 12" xfId="33353" xr:uid="{00000000-0005-0000-0000-00004E820000}"/>
    <cellStyle name="Style 23 11 2" xfId="33354" xr:uid="{00000000-0005-0000-0000-00004F820000}"/>
    <cellStyle name="Style 23 11 2 10" xfId="33355" xr:uid="{00000000-0005-0000-0000-000050820000}"/>
    <cellStyle name="Style 23 11 2 2" xfId="33356" xr:uid="{00000000-0005-0000-0000-000051820000}"/>
    <cellStyle name="Style 23 11 2 2 2" xfId="33357" xr:uid="{00000000-0005-0000-0000-000052820000}"/>
    <cellStyle name="Style 23 11 2 2 2 2" xfId="33358" xr:uid="{00000000-0005-0000-0000-000053820000}"/>
    <cellStyle name="Style 23 11 2 2 2 2 2" xfId="33359" xr:uid="{00000000-0005-0000-0000-000054820000}"/>
    <cellStyle name="Style 23 11 2 2 2 2 3" xfId="33360" xr:uid="{00000000-0005-0000-0000-000055820000}"/>
    <cellStyle name="Style 23 11 2 2 2 3" xfId="33361" xr:uid="{00000000-0005-0000-0000-000056820000}"/>
    <cellStyle name="Style 23 11 2 2 2 3 2" xfId="33362" xr:uid="{00000000-0005-0000-0000-000057820000}"/>
    <cellStyle name="Style 23 11 2 2 2 3 3" xfId="33363" xr:uid="{00000000-0005-0000-0000-000058820000}"/>
    <cellStyle name="Style 23 11 2 2 2 4" xfId="33364" xr:uid="{00000000-0005-0000-0000-000059820000}"/>
    <cellStyle name="Style 23 11 2 2 2 5" xfId="33365" xr:uid="{00000000-0005-0000-0000-00005A820000}"/>
    <cellStyle name="Style 23 11 2 2 2 6" xfId="33366" xr:uid="{00000000-0005-0000-0000-00005B820000}"/>
    <cellStyle name="Style 23 11 2 2 3" xfId="33367" xr:uid="{00000000-0005-0000-0000-00005C820000}"/>
    <cellStyle name="Style 23 11 2 2 3 2" xfId="33368" xr:uid="{00000000-0005-0000-0000-00005D820000}"/>
    <cellStyle name="Style 23 11 2 2 3 3" xfId="33369" xr:uid="{00000000-0005-0000-0000-00005E820000}"/>
    <cellStyle name="Style 23 11 2 2 4" xfId="33370" xr:uid="{00000000-0005-0000-0000-00005F820000}"/>
    <cellStyle name="Style 23 11 2 2 4 2" xfId="33371" xr:uid="{00000000-0005-0000-0000-000060820000}"/>
    <cellStyle name="Style 23 11 2 2 4 3" xfId="33372" xr:uid="{00000000-0005-0000-0000-000061820000}"/>
    <cellStyle name="Style 23 11 2 2 5" xfId="33373" xr:uid="{00000000-0005-0000-0000-000062820000}"/>
    <cellStyle name="Style 23 11 2 2 5 2" xfId="33374" xr:uid="{00000000-0005-0000-0000-000063820000}"/>
    <cellStyle name="Style 23 11 2 2 5 3" xfId="33375" xr:uid="{00000000-0005-0000-0000-000064820000}"/>
    <cellStyle name="Style 23 11 2 2 6" xfId="33376" xr:uid="{00000000-0005-0000-0000-000065820000}"/>
    <cellStyle name="Style 23 11 2 2 7" xfId="33377" xr:uid="{00000000-0005-0000-0000-000066820000}"/>
    <cellStyle name="Style 23 11 2 2 8" xfId="33378" xr:uid="{00000000-0005-0000-0000-000067820000}"/>
    <cellStyle name="Style 23 11 2 3" xfId="33379" xr:uid="{00000000-0005-0000-0000-000068820000}"/>
    <cellStyle name="Style 23 11 2 3 2" xfId="33380" xr:uid="{00000000-0005-0000-0000-000069820000}"/>
    <cellStyle name="Style 23 11 2 3 2 2" xfId="33381" xr:uid="{00000000-0005-0000-0000-00006A820000}"/>
    <cellStyle name="Style 23 11 2 3 2 2 2" xfId="33382" xr:uid="{00000000-0005-0000-0000-00006B820000}"/>
    <cellStyle name="Style 23 11 2 3 2 2 3" xfId="33383" xr:uid="{00000000-0005-0000-0000-00006C820000}"/>
    <cellStyle name="Style 23 11 2 3 2 3" xfId="33384" xr:uid="{00000000-0005-0000-0000-00006D820000}"/>
    <cellStyle name="Style 23 11 2 3 2 3 2" xfId="33385" xr:uid="{00000000-0005-0000-0000-00006E820000}"/>
    <cellStyle name="Style 23 11 2 3 2 3 3" xfId="33386" xr:uid="{00000000-0005-0000-0000-00006F820000}"/>
    <cellStyle name="Style 23 11 2 3 2 4" xfId="33387" xr:uid="{00000000-0005-0000-0000-000070820000}"/>
    <cellStyle name="Style 23 11 2 3 2 5" xfId="33388" xr:uid="{00000000-0005-0000-0000-000071820000}"/>
    <cellStyle name="Style 23 11 2 3 2 6" xfId="33389" xr:uid="{00000000-0005-0000-0000-000072820000}"/>
    <cellStyle name="Style 23 11 2 3 3" xfId="33390" xr:uid="{00000000-0005-0000-0000-000073820000}"/>
    <cellStyle name="Style 23 11 2 3 3 2" xfId="33391" xr:uid="{00000000-0005-0000-0000-000074820000}"/>
    <cellStyle name="Style 23 11 2 3 3 3" xfId="33392" xr:uid="{00000000-0005-0000-0000-000075820000}"/>
    <cellStyle name="Style 23 11 2 3 4" xfId="33393" xr:uid="{00000000-0005-0000-0000-000076820000}"/>
    <cellStyle name="Style 23 11 2 3 4 2" xfId="33394" xr:uid="{00000000-0005-0000-0000-000077820000}"/>
    <cellStyle name="Style 23 11 2 3 4 3" xfId="33395" xr:uid="{00000000-0005-0000-0000-000078820000}"/>
    <cellStyle name="Style 23 11 2 3 5" xfId="33396" xr:uid="{00000000-0005-0000-0000-000079820000}"/>
    <cellStyle name="Style 23 11 2 3 5 2" xfId="33397" xr:uid="{00000000-0005-0000-0000-00007A820000}"/>
    <cellStyle name="Style 23 11 2 3 5 3" xfId="33398" xr:uid="{00000000-0005-0000-0000-00007B820000}"/>
    <cellStyle name="Style 23 11 2 3 6" xfId="33399" xr:uid="{00000000-0005-0000-0000-00007C820000}"/>
    <cellStyle name="Style 23 11 2 3 7" xfId="33400" xr:uid="{00000000-0005-0000-0000-00007D820000}"/>
    <cellStyle name="Style 23 11 2 3 8" xfId="33401" xr:uid="{00000000-0005-0000-0000-00007E820000}"/>
    <cellStyle name="Style 23 11 2 4" xfId="33402" xr:uid="{00000000-0005-0000-0000-00007F820000}"/>
    <cellStyle name="Style 23 11 2 4 2" xfId="33403" xr:uid="{00000000-0005-0000-0000-000080820000}"/>
    <cellStyle name="Style 23 11 2 4 2 2" xfId="33404" xr:uid="{00000000-0005-0000-0000-000081820000}"/>
    <cellStyle name="Style 23 11 2 4 2 3" xfId="33405" xr:uid="{00000000-0005-0000-0000-000082820000}"/>
    <cellStyle name="Style 23 11 2 4 3" xfId="33406" xr:uid="{00000000-0005-0000-0000-000083820000}"/>
    <cellStyle name="Style 23 11 2 4 3 2" xfId="33407" xr:uid="{00000000-0005-0000-0000-000084820000}"/>
    <cellStyle name="Style 23 11 2 4 3 3" xfId="33408" xr:uid="{00000000-0005-0000-0000-000085820000}"/>
    <cellStyle name="Style 23 11 2 4 4" xfId="33409" xr:uid="{00000000-0005-0000-0000-000086820000}"/>
    <cellStyle name="Style 23 11 2 4 5" xfId="33410" xr:uid="{00000000-0005-0000-0000-000087820000}"/>
    <cellStyle name="Style 23 11 2 4 6" xfId="33411" xr:uid="{00000000-0005-0000-0000-000088820000}"/>
    <cellStyle name="Style 23 11 2 5" xfId="33412" xr:uid="{00000000-0005-0000-0000-000089820000}"/>
    <cellStyle name="Style 23 11 2 5 2" xfId="33413" xr:uid="{00000000-0005-0000-0000-00008A820000}"/>
    <cellStyle name="Style 23 11 2 5 3" xfId="33414" xr:uid="{00000000-0005-0000-0000-00008B820000}"/>
    <cellStyle name="Style 23 11 2 6" xfId="33415" xr:uid="{00000000-0005-0000-0000-00008C820000}"/>
    <cellStyle name="Style 23 11 2 6 2" xfId="33416" xr:uid="{00000000-0005-0000-0000-00008D820000}"/>
    <cellStyle name="Style 23 11 2 6 3" xfId="33417" xr:uid="{00000000-0005-0000-0000-00008E820000}"/>
    <cellStyle name="Style 23 11 2 7" xfId="33418" xr:uid="{00000000-0005-0000-0000-00008F820000}"/>
    <cellStyle name="Style 23 11 2 7 2" xfId="33419" xr:uid="{00000000-0005-0000-0000-000090820000}"/>
    <cellStyle name="Style 23 11 2 7 3" xfId="33420" xr:uid="{00000000-0005-0000-0000-000091820000}"/>
    <cellStyle name="Style 23 11 2 8" xfId="33421" xr:uid="{00000000-0005-0000-0000-000092820000}"/>
    <cellStyle name="Style 23 11 2 9" xfId="33422" xr:uid="{00000000-0005-0000-0000-000093820000}"/>
    <cellStyle name="Style 23 11 3" xfId="33423" xr:uid="{00000000-0005-0000-0000-000094820000}"/>
    <cellStyle name="Style 23 11 3 2" xfId="33424" xr:uid="{00000000-0005-0000-0000-000095820000}"/>
    <cellStyle name="Style 23 11 3 2 2" xfId="33425" xr:uid="{00000000-0005-0000-0000-000096820000}"/>
    <cellStyle name="Style 23 11 3 2 2 2" xfId="33426" xr:uid="{00000000-0005-0000-0000-000097820000}"/>
    <cellStyle name="Style 23 11 3 2 2 3" xfId="33427" xr:uid="{00000000-0005-0000-0000-000098820000}"/>
    <cellStyle name="Style 23 11 3 2 3" xfId="33428" xr:uid="{00000000-0005-0000-0000-000099820000}"/>
    <cellStyle name="Style 23 11 3 2 3 2" xfId="33429" xr:uid="{00000000-0005-0000-0000-00009A820000}"/>
    <cellStyle name="Style 23 11 3 2 3 3" xfId="33430" xr:uid="{00000000-0005-0000-0000-00009B820000}"/>
    <cellStyle name="Style 23 11 3 2 4" xfId="33431" xr:uid="{00000000-0005-0000-0000-00009C820000}"/>
    <cellStyle name="Style 23 11 3 2 5" xfId="33432" xr:uid="{00000000-0005-0000-0000-00009D820000}"/>
    <cellStyle name="Style 23 11 3 2 6" xfId="33433" xr:uid="{00000000-0005-0000-0000-00009E820000}"/>
    <cellStyle name="Style 23 11 3 3" xfId="33434" xr:uid="{00000000-0005-0000-0000-00009F820000}"/>
    <cellStyle name="Style 23 11 3 3 2" xfId="33435" xr:uid="{00000000-0005-0000-0000-0000A0820000}"/>
    <cellStyle name="Style 23 11 3 3 3" xfId="33436" xr:uid="{00000000-0005-0000-0000-0000A1820000}"/>
    <cellStyle name="Style 23 11 3 4" xfId="33437" xr:uid="{00000000-0005-0000-0000-0000A2820000}"/>
    <cellStyle name="Style 23 11 3 4 2" xfId="33438" xr:uid="{00000000-0005-0000-0000-0000A3820000}"/>
    <cellStyle name="Style 23 11 3 4 3" xfId="33439" xr:uid="{00000000-0005-0000-0000-0000A4820000}"/>
    <cellStyle name="Style 23 11 3 5" xfId="33440" xr:uid="{00000000-0005-0000-0000-0000A5820000}"/>
    <cellStyle name="Style 23 11 3 5 2" xfId="33441" xr:uid="{00000000-0005-0000-0000-0000A6820000}"/>
    <cellStyle name="Style 23 11 3 5 3" xfId="33442" xr:uid="{00000000-0005-0000-0000-0000A7820000}"/>
    <cellStyle name="Style 23 11 3 6" xfId="33443" xr:uid="{00000000-0005-0000-0000-0000A8820000}"/>
    <cellStyle name="Style 23 11 3 7" xfId="33444" xr:uid="{00000000-0005-0000-0000-0000A9820000}"/>
    <cellStyle name="Style 23 11 3 8" xfId="33445" xr:uid="{00000000-0005-0000-0000-0000AA820000}"/>
    <cellStyle name="Style 23 11 4" xfId="33446" xr:uid="{00000000-0005-0000-0000-0000AB820000}"/>
    <cellStyle name="Style 23 11 4 2" xfId="33447" xr:uid="{00000000-0005-0000-0000-0000AC820000}"/>
    <cellStyle name="Style 23 11 4 2 2" xfId="33448" xr:uid="{00000000-0005-0000-0000-0000AD820000}"/>
    <cellStyle name="Style 23 11 4 2 2 2" xfId="33449" xr:uid="{00000000-0005-0000-0000-0000AE820000}"/>
    <cellStyle name="Style 23 11 4 2 2 3" xfId="33450" xr:uid="{00000000-0005-0000-0000-0000AF820000}"/>
    <cellStyle name="Style 23 11 4 2 3" xfId="33451" xr:uid="{00000000-0005-0000-0000-0000B0820000}"/>
    <cellStyle name="Style 23 11 4 2 3 2" xfId="33452" xr:uid="{00000000-0005-0000-0000-0000B1820000}"/>
    <cellStyle name="Style 23 11 4 2 3 3" xfId="33453" xr:uid="{00000000-0005-0000-0000-0000B2820000}"/>
    <cellStyle name="Style 23 11 4 2 4" xfId="33454" xr:uid="{00000000-0005-0000-0000-0000B3820000}"/>
    <cellStyle name="Style 23 11 4 2 5" xfId="33455" xr:uid="{00000000-0005-0000-0000-0000B4820000}"/>
    <cellStyle name="Style 23 11 4 2 6" xfId="33456" xr:uid="{00000000-0005-0000-0000-0000B5820000}"/>
    <cellStyle name="Style 23 11 4 3" xfId="33457" xr:uid="{00000000-0005-0000-0000-0000B6820000}"/>
    <cellStyle name="Style 23 11 4 3 2" xfId="33458" xr:uid="{00000000-0005-0000-0000-0000B7820000}"/>
    <cellStyle name="Style 23 11 4 3 3" xfId="33459" xr:uid="{00000000-0005-0000-0000-0000B8820000}"/>
    <cellStyle name="Style 23 11 4 4" xfId="33460" xr:uid="{00000000-0005-0000-0000-0000B9820000}"/>
    <cellStyle name="Style 23 11 4 4 2" xfId="33461" xr:uid="{00000000-0005-0000-0000-0000BA820000}"/>
    <cellStyle name="Style 23 11 4 4 3" xfId="33462" xr:uid="{00000000-0005-0000-0000-0000BB820000}"/>
    <cellStyle name="Style 23 11 4 5" xfId="33463" xr:uid="{00000000-0005-0000-0000-0000BC820000}"/>
    <cellStyle name="Style 23 11 4 5 2" xfId="33464" xr:uid="{00000000-0005-0000-0000-0000BD820000}"/>
    <cellStyle name="Style 23 11 4 5 3" xfId="33465" xr:uid="{00000000-0005-0000-0000-0000BE820000}"/>
    <cellStyle name="Style 23 11 4 6" xfId="33466" xr:uid="{00000000-0005-0000-0000-0000BF820000}"/>
    <cellStyle name="Style 23 11 4 7" xfId="33467" xr:uid="{00000000-0005-0000-0000-0000C0820000}"/>
    <cellStyle name="Style 23 11 4 8" xfId="33468" xr:uid="{00000000-0005-0000-0000-0000C1820000}"/>
    <cellStyle name="Style 23 11 5" xfId="33469" xr:uid="{00000000-0005-0000-0000-0000C2820000}"/>
    <cellStyle name="Style 23 11 5 2" xfId="33470" xr:uid="{00000000-0005-0000-0000-0000C3820000}"/>
    <cellStyle name="Style 23 11 5 2 2" xfId="33471" xr:uid="{00000000-0005-0000-0000-0000C4820000}"/>
    <cellStyle name="Style 23 11 5 2 2 2" xfId="33472" xr:uid="{00000000-0005-0000-0000-0000C5820000}"/>
    <cellStyle name="Style 23 11 5 2 2 3" xfId="33473" xr:uid="{00000000-0005-0000-0000-0000C6820000}"/>
    <cellStyle name="Style 23 11 5 2 3" xfId="33474" xr:uid="{00000000-0005-0000-0000-0000C7820000}"/>
    <cellStyle name="Style 23 11 5 2 3 2" xfId="33475" xr:uid="{00000000-0005-0000-0000-0000C8820000}"/>
    <cellStyle name="Style 23 11 5 2 3 3" xfId="33476" xr:uid="{00000000-0005-0000-0000-0000C9820000}"/>
    <cellStyle name="Style 23 11 5 2 4" xfId="33477" xr:uid="{00000000-0005-0000-0000-0000CA820000}"/>
    <cellStyle name="Style 23 11 5 2 5" xfId="33478" xr:uid="{00000000-0005-0000-0000-0000CB820000}"/>
    <cellStyle name="Style 23 11 5 2 6" xfId="33479" xr:uid="{00000000-0005-0000-0000-0000CC820000}"/>
    <cellStyle name="Style 23 11 5 3" xfId="33480" xr:uid="{00000000-0005-0000-0000-0000CD820000}"/>
    <cellStyle name="Style 23 11 5 3 2" xfId="33481" xr:uid="{00000000-0005-0000-0000-0000CE820000}"/>
    <cellStyle name="Style 23 11 5 3 3" xfId="33482" xr:uid="{00000000-0005-0000-0000-0000CF820000}"/>
    <cellStyle name="Style 23 11 5 4" xfId="33483" xr:uid="{00000000-0005-0000-0000-0000D0820000}"/>
    <cellStyle name="Style 23 11 5 4 2" xfId="33484" xr:uid="{00000000-0005-0000-0000-0000D1820000}"/>
    <cellStyle name="Style 23 11 5 4 3" xfId="33485" xr:uid="{00000000-0005-0000-0000-0000D2820000}"/>
    <cellStyle name="Style 23 11 5 5" xfId="33486" xr:uid="{00000000-0005-0000-0000-0000D3820000}"/>
    <cellStyle name="Style 23 11 5 5 2" xfId="33487" xr:uid="{00000000-0005-0000-0000-0000D4820000}"/>
    <cellStyle name="Style 23 11 5 5 3" xfId="33488" xr:uid="{00000000-0005-0000-0000-0000D5820000}"/>
    <cellStyle name="Style 23 11 5 6" xfId="33489" xr:uid="{00000000-0005-0000-0000-0000D6820000}"/>
    <cellStyle name="Style 23 11 5 7" xfId="33490" xr:uid="{00000000-0005-0000-0000-0000D7820000}"/>
    <cellStyle name="Style 23 11 5 8" xfId="33491" xr:uid="{00000000-0005-0000-0000-0000D8820000}"/>
    <cellStyle name="Style 23 11 6" xfId="33492" xr:uid="{00000000-0005-0000-0000-0000D9820000}"/>
    <cellStyle name="Style 23 11 6 2" xfId="33493" xr:uid="{00000000-0005-0000-0000-0000DA820000}"/>
    <cellStyle name="Style 23 11 6 2 2" xfId="33494" xr:uid="{00000000-0005-0000-0000-0000DB820000}"/>
    <cellStyle name="Style 23 11 6 2 3" xfId="33495" xr:uid="{00000000-0005-0000-0000-0000DC820000}"/>
    <cellStyle name="Style 23 11 6 3" xfId="33496" xr:uid="{00000000-0005-0000-0000-0000DD820000}"/>
    <cellStyle name="Style 23 11 6 3 2" xfId="33497" xr:uid="{00000000-0005-0000-0000-0000DE820000}"/>
    <cellStyle name="Style 23 11 6 3 3" xfId="33498" xr:uid="{00000000-0005-0000-0000-0000DF820000}"/>
    <cellStyle name="Style 23 11 6 4" xfId="33499" xr:uid="{00000000-0005-0000-0000-0000E0820000}"/>
    <cellStyle name="Style 23 11 6 5" xfId="33500" xr:uid="{00000000-0005-0000-0000-0000E1820000}"/>
    <cellStyle name="Style 23 11 6 6" xfId="33501" xr:uid="{00000000-0005-0000-0000-0000E2820000}"/>
    <cellStyle name="Style 23 11 7" xfId="33502" xr:uid="{00000000-0005-0000-0000-0000E3820000}"/>
    <cellStyle name="Style 23 11 7 2" xfId="33503" xr:uid="{00000000-0005-0000-0000-0000E4820000}"/>
    <cellStyle name="Style 23 11 7 3" xfId="33504" xr:uid="{00000000-0005-0000-0000-0000E5820000}"/>
    <cellStyle name="Style 23 11 8" xfId="33505" xr:uid="{00000000-0005-0000-0000-0000E6820000}"/>
    <cellStyle name="Style 23 11 8 2" xfId="33506" xr:uid="{00000000-0005-0000-0000-0000E7820000}"/>
    <cellStyle name="Style 23 11 8 3" xfId="33507" xr:uid="{00000000-0005-0000-0000-0000E8820000}"/>
    <cellStyle name="Style 23 11 9" xfId="33508" xr:uid="{00000000-0005-0000-0000-0000E9820000}"/>
    <cellStyle name="Style 23 11 9 2" xfId="33509" xr:uid="{00000000-0005-0000-0000-0000EA820000}"/>
    <cellStyle name="Style 23 11 9 3" xfId="33510" xr:uid="{00000000-0005-0000-0000-0000EB820000}"/>
    <cellStyle name="Style 23 12" xfId="33511" xr:uid="{00000000-0005-0000-0000-0000EC820000}"/>
    <cellStyle name="Style 23 12 10" xfId="33512" xr:uid="{00000000-0005-0000-0000-0000ED820000}"/>
    <cellStyle name="Style 23 12 2" xfId="33513" xr:uid="{00000000-0005-0000-0000-0000EE820000}"/>
    <cellStyle name="Style 23 12 2 2" xfId="33514" xr:uid="{00000000-0005-0000-0000-0000EF820000}"/>
    <cellStyle name="Style 23 12 2 2 2" xfId="33515" xr:uid="{00000000-0005-0000-0000-0000F0820000}"/>
    <cellStyle name="Style 23 12 2 2 2 2" xfId="33516" xr:uid="{00000000-0005-0000-0000-0000F1820000}"/>
    <cellStyle name="Style 23 12 2 2 2 3" xfId="33517" xr:uid="{00000000-0005-0000-0000-0000F2820000}"/>
    <cellStyle name="Style 23 12 2 2 3" xfId="33518" xr:uid="{00000000-0005-0000-0000-0000F3820000}"/>
    <cellStyle name="Style 23 12 2 2 3 2" xfId="33519" xr:uid="{00000000-0005-0000-0000-0000F4820000}"/>
    <cellStyle name="Style 23 12 2 2 3 3" xfId="33520" xr:uid="{00000000-0005-0000-0000-0000F5820000}"/>
    <cellStyle name="Style 23 12 2 2 4" xfId="33521" xr:uid="{00000000-0005-0000-0000-0000F6820000}"/>
    <cellStyle name="Style 23 12 2 2 5" xfId="33522" xr:uid="{00000000-0005-0000-0000-0000F7820000}"/>
    <cellStyle name="Style 23 12 2 2 6" xfId="33523" xr:uid="{00000000-0005-0000-0000-0000F8820000}"/>
    <cellStyle name="Style 23 12 2 3" xfId="33524" xr:uid="{00000000-0005-0000-0000-0000F9820000}"/>
    <cellStyle name="Style 23 12 2 3 2" xfId="33525" xr:uid="{00000000-0005-0000-0000-0000FA820000}"/>
    <cellStyle name="Style 23 12 2 3 3" xfId="33526" xr:uid="{00000000-0005-0000-0000-0000FB820000}"/>
    <cellStyle name="Style 23 12 2 4" xfId="33527" xr:uid="{00000000-0005-0000-0000-0000FC820000}"/>
    <cellStyle name="Style 23 12 2 4 2" xfId="33528" xr:uid="{00000000-0005-0000-0000-0000FD820000}"/>
    <cellStyle name="Style 23 12 2 4 3" xfId="33529" xr:uid="{00000000-0005-0000-0000-0000FE820000}"/>
    <cellStyle name="Style 23 12 2 5" xfId="33530" xr:uid="{00000000-0005-0000-0000-0000FF820000}"/>
    <cellStyle name="Style 23 12 2 5 2" xfId="33531" xr:uid="{00000000-0005-0000-0000-000000830000}"/>
    <cellStyle name="Style 23 12 2 5 3" xfId="33532" xr:uid="{00000000-0005-0000-0000-000001830000}"/>
    <cellStyle name="Style 23 12 2 6" xfId="33533" xr:uid="{00000000-0005-0000-0000-000002830000}"/>
    <cellStyle name="Style 23 12 2 7" xfId="33534" xr:uid="{00000000-0005-0000-0000-000003830000}"/>
    <cellStyle name="Style 23 12 2 8" xfId="33535" xr:uid="{00000000-0005-0000-0000-000004830000}"/>
    <cellStyle name="Style 23 12 3" xfId="33536" xr:uid="{00000000-0005-0000-0000-000005830000}"/>
    <cellStyle name="Style 23 12 3 2" xfId="33537" xr:uid="{00000000-0005-0000-0000-000006830000}"/>
    <cellStyle name="Style 23 12 3 2 2" xfId="33538" xr:uid="{00000000-0005-0000-0000-000007830000}"/>
    <cellStyle name="Style 23 12 3 2 2 2" xfId="33539" xr:uid="{00000000-0005-0000-0000-000008830000}"/>
    <cellStyle name="Style 23 12 3 2 2 3" xfId="33540" xr:uid="{00000000-0005-0000-0000-000009830000}"/>
    <cellStyle name="Style 23 12 3 2 3" xfId="33541" xr:uid="{00000000-0005-0000-0000-00000A830000}"/>
    <cellStyle name="Style 23 12 3 2 3 2" xfId="33542" xr:uid="{00000000-0005-0000-0000-00000B830000}"/>
    <cellStyle name="Style 23 12 3 2 3 3" xfId="33543" xr:uid="{00000000-0005-0000-0000-00000C830000}"/>
    <cellStyle name="Style 23 12 3 2 4" xfId="33544" xr:uid="{00000000-0005-0000-0000-00000D830000}"/>
    <cellStyle name="Style 23 12 3 2 5" xfId="33545" xr:uid="{00000000-0005-0000-0000-00000E830000}"/>
    <cellStyle name="Style 23 12 3 2 6" xfId="33546" xr:uid="{00000000-0005-0000-0000-00000F830000}"/>
    <cellStyle name="Style 23 12 3 3" xfId="33547" xr:uid="{00000000-0005-0000-0000-000010830000}"/>
    <cellStyle name="Style 23 12 3 3 2" xfId="33548" xr:uid="{00000000-0005-0000-0000-000011830000}"/>
    <cellStyle name="Style 23 12 3 3 3" xfId="33549" xr:uid="{00000000-0005-0000-0000-000012830000}"/>
    <cellStyle name="Style 23 12 3 4" xfId="33550" xr:uid="{00000000-0005-0000-0000-000013830000}"/>
    <cellStyle name="Style 23 12 3 4 2" xfId="33551" xr:uid="{00000000-0005-0000-0000-000014830000}"/>
    <cellStyle name="Style 23 12 3 4 3" xfId="33552" xr:uid="{00000000-0005-0000-0000-000015830000}"/>
    <cellStyle name="Style 23 12 3 5" xfId="33553" xr:uid="{00000000-0005-0000-0000-000016830000}"/>
    <cellStyle name="Style 23 12 3 5 2" xfId="33554" xr:uid="{00000000-0005-0000-0000-000017830000}"/>
    <cellStyle name="Style 23 12 3 5 3" xfId="33555" xr:uid="{00000000-0005-0000-0000-000018830000}"/>
    <cellStyle name="Style 23 12 3 6" xfId="33556" xr:uid="{00000000-0005-0000-0000-000019830000}"/>
    <cellStyle name="Style 23 12 3 7" xfId="33557" xr:uid="{00000000-0005-0000-0000-00001A830000}"/>
    <cellStyle name="Style 23 12 3 8" xfId="33558" xr:uid="{00000000-0005-0000-0000-00001B830000}"/>
    <cellStyle name="Style 23 12 4" xfId="33559" xr:uid="{00000000-0005-0000-0000-00001C830000}"/>
    <cellStyle name="Style 23 12 4 2" xfId="33560" xr:uid="{00000000-0005-0000-0000-00001D830000}"/>
    <cellStyle name="Style 23 12 4 2 2" xfId="33561" xr:uid="{00000000-0005-0000-0000-00001E830000}"/>
    <cellStyle name="Style 23 12 4 2 3" xfId="33562" xr:uid="{00000000-0005-0000-0000-00001F830000}"/>
    <cellStyle name="Style 23 12 4 3" xfId="33563" xr:uid="{00000000-0005-0000-0000-000020830000}"/>
    <cellStyle name="Style 23 12 4 3 2" xfId="33564" xr:uid="{00000000-0005-0000-0000-000021830000}"/>
    <cellStyle name="Style 23 12 4 3 3" xfId="33565" xr:uid="{00000000-0005-0000-0000-000022830000}"/>
    <cellStyle name="Style 23 12 4 4" xfId="33566" xr:uid="{00000000-0005-0000-0000-000023830000}"/>
    <cellStyle name="Style 23 12 4 5" xfId="33567" xr:uid="{00000000-0005-0000-0000-000024830000}"/>
    <cellStyle name="Style 23 12 4 6" xfId="33568" xr:uid="{00000000-0005-0000-0000-000025830000}"/>
    <cellStyle name="Style 23 12 5" xfId="33569" xr:uid="{00000000-0005-0000-0000-000026830000}"/>
    <cellStyle name="Style 23 12 5 2" xfId="33570" xr:uid="{00000000-0005-0000-0000-000027830000}"/>
    <cellStyle name="Style 23 12 5 3" xfId="33571" xr:uid="{00000000-0005-0000-0000-000028830000}"/>
    <cellStyle name="Style 23 12 6" xfId="33572" xr:uid="{00000000-0005-0000-0000-000029830000}"/>
    <cellStyle name="Style 23 12 6 2" xfId="33573" xr:uid="{00000000-0005-0000-0000-00002A830000}"/>
    <cellStyle name="Style 23 12 6 3" xfId="33574" xr:uid="{00000000-0005-0000-0000-00002B830000}"/>
    <cellStyle name="Style 23 12 7" xfId="33575" xr:uid="{00000000-0005-0000-0000-00002C830000}"/>
    <cellStyle name="Style 23 12 7 2" xfId="33576" xr:uid="{00000000-0005-0000-0000-00002D830000}"/>
    <cellStyle name="Style 23 12 7 3" xfId="33577" xr:uid="{00000000-0005-0000-0000-00002E830000}"/>
    <cellStyle name="Style 23 12 8" xfId="33578" xr:uid="{00000000-0005-0000-0000-00002F830000}"/>
    <cellStyle name="Style 23 12 9" xfId="33579" xr:uid="{00000000-0005-0000-0000-000030830000}"/>
    <cellStyle name="Style 23 13" xfId="33580" xr:uid="{00000000-0005-0000-0000-000031830000}"/>
    <cellStyle name="Style 23 13 2" xfId="33581" xr:uid="{00000000-0005-0000-0000-000032830000}"/>
    <cellStyle name="Style 23 13 2 2" xfId="33582" xr:uid="{00000000-0005-0000-0000-000033830000}"/>
    <cellStyle name="Style 23 13 2 2 2" xfId="33583" xr:uid="{00000000-0005-0000-0000-000034830000}"/>
    <cellStyle name="Style 23 13 2 2 3" xfId="33584" xr:uid="{00000000-0005-0000-0000-000035830000}"/>
    <cellStyle name="Style 23 13 2 3" xfId="33585" xr:uid="{00000000-0005-0000-0000-000036830000}"/>
    <cellStyle name="Style 23 13 2 3 2" xfId="33586" xr:uid="{00000000-0005-0000-0000-000037830000}"/>
    <cellStyle name="Style 23 13 2 3 3" xfId="33587" xr:uid="{00000000-0005-0000-0000-000038830000}"/>
    <cellStyle name="Style 23 13 2 4" xfId="33588" xr:uid="{00000000-0005-0000-0000-000039830000}"/>
    <cellStyle name="Style 23 13 2 5" xfId="33589" xr:uid="{00000000-0005-0000-0000-00003A830000}"/>
    <cellStyle name="Style 23 13 2 6" xfId="33590" xr:uid="{00000000-0005-0000-0000-00003B830000}"/>
    <cellStyle name="Style 23 13 3" xfId="33591" xr:uid="{00000000-0005-0000-0000-00003C830000}"/>
    <cellStyle name="Style 23 13 3 2" xfId="33592" xr:uid="{00000000-0005-0000-0000-00003D830000}"/>
    <cellStyle name="Style 23 13 3 3" xfId="33593" xr:uid="{00000000-0005-0000-0000-00003E830000}"/>
    <cellStyle name="Style 23 13 4" xfId="33594" xr:uid="{00000000-0005-0000-0000-00003F830000}"/>
    <cellStyle name="Style 23 13 4 2" xfId="33595" xr:uid="{00000000-0005-0000-0000-000040830000}"/>
    <cellStyle name="Style 23 13 4 3" xfId="33596" xr:uid="{00000000-0005-0000-0000-000041830000}"/>
    <cellStyle name="Style 23 13 5" xfId="33597" xr:uid="{00000000-0005-0000-0000-000042830000}"/>
    <cellStyle name="Style 23 13 5 2" xfId="33598" xr:uid="{00000000-0005-0000-0000-000043830000}"/>
    <cellStyle name="Style 23 13 5 3" xfId="33599" xr:uid="{00000000-0005-0000-0000-000044830000}"/>
    <cellStyle name="Style 23 13 6" xfId="33600" xr:uid="{00000000-0005-0000-0000-000045830000}"/>
    <cellStyle name="Style 23 13 7" xfId="33601" xr:uid="{00000000-0005-0000-0000-000046830000}"/>
    <cellStyle name="Style 23 13 8" xfId="33602" xr:uid="{00000000-0005-0000-0000-000047830000}"/>
    <cellStyle name="Style 23 14" xfId="33603" xr:uid="{00000000-0005-0000-0000-000048830000}"/>
    <cellStyle name="Style 23 14 2" xfId="33604" xr:uid="{00000000-0005-0000-0000-000049830000}"/>
    <cellStyle name="Style 23 14 2 2" xfId="33605" xr:uid="{00000000-0005-0000-0000-00004A830000}"/>
    <cellStyle name="Style 23 14 2 2 2" xfId="33606" xr:uid="{00000000-0005-0000-0000-00004B830000}"/>
    <cellStyle name="Style 23 14 2 2 3" xfId="33607" xr:uid="{00000000-0005-0000-0000-00004C830000}"/>
    <cellStyle name="Style 23 14 2 3" xfId="33608" xr:uid="{00000000-0005-0000-0000-00004D830000}"/>
    <cellStyle name="Style 23 14 2 3 2" xfId="33609" xr:uid="{00000000-0005-0000-0000-00004E830000}"/>
    <cellStyle name="Style 23 14 2 3 3" xfId="33610" xr:uid="{00000000-0005-0000-0000-00004F830000}"/>
    <cellStyle name="Style 23 14 2 4" xfId="33611" xr:uid="{00000000-0005-0000-0000-000050830000}"/>
    <cellStyle name="Style 23 14 2 5" xfId="33612" xr:uid="{00000000-0005-0000-0000-000051830000}"/>
    <cellStyle name="Style 23 14 2 6" xfId="33613" xr:uid="{00000000-0005-0000-0000-000052830000}"/>
    <cellStyle name="Style 23 14 3" xfId="33614" xr:uid="{00000000-0005-0000-0000-000053830000}"/>
    <cellStyle name="Style 23 14 3 2" xfId="33615" xr:uid="{00000000-0005-0000-0000-000054830000}"/>
    <cellStyle name="Style 23 14 3 3" xfId="33616" xr:uid="{00000000-0005-0000-0000-000055830000}"/>
    <cellStyle name="Style 23 14 4" xfId="33617" xr:uid="{00000000-0005-0000-0000-000056830000}"/>
    <cellStyle name="Style 23 14 4 2" xfId="33618" xr:uid="{00000000-0005-0000-0000-000057830000}"/>
    <cellStyle name="Style 23 14 4 3" xfId="33619" xr:uid="{00000000-0005-0000-0000-000058830000}"/>
    <cellStyle name="Style 23 14 5" xfId="33620" xr:uid="{00000000-0005-0000-0000-000059830000}"/>
    <cellStyle name="Style 23 14 5 2" xfId="33621" xr:uid="{00000000-0005-0000-0000-00005A830000}"/>
    <cellStyle name="Style 23 14 5 3" xfId="33622" xr:uid="{00000000-0005-0000-0000-00005B830000}"/>
    <cellStyle name="Style 23 14 6" xfId="33623" xr:uid="{00000000-0005-0000-0000-00005C830000}"/>
    <cellStyle name="Style 23 14 7" xfId="33624" xr:uid="{00000000-0005-0000-0000-00005D830000}"/>
    <cellStyle name="Style 23 14 8" xfId="33625" xr:uid="{00000000-0005-0000-0000-00005E830000}"/>
    <cellStyle name="Style 23 15" xfId="33626" xr:uid="{00000000-0005-0000-0000-00005F830000}"/>
    <cellStyle name="Style 23 15 2" xfId="33627" xr:uid="{00000000-0005-0000-0000-000060830000}"/>
    <cellStyle name="Style 23 15 2 2" xfId="33628" xr:uid="{00000000-0005-0000-0000-000061830000}"/>
    <cellStyle name="Style 23 15 2 2 2" xfId="33629" xr:uid="{00000000-0005-0000-0000-000062830000}"/>
    <cellStyle name="Style 23 15 2 2 3" xfId="33630" xr:uid="{00000000-0005-0000-0000-000063830000}"/>
    <cellStyle name="Style 23 15 2 3" xfId="33631" xr:uid="{00000000-0005-0000-0000-000064830000}"/>
    <cellStyle name="Style 23 15 2 3 2" xfId="33632" xr:uid="{00000000-0005-0000-0000-000065830000}"/>
    <cellStyle name="Style 23 15 2 3 3" xfId="33633" xr:uid="{00000000-0005-0000-0000-000066830000}"/>
    <cellStyle name="Style 23 15 2 4" xfId="33634" xr:uid="{00000000-0005-0000-0000-000067830000}"/>
    <cellStyle name="Style 23 15 2 5" xfId="33635" xr:uid="{00000000-0005-0000-0000-000068830000}"/>
    <cellStyle name="Style 23 15 2 6" xfId="33636" xr:uid="{00000000-0005-0000-0000-000069830000}"/>
    <cellStyle name="Style 23 15 3" xfId="33637" xr:uid="{00000000-0005-0000-0000-00006A830000}"/>
    <cellStyle name="Style 23 15 3 2" xfId="33638" xr:uid="{00000000-0005-0000-0000-00006B830000}"/>
    <cellStyle name="Style 23 15 3 3" xfId="33639" xr:uid="{00000000-0005-0000-0000-00006C830000}"/>
    <cellStyle name="Style 23 15 4" xfId="33640" xr:uid="{00000000-0005-0000-0000-00006D830000}"/>
    <cellStyle name="Style 23 15 4 2" xfId="33641" xr:uid="{00000000-0005-0000-0000-00006E830000}"/>
    <cellStyle name="Style 23 15 4 3" xfId="33642" xr:uid="{00000000-0005-0000-0000-00006F830000}"/>
    <cellStyle name="Style 23 15 5" xfId="33643" xr:uid="{00000000-0005-0000-0000-000070830000}"/>
    <cellStyle name="Style 23 15 5 2" xfId="33644" xr:uid="{00000000-0005-0000-0000-000071830000}"/>
    <cellStyle name="Style 23 15 5 3" xfId="33645" xr:uid="{00000000-0005-0000-0000-000072830000}"/>
    <cellStyle name="Style 23 15 6" xfId="33646" xr:uid="{00000000-0005-0000-0000-000073830000}"/>
    <cellStyle name="Style 23 15 7" xfId="33647" xr:uid="{00000000-0005-0000-0000-000074830000}"/>
    <cellStyle name="Style 23 15 8" xfId="33648" xr:uid="{00000000-0005-0000-0000-000075830000}"/>
    <cellStyle name="Style 23 16" xfId="33649" xr:uid="{00000000-0005-0000-0000-000076830000}"/>
    <cellStyle name="Style 23 16 2" xfId="33650" xr:uid="{00000000-0005-0000-0000-000077830000}"/>
    <cellStyle name="Style 23 16 2 2" xfId="33651" xr:uid="{00000000-0005-0000-0000-000078830000}"/>
    <cellStyle name="Style 23 16 2 3" xfId="33652" xr:uid="{00000000-0005-0000-0000-000079830000}"/>
    <cellStyle name="Style 23 16 3" xfId="33653" xr:uid="{00000000-0005-0000-0000-00007A830000}"/>
    <cellStyle name="Style 23 16 3 2" xfId="33654" xr:uid="{00000000-0005-0000-0000-00007B830000}"/>
    <cellStyle name="Style 23 16 3 3" xfId="33655" xr:uid="{00000000-0005-0000-0000-00007C830000}"/>
    <cellStyle name="Style 23 16 4" xfId="33656" xr:uid="{00000000-0005-0000-0000-00007D830000}"/>
    <cellStyle name="Style 23 16 5" xfId="33657" xr:uid="{00000000-0005-0000-0000-00007E830000}"/>
    <cellStyle name="Style 23 16 6" xfId="33658" xr:uid="{00000000-0005-0000-0000-00007F830000}"/>
    <cellStyle name="Style 23 17" xfId="33659" xr:uid="{00000000-0005-0000-0000-000080830000}"/>
    <cellStyle name="Style 23 17 2" xfId="33660" xr:uid="{00000000-0005-0000-0000-000081830000}"/>
    <cellStyle name="Style 23 17 3" xfId="33661" xr:uid="{00000000-0005-0000-0000-000082830000}"/>
    <cellStyle name="Style 23 18" xfId="33662" xr:uid="{00000000-0005-0000-0000-000083830000}"/>
    <cellStyle name="Style 23 18 2" xfId="33663" xr:uid="{00000000-0005-0000-0000-000084830000}"/>
    <cellStyle name="Style 23 18 3" xfId="33664" xr:uid="{00000000-0005-0000-0000-000085830000}"/>
    <cellStyle name="Style 23 19" xfId="33665" xr:uid="{00000000-0005-0000-0000-000086830000}"/>
    <cellStyle name="Style 23 19 2" xfId="33666" xr:uid="{00000000-0005-0000-0000-000087830000}"/>
    <cellStyle name="Style 23 19 3" xfId="33667" xr:uid="{00000000-0005-0000-0000-000088830000}"/>
    <cellStyle name="Style 23 2" xfId="33668" xr:uid="{00000000-0005-0000-0000-000089830000}"/>
    <cellStyle name="Style 23 2 10" xfId="33669" xr:uid="{00000000-0005-0000-0000-00008A830000}"/>
    <cellStyle name="Style 23 2 11" xfId="33670" xr:uid="{00000000-0005-0000-0000-00008B830000}"/>
    <cellStyle name="Style 23 2 12" xfId="33671" xr:uid="{00000000-0005-0000-0000-00008C830000}"/>
    <cellStyle name="Style 23 2 2" xfId="33672" xr:uid="{00000000-0005-0000-0000-00008D830000}"/>
    <cellStyle name="Style 23 2 2 10" xfId="33673" xr:uid="{00000000-0005-0000-0000-00008E830000}"/>
    <cellStyle name="Style 23 2 2 2" xfId="33674" xr:uid="{00000000-0005-0000-0000-00008F830000}"/>
    <cellStyle name="Style 23 2 2 2 2" xfId="33675" xr:uid="{00000000-0005-0000-0000-000090830000}"/>
    <cellStyle name="Style 23 2 2 2 2 2" xfId="33676" xr:uid="{00000000-0005-0000-0000-000091830000}"/>
    <cellStyle name="Style 23 2 2 2 2 2 2" xfId="33677" xr:uid="{00000000-0005-0000-0000-000092830000}"/>
    <cellStyle name="Style 23 2 2 2 2 2 3" xfId="33678" xr:uid="{00000000-0005-0000-0000-000093830000}"/>
    <cellStyle name="Style 23 2 2 2 2 3" xfId="33679" xr:uid="{00000000-0005-0000-0000-000094830000}"/>
    <cellStyle name="Style 23 2 2 2 2 3 2" xfId="33680" xr:uid="{00000000-0005-0000-0000-000095830000}"/>
    <cellStyle name="Style 23 2 2 2 2 3 3" xfId="33681" xr:uid="{00000000-0005-0000-0000-000096830000}"/>
    <cellStyle name="Style 23 2 2 2 2 4" xfId="33682" xr:uid="{00000000-0005-0000-0000-000097830000}"/>
    <cellStyle name="Style 23 2 2 2 2 5" xfId="33683" xr:uid="{00000000-0005-0000-0000-000098830000}"/>
    <cellStyle name="Style 23 2 2 2 2 6" xfId="33684" xr:uid="{00000000-0005-0000-0000-000099830000}"/>
    <cellStyle name="Style 23 2 2 2 3" xfId="33685" xr:uid="{00000000-0005-0000-0000-00009A830000}"/>
    <cellStyle name="Style 23 2 2 2 3 2" xfId="33686" xr:uid="{00000000-0005-0000-0000-00009B830000}"/>
    <cellStyle name="Style 23 2 2 2 3 3" xfId="33687" xr:uid="{00000000-0005-0000-0000-00009C830000}"/>
    <cellStyle name="Style 23 2 2 2 4" xfId="33688" xr:uid="{00000000-0005-0000-0000-00009D830000}"/>
    <cellStyle name="Style 23 2 2 2 4 2" xfId="33689" xr:uid="{00000000-0005-0000-0000-00009E830000}"/>
    <cellStyle name="Style 23 2 2 2 4 3" xfId="33690" xr:uid="{00000000-0005-0000-0000-00009F830000}"/>
    <cellStyle name="Style 23 2 2 2 5" xfId="33691" xr:uid="{00000000-0005-0000-0000-0000A0830000}"/>
    <cellStyle name="Style 23 2 2 2 5 2" xfId="33692" xr:uid="{00000000-0005-0000-0000-0000A1830000}"/>
    <cellStyle name="Style 23 2 2 2 5 3" xfId="33693" xr:uid="{00000000-0005-0000-0000-0000A2830000}"/>
    <cellStyle name="Style 23 2 2 2 6" xfId="33694" xr:uid="{00000000-0005-0000-0000-0000A3830000}"/>
    <cellStyle name="Style 23 2 2 2 7" xfId="33695" xr:uid="{00000000-0005-0000-0000-0000A4830000}"/>
    <cellStyle name="Style 23 2 2 2 8" xfId="33696" xr:uid="{00000000-0005-0000-0000-0000A5830000}"/>
    <cellStyle name="Style 23 2 2 3" xfId="33697" xr:uid="{00000000-0005-0000-0000-0000A6830000}"/>
    <cellStyle name="Style 23 2 2 3 2" xfId="33698" xr:uid="{00000000-0005-0000-0000-0000A7830000}"/>
    <cellStyle name="Style 23 2 2 3 2 2" xfId="33699" xr:uid="{00000000-0005-0000-0000-0000A8830000}"/>
    <cellStyle name="Style 23 2 2 3 2 2 2" xfId="33700" xr:uid="{00000000-0005-0000-0000-0000A9830000}"/>
    <cellStyle name="Style 23 2 2 3 2 2 3" xfId="33701" xr:uid="{00000000-0005-0000-0000-0000AA830000}"/>
    <cellStyle name="Style 23 2 2 3 2 3" xfId="33702" xr:uid="{00000000-0005-0000-0000-0000AB830000}"/>
    <cellStyle name="Style 23 2 2 3 2 3 2" xfId="33703" xr:uid="{00000000-0005-0000-0000-0000AC830000}"/>
    <cellStyle name="Style 23 2 2 3 2 3 3" xfId="33704" xr:uid="{00000000-0005-0000-0000-0000AD830000}"/>
    <cellStyle name="Style 23 2 2 3 2 4" xfId="33705" xr:uid="{00000000-0005-0000-0000-0000AE830000}"/>
    <cellStyle name="Style 23 2 2 3 2 5" xfId="33706" xr:uid="{00000000-0005-0000-0000-0000AF830000}"/>
    <cellStyle name="Style 23 2 2 3 2 6" xfId="33707" xr:uid="{00000000-0005-0000-0000-0000B0830000}"/>
    <cellStyle name="Style 23 2 2 3 3" xfId="33708" xr:uid="{00000000-0005-0000-0000-0000B1830000}"/>
    <cellStyle name="Style 23 2 2 3 3 2" xfId="33709" xr:uid="{00000000-0005-0000-0000-0000B2830000}"/>
    <cellStyle name="Style 23 2 2 3 3 3" xfId="33710" xr:uid="{00000000-0005-0000-0000-0000B3830000}"/>
    <cellStyle name="Style 23 2 2 3 4" xfId="33711" xr:uid="{00000000-0005-0000-0000-0000B4830000}"/>
    <cellStyle name="Style 23 2 2 3 4 2" xfId="33712" xr:uid="{00000000-0005-0000-0000-0000B5830000}"/>
    <cellStyle name="Style 23 2 2 3 4 3" xfId="33713" xr:uid="{00000000-0005-0000-0000-0000B6830000}"/>
    <cellStyle name="Style 23 2 2 3 5" xfId="33714" xr:uid="{00000000-0005-0000-0000-0000B7830000}"/>
    <cellStyle name="Style 23 2 2 3 5 2" xfId="33715" xr:uid="{00000000-0005-0000-0000-0000B8830000}"/>
    <cellStyle name="Style 23 2 2 3 5 3" xfId="33716" xr:uid="{00000000-0005-0000-0000-0000B9830000}"/>
    <cellStyle name="Style 23 2 2 3 6" xfId="33717" xr:uid="{00000000-0005-0000-0000-0000BA830000}"/>
    <cellStyle name="Style 23 2 2 3 7" xfId="33718" xr:uid="{00000000-0005-0000-0000-0000BB830000}"/>
    <cellStyle name="Style 23 2 2 3 8" xfId="33719" xr:uid="{00000000-0005-0000-0000-0000BC830000}"/>
    <cellStyle name="Style 23 2 2 4" xfId="33720" xr:uid="{00000000-0005-0000-0000-0000BD830000}"/>
    <cellStyle name="Style 23 2 2 4 2" xfId="33721" xr:uid="{00000000-0005-0000-0000-0000BE830000}"/>
    <cellStyle name="Style 23 2 2 4 2 2" xfId="33722" xr:uid="{00000000-0005-0000-0000-0000BF830000}"/>
    <cellStyle name="Style 23 2 2 4 2 3" xfId="33723" xr:uid="{00000000-0005-0000-0000-0000C0830000}"/>
    <cellStyle name="Style 23 2 2 4 3" xfId="33724" xr:uid="{00000000-0005-0000-0000-0000C1830000}"/>
    <cellStyle name="Style 23 2 2 4 3 2" xfId="33725" xr:uid="{00000000-0005-0000-0000-0000C2830000}"/>
    <cellStyle name="Style 23 2 2 4 3 3" xfId="33726" xr:uid="{00000000-0005-0000-0000-0000C3830000}"/>
    <cellStyle name="Style 23 2 2 4 4" xfId="33727" xr:uid="{00000000-0005-0000-0000-0000C4830000}"/>
    <cellStyle name="Style 23 2 2 4 5" xfId="33728" xr:uid="{00000000-0005-0000-0000-0000C5830000}"/>
    <cellStyle name="Style 23 2 2 4 6" xfId="33729" xr:uid="{00000000-0005-0000-0000-0000C6830000}"/>
    <cellStyle name="Style 23 2 2 5" xfId="33730" xr:uid="{00000000-0005-0000-0000-0000C7830000}"/>
    <cellStyle name="Style 23 2 2 5 2" xfId="33731" xr:uid="{00000000-0005-0000-0000-0000C8830000}"/>
    <cellStyle name="Style 23 2 2 5 3" xfId="33732" xr:uid="{00000000-0005-0000-0000-0000C9830000}"/>
    <cellStyle name="Style 23 2 2 6" xfId="33733" xr:uid="{00000000-0005-0000-0000-0000CA830000}"/>
    <cellStyle name="Style 23 2 2 6 2" xfId="33734" xr:uid="{00000000-0005-0000-0000-0000CB830000}"/>
    <cellStyle name="Style 23 2 2 6 3" xfId="33735" xr:uid="{00000000-0005-0000-0000-0000CC830000}"/>
    <cellStyle name="Style 23 2 2 7" xfId="33736" xr:uid="{00000000-0005-0000-0000-0000CD830000}"/>
    <cellStyle name="Style 23 2 2 7 2" xfId="33737" xr:uid="{00000000-0005-0000-0000-0000CE830000}"/>
    <cellStyle name="Style 23 2 2 7 3" xfId="33738" xr:uid="{00000000-0005-0000-0000-0000CF830000}"/>
    <cellStyle name="Style 23 2 2 8" xfId="33739" xr:uid="{00000000-0005-0000-0000-0000D0830000}"/>
    <cellStyle name="Style 23 2 2 9" xfId="33740" xr:uid="{00000000-0005-0000-0000-0000D1830000}"/>
    <cellStyle name="Style 23 2 3" xfId="33741" xr:uid="{00000000-0005-0000-0000-0000D2830000}"/>
    <cellStyle name="Style 23 2 3 2" xfId="33742" xr:uid="{00000000-0005-0000-0000-0000D3830000}"/>
    <cellStyle name="Style 23 2 3 2 2" xfId="33743" xr:uid="{00000000-0005-0000-0000-0000D4830000}"/>
    <cellStyle name="Style 23 2 3 2 2 2" xfId="33744" xr:uid="{00000000-0005-0000-0000-0000D5830000}"/>
    <cellStyle name="Style 23 2 3 2 2 3" xfId="33745" xr:uid="{00000000-0005-0000-0000-0000D6830000}"/>
    <cellStyle name="Style 23 2 3 2 3" xfId="33746" xr:uid="{00000000-0005-0000-0000-0000D7830000}"/>
    <cellStyle name="Style 23 2 3 2 3 2" xfId="33747" xr:uid="{00000000-0005-0000-0000-0000D8830000}"/>
    <cellStyle name="Style 23 2 3 2 3 3" xfId="33748" xr:uid="{00000000-0005-0000-0000-0000D9830000}"/>
    <cellStyle name="Style 23 2 3 2 4" xfId="33749" xr:uid="{00000000-0005-0000-0000-0000DA830000}"/>
    <cellStyle name="Style 23 2 3 2 5" xfId="33750" xr:uid="{00000000-0005-0000-0000-0000DB830000}"/>
    <cellStyle name="Style 23 2 3 2 6" xfId="33751" xr:uid="{00000000-0005-0000-0000-0000DC830000}"/>
    <cellStyle name="Style 23 2 3 3" xfId="33752" xr:uid="{00000000-0005-0000-0000-0000DD830000}"/>
    <cellStyle name="Style 23 2 3 3 2" xfId="33753" xr:uid="{00000000-0005-0000-0000-0000DE830000}"/>
    <cellStyle name="Style 23 2 3 3 3" xfId="33754" xr:uid="{00000000-0005-0000-0000-0000DF830000}"/>
    <cellStyle name="Style 23 2 3 4" xfId="33755" xr:uid="{00000000-0005-0000-0000-0000E0830000}"/>
    <cellStyle name="Style 23 2 3 4 2" xfId="33756" xr:uid="{00000000-0005-0000-0000-0000E1830000}"/>
    <cellStyle name="Style 23 2 3 4 3" xfId="33757" xr:uid="{00000000-0005-0000-0000-0000E2830000}"/>
    <cellStyle name="Style 23 2 3 5" xfId="33758" xr:uid="{00000000-0005-0000-0000-0000E3830000}"/>
    <cellStyle name="Style 23 2 3 5 2" xfId="33759" xr:uid="{00000000-0005-0000-0000-0000E4830000}"/>
    <cellStyle name="Style 23 2 3 5 3" xfId="33760" xr:uid="{00000000-0005-0000-0000-0000E5830000}"/>
    <cellStyle name="Style 23 2 3 6" xfId="33761" xr:uid="{00000000-0005-0000-0000-0000E6830000}"/>
    <cellStyle name="Style 23 2 3 7" xfId="33762" xr:uid="{00000000-0005-0000-0000-0000E7830000}"/>
    <cellStyle name="Style 23 2 3 8" xfId="33763" xr:uid="{00000000-0005-0000-0000-0000E8830000}"/>
    <cellStyle name="Style 23 2 4" xfId="33764" xr:uid="{00000000-0005-0000-0000-0000E9830000}"/>
    <cellStyle name="Style 23 2 4 2" xfId="33765" xr:uid="{00000000-0005-0000-0000-0000EA830000}"/>
    <cellStyle name="Style 23 2 4 2 2" xfId="33766" xr:uid="{00000000-0005-0000-0000-0000EB830000}"/>
    <cellStyle name="Style 23 2 4 2 2 2" xfId="33767" xr:uid="{00000000-0005-0000-0000-0000EC830000}"/>
    <cellStyle name="Style 23 2 4 2 2 3" xfId="33768" xr:uid="{00000000-0005-0000-0000-0000ED830000}"/>
    <cellStyle name="Style 23 2 4 2 3" xfId="33769" xr:uid="{00000000-0005-0000-0000-0000EE830000}"/>
    <cellStyle name="Style 23 2 4 2 3 2" xfId="33770" xr:uid="{00000000-0005-0000-0000-0000EF830000}"/>
    <cellStyle name="Style 23 2 4 2 3 3" xfId="33771" xr:uid="{00000000-0005-0000-0000-0000F0830000}"/>
    <cellStyle name="Style 23 2 4 2 4" xfId="33772" xr:uid="{00000000-0005-0000-0000-0000F1830000}"/>
    <cellStyle name="Style 23 2 4 2 5" xfId="33773" xr:uid="{00000000-0005-0000-0000-0000F2830000}"/>
    <cellStyle name="Style 23 2 4 2 6" xfId="33774" xr:uid="{00000000-0005-0000-0000-0000F3830000}"/>
    <cellStyle name="Style 23 2 4 3" xfId="33775" xr:uid="{00000000-0005-0000-0000-0000F4830000}"/>
    <cellStyle name="Style 23 2 4 3 2" xfId="33776" xr:uid="{00000000-0005-0000-0000-0000F5830000}"/>
    <cellStyle name="Style 23 2 4 3 3" xfId="33777" xr:uid="{00000000-0005-0000-0000-0000F6830000}"/>
    <cellStyle name="Style 23 2 4 4" xfId="33778" xr:uid="{00000000-0005-0000-0000-0000F7830000}"/>
    <cellStyle name="Style 23 2 4 4 2" xfId="33779" xr:uid="{00000000-0005-0000-0000-0000F8830000}"/>
    <cellStyle name="Style 23 2 4 4 3" xfId="33780" xr:uid="{00000000-0005-0000-0000-0000F9830000}"/>
    <cellStyle name="Style 23 2 4 5" xfId="33781" xr:uid="{00000000-0005-0000-0000-0000FA830000}"/>
    <cellStyle name="Style 23 2 4 5 2" xfId="33782" xr:uid="{00000000-0005-0000-0000-0000FB830000}"/>
    <cellStyle name="Style 23 2 4 5 3" xfId="33783" xr:uid="{00000000-0005-0000-0000-0000FC830000}"/>
    <cellStyle name="Style 23 2 4 6" xfId="33784" xr:uid="{00000000-0005-0000-0000-0000FD830000}"/>
    <cellStyle name="Style 23 2 4 7" xfId="33785" xr:uid="{00000000-0005-0000-0000-0000FE830000}"/>
    <cellStyle name="Style 23 2 4 8" xfId="33786" xr:uid="{00000000-0005-0000-0000-0000FF830000}"/>
    <cellStyle name="Style 23 2 5" xfId="33787" xr:uid="{00000000-0005-0000-0000-000000840000}"/>
    <cellStyle name="Style 23 2 5 2" xfId="33788" xr:uid="{00000000-0005-0000-0000-000001840000}"/>
    <cellStyle name="Style 23 2 5 2 2" xfId="33789" xr:uid="{00000000-0005-0000-0000-000002840000}"/>
    <cellStyle name="Style 23 2 5 2 2 2" xfId="33790" xr:uid="{00000000-0005-0000-0000-000003840000}"/>
    <cellStyle name="Style 23 2 5 2 2 3" xfId="33791" xr:uid="{00000000-0005-0000-0000-000004840000}"/>
    <cellStyle name="Style 23 2 5 2 3" xfId="33792" xr:uid="{00000000-0005-0000-0000-000005840000}"/>
    <cellStyle name="Style 23 2 5 2 3 2" xfId="33793" xr:uid="{00000000-0005-0000-0000-000006840000}"/>
    <cellStyle name="Style 23 2 5 2 3 3" xfId="33794" xr:uid="{00000000-0005-0000-0000-000007840000}"/>
    <cellStyle name="Style 23 2 5 2 4" xfId="33795" xr:uid="{00000000-0005-0000-0000-000008840000}"/>
    <cellStyle name="Style 23 2 5 2 5" xfId="33796" xr:uid="{00000000-0005-0000-0000-000009840000}"/>
    <cellStyle name="Style 23 2 5 2 6" xfId="33797" xr:uid="{00000000-0005-0000-0000-00000A840000}"/>
    <cellStyle name="Style 23 2 5 3" xfId="33798" xr:uid="{00000000-0005-0000-0000-00000B840000}"/>
    <cellStyle name="Style 23 2 5 3 2" xfId="33799" xr:uid="{00000000-0005-0000-0000-00000C840000}"/>
    <cellStyle name="Style 23 2 5 3 3" xfId="33800" xr:uid="{00000000-0005-0000-0000-00000D840000}"/>
    <cellStyle name="Style 23 2 5 4" xfId="33801" xr:uid="{00000000-0005-0000-0000-00000E840000}"/>
    <cellStyle name="Style 23 2 5 4 2" xfId="33802" xr:uid="{00000000-0005-0000-0000-00000F840000}"/>
    <cellStyle name="Style 23 2 5 4 3" xfId="33803" xr:uid="{00000000-0005-0000-0000-000010840000}"/>
    <cellStyle name="Style 23 2 5 5" xfId="33804" xr:uid="{00000000-0005-0000-0000-000011840000}"/>
    <cellStyle name="Style 23 2 5 5 2" xfId="33805" xr:uid="{00000000-0005-0000-0000-000012840000}"/>
    <cellStyle name="Style 23 2 5 5 3" xfId="33806" xr:uid="{00000000-0005-0000-0000-000013840000}"/>
    <cellStyle name="Style 23 2 5 6" xfId="33807" xr:uid="{00000000-0005-0000-0000-000014840000}"/>
    <cellStyle name="Style 23 2 5 7" xfId="33808" xr:uid="{00000000-0005-0000-0000-000015840000}"/>
    <cellStyle name="Style 23 2 5 8" xfId="33809" xr:uid="{00000000-0005-0000-0000-000016840000}"/>
    <cellStyle name="Style 23 2 6" xfId="33810" xr:uid="{00000000-0005-0000-0000-000017840000}"/>
    <cellStyle name="Style 23 2 6 2" xfId="33811" xr:uid="{00000000-0005-0000-0000-000018840000}"/>
    <cellStyle name="Style 23 2 6 2 2" xfId="33812" xr:uid="{00000000-0005-0000-0000-000019840000}"/>
    <cellStyle name="Style 23 2 6 2 3" xfId="33813" xr:uid="{00000000-0005-0000-0000-00001A840000}"/>
    <cellStyle name="Style 23 2 6 3" xfId="33814" xr:uid="{00000000-0005-0000-0000-00001B840000}"/>
    <cellStyle name="Style 23 2 6 3 2" xfId="33815" xr:uid="{00000000-0005-0000-0000-00001C840000}"/>
    <cellStyle name="Style 23 2 6 3 3" xfId="33816" xr:uid="{00000000-0005-0000-0000-00001D840000}"/>
    <cellStyle name="Style 23 2 6 4" xfId="33817" xr:uid="{00000000-0005-0000-0000-00001E840000}"/>
    <cellStyle name="Style 23 2 6 5" xfId="33818" xr:uid="{00000000-0005-0000-0000-00001F840000}"/>
    <cellStyle name="Style 23 2 6 6" xfId="33819" xr:uid="{00000000-0005-0000-0000-000020840000}"/>
    <cellStyle name="Style 23 2 7" xfId="33820" xr:uid="{00000000-0005-0000-0000-000021840000}"/>
    <cellStyle name="Style 23 2 7 2" xfId="33821" xr:uid="{00000000-0005-0000-0000-000022840000}"/>
    <cellStyle name="Style 23 2 7 3" xfId="33822" xr:uid="{00000000-0005-0000-0000-000023840000}"/>
    <cellStyle name="Style 23 2 8" xfId="33823" xr:uid="{00000000-0005-0000-0000-000024840000}"/>
    <cellStyle name="Style 23 2 8 2" xfId="33824" xr:uid="{00000000-0005-0000-0000-000025840000}"/>
    <cellStyle name="Style 23 2 8 3" xfId="33825" xr:uid="{00000000-0005-0000-0000-000026840000}"/>
    <cellStyle name="Style 23 2 9" xfId="33826" xr:uid="{00000000-0005-0000-0000-000027840000}"/>
    <cellStyle name="Style 23 2 9 2" xfId="33827" xr:uid="{00000000-0005-0000-0000-000028840000}"/>
    <cellStyle name="Style 23 2 9 3" xfId="33828" xr:uid="{00000000-0005-0000-0000-000029840000}"/>
    <cellStyle name="Style 23 20" xfId="33829" xr:uid="{00000000-0005-0000-0000-00002A840000}"/>
    <cellStyle name="Style 23 21" xfId="33830" xr:uid="{00000000-0005-0000-0000-00002B840000}"/>
    <cellStyle name="Style 23 22" xfId="33831" xr:uid="{00000000-0005-0000-0000-00002C840000}"/>
    <cellStyle name="Style 23 3" xfId="33832" xr:uid="{00000000-0005-0000-0000-00002D840000}"/>
    <cellStyle name="Style 23 3 10" xfId="33833" xr:uid="{00000000-0005-0000-0000-00002E840000}"/>
    <cellStyle name="Style 23 3 11" xfId="33834" xr:uid="{00000000-0005-0000-0000-00002F840000}"/>
    <cellStyle name="Style 23 3 12" xfId="33835" xr:uid="{00000000-0005-0000-0000-000030840000}"/>
    <cellStyle name="Style 23 3 2" xfId="33836" xr:uid="{00000000-0005-0000-0000-000031840000}"/>
    <cellStyle name="Style 23 3 2 10" xfId="33837" xr:uid="{00000000-0005-0000-0000-000032840000}"/>
    <cellStyle name="Style 23 3 2 2" xfId="33838" xr:uid="{00000000-0005-0000-0000-000033840000}"/>
    <cellStyle name="Style 23 3 2 2 2" xfId="33839" xr:uid="{00000000-0005-0000-0000-000034840000}"/>
    <cellStyle name="Style 23 3 2 2 2 2" xfId="33840" xr:uid="{00000000-0005-0000-0000-000035840000}"/>
    <cellStyle name="Style 23 3 2 2 2 2 2" xfId="33841" xr:uid="{00000000-0005-0000-0000-000036840000}"/>
    <cellStyle name="Style 23 3 2 2 2 2 3" xfId="33842" xr:uid="{00000000-0005-0000-0000-000037840000}"/>
    <cellStyle name="Style 23 3 2 2 2 3" xfId="33843" xr:uid="{00000000-0005-0000-0000-000038840000}"/>
    <cellStyle name="Style 23 3 2 2 2 3 2" xfId="33844" xr:uid="{00000000-0005-0000-0000-000039840000}"/>
    <cellStyle name="Style 23 3 2 2 2 3 3" xfId="33845" xr:uid="{00000000-0005-0000-0000-00003A840000}"/>
    <cellStyle name="Style 23 3 2 2 2 4" xfId="33846" xr:uid="{00000000-0005-0000-0000-00003B840000}"/>
    <cellStyle name="Style 23 3 2 2 2 5" xfId="33847" xr:uid="{00000000-0005-0000-0000-00003C840000}"/>
    <cellStyle name="Style 23 3 2 2 2 6" xfId="33848" xr:uid="{00000000-0005-0000-0000-00003D840000}"/>
    <cellStyle name="Style 23 3 2 2 3" xfId="33849" xr:uid="{00000000-0005-0000-0000-00003E840000}"/>
    <cellStyle name="Style 23 3 2 2 3 2" xfId="33850" xr:uid="{00000000-0005-0000-0000-00003F840000}"/>
    <cellStyle name="Style 23 3 2 2 3 3" xfId="33851" xr:uid="{00000000-0005-0000-0000-000040840000}"/>
    <cellStyle name="Style 23 3 2 2 4" xfId="33852" xr:uid="{00000000-0005-0000-0000-000041840000}"/>
    <cellStyle name="Style 23 3 2 2 4 2" xfId="33853" xr:uid="{00000000-0005-0000-0000-000042840000}"/>
    <cellStyle name="Style 23 3 2 2 4 3" xfId="33854" xr:uid="{00000000-0005-0000-0000-000043840000}"/>
    <cellStyle name="Style 23 3 2 2 5" xfId="33855" xr:uid="{00000000-0005-0000-0000-000044840000}"/>
    <cellStyle name="Style 23 3 2 2 5 2" xfId="33856" xr:uid="{00000000-0005-0000-0000-000045840000}"/>
    <cellStyle name="Style 23 3 2 2 5 3" xfId="33857" xr:uid="{00000000-0005-0000-0000-000046840000}"/>
    <cellStyle name="Style 23 3 2 2 6" xfId="33858" xr:uid="{00000000-0005-0000-0000-000047840000}"/>
    <cellStyle name="Style 23 3 2 2 7" xfId="33859" xr:uid="{00000000-0005-0000-0000-000048840000}"/>
    <cellStyle name="Style 23 3 2 2 8" xfId="33860" xr:uid="{00000000-0005-0000-0000-000049840000}"/>
    <cellStyle name="Style 23 3 2 3" xfId="33861" xr:uid="{00000000-0005-0000-0000-00004A840000}"/>
    <cellStyle name="Style 23 3 2 3 2" xfId="33862" xr:uid="{00000000-0005-0000-0000-00004B840000}"/>
    <cellStyle name="Style 23 3 2 3 2 2" xfId="33863" xr:uid="{00000000-0005-0000-0000-00004C840000}"/>
    <cellStyle name="Style 23 3 2 3 2 2 2" xfId="33864" xr:uid="{00000000-0005-0000-0000-00004D840000}"/>
    <cellStyle name="Style 23 3 2 3 2 2 3" xfId="33865" xr:uid="{00000000-0005-0000-0000-00004E840000}"/>
    <cellStyle name="Style 23 3 2 3 2 3" xfId="33866" xr:uid="{00000000-0005-0000-0000-00004F840000}"/>
    <cellStyle name="Style 23 3 2 3 2 3 2" xfId="33867" xr:uid="{00000000-0005-0000-0000-000050840000}"/>
    <cellStyle name="Style 23 3 2 3 2 3 3" xfId="33868" xr:uid="{00000000-0005-0000-0000-000051840000}"/>
    <cellStyle name="Style 23 3 2 3 2 4" xfId="33869" xr:uid="{00000000-0005-0000-0000-000052840000}"/>
    <cellStyle name="Style 23 3 2 3 2 5" xfId="33870" xr:uid="{00000000-0005-0000-0000-000053840000}"/>
    <cellStyle name="Style 23 3 2 3 2 6" xfId="33871" xr:uid="{00000000-0005-0000-0000-000054840000}"/>
    <cellStyle name="Style 23 3 2 3 3" xfId="33872" xr:uid="{00000000-0005-0000-0000-000055840000}"/>
    <cellStyle name="Style 23 3 2 3 3 2" xfId="33873" xr:uid="{00000000-0005-0000-0000-000056840000}"/>
    <cellStyle name="Style 23 3 2 3 3 3" xfId="33874" xr:uid="{00000000-0005-0000-0000-000057840000}"/>
    <cellStyle name="Style 23 3 2 3 4" xfId="33875" xr:uid="{00000000-0005-0000-0000-000058840000}"/>
    <cellStyle name="Style 23 3 2 3 4 2" xfId="33876" xr:uid="{00000000-0005-0000-0000-000059840000}"/>
    <cellStyle name="Style 23 3 2 3 4 3" xfId="33877" xr:uid="{00000000-0005-0000-0000-00005A840000}"/>
    <cellStyle name="Style 23 3 2 3 5" xfId="33878" xr:uid="{00000000-0005-0000-0000-00005B840000}"/>
    <cellStyle name="Style 23 3 2 3 5 2" xfId="33879" xr:uid="{00000000-0005-0000-0000-00005C840000}"/>
    <cellStyle name="Style 23 3 2 3 5 3" xfId="33880" xr:uid="{00000000-0005-0000-0000-00005D840000}"/>
    <cellStyle name="Style 23 3 2 3 6" xfId="33881" xr:uid="{00000000-0005-0000-0000-00005E840000}"/>
    <cellStyle name="Style 23 3 2 3 7" xfId="33882" xr:uid="{00000000-0005-0000-0000-00005F840000}"/>
    <cellStyle name="Style 23 3 2 3 8" xfId="33883" xr:uid="{00000000-0005-0000-0000-000060840000}"/>
    <cellStyle name="Style 23 3 2 4" xfId="33884" xr:uid="{00000000-0005-0000-0000-000061840000}"/>
    <cellStyle name="Style 23 3 2 4 2" xfId="33885" xr:uid="{00000000-0005-0000-0000-000062840000}"/>
    <cellStyle name="Style 23 3 2 4 2 2" xfId="33886" xr:uid="{00000000-0005-0000-0000-000063840000}"/>
    <cellStyle name="Style 23 3 2 4 2 3" xfId="33887" xr:uid="{00000000-0005-0000-0000-000064840000}"/>
    <cellStyle name="Style 23 3 2 4 3" xfId="33888" xr:uid="{00000000-0005-0000-0000-000065840000}"/>
    <cellStyle name="Style 23 3 2 4 3 2" xfId="33889" xr:uid="{00000000-0005-0000-0000-000066840000}"/>
    <cellStyle name="Style 23 3 2 4 3 3" xfId="33890" xr:uid="{00000000-0005-0000-0000-000067840000}"/>
    <cellStyle name="Style 23 3 2 4 4" xfId="33891" xr:uid="{00000000-0005-0000-0000-000068840000}"/>
    <cellStyle name="Style 23 3 2 4 5" xfId="33892" xr:uid="{00000000-0005-0000-0000-000069840000}"/>
    <cellStyle name="Style 23 3 2 4 6" xfId="33893" xr:uid="{00000000-0005-0000-0000-00006A840000}"/>
    <cellStyle name="Style 23 3 2 5" xfId="33894" xr:uid="{00000000-0005-0000-0000-00006B840000}"/>
    <cellStyle name="Style 23 3 2 5 2" xfId="33895" xr:uid="{00000000-0005-0000-0000-00006C840000}"/>
    <cellStyle name="Style 23 3 2 5 3" xfId="33896" xr:uid="{00000000-0005-0000-0000-00006D840000}"/>
    <cellStyle name="Style 23 3 2 6" xfId="33897" xr:uid="{00000000-0005-0000-0000-00006E840000}"/>
    <cellStyle name="Style 23 3 2 6 2" xfId="33898" xr:uid="{00000000-0005-0000-0000-00006F840000}"/>
    <cellStyle name="Style 23 3 2 6 3" xfId="33899" xr:uid="{00000000-0005-0000-0000-000070840000}"/>
    <cellStyle name="Style 23 3 2 7" xfId="33900" xr:uid="{00000000-0005-0000-0000-000071840000}"/>
    <cellStyle name="Style 23 3 2 7 2" xfId="33901" xr:uid="{00000000-0005-0000-0000-000072840000}"/>
    <cellStyle name="Style 23 3 2 7 3" xfId="33902" xr:uid="{00000000-0005-0000-0000-000073840000}"/>
    <cellStyle name="Style 23 3 2 8" xfId="33903" xr:uid="{00000000-0005-0000-0000-000074840000}"/>
    <cellStyle name="Style 23 3 2 9" xfId="33904" xr:uid="{00000000-0005-0000-0000-000075840000}"/>
    <cellStyle name="Style 23 3 3" xfId="33905" xr:uid="{00000000-0005-0000-0000-000076840000}"/>
    <cellStyle name="Style 23 3 3 2" xfId="33906" xr:uid="{00000000-0005-0000-0000-000077840000}"/>
    <cellStyle name="Style 23 3 3 2 2" xfId="33907" xr:uid="{00000000-0005-0000-0000-000078840000}"/>
    <cellStyle name="Style 23 3 3 2 2 2" xfId="33908" xr:uid="{00000000-0005-0000-0000-000079840000}"/>
    <cellStyle name="Style 23 3 3 2 2 3" xfId="33909" xr:uid="{00000000-0005-0000-0000-00007A840000}"/>
    <cellStyle name="Style 23 3 3 2 3" xfId="33910" xr:uid="{00000000-0005-0000-0000-00007B840000}"/>
    <cellStyle name="Style 23 3 3 2 3 2" xfId="33911" xr:uid="{00000000-0005-0000-0000-00007C840000}"/>
    <cellStyle name="Style 23 3 3 2 3 3" xfId="33912" xr:uid="{00000000-0005-0000-0000-00007D840000}"/>
    <cellStyle name="Style 23 3 3 2 4" xfId="33913" xr:uid="{00000000-0005-0000-0000-00007E840000}"/>
    <cellStyle name="Style 23 3 3 2 5" xfId="33914" xr:uid="{00000000-0005-0000-0000-00007F840000}"/>
    <cellStyle name="Style 23 3 3 2 6" xfId="33915" xr:uid="{00000000-0005-0000-0000-000080840000}"/>
    <cellStyle name="Style 23 3 3 3" xfId="33916" xr:uid="{00000000-0005-0000-0000-000081840000}"/>
    <cellStyle name="Style 23 3 3 3 2" xfId="33917" xr:uid="{00000000-0005-0000-0000-000082840000}"/>
    <cellStyle name="Style 23 3 3 3 3" xfId="33918" xr:uid="{00000000-0005-0000-0000-000083840000}"/>
    <cellStyle name="Style 23 3 3 4" xfId="33919" xr:uid="{00000000-0005-0000-0000-000084840000}"/>
    <cellStyle name="Style 23 3 3 4 2" xfId="33920" xr:uid="{00000000-0005-0000-0000-000085840000}"/>
    <cellStyle name="Style 23 3 3 4 3" xfId="33921" xr:uid="{00000000-0005-0000-0000-000086840000}"/>
    <cellStyle name="Style 23 3 3 5" xfId="33922" xr:uid="{00000000-0005-0000-0000-000087840000}"/>
    <cellStyle name="Style 23 3 3 5 2" xfId="33923" xr:uid="{00000000-0005-0000-0000-000088840000}"/>
    <cellStyle name="Style 23 3 3 5 3" xfId="33924" xr:uid="{00000000-0005-0000-0000-000089840000}"/>
    <cellStyle name="Style 23 3 3 6" xfId="33925" xr:uid="{00000000-0005-0000-0000-00008A840000}"/>
    <cellStyle name="Style 23 3 3 7" xfId="33926" xr:uid="{00000000-0005-0000-0000-00008B840000}"/>
    <cellStyle name="Style 23 3 3 8" xfId="33927" xr:uid="{00000000-0005-0000-0000-00008C840000}"/>
    <cellStyle name="Style 23 3 4" xfId="33928" xr:uid="{00000000-0005-0000-0000-00008D840000}"/>
    <cellStyle name="Style 23 3 4 2" xfId="33929" xr:uid="{00000000-0005-0000-0000-00008E840000}"/>
    <cellStyle name="Style 23 3 4 2 2" xfId="33930" xr:uid="{00000000-0005-0000-0000-00008F840000}"/>
    <cellStyle name="Style 23 3 4 2 2 2" xfId="33931" xr:uid="{00000000-0005-0000-0000-000090840000}"/>
    <cellStyle name="Style 23 3 4 2 2 3" xfId="33932" xr:uid="{00000000-0005-0000-0000-000091840000}"/>
    <cellStyle name="Style 23 3 4 2 3" xfId="33933" xr:uid="{00000000-0005-0000-0000-000092840000}"/>
    <cellStyle name="Style 23 3 4 2 3 2" xfId="33934" xr:uid="{00000000-0005-0000-0000-000093840000}"/>
    <cellStyle name="Style 23 3 4 2 3 3" xfId="33935" xr:uid="{00000000-0005-0000-0000-000094840000}"/>
    <cellStyle name="Style 23 3 4 2 4" xfId="33936" xr:uid="{00000000-0005-0000-0000-000095840000}"/>
    <cellStyle name="Style 23 3 4 2 5" xfId="33937" xr:uid="{00000000-0005-0000-0000-000096840000}"/>
    <cellStyle name="Style 23 3 4 2 6" xfId="33938" xr:uid="{00000000-0005-0000-0000-000097840000}"/>
    <cellStyle name="Style 23 3 4 3" xfId="33939" xr:uid="{00000000-0005-0000-0000-000098840000}"/>
    <cellStyle name="Style 23 3 4 3 2" xfId="33940" xr:uid="{00000000-0005-0000-0000-000099840000}"/>
    <cellStyle name="Style 23 3 4 3 3" xfId="33941" xr:uid="{00000000-0005-0000-0000-00009A840000}"/>
    <cellStyle name="Style 23 3 4 4" xfId="33942" xr:uid="{00000000-0005-0000-0000-00009B840000}"/>
    <cellStyle name="Style 23 3 4 4 2" xfId="33943" xr:uid="{00000000-0005-0000-0000-00009C840000}"/>
    <cellStyle name="Style 23 3 4 4 3" xfId="33944" xr:uid="{00000000-0005-0000-0000-00009D840000}"/>
    <cellStyle name="Style 23 3 4 5" xfId="33945" xr:uid="{00000000-0005-0000-0000-00009E840000}"/>
    <cellStyle name="Style 23 3 4 5 2" xfId="33946" xr:uid="{00000000-0005-0000-0000-00009F840000}"/>
    <cellStyle name="Style 23 3 4 5 3" xfId="33947" xr:uid="{00000000-0005-0000-0000-0000A0840000}"/>
    <cellStyle name="Style 23 3 4 6" xfId="33948" xr:uid="{00000000-0005-0000-0000-0000A1840000}"/>
    <cellStyle name="Style 23 3 4 7" xfId="33949" xr:uid="{00000000-0005-0000-0000-0000A2840000}"/>
    <cellStyle name="Style 23 3 4 8" xfId="33950" xr:uid="{00000000-0005-0000-0000-0000A3840000}"/>
    <cellStyle name="Style 23 3 5" xfId="33951" xr:uid="{00000000-0005-0000-0000-0000A4840000}"/>
    <cellStyle name="Style 23 3 5 2" xfId="33952" xr:uid="{00000000-0005-0000-0000-0000A5840000}"/>
    <cellStyle name="Style 23 3 5 2 2" xfId="33953" xr:uid="{00000000-0005-0000-0000-0000A6840000}"/>
    <cellStyle name="Style 23 3 5 2 2 2" xfId="33954" xr:uid="{00000000-0005-0000-0000-0000A7840000}"/>
    <cellStyle name="Style 23 3 5 2 2 3" xfId="33955" xr:uid="{00000000-0005-0000-0000-0000A8840000}"/>
    <cellStyle name="Style 23 3 5 2 3" xfId="33956" xr:uid="{00000000-0005-0000-0000-0000A9840000}"/>
    <cellStyle name="Style 23 3 5 2 3 2" xfId="33957" xr:uid="{00000000-0005-0000-0000-0000AA840000}"/>
    <cellStyle name="Style 23 3 5 2 3 3" xfId="33958" xr:uid="{00000000-0005-0000-0000-0000AB840000}"/>
    <cellStyle name="Style 23 3 5 2 4" xfId="33959" xr:uid="{00000000-0005-0000-0000-0000AC840000}"/>
    <cellStyle name="Style 23 3 5 2 5" xfId="33960" xr:uid="{00000000-0005-0000-0000-0000AD840000}"/>
    <cellStyle name="Style 23 3 5 2 6" xfId="33961" xr:uid="{00000000-0005-0000-0000-0000AE840000}"/>
    <cellStyle name="Style 23 3 5 3" xfId="33962" xr:uid="{00000000-0005-0000-0000-0000AF840000}"/>
    <cellStyle name="Style 23 3 5 3 2" xfId="33963" xr:uid="{00000000-0005-0000-0000-0000B0840000}"/>
    <cellStyle name="Style 23 3 5 3 3" xfId="33964" xr:uid="{00000000-0005-0000-0000-0000B1840000}"/>
    <cellStyle name="Style 23 3 5 4" xfId="33965" xr:uid="{00000000-0005-0000-0000-0000B2840000}"/>
    <cellStyle name="Style 23 3 5 4 2" xfId="33966" xr:uid="{00000000-0005-0000-0000-0000B3840000}"/>
    <cellStyle name="Style 23 3 5 4 3" xfId="33967" xr:uid="{00000000-0005-0000-0000-0000B4840000}"/>
    <cellStyle name="Style 23 3 5 5" xfId="33968" xr:uid="{00000000-0005-0000-0000-0000B5840000}"/>
    <cellStyle name="Style 23 3 5 5 2" xfId="33969" xr:uid="{00000000-0005-0000-0000-0000B6840000}"/>
    <cellStyle name="Style 23 3 5 5 3" xfId="33970" xr:uid="{00000000-0005-0000-0000-0000B7840000}"/>
    <cellStyle name="Style 23 3 5 6" xfId="33971" xr:uid="{00000000-0005-0000-0000-0000B8840000}"/>
    <cellStyle name="Style 23 3 5 7" xfId="33972" xr:uid="{00000000-0005-0000-0000-0000B9840000}"/>
    <cellStyle name="Style 23 3 5 8" xfId="33973" xr:uid="{00000000-0005-0000-0000-0000BA840000}"/>
    <cellStyle name="Style 23 3 6" xfId="33974" xr:uid="{00000000-0005-0000-0000-0000BB840000}"/>
    <cellStyle name="Style 23 3 6 2" xfId="33975" xr:uid="{00000000-0005-0000-0000-0000BC840000}"/>
    <cellStyle name="Style 23 3 6 2 2" xfId="33976" xr:uid="{00000000-0005-0000-0000-0000BD840000}"/>
    <cellStyle name="Style 23 3 6 2 3" xfId="33977" xr:uid="{00000000-0005-0000-0000-0000BE840000}"/>
    <cellStyle name="Style 23 3 6 3" xfId="33978" xr:uid="{00000000-0005-0000-0000-0000BF840000}"/>
    <cellStyle name="Style 23 3 6 3 2" xfId="33979" xr:uid="{00000000-0005-0000-0000-0000C0840000}"/>
    <cellStyle name="Style 23 3 6 3 3" xfId="33980" xr:uid="{00000000-0005-0000-0000-0000C1840000}"/>
    <cellStyle name="Style 23 3 6 4" xfId="33981" xr:uid="{00000000-0005-0000-0000-0000C2840000}"/>
    <cellStyle name="Style 23 3 6 5" xfId="33982" xr:uid="{00000000-0005-0000-0000-0000C3840000}"/>
    <cellStyle name="Style 23 3 6 6" xfId="33983" xr:uid="{00000000-0005-0000-0000-0000C4840000}"/>
    <cellStyle name="Style 23 3 7" xfId="33984" xr:uid="{00000000-0005-0000-0000-0000C5840000}"/>
    <cellStyle name="Style 23 3 7 2" xfId="33985" xr:uid="{00000000-0005-0000-0000-0000C6840000}"/>
    <cellStyle name="Style 23 3 7 3" xfId="33986" xr:uid="{00000000-0005-0000-0000-0000C7840000}"/>
    <cellStyle name="Style 23 3 8" xfId="33987" xr:uid="{00000000-0005-0000-0000-0000C8840000}"/>
    <cellStyle name="Style 23 3 8 2" xfId="33988" xr:uid="{00000000-0005-0000-0000-0000C9840000}"/>
    <cellStyle name="Style 23 3 8 3" xfId="33989" xr:uid="{00000000-0005-0000-0000-0000CA840000}"/>
    <cellStyle name="Style 23 3 9" xfId="33990" xr:uid="{00000000-0005-0000-0000-0000CB840000}"/>
    <cellStyle name="Style 23 3 9 2" xfId="33991" xr:uid="{00000000-0005-0000-0000-0000CC840000}"/>
    <cellStyle name="Style 23 3 9 3" xfId="33992" xr:uid="{00000000-0005-0000-0000-0000CD840000}"/>
    <cellStyle name="Style 23 4" xfId="33993" xr:uid="{00000000-0005-0000-0000-0000CE840000}"/>
    <cellStyle name="Style 23 4 10" xfId="33994" xr:uid="{00000000-0005-0000-0000-0000CF840000}"/>
    <cellStyle name="Style 23 4 11" xfId="33995" xr:uid="{00000000-0005-0000-0000-0000D0840000}"/>
    <cellStyle name="Style 23 4 12" xfId="33996" xr:uid="{00000000-0005-0000-0000-0000D1840000}"/>
    <cellStyle name="Style 23 4 2" xfId="33997" xr:uid="{00000000-0005-0000-0000-0000D2840000}"/>
    <cellStyle name="Style 23 4 2 10" xfId="33998" xr:uid="{00000000-0005-0000-0000-0000D3840000}"/>
    <cellStyle name="Style 23 4 2 2" xfId="33999" xr:uid="{00000000-0005-0000-0000-0000D4840000}"/>
    <cellStyle name="Style 23 4 2 2 2" xfId="34000" xr:uid="{00000000-0005-0000-0000-0000D5840000}"/>
    <cellStyle name="Style 23 4 2 2 2 2" xfId="34001" xr:uid="{00000000-0005-0000-0000-0000D6840000}"/>
    <cellStyle name="Style 23 4 2 2 2 2 2" xfId="34002" xr:uid="{00000000-0005-0000-0000-0000D7840000}"/>
    <cellStyle name="Style 23 4 2 2 2 2 3" xfId="34003" xr:uid="{00000000-0005-0000-0000-0000D8840000}"/>
    <cellStyle name="Style 23 4 2 2 2 3" xfId="34004" xr:uid="{00000000-0005-0000-0000-0000D9840000}"/>
    <cellStyle name="Style 23 4 2 2 2 3 2" xfId="34005" xr:uid="{00000000-0005-0000-0000-0000DA840000}"/>
    <cellStyle name="Style 23 4 2 2 2 3 3" xfId="34006" xr:uid="{00000000-0005-0000-0000-0000DB840000}"/>
    <cellStyle name="Style 23 4 2 2 2 4" xfId="34007" xr:uid="{00000000-0005-0000-0000-0000DC840000}"/>
    <cellStyle name="Style 23 4 2 2 2 5" xfId="34008" xr:uid="{00000000-0005-0000-0000-0000DD840000}"/>
    <cellStyle name="Style 23 4 2 2 2 6" xfId="34009" xr:uid="{00000000-0005-0000-0000-0000DE840000}"/>
    <cellStyle name="Style 23 4 2 2 3" xfId="34010" xr:uid="{00000000-0005-0000-0000-0000DF840000}"/>
    <cellStyle name="Style 23 4 2 2 3 2" xfId="34011" xr:uid="{00000000-0005-0000-0000-0000E0840000}"/>
    <cellStyle name="Style 23 4 2 2 3 3" xfId="34012" xr:uid="{00000000-0005-0000-0000-0000E1840000}"/>
    <cellStyle name="Style 23 4 2 2 4" xfId="34013" xr:uid="{00000000-0005-0000-0000-0000E2840000}"/>
    <cellStyle name="Style 23 4 2 2 4 2" xfId="34014" xr:uid="{00000000-0005-0000-0000-0000E3840000}"/>
    <cellStyle name="Style 23 4 2 2 4 3" xfId="34015" xr:uid="{00000000-0005-0000-0000-0000E4840000}"/>
    <cellStyle name="Style 23 4 2 2 5" xfId="34016" xr:uid="{00000000-0005-0000-0000-0000E5840000}"/>
    <cellStyle name="Style 23 4 2 2 5 2" xfId="34017" xr:uid="{00000000-0005-0000-0000-0000E6840000}"/>
    <cellStyle name="Style 23 4 2 2 5 3" xfId="34018" xr:uid="{00000000-0005-0000-0000-0000E7840000}"/>
    <cellStyle name="Style 23 4 2 2 6" xfId="34019" xr:uid="{00000000-0005-0000-0000-0000E8840000}"/>
    <cellStyle name="Style 23 4 2 2 7" xfId="34020" xr:uid="{00000000-0005-0000-0000-0000E9840000}"/>
    <cellStyle name="Style 23 4 2 2 8" xfId="34021" xr:uid="{00000000-0005-0000-0000-0000EA840000}"/>
    <cellStyle name="Style 23 4 2 3" xfId="34022" xr:uid="{00000000-0005-0000-0000-0000EB840000}"/>
    <cellStyle name="Style 23 4 2 3 2" xfId="34023" xr:uid="{00000000-0005-0000-0000-0000EC840000}"/>
    <cellStyle name="Style 23 4 2 3 2 2" xfId="34024" xr:uid="{00000000-0005-0000-0000-0000ED840000}"/>
    <cellStyle name="Style 23 4 2 3 2 2 2" xfId="34025" xr:uid="{00000000-0005-0000-0000-0000EE840000}"/>
    <cellStyle name="Style 23 4 2 3 2 2 3" xfId="34026" xr:uid="{00000000-0005-0000-0000-0000EF840000}"/>
    <cellStyle name="Style 23 4 2 3 2 3" xfId="34027" xr:uid="{00000000-0005-0000-0000-0000F0840000}"/>
    <cellStyle name="Style 23 4 2 3 2 3 2" xfId="34028" xr:uid="{00000000-0005-0000-0000-0000F1840000}"/>
    <cellStyle name="Style 23 4 2 3 2 3 3" xfId="34029" xr:uid="{00000000-0005-0000-0000-0000F2840000}"/>
    <cellStyle name="Style 23 4 2 3 2 4" xfId="34030" xr:uid="{00000000-0005-0000-0000-0000F3840000}"/>
    <cellStyle name="Style 23 4 2 3 2 5" xfId="34031" xr:uid="{00000000-0005-0000-0000-0000F4840000}"/>
    <cellStyle name="Style 23 4 2 3 2 6" xfId="34032" xr:uid="{00000000-0005-0000-0000-0000F5840000}"/>
    <cellStyle name="Style 23 4 2 3 3" xfId="34033" xr:uid="{00000000-0005-0000-0000-0000F6840000}"/>
    <cellStyle name="Style 23 4 2 3 3 2" xfId="34034" xr:uid="{00000000-0005-0000-0000-0000F7840000}"/>
    <cellStyle name="Style 23 4 2 3 3 3" xfId="34035" xr:uid="{00000000-0005-0000-0000-0000F8840000}"/>
    <cellStyle name="Style 23 4 2 3 4" xfId="34036" xr:uid="{00000000-0005-0000-0000-0000F9840000}"/>
    <cellStyle name="Style 23 4 2 3 4 2" xfId="34037" xr:uid="{00000000-0005-0000-0000-0000FA840000}"/>
    <cellStyle name="Style 23 4 2 3 4 3" xfId="34038" xr:uid="{00000000-0005-0000-0000-0000FB840000}"/>
    <cellStyle name="Style 23 4 2 3 5" xfId="34039" xr:uid="{00000000-0005-0000-0000-0000FC840000}"/>
    <cellStyle name="Style 23 4 2 3 5 2" xfId="34040" xr:uid="{00000000-0005-0000-0000-0000FD840000}"/>
    <cellStyle name="Style 23 4 2 3 5 3" xfId="34041" xr:uid="{00000000-0005-0000-0000-0000FE840000}"/>
    <cellStyle name="Style 23 4 2 3 6" xfId="34042" xr:uid="{00000000-0005-0000-0000-0000FF840000}"/>
    <cellStyle name="Style 23 4 2 3 7" xfId="34043" xr:uid="{00000000-0005-0000-0000-000000850000}"/>
    <cellStyle name="Style 23 4 2 3 8" xfId="34044" xr:uid="{00000000-0005-0000-0000-000001850000}"/>
    <cellStyle name="Style 23 4 2 4" xfId="34045" xr:uid="{00000000-0005-0000-0000-000002850000}"/>
    <cellStyle name="Style 23 4 2 4 2" xfId="34046" xr:uid="{00000000-0005-0000-0000-000003850000}"/>
    <cellStyle name="Style 23 4 2 4 2 2" xfId="34047" xr:uid="{00000000-0005-0000-0000-000004850000}"/>
    <cellStyle name="Style 23 4 2 4 2 3" xfId="34048" xr:uid="{00000000-0005-0000-0000-000005850000}"/>
    <cellStyle name="Style 23 4 2 4 3" xfId="34049" xr:uid="{00000000-0005-0000-0000-000006850000}"/>
    <cellStyle name="Style 23 4 2 4 3 2" xfId="34050" xr:uid="{00000000-0005-0000-0000-000007850000}"/>
    <cellStyle name="Style 23 4 2 4 3 3" xfId="34051" xr:uid="{00000000-0005-0000-0000-000008850000}"/>
    <cellStyle name="Style 23 4 2 4 4" xfId="34052" xr:uid="{00000000-0005-0000-0000-000009850000}"/>
    <cellStyle name="Style 23 4 2 4 5" xfId="34053" xr:uid="{00000000-0005-0000-0000-00000A850000}"/>
    <cellStyle name="Style 23 4 2 4 6" xfId="34054" xr:uid="{00000000-0005-0000-0000-00000B850000}"/>
    <cellStyle name="Style 23 4 2 5" xfId="34055" xr:uid="{00000000-0005-0000-0000-00000C850000}"/>
    <cellStyle name="Style 23 4 2 5 2" xfId="34056" xr:uid="{00000000-0005-0000-0000-00000D850000}"/>
    <cellStyle name="Style 23 4 2 5 3" xfId="34057" xr:uid="{00000000-0005-0000-0000-00000E850000}"/>
    <cellStyle name="Style 23 4 2 6" xfId="34058" xr:uid="{00000000-0005-0000-0000-00000F850000}"/>
    <cellStyle name="Style 23 4 2 6 2" xfId="34059" xr:uid="{00000000-0005-0000-0000-000010850000}"/>
    <cellStyle name="Style 23 4 2 6 3" xfId="34060" xr:uid="{00000000-0005-0000-0000-000011850000}"/>
    <cellStyle name="Style 23 4 2 7" xfId="34061" xr:uid="{00000000-0005-0000-0000-000012850000}"/>
    <cellStyle name="Style 23 4 2 7 2" xfId="34062" xr:uid="{00000000-0005-0000-0000-000013850000}"/>
    <cellStyle name="Style 23 4 2 7 3" xfId="34063" xr:uid="{00000000-0005-0000-0000-000014850000}"/>
    <cellStyle name="Style 23 4 2 8" xfId="34064" xr:uid="{00000000-0005-0000-0000-000015850000}"/>
    <cellStyle name="Style 23 4 2 9" xfId="34065" xr:uid="{00000000-0005-0000-0000-000016850000}"/>
    <cellStyle name="Style 23 4 3" xfId="34066" xr:uid="{00000000-0005-0000-0000-000017850000}"/>
    <cellStyle name="Style 23 4 3 2" xfId="34067" xr:uid="{00000000-0005-0000-0000-000018850000}"/>
    <cellStyle name="Style 23 4 3 2 2" xfId="34068" xr:uid="{00000000-0005-0000-0000-000019850000}"/>
    <cellStyle name="Style 23 4 3 2 2 2" xfId="34069" xr:uid="{00000000-0005-0000-0000-00001A850000}"/>
    <cellStyle name="Style 23 4 3 2 2 3" xfId="34070" xr:uid="{00000000-0005-0000-0000-00001B850000}"/>
    <cellStyle name="Style 23 4 3 2 3" xfId="34071" xr:uid="{00000000-0005-0000-0000-00001C850000}"/>
    <cellStyle name="Style 23 4 3 2 3 2" xfId="34072" xr:uid="{00000000-0005-0000-0000-00001D850000}"/>
    <cellStyle name="Style 23 4 3 2 3 3" xfId="34073" xr:uid="{00000000-0005-0000-0000-00001E850000}"/>
    <cellStyle name="Style 23 4 3 2 4" xfId="34074" xr:uid="{00000000-0005-0000-0000-00001F850000}"/>
    <cellStyle name="Style 23 4 3 2 5" xfId="34075" xr:uid="{00000000-0005-0000-0000-000020850000}"/>
    <cellStyle name="Style 23 4 3 2 6" xfId="34076" xr:uid="{00000000-0005-0000-0000-000021850000}"/>
    <cellStyle name="Style 23 4 3 3" xfId="34077" xr:uid="{00000000-0005-0000-0000-000022850000}"/>
    <cellStyle name="Style 23 4 3 3 2" xfId="34078" xr:uid="{00000000-0005-0000-0000-000023850000}"/>
    <cellStyle name="Style 23 4 3 3 3" xfId="34079" xr:uid="{00000000-0005-0000-0000-000024850000}"/>
    <cellStyle name="Style 23 4 3 4" xfId="34080" xr:uid="{00000000-0005-0000-0000-000025850000}"/>
    <cellStyle name="Style 23 4 3 4 2" xfId="34081" xr:uid="{00000000-0005-0000-0000-000026850000}"/>
    <cellStyle name="Style 23 4 3 4 3" xfId="34082" xr:uid="{00000000-0005-0000-0000-000027850000}"/>
    <cellStyle name="Style 23 4 3 5" xfId="34083" xr:uid="{00000000-0005-0000-0000-000028850000}"/>
    <cellStyle name="Style 23 4 3 5 2" xfId="34084" xr:uid="{00000000-0005-0000-0000-000029850000}"/>
    <cellStyle name="Style 23 4 3 5 3" xfId="34085" xr:uid="{00000000-0005-0000-0000-00002A850000}"/>
    <cellStyle name="Style 23 4 3 6" xfId="34086" xr:uid="{00000000-0005-0000-0000-00002B850000}"/>
    <cellStyle name="Style 23 4 3 7" xfId="34087" xr:uid="{00000000-0005-0000-0000-00002C850000}"/>
    <cellStyle name="Style 23 4 3 8" xfId="34088" xr:uid="{00000000-0005-0000-0000-00002D850000}"/>
    <cellStyle name="Style 23 4 4" xfId="34089" xr:uid="{00000000-0005-0000-0000-00002E850000}"/>
    <cellStyle name="Style 23 4 4 2" xfId="34090" xr:uid="{00000000-0005-0000-0000-00002F850000}"/>
    <cellStyle name="Style 23 4 4 2 2" xfId="34091" xr:uid="{00000000-0005-0000-0000-000030850000}"/>
    <cellStyle name="Style 23 4 4 2 2 2" xfId="34092" xr:uid="{00000000-0005-0000-0000-000031850000}"/>
    <cellStyle name="Style 23 4 4 2 2 3" xfId="34093" xr:uid="{00000000-0005-0000-0000-000032850000}"/>
    <cellStyle name="Style 23 4 4 2 3" xfId="34094" xr:uid="{00000000-0005-0000-0000-000033850000}"/>
    <cellStyle name="Style 23 4 4 2 3 2" xfId="34095" xr:uid="{00000000-0005-0000-0000-000034850000}"/>
    <cellStyle name="Style 23 4 4 2 3 3" xfId="34096" xr:uid="{00000000-0005-0000-0000-000035850000}"/>
    <cellStyle name="Style 23 4 4 2 4" xfId="34097" xr:uid="{00000000-0005-0000-0000-000036850000}"/>
    <cellStyle name="Style 23 4 4 2 5" xfId="34098" xr:uid="{00000000-0005-0000-0000-000037850000}"/>
    <cellStyle name="Style 23 4 4 2 6" xfId="34099" xr:uid="{00000000-0005-0000-0000-000038850000}"/>
    <cellStyle name="Style 23 4 4 3" xfId="34100" xr:uid="{00000000-0005-0000-0000-000039850000}"/>
    <cellStyle name="Style 23 4 4 3 2" xfId="34101" xr:uid="{00000000-0005-0000-0000-00003A850000}"/>
    <cellStyle name="Style 23 4 4 3 3" xfId="34102" xr:uid="{00000000-0005-0000-0000-00003B850000}"/>
    <cellStyle name="Style 23 4 4 4" xfId="34103" xr:uid="{00000000-0005-0000-0000-00003C850000}"/>
    <cellStyle name="Style 23 4 4 4 2" xfId="34104" xr:uid="{00000000-0005-0000-0000-00003D850000}"/>
    <cellStyle name="Style 23 4 4 4 3" xfId="34105" xr:uid="{00000000-0005-0000-0000-00003E850000}"/>
    <cellStyle name="Style 23 4 4 5" xfId="34106" xr:uid="{00000000-0005-0000-0000-00003F850000}"/>
    <cellStyle name="Style 23 4 4 5 2" xfId="34107" xr:uid="{00000000-0005-0000-0000-000040850000}"/>
    <cellStyle name="Style 23 4 4 5 3" xfId="34108" xr:uid="{00000000-0005-0000-0000-000041850000}"/>
    <cellStyle name="Style 23 4 4 6" xfId="34109" xr:uid="{00000000-0005-0000-0000-000042850000}"/>
    <cellStyle name="Style 23 4 4 7" xfId="34110" xr:uid="{00000000-0005-0000-0000-000043850000}"/>
    <cellStyle name="Style 23 4 4 8" xfId="34111" xr:uid="{00000000-0005-0000-0000-000044850000}"/>
    <cellStyle name="Style 23 4 5" xfId="34112" xr:uid="{00000000-0005-0000-0000-000045850000}"/>
    <cellStyle name="Style 23 4 5 2" xfId="34113" xr:uid="{00000000-0005-0000-0000-000046850000}"/>
    <cellStyle name="Style 23 4 5 2 2" xfId="34114" xr:uid="{00000000-0005-0000-0000-000047850000}"/>
    <cellStyle name="Style 23 4 5 2 2 2" xfId="34115" xr:uid="{00000000-0005-0000-0000-000048850000}"/>
    <cellStyle name="Style 23 4 5 2 2 3" xfId="34116" xr:uid="{00000000-0005-0000-0000-000049850000}"/>
    <cellStyle name="Style 23 4 5 2 3" xfId="34117" xr:uid="{00000000-0005-0000-0000-00004A850000}"/>
    <cellStyle name="Style 23 4 5 2 3 2" xfId="34118" xr:uid="{00000000-0005-0000-0000-00004B850000}"/>
    <cellStyle name="Style 23 4 5 2 3 3" xfId="34119" xr:uid="{00000000-0005-0000-0000-00004C850000}"/>
    <cellStyle name="Style 23 4 5 2 4" xfId="34120" xr:uid="{00000000-0005-0000-0000-00004D850000}"/>
    <cellStyle name="Style 23 4 5 2 5" xfId="34121" xr:uid="{00000000-0005-0000-0000-00004E850000}"/>
    <cellStyle name="Style 23 4 5 2 6" xfId="34122" xr:uid="{00000000-0005-0000-0000-00004F850000}"/>
    <cellStyle name="Style 23 4 5 3" xfId="34123" xr:uid="{00000000-0005-0000-0000-000050850000}"/>
    <cellStyle name="Style 23 4 5 3 2" xfId="34124" xr:uid="{00000000-0005-0000-0000-000051850000}"/>
    <cellStyle name="Style 23 4 5 3 3" xfId="34125" xr:uid="{00000000-0005-0000-0000-000052850000}"/>
    <cellStyle name="Style 23 4 5 4" xfId="34126" xr:uid="{00000000-0005-0000-0000-000053850000}"/>
    <cellStyle name="Style 23 4 5 4 2" xfId="34127" xr:uid="{00000000-0005-0000-0000-000054850000}"/>
    <cellStyle name="Style 23 4 5 4 3" xfId="34128" xr:uid="{00000000-0005-0000-0000-000055850000}"/>
    <cellStyle name="Style 23 4 5 5" xfId="34129" xr:uid="{00000000-0005-0000-0000-000056850000}"/>
    <cellStyle name="Style 23 4 5 5 2" xfId="34130" xr:uid="{00000000-0005-0000-0000-000057850000}"/>
    <cellStyle name="Style 23 4 5 5 3" xfId="34131" xr:uid="{00000000-0005-0000-0000-000058850000}"/>
    <cellStyle name="Style 23 4 5 6" xfId="34132" xr:uid="{00000000-0005-0000-0000-000059850000}"/>
    <cellStyle name="Style 23 4 5 7" xfId="34133" xr:uid="{00000000-0005-0000-0000-00005A850000}"/>
    <cellStyle name="Style 23 4 5 8" xfId="34134" xr:uid="{00000000-0005-0000-0000-00005B850000}"/>
    <cellStyle name="Style 23 4 6" xfId="34135" xr:uid="{00000000-0005-0000-0000-00005C850000}"/>
    <cellStyle name="Style 23 4 6 2" xfId="34136" xr:uid="{00000000-0005-0000-0000-00005D850000}"/>
    <cellStyle name="Style 23 4 6 2 2" xfId="34137" xr:uid="{00000000-0005-0000-0000-00005E850000}"/>
    <cellStyle name="Style 23 4 6 2 3" xfId="34138" xr:uid="{00000000-0005-0000-0000-00005F850000}"/>
    <cellStyle name="Style 23 4 6 3" xfId="34139" xr:uid="{00000000-0005-0000-0000-000060850000}"/>
    <cellStyle name="Style 23 4 6 3 2" xfId="34140" xr:uid="{00000000-0005-0000-0000-000061850000}"/>
    <cellStyle name="Style 23 4 6 3 3" xfId="34141" xr:uid="{00000000-0005-0000-0000-000062850000}"/>
    <cellStyle name="Style 23 4 6 4" xfId="34142" xr:uid="{00000000-0005-0000-0000-000063850000}"/>
    <cellStyle name="Style 23 4 6 5" xfId="34143" xr:uid="{00000000-0005-0000-0000-000064850000}"/>
    <cellStyle name="Style 23 4 6 6" xfId="34144" xr:uid="{00000000-0005-0000-0000-000065850000}"/>
    <cellStyle name="Style 23 4 7" xfId="34145" xr:uid="{00000000-0005-0000-0000-000066850000}"/>
    <cellStyle name="Style 23 4 7 2" xfId="34146" xr:uid="{00000000-0005-0000-0000-000067850000}"/>
    <cellStyle name="Style 23 4 7 3" xfId="34147" xr:uid="{00000000-0005-0000-0000-000068850000}"/>
    <cellStyle name="Style 23 4 8" xfId="34148" xr:uid="{00000000-0005-0000-0000-000069850000}"/>
    <cellStyle name="Style 23 4 8 2" xfId="34149" xr:uid="{00000000-0005-0000-0000-00006A850000}"/>
    <cellStyle name="Style 23 4 8 3" xfId="34150" xr:uid="{00000000-0005-0000-0000-00006B850000}"/>
    <cellStyle name="Style 23 4 9" xfId="34151" xr:uid="{00000000-0005-0000-0000-00006C850000}"/>
    <cellStyle name="Style 23 4 9 2" xfId="34152" xr:uid="{00000000-0005-0000-0000-00006D850000}"/>
    <cellStyle name="Style 23 4 9 3" xfId="34153" xr:uid="{00000000-0005-0000-0000-00006E850000}"/>
    <cellStyle name="Style 23 5" xfId="34154" xr:uid="{00000000-0005-0000-0000-00006F850000}"/>
    <cellStyle name="Style 23 5 10" xfId="34155" xr:uid="{00000000-0005-0000-0000-000070850000}"/>
    <cellStyle name="Style 23 5 11" xfId="34156" xr:uid="{00000000-0005-0000-0000-000071850000}"/>
    <cellStyle name="Style 23 5 12" xfId="34157" xr:uid="{00000000-0005-0000-0000-000072850000}"/>
    <cellStyle name="Style 23 5 2" xfId="34158" xr:uid="{00000000-0005-0000-0000-000073850000}"/>
    <cellStyle name="Style 23 5 2 10" xfId="34159" xr:uid="{00000000-0005-0000-0000-000074850000}"/>
    <cellStyle name="Style 23 5 2 2" xfId="34160" xr:uid="{00000000-0005-0000-0000-000075850000}"/>
    <cellStyle name="Style 23 5 2 2 2" xfId="34161" xr:uid="{00000000-0005-0000-0000-000076850000}"/>
    <cellStyle name="Style 23 5 2 2 2 2" xfId="34162" xr:uid="{00000000-0005-0000-0000-000077850000}"/>
    <cellStyle name="Style 23 5 2 2 2 2 2" xfId="34163" xr:uid="{00000000-0005-0000-0000-000078850000}"/>
    <cellStyle name="Style 23 5 2 2 2 2 3" xfId="34164" xr:uid="{00000000-0005-0000-0000-000079850000}"/>
    <cellStyle name="Style 23 5 2 2 2 3" xfId="34165" xr:uid="{00000000-0005-0000-0000-00007A850000}"/>
    <cellStyle name="Style 23 5 2 2 2 3 2" xfId="34166" xr:uid="{00000000-0005-0000-0000-00007B850000}"/>
    <cellStyle name="Style 23 5 2 2 2 3 3" xfId="34167" xr:uid="{00000000-0005-0000-0000-00007C850000}"/>
    <cellStyle name="Style 23 5 2 2 2 4" xfId="34168" xr:uid="{00000000-0005-0000-0000-00007D850000}"/>
    <cellStyle name="Style 23 5 2 2 2 5" xfId="34169" xr:uid="{00000000-0005-0000-0000-00007E850000}"/>
    <cellStyle name="Style 23 5 2 2 2 6" xfId="34170" xr:uid="{00000000-0005-0000-0000-00007F850000}"/>
    <cellStyle name="Style 23 5 2 2 3" xfId="34171" xr:uid="{00000000-0005-0000-0000-000080850000}"/>
    <cellStyle name="Style 23 5 2 2 3 2" xfId="34172" xr:uid="{00000000-0005-0000-0000-000081850000}"/>
    <cellStyle name="Style 23 5 2 2 3 3" xfId="34173" xr:uid="{00000000-0005-0000-0000-000082850000}"/>
    <cellStyle name="Style 23 5 2 2 4" xfId="34174" xr:uid="{00000000-0005-0000-0000-000083850000}"/>
    <cellStyle name="Style 23 5 2 2 4 2" xfId="34175" xr:uid="{00000000-0005-0000-0000-000084850000}"/>
    <cellStyle name="Style 23 5 2 2 4 3" xfId="34176" xr:uid="{00000000-0005-0000-0000-000085850000}"/>
    <cellStyle name="Style 23 5 2 2 5" xfId="34177" xr:uid="{00000000-0005-0000-0000-000086850000}"/>
    <cellStyle name="Style 23 5 2 2 5 2" xfId="34178" xr:uid="{00000000-0005-0000-0000-000087850000}"/>
    <cellStyle name="Style 23 5 2 2 5 3" xfId="34179" xr:uid="{00000000-0005-0000-0000-000088850000}"/>
    <cellStyle name="Style 23 5 2 2 6" xfId="34180" xr:uid="{00000000-0005-0000-0000-000089850000}"/>
    <cellStyle name="Style 23 5 2 2 7" xfId="34181" xr:uid="{00000000-0005-0000-0000-00008A850000}"/>
    <cellStyle name="Style 23 5 2 2 8" xfId="34182" xr:uid="{00000000-0005-0000-0000-00008B850000}"/>
    <cellStyle name="Style 23 5 2 3" xfId="34183" xr:uid="{00000000-0005-0000-0000-00008C850000}"/>
    <cellStyle name="Style 23 5 2 3 2" xfId="34184" xr:uid="{00000000-0005-0000-0000-00008D850000}"/>
    <cellStyle name="Style 23 5 2 3 2 2" xfId="34185" xr:uid="{00000000-0005-0000-0000-00008E850000}"/>
    <cellStyle name="Style 23 5 2 3 2 2 2" xfId="34186" xr:uid="{00000000-0005-0000-0000-00008F850000}"/>
    <cellStyle name="Style 23 5 2 3 2 2 3" xfId="34187" xr:uid="{00000000-0005-0000-0000-000090850000}"/>
    <cellStyle name="Style 23 5 2 3 2 3" xfId="34188" xr:uid="{00000000-0005-0000-0000-000091850000}"/>
    <cellStyle name="Style 23 5 2 3 2 3 2" xfId="34189" xr:uid="{00000000-0005-0000-0000-000092850000}"/>
    <cellStyle name="Style 23 5 2 3 2 3 3" xfId="34190" xr:uid="{00000000-0005-0000-0000-000093850000}"/>
    <cellStyle name="Style 23 5 2 3 2 4" xfId="34191" xr:uid="{00000000-0005-0000-0000-000094850000}"/>
    <cellStyle name="Style 23 5 2 3 2 5" xfId="34192" xr:uid="{00000000-0005-0000-0000-000095850000}"/>
    <cellStyle name="Style 23 5 2 3 2 6" xfId="34193" xr:uid="{00000000-0005-0000-0000-000096850000}"/>
    <cellStyle name="Style 23 5 2 3 3" xfId="34194" xr:uid="{00000000-0005-0000-0000-000097850000}"/>
    <cellStyle name="Style 23 5 2 3 3 2" xfId="34195" xr:uid="{00000000-0005-0000-0000-000098850000}"/>
    <cellStyle name="Style 23 5 2 3 3 3" xfId="34196" xr:uid="{00000000-0005-0000-0000-000099850000}"/>
    <cellStyle name="Style 23 5 2 3 4" xfId="34197" xr:uid="{00000000-0005-0000-0000-00009A850000}"/>
    <cellStyle name="Style 23 5 2 3 4 2" xfId="34198" xr:uid="{00000000-0005-0000-0000-00009B850000}"/>
    <cellStyle name="Style 23 5 2 3 4 3" xfId="34199" xr:uid="{00000000-0005-0000-0000-00009C850000}"/>
    <cellStyle name="Style 23 5 2 3 5" xfId="34200" xr:uid="{00000000-0005-0000-0000-00009D850000}"/>
    <cellStyle name="Style 23 5 2 3 5 2" xfId="34201" xr:uid="{00000000-0005-0000-0000-00009E850000}"/>
    <cellStyle name="Style 23 5 2 3 5 3" xfId="34202" xr:uid="{00000000-0005-0000-0000-00009F850000}"/>
    <cellStyle name="Style 23 5 2 3 6" xfId="34203" xr:uid="{00000000-0005-0000-0000-0000A0850000}"/>
    <cellStyle name="Style 23 5 2 3 7" xfId="34204" xr:uid="{00000000-0005-0000-0000-0000A1850000}"/>
    <cellStyle name="Style 23 5 2 3 8" xfId="34205" xr:uid="{00000000-0005-0000-0000-0000A2850000}"/>
    <cellStyle name="Style 23 5 2 4" xfId="34206" xr:uid="{00000000-0005-0000-0000-0000A3850000}"/>
    <cellStyle name="Style 23 5 2 4 2" xfId="34207" xr:uid="{00000000-0005-0000-0000-0000A4850000}"/>
    <cellStyle name="Style 23 5 2 4 2 2" xfId="34208" xr:uid="{00000000-0005-0000-0000-0000A5850000}"/>
    <cellStyle name="Style 23 5 2 4 2 3" xfId="34209" xr:uid="{00000000-0005-0000-0000-0000A6850000}"/>
    <cellStyle name="Style 23 5 2 4 3" xfId="34210" xr:uid="{00000000-0005-0000-0000-0000A7850000}"/>
    <cellStyle name="Style 23 5 2 4 3 2" xfId="34211" xr:uid="{00000000-0005-0000-0000-0000A8850000}"/>
    <cellStyle name="Style 23 5 2 4 3 3" xfId="34212" xr:uid="{00000000-0005-0000-0000-0000A9850000}"/>
    <cellStyle name="Style 23 5 2 4 4" xfId="34213" xr:uid="{00000000-0005-0000-0000-0000AA850000}"/>
    <cellStyle name="Style 23 5 2 4 5" xfId="34214" xr:uid="{00000000-0005-0000-0000-0000AB850000}"/>
    <cellStyle name="Style 23 5 2 4 6" xfId="34215" xr:uid="{00000000-0005-0000-0000-0000AC850000}"/>
    <cellStyle name="Style 23 5 2 5" xfId="34216" xr:uid="{00000000-0005-0000-0000-0000AD850000}"/>
    <cellStyle name="Style 23 5 2 5 2" xfId="34217" xr:uid="{00000000-0005-0000-0000-0000AE850000}"/>
    <cellStyle name="Style 23 5 2 5 3" xfId="34218" xr:uid="{00000000-0005-0000-0000-0000AF850000}"/>
    <cellStyle name="Style 23 5 2 6" xfId="34219" xr:uid="{00000000-0005-0000-0000-0000B0850000}"/>
    <cellStyle name="Style 23 5 2 6 2" xfId="34220" xr:uid="{00000000-0005-0000-0000-0000B1850000}"/>
    <cellStyle name="Style 23 5 2 6 3" xfId="34221" xr:uid="{00000000-0005-0000-0000-0000B2850000}"/>
    <cellStyle name="Style 23 5 2 7" xfId="34222" xr:uid="{00000000-0005-0000-0000-0000B3850000}"/>
    <cellStyle name="Style 23 5 2 7 2" xfId="34223" xr:uid="{00000000-0005-0000-0000-0000B4850000}"/>
    <cellStyle name="Style 23 5 2 7 3" xfId="34224" xr:uid="{00000000-0005-0000-0000-0000B5850000}"/>
    <cellStyle name="Style 23 5 2 8" xfId="34225" xr:uid="{00000000-0005-0000-0000-0000B6850000}"/>
    <cellStyle name="Style 23 5 2 9" xfId="34226" xr:uid="{00000000-0005-0000-0000-0000B7850000}"/>
    <cellStyle name="Style 23 5 3" xfId="34227" xr:uid="{00000000-0005-0000-0000-0000B8850000}"/>
    <cellStyle name="Style 23 5 3 2" xfId="34228" xr:uid="{00000000-0005-0000-0000-0000B9850000}"/>
    <cellStyle name="Style 23 5 3 2 2" xfId="34229" xr:uid="{00000000-0005-0000-0000-0000BA850000}"/>
    <cellStyle name="Style 23 5 3 2 2 2" xfId="34230" xr:uid="{00000000-0005-0000-0000-0000BB850000}"/>
    <cellStyle name="Style 23 5 3 2 2 3" xfId="34231" xr:uid="{00000000-0005-0000-0000-0000BC850000}"/>
    <cellStyle name="Style 23 5 3 2 3" xfId="34232" xr:uid="{00000000-0005-0000-0000-0000BD850000}"/>
    <cellStyle name="Style 23 5 3 2 3 2" xfId="34233" xr:uid="{00000000-0005-0000-0000-0000BE850000}"/>
    <cellStyle name="Style 23 5 3 2 3 3" xfId="34234" xr:uid="{00000000-0005-0000-0000-0000BF850000}"/>
    <cellStyle name="Style 23 5 3 2 4" xfId="34235" xr:uid="{00000000-0005-0000-0000-0000C0850000}"/>
    <cellStyle name="Style 23 5 3 2 5" xfId="34236" xr:uid="{00000000-0005-0000-0000-0000C1850000}"/>
    <cellStyle name="Style 23 5 3 2 6" xfId="34237" xr:uid="{00000000-0005-0000-0000-0000C2850000}"/>
    <cellStyle name="Style 23 5 3 3" xfId="34238" xr:uid="{00000000-0005-0000-0000-0000C3850000}"/>
    <cellStyle name="Style 23 5 3 3 2" xfId="34239" xr:uid="{00000000-0005-0000-0000-0000C4850000}"/>
    <cellStyle name="Style 23 5 3 3 3" xfId="34240" xr:uid="{00000000-0005-0000-0000-0000C5850000}"/>
    <cellStyle name="Style 23 5 3 4" xfId="34241" xr:uid="{00000000-0005-0000-0000-0000C6850000}"/>
    <cellStyle name="Style 23 5 3 4 2" xfId="34242" xr:uid="{00000000-0005-0000-0000-0000C7850000}"/>
    <cellStyle name="Style 23 5 3 4 3" xfId="34243" xr:uid="{00000000-0005-0000-0000-0000C8850000}"/>
    <cellStyle name="Style 23 5 3 5" xfId="34244" xr:uid="{00000000-0005-0000-0000-0000C9850000}"/>
    <cellStyle name="Style 23 5 3 5 2" xfId="34245" xr:uid="{00000000-0005-0000-0000-0000CA850000}"/>
    <cellStyle name="Style 23 5 3 5 3" xfId="34246" xr:uid="{00000000-0005-0000-0000-0000CB850000}"/>
    <cellStyle name="Style 23 5 3 6" xfId="34247" xr:uid="{00000000-0005-0000-0000-0000CC850000}"/>
    <cellStyle name="Style 23 5 3 7" xfId="34248" xr:uid="{00000000-0005-0000-0000-0000CD850000}"/>
    <cellStyle name="Style 23 5 3 8" xfId="34249" xr:uid="{00000000-0005-0000-0000-0000CE850000}"/>
    <cellStyle name="Style 23 5 4" xfId="34250" xr:uid="{00000000-0005-0000-0000-0000CF850000}"/>
    <cellStyle name="Style 23 5 4 2" xfId="34251" xr:uid="{00000000-0005-0000-0000-0000D0850000}"/>
    <cellStyle name="Style 23 5 4 2 2" xfId="34252" xr:uid="{00000000-0005-0000-0000-0000D1850000}"/>
    <cellStyle name="Style 23 5 4 2 2 2" xfId="34253" xr:uid="{00000000-0005-0000-0000-0000D2850000}"/>
    <cellStyle name="Style 23 5 4 2 2 3" xfId="34254" xr:uid="{00000000-0005-0000-0000-0000D3850000}"/>
    <cellStyle name="Style 23 5 4 2 3" xfId="34255" xr:uid="{00000000-0005-0000-0000-0000D4850000}"/>
    <cellStyle name="Style 23 5 4 2 3 2" xfId="34256" xr:uid="{00000000-0005-0000-0000-0000D5850000}"/>
    <cellStyle name="Style 23 5 4 2 3 3" xfId="34257" xr:uid="{00000000-0005-0000-0000-0000D6850000}"/>
    <cellStyle name="Style 23 5 4 2 4" xfId="34258" xr:uid="{00000000-0005-0000-0000-0000D7850000}"/>
    <cellStyle name="Style 23 5 4 2 5" xfId="34259" xr:uid="{00000000-0005-0000-0000-0000D8850000}"/>
    <cellStyle name="Style 23 5 4 2 6" xfId="34260" xr:uid="{00000000-0005-0000-0000-0000D9850000}"/>
    <cellStyle name="Style 23 5 4 3" xfId="34261" xr:uid="{00000000-0005-0000-0000-0000DA850000}"/>
    <cellStyle name="Style 23 5 4 3 2" xfId="34262" xr:uid="{00000000-0005-0000-0000-0000DB850000}"/>
    <cellStyle name="Style 23 5 4 3 3" xfId="34263" xr:uid="{00000000-0005-0000-0000-0000DC850000}"/>
    <cellStyle name="Style 23 5 4 4" xfId="34264" xr:uid="{00000000-0005-0000-0000-0000DD850000}"/>
    <cellStyle name="Style 23 5 4 4 2" xfId="34265" xr:uid="{00000000-0005-0000-0000-0000DE850000}"/>
    <cellStyle name="Style 23 5 4 4 3" xfId="34266" xr:uid="{00000000-0005-0000-0000-0000DF850000}"/>
    <cellStyle name="Style 23 5 4 5" xfId="34267" xr:uid="{00000000-0005-0000-0000-0000E0850000}"/>
    <cellStyle name="Style 23 5 4 5 2" xfId="34268" xr:uid="{00000000-0005-0000-0000-0000E1850000}"/>
    <cellStyle name="Style 23 5 4 5 3" xfId="34269" xr:uid="{00000000-0005-0000-0000-0000E2850000}"/>
    <cellStyle name="Style 23 5 4 6" xfId="34270" xr:uid="{00000000-0005-0000-0000-0000E3850000}"/>
    <cellStyle name="Style 23 5 4 7" xfId="34271" xr:uid="{00000000-0005-0000-0000-0000E4850000}"/>
    <cellStyle name="Style 23 5 4 8" xfId="34272" xr:uid="{00000000-0005-0000-0000-0000E5850000}"/>
    <cellStyle name="Style 23 5 5" xfId="34273" xr:uid="{00000000-0005-0000-0000-0000E6850000}"/>
    <cellStyle name="Style 23 5 5 2" xfId="34274" xr:uid="{00000000-0005-0000-0000-0000E7850000}"/>
    <cellStyle name="Style 23 5 5 2 2" xfId="34275" xr:uid="{00000000-0005-0000-0000-0000E8850000}"/>
    <cellStyle name="Style 23 5 5 2 2 2" xfId="34276" xr:uid="{00000000-0005-0000-0000-0000E9850000}"/>
    <cellStyle name="Style 23 5 5 2 2 3" xfId="34277" xr:uid="{00000000-0005-0000-0000-0000EA850000}"/>
    <cellStyle name="Style 23 5 5 2 3" xfId="34278" xr:uid="{00000000-0005-0000-0000-0000EB850000}"/>
    <cellStyle name="Style 23 5 5 2 3 2" xfId="34279" xr:uid="{00000000-0005-0000-0000-0000EC850000}"/>
    <cellStyle name="Style 23 5 5 2 3 3" xfId="34280" xr:uid="{00000000-0005-0000-0000-0000ED850000}"/>
    <cellStyle name="Style 23 5 5 2 4" xfId="34281" xr:uid="{00000000-0005-0000-0000-0000EE850000}"/>
    <cellStyle name="Style 23 5 5 2 5" xfId="34282" xr:uid="{00000000-0005-0000-0000-0000EF850000}"/>
    <cellStyle name="Style 23 5 5 2 6" xfId="34283" xr:uid="{00000000-0005-0000-0000-0000F0850000}"/>
    <cellStyle name="Style 23 5 5 3" xfId="34284" xr:uid="{00000000-0005-0000-0000-0000F1850000}"/>
    <cellStyle name="Style 23 5 5 3 2" xfId="34285" xr:uid="{00000000-0005-0000-0000-0000F2850000}"/>
    <cellStyle name="Style 23 5 5 3 3" xfId="34286" xr:uid="{00000000-0005-0000-0000-0000F3850000}"/>
    <cellStyle name="Style 23 5 5 4" xfId="34287" xr:uid="{00000000-0005-0000-0000-0000F4850000}"/>
    <cellStyle name="Style 23 5 5 4 2" xfId="34288" xr:uid="{00000000-0005-0000-0000-0000F5850000}"/>
    <cellStyle name="Style 23 5 5 4 3" xfId="34289" xr:uid="{00000000-0005-0000-0000-0000F6850000}"/>
    <cellStyle name="Style 23 5 5 5" xfId="34290" xr:uid="{00000000-0005-0000-0000-0000F7850000}"/>
    <cellStyle name="Style 23 5 5 5 2" xfId="34291" xr:uid="{00000000-0005-0000-0000-0000F8850000}"/>
    <cellStyle name="Style 23 5 5 5 3" xfId="34292" xr:uid="{00000000-0005-0000-0000-0000F9850000}"/>
    <cellStyle name="Style 23 5 5 6" xfId="34293" xr:uid="{00000000-0005-0000-0000-0000FA850000}"/>
    <cellStyle name="Style 23 5 5 7" xfId="34294" xr:uid="{00000000-0005-0000-0000-0000FB850000}"/>
    <cellStyle name="Style 23 5 5 8" xfId="34295" xr:uid="{00000000-0005-0000-0000-0000FC850000}"/>
    <cellStyle name="Style 23 5 6" xfId="34296" xr:uid="{00000000-0005-0000-0000-0000FD850000}"/>
    <cellStyle name="Style 23 5 6 2" xfId="34297" xr:uid="{00000000-0005-0000-0000-0000FE850000}"/>
    <cellStyle name="Style 23 5 6 2 2" xfId="34298" xr:uid="{00000000-0005-0000-0000-0000FF850000}"/>
    <cellStyle name="Style 23 5 6 2 3" xfId="34299" xr:uid="{00000000-0005-0000-0000-000000860000}"/>
    <cellStyle name="Style 23 5 6 3" xfId="34300" xr:uid="{00000000-0005-0000-0000-000001860000}"/>
    <cellStyle name="Style 23 5 6 3 2" xfId="34301" xr:uid="{00000000-0005-0000-0000-000002860000}"/>
    <cellStyle name="Style 23 5 6 3 3" xfId="34302" xr:uid="{00000000-0005-0000-0000-000003860000}"/>
    <cellStyle name="Style 23 5 6 4" xfId="34303" xr:uid="{00000000-0005-0000-0000-000004860000}"/>
    <cellStyle name="Style 23 5 6 5" xfId="34304" xr:uid="{00000000-0005-0000-0000-000005860000}"/>
    <cellStyle name="Style 23 5 6 6" xfId="34305" xr:uid="{00000000-0005-0000-0000-000006860000}"/>
    <cellStyle name="Style 23 5 7" xfId="34306" xr:uid="{00000000-0005-0000-0000-000007860000}"/>
    <cellStyle name="Style 23 5 7 2" xfId="34307" xr:uid="{00000000-0005-0000-0000-000008860000}"/>
    <cellStyle name="Style 23 5 7 3" xfId="34308" xr:uid="{00000000-0005-0000-0000-000009860000}"/>
    <cellStyle name="Style 23 5 8" xfId="34309" xr:uid="{00000000-0005-0000-0000-00000A860000}"/>
    <cellStyle name="Style 23 5 8 2" xfId="34310" xr:uid="{00000000-0005-0000-0000-00000B860000}"/>
    <cellStyle name="Style 23 5 8 3" xfId="34311" xr:uid="{00000000-0005-0000-0000-00000C860000}"/>
    <cellStyle name="Style 23 5 9" xfId="34312" xr:uid="{00000000-0005-0000-0000-00000D860000}"/>
    <cellStyle name="Style 23 5 9 2" xfId="34313" xr:uid="{00000000-0005-0000-0000-00000E860000}"/>
    <cellStyle name="Style 23 5 9 3" xfId="34314" xr:uid="{00000000-0005-0000-0000-00000F860000}"/>
    <cellStyle name="Style 23 6" xfId="34315" xr:uid="{00000000-0005-0000-0000-000010860000}"/>
    <cellStyle name="Style 23 6 10" xfId="34316" xr:uid="{00000000-0005-0000-0000-000011860000}"/>
    <cellStyle name="Style 23 6 11" xfId="34317" xr:uid="{00000000-0005-0000-0000-000012860000}"/>
    <cellStyle name="Style 23 6 12" xfId="34318" xr:uid="{00000000-0005-0000-0000-000013860000}"/>
    <cellStyle name="Style 23 6 2" xfId="34319" xr:uid="{00000000-0005-0000-0000-000014860000}"/>
    <cellStyle name="Style 23 6 2 10" xfId="34320" xr:uid="{00000000-0005-0000-0000-000015860000}"/>
    <cellStyle name="Style 23 6 2 2" xfId="34321" xr:uid="{00000000-0005-0000-0000-000016860000}"/>
    <cellStyle name="Style 23 6 2 2 2" xfId="34322" xr:uid="{00000000-0005-0000-0000-000017860000}"/>
    <cellStyle name="Style 23 6 2 2 2 2" xfId="34323" xr:uid="{00000000-0005-0000-0000-000018860000}"/>
    <cellStyle name="Style 23 6 2 2 2 2 2" xfId="34324" xr:uid="{00000000-0005-0000-0000-000019860000}"/>
    <cellStyle name="Style 23 6 2 2 2 2 3" xfId="34325" xr:uid="{00000000-0005-0000-0000-00001A860000}"/>
    <cellStyle name="Style 23 6 2 2 2 3" xfId="34326" xr:uid="{00000000-0005-0000-0000-00001B860000}"/>
    <cellStyle name="Style 23 6 2 2 2 3 2" xfId="34327" xr:uid="{00000000-0005-0000-0000-00001C860000}"/>
    <cellStyle name="Style 23 6 2 2 2 3 3" xfId="34328" xr:uid="{00000000-0005-0000-0000-00001D860000}"/>
    <cellStyle name="Style 23 6 2 2 2 4" xfId="34329" xr:uid="{00000000-0005-0000-0000-00001E860000}"/>
    <cellStyle name="Style 23 6 2 2 2 5" xfId="34330" xr:uid="{00000000-0005-0000-0000-00001F860000}"/>
    <cellStyle name="Style 23 6 2 2 2 6" xfId="34331" xr:uid="{00000000-0005-0000-0000-000020860000}"/>
    <cellStyle name="Style 23 6 2 2 3" xfId="34332" xr:uid="{00000000-0005-0000-0000-000021860000}"/>
    <cellStyle name="Style 23 6 2 2 3 2" xfId="34333" xr:uid="{00000000-0005-0000-0000-000022860000}"/>
    <cellStyle name="Style 23 6 2 2 3 3" xfId="34334" xr:uid="{00000000-0005-0000-0000-000023860000}"/>
    <cellStyle name="Style 23 6 2 2 4" xfId="34335" xr:uid="{00000000-0005-0000-0000-000024860000}"/>
    <cellStyle name="Style 23 6 2 2 4 2" xfId="34336" xr:uid="{00000000-0005-0000-0000-000025860000}"/>
    <cellStyle name="Style 23 6 2 2 4 3" xfId="34337" xr:uid="{00000000-0005-0000-0000-000026860000}"/>
    <cellStyle name="Style 23 6 2 2 5" xfId="34338" xr:uid="{00000000-0005-0000-0000-000027860000}"/>
    <cellStyle name="Style 23 6 2 2 5 2" xfId="34339" xr:uid="{00000000-0005-0000-0000-000028860000}"/>
    <cellStyle name="Style 23 6 2 2 5 3" xfId="34340" xr:uid="{00000000-0005-0000-0000-000029860000}"/>
    <cellStyle name="Style 23 6 2 2 6" xfId="34341" xr:uid="{00000000-0005-0000-0000-00002A860000}"/>
    <cellStyle name="Style 23 6 2 2 7" xfId="34342" xr:uid="{00000000-0005-0000-0000-00002B860000}"/>
    <cellStyle name="Style 23 6 2 2 8" xfId="34343" xr:uid="{00000000-0005-0000-0000-00002C860000}"/>
    <cellStyle name="Style 23 6 2 3" xfId="34344" xr:uid="{00000000-0005-0000-0000-00002D860000}"/>
    <cellStyle name="Style 23 6 2 3 2" xfId="34345" xr:uid="{00000000-0005-0000-0000-00002E860000}"/>
    <cellStyle name="Style 23 6 2 3 2 2" xfId="34346" xr:uid="{00000000-0005-0000-0000-00002F860000}"/>
    <cellStyle name="Style 23 6 2 3 2 2 2" xfId="34347" xr:uid="{00000000-0005-0000-0000-000030860000}"/>
    <cellStyle name="Style 23 6 2 3 2 2 3" xfId="34348" xr:uid="{00000000-0005-0000-0000-000031860000}"/>
    <cellStyle name="Style 23 6 2 3 2 3" xfId="34349" xr:uid="{00000000-0005-0000-0000-000032860000}"/>
    <cellStyle name="Style 23 6 2 3 2 3 2" xfId="34350" xr:uid="{00000000-0005-0000-0000-000033860000}"/>
    <cellStyle name="Style 23 6 2 3 2 3 3" xfId="34351" xr:uid="{00000000-0005-0000-0000-000034860000}"/>
    <cellStyle name="Style 23 6 2 3 2 4" xfId="34352" xr:uid="{00000000-0005-0000-0000-000035860000}"/>
    <cellStyle name="Style 23 6 2 3 2 5" xfId="34353" xr:uid="{00000000-0005-0000-0000-000036860000}"/>
    <cellStyle name="Style 23 6 2 3 2 6" xfId="34354" xr:uid="{00000000-0005-0000-0000-000037860000}"/>
    <cellStyle name="Style 23 6 2 3 3" xfId="34355" xr:uid="{00000000-0005-0000-0000-000038860000}"/>
    <cellStyle name="Style 23 6 2 3 3 2" xfId="34356" xr:uid="{00000000-0005-0000-0000-000039860000}"/>
    <cellStyle name="Style 23 6 2 3 3 3" xfId="34357" xr:uid="{00000000-0005-0000-0000-00003A860000}"/>
    <cellStyle name="Style 23 6 2 3 4" xfId="34358" xr:uid="{00000000-0005-0000-0000-00003B860000}"/>
    <cellStyle name="Style 23 6 2 3 4 2" xfId="34359" xr:uid="{00000000-0005-0000-0000-00003C860000}"/>
    <cellStyle name="Style 23 6 2 3 4 3" xfId="34360" xr:uid="{00000000-0005-0000-0000-00003D860000}"/>
    <cellStyle name="Style 23 6 2 3 5" xfId="34361" xr:uid="{00000000-0005-0000-0000-00003E860000}"/>
    <cellStyle name="Style 23 6 2 3 5 2" xfId="34362" xr:uid="{00000000-0005-0000-0000-00003F860000}"/>
    <cellStyle name="Style 23 6 2 3 5 3" xfId="34363" xr:uid="{00000000-0005-0000-0000-000040860000}"/>
    <cellStyle name="Style 23 6 2 3 6" xfId="34364" xr:uid="{00000000-0005-0000-0000-000041860000}"/>
    <cellStyle name="Style 23 6 2 3 7" xfId="34365" xr:uid="{00000000-0005-0000-0000-000042860000}"/>
    <cellStyle name="Style 23 6 2 3 8" xfId="34366" xr:uid="{00000000-0005-0000-0000-000043860000}"/>
    <cellStyle name="Style 23 6 2 4" xfId="34367" xr:uid="{00000000-0005-0000-0000-000044860000}"/>
    <cellStyle name="Style 23 6 2 4 2" xfId="34368" xr:uid="{00000000-0005-0000-0000-000045860000}"/>
    <cellStyle name="Style 23 6 2 4 2 2" xfId="34369" xr:uid="{00000000-0005-0000-0000-000046860000}"/>
    <cellStyle name="Style 23 6 2 4 2 3" xfId="34370" xr:uid="{00000000-0005-0000-0000-000047860000}"/>
    <cellStyle name="Style 23 6 2 4 3" xfId="34371" xr:uid="{00000000-0005-0000-0000-000048860000}"/>
    <cellStyle name="Style 23 6 2 4 3 2" xfId="34372" xr:uid="{00000000-0005-0000-0000-000049860000}"/>
    <cellStyle name="Style 23 6 2 4 3 3" xfId="34373" xr:uid="{00000000-0005-0000-0000-00004A860000}"/>
    <cellStyle name="Style 23 6 2 4 4" xfId="34374" xr:uid="{00000000-0005-0000-0000-00004B860000}"/>
    <cellStyle name="Style 23 6 2 4 5" xfId="34375" xr:uid="{00000000-0005-0000-0000-00004C860000}"/>
    <cellStyle name="Style 23 6 2 4 6" xfId="34376" xr:uid="{00000000-0005-0000-0000-00004D860000}"/>
    <cellStyle name="Style 23 6 2 5" xfId="34377" xr:uid="{00000000-0005-0000-0000-00004E860000}"/>
    <cellStyle name="Style 23 6 2 5 2" xfId="34378" xr:uid="{00000000-0005-0000-0000-00004F860000}"/>
    <cellStyle name="Style 23 6 2 5 3" xfId="34379" xr:uid="{00000000-0005-0000-0000-000050860000}"/>
    <cellStyle name="Style 23 6 2 6" xfId="34380" xr:uid="{00000000-0005-0000-0000-000051860000}"/>
    <cellStyle name="Style 23 6 2 6 2" xfId="34381" xr:uid="{00000000-0005-0000-0000-000052860000}"/>
    <cellStyle name="Style 23 6 2 6 3" xfId="34382" xr:uid="{00000000-0005-0000-0000-000053860000}"/>
    <cellStyle name="Style 23 6 2 7" xfId="34383" xr:uid="{00000000-0005-0000-0000-000054860000}"/>
    <cellStyle name="Style 23 6 2 7 2" xfId="34384" xr:uid="{00000000-0005-0000-0000-000055860000}"/>
    <cellStyle name="Style 23 6 2 7 3" xfId="34385" xr:uid="{00000000-0005-0000-0000-000056860000}"/>
    <cellStyle name="Style 23 6 2 8" xfId="34386" xr:uid="{00000000-0005-0000-0000-000057860000}"/>
    <cellStyle name="Style 23 6 2 9" xfId="34387" xr:uid="{00000000-0005-0000-0000-000058860000}"/>
    <cellStyle name="Style 23 6 3" xfId="34388" xr:uid="{00000000-0005-0000-0000-000059860000}"/>
    <cellStyle name="Style 23 6 3 2" xfId="34389" xr:uid="{00000000-0005-0000-0000-00005A860000}"/>
    <cellStyle name="Style 23 6 3 2 2" xfId="34390" xr:uid="{00000000-0005-0000-0000-00005B860000}"/>
    <cellStyle name="Style 23 6 3 2 2 2" xfId="34391" xr:uid="{00000000-0005-0000-0000-00005C860000}"/>
    <cellStyle name="Style 23 6 3 2 2 3" xfId="34392" xr:uid="{00000000-0005-0000-0000-00005D860000}"/>
    <cellStyle name="Style 23 6 3 2 3" xfId="34393" xr:uid="{00000000-0005-0000-0000-00005E860000}"/>
    <cellStyle name="Style 23 6 3 2 3 2" xfId="34394" xr:uid="{00000000-0005-0000-0000-00005F860000}"/>
    <cellStyle name="Style 23 6 3 2 3 3" xfId="34395" xr:uid="{00000000-0005-0000-0000-000060860000}"/>
    <cellStyle name="Style 23 6 3 2 4" xfId="34396" xr:uid="{00000000-0005-0000-0000-000061860000}"/>
    <cellStyle name="Style 23 6 3 2 5" xfId="34397" xr:uid="{00000000-0005-0000-0000-000062860000}"/>
    <cellStyle name="Style 23 6 3 2 6" xfId="34398" xr:uid="{00000000-0005-0000-0000-000063860000}"/>
    <cellStyle name="Style 23 6 3 3" xfId="34399" xr:uid="{00000000-0005-0000-0000-000064860000}"/>
    <cellStyle name="Style 23 6 3 3 2" xfId="34400" xr:uid="{00000000-0005-0000-0000-000065860000}"/>
    <cellStyle name="Style 23 6 3 3 3" xfId="34401" xr:uid="{00000000-0005-0000-0000-000066860000}"/>
    <cellStyle name="Style 23 6 3 4" xfId="34402" xr:uid="{00000000-0005-0000-0000-000067860000}"/>
    <cellStyle name="Style 23 6 3 4 2" xfId="34403" xr:uid="{00000000-0005-0000-0000-000068860000}"/>
    <cellStyle name="Style 23 6 3 4 3" xfId="34404" xr:uid="{00000000-0005-0000-0000-000069860000}"/>
    <cellStyle name="Style 23 6 3 5" xfId="34405" xr:uid="{00000000-0005-0000-0000-00006A860000}"/>
    <cellStyle name="Style 23 6 3 5 2" xfId="34406" xr:uid="{00000000-0005-0000-0000-00006B860000}"/>
    <cellStyle name="Style 23 6 3 5 3" xfId="34407" xr:uid="{00000000-0005-0000-0000-00006C860000}"/>
    <cellStyle name="Style 23 6 3 6" xfId="34408" xr:uid="{00000000-0005-0000-0000-00006D860000}"/>
    <cellStyle name="Style 23 6 3 7" xfId="34409" xr:uid="{00000000-0005-0000-0000-00006E860000}"/>
    <cellStyle name="Style 23 6 3 8" xfId="34410" xr:uid="{00000000-0005-0000-0000-00006F860000}"/>
    <cellStyle name="Style 23 6 4" xfId="34411" xr:uid="{00000000-0005-0000-0000-000070860000}"/>
    <cellStyle name="Style 23 6 4 2" xfId="34412" xr:uid="{00000000-0005-0000-0000-000071860000}"/>
    <cellStyle name="Style 23 6 4 2 2" xfId="34413" xr:uid="{00000000-0005-0000-0000-000072860000}"/>
    <cellStyle name="Style 23 6 4 2 2 2" xfId="34414" xr:uid="{00000000-0005-0000-0000-000073860000}"/>
    <cellStyle name="Style 23 6 4 2 2 3" xfId="34415" xr:uid="{00000000-0005-0000-0000-000074860000}"/>
    <cellStyle name="Style 23 6 4 2 3" xfId="34416" xr:uid="{00000000-0005-0000-0000-000075860000}"/>
    <cellStyle name="Style 23 6 4 2 3 2" xfId="34417" xr:uid="{00000000-0005-0000-0000-000076860000}"/>
    <cellStyle name="Style 23 6 4 2 3 3" xfId="34418" xr:uid="{00000000-0005-0000-0000-000077860000}"/>
    <cellStyle name="Style 23 6 4 2 4" xfId="34419" xr:uid="{00000000-0005-0000-0000-000078860000}"/>
    <cellStyle name="Style 23 6 4 2 5" xfId="34420" xr:uid="{00000000-0005-0000-0000-000079860000}"/>
    <cellStyle name="Style 23 6 4 2 6" xfId="34421" xr:uid="{00000000-0005-0000-0000-00007A860000}"/>
    <cellStyle name="Style 23 6 4 3" xfId="34422" xr:uid="{00000000-0005-0000-0000-00007B860000}"/>
    <cellStyle name="Style 23 6 4 3 2" xfId="34423" xr:uid="{00000000-0005-0000-0000-00007C860000}"/>
    <cellStyle name="Style 23 6 4 3 3" xfId="34424" xr:uid="{00000000-0005-0000-0000-00007D860000}"/>
    <cellStyle name="Style 23 6 4 4" xfId="34425" xr:uid="{00000000-0005-0000-0000-00007E860000}"/>
    <cellStyle name="Style 23 6 4 4 2" xfId="34426" xr:uid="{00000000-0005-0000-0000-00007F860000}"/>
    <cellStyle name="Style 23 6 4 4 3" xfId="34427" xr:uid="{00000000-0005-0000-0000-000080860000}"/>
    <cellStyle name="Style 23 6 4 5" xfId="34428" xr:uid="{00000000-0005-0000-0000-000081860000}"/>
    <cellStyle name="Style 23 6 4 5 2" xfId="34429" xr:uid="{00000000-0005-0000-0000-000082860000}"/>
    <cellStyle name="Style 23 6 4 5 3" xfId="34430" xr:uid="{00000000-0005-0000-0000-000083860000}"/>
    <cellStyle name="Style 23 6 4 6" xfId="34431" xr:uid="{00000000-0005-0000-0000-000084860000}"/>
    <cellStyle name="Style 23 6 4 7" xfId="34432" xr:uid="{00000000-0005-0000-0000-000085860000}"/>
    <cellStyle name="Style 23 6 4 8" xfId="34433" xr:uid="{00000000-0005-0000-0000-000086860000}"/>
    <cellStyle name="Style 23 6 5" xfId="34434" xr:uid="{00000000-0005-0000-0000-000087860000}"/>
    <cellStyle name="Style 23 6 5 2" xfId="34435" xr:uid="{00000000-0005-0000-0000-000088860000}"/>
    <cellStyle name="Style 23 6 5 2 2" xfId="34436" xr:uid="{00000000-0005-0000-0000-000089860000}"/>
    <cellStyle name="Style 23 6 5 2 2 2" xfId="34437" xr:uid="{00000000-0005-0000-0000-00008A860000}"/>
    <cellStyle name="Style 23 6 5 2 2 3" xfId="34438" xr:uid="{00000000-0005-0000-0000-00008B860000}"/>
    <cellStyle name="Style 23 6 5 2 3" xfId="34439" xr:uid="{00000000-0005-0000-0000-00008C860000}"/>
    <cellStyle name="Style 23 6 5 2 3 2" xfId="34440" xr:uid="{00000000-0005-0000-0000-00008D860000}"/>
    <cellStyle name="Style 23 6 5 2 3 3" xfId="34441" xr:uid="{00000000-0005-0000-0000-00008E860000}"/>
    <cellStyle name="Style 23 6 5 2 4" xfId="34442" xr:uid="{00000000-0005-0000-0000-00008F860000}"/>
    <cellStyle name="Style 23 6 5 2 5" xfId="34443" xr:uid="{00000000-0005-0000-0000-000090860000}"/>
    <cellStyle name="Style 23 6 5 2 6" xfId="34444" xr:uid="{00000000-0005-0000-0000-000091860000}"/>
    <cellStyle name="Style 23 6 5 3" xfId="34445" xr:uid="{00000000-0005-0000-0000-000092860000}"/>
    <cellStyle name="Style 23 6 5 3 2" xfId="34446" xr:uid="{00000000-0005-0000-0000-000093860000}"/>
    <cellStyle name="Style 23 6 5 3 3" xfId="34447" xr:uid="{00000000-0005-0000-0000-000094860000}"/>
    <cellStyle name="Style 23 6 5 4" xfId="34448" xr:uid="{00000000-0005-0000-0000-000095860000}"/>
    <cellStyle name="Style 23 6 5 4 2" xfId="34449" xr:uid="{00000000-0005-0000-0000-000096860000}"/>
    <cellStyle name="Style 23 6 5 4 3" xfId="34450" xr:uid="{00000000-0005-0000-0000-000097860000}"/>
    <cellStyle name="Style 23 6 5 5" xfId="34451" xr:uid="{00000000-0005-0000-0000-000098860000}"/>
    <cellStyle name="Style 23 6 5 5 2" xfId="34452" xr:uid="{00000000-0005-0000-0000-000099860000}"/>
    <cellStyle name="Style 23 6 5 5 3" xfId="34453" xr:uid="{00000000-0005-0000-0000-00009A860000}"/>
    <cellStyle name="Style 23 6 5 6" xfId="34454" xr:uid="{00000000-0005-0000-0000-00009B860000}"/>
    <cellStyle name="Style 23 6 5 7" xfId="34455" xr:uid="{00000000-0005-0000-0000-00009C860000}"/>
    <cellStyle name="Style 23 6 5 8" xfId="34456" xr:uid="{00000000-0005-0000-0000-00009D860000}"/>
    <cellStyle name="Style 23 6 6" xfId="34457" xr:uid="{00000000-0005-0000-0000-00009E860000}"/>
    <cellStyle name="Style 23 6 6 2" xfId="34458" xr:uid="{00000000-0005-0000-0000-00009F860000}"/>
    <cellStyle name="Style 23 6 6 2 2" xfId="34459" xr:uid="{00000000-0005-0000-0000-0000A0860000}"/>
    <cellStyle name="Style 23 6 6 2 3" xfId="34460" xr:uid="{00000000-0005-0000-0000-0000A1860000}"/>
    <cellStyle name="Style 23 6 6 3" xfId="34461" xr:uid="{00000000-0005-0000-0000-0000A2860000}"/>
    <cellStyle name="Style 23 6 6 3 2" xfId="34462" xr:uid="{00000000-0005-0000-0000-0000A3860000}"/>
    <cellStyle name="Style 23 6 6 3 3" xfId="34463" xr:uid="{00000000-0005-0000-0000-0000A4860000}"/>
    <cellStyle name="Style 23 6 6 4" xfId="34464" xr:uid="{00000000-0005-0000-0000-0000A5860000}"/>
    <cellStyle name="Style 23 6 6 5" xfId="34465" xr:uid="{00000000-0005-0000-0000-0000A6860000}"/>
    <cellStyle name="Style 23 6 6 6" xfId="34466" xr:uid="{00000000-0005-0000-0000-0000A7860000}"/>
    <cellStyle name="Style 23 6 7" xfId="34467" xr:uid="{00000000-0005-0000-0000-0000A8860000}"/>
    <cellStyle name="Style 23 6 7 2" xfId="34468" xr:uid="{00000000-0005-0000-0000-0000A9860000}"/>
    <cellStyle name="Style 23 6 7 3" xfId="34469" xr:uid="{00000000-0005-0000-0000-0000AA860000}"/>
    <cellStyle name="Style 23 6 8" xfId="34470" xr:uid="{00000000-0005-0000-0000-0000AB860000}"/>
    <cellStyle name="Style 23 6 8 2" xfId="34471" xr:uid="{00000000-0005-0000-0000-0000AC860000}"/>
    <cellStyle name="Style 23 6 8 3" xfId="34472" xr:uid="{00000000-0005-0000-0000-0000AD860000}"/>
    <cellStyle name="Style 23 6 9" xfId="34473" xr:uid="{00000000-0005-0000-0000-0000AE860000}"/>
    <cellStyle name="Style 23 6 9 2" xfId="34474" xr:uid="{00000000-0005-0000-0000-0000AF860000}"/>
    <cellStyle name="Style 23 6 9 3" xfId="34475" xr:uid="{00000000-0005-0000-0000-0000B0860000}"/>
    <cellStyle name="Style 23 7" xfId="34476" xr:uid="{00000000-0005-0000-0000-0000B1860000}"/>
    <cellStyle name="Style 23 7 10" xfId="34477" xr:uid="{00000000-0005-0000-0000-0000B2860000}"/>
    <cellStyle name="Style 23 7 11" xfId="34478" xr:uid="{00000000-0005-0000-0000-0000B3860000}"/>
    <cellStyle name="Style 23 7 12" xfId="34479" xr:uid="{00000000-0005-0000-0000-0000B4860000}"/>
    <cellStyle name="Style 23 7 2" xfId="34480" xr:uid="{00000000-0005-0000-0000-0000B5860000}"/>
    <cellStyle name="Style 23 7 2 10" xfId="34481" xr:uid="{00000000-0005-0000-0000-0000B6860000}"/>
    <cellStyle name="Style 23 7 2 2" xfId="34482" xr:uid="{00000000-0005-0000-0000-0000B7860000}"/>
    <cellStyle name="Style 23 7 2 2 2" xfId="34483" xr:uid="{00000000-0005-0000-0000-0000B8860000}"/>
    <cellStyle name="Style 23 7 2 2 2 2" xfId="34484" xr:uid="{00000000-0005-0000-0000-0000B9860000}"/>
    <cellStyle name="Style 23 7 2 2 2 2 2" xfId="34485" xr:uid="{00000000-0005-0000-0000-0000BA860000}"/>
    <cellStyle name="Style 23 7 2 2 2 2 3" xfId="34486" xr:uid="{00000000-0005-0000-0000-0000BB860000}"/>
    <cellStyle name="Style 23 7 2 2 2 3" xfId="34487" xr:uid="{00000000-0005-0000-0000-0000BC860000}"/>
    <cellStyle name="Style 23 7 2 2 2 3 2" xfId="34488" xr:uid="{00000000-0005-0000-0000-0000BD860000}"/>
    <cellStyle name="Style 23 7 2 2 2 3 3" xfId="34489" xr:uid="{00000000-0005-0000-0000-0000BE860000}"/>
    <cellStyle name="Style 23 7 2 2 2 4" xfId="34490" xr:uid="{00000000-0005-0000-0000-0000BF860000}"/>
    <cellStyle name="Style 23 7 2 2 2 5" xfId="34491" xr:uid="{00000000-0005-0000-0000-0000C0860000}"/>
    <cellStyle name="Style 23 7 2 2 2 6" xfId="34492" xr:uid="{00000000-0005-0000-0000-0000C1860000}"/>
    <cellStyle name="Style 23 7 2 2 3" xfId="34493" xr:uid="{00000000-0005-0000-0000-0000C2860000}"/>
    <cellStyle name="Style 23 7 2 2 3 2" xfId="34494" xr:uid="{00000000-0005-0000-0000-0000C3860000}"/>
    <cellStyle name="Style 23 7 2 2 3 3" xfId="34495" xr:uid="{00000000-0005-0000-0000-0000C4860000}"/>
    <cellStyle name="Style 23 7 2 2 4" xfId="34496" xr:uid="{00000000-0005-0000-0000-0000C5860000}"/>
    <cellStyle name="Style 23 7 2 2 4 2" xfId="34497" xr:uid="{00000000-0005-0000-0000-0000C6860000}"/>
    <cellStyle name="Style 23 7 2 2 4 3" xfId="34498" xr:uid="{00000000-0005-0000-0000-0000C7860000}"/>
    <cellStyle name="Style 23 7 2 2 5" xfId="34499" xr:uid="{00000000-0005-0000-0000-0000C8860000}"/>
    <cellStyle name="Style 23 7 2 2 5 2" xfId="34500" xr:uid="{00000000-0005-0000-0000-0000C9860000}"/>
    <cellStyle name="Style 23 7 2 2 5 3" xfId="34501" xr:uid="{00000000-0005-0000-0000-0000CA860000}"/>
    <cellStyle name="Style 23 7 2 2 6" xfId="34502" xr:uid="{00000000-0005-0000-0000-0000CB860000}"/>
    <cellStyle name="Style 23 7 2 2 7" xfId="34503" xr:uid="{00000000-0005-0000-0000-0000CC860000}"/>
    <cellStyle name="Style 23 7 2 2 8" xfId="34504" xr:uid="{00000000-0005-0000-0000-0000CD860000}"/>
    <cellStyle name="Style 23 7 2 3" xfId="34505" xr:uid="{00000000-0005-0000-0000-0000CE860000}"/>
    <cellStyle name="Style 23 7 2 3 2" xfId="34506" xr:uid="{00000000-0005-0000-0000-0000CF860000}"/>
    <cellStyle name="Style 23 7 2 3 2 2" xfId="34507" xr:uid="{00000000-0005-0000-0000-0000D0860000}"/>
    <cellStyle name="Style 23 7 2 3 2 2 2" xfId="34508" xr:uid="{00000000-0005-0000-0000-0000D1860000}"/>
    <cellStyle name="Style 23 7 2 3 2 2 3" xfId="34509" xr:uid="{00000000-0005-0000-0000-0000D2860000}"/>
    <cellStyle name="Style 23 7 2 3 2 3" xfId="34510" xr:uid="{00000000-0005-0000-0000-0000D3860000}"/>
    <cellStyle name="Style 23 7 2 3 2 3 2" xfId="34511" xr:uid="{00000000-0005-0000-0000-0000D4860000}"/>
    <cellStyle name="Style 23 7 2 3 2 3 3" xfId="34512" xr:uid="{00000000-0005-0000-0000-0000D5860000}"/>
    <cellStyle name="Style 23 7 2 3 2 4" xfId="34513" xr:uid="{00000000-0005-0000-0000-0000D6860000}"/>
    <cellStyle name="Style 23 7 2 3 2 5" xfId="34514" xr:uid="{00000000-0005-0000-0000-0000D7860000}"/>
    <cellStyle name="Style 23 7 2 3 2 6" xfId="34515" xr:uid="{00000000-0005-0000-0000-0000D8860000}"/>
    <cellStyle name="Style 23 7 2 3 3" xfId="34516" xr:uid="{00000000-0005-0000-0000-0000D9860000}"/>
    <cellStyle name="Style 23 7 2 3 3 2" xfId="34517" xr:uid="{00000000-0005-0000-0000-0000DA860000}"/>
    <cellStyle name="Style 23 7 2 3 3 3" xfId="34518" xr:uid="{00000000-0005-0000-0000-0000DB860000}"/>
    <cellStyle name="Style 23 7 2 3 4" xfId="34519" xr:uid="{00000000-0005-0000-0000-0000DC860000}"/>
    <cellStyle name="Style 23 7 2 3 4 2" xfId="34520" xr:uid="{00000000-0005-0000-0000-0000DD860000}"/>
    <cellStyle name="Style 23 7 2 3 4 3" xfId="34521" xr:uid="{00000000-0005-0000-0000-0000DE860000}"/>
    <cellStyle name="Style 23 7 2 3 5" xfId="34522" xr:uid="{00000000-0005-0000-0000-0000DF860000}"/>
    <cellStyle name="Style 23 7 2 3 5 2" xfId="34523" xr:uid="{00000000-0005-0000-0000-0000E0860000}"/>
    <cellStyle name="Style 23 7 2 3 5 3" xfId="34524" xr:uid="{00000000-0005-0000-0000-0000E1860000}"/>
    <cellStyle name="Style 23 7 2 3 6" xfId="34525" xr:uid="{00000000-0005-0000-0000-0000E2860000}"/>
    <cellStyle name="Style 23 7 2 3 7" xfId="34526" xr:uid="{00000000-0005-0000-0000-0000E3860000}"/>
    <cellStyle name="Style 23 7 2 3 8" xfId="34527" xr:uid="{00000000-0005-0000-0000-0000E4860000}"/>
    <cellStyle name="Style 23 7 2 4" xfId="34528" xr:uid="{00000000-0005-0000-0000-0000E5860000}"/>
    <cellStyle name="Style 23 7 2 4 2" xfId="34529" xr:uid="{00000000-0005-0000-0000-0000E6860000}"/>
    <cellStyle name="Style 23 7 2 4 2 2" xfId="34530" xr:uid="{00000000-0005-0000-0000-0000E7860000}"/>
    <cellStyle name="Style 23 7 2 4 2 3" xfId="34531" xr:uid="{00000000-0005-0000-0000-0000E8860000}"/>
    <cellStyle name="Style 23 7 2 4 3" xfId="34532" xr:uid="{00000000-0005-0000-0000-0000E9860000}"/>
    <cellStyle name="Style 23 7 2 4 3 2" xfId="34533" xr:uid="{00000000-0005-0000-0000-0000EA860000}"/>
    <cellStyle name="Style 23 7 2 4 3 3" xfId="34534" xr:uid="{00000000-0005-0000-0000-0000EB860000}"/>
    <cellStyle name="Style 23 7 2 4 4" xfId="34535" xr:uid="{00000000-0005-0000-0000-0000EC860000}"/>
    <cellStyle name="Style 23 7 2 4 5" xfId="34536" xr:uid="{00000000-0005-0000-0000-0000ED860000}"/>
    <cellStyle name="Style 23 7 2 4 6" xfId="34537" xr:uid="{00000000-0005-0000-0000-0000EE860000}"/>
    <cellStyle name="Style 23 7 2 5" xfId="34538" xr:uid="{00000000-0005-0000-0000-0000EF860000}"/>
    <cellStyle name="Style 23 7 2 5 2" xfId="34539" xr:uid="{00000000-0005-0000-0000-0000F0860000}"/>
    <cellStyle name="Style 23 7 2 5 3" xfId="34540" xr:uid="{00000000-0005-0000-0000-0000F1860000}"/>
    <cellStyle name="Style 23 7 2 6" xfId="34541" xr:uid="{00000000-0005-0000-0000-0000F2860000}"/>
    <cellStyle name="Style 23 7 2 6 2" xfId="34542" xr:uid="{00000000-0005-0000-0000-0000F3860000}"/>
    <cellStyle name="Style 23 7 2 6 3" xfId="34543" xr:uid="{00000000-0005-0000-0000-0000F4860000}"/>
    <cellStyle name="Style 23 7 2 7" xfId="34544" xr:uid="{00000000-0005-0000-0000-0000F5860000}"/>
    <cellStyle name="Style 23 7 2 7 2" xfId="34545" xr:uid="{00000000-0005-0000-0000-0000F6860000}"/>
    <cellStyle name="Style 23 7 2 7 3" xfId="34546" xr:uid="{00000000-0005-0000-0000-0000F7860000}"/>
    <cellStyle name="Style 23 7 2 8" xfId="34547" xr:uid="{00000000-0005-0000-0000-0000F8860000}"/>
    <cellStyle name="Style 23 7 2 9" xfId="34548" xr:uid="{00000000-0005-0000-0000-0000F9860000}"/>
    <cellStyle name="Style 23 7 3" xfId="34549" xr:uid="{00000000-0005-0000-0000-0000FA860000}"/>
    <cellStyle name="Style 23 7 3 2" xfId="34550" xr:uid="{00000000-0005-0000-0000-0000FB860000}"/>
    <cellStyle name="Style 23 7 3 2 2" xfId="34551" xr:uid="{00000000-0005-0000-0000-0000FC860000}"/>
    <cellStyle name="Style 23 7 3 2 2 2" xfId="34552" xr:uid="{00000000-0005-0000-0000-0000FD860000}"/>
    <cellStyle name="Style 23 7 3 2 2 3" xfId="34553" xr:uid="{00000000-0005-0000-0000-0000FE860000}"/>
    <cellStyle name="Style 23 7 3 2 3" xfId="34554" xr:uid="{00000000-0005-0000-0000-0000FF860000}"/>
    <cellStyle name="Style 23 7 3 2 3 2" xfId="34555" xr:uid="{00000000-0005-0000-0000-000000870000}"/>
    <cellStyle name="Style 23 7 3 2 3 3" xfId="34556" xr:uid="{00000000-0005-0000-0000-000001870000}"/>
    <cellStyle name="Style 23 7 3 2 4" xfId="34557" xr:uid="{00000000-0005-0000-0000-000002870000}"/>
    <cellStyle name="Style 23 7 3 2 5" xfId="34558" xr:uid="{00000000-0005-0000-0000-000003870000}"/>
    <cellStyle name="Style 23 7 3 2 6" xfId="34559" xr:uid="{00000000-0005-0000-0000-000004870000}"/>
    <cellStyle name="Style 23 7 3 3" xfId="34560" xr:uid="{00000000-0005-0000-0000-000005870000}"/>
    <cellStyle name="Style 23 7 3 3 2" xfId="34561" xr:uid="{00000000-0005-0000-0000-000006870000}"/>
    <cellStyle name="Style 23 7 3 3 3" xfId="34562" xr:uid="{00000000-0005-0000-0000-000007870000}"/>
    <cellStyle name="Style 23 7 3 4" xfId="34563" xr:uid="{00000000-0005-0000-0000-000008870000}"/>
    <cellStyle name="Style 23 7 3 4 2" xfId="34564" xr:uid="{00000000-0005-0000-0000-000009870000}"/>
    <cellStyle name="Style 23 7 3 4 3" xfId="34565" xr:uid="{00000000-0005-0000-0000-00000A870000}"/>
    <cellStyle name="Style 23 7 3 5" xfId="34566" xr:uid="{00000000-0005-0000-0000-00000B870000}"/>
    <cellStyle name="Style 23 7 3 5 2" xfId="34567" xr:uid="{00000000-0005-0000-0000-00000C870000}"/>
    <cellStyle name="Style 23 7 3 5 3" xfId="34568" xr:uid="{00000000-0005-0000-0000-00000D870000}"/>
    <cellStyle name="Style 23 7 3 6" xfId="34569" xr:uid="{00000000-0005-0000-0000-00000E870000}"/>
    <cellStyle name="Style 23 7 3 7" xfId="34570" xr:uid="{00000000-0005-0000-0000-00000F870000}"/>
    <cellStyle name="Style 23 7 3 8" xfId="34571" xr:uid="{00000000-0005-0000-0000-000010870000}"/>
    <cellStyle name="Style 23 7 4" xfId="34572" xr:uid="{00000000-0005-0000-0000-000011870000}"/>
    <cellStyle name="Style 23 7 4 2" xfId="34573" xr:uid="{00000000-0005-0000-0000-000012870000}"/>
    <cellStyle name="Style 23 7 4 2 2" xfId="34574" xr:uid="{00000000-0005-0000-0000-000013870000}"/>
    <cellStyle name="Style 23 7 4 2 2 2" xfId="34575" xr:uid="{00000000-0005-0000-0000-000014870000}"/>
    <cellStyle name="Style 23 7 4 2 2 3" xfId="34576" xr:uid="{00000000-0005-0000-0000-000015870000}"/>
    <cellStyle name="Style 23 7 4 2 3" xfId="34577" xr:uid="{00000000-0005-0000-0000-000016870000}"/>
    <cellStyle name="Style 23 7 4 2 3 2" xfId="34578" xr:uid="{00000000-0005-0000-0000-000017870000}"/>
    <cellStyle name="Style 23 7 4 2 3 3" xfId="34579" xr:uid="{00000000-0005-0000-0000-000018870000}"/>
    <cellStyle name="Style 23 7 4 2 4" xfId="34580" xr:uid="{00000000-0005-0000-0000-000019870000}"/>
    <cellStyle name="Style 23 7 4 2 5" xfId="34581" xr:uid="{00000000-0005-0000-0000-00001A870000}"/>
    <cellStyle name="Style 23 7 4 2 6" xfId="34582" xr:uid="{00000000-0005-0000-0000-00001B870000}"/>
    <cellStyle name="Style 23 7 4 3" xfId="34583" xr:uid="{00000000-0005-0000-0000-00001C870000}"/>
    <cellStyle name="Style 23 7 4 3 2" xfId="34584" xr:uid="{00000000-0005-0000-0000-00001D870000}"/>
    <cellStyle name="Style 23 7 4 3 3" xfId="34585" xr:uid="{00000000-0005-0000-0000-00001E870000}"/>
    <cellStyle name="Style 23 7 4 4" xfId="34586" xr:uid="{00000000-0005-0000-0000-00001F870000}"/>
    <cellStyle name="Style 23 7 4 4 2" xfId="34587" xr:uid="{00000000-0005-0000-0000-000020870000}"/>
    <cellStyle name="Style 23 7 4 4 3" xfId="34588" xr:uid="{00000000-0005-0000-0000-000021870000}"/>
    <cellStyle name="Style 23 7 4 5" xfId="34589" xr:uid="{00000000-0005-0000-0000-000022870000}"/>
    <cellStyle name="Style 23 7 4 5 2" xfId="34590" xr:uid="{00000000-0005-0000-0000-000023870000}"/>
    <cellStyle name="Style 23 7 4 5 3" xfId="34591" xr:uid="{00000000-0005-0000-0000-000024870000}"/>
    <cellStyle name="Style 23 7 4 6" xfId="34592" xr:uid="{00000000-0005-0000-0000-000025870000}"/>
    <cellStyle name="Style 23 7 4 7" xfId="34593" xr:uid="{00000000-0005-0000-0000-000026870000}"/>
    <cellStyle name="Style 23 7 4 8" xfId="34594" xr:uid="{00000000-0005-0000-0000-000027870000}"/>
    <cellStyle name="Style 23 7 5" xfId="34595" xr:uid="{00000000-0005-0000-0000-000028870000}"/>
    <cellStyle name="Style 23 7 5 2" xfId="34596" xr:uid="{00000000-0005-0000-0000-000029870000}"/>
    <cellStyle name="Style 23 7 5 2 2" xfId="34597" xr:uid="{00000000-0005-0000-0000-00002A870000}"/>
    <cellStyle name="Style 23 7 5 2 2 2" xfId="34598" xr:uid="{00000000-0005-0000-0000-00002B870000}"/>
    <cellStyle name="Style 23 7 5 2 2 3" xfId="34599" xr:uid="{00000000-0005-0000-0000-00002C870000}"/>
    <cellStyle name="Style 23 7 5 2 3" xfId="34600" xr:uid="{00000000-0005-0000-0000-00002D870000}"/>
    <cellStyle name="Style 23 7 5 2 3 2" xfId="34601" xr:uid="{00000000-0005-0000-0000-00002E870000}"/>
    <cellStyle name="Style 23 7 5 2 3 3" xfId="34602" xr:uid="{00000000-0005-0000-0000-00002F870000}"/>
    <cellStyle name="Style 23 7 5 2 4" xfId="34603" xr:uid="{00000000-0005-0000-0000-000030870000}"/>
    <cellStyle name="Style 23 7 5 2 5" xfId="34604" xr:uid="{00000000-0005-0000-0000-000031870000}"/>
    <cellStyle name="Style 23 7 5 2 6" xfId="34605" xr:uid="{00000000-0005-0000-0000-000032870000}"/>
    <cellStyle name="Style 23 7 5 3" xfId="34606" xr:uid="{00000000-0005-0000-0000-000033870000}"/>
    <cellStyle name="Style 23 7 5 3 2" xfId="34607" xr:uid="{00000000-0005-0000-0000-000034870000}"/>
    <cellStyle name="Style 23 7 5 3 3" xfId="34608" xr:uid="{00000000-0005-0000-0000-000035870000}"/>
    <cellStyle name="Style 23 7 5 4" xfId="34609" xr:uid="{00000000-0005-0000-0000-000036870000}"/>
    <cellStyle name="Style 23 7 5 4 2" xfId="34610" xr:uid="{00000000-0005-0000-0000-000037870000}"/>
    <cellStyle name="Style 23 7 5 4 3" xfId="34611" xr:uid="{00000000-0005-0000-0000-000038870000}"/>
    <cellStyle name="Style 23 7 5 5" xfId="34612" xr:uid="{00000000-0005-0000-0000-000039870000}"/>
    <cellStyle name="Style 23 7 5 5 2" xfId="34613" xr:uid="{00000000-0005-0000-0000-00003A870000}"/>
    <cellStyle name="Style 23 7 5 5 3" xfId="34614" xr:uid="{00000000-0005-0000-0000-00003B870000}"/>
    <cellStyle name="Style 23 7 5 6" xfId="34615" xr:uid="{00000000-0005-0000-0000-00003C870000}"/>
    <cellStyle name="Style 23 7 5 7" xfId="34616" xr:uid="{00000000-0005-0000-0000-00003D870000}"/>
    <cellStyle name="Style 23 7 5 8" xfId="34617" xr:uid="{00000000-0005-0000-0000-00003E870000}"/>
    <cellStyle name="Style 23 7 6" xfId="34618" xr:uid="{00000000-0005-0000-0000-00003F870000}"/>
    <cellStyle name="Style 23 7 6 2" xfId="34619" xr:uid="{00000000-0005-0000-0000-000040870000}"/>
    <cellStyle name="Style 23 7 6 2 2" xfId="34620" xr:uid="{00000000-0005-0000-0000-000041870000}"/>
    <cellStyle name="Style 23 7 6 2 3" xfId="34621" xr:uid="{00000000-0005-0000-0000-000042870000}"/>
    <cellStyle name="Style 23 7 6 3" xfId="34622" xr:uid="{00000000-0005-0000-0000-000043870000}"/>
    <cellStyle name="Style 23 7 6 3 2" xfId="34623" xr:uid="{00000000-0005-0000-0000-000044870000}"/>
    <cellStyle name="Style 23 7 6 3 3" xfId="34624" xr:uid="{00000000-0005-0000-0000-000045870000}"/>
    <cellStyle name="Style 23 7 6 4" xfId="34625" xr:uid="{00000000-0005-0000-0000-000046870000}"/>
    <cellStyle name="Style 23 7 6 5" xfId="34626" xr:uid="{00000000-0005-0000-0000-000047870000}"/>
    <cellStyle name="Style 23 7 6 6" xfId="34627" xr:uid="{00000000-0005-0000-0000-000048870000}"/>
    <cellStyle name="Style 23 7 7" xfId="34628" xr:uid="{00000000-0005-0000-0000-000049870000}"/>
    <cellStyle name="Style 23 7 7 2" xfId="34629" xr:uid="{00000000-0005-0000-0000-00004A870000}"/>
    <cellStyle name="Style 23 7 7 3" xfId="34630" xr:uid="{00000000-0005-0000-0000-00004B870000}"/>
    <cellStyle name="Style 23 7 8" xfId="34631" xr:uid="{00000000-0005-0000-0000-00004C870000}"/>
    <cellStyle name="Style 23 7 8 2" xfId="34632" xr:uid="{00000000-0005-0000-0000-00004D870000}"/>
    <cellStyle name="Style 23 7 8 3" xfId="34633" xr:uid="{00000000-0005-0000-0000-00004E870000}"/>
    <cellStyle name="Style 23 7 9" xfId="34634" xr:uid="{00000000-0005-0000-0000-00004F870000}"/>
    <cellStyle name="Style 23 7 9 2" xfId="34635" xr:uid="{00000000-0005-0000-0000-000050870000}"/>
    <cellStyle name="Style 23 7 9 3" xfId="34636" xr:uid="{00000000-0005-0000-0000-000051870000}"/>
    <cellStyle name="Style 23 8" xfId="34637" xr:uid="{00000000-0005-0000-0000-000052870000}"/>
    <cellStyle name="Style 23 8 10" xfId="34638" xr:uid="{00000000-0005-0000-0000-000053870000}"/>
    <cellStyle name="Style 23 8 11" xfId="34639" xr:uid="{00000000-0005-0000-0000-000054870000}"/>
    <cellStyle name="Style 23 8 12" xfId="34640" xr:uid="{00000000-0005-0000-0000-000055870000}"/>
    <cellStyle name="Style 23 8 2" xfId="34641" xr:uid="{00000000-0005-0000-0000-000056870000}"/>
    <cellStyle name="Style 23 8 2 10" xfId="34642" xr:uid="{00000000-0005-0000-0000-000057870000}"/>
    <cellStyle name="Style 23 8 2 2" xfId="34643" xr:uid="{00000000-0005-0000-0000-000058870000}"/>
    <cellStyle name="Style 23 8 2 2 2" xfId="34644" xr:uid="{00000000-0005-0000-0000-000059870000}"/>
    <cellStyle name="Style 23 8 2 2 2 2" xfId="34645" xr:uid="{00000000-0005-0000-0000-00005A870000}"/>
    <cellStyle name="Style 23 8 2 2 2 2 2" xfId="34646" xr:uid="{00000000-0005-0000-0000-00005B870000}"/>
    <cellStyle name="Style 23 8 2 2 2 2 3" xfId="34647" xr:uid="{00000000-0005-0000-0000-00005C870000}"/>
    <cellStyle name="Style 23 8 2 2 2 3" xfId="34648" xr:uid="{00000000-0005-0000-0000-00005D870000}"/>
    <cellStyle name="Style 23 8 2 2 2 3 2" xfId="34649" xr:uid="{00000000-0005-0000-0000-00005E870000}"/>
    <cellStyle name="Style 23 8 2 2 2 3 3" xfId="34650" xr:uid="{00000000-0005-0000-0000-00005F870000}"/>
    <cellStyle name="Style 23 8 2 2 2 4" xfId="34651" xr:uid="{00000000-0005-0000-0000-000060870000}"/>
    <cellStyle name="Style 23 8 2 2 2 5" xfId="34652" xr:uid="{00000000-0005-0000-0000-000061870000}"/>
    <cellStyle name="Style 23 8 2 2 2 6" xfId="34653" xr:uid="{00000000-0005-0000-0000-000062870000}"/>
    <cellStyle name="Style 23 8 2 2 3" xfId="34654" xr:uid="{00000000-0005-0000-0000-000063870000}"/>
    <cellStyle name="Style 23 8 2 2 3 2" xfId="34655" xr:uid="{00000000-0005-0000-0000-000064870000}"/>
    <cellStyle name="Style 23 8 2 2 3 3" xfId="34656" xr:uid="{00000000-0005-0000-0000-000065870000}"/>
    <cellStyle name="Style 23 8 2 2 4" xfId="34657" xr:uid="{00000000-0005-0000-0000-000066870000}"/>
    <cellStyle name="Style 23 8 2 2 4 2" xfId="34658" xr:uid="{00000000-0005-0000-0000-000067870000}"/>
    <cellStyle name="Style 23 8 2 2 4 3" xfId="34659" xr:uid="{00000000-0005-0000-0000-000068870000}"/>
    <cellStyle name="Style 23 8 2 2 5" xfId="34660" xr:uid="{00000000-0005-0000-0000-000069870000}"/>
    <cellStyle name="Style 23 8 2 2 5 2" xfId="34661" xr:uid="{00000000-0005-0000-0000-00006A870000}"/>
    <cellStyle name="Style 23 8 2 2 5 3" xfId="34662" xr:uid="{00000000-0005-0000-0000-00006B870000}"/>
    <cellStyle name="Style 23 8 2 2 6" xfId="34663" xr:uid="{00000000-0005-0000-0000-00006C870000}"/>
    <cellStyle name="Style 23 8 2 2 7" xfId="34664" xr:uid="{00000000-0005-0000-0000-00006D870000}"/>
    <cellStyle name="Style 23 8 2 2 8" xfId="34665" xr:uid="{00000000-0005-0000-0000-00006E870000}"/>
    <cellStyle name="Style 23 8 2 3" xfId="34666" xr:uid="{00000000-0005-0000-0000-00006F870000}"/>
    <cellStyle name="Style 23 8 2 3 2" xfId="34667" xr:uid="{00000000-0005-0000-0000-000070870000}"/>
    <cellStyle name="Style 23 8 2 3 2 2" xfId="34668" xr:uid="{00000000-0005-0000-0000-000071870000}"/>
    <cellStyle name="Style 23 8 2 3 2 2 2" xfId="34669" xr:uid="{00000000-0005-0000-0000-000072870000}"/>
    <cellStyle name="Style 23 8 2 3 2 2 3" xfId="34670" xr:uid="{00000000-0005-0000-0000-000073870000}"/>
    <cellStyle name="Style 23 8 2 3 2 3" xfId="34671" xr:uid="{00000000-0005-0000-0000-000074870000}"/>
    <cellStyle name="Style 23 8 2 3 2 3 2" xfId="34672" xr:uid="{00000000-0005-0000-0000-000075870000}"/>
    <cellStyle name="Style 23 8 2 3 2 3 3" xfId="34673" xr:uid="{00000000-0005-0000-0000-000076870000}"/>
    <cellStyle name="Style 23 8 2 3 2 4" xfId="34674" xr:uid="{00000000-0005-0000-0000-000077870000}"/>
    <cellStyle name="Style 23 8 2 3 2 5" xfId="34675" xr:uid="{00000000-0005-0000-0000-000078870000}"/>
    <cellStyle name="Style 23 8 2 3 2 6" xfId="34676" xr:uid="{00000000-0005-0000-0000-000079870000}"/>
    <cellStyle name="Style 23 8 2 3 3" xfId="34677" xr:uid="{00000000-0005-0000-0000-00007A870000}"/>
    <cellStyle name="Style 23 8 2 3 3 2" xfId="34678" xr:uid="{00000000-0005-0000-0000-00007B870000}"/>
    <cellStyle name="Style 23 8 2 3 3 3" xfId="34679" xr:uid="{00000000-0005-0000-0000-00007C870000}"/>
    <cellStyle name="Style 23 8 2 3 4" xfId="34680" xr:uid="{00000000-0005-0000-0000-00007D870000}"/>
    <cellStyle name="Style 23 8 2 3 4 2" xfId="34681" xr:uid="{00000000-0005-0000-0000-00007E870000}"/>
    <cellStyle name="Style 23 8 2 3 4 3" xfId="34682" xr:uid="{00000000-0005-0000-0000-00007F870000}"/>
    <cellStyle name="Style 23 8 2 3 5" xfId="34683" xr:uid="{00000000-0005-0000-0000-000080870000}"/>
    <cellStyle name="Style 23 8 2 3 5 2" xfId="34684" xr:uid="{00000000-0005-0000-0000-000081870000}"/>
    <cellStyle name="Style 23 8 2 3 5 3" xfId="34685" xr:uid="{00000000-0005-0000-0000-000082870000}"/>
    <cellStyle name="Style 23 8 2 3 6" xfId="34686" xr:uid="{00000000-0005-0000-0000-000083870000}"/>
    <cellStyle name="Style 23 8 2 3 7" xfId="34687" xr:uid="{00000000-0005-0000-0000-000084870000}"/>
    <cellStyle name="Style 23 8 2 3 8" xfId="34688" xr:uid="{00000000-0005-0000-0000-000085870000}"/>
    <cellStyle name="Style 23 8 2 4" xfId="34689" xr:uid="{00000000-0005-0000-0000-000086870000}"/>
    <cellStyle name="Style 23 8 2 4 2" xfId="34690" xr:uid="{00000000-0005-0000-0000-000087870000}"/>
    <cellStyle name="Style 23 8 2 4 2 2" xfId="34691" xr:uid="{00000000-0005-0000-0000-000088870000}"/>
    <cellStyle name="Style 23 8 2 4 2 3" xfId="34692" xr:uid="{00000000-0005-0000-0000-000089870000}"/>
    <cellStyle name="Style 23 8 2 4 3" xfId="34693" xr:uid="{00000000-0005-0000-0000-00008A870000}"/>
    <cellStyle name="Style 23 8 2 4 3 2" xfId="34694" xr:uid="{00000000-0005-0000-0000-00008B870000}"/>
    <cellStyle name="Style 23 8 2 4 3 3" xfId="34695" xr:uid="{00000000-0005-0000-0000-00008C870000}"/>
    <cellStyle name="Style 23 8 2 4 4" xfId="34696" xr:uid="{00000000-0005-0000-0000-00008D870000}"/>
    <cellStyle name="Style 23 8 2 4 5" xfId="34697" xr:uid="{00000000-0005-0000-0000-00008E870000}"/>
    <cellStyle name="Style 23 8 2 4 6" xfId="34698" xr:uid="{00000000-0005-0000-0000-00008F870000}"/>
    <cellStyle name="Style 23 8 2 5" xfId="34699" xr:uid="{00000000-0005-0000-0000-000090870000}"/>
    <cellStyle name="Style 23 8 2 5 2" xfId="34700" xr:uid="{00000000-0005-0000-0000-000091870000}"/>
    <cellStyle name="Style 23 8 2 5 3" xfId="34701" xr:uid="{00000000-0005-0000-0000-000092870000}"/>
    <cellStyle name="Style 23 8 2 6" xfId="34702" xr:uid="{00000000-0005-0000-0000-000093870000}"/>
    <cellStyle name="Style 23 8 2 6 2" xfId="34703" xr:uid="{00000000-0005-0000-0000-000094870000}"/>
    <cellStyle name="Style 23 8 2 6 3" xfId="34704" xr:uid="{00000000-0005-0000-0000-000095870000}"/>
    <cellStyle name="Style 23 8 2 7" xfId="34705" xr:uid="{00000000-0005-0000-0000-000096870000}"/>
    <cellStyle name="Style 23 8 2 7 2" xfId="34706" xr:uid="{00000000-0005-0000-0000-000097870000}"/>
    <cellStyle name="Style 23 8 2 7 3" xfId="34707" xr:uid="{00000000-0005-0000-0000-000098870000}"/>
    <cellStyle name="Style 23 8 2 8" xfId="34708" xr:uid="{00000000-0005-0000-0000-000099870000}"/>
    <cellStyle name="Style 23 8 2 9" xfId="34709" xr:uid="{00000000-0005-0000-0000-00009A870000}"/>
    <cellStyle name="Style 23 8 3" xfId="34710" xr:uid="{00000000-0005-0000-0000-00009B870000}"/>
    <cellStyle name="Style 23 8 3 2" xfId="34711" xr:uid="{00000000-0005-0000-0000-00009C870000}"/>
    <cellStyle name="Style 23 8 3 2 2" xfId="34712" xr:uid="{00000000-0005-0000-0000-00009D870000}"/>
    <cellStyle name="Style 23 8 3 2 2 2" xfId="34713" xr:uid="{00000000-0005-0000-0000-00009E870000}"/>
    <cellStyle name="Style 23 8 3 2 2 3" xfId="34714" xr:uid="{00000000-0005-0000-0000-00009F870000}"/>
    <cellStyle name="Style 23 8 3 2 3" xfId="34715" xr:uid="{00000000-0005-0000-0000-0000A0870000}"/>
    <cellStyle name="Style 23 8 3 2 3 2" xfId="34716" xr:uid="{00000000-0005-0000-0000-0000A1870000}"/>
    <cellStyle name="Style 23 8 3 2 3 3" xfId="34717" xr:uid="{00000000-0005-0000-0000-0000A2870000}"/>
    <cellStyle name="Style 23 8 3 2 4" xfId="34718" xr:uid="{00000000-0005-0000-0000-0000A3870000}"/>
    <cellStyle name="Style 23 8 3 2 5" xfId="34719" xr:uid="{00000000-0005-0000-0000-0000A4870000}"/>
    <cellStyle name="Style 23 8 3 2 6" xfId="34720" xr:uid="{00000000-0005-0000-0000-0000A5870000}"/>
    <cellStyle name="Style 23 8 3 3" xfId="34721" xr:uid="{00000000-0005-0000-0000-0000A6870000}"/>
    <cellStyle name="Style 23 8 3 3 2" xfId="34722" xr:uid="{00000000-0005-0000-0000-0000A7870000}"/>
    <cellStyle name="Style 23 8 3 3 3" xfId="34723" xr:uid="{00000000-0005-0000-0000-0000A8870000}"/>
    <cellStyle name="Style 23 8 3 4" xfId="34724" xr:uid="{00000000-0005-0000-0000-0000A9870000}"/>
    <cellStyle name="Style 23 8 3 4 2" xfId="34725" xr:uid="{00000000-0005-0000-0000-0000AA870000}"/>
    <cellStyle name="Style 23 8 3 4 3" xfId="34726" xr:uid="{00000000-0005-0000-0000-0000AB870000}"/>
    <cellStyle name="Style 23 8 3 5" xfId="34727" xr:uid="{00000000-0005-0000-0000-0000AC870000}"/>
    <cellStyle name="Style 23 8 3 5 2" xfId="34728" xr:uid="{00000000-0005-0000-0000-0000AD870000}"/>
    <cellStyle name="Style 23 8 3 5 3" xfId="34729" xr:uid="{00000000-0005-0000-0000-0000AE870000}"/>
    <cellStyle name="Style 23 8 3 6" xfId="34730" xr:uid="{00000000-0005-0000-0000-0000AF870000}"/>
    <cellStyle name="Style 23 8 3 7" xfId="34731" xr:uid="{00000000-0005-0000-0000-0000B0870000}"/>
    <cellStyle name="Style 23 8 3 8" xfId="34732" xr:uid="{00000000-0005-0000-0000-0000B1870000}"/>
    <cellStyle name="Style 23 8 4" xfId="34733" xr:uid="{00000000-0005-0000-0000-0000B2870000}"/>
    <cellStyle name="Style 23 8 4 2" xfId="34734" xr:uid="{00000000-0005-0000-0000-0000B3870000}"/>
    <cellStyle name="Style 23 8 4 2 2" xfId="34735" xr:uid="{00000000-0005-0000-0000-0000B4870000}"/>
    <cellStyle name="Style 23 8 4 2 2 2" xfId="34736" xr:uid="{00000000-0005-0000-0000-0000B5870000}"/>
    <cellStyle name="Style 23 8 4 2 2 3" xfId="34737" xr:uid="{00000000-0005-0000-0000-0000B6870000}"/>
    <cellStyle name="Style 23 8 4 2 3" xfId="34738" xr:uid="{00000000-0005-0000-0000-0000B7870000}"/>
    <cellStyle name="Style 23 8 4 2 3 2" xfId="34739" xr:uid="{00000000-0005-0000-0000-0000B8870000}"/>
    <cellStyle name="Style 23 8 4 2 3 3" xfId="34740" xr:uid="{00000000-0005-0000-0000-0000B9870000}"/>
    <cellStyle name="Style 23 8 4 2 4" xfId="34741" xr:uid="{00000000-0005-0000-0000-0000BA870000}"/>
    <cellStyle name="Style 23 8 4 2 5" xfId="34742" xr:uid="{00000000-0005-0000-0000-0000BB870000}"/>
    <cellStyle name="Style 23 8 4 2 6" xfId="34743" xr:uid="{00000000-0005-0000-0000-0000BC870000}"/>
    <cellStyle name="Style 23 8 4 3" xfId="34744" xr:uid="{00000000-0005-0000-0000-0000BD870000}"/>
    <cellStyle name="Style 23 8 4 3 2" xfId="34745" xr:uid="{00000000-0005-0000-0000-0000BE870000}"/>
    <cellStyle name="Style 23 8 4 3 3" xfId="34746" xr:uid="{00000000-0005-0000-0000-0000BF870000}"/>
    <cellStyle name="Style 23 8 4 4" xfId="34747" xr:uid="{00000000-0005-0000-0000-0000C0870000}"/>
    <cellStyle name="Style 23 8 4 4 2" xfId="34748" xr:uid="{00000000-0005-0000-0000-0000C1870000}"/>
    <cellStyle name="Style 23 8 4 4 3" xfId="34749" xr:uid="{00000000-0005-0000-0000-0000C2870000}"/>
    <cellStyle name="Style 23 8 4 5" xfId="34750" xr:uid="{00000000-0005-0000-0000-0000C3870000}"/>
    <cellStyle name="Style 23 8 4 5 2" xfId="34751" xr:uid="{00000000-0005-0000-0000-0000C4870000}"/>
    <cellStyle name="Style 23 8 4 5 3" xfId="34752" xr:uid="{00000000-0005-0000-0000-0000C5870000}"/>
    <cellStyle name="Style 23 8 4 6" xfId="34753" xr:uid="{00000000-0005-0000-0000-0000C6870000}"/>
    <cellStyle name="Style 23 8 4 7" xfId="34754" xr:uid="{00000000-0005-0000-0000-0000C7870000}"/>
    <cellStyle name="Style 23 8 4 8" xfId="34755" xr:uid="{00000000-0005-0000-0000-0000C8870000}"/>
    <cellStyle name="Style 23 8 5" xfId="34756" xr:uid="{00000000-0005-0000-0000-0000C9870000}"/>
    <cellStyle name="Style 23 8 5 2" xfId="34757" xr:uid="{00000000-0005-0000-0000-0000CA870000}"/>
    <cellStyle name="Style 23 8 5 2 2" xfId="34758" xr:uid="{00000000-0005-0000-0000-0000CB870000}"/>
    <cellStyle name="Style 23 8 5 2 2 2" xfId="34759" xr:uid="{00000000-0005-0000-0000-0000CC870000}"/>
    <cellStyle name="Style 23 8 5 2 2 3" xfId="34760" xr:uid="{00000000-0005-0000-0000-0000CD870000}"/>
    <cellStyle name="Style 23 8 5 2 3" xfId="34761" xr:uid="{00000000-0005-0000-0000-0000CE870000}"/>
    <cellStyle name="Style 23 8 5 2 3 2" xfId="34762" xr:uid="{00000000-0005-0000-0000-0000CF870000}"/>
    <cellStyle name="Style 23 8 5 2 3 3" xfId="34763" xr:uid="{00000000-0005-0000-0000-0000D0870000}"/>
    <cellStyle name="Style 23 8 5 2 4" xfId="34764" xr:uid="{00000000-0005-0000-0000-0000D1870000}"/>
    <cellStyle name="Style 23 8 5 2 5" xfId="34765" xr:uid="{00000000-0005-0000-0000-0000D2870000}"/>
    <cellStyle name="Style 23 8 5 2 6" xfId="34766" xr:uid="{00000000-0005-0000-0000-0000D3870000}"/>
    <cellStyle name="Style 23 8 5 3" xfId="34767" xr:uid="{00000000-0005-0000-0000-0000D4870000}"/>
    <cellStyle name="Style 23 8 5 3 2" xfId="34768" xr:uid="{00000000-0005-0000-0000-0000D5870000}"/>
    <cellStyle name="Style 23 8 5 3 3" xfId="34769" xr:uid="{00000000-0005-0000-0000-0000D6870000}"/>
    <cellStyle name="Style 23 8 5 4" xfId="34770" xr:uid="{00000000-0005-0000-0000-0000D7870000}"/>
    <cellStyle name="Style 23 8 5 4 2" xfId="34771" xr:uid="{00000000-0005-0000-0000-0000D8870000}"/>
    <cellStyle name="Style 23 8 5 4 3" xfId="34772" xr:uid="{00000000-0005-0000-0000-0000D9870000}"/>
    <cellStyle name="Style 23 8 5 5" xfId="34773" xr:uid="{00000000-0005-0000-0000-0000DA870000}"/>
    <cellStyle name="Style 23 8 5 5 2" xfId="34774" xr:uid="{00000000-0005-0000-0000-0000DB870000}"/>
    <cellStyle name="Style 23 8 5 5 3" xfId="34775" xr:uid="{00000000-0005-0000-0000-0000DC870000}"/>
    <cellStyle name="Style 23 8 5 6" xfId="34776" xr:uid="{00000000-0005-0000-0000-0000DD870000}"/>
    <cellStyle name="Style 23 8 5 7" xfId="34777" xr:uid="{00000000-0005-0000-0000-0000DE870000}"/>
    <cellStyle name="Style 23 8 5 8" xfId="34778" xr:uid="{00000000-0005-0000-0000-0000DF870000}"/>
    <cellStyle name="Style 23 8 6" xfId="34779" xr:uid="{00000000-0005-0000-0000-0000E0870000}"/>
    <cellStyle name="Style 23 8 6 2" xfId="34780" xr:uid="{00000000-0005-0000-0000-0000E1870000}"/>
    <cellStyle name="Style 23 8 6 2 2" xfId="34781" xr:uid="{00000000-0005-0000-0000-0000E2870000}"/>
    <cellStyle name="Style 23 8 6 2 3" xfId="34782" xr:uid="{00000000-0005-0000-0000-0000E3870000}"/>
    <cellStyle name="Style 23 8 6 3" xfId="34783" xr:uid="{00000000-0005-0000-0000-0000E4870000}"/>
    <cellStyle name="Style 23 8 6 3 2" xfId="34784" xr:uid="{00000000-0005-0000-0000-0000E5870000}"/>
    <cellStyle name="Style 23 8 6 3 3" xfId="34785" xr:uid="{00000000-0005-0000-0000-0000E6870000}"/>
    <cellStyle name="Style 23 8 6 4" xfId="34786" xr:uid="{00000000-0005-0000-0000-0000E7870000}"/>
    <cellStyle name="Style 23 8 6 5" xfId="34787" xr:uid="{00000000-0005-0000-0000-0000E8870000}"/>
    <cellStyle name="Style 23 8 6 6" xfId="34788" xr:uid="{00000000-0005-0000-0000-0000E9870000}"/>
    <cellStyle name="Style 23 8 7" xfId="34789" xr:uid="{00000000-0005-0000-0000-0000EA870000}"/>
    <cellStyle name="Style 23 8 7 2" xfId="34790" xr:uid="{00000000-0005-0000-0000-0000EB870000}"/>
    <cellStyle name="Style 23 8 7 3" xfId="34791" xr:uid="{00000000-0005-0000-0000-0000EC870000}"/>
    <cellStyle name="Style 23 8 8" xfId="34792" xr:uid="{00000000-0005-0000-0000-0000ED870000}"/>
    <cellStyle name="Style 23 8 8 2" xfId="34793" xr:uid="{00000000-0005-0000-0000-0000EE870000}"/>
    <cellStyle name="Style 23 8 8 3" xfId="34794" xr:uid="{00000000-0005-0000-0000-0000EF870000}"/>
    <cellStyle name="Style 23 8 9" xfId="34795" xr:uid="{00000000-0005-0000-0000-0000F0870000}"/>
    <cellStyle name="Style 23 8 9 2" xfId="34796" xr:uid="{00000000-0005-0000-0000-0000F1870000}"/>
    <cellStyle name="Style 23 8 9 3" xfId="34797" xr:uid="{00000000-0005-0000-0000-0000F2870000}"/>
    <cellStyle name="Style 23 9" xfId="34798" xr:uid="{00000000-0005-0000-0000-0000F3870000}"/>
    <cellStyle name="Style 23 9 10" xfId="34799" xr:uid="{00000000-0005-0000-0000-0000F4870000}"/>
    <cellStyle name="Style 23 9 11" xfId="34800" xr:uid="{00000000-0005-0000-0000-0000F5870000}"/>
    <cellStyle name="Style 23 9 12" xfId="34801" xr:uid="{00000000-0005-0000-0000-0000F6870000}"/>
    <cellStyle name="Style 23 9 2" xfId="34802" xr:uid="{00000000-0005-0000-0000-0000F7870000}"/>
    <cellStyle name="Style 23 9 2 10" xfId="34803" xr:uid="{00000000-0005-0000-0000-0000F8870000}"/>
    <cellStyle name="Style 23 9 2 2" xfId="34804" xr:uid="{00000000-0005-0000-0000-0000F9870000}"/>
    <cellStyle name="Style 23 9 2 2 2" xfId="34805" xr:uid="{00000000-0005-0000-0000-0000FA870000}"/>
    <cellStyle name="Style 23 9 2 2 2 2" xfId="34806" xr:uid="{00000000-0005-0000-0000-0000FB870000}"/>
    <cellStyle name="Style 23 9 2 2 2 2 2" xfId="34807" xr:uid="{00000000-0005-0000-0000-0000FC870000}"/>
    <cellStyle name="Style 23 9 2 2 2 2 3" xfId="34808" xr:uid="{00000000-0005-0000-0000-0000FD870000}"/>
    <cellStyle name="Style 23 9 2 2 2 3" xfId="34809" xr:uid="{00000000-0005-0000-0000-0000FE870000}"/>
    <cellStyle name="Style 23 9 2 2 2 3 2" xfId="34810" xr:uid="{00000000-0005-0000-0000-0000FF870000}"/>
    <cellStyle name="Style 23 9 2 2 2 3 3" xfId="34811" xr:uid="{00000000-0005-0000-0000-000000880000}"/>
    <cellStyle name="Style 23 9 2 2 2 4" xfId="34812" xr:uid="{00000000-0005-0000-0000-000001880000}"/>
    <cellStyle name="Style 23 9 2 2 2 5" xfId="34813" xr:uid="{00000000-0005-0000-0000-000002880000}"/>
    <cellStyle name="Style 23 9 2 2 2 6" xfId="34814" xr:uid="{00000000-0005-0000-0000-000003880000}"/>
    <cellStyle name="Style 23 9 2 2 3" xfId="34815" xr:uid="{00000000-0005-0000-0000-000004880000}"/>
    <cellStyle name="Style 23 9 2 2 3 2" xfId="34816" xr:uid="{00000000-0005-0000-0000-000005880000}"/>
    <cellStyle name="Style 23 9 2 2 3 3" xfId="34817" xr:uid="{00000000-0005-0000-0000-000006880000}"/>
    <cellStyle name="Style 23 9 2 2 4" xfId="34818" xr:uid="{00000000-0005-0000-0000-000007880000}"/>
    <cellStyle name="Style 23 9 2 2 4 2" xfId="34819" xr:uid="{00000000-0005-0000-0000-000008880000}"/>
    <cellStyle name="Style 23 9 2 2 4 3" xfId="34820" xr:uid="{00000000-0005-0000-0000-000009880000}"/>
    <cellStyle name="Style 23 9 2 2 5" xfId="34821" xr:uid="{00000000-0005-0000-0000-00000A880000}"/>
    <cellStyle name="Style 23 9 2 2 5 2" xfId="34822" xr:uid="{00000000-0005-0000-0000-00000B880000}"/>
    <cellStyle name="Style 23 9 2 2 5 3" xfId="34823" xr:uid="{00000000-0005-0000-0000-00000C880000}"/>
    <cellStyle name="Style 23 9 2 2 6" xfId="34824" xr:uid="{00000000-0005-0000-0000-00000D880000}"/>
    <cellStyle name="Style 23 9 2 2 7" xfId="34825" xr:uid="{00000000-0005-0000-0000-00000E880000}"/>
    <cellStyle name="Style 23 9 2 2 8" xfId="34826" xr:uid="{00000000-0005-0000-0000-00000F880000}"/>
    <cellStyle name="Style 23 9 2 3" xfId="34827" xr:uid="{00000000-0005-0000-0000-000010880000}"/>
    <cellStyle name="Style 23 9 2 3 2" xfId="34828" xr:uid="{00000000-0005-0000-0000-000011880000}"/>
    <cellStyle name="Style 23 9 2 3 2 2" xfId="34829" xr:uid="{00000000-0005-0000-0000-000012880000}"/>
    <cellStyle name="Style 23 9 2 3 2 2 2" xfId="34830" xr:uid="{00000000-0005-0000-0000-000013880000}"/>
    <cellStyle name="Style 23 9 2 3 2 2 3" xfId="34831" xr:uid="{00000000-0005-0000-0000-000014880000}"/>
    <cellStyle name="Style 23 9 2 3 2 3" xfId="34832" xr:uid="{00000000-0005-0000-0000-000015880000}"/>
    <cellStyle name="Style 23 9 2 3 2 3 2" xfId="34833" xr:uid="{00000000-0005-0000-0000-000016880000}"/>
    <cellStyle name="Style 23 9 2 3 2 3 3" xfId="34834" xr:uid="{00000000-0005-0000-0000-000017880000}"/>
    <cellStyle name="Style 23 9 2 3 2 4" xfId="34835" xr:uid="{00000000-0005-0000-0000-000018880000}"/>
    <cellStyle name="Style 23 9 2 3 2 5" xfId="34836" xr:uid="{00000000-0005-0000-0000-000019880000}"/>
    <cellStyle name="Style 23 9 2 3 2 6" xfId="34837" xr:uid="{00000000-0005-0000-0000-00001A880000}"/>
    <cellStyle name="Style 23 9 2 3 3" xfId="34838" xr:uid="{00000000-0005-0000-0000-00001B880000}"/>
    <cellStyle name="Style 23 9 2 3 3 2" xfId="34839" xr:uid="{00000000-0005-0000-0000-00001C880000}"/>
    <cellStyle name="Style 23 9 2 3 3 3" xfId="34840" xr:uid="{00000000-0005-0000-0000-00001D880000}"/>
    <cellStyle name="Style 23 9 2 3 4" xfId="34841" xr:uid="{00000000-0005-0000-0000-00001E880000}"/>
    <cellStyle name="Style 23 9 2 3 4 2" xfId="34842" xr:uid="{00000000-0005-0000-0000-00001F880000}"/>
    <cellStyle name="Style 23 9 2 3 4 3" xfId="34843" xr:uid="{00000000-0005-0000-0000-000020880000}"/>
    <cellStyle name="Style 23 9 2 3 5" xfId="34844" xr:uid="{00000000-0005-0000-0000-000021880000}"/>
    <cellStyle name="Style 23 9 2 3 5 2" xfId="34845" xr:uid="{00000000-0005-0000-0000-000022880000}"/>
    <cellStyle name="Style 23 9 2 3 5 3" xfId="34846" xr:uid="{00000000-0005-0000-0000-000023880000}"/>
    <cellStyle name="Style 23 9 2 3 6" xfId="34847" xr:uid="{00000000-0005-0000-0000-000024880000}"/>
    <cellStyle name="Style 23 9 2 3 7" xfId="34848" xr:uid="{00000000-0005-0000-0000-000025880000}"/>
    <cellStyle name="Style 23 9 2 3 8" xfId="34849" xr:uid="{00000000-0005-0000-0000-000026880000}"/>
    <cellStyle name="Style 23 9 2 4" xfId="34850" xr:uid="{00000000-0005-0000-0000-000027880000}"/>
    <cellStyle name="Style 23 9 2 4 2" xfId="34851" xr:uid="{00000000-0005-0000-0000-000028880000}"/>
    <cellStyle name="Style 23 9 2 4 2 2" xfId="34852" xr:uid="{00000000-0005-0000-0000-000029880000}"/>
    <cellStyle name="Style 23 9 2 4 2 3" xfId="34853" xr:uid="{00000000-0005-0000-0000-00002A880000}"/>
    <cellStyle name="Style 23 9 2 4 3" xfId="34854" xr:uid="{00000000-0005-0000-0000-00002B880000}"/>
    <cellStyle name="Style 23 9 2 4 3 2" xfId="34855" xr:uid="{00000000-0005-0000-0000-00002C880000}"/>
    <cellStyle name="Style 23 9 2 4 3 3" xfId="34856" xr:uid="{00000000-0005-0000-0000-00002D880000}"/>
    <cellStyle name="Style 23 9 2 4 4" xfId="34857" xr:uid="{00000000-0005-0000-0000-00002E880000}"/>
    <cellStyle name="Style 23 9 2 4 5" xfId="34858" xr:uid="{00000000-0005-0000-0000-00002F880000}"/>
    <cellStyle name="Style 23 9 2 4 6" xfId="34859" xr:uid="{00000000-0005-0000-0000-000030880000}"/>
    <cellStyle name="Style 23 9 2 5" xfId="34860" xr:uid="{00000000-0005-0000-0000-000031880000}"/>
    <cellStyle name="Style 23 9 2 5 2" xfId="34861" xr:uid="{00000000-0005-0000-0000-000032880000}"/>
    <cellStyle name="Style 23 9 2 5 3" xfId="34862" xr:uid="{00000000-0005-0000-0000-000033880000}"/>
    <cellStyle name="Style 23 9 2 6" xfId="34863" xr:uid="{00000000-0005-0000-0000-000034880000}"/>
    <cellStyle name="Style 23 9 2 6 2" xfId="34864" xr:uid="{00000000-0005-0000-0000-000035880000}"/>
    <cellStyle name="Style 23 9 2 6 3" xfId="34865" xr:uid="{00000000-0005-0000-0000-000036880000}"/>
    <cellStyle name="Style 23 9 2 7" xfId="34866" xr:uid="{00000000-0005-0000-0000-000037880000}"/>
    <cellStyle name="Style 23 9 2 7 2" xfId="34867" xr:uid="{00000000-0005-0000-0000-000038880000}"/>
    <cellStyle name="Style 23 9 2 7 3" xfId="34868" xr:uid="{00000000-0005-0000-0000-000039880000}"/>
    <cellStyle name="Style 23 9 2 8" xfId="34869" xr:uid="{00000000-0005-0000-0000-00003A880000}"/>
    <cellStyle name="Style 23 9 2 9" xfId="34870" xr:uid="{00000000-0005-0000-0000-00003B880000}"/>
    <cellStyle name="Style 23 9 3" xfId="34871" xr:uid="{00000000-0005-0000-0000-00003C880000}"/>
    <cellStyle name="Style 23 9 3 2" xfId="34872" xr:uid="{00000000-0005-0000-0000-00003D880000}"/>
    <cellStyle name="Style 23 9 3 2 2" xfId="34873" xr:uid="{00000000-0005-0000-0000-00003E880000}"/>
    <cellStyle name="Style 23 9 3 2 2 2" xfId="34874" xr:uid="{00000000-0005-0000-0000-00003F880000}"/>
    <cellStyle name="Style 23 9 3 2 2 3" xfId="34875" xr:uid="{00000000-0005-0000-0000-000040880000}"/>
    <cellStyle name="Style 23 9 3 2 3" xfId="34876" xr:uid="{00000000-0005-0000-0000-000041880000}"/>
    <cellStyle name="Style 23 9 3 2 3 2" xfId="34877" xr:uid="{00000000-0005-0000-0000-000042880000}"/>
    <cellStyle name="Style 23 9 3 2 3 3" xfId="34878" xr:uid="{00000000-0005-0000-0000-000043880000}"/>
    <cellStyle name="Style 23 9 3 2 4" xfId="34879" xr:uid="{00000000-0005-0000-0000-000044880000}"/>
    <cellStyle name="Style 23 9 3 2 5" xfId="34880" xr:uid="{00000000-0005-0000-0000-000045880000}"/>
    <cellStyle name="Style 23 9 3 2 6" xfId="34881" xr:uid="{00000000-0005-0000-0000-000046880000}"/>
    <cellStyle name="Style 23 9 3 3" xfId="34882" xr:uid="{00000000-0005-0000-0000-000047880000}"/>
    <cellStyle name="Style 23 9 3 3 2" xfId="34883" xr:uid="{00000000-0005-0000-0000-000048880000}"/>
    <cellStyle name="Style 23 9 3 3 3" xfId="34884" xr:uid="{00000000-0005-0000-0000-000049880000}"/>
    <cellStyle name="Style 23 9 3 4" xfId="34885" xr:uid="{00000000-0005-0000-0000-00004A880000}"/>
    <cellStyle name="Style 23 9 3 4 2" xfId="34886" xr:uid="{00000000-0005-0000-0000-00004B880000}"/>
    <cellStyle name="Style 23 9 3 4 3" xfId="34887" xr:uid="{00000000-0005-0000-0000-00004C880000}"/>
    <cellStyle name="Style 23 9 3 5" xfId="34888" xr:uid="{00000000-0005-0000-0000-00004D880000}"/>
    <cellStyle name="Style 23 9 3 5 2" xfId="34889" xr:uid="{00000000-0005-0000-0000-00004E880000}"/>
    <cellStyle name="Style 23 9 3 5 3" xfId="34890" xr:uid="{00000000-0005-0000-0000-00004F880000}"/>
    <cellStyle name="Style 23 9 3 6" xfId="34891" xr:uid="{00000000-0005-0000-0000-000050880000}"/>
    <cellStyle name="Style 23 9 3 7" xfId="34892" xr:uid="{00000000-0005-0000-0000-000051880000}"/>
    <cellStyle name="Style 23 9 3 8" xfId="34893" xr:uid="{00000000-0005-0000-0000-000052880000}"/>
    <cellStyle name="Style 23 9 4" xfId="34894" xr:uid="{00000000-0005-0000-0000-000053880000}"/>
    <cellStyle name="Style 23 9 4 2" xfId="34895" xr:uid="{00000000-0005-0000-0000-000054880000}"/>
    <cellStyle name="Style 23 9 4 2 2" xfId="34896" xr:uid="{00000000-0005-0000-0000-000055880000}"/>
    <cellStyle name="Style 23 9 4 2 2 2" xfId="34897" xr:uid="{00000000-0005-0000-0000-000056880000}"/>
    <cellStyle name="Style 23 9 4 2 2 3" xfId="34898" xr:uid="{00000000-0005-0000-0000-000057880000}"/>
    <cellStyle name="Style 23 9 4 2 3" xfId="34899" xr:uid="{00000000-0005-0000-0000-000058880000}"/>
    <cellStyle name="Style 23 9 4 2 3 2" xfId="34900" xr:uid="{00000000-0005-0000-0000-000059880000}"/>
    <cellStyle name="Style 23 9 4 2 3 3" xfId="34901" xr:uid="{00000000-0005-0000-0000-00005A880000}"/>
    <cellStyle name="Style 23 9 4 2 4" xfId="34902" xr:uid="{00000000-0005-0000-0000-00005B880000}"/>
    <cellStyle name="Style 23 9 4 2 5" xfId="34903" xr:uid="{00000000-0005-0000-0000-00005C880000}"/>
    <cellStyle name="Style 23 9 4 2 6" xfId="34904" xr:uid="{00000000-0005-0000-0000-00005D880000}"/>
    <cellStyle name="Style 23 9 4 3" xfId="34905" xr:uid="{00000000-0005-0000-0000-00005E880000}"/>
    <cellStyle name="Style 23 9 4 3 2" xfId="34906" xr:uid="{00000000-0005-0000-0000-00005F880000}"/>
    <cellStyle name="Style 23 9 4 3 3" xfId="34907" xr:uid="{00000000-0005-0000-0000-000060880000}"/>
    <cellStyle name="Style 23 9 4 4" xfId="34908" xr:uid="{00000000-0005-0000-0000-000061880000}"/>
    <cellStyle name="Style 23 9 4 4 2" xfId="34909" xr:uid="{00000000-0005-0000-0000-000062880000}"/>
    <cellStyle name="Style 23 9 4 4 3" xfId="34910" xr:uid="{00000000-0005-0000-0000-000063880000}"/>
    <cellStyle name="Style 23 9 4 5" xfId="34911" xr:uid="{00000000-0005-0000-0000-000064880000}"/>
    <cellStyle name="Style 23 9 4 5 2" xfId="34912" xr:uid="{00000000-0005-0000-0000-000065880000}"/>
    <cellStyle name="Style 23 9 4 5 3" xfId="34913" xr:uid="{00000000-0005-0000-0000-000066880000}"/>
    <cellStyle name="Style 23 9 4 6" xfId="34914" xr:uid="{00000000-0005-0000-0000-000067880000}"/>
    <cellStyle name="Style 23 9 4 7" xfId="34915" xr:uid="{00000000-0005-0000-0000-000068880000}"/>
    <cellStyle name="Style 23 9 4 8" xfId="34916" xr:uid="{00000000-0005-0000-0000-000069880000}"/>
    <cellStyle name="Style 23 9 5" xfId="34917" xr:uid="{00000000-0005-0000-0000-00006A880000}"/>
    <cellStyle name="Style 23 9 5 2" xfId="34918" xr:uid="{00000000-0005-0000-0000-00006B880000}"/>
    <cellStyle name="Style 23 9 5 2 2" xfId="34919" xr:uid="{00000000-0005-0000-0000-00006C880000}"/>
    <cellStyle name="Style 23 9 5 2 2 2" xfId="34920" xr:uid="{00000000-0005-0000-0000-00006D880000}"/>
    <cellStyle name="Style 23 9 5 2 2 3" xfId="34921" xr:uid="{00000000-0005-0000-0000-00006E880000}"/>
    <cellStyle name="Style 23 9 5 2 3" xfId="34922" xr:uid="{00000000-0005-0000-0000-00006F880000}"/>
    <cellStyle name="Style 23 9 5 2 3 2" xfId="34923" xr:uid="{00000000-0005-0000-0000-000070880000}"/>
    <cellStyle name="Style 23 9 5 2 3 3" xfId="34924" xr:uid="{00000000-0005-0000-0000-000071880000}"/>
    <cellStyle name="Style 23 9 5 2 4" xfId="34925" xr:uid="{00000000-0005-0000-0000-000072880000}"/>
    <cellStyle name="Style 23 9 5 2 5" xfId="34926" xr:uid="{00000000-0005-0000-0000-000073880000}"/>
    <cellStyle name="Style 23 9 5 2 6" xfId="34927" xr:uid="{00000000-0005-0000-0000-000074880000}"/>
    <cellStyle name="Style 23 9 5 3" xfId="34928" xr:uid="{00000000-0005-0000-0000-000075880000}"/>
    <cellStyle name="Style 23 9 5 3 2" xfId="34929" xr:uid="{00000000-0005-0000-0000-000076880000}"/>
    <cellStyle name="Style 23 9 5 3 3" xfId="34930" xr:uid="{00000000-0005-0000-0000-000077880000}"/>
    <cellStyle name="Style 23 9 5 4" xfId="34931" xr:uid="{00000000-0005-0000-0000-000078880000}"/>
    <cellStyle name="Style 23 9 5 4 2" xfId="34932" xr:uid="{00000000-0005-0000-0000-000079880000}"/>
    <cellStyle name="Style 23 9 5 4 3" xfId="34933" xr:uid="{00000000-0005-0000-0000-00007A880000}"/>
    <cellStyle name="Style 23 9 5 5" xfId="34934" xr:uid="{00000000-0005-0000-0000-00007B880000}"/>
    <cellStyle name="Style 23 9 5 5 2" xfId="34935" xr:uid="{00000000-0005-0000-0000-00007C880000}"/>
    <cellStyle name="Style 23 9 5 5 3" xfId="34936" xr:uid="{00000000-0005-0000-0000-00007D880000}"/>
    <cellStyle name="Style 23 9 5 6" xfId="34937" xr:uid="{00000000-0005-0000-0000-00007E880000}"/>
    <cellStyle name="Style 23 9 5 7" xfId="34938" xr:uid="{00000000-0005-0000-0000-00007F880000}"/>
    <cellStyle name="Style 23 9 5 8" xfId="34939" xr:uid="{00000000-0005-0000-0000-000080880000}"/>
    <cellStyle name="Style 23 9 6" xfId="34940" xr:uid="{00000000-0005-0000-0000-000081880000}"/>
    <cellStyle name="Style 23 9 6 2" xfId="34941" xr:uid="{00000000-0005-0000-0000-000082880000}"/>
    <cellStyle name="Style 23 9 6 2 2" xfId="34942" xr:uid="{00000000-0005-0000-0000-000083880000}"/>
    <cellStyle name="Style 23 9 6 2 3" xfId="34943" xr:uid="{00000000-0005-0000-0000-000084880000}"/>
    <cellStyle name="Style 23 9 6 3" xfId="34944" xr:uid="{00000000-0005-0000-0000-000085880000}"/>
    <cellStyle name="Style 23 9 6 3 2" xfId="34945" xr:uid="{00000000-0005-0000-0000-000086880000}"/>
    <cellStyle name="Style 23 9 6 3 3" xfId="34946" xr:uid="{00000000-0005-0000-0000-000087880000}"/>
    <cellStyle name="Style 23 9 6 4" xfId="34947" xr:uid="{00000000-0005-0000-0000-000088880000}"/>
    <cellStyle name="Style 23 9 6 5" xfId="34948" xr:uid="{00000000-0005-0000-0000-000089880000}"/>
    <cellStyle name="Style 23 9 6 6" xfId="34949" xr:uid="{00000000-0005-0000-0000-00008A880000}"/>
    <cellStyle name="Style 23 9 7" xfId="34950" xr:uid="{00000000-0005-0000-0000-00008B880000}"/>
    <cellStyle name="Style 23 9 7 2" xfId="34951" xr:uid="{00000000-0005-0000-0000-00008C880000}"/>
    <cellStyle name="Style 23 9 7 3" xfId="34952" xr:uid="{00000000-0005-0000-0000-00008D880000}"/>
    <cellStyle name="Style 23 9 8" xfId="34953" xr:uid="{00000000-0005-0000-0000-00008E880000}"/>
    <cellStyle name="Style 23 9 8 2" xfId="34954" xr:uid="{00000000-0005-0000-0000-00008F880000}"/>
    <cellStyle name="Style 23 9 8 3" xfId="34955" xr:uid="{00000000-0005-0000-0000-000090880000}"/>
    <cellStyle name="Style 23 9 9" xfId="34956" xr:uid="{00000000-0005-0000-0000-000091880000}"/>
    <cellStyle name="Style 23 9 9 2" xfId="34957" xr:uid="{00000000-0005-0000-0000-000092880000}"/>
    <cellStyle name="Style 23 9 9 3" xfId="34958" xr:uid="{00000000-0005-0000-0000-000093880000}"/>
    <cellStyle name="Style 24" xfId="34959" xr:uid="{00000000-0005-0000-0000-000094880000}"/>
    <cellStyle name="Style 24 10" xfId="34960" xr:uid="{00000000-0005-0000-0000-000095880000}"/>
    <cellStyle name="Style 24 10 10" xfId="34961" xr:uid="{00000000-0005-0000-0000-000096880000}"/>
    <cellStyle name="Style 24 10 11" xfId="34962" xr:uid="{00000000-0005-0000-0000-000097880000}"/>
    <cellStyle name="Style 24 10 12" xfId="34963" xr:uid="{00000000-0005-0000-0000-000098880000}"/>
    <cellStyle name="Style 24 10 2" xfId="34964" xr:uid="{00000000-0005-0000-0000-000099880000}"/>
    <cellStyle name="Style 24 10 2 10" xfId="34965" xr:uid="{00000000-0005-0000-0000-00009A880000}"/>
    <cellStyle name="Style 24 10 2 2" xfId="34966" xr:uid="{00000000-0005-0000-0000-00009B880000}"/>
    <cellStyle name="Style 24 10 2 2 2" xfId="34967" xr:uid="{00000000-0005-0000-0000-00009C880000}"/>
    <cellStyle name="Style 24 10 2 2 2 2" xfId="34968" xr:uid="{00000000-0005-0000-0000-00009D880000}"/>
    <cellStyle name="Style 24 10 2 2 2 2 2" xfId="34969" xr:uid="{00000000-0005-0000-0000-00009E880000}"/>
    <cellStyle name="Style 24 10 2 2 2 2 3" xfId="34970" xr:uid="{00000000-0005-0000-0000-00009F880000}"/>
    <cellStyle name="Style 24 10 2 2 2 3" xfId="34971" xr:uid="{00000000-0005-0000-0000-0000A0880000}"/>
    <cellStyle name="Style 24 10 2 2 2 3 2" xfId="34972" xr:uid="{00000000-0005-0000-0000-0000A1880000}"/>
    <cellStyle name="Style 24 10 2 2 2 3 3" xfId="34973" xr:uid="{00000000-0005-0000-0000-0000A2880000}"/>
    <cellStyle name="Style 24 10 2 2 2 4" xfId="34974" xr:uid="{00000000-0005-0000-0000-0000A3880000}"/>
    <cellStyle name="Style 24 10 2 2 2 5" xfId="34975" xr:uid="{00000000-0005-0000-0000-0000A4880000}"/>
    <cellStyle name="Style 24 10 2 2 2 6" xfId="34976" xr:uid="{00000000-0005-0000-0000-0000A5880000}"/>
    <cellStyle name="Style 24 10 2 2 3" xfId="34977" xr:uid="{00000000-0005-0000-0000-0000A6880000}"/>
    <cellStyle name="Style 24 10 2 2 3 2" xfId="34978" xr:uid="{00000000-0005-0000-0000-0000A7880000}"/>
    <cellStyle name="Style 24 10 2 2 3 3" xfId="34979" xr:uid="{00000000-0005-0000-0000-0000A8880000}"/>
    <cellStyle name="Style 24 10 2 2 4" xfId="34980" xr:uid="{00000000-0005-0000-0000-0000A9880000}"/>
    <cellStyle name="Style 24 10 2 2 4 2" xfId="34981" xr:uid="{00000000-0005-0000-0000-0000AA880000}"/>
    <cellStyle name="Style 24 10 2 2 4 3" xfId="34982" xr:uid="{00000000-0005-0000-0000-0000AB880000}"/>
    <cellStyle name="Style 24 10 2 2 5" xfId="34983" xr:uid="{00000000-0005-0000-0000-0000AC880000}"/>
    <cellStyle name="Style 24 10 2 2 5 2" xfId="34984" xr:uid="{00000000-0005-0000-0000-0000AD880000}"/>
    <cellStyle name="Style 24 10 2 2 5 3" xfId="34985" xr:uid="{00000000-0005-0000-0000-0000AE880000}"/>
    <cellStyle name="Style 24 10 2 2 6" xfId="34986" xr:uid="{00000000-0005-0000-0000-0000AF880000}"/>
    <cellStyle name="Style 24 10 2 2 7" xfId="34987" xr:uid="{00000000-0005-0000-0000-0000B0880000}"/>
    <cellStyle name="Style 24 10 2 2 8" xfId="34988" xr:uid="{00000000-0005-0000-0000-0000B1880000}"/>
    <cellStyle name="Style 24 10 2 3" xfId="34989" xr:uid="{00000000-0005-0000-0000-0000B2880000}"/>
    <cellStyle name="Style 24 10 2 3 2" xfId="34990" xr:uid="{00000000-0005-0000-0000-0000B3880000}"/>
    <cellStyle name="Style 24 10 2 3 2 2" xfId="34991" xr:uid="{00000000-0005-0000-0000-0000B4880000}"/>
    <cellStyle name="Style 24 10 2 3 2 2 2" xfId="34992" xr:uid="{00000000-0005-0000-0000-0000B5880000}"/>
    <cellStyle name="Style 24 10 2 3 2 2 3" xfId="34993" xr:uid="{00000000-0005-0000-0000-0000B6880000}"/>
    <cellStyle name="Style 24 10 2 3 2 3" xfId="34994" xr:uid="{00000000-0005-0000-0000-0000B7880000}"/>
    <cellStyle name="Style 24 10 2 3 2 3 2" xfId="34995" xr:uid="{00000000-0005-0000-0000-0000B8880000}"/>
    <cellStyle name="Style 24 10 2 3 2 3 3" xfId="34996" xr:uid="{00000000-0005-0000-0000-0000B9880000}"/>
    <cellStyle name="Style 24 10 2 3 2 4" xfId="34997" xr:uid="{00000000-0005-0000-0000-0000BA880000}"/>
    <cellStyle name="Style 24 10 2 3 2 5" xfId="34998" xr:uid="{00000000-0005-0000-0000-0000BB880000}"/>
    <cellStyle name="Style 24 10 2 3 2 6" xfId="34999" xr:uid="{00000000-0005-0000-0000-0000BC880000}"/>
    <cellStyle name="Style 24 10 2 3 3" xfId="35000" xr:uid="{00000000-0005-0000-0000-0000BD880000}"/>
    <cellStyle name="Style 24 10 2 3 3 2" xfId="35001" xr:uid="{00000000-0005-0000-0000-0000BE880000}"/>
    <cellStyle name="Style 24 10 2 3 3 3" xfId="35002" xr:uid="{00000000-0005-0000-0000-0000BF880000}"/>
    <cellStyle name="Style 24 10 2 3 4" xfId="35003" xr:uid="{00000000-0005-0000-0000-0000C0880000}"/>
    <cellStyle name="Style 24 10 2 3 4 2" xfId="35004" xr:uid="{00000000-0005-0000-0000-0000C1880000}"/>
    <cellStyle name="Style 24 10 2 3 4 3" xfId="35005" xr:uid="{00000000-0005-0000-0000-0000C2880000}"/>
    <cellStyle name="Style 24 10 2 3 5" xfId="35006" xr:uid="{00000000-0005-0000-0000-0000C3880000}"/>
    <cellStyle name="Style 24 10 2 3 5 2" xfId="35007" xr:uid="{00000000-0005-0000-0000-0000C4880000}"/>
    <cellStyle name="Style 24 10 2 3 5 3" xfId="35008" xr:uid="{00000000-0005-0000-0000-0000C5880000}"/>
    <cellStyle name="Style 24 10 2 3 6" xfId="35009" xr:uid="{00000000-0005-0000-0000-0000C6880000}"/>
    <cellStyle name="Style 24 10 2 3 7" xfId="35010" xr:uid="{00000000-0005-0000-0000-0000C7880000}"/>
    <cellStyle name="Style 24 10 2 3 8" xfId="35011" xr:uid="{00000000-0005-0000-0000-0000C8880000}"/>
    <cellStyle name="Style 24 10 2 4" xfId="35012" xr:uid="{00000000-0005-0000-0000-0000C9880000}"/>
    <cellStyle name="Style 24 10 2 4 2" xfId="35013" xr:uid="{00000000-0005-0000-0000-0000CA880000}"/>
    <cellStyle name="Style 24 10 2 4 2 2" xfId="35014" xr:uid="{00000000-0005-0000-0000-0000CB880000}"/>
    <cellStyle name="Style 24 10 2 4 2 3" xfId="35015" xr:uid="{00000000-0005-0000-0000-0000CC880000}"/>
    <cellStyle name="Style 24 10 2 4 3" xfId="35016" xr:uid="{00000000-0005-0000-0000-0000CD880000}"/>
    <cellStyle name="Style 24 10 2 4 3 2" xfId="35017" xr:uid="{00000000-0005-0000-0000-0000CE880000}"/>
    <cellStyle name="Style 24 10 2 4 3 3" xfId="35018" xr:uid="{00000000-0005-0000-0000-0000CF880000}"/>
    <cellStyle name="Style 24 10 2 4 4" xfId="35019" xr:uid="{00000000-0005-0000-0000-0000D0880000}"/>
    <cellStyle name="Style 24 10 2 4 5" xfId="35020" xr:uid="{00000000-0005-0000-0000-0000D1880000}"/>
    <cellStyle name="Style 24 10 2 4 6" xfId="35021" xr:uid="{00000000-0005-0000-0000-0000D2880000}"/>
    <cellStyle name="Style 24 10 2 5" xfId="35022" xr:uid="{00000000-0005-0000-0000-0000D3880000}"/>
    <cellStyle name="Style 24 10 2 5 2" xfId="35023" xr:uid="{00000000-0005-0000-0000-0000D4880000}"/>
    <cellStyle name="Style 24 10 2 5 3" xfId="35024" xr:uid="{00000000-0005-0000-0000-0000D5880000}"/>
    <cellStyle name="Style 24 10 2 6" xfId="35025" xr:uid="{00000000-0005-0000-0000-0000D6880000}"/>
    <cellStyle name="Style 24 10 2 6 2" xfId="35026" xr:uid="{00000000-0005-0000-0000-0000D7880000}"/>
    <cellStyle name="Style 24 10 2 6 3" xfId="35027" xr:uid="{00000000-0005-0000-0000-0000D8880000}"/>
    <cellStyle name="Style 24 10 2 7" xfId="35028" xr:uid="{00000000-0005-0000-0000-0000D9880000}"/>
    <cellStyle name="Style 24 10 2 7 2" xfId="35029" xr:uid="{00000000-0005-0000-0000-0000DA880000}"/>
    <cellStyle name="Style 24 10 2 7 3" xfId="35030" xr:uid="{00000000-0005-0000-0000-0000DB880000}"/>
    <cellStyle name="Style 24 10 2 8" xfId="35031" xr:uid="{00000000-0005-0000-0000-0000DC880000}"/>
    <cellStyle name="Style 24 10 2 9" xfId="35032" xr:uid="{00000000-0005-0000-0000-0000DD880000}"/>
    <cellStyle name="Style 24 10 3" xfId="35033" xr:uid="{00000000-0005-0000-0000-0000DE880000}"/>
    <cellStyle name="Style 24 10 3 2" xfId="35034" xr:uid="{00000000-0005-0000-0000-0000DF880000}"/>
    <cellStyle name="Style 24 10 3 2 2" xfId="35035" xr:uid="{00000000-0005-0000-0000-0000E0880000}"/>
    <cellStyle name="Style 24 10 3 2 2 2" xfId="35036" xr:uid="{00000000-0005-0000-0000-0000E1880000}"/>
    <cellStyle name="Style 24 10 3 2 2 3" xfId="35037" xr:uid="{00000000-0005-0000-0000-0000E2880000}"/>
    <cellStyle name="Style 24 10 3 2 3" xfId="35038" xr:uid="{00000000-0005-0000-0000-0000E3880000}"/>
    <cellStyle name="Style 24 10 3 2 3 2" xfId="35039" xr:uid="{00000000-0005-0000-0000-0000E4880000}"/>
    <cellStyle name="Style 24 10 3 2 3 3" xfId="35040" xr:uid="{00000000-0005-0000-0000-0000E5880000}"/>
    <cellStyle name="Style 24 10 3 2 4" xfId="35041" xr:uid="{00000000-0005-0000-0000-0000E6880000}"/>
    <cellStyle name="Style 24 10 3 2 5" xfId="35042" xr:uid="{00000000-0005-0000-0000-0000E7880000}"/>
    <cellStyle name="Style 24 10 3 2 6" xfId="35043" xr:uid="{00000000-0005-0000-0000-0000E8880000}"/>
    <cellStyle name="Style 24 10 3 3" xfId="35044" xr:uid="{00000000-0005-0000-0000-0000E9880000}"/>
    <cellStyle name="Style 24 10 3 3 2" xfId="35045" xr:uid="{00000000-0005-0000-0000-0000EA880000}"/>
    <cellStyle name="Style 24 10 3 3 3" xfId="35046" xr:uid="{00000000-0005-0000-0000-0000EB880000}"/>
    <cellStyle name="Style 24 10 3 4" xfId="35047" xr:uid="{00000000-0005-0000-0000-0000EC880000}"/>
    <cellStyle name="Style 24 10 3 4 2" xfId="35048" xr:uid="{00000000-0005-0000-0000-0000ED880000}"/>
    <cellStyle name="Style 24 10 3 4 3" xfId="35049" xr:uid="{00000000-0005-0000-0000-0000EE880000}"/>
    <cellStyle name="Style 24 10 3 5" xfId="35050" xr:uid="{00000000-0005-0000-0000-0000EF880000}"/>
    <cellStyle name="Style 24 10 3 5 2" xfId="35051" xr:uid="{00000000-0005-0000-0000-0000F0880000}"/>
    <cellStyle name="Style 24 10 3 5 3" xfId="35052" xr:uid="{00000000-0005-0000-0000-0000F1880000}"/>
    <cellStyle name="Style 24 10 3 6" xfId="35053" xr:uid="{00000000-0005-0000-0000-0000F2880000}"/>
    <cellStyle name="Style 24 10 3 7" xfId="35054" xr:uid="{00000000-0005-0000-0000-0000F3880000}"/>
    <cellStyle name="Style 24 10 3 8" xfId="35055" xr:uid="{00000000-0005-0000-0000-0000F4880000}"/>
    <cellStyle name="Style 24 10 4" xfId="35056" xr:uid="{00000000-0005-0000-0000-0000F5880000}"/>
    <cellStyle name="Style 24 10 4 2" xfId="35057" xr:uid="{00000000-0005-0000-0000-0000F6880000}"/>
    <cellStyle name="Style 24 10 4 2 2" xfId="35058" xr:uid="{00000000-0005-0000-0000-0000F7880000}"/>
    <cellStyle name="Style 24 10 4 2 2 2" xfId="35059" xr:uid="{00000000-0005-0000-0000-0000F8880000}"/>
    <cellStyle name="Style 24 10 4 2 2 3" xfId="35060" xr:uid="{00000000-0005-0000-0000-0000F9880000}"/>
    <cellStyle name="Style 24 10 4 2 3" xfId="35061" xr:uid="{00000000-0005-0000-0000-0000FA880000}"/>
    <cellStyle name="Style 24 10 4 2 3 2" xfId="35062" xr:uid="{00000000-0005-0000-0000-0000FB880000}"/>
    <cellStyle name="Style 24 10 4 2 3 3" xfId="35063" xr:uid="{00000000-0005-0000-0000-0000FC880000}"/>
    <cellStyle name="Style 24 10 4 2 4" xfId="35064" xr:uid="{00000000-0005-0000-0000-0000FD880000}"/>
    <cellStyle name="Style 24 10 4 2 5" xfId="35065" xr:uid="{00000000-0005-0000-0000-0000FE880000}"/>
    <cellStyle name="Style 24 10 4 2 6" xfId="35066" xr:uid="{00000000-0005-0000-0000-0000FF880000}"/>
    <cellStyle name="Style 24 10 4 3" xfId="35067" xr:uid="{00000000-0005-0000-0000-000000890000}"/>
    <cellStyle name="Style 24 10 4 3 2" xfId="35068" xr:uid="{00000000-0005-0000-0000-000001890000}"/>
    <cellStyle name="Style 24 10 4 3 3" xfId="35069" xr:uid="{00000000-0005-0000-0000-000002890000}"/>
    <cellStyle name="Style 24 10 4 4" xfId="35070" xr:uid="{00000000-0005-0000-0000-000003890000}"/>
    <cellStyle name="Style 24 10 4 4 2" xfId="35071" xr:uid="{00000000-0005-0000-0000-000004890000}"/>
    <cellStyle name="Style 24 10 4 4 3" xfId="35072" xr:uid="{00000000-0005-0000-0000-000005890000}"/>
    <cellStyle name="Style 24 10 4 5" xfId="35073" xr:uid="{00000000-0005-0000-0000-000006890000}"/>
    <cellStyle name="Style 24 10 4 5 2" xfId="35074" xr:uid="{00000000-0005-0000-0000-000007890000}"/>
    <cellStyle name="Style 24 10 4 5 3" xfId="35075" xr:uid="{00000000-0005-0000-0000-000008890000}"/>
    <cellStyle name="Style 24 10 4 6" xfId="35076" xr:uid="{00000000-0005-0000-0000-000009890000}"/>
    <cellStyle name="Style 24 10 4 7" xfId="35077" xr:uid="{00000000-0005-0000-0000-00000A890000}"/>
    <cellStyle name="Style 24 10 4 8" xfId="35078" xr:uid="{00000000-0005-0000-0000-00000B890000}"/>
    <cellStyle name="Style 24 10 5" xfId="35079" xr:uid="{00000000-0005-0000-0000-00000C890000}"/>
    <cellStyle name="Style 24 10 5 2" xfId="35080" xr:uid="{00000000-0005-0000-0000-00000D890000}"/>
    <cellStyle name="Style 24 10 5 2 2" xfId="35081" xr:uid="{00000000-0005-0000-0000-00000E890000}"/>
    <cellStyle name="Style 24 10 5 2 2 2" xfId="35082" xr:uid="{00000000-0005-0000-0000-00000F890000}"/>
    <cellStyle name="Style 24 10 5 2 2 3" xfId="35083" xr:uid="{00000000-0005-0000-0000-000010890000}"/>
    <cellStyle name="Style 24 10 5 2 3" xfId="35084" xr:uid="{00000000-0005-0000-0000-000011890000}"/>
    <cellStyle name="Style 24 10 5 2 3 2" xfId="35085" xr:uid="{00000000-0005-0000-0000-000012890000}"/>
    <cellStyle name="Style 24 10 5 2 3 3" xfId="35086" xr:uid="{00000000-0005-0000-0000-000013890000}"/>
    <cellStyle name="Style 24 10 5 2 4" xfId="35087" xr:uid="{00000000-0005-0000-0000-000014890000}"/>
    <cellStyle name="Style 24 10 5 2 5" xfId="35088" xr:uid="{00000000-0005-0000-0000-000015890000}"/>
    <cellStyle name="Style 24 10 5 2 6" xfId="35089" xr:uid="{00000000-0005-0000-0000-000016890000}"/>
    <cellStyle name="Style 24 10 5 3" xfId="35090" xr:uid="{00000000-0005-0000-0000-000017890000}"/>
    <cellStyle name="Style 24 10 5 3 2" xfId="35091" xr:uid="{00000000-0005-0000-0000-000018890000}"/>
    <cellStyle name="Style 24 10 5 3 3" xfId="35092" xr:uid="{00000000-0005-0000-0000-000019890000}"/>
    <cellStyle name="Style 24 10 5 4" xfId="35093" xr:uid="{00000000-0005-0000-0000-00001A890000}"/>
    <cellStyle name="Style 24 10 5 4 2" xfId="35094" xr:uid="{00000000-0005-0000-0000-00001B890000}"/>
    <cellStyle name="Style 24 10 5 4 3" xfId="35095" xr:uid="{00000000-0005-0000-0000-00001C890000}"/>
    <cellStyle name="Style 24 10 5 5" xfId="35096" xr:uid="{00000000-0005-0000-0000-00001D890000}"/>
    <cellStyle name="Style 24 10 5 5 2" xfId="35097" xr:uid="{00000000-0005-0000-0000-00001E890000}"/>
    <cellStyle name="Style 24 10 5 5 3" xfId="35098" xr:uid="{00000000-0005-0000-0000-00001F890000}"/>
    <cellStyle name="Style 24 10 5 6" xfId="35099" xr:uid="{00000000-0005-0000-0000-000020890000}"/>
    <cellStyle name="Style 24 10 5 7" xfId="35100" xr:uid="{00000000-0005-0000-0000-000021890000}"/>
    <cellStyle name="Style 24 10 5 8" xfId="35101" xr:uid="{00000000-0005-0000-0000-000022890000}"/>
    <cellStyle name="Style 24 10 6" xfId="35102" xr:uid="{00000000-0005-0000-0000-000023890000}"/>
    <cellStyle name="Style 24 10 6 2" xfId="35103" xr:uid="{00000000-0005-0000-0000-000024890000}"/>
    <cellStyle name="Style 24 10 6 2 2" xfId="35104" xr:uid="{00000000-0005-0000-0000-000025890000}"/>
    <cellStyle name="Style 24 10 6 2 3" xfId="35105" xr:uid="{00000000-0005-0000-0000-000026890000}"/>
    <cellStyle name="Style 24 10 6 3" xfId="35106" xr:uid="{00000000-0005-0000-0000-000027890000}"/>
    <cellStyle name="Style 24 10 6 3 2" xfId="35107" xr:uid="{00000000-0005-0000-0000-000028890000}"/>
    <cellStyle name="Style 24 10 6 3 3" xfId="35108" xr:uid="{00000000-0005-0000-0000-000029890000}"/>
    <cellStyle name="Style 24 10 6 4" xfId="35109" xr:uid="{00000000-0005-0000-0000-00002A890000}"/>
    <cellStyle name="Style 24 10 6 5" xfId="35110" xr:uid="{00000000-0005-0000-0000-00002B890000}"/>
    <cellStyle name="Style 24 10 6 6" xfId="35111" xr:uid="{00000000-0005-0000-0000-00002C890000}"/>
    <cellStyle name="Style 24 10 7" xfId="35112" xr:uid="{00000000-0005-0000-0000-00002D890000}"/>
    <cellStyle name="Style 24 10 7 2" xfId="35113" xr:uid="{00000000-0005-0000-0000-00002E890000}"/>
    <cellStyle name="Style 24 10 7 3" xfId="35114" xr:uid="{00000000-0005-0000-0000-00002F890000}"/>
    <cellStyle name="Style 24 10 8" xfId="35115" xr:uid="{00000000-0005-0000-0000-000030890000}"/>
    <cellStyle name="Style 24 10 8 2" xfId="35116" xr:uid="{00000000-0005-0000-0000-000031890000}"/>
    <cellStyle name="Style 24 10 8 3" xfId="35117" xr:uid="{00000000-0005-0000-0000-000032890000}"/>
    <cellStyle name="Style 24 10 9" xfId="35118" xr:uid="{00000000-0005-0000-0000-000033890000}"/>
    <cellStyle name="Style 24 10 9 2" xfId="35119" xr:uid="{00000000-0005-0000-0000-000034890000}"/>
    <cellStyle name="Style 24 10 9 3" xfId="35120" xr:uid="{00000000-0005-0000-0000-000035890000}"/>
    <cellStyle name="Style 24 11" xfId="35121" xr:uid="{00000000-0005-0000-0000-000036890000}"/>
    <cellStyle name="Style 24 11 10" xfId="35122" xr:uid="{00000000-0005-0000-0000-000037890000}"/>
    <cellStyle name="Style 24 11 11" xfId="35123" xr:uid="{00000000-0005-0000-0000-000038890000}"/>
    <cellStyle name="Style 24 11 12" xfId="35124" xr:uid="{00000000-0005-0000-0000-000039890000}"/>
    <cellStyle name="Style 24 11 2" xfId="35125" xr:uid="{00000000-0005-0000-0000-00003A890000}"/>
    <cellStyle name="Style 24 11 2 10" xfId="35126" xr:uid="{00000000-0005-0000-0000-00003B890000}"/>
    <cellStyle name="Style 24 11 2 2" xfId="35127" xr:uid="{00000000-0005-0000-0000-00003C890000}"/>
    <cellStyle name="Style 24 11 2 2 2" xfId="35128" xr:uid="{00000000-0005-0000-0000-00003D890000}"/>
    <cellStyle name="Style 24 11 2 2 2 2" xfId="35129" xr:uid="{00000000-0005-0000-0000-00003E890000}"/>
    <cellStyle name="Style 24 11 2 2 2 2 2" xfId="35130" xr:uid="{00000000-0005-0000-0000-00003F890000}"/>
    <cellStyle name="Style 24 11 2 2 2 2 3" xfId="35131" xr:uid="{00000000-0005-0000-0000-000040890000}"/>
    <cellStyle name="Style 24 11 2 2 2 3" xfId="35132" xr:uid="{00000000-0005-0000-0000-000041890000}"/>
    <cellStyle name="Style 24 11 2 2 2 3 2" xfId="35133" xr:uid="{00000000-0005-0000-0000-000042890000}"/>
    <cellStyle name="Style 24 11 2 2 2 3 3" xfId="35134" xr:uid="{00000000-0005-0000-0000-000043890000}"/>
    <cellStyle name="Style 24 11 2 2 2 4" xfId="35135" xr:uid="{00000000-0005-0000-0000-000044890000}"/>
    <cellStyle name="Style 24 11 2 2 2 5" xfId="35136" xr:uid="{00000000-0005-0000-0000-000045890000}"/>
    <cellStyle name="Style 24 11 2 2 2 6" xfId="35137" xr:uid="{00000000-0005-0000-0000-000046890000}"/>
    <cellStyle name="Style 24 11 2 2 3" xfId="35138" xr:uid="{00000000-0005-0000-0000-000047890000}"/>
    <cellStyle name="Style 24 11 2 2 3 2" xfId="35139" xr:uid="{00000000-0005-0000-0000-000048890000}"/>
    <cellStyle name="Style 24 11 2 2 3 3" xfId="35140" xr:uid="{00000000-0005-0000-0000-000049890000}"/>
    <cellStyle name="Style 24 11 2 2 4" xfId="35141" xr:uid="{00000000-0005-0000-0000-00004A890000}"/>
    <cellStyle name="Style 24 11 2 2 4 2" xfId="35142" xr:uid="{00000000-0005-0000-0000-00004B890000}"/>
    <cellStyle name="Style 24 11 2 2 4 3" xfId="35143" xr:uid="{00000000-0005-0000-0000-00004C890000}"/>
    <cellStyle name="Style 24 11 2 2 5" xfId="35144" xr:uid="{00000000-0005-0000-0000-00004D890000}"/>
    <cellStyle name="Style 24 11 2 2 5 2" xfId="35145" xr:uid="{00000000-0005-0000-0000-00004E890000}"/>
    <cellStyle name="Style 24 11 2 2 5 3" xfId="35146" xr:uid="{00000000-0005-0000-0000-00004F890000}"/>
    <cellStyle name="Style 24 11 2 2 6" xfId="35147" xr:uid="{00000000-0005-0000-0000-000050890000}"/>
    <cellStyle name="Style 24 11 2 2 7" xfId="35148" xr:uid="{00000000-0005-0000-0000-000051890000}"/>
    <cellStyle name="Style 24 11 2 2 8" xfId="35149" xr:uid="{00000000-0005-0000-0000-000052890000}"/>
    <cellStyle name="Style 24 11 2 3" xfId="35150" xr:uid="{00000000-0005-0000-0000-000053890000}"/>
    <cellStyle name="Style 24 11 2 3 2" xfId="35151" xr:uid="{00000000-0005-0000-0000-000054890000}"/>
    <cellStyle name="Style 24 11 2 3 2 2" xfId="35152" xr:uid="{00000000-0005-0000-0000-000055890000}"/>
    <cellStyle name="Style 24 11 2 3 2 2 2" xfId="35153" xr:uid="{00000000-0005-0000-0000-000056890000}"/>
    <cellStyle name="Style 24 11 2 3 2 2 3" xfId="35154" xr:uid="{00000000-0005-0000-0000-000057890000}"/>
    <cellStyle name="Style 24 11 2 3 2 3" xfId="35155" xr:uid="{00000000-0005-0000-0000-000058890000}"/>
    <cellStyle name="Style 24 11 2 3 2 3 2" xfId="35156" xr:uid="{00000000-0005-0000-0000-000059890000}"/>
    <cellStyle name="Style 24 11 2 3 2 3 3" xfId="35157" xr:uid="{00000000-0005-0000-0000-00005A890000}"/>
    <cellStyle name="Style 24 11 2 3 2 4" xfId="35158" xr:uid="{00000000-0005-0000-0000-00005B890000}"/>
    <cellStyle name="Style 24 11 2 3 2 5" xfId="35159" xr:uid="{00000000-0005-0000-0000-00005C890000}"/>
    <cellStyle name="Style 24 11 2 3 2 6" xfId="35160" xr:uid="{00000000-0005-0000-0000-00005D890000}"/>
    <cellStyle name="Style 24 11 2 3 3" xfId="35161" xr:uid="{00000000-0005-0000-0000-00005E890000}"/>
    <cellStyle name="Style 24 11 2 3 3 2" xfId="35162" xr:uid="{00000000-0005-0000-0000-00005F890000}"/>
    <cellStyle name="Style 24 11 2 3 3 3" xfId="35163" xr:uid="{00000000-0005-0000-0000-000060890000}"/>
    <cellStyle name="Style 24 11 2 3 4" xfId="35164" xr:uid="{00000000-0005-0000-0000-000061890000}"/>
    <cellStyle name="Style 24 11 2 3 4 2" xfId="35165" xr:uid="{00000000-0005-0000-0000-000062890000}"/>
    <cellStyle name="Style 24 11 2 3 4 3" xfId="35166" xr:uid="{00000000-0005-0000-0000-000063890000}"/>
    <cellStyle name="Style 24 11 2 3 5" xfId="35167" xr:uid="{00000000-0005-0000-0000-000064890000}"/>
    <cellStyle name="Style 24 11 2 3 5 2" xfId="35168" xr:uid="{00000000-0005-0000-0000-000065890000}"/>
    <cellStyle name="Style 24 11 2 3 5 3" xfId="35169" xr:uid="{00000000-0005-0000-0000-000066890000}"/>
    <cellStyle name="Style 24 11 2 3 6" xfId="35170" xr:uid="{00000000-0005-0000-0000-000067890000}"/>
    <cellStyle name="Style 24 11 2 3 7" xfId="35171" xr:uid="{00000000-0005-0000-0000-000068890000}"/>
    <cellStyle name="Style 24 11 2 3 8" xfId="35172" xr:uid="{00000000-0005-0000-0000-000069890000}"/>
    <cellStyle name="Style 24 11 2 4" xfId="35173" xr:uid="{00000000-0005-0000-0000-00006A890000}"/>
    <cellStyle name="Style 24 11 2 4 2" xfId="35174" xr:uid="{00000000-0005-0000-0000-00006B890000}"/>
    <cellStyle name="Style 24 11 2 4 2 2" xfId="35175" xr:uid="{00000000-0005-0000-0000-00006C890000}"/>
    <cellStyle name="Style 24 11 2 4 2 3" xfId="35176" xr:uid="{00000000-0005-0000-0000-00006D890000}"/>
    <cellStyle name="Style 24 11 2 4 3" xfId="35177" xr:uid="{00000000-0005-0000-0000-00006E890000}"/>
    <cellStyle name="Style 24 11 2 4 3 2" xfId="35178" xr:uid="{00000000-0005-0000-0000-00006F890000}"/>
    <cellStyle name="Style 24 11 2 4 3 3" xfId="35179" xr:uid="{00000000-0005-0000-0000-000070890000}"/>
    <cellStyle name="Style 24 11 2 4 4" xfId="35180" xr:uid="{00000000-0005-0000-0000-000071890000}"/>
    <cellStyle name="Style 24 11 2 4 5" xfId="35181" xr:uid="{00000000-0005-0000-0000-000072890000}"/>
    <cellStyle name="Style 24 11 2 4 6" xfId="35182" xr:uid="{00000000-0005-0000-0000-000073890000}"/>
    <cellStyle name="Style 24 11 2 5" xfId="35183" xr:uid="{00000000-0005-0000-0000-000074890000}"/>
    <cellStyle name="Style 24 11 2 5 2" xfId="35184" xr:uid="{00000000-0005-0000-0000-000075890000}"/>
    <cellStyle name="Style 24 11 2 5 3" xfId="35185" xr:uid="{00000000-0005-0000-0000-000076890000}"/>
    <cellStyle name="Style 24 11 2 6" xfId="35186" xr:uid="{00000000-0005-0000-0000-000077890000}"/>
    <cellStyle name="Style 24 11 2 6 2" xfId="35187" xr:uid="{00000000-0005-0000-0000-000078890000}"/>
    <cellStyle name="Style 24 11 2 6 3" xfId="35188" xr:uid="{00000000-0005-0000-0000-000079890000}"/>
    <cellStyle name="Style 24 11 2 7" xfId="35189" xr:uid="{00000000-0005-0000-0000-00007A890000}"/>
    <cellStyle name="Style 24 11 2 7 2" xfId="35190" xr:uid="{00000000-0005-0000-0000-00007B890000}"/>
    <cellStyle name="Style 24 11 2 7 3" xfId="35191" xr:uid="{00000000-0005-0000-0000-00007C890000}"/>
    <cellStyle name="Style 24 11 2 8" xfId="35192" xr:uid="{00000000-0005-0000-0000-00007D890000}"/>
    <cellStyle name="Style 24 11 2 9" xfId="35193" xr:uid="{00000000-0005-0000-0000-00007E890000}"/>
    <cellStyle name="Style 24 11 3" xfId="35194" xr:uid="{00000000-0005-0000-0000-00007F890000}"/>
    <cellStyle name="Style 24 11 3 2" xfId="35195" xr:uid="{00000000-0005-0000-0000-000080890000}"/>
    <cellStyle name="Style 24 11 3 2 2" xfId="35196" xr:uid="{00000000-0005-0000-0000-000081890000}"/>
    <cellStyle name="Style 24 11 3 2 2 2" xfId="35197" xr:uid="{00000000-0005-0000-0000-000082890000}"/>
    <cellStyle name="Style 24 11 3 2 2 3" xfId="35198" xr:uid="{00000000-0005-0000-0000-000083890000}"/>
    <cellStyle name="Style 24 11 3 2 3" xfId="35199" xr:uid="{00000000-0005-0000-0000-000084890000}"/>
    <cellStyle name="Style 24 11 3 2 3 2" xfId="35200" xr:uid="{00000000-0005-0000-0000-000085890000}"/>
    <cellStyle name="Style 24 11 3 2 3 3" xfId="35201" xr:uid="{00000000-0005-0000-0000-000086890000}"/>
    <cellStyle name="Style 24 11 3 2 4" xfId="35202" xr:uid="{00000000-0005-0000-0000-000087890000}"/>
    <cellStyle name="Style 24 11 3 2 5" xfId="35203" xr:uid="{00000000-0005-0000-0000-000088890000}"/>
    <cellStyle name="Style 24 11 3 2 6" xfId="35204" xr:uid="{00000000-0005-0000-0000-000089890000}"/>
    <cellStyle name="Style 24 11 3 3" xfId="35205" xr:uid="{00000000-0005-0000-0000-00008A890000}"/>
    <cellStyle name="Style 24 11 3 3 2" xfId="35206" xr:uid="{00000000-0005-0000-0000-00008B890000}"/>
    <cellStyle name="Style 24 11 3 3 3" xfId="35207" xr:uid="{00000000-0005-0000-0000-00008C890000}"/>
    <cellStyle name="Style 24 11 3 4" xfId="35208" xr:uid="{00000000-0005-0000-0000-00008D890000}"/>
    <cellStyle name="Style 24 11 3 4 2" xfId="35209" xr:uid="{00000000-0005-0000-0000-00008E890000}"/>
    <cellStyle name="Style 24 11 3 4 3" xfId="35210" xr:uid="{00000000-0005-0000-0000-00008F890000}"/>
    <cellStyle name="Style 24 11 3 5" xfId="35211" xr:uid="{00000000-0005-0000-0000-000090890000}"/>
    <cellStyle name="Style 24 11 3 5 2" xfId="35212" xr:uid="{00000000-0005-0000-0000-000091890000}"/>
    <cellStyle name="Style 24 11 3 5 3" xfId="35213" xr:uid="{00000000-0005-0000-0000-000092890000}"/>
    <cellStyle name="Style 24 11 3 6" xfId="35214" xr:uid="{00000000-0005-0000-0000-000093890000}"/>
    <cellStyle name="Style 24 11 3 7" xfId="35215" xr:uid="{00000000-0005-0000-0000-000094890000}"/>
    <cellStyle name="Style 24 11 3 8" xfId="35216" xr:uid="{00000000-0005-0000-0000-000095890000}"/>
    <cellStyle name="Style 24 11 4" xfId="35217" xr:uid="{00000000-0005-0000-0000-000096890000}"/>
    <cellStyle name="Style 24 11 4 2" xfId="35218" xr:uid="{00000000-0005-0000-0000-000097890000}"/>
    <cellStyle name="Style 24 11 4 2 2" xfId="35219" xr:uid="{00000000-0005-0000-0000-000098890000}"/>
    <cellStyle name="Style 24 11 4 2 2 2" xfId="35220" xr:uid="{00000000-0005-0000-0000-000099890000}"/>
    <cellStyle name="Style 24 11 4 2 2 3" xfId="35221" xr:uid="{00000000-0005-0000-0000-00009A890000}"/>
    <cellStyle name="Style 24 11 4 2 3" xfId="35222" xr:uid="{00000000-0005-0000-0000-00009B890000}"/>
    <cellStyle name="Style 24 11 4 2 3 2" xfId="35223" xr:uid="{00000000-0005-0000-0000-00009C890000}"/>
    <cellStyle name="Style 24 11 4 2 3 3" xfId="35224" xr:uid="{00000000-0005-0000-0000-00009D890000}"/>
    <cellStyle name="Style 24 11 4 2 4" xfId="35225" xr:uid="{00000000-0005-0000-0000-00009E890000}"/>
    <cellStyle name="Style 24 11 4 2 5" xfId="35226" xr:uid="{00000000-0005-0000-0000-00009F890000}"/>
    <cellStyle name="Style 24 11 4 2 6" xfId="35227" xr:uid="{00000000-0005-0000-0000-0000A0890000}"/>
    <cellStyle name="Style 24 11 4 3" xfId="35228" xr:uid="{00000000-0005-0000-0000-0000A1890000}"/>
    <cellStyle name="Style 24 11 4 3 2" xfId="35229" xr:uid="{00000000-0005-0000-0000-0000A2890000}"/>
    <cellStyle name="Style 24 11 4 3 3" xfId="35230" xr:uid="{00000000-0005-0000-0000-0000A3890000}"/>
    <cellStyle name="Style 24 11 4 4" xfId="35231" xr:uid="{00000000-0005-0000-0000-0000A4890000}"/>
    <cellStyle name="Style 24 11 4 4 2" xfId="35232" xr:uid="{00000000-0005-0000-0000-0000A5890000}"/>
    <cellStyle name="Style 24 11 4 4 3" xfId="35233" xr:uid="{00000000-0005-0000-0000-0000A6890000}"/>
    <cellStyle name="Style 24 11 4 5" xfId="35234" xr:uid="{00000000-0005-0000-0000-0000A7890000}"/>
    <cellStyle name="Style 24 11 4 5 2" xfId="35235" xr:uid="{00000000-0005-0000-0000-0000A8890000}"/>
    <cellStyle name="Style 24 11 4 5 3" xfId="35236" xr:uid="{00000000-0005-0000-0000-0000A9890000}"/>
    <cellStyle name="Style 24 11 4 6" xfId="35237" xr:uid="{00000000-0005-0000-0000-0000AA890000}"/>
    <cellStyle name="Style 24 11 4 7" xfId="35238" xr:uid="{00000000-0005-0000-0000-0000AB890000}"/>
    <cellStyle name="Style 24 11 4 8" xfId="35239" xr:uid="{00000000-0005-0000-0000-0000AC890000}"/>
    <cellStyle name="Style 24 11 5" xfId="35240" xr:uid="{00000000-0005-0000-0000-0000AD890000}"/>
    <cellStyle name="Style 24 11 5 2" xfId="35241" xr:uid="{00000000-0005-0000-0000-0000AE890000}"/>
    <cellStyle name="Style 24 11 5 2 2" xfId="35242" xr:uid="{00000000-0005-0000-0000-0000AF890000}"/>
    <cellStyle name="Style 24 11 5 2 2 2" xfId="35243" xr:uid="{00000000-0005-0000-0000-0000B0890000}"/>
    <cellStyle name="Style 24 11 5 2 2 3" xfId="35244" xr:uid="{00000000-0005-0000-0000-0000B1890000}"/>
    <cellStyle name="Style 24 11 5 2 3" xfId="35245" xr:uid="{00000000-0005-0000-0000-0000B2890000}"/>
    <cellStyle name="Style 24 11 5 2 3 2" xfId="35246" xr:uid="{00000000-0005-0000-0000-0000B3890000}"/>
    <cellStyle name="Style 24 11 5 2 3 3" xfId="35247" xr:uid="{00000000-0005-0000-0000-0000B4890000}"/>
    <cellStyle name="Style 24 11 5 2 4" xfId="35248" xr:uid="{00000000-0005-0000-0000-0000B5890000}"/>
    <cellStyle name="Style 24 11 5 2 5" xfId="35249" xr:uid="{00000000-0005-0000-0000-0000B6890000}"/>
    <cellStyle name="Style 24 11 5 2 6" xfId="35250" xr:uid="{00000000-0005-0000-0000-0000B7890000}"/>
    <cellStyle name="Style 24 11 5 3" xfId="35251" xr:uid="{00000000-0005-0000-0000-0000B8890000}"/>
    <cellStyle name="Style 24 11 5 3 2" xfId="35252" xr:uid="{00000000-0005-0000-0000-0000B9890000}"/>
    <cellStyle name="Style 24 11 5 3 3" xfId="35253" xr:uid="{00000000-0005-0000-0000-0000BA890000}"/>
    <cellStyle name="Style 24 11 5 4" xfId="35254" xr:uid="{00000000-0005-0000-0000-0000BB890000}"/>
    <cellStyle name="Style 24 11 5 4 2" xfId="35255" xr:uid="{00000000-0005-0000-0000-0000BC890000}"/>
    <cellStyle name="Style 24 11 5 4 3" xfId="35256" xr:uid="{00000000-0005-0000-0000-0000BD890000}"/>
    <cellStyle name="Style 24 11 5 5" xfId="35257" xr:uid="{00000000-0005-0000-0000-0000BE890000}"/>
    <cellStyle name="Style 24 11 5 5 2" xfId="35258" xr:uid="{00000000-0005-0000-0000-0000BF890000}"/>
    <cellStyle name="Style 24 11 5 5 3" xfId="35259" xr:uid="{00000000-0005-0000-0000-0000C0890000}"/>
    <cellStyle name="Style 24 11 5 6" xfId="35260" xr:uid="{00000000-0005-0000-0000-0000C1890000}"/>
    <cellStyle name="Style 24 11 5 7" xfId="35261" xr:uid="{00000000-0005-0000-0000-0000C2890000}"/>
    <cellStyle name="Style 24 11 5 8" xfId="35262" xr:uid="{00000000-0005-0000-0000-0000C3890000}"/>
    <cellStyle name="Style 24 11 6" xfId="35263" xr:uid="{00000000-0005-0000-0000-0000C4890000}"/>
    <cellStyle name="Style 24 11 6 2" xfId="35264" xr:uid="{00000000-0005-0000-0000-0000C5890000}"/>
    <cellStyle name="Style 24 11 6 2 2" xfId="35265" xr:uid="{00000000-0005-0000-0000-0000C6890000}"/>
    <cellStyle name="Style 24 11 6 2 3" xfId="35266" xr:uid="{00000000-0005-0000-0000-0000C7890000}"/>
    <cellStyle name="Style 24 11 6 3" xfId="35267" xr:uid="{00000000-0005-0000-0000-0000C8890000}"/>
    <cellStyle name="Style 24 11 6 3 2" xfId="35268" xr:uid="{00000000-0005-0000-0000-0000C9890000}"/>
    <cellStyle name="Style 24 11 6 3 3" xfId="35269" xr:uid="{00000000-0005-0000-0000-0000CA890000}"/>
    <cellStyle name="Style 24 11 6 4" xfId="35270" xr:uid="{00000000-0005-0000-0000-0000CB890000}"/>
    <cellStyle name="Style 24 11 6 5" xfId="35271" xr:uid="{00000000-0005-0000-0000-0000CC890000}"/>
    <cellStyle name="Style 24 11 6 6" xfId="35272" xr:uid="{00000000-0005-0000-0000-0000CD890000}"/>
    <cellStyle name="Style 24 11 7" xfId="35273" xr:uid="{00000000-0005-0000-0000-0000CE890000}"/>
    <cellStyle name="Style 24 11 7 2" xfId="35274" xr:uid="{00000000-0005-0000-0000-0000CF890000}"/>
    <cellStyle name="Style 24 11 7 3" xfId="35275" xr:uid="{00000000-0005-0000-0000-0000D0890000}"/>
    <cellStyle name="Style 24 11 8" xfId="35276" xr:uid="{00000000-0005-0000-0000-0000D1890000}"/>
    <cellStyle name="Style 24 11 8 2" xfId="35277" xr:uid="{00000000-0005-0000-0000-0000D2890000}"/>
    <cellStyle name="Style 24 11 8 3" xfId="35278" xr:uid="{00000000-0005-0000-0000-0000D3890000}"/>
    <cellStyle name="Style 24 11 9" xfId="35279" xr:uid="{00000000-0005-0000-0000-0000D4890000}"/>
    <cellStyle name="Style 24 11 9 2" xfId="35280" xr:uid="{00000000-0005-0000-0000-0000D5890000}"/>
    <cellStyle name="Style 24 11 9 3" xfId="35281" xr:uid="{00000000-0005-0000-0000-0000D6890000}"/>
    <cellStyle name="Style 24 12" xfId="35282" xr:uid="{00000000-0005-0000-0000-0000D7890000}"/>
    <cellStyle name="Style 24 12 10" xfId="35283" xr:uid="{00000000-0005-0000-0000-0000D8890000}"/>
    <cellStyle name="Style 24 12 2" xfId="35284" xr:uid="{00000000-0005-0000-0000-0000D9890000}"/>
    <cellStyle name="Style 24 12 2 2" xfId="35285" xr:uid="{00000000-0005-0000-0000-0000DA890000}"/>
    <cellStyle name="Style 24 12 2 2 2" xfId="35286" xr:uid="{00000000-0005-0000-0000-0000DB890000}"/>
    <cellStyle name="Style 24 12 2 2 2 2" xfId="35287" xr:uid="{00000000-0005-0000-0000-0000DC890000}"/>
    <cellStyle name="Style 24 12 2 2 2 3" xfId="35288" xr:uid="{00000000-0005-0000-0000-0000DD890000}"/>
    <cellStyle name="Style 24 12 2 2 3" xfId="35289" xr:uid="{00000000-0005-0000-0000-0000DE890000}"/>
    <cellStyle name="Style 24 12 2 2 3 2" xfId="35290" xr:uid="{00000000-0005-0000-0000-0000DF890000}"/>
    <cellStyle name="Style 24 12 2 2 3 3" xfId="35291" xr:uid="{00000000-0005-0000-0000-0000E0890000}"/>
    <cellStyle name="Style 24 12 2 2 4" xfId="35292" xr:uid="{00000000-0005-0000-0000-0000E1890000}"/>
    <cellStyle name="Style 24 12 2 2 5" xfId="35293" xr:uid="{00000000-0005-0000-0000-0000E2890000}"/>
    <cellStyle name="Style 24 12 2 2 6" xfId="35294" xr:uid="{00000000-0005-0000-0000-0000E3890000}"/>
    <cellStyle name="Style 24 12 2 3" xfId="35295" xr:uid="{00000000-0005-0000-0000-0000E4890000}"/>
    <cellStyle name="Style 24 12 2 3 2" xfId="35296" xr:uid="{00000000-0005-0000-0000-0000E5890000}"/>
    <cellStyle name="Style 24 12 2 3 3" xfId="35297" xr:uid="{00000000-0005-0000-0000-0000E6890000}"/>
    <cellStyle name="Style 24 12 2 4" xfId="35298" xr:uid="{00000000-0005-0000-0000-0000E7890000}"/>
    <cellStyle name="Style 24 12 2 4 2" xfId="35299" xr:uid="{00000000-0005-0000-0000-0000E8890000}"/>
    <cellStyle name="Style 24 12 2 4 3" xfId="35300" xr:uid="{00000000-0005-0000-0000-0000E9890000}"/>
    <cellStyle name="Style 24 12 2 5" xfId="35301" xr:uid="{00000000-0005-0000-0000-0000EA890000}"/>
    <cellStyle name="Style 24 12 2 5 2" xfId="35302" xr:uid="{00000000-0005-0000-0000-0000EB890000}"/>
    <cellStyle name="Style 24 12 2 5 3" xfId="35303" xr:uid="{00000000-0005-0000-0000-0000EC890000}"/>
    <cellStyle name="Style 24 12 2 6" xfId="35304" xr:uid="{00000000-0005-0000-0000-0000ED890000}"/>
    <cellStyle name="Style 24 12 2 7" xfId="35305" xr:uid="{00000000-0005-0000-0000-0000EE890000}"/>
    <cellStyle name="Style 24 12 2 8" xfId="35306" xr:uid="{00000000-0005-0000-0000-0000EF890000}"/>
    <cellStyle name="Style 24 12 3" xfId="35307" xr:uid="{00000000-0005-0000-0000-0000F0890000}"/>
    <cellStyle name="Style 24 12 3 2" xfId="35308" xr:uid="{00000000-0005-0000-0000-0000F1890000}"/>
    <cellStyle name="Style 24 12 3 2 2" xfId="35309" xr:uid="{00000000-0005-0000-0000-0000F2890000}"/>
    <cellStyle name="Style 24 12 3 2 2 2" xfId="35310" xr:uid="{00000000-0005-0000-0000-0000F3890000}"/>
    <cellStyle name="Style 24 12 3 2 2 3" xfId="35311" xr:uid="{00000000-0005-0000-0000-0000F4890000}"/>
    <cellStyle name="Style 24 12 3 2 3" xfId="35312" xr:uid="{00000000-0005-0000-0000-0000F5890000}"/>
    <cellStyle name="Style 24 12 3 2 3 2" xfId="35313" xr:uid="{00000000-0005-0000-0000-0000F6890000}"/>
    <cellStyle name="Style 24 12 3 2 3 3" xfId="35314" xr:uid="{00000000-0005-0000-0000-0000F7890000}"/>
    <cellStyle name="Style 24 12 3 2 4" xfId="35315" xr:uid="{00000000-0005-0000-0000-0000F8890000}"/>
    <cellStyle name="Style 24 12 3 2 5" xfId="35316" xr:uid="{00000000-0005-0000-0000-0000F9890000}"/>
    <cellStyle name="Style 24 12 3 2 6" xfId="35317" xr:uid="{00000000-0005-0000-0000-0000FA890000}"/>
    <cellStyle name="Style 24 12 3 3" xfId="35318" xr:uid="{00000000-0005-0000-0000-0000FB890000}"/>
    <cellStyle name="Style 24 12 3 3 2" xfId="35319" xr:uid="{00000000-0005-0000-0000-0000FC890000}"/>
    <cellStyle name="Style 24 12 3 3 3" xfId="35320" xr:uid="{00000000-0005-0000-0000-0000FD890000}"/>
    <cellStyle name="Style 24 12 3 4" xfId="35321" xr:uid="{00000000-0005-0000-0000-0000FE890000}"/>
    <cellStyle name="Style 24 12 3 4 2" xfId="35322" xr:uid="{00000000-0005-0000-0000-0000FF890000}"/>
    <cellStyle name="Style 24 12 3 4 3" xfId="35323" xr:uid="{00000000-0005-0000-0000-0000008A0000}"/>
    <cellStyle name="Style 24 12 3 5" xfId="35324" xr:uid="{00000000-0005-0000-0000-0000018A0000}"/>
    <cellStyle name="Style 24 12 3 5 2" xfId="35325" xr:uid="{00000000-0005-0000-0000-0000028A0000}"/>
    <cellStyle name="Style 24 12 3 5 3" xfId="35326" xr:uid="{00000000-0005-0000-0000-0000038A0000}"/>
    <cellStyle name="Style 24 12 3 6" xfId="35327" xr:uid="{00000000-0005-0000-0000-0000048A0000}"/>
    <cellStyle name="Style 24 12 3 7" xfId="35328" xr:uid="{00000000-0005-0000-0000-0000058A0000}"/>
    <cellStyle name="Style 24 12 3 8" xfId="35329" xr:uid="{00000000-0005-0000-0000-0000068A0000}"/>
    <cellStyle name="Style 24 12 4" xfId="35330" xr:uid="{00000000-0005-0000-0000-0000078A0000}"/>
    <cellStyle name="Style 24 12 4 2" xfId="35331" xr:uid="{00000000-0005-0000-0000-0000088A0000}"/>
    <cellStyle name="Style 24 12 4 2 2" xfId="35332" xr:uid="{00000000-0005-0000-0000-0000098A0000}"/>
    <cellStyle name="Style 24 12 4 2 3" xfId="35333" xr:uid="{00000000-0005-0000-0000-00000A8A0000}"/>
    <cellStyle name="Style 24 12 4 3" xfId="35334" xr:uid="{00000000-0005-0000-0000-00000B8A0000}"/>
    <cellStyle name="Style 24 12 4 3 2" xfId="35335" xr:uid="{00000000-0005-0000-0000-00000C8A0000}"/>
    <cellStyle name="Style 24 12 4 3 3" xfId="35336" xr:uid="{00000000-0005-0000-0000-00000D8A0000}"/>
    <cellStyle name="Style 24 12 4 4" xfId="35337" xr:uid="{00000000-0005-0000-0000-00000E8A0000}"/>
    <cellStyle name="Style 24 12 4 5" xfId="35338" xr:uid="{00000000-0005-0000-0000-00000F8A0000}"/>
    <cellStyle name="Style 24 12 4 6" xfId="35339" xr:uid="{00000000-0005-0000-0000-0000108A0000}"/>
    <cellStyle name="Style 24 12 5" xfId="35340" xr:uid="{00000000-0005-0000-0000-0000118A0000}"/>
    <cellStyle name="Style 24 12 5 2" xfId="35341" xr:uid="{00000000-0005-0000-0000-0000128A0000}"/>
    <cellStyle name="Style 24 12 5 3" xfId="35342" xr:uid="{00000000-0005-0000-0000-0000138A0000}"/>
    <cellStyle name="Style 24 12 6" xfId="35343" xr:uid="{00000000-0005-0000-0000-0000148A0000}"/>
    <cellStyle name="Style 24 12 6 2" xfId="35344" xr:uid="{00000000-0005-0000-0000-0000158A0000}"/>
    <cellStyle name="Style 24 12 6 3" xfId="35345" xr:uid="{00000000-0005-0000-0000-0000168A0000}"/>
    <cellStyle name="Style 24 12 7" xfId="35346" xr:uid="{00000000-0005-0000-0000-0000178A0000}"/>
    <cellStyle name="Style 24 12 7 2" xfId="35347" xr:uid="{00000000-0005-0000-0000-0000188A0000}"/>
    <cellStyle name="Style 24 12 7 3" xfId="35348" xr:uid="{00000000-0005-0000-0000-0000198A0000}"/>
    <cellStyle name="Style 24 12 8" xfId="35349" xr:uid="{00000000-0005-0000-0000-00001A8A0000}"/>
    <cellStyle name="Style 24 12 9" xfId="35350" xr:uid="{00000000-0005-0000-0000-00001B8A0000}"/>
    <cellStyle name="Style 24 13" xfId="35351" xr:uid="{00000000-0005-0000-0000-00001C8A0000}"/>
    <cellStyle name="Style 24 13 2" xfId="35352" xr:uid="{00000000-0005-0000-0000-00001D8A0000}"/>
    <cellStyle name="Style 24 13 2 2" xfId="35353" xr:uid="{00000000-0005-0000-0000-00001E8A0000}"/>
    <cellStyle name="Style 24 13 2 2 2" xfId="35354" xr:uid="{00000000-0005-0000-0000-00001F8A0000}"/>
    <cellStyle name="Style 24 13 2 2 3" xfId="35355" xr:uid="{00000000-0005-0000-0000-0000208A0000}"/>
    <cellStyle name="Style 24 13 2 3" xfId="35356" xr:uid="{00000000-0005-0000-0000-0000218A0000}"/>
    <cellStyle name="Style 24 13 2 3 2" xfId="35357" xr:uid="{00000000-0005-0000-0000-0000228A0000}"/>
    <cellStyle name="Style 24 13 2 3 3" xfId="35358" xr:uid="{00000000-0005-0000-0000-0000238A0000}"/>
    <cellStyle name="Style 24 13 2 4" xfId="35359" xr:uid="{00000000-0005-0000-0000-0000248A0000}"/>
    <cellStyle name="Style 24 13 2 5" xfId="35360" xr:uid="{00000000-0005-0000-0000-0000258A0000}"/>
    <cellStyle name="Style 24 13 2 6" xfId="35361" xr:uid="{00000000-0005-0000-0000-0000268A0000}"/>
    <cellStyle name="Style 24 13 3" xfId="35362" xr:uid="{00000000-0005-0000-0000-0000278A0000}"/>
    <cellStyle name="Style 24 13 3 2" xfId="35363" xr:uid="{00000000-0005-0000-0000-0000288A0000}"/>
    <cellStyle name="Style 24 13 3 3" xfId="35364" xr:uid="{00000000-0005-0000-0000-0000298A0000}"/>
    <cellStyle name="Style 24 13 4" xfId="35365" xr:uid="{00000000-0005-0000-0000-00002A8A0000}"/>
    <cellStyle name="Style 24 13 4 2" xfId="35366" xr:uid="{00000000-0005-0000-0000-00002B8A0000}"/>
    <cellStyle name="Style 24 13 4 3" xfId="35367" xr:uid="{00000000-0005-0000-0000-00002C8A0000}"/>
    <cellStyle name="Style 24 13 5" xfId="35368" xr:uid="{00000000-0005-0000-0000-00002D8A0000}"/>
    <cellStyle name="Style 24 13 5 2" xfId="35369" xr:uid="{00000000-0005-0000-0000-00002E8A0000}"/>
    <cellStyle name="Style 24 13 5 3" xfId="35370" xr:uid="{00000000-0005-0000-0000-00002F8A0000}"/>
    <cellStyle name="Style 24 13 6" xfId="35371" xr:uid="{00000000-0005-0000-0000-0000308A0000}"/>
    <cellStyle name="Style 24 13 7" xfId="35372" xr:uid="{00000000-0005-0000-0000-0000318A0000}"/>
    <cellStyle name="Style 24 13 8" xfId="35373" xr:uid="{00000000-0005-0000-0000-0000328A0000}"/>
    <cellStyle name="Style 24 14" xfId="35374" xr:uid="{00000000-0005-0000-0000-0000338A0000}"/>
    <cellStyle name="Style 24 14 2" xfId="35375" xr:uid="{00000000-0005-0000-0000-0000348A0000}"/>
    <cellStyle name="Style 24 14 2 2" xfId="35376" xr:uid="{00000000-0005-0000-0000-0000358A0000}"/>
    <cellStyle name="Style 24 14 2 2 2" xfId="35377" xr:uid="{00000000-0005-0000-0000-0000368A0000}"/>
    <cellStyle name="Style 24 14 2 2 3" xfId="35378" xr:uid="{00000000-0005-0000-0000-0000378A0000}"/>
    <cellStyle name="Style 24 14 2 3" xfId="35379" xr:uid="{00000000-0005-0000-0000-0000388A0000}"/>
    <cellStyle name="Style 24 14 2 3 2" xfId="35380" xr:uid="{00000000-0005-0000-0000-0000398A0000}"/>
    <cellStyle name="Style 24 14 2 3 3" xfId="35381" xr:uid="{00000000-0005-0000-0000-00003A8A0000}"/>
    <cellStyle name="Style 24 14 2 4" xfId="35382" xr:uid="{00000000-0005-0000-0000-00003B8A0000}"/>
    <cellStyle name="Style 24 14 2 5" xfId="35383" xr:uid="{00000000-0005-0000-0000-00003C8A0000}"/>
    <cellStyle name="Style 24 14 2 6" xfId="35384" xr:uid="{00000000-0005-0000-0000-00003D8A0000}"/>
    <cellStyle name="Style 24 14 3" xfId="35385" xr:uid="{00000000-0005-0000-0000-00003E8A0000}"/>
    <cellStyle name="Style 24 14 3 2" xfId="35386" xr:uid="{00000000-0005-0000-0000-00003F8A0000}"/>
    <cellStyle name="Style 24 14 3 3" xfId="35387" xr:uid="{00000000-0005-0000-0000-0000408A0000}"/>
    <cellStyle name="Style 24 14 4" xfId="35388" xr:uid="{00000000-0005-0000-0000-0000418A0000}"/>
    <cellStyle name="Style 24 14 4 2" xfId="35389" xr:uid="{00000000-0005-0000-0000-0000428A0000}"/>
    <cellStyle name="Style 24 14 4 3" xfId="35390" xr:uid="{00000000-0005-0000-0000-0000438A0000}"/>
    <cellStyle name="Style 24 14 5" xfId="35391" xr:uid="{00000000-0005-0000-0000-0000448A0000}"/>
    <cellStyle name="Style 24 14 5 2" xfId="35392" xr:uid="{00000000-0005-0000-0000-0000458A0000}"/>
    <cellStyle name="Style 24 14 5 3" xfId="35393" xr:uid="{00000000-0005-0000-0000-0000468A0000}"/>
    <cellStyle name="Style 24 14 6" xfId="35394" xr:uid="{00000000-0005-0000-0000-0000478A0000}"/>
    <cellStyle name="Style 24 14 7" xfId="35395" xr:uid="{00000000-0005-0000-0000-0000488A0000}"/>
    <cellStyle name="Style 24 14 8" xfId="35396" xr:uid="{00000000-0005-0000-0000-0000498A0000}"/>
    <cellStyle name="Style 24 15" xfId="35397" xr:uid="{00000000-0005-0000-0000-00004A8A0000}"/>
    <cellStyle name="Style 24 15 2" xfId="35398" xr:uid="{00000000-0005-0000-0000-00004B8A0000}"/>
    <cellStyle name="Style 24 15 2 2" xfId="35399" xr:uid="{00000000-0005-0000-0000-00004C8A0000}"/>
    <cellStyle name="Style 24 15 2 2 2" xfId="35400" xr:uid="{00000000-0005-0000-0000-00004D8A0000}"/>
    <cellStyle name="Style 24 15 2 2 3" xfId="35401" xr:uid="{00000000-0005-0000-0000-00004E8A0000}"/>
    <cellStyle name="Style 24 15 2 3" xfId="35402" xr:uid="{00000000-0005-0000-0000-00004F8A0000}"/>
    <cellStyle name="Style 24 15 2 3 2" xfId="35403" xr:uid="{00000000-0005-0000-0000-0000508A0000}"/>
    <cellStyle name="Style 24 15 2 3 3" xfId="35404" xr:uid="{00000000-0005-0000-0000-0000518A0000}"/>
    <cellStyle name="Style 24 15 2 4" xfId="35405" xr:uid="{00000000-0005-0000-0000-0000528A0000}"/>
    <cellStyle name="Style 24 15 2 5" xfId="35406" xr:uid="{00000000-0005-0000-0000-0000538A0000}"/>
    <cellStyle name="Style 24 15 2 6" xfId="35407" xr:uid="{00000000-0005-0000-0000-0000548A0000}"/>
    <cellStyle name="Style 24 15 3" xfId="35408" xr:uid="{00000000-0005-0000-0000-0000558A0000}"/>
    <cellStyle name="Style 24 15 3 2" xfId="35409" xr:uid="{00000000-0005-0000-0000-0000568A0000}"/>
    <cellStyle name="Style 24 15 3 3" xfId="35410" xr:uid="{00000000-0005-0000-0000-0000578A0000}"/>
    <cellStyle name="Style 24 15 4" xfId="35411" xr:uid="{00000000-0005-0000-0000-0000588A0000}"/>
    <cellStyle name="Style 24 15 4 2" xfId="35412" xr:uid="{00000000-0005-0000-0000-0000598A0000}"/>
    <cellStyle name="Style 24 15 4 3" xfId="35413" xr:uid="{00000000-0005-0000-0000-00005A8A0000}"/>
    <cellStyle name="Style 24 15 5" xfId="35414" xr:uid="{00000000-0005-0000-0000-00005B8A0000}"/>
    <cellStyle name="Style 24 15 5 2" xfId="35415" xr:uid="{00000000-0005-0000-0000-00005C8A0000}"/>
    <cellStyle name="Style 24 15 5 3" xfId="35416" xr:uid="{00000000-0005-0000-0000-00005D8A0000}"/>
    <cellStyle name="Style 24 15 6" xfId="35417" xr:uid="{00000000-0005-0000-0000-00005E8A0000}"/>
    <cellStyle name="Style 24 15 7" xfId="35418" xr:uid="{00000000-0005-0000-0000-00005F8A0000}"/>
    <cellStyle name="Style 24 15 8" xfId="35419" xr:uid="{00000000-0005-0000-0000-0000608A0000}"/>
    <cellStyle name="Style 24 16" xfId="35420" xr:uid="{00000000-0005-0000-0000-0000618A0000}"/>
    <cellStyle name="Style 24 16 2" xfId="35421" xr:uid="{00000000-0005-0000-0000-0000628A0000}"/>
    <cellStyle name="Style 24 16 2 2" xfId="35422" xr:uid="{00000000-0005-0000-0000-0000638A0000}"/>
    <cellStyle name="Style 24 16 2 3" xfId="35423" xr:uid="{00000000-0005-0000-0000-0000648A0000}"/>
    <cellStyle name="Style 24 16 3" xfId="35424" xr:uid="{00000000-0005-0000-0000-0000658A0000}"/>
    <cellStyle name="Style 24 16 3 2" xfId="35425" xr:uid="{00000000-0005-0000-0000-0000668A0000}"/>
    <cellStyle name="Style 24 16 3 3" xfId="35426" xr:uid="{00000000-0005-0000-0000-0000678A0000}"/>
    <cellStyle name="Style 24 16 4" xfId="35427" xr:uid="{00000000-0005-0000-0000-0000688A0000}"/>
    <cellStyle name="Style 24 16 5" xfId="35428" xr:uid="{00000000-0005-0000-0000-0000698A0000}"/>
    <cellStyle name="Style 24 16 6" xfId="35429" xr:uid="{00000000-0005-0000-0000-00006A8A0000}"/>
    <cellStyle name="Style 24 17" xfId="35430" xr:uid="{00000000-0005-0000-0000-00006B8A0000}"/>
    <cellStyle name="Style 24 17 2" xfId="35431" xr:uid="{00000000-0005-0000-0000-00006C8A0000}"/>
    <cellStyle name="Style 24 17 3" xfId="35432" xr:uid="{00000000-0005-0000-0000-00006D8A0000}"/>
    <cellStyle name="Style 24 18" xfId="35433" xr:uid="{00000000-0005-0000-0000-00006E8A0000}"/>
    <cellStyle name="Style 24 18 2" xfId="35434" xr:uid="{00000000-0005-0000-0000-00006F8A0000}"/>
    <cellStyle name="Style 24 18 3" xfId="35435" xr:uid="{00000000-0005-0000-0000-0000708A0000}"/>
    <cellStyle name="Style 24 19" xfId="35436" xr:uid="{00000000-0005-0000-0000-0000718A0000}"/>
    <cellStyle name="Style 24 19 2" xfId="35437" xr:uid="{00000000-0005-0000-0000-0000728A0000}"/>
    <cellStyle name="Style 24 19 3" xfId="35438" xr:uid="{00000000-0005-0000-0000-0000738A0000}"/>
    <cellStyle name="Style 24 2" xfId="35439" xr:uid="{00000000-0005-0000-0000-0000748A0000}"/>
    <cellStyle name="Style 24 2 10" xfId="35440" xr:uid="{00000000-0005-0000-0000-0000758A0000}"/>
    <cellStyle name="Style 24 2 11" xfId="35441" xr:uid="{00000000-0005-0000-0000-0000768A0000}"/>
    <cellStyle name="Style 24 2 12" xfId="35442" xr:uid="{00000000-0005-0000-0000-0000778A0000}"/>
    <cellStyle name="Style 24 2 2" xfId="35443" xr:uid="{00000000-0005-0000-0000-0000788A0000}"/>
    <cellStyle name="Style 24 2 2 10" xfId="35444" xr:uid="{00000000-0005-0000-0000-0000798A0000}"/>
    <cellStyle name="Style 24 2 2 2" xfId="35445" xr:uid="{00000000-0005-0000-0000-00007A8A0000}"/>
    <cellStyle name="Style 24 2 2 2 2" xfId="35446" xr:uid="{00000000-0005-0000-0000-00007B8A0000}"/>
    <cellStyle name="Style 24 2 2 2 2 2" xfId="35447" xr:uid="{00000000-0005-0000-0000-00007C8A0000}"/>
    <cellStyle name="Style 24 2 2 2 2 2 2" xfId="35448" xr:uid="{00000000-0005-0000-0000-00007D8A0000}"/>
    <cellStyle name="Style 24 2 2 2 2 2 3" xfId="35449" xr:uid="{00000000-0005-0000-0000-00007E8A0000}"/>
    <cellStyle name="Style 24 2 2 2 2 3" xfId="35450" xr:uid="{00000000-0005-0000-0000-00007F8A0000}"/>
    <cellStyle name="Style 24 2 2 2 2 3 2" xfId="35451" xr:uid="{00000000-0005-0000-0000-0000808A0000}"/>
    <cellStyle name="Style 24 2 2 2 2 3 3" xfId="35452" xr:uid="{00000000-0005-0000-0000-0000818A0000}"/>
    <cellStyle name="Style 24 2 2 2 2 4" xfId="35453" xr:uid="{00000000-0005-0000-0000-0000828A0000}"/>
    <cellStyle name="Style 24 2 2 2 2 5" xfId="35454" xr:uid="{00000000-0005-0000-0000-0000838A0000}"/>
    <cellStyle name="Style 24 2 2 2 2 6" xfId="35455" xr:uid="{00000000-0005-0000-0000-0000848A0000}"/>
    <cellStyle name="Style 24 2 2 2 3" xfId="35456" xr:uid="{00000000-0005-0000-0000-0000858A0000}"/>
    <cellStyle name="Style 24 2 2 2 3 2" xfId="35457" xr:uid="{00000000-0005-0000-0000-0000868A0000}"/>
    <cellStyle name="Style 24 2 2 2 3 3" xfId="35458" xr:uid="{00000000-0005-0000-0000-0000878A0000}"/>
    <cellStyle name="Style 24 2 2 2 4" xfId="35459" xr:uid="{00000000-0005-0000-0000-0000888A0000}"/>
    <cellStyle name="Style 24 2 2 2 4 2" xfId="35460" xr:uid="{00000000-0005-0000-0000-0000898A0000}"/>
    <cellStyle name="Style 24 2 2 2 4 3" xfId="35461" xr:uid="{00000000-0005-0000-0000-00008A8A0000}"/>
    <cellStyle name="Style 24 2 2 2 5" xfId="35462" xr:uid="{00000000-0005-0000-0000-00008B8A0000}"/>
    <cellStyle name="Style 24 2 2 2 5 2" xfId="35463" xr:uid="{00000000-0005-0000-0000-00008C8A0000}"/>
    <cellStyle name="Style 24 2 2 2 5 3" xfId="35464" xr:uid="{00000000-0005-0000-0000-00008D8A0000}"/>
    <cellStyle name="Style 24 2 2 2 6" xfId="35465" xr:uid="{00000000-0005-0000-0000-00008E8A0000}"/>
    <cellStyle name="Style 24 2 2 2 7" xfId="35466" xr:uid="{00000000-0005-0000-0000-00008F8A0000}"/>
    <cellStyle name="Style 24 2 2 2 8" xfId="35467" xr:uid="{00000000-0005-0000-0000-0000908A0000}"/>
    <cellStyle name="Style 24 2 2 3" xfId="35468" xr:uid="{00000000-0005-0000-0000-0000918A0000}"/>
    <cellStyle name="Style 24 2 2 3 2" xfId="35469" xr:uid="{00000000-0005-0000-0000-0000928A0000}"/>
    <cellStyle name="Style 24 2 2 3 2 2" xfId="35470" xr:uid="{00000000-0005-0000-0000-0000938A0000}"/>
    <cellStyle name="Style 24 2 2 3 2 2 2" xfId="35471" xr:uid="{00000000-0005-0000-0000-0000948A0000}"/>
    <cellStyle name="Style 24 2 2 3 2 2 3" xfId="35472" xr:uid="{00000000-0005-0000-0000-0000958A0000}"/>
    <cellStyle name="Style 24 2 2 3 2 3" xfId="35473" xr:uid="{00000000-0005-0000-0000-0000968A0000}"/>
    <cellStyle name="Style 24 2 2 3 2 3 2" xfId="35474" xr:uid="{00000000-0005-0000-0000-0000978A0000}"/>
    <cellStyle name="Style 24 2 2 3 2 3 3" xfId="35475" xr:uid="{00000000-0005-0000-0000-0000988A0000}"/>
    <cellStyle name="Style 24 2 2 3 2 4" xfId="35476" xr:uid="{00000000-0005-0000-0000-0000998A0000}"/>
    <cellStyle name="Style 24 2 2 3 2 5" xfId="35477" xr:uid="{00000000-0005-0000-0000-00009A8A0000}"/>
    <cellStyle name="Style 24 2 2 3 2 6" xfId="35478" xr:uid="{00000000-0005-0000-0000-00009B8A0000}"/>
    <cellStyle name="Style 24 2 2 3 3" xfId="35479" xr:uid="{00000000-0005-0000-0000-00009C8A0000}"/>
    <cellStyle name="Style 24 2 2 3 3 2" xfId="35480" xr:uid="{00000000-0005-0000-0000-00009D8A0000}"/>
    <cellStyle name="Style 24 2 2 3 3 3" xfId="35481" xr:uid="{00000000-0005-0000-0000-00009E8A0000}"/>
    <cellStyle name="Style 24 2 2 3 4" xfId="35482" xr:uid="{00000000-0005-0000-0000-00009F8A0000}"/>
    <cellStyle name="Style 24 2 2 3 4 2" xfId="35483" xr:uid="{00000000-0005-0000-0000-0000A08A0000}"/>
    <cellStyle name="Style 24 2 2 3 4 3" xfId="35484" xr:uid="{00000000-0005-0000-0000-0000A18A0000}"/>
    <cellStyle name="Style 24 2 2 3 5" xfId="35485" xr:uid="{00000000-0005-0000-0000-0000A28A0000}"/>
    <cellStyle name="Style 24 2 2 3 5 2" xfId="35486" xr:uid="{00000000-0005-0000-0000-0000A38A0000}"/>
    <cellStyle name="Style 24 2 2 3 5 3" xfId="35487" xr:uid="{00000000-0005-0000-0000-0000A48A0000}"/>
    <cellStyle name="Style 24 2 2 3 6" xfId="35488" xr:uid="{00000000-0005-0000-0000-0000A58A0000}"/>
    <cellStyle name="Style 24 2 2 3 7" xfId="35489" xr:uid="{00000000-0005-0000-0000-0000A68A0000}"/>
    <cellStyle name="Style 24 2 2 3 8" xfId="35490" xr:uid="{00000000-0005-0000-0000-0000A78A0000}"/>
    <cellStyle name="Style 24 2 2 4" xfId="35491" xr:uid="{00000000-0005-0000-0000-0000A88A0000}"/>
    <cellStyle name="Style 24 2 2 4 2" xfId="35492" xr:uid="{00000000-0005-0000-0000-0000A98A0000}"/>
    <cellStyle name="Style 24 2 2 4 2 2" xfId="35493" xr:uid="{00000000-0005-0000-0000-0000AA8A0000}"/>
    <cellStyle name="Style 24 2 2 4 2 3" xfId="35494" xr:uid="{00000000-0005-0000-0000-0000AB8A0000}"/>
    <cellStyle name="Style 24 2 2 4 3" xfId="35495" xr:uid="{00000000-0005-0000-0000-0000AC8A0000}"/>
    <cellStyle name="Style 24 2 2 4 3 2" xfId="35496" xr:uid="{00000000-0005-0000-0000-0000AD8A0000}"/>
    <cellStyle name="Style 24 2 2 4 3 3" xfId="35497" xr:uid="{00000000-0005-0000-0000-0000AE8A0000}"/>
    <cellStyle name="Style 24 2 2 4 4" xfId="35498" xr:uid="{00000000-0005-0000-0000-0000AF8A0000}"/>
    <cellStyle name="Style 24 2 2 4 5" xfId="35499" xr:uid="{00000000-0005-0000-0000-0000B08A0000}"/>
    <cellStyle name="Style 24 2 2 4 6" xfId="35500" xr:uid="{00000000-0005-0000-0000-0000B18A0000}"/>
    <cellStyle name="Style 24 2 2 5" xfId="35501" xr:uid="{00000000-0005-0000-0000-0000B28A0000}"/>
    <cellStyle name="Style 24 2 2 5 2" xfId="35502" xr:uid="{00000000-0005-0000-0000-0000B38A0000}"/>
    <cellStyle name="Style 24 2 2 5 3" xfId="35503" xr:uid="{00000000-0005-0000-0000-0000B48A0000}"/>
    <cellStyle name="Style 24 2 2 6" xfId="35504" xr:uid="{00000000-0005-0000-0000-0000B58A0000}"/>
    <cellStyle name="Style 24 2 2 6 2" xfId="35505" xr:uid="{00000000-0005-0000-0000-0000B68A0000}"/>
    <cellStyle name="Style 24 2 2 6 3" xfId="35506" xr:uid="{00000000-0005-0000-0000-0000B78A0000}"/>
    <cellStyle name="Style 24 2 2 7" xfId="35507" xr:uid="{00000000-0005-0000-0000-0000B88A0000}"/>
    <cellStyle name="Style 24 2 2 7 2" xfId="35508" xr:uid="{00000000-0005-0000-0000-0000B98A0000}"/>
    <cellStyle name="Style 24 2 2 7 3" xfId="35509" xr:uid="{00000000-0005-0000-0000-0000BA8A0000}"/>
    <cellStyle name="Style 24 2 2 8" xfId="35510" xr:uid="{00000000-0005-0000-0000-0000BB8A0000}"/>
    <cellStyle name="Style 24 2 2 9" xfId="35511" xr:uid="{00000000-0005-0000-0000-0000BC8A0000}"/>
    <cellStyle name="Style 24 2 3" xfId="35512" xr:uid="{00000000-0005-0000-0000-0000BD8A0000}"/>
    <cellStyle name="Style 24 2 3 2" xfId="35513" xr:uid="{00000000-0005-0000-0000-0000BE8A0000}"/>
    <cellStyle name="Style 24 2 3 2 2" xfId="35514" xr:uid="{00000000-0005-0000-0000-0000BF8A0000}"/>
    <cellStyle name="Style 24 2 3 2 2 2" xfId="35515" xr:uid="{00000000-0005-0000-0000-0000C08A0000}"/>
    <cellStyle name="Style 24 2 3 2 2 3" xfId="35516" xr:uid="{00000000-0005-0000-0000-0000C18A0000}"/>
    <cellStyle name="Style 24 2 3 2 3" xfId="35517" xr:uid="{00000000-0005-0000-0000-0000C28A0000}"/>
    <cellStyle name="Style 24 2 3 2 3 2" xfId="35518" xr:uid="{00000000-0005-0000-0000-0000C38A0000}"/>
    <cellStyle name="Style 24 2 3 2 3 3" xfId="35519" xr:uid="{00000000-0005-0000-0000-0000C48A0000}"/>
    <cellStyle name="Style 24 2 3 2 4" xfId="35520" xr:uid="{00000000-0005-0000-0000-0000C58A0000}"/>
    <cellStyle name="Style 24 2 3 2 5" xfId="35521" xr:uid="{00000000-0005-0000-0000-0000C68A0000}"/>
    <cellStyle name="Style 24 2 3 2 6" xfId="35522" xr:uid="{00000000-0005-0000-0000-0000C78A0000}"/>
    <cellStyle name="Style 24 2 3 3" xfId="35523" xr:uid="{00000000-0005-0000-0000-0000C88A0000}"/>
    <cellStyle name="Style 24 2 3 3 2" xfId="35524" xr:uid="{00000000-0005-0000-0000-0000C98A0000}"/>
    <cellStyle name="Style 24 2 3 3 3" xfId="35525" xr:uid="{00000000-0005-0000-0000-0000CA8A0000}"/>
    <cellStyle name="Style 24 2 3 4" xfId="35526" xr:uid="{00000000-0005-0000-0000-0000CB8A0000}"/>
    <cellStyle name="Style 24 2 3 4 2" xfId="35527" xr:uid="{00000000-0005-0000-0000-0000CC8A0000}"/>
    <cellStyle name="Style 24 2 3 4 3" xfId="35528" xr:uid="{00000000-0005-0000-0000-0000CD8A0000}"/>
    <cellStyle name="Style 24 2 3 5" xfId="35529" xr:uid="{00000000-0005-0000-0000-0000CE8A0000}"/>
    <cellStyle name="Style 24 2 3 5 2" xfId="35530" xr:uid="{00000000-0005-0000-0000-0000CF8A0000}"/>
    <cellStyle name="Style 24 2 3 5 3" xfId="35531" xr:uid="{00000000-0005-0000-0000-0000D08A0000}"/>
    <cellStyle name="Style 24 2 3 6" xfId="35532" xr:uid="{00000000-0005-0000-0000-0000D18A0000}"/>
    <cellStyle name="Style 24 2 3 7" xfId="35533" xr:uid="{00000000-0005-0000-0000-0000D28A0000}"/>
    <cellStyle name="Style 24 2 3 8" xfId="35534" xr:uid="{00000000-0005-0000-0000-0000D38A0000}"/>
    <cellStyle name="Style 24 2 4" xfId="35535" xr:uid="{00000000-0005-0000-0000-0000D48A0000}"/>
    <cellStyle name="Style 24 2 4 2" xfId="35536" xr:uid="{00000000-0005-0000-0000-0000D58A0000}"/>
    <cellStyle name="Style 24 2 4 2 2" xfId="35537" xr:uid="{00000000-0005-0000-0000-0000D68A0000}"/>
    <cellStyle name="Style 24 2 4 2 2 2" xfId="35538" xr:uid="{00000000-0005-0000-0000-0000D78A0000}"/>
    <cellStyle name="Style 24 2 4 2 2 3" xfId="35539" xr:uid="{00000000-0005-0000-0000-0000D88A0000}"/>
    <cellStyle name="Style 24 2 4 2 3" xfId="35540" xr:uid="{00000000-0005-0000-0000-0000D98A0000}"/>
    <cellStyle name="Style 24 2 4 2 3 2" xfId="35541" xr:uid="{00000000-0005-0000-0000-0000DA8A0000}"/>
    <cellStyle name="Style 24 2 4 2 3 3" xfId="35542" xr:uid="{00000000-0005-0000-0000-0000DB8A0000}"/>
    <cellStyle name="Style 24 2 4 2 4" xfId="35543" xr:uid="{00000000-0005-0000-0000-0000DC8A0000}"/>
    <cellStyle name="Style 24 2 4 2 5" xfId="35544" xr:uid="{00000000-0005-0000-0000-0000DD8A0000}"/>
    <cellStyle name="Style 24 2 4 2 6" xfId="35545" xr:uid="{00000000-0005-0000-0000-0000DE8A0000}"/>
    <cellStyle name="Style 24 2 4 3" xfId="35546" xr:uid="{00000000-0005-0000-0000-0000DF8A0000}"/>
    <cellStyle name="Style 24 2 4 3 2" xfId="35547" xr:uid="{00000000-0005-0000-0000-0000E08A0000}"/>
    <cellStyle name="Style 24 2 4 3 3" xfId="35548" xr:uid="{00000000-0005-0000-0000-0000E18A0000}"/>
    <cellStyle name="Style 24 2 4 4" xfId="35549" xr:uid="{00000000-0005-0000-0000-0000E28A0000}"/>
    <cellStyle name="Style 24 2 4 4 2" xfId="35550" xr:uid="{00000000-0005-0000-0000-0000E38A0000}"/>
    <cellStyle name="Style 24 2 4 4 3" xfId="35551" xr:uid="{00000000-0005-0000-0000-0000E48A0000}"/>
    <cellStyle name="Style 24 2 4 5" xfId="35552" xr:uid="{00000000-0005-0000-0000-0000E58A0000}"/>
    <cellStyle name="Style 24 2 4 5 2" xfId="35553" xr:uid="{00000000-0005-0000-0000-0000E68A0000}"/>
    <cellStyle name="Style 24 2 4 5 3" xfId="35554" xr:uid="{00000000-0005-0000-0000-0000E78A0000}"/>
    <cellStyle name="Style 24 2 4 6" xfId="35555" xr:uid="{00000000-0005-0000-0000-0000E88A0000}"/>
    <cellStyle name="Style 24 2 4 7" xfId="35556" xr:uid="{00000000-0005-0000-0000-0000E98A0000}"/>
    <cellStyle name="Style 24 2 4 8" xfId="35557" xr:uid="{00000000-0005-0000-0000-0000EA8A0000}"/>
    <cellStyle name="Style 24 2 5" xfId="35558" xr:uid="{00000000-0005-0000-0000-0000EB8A0000}"/>
    <cellStyle name="Style 24 2 5 2" xfId="35559" xr:uid="{00000000-0005-0000-0000-0000EC8A0000}"/>
    <cellStyle name="Style 24 2 5 2 2" xfId="35560" xr:uid="{00000000-0005-0000-0000-0000ED8A0000}"/>
    <cellStyle name="Style 24 2 5 2 2 2" xfId="35561" xr:uid="{00000000-0005-0000-0000-0000EE8A0000}"/>
    <cellStyle name="Style 24 2 5 2 2 3" xfId="35562" xr:uid="{00000000-0005-0000-0000-0000EF8A0000}"/>
    <cellStyle name="Style 24 2 5 2 3" xfId="35563" xr:uid="{00000000-0005-0000-0000-0000F08A0000}"/>
    <cellStyle name="Style 24 2 5 2 3 2" xfId="35564" xr:uid="{00000000-0005-0000-0000-0000F18A0000}"/>
    <cellStyle name="Style 24 2 5 2 3 3" xfId="35565" xr:uid="{00000000-0005-0000-0000-0000F28A0000}"/>
    <cellStyle name="Style 24 2 5 2 4" xfId="35566" xr:uid="{00000000-0005-0000-0000-0000F38A0000}"/>
    <cellStyle name="Style 24 2 5 2 5" xfId="35567" xr:uid="{00000000-0005-0000-0000-0000F48A0000}"/>
    <cellStyle name="Style 24 2 5 2 6" xfId="35568" xr:uid="{00000000-0005-0000-0000-0000F58A0000}"/>
    <cellStyle name="Style 24 2 5 3" xfId="35569" xr:uid="{00000000-0005-0000-0000-0000F68A0000}"/>
    <cellStyle name="Style 24 2 5 3 2" xfId="35570" xr:uid="{00000000-0005-0000-0000-0000F78A0000}"/>
    <cellStyle name="Style 24 2 5 3 3" xfId="35571" xr:uid="{00000000-0005-0000-0000-0000F88A0000}"/>
    <cellStyle name="Style 24 2 5 4" xfId="35572" xr:uid="{00000000-0005-0000-0000-0000F98A0000}"/>
    <cellStyle name="Style 24 2 5 4 2" xfId="35573" xr:uid="{00000000-0005-0000-0000-0000FA8A0000}"/>
    <cellStyle name="Style 24 2 5 4 3" xfId="35574" xr:uid="{00000000-0005-0000-0000-0000FB8A0000}"/>
    <cellStyle name="Style 24 2 5 5" xfId="35575" xr:uid="{00000000-0005-0000-0000-0000FC8A0000}"/>
    <cellStyle name="Style 24 2 5 5 2" xfId="35576" xr:uid="{00000000-0005-0000-0000-0000FD8A0000}"/>
    <cellStyle name="Style 24 2 5 5 3" xfId="35577" xr:uid="{00000000-0005-0000-0000-0000FE8A0000}"/>
    <cellStyle name="Style 24 2 5 6" xfId="35578" xr:uid="{00000000-0005-0000-0000-0000FF8A0000}"/>
    <cellStyle name="Style 24 2 5 7" xfId="35579" xr:uid="{00000000-0005-0000-0000-0000008B0000}"/>
    <cellStyle name="Style 24 2 5 8" xfId="35580" xr:uid="{00000000-0005-0000-0000-0000018B0000}"/>
    <cellStyle name="Style 24 2 6" xfId="35581" xr:uid="{00000000-0005-0000-0000-0000028B0000}"/>
    <cellStyle name="Style 24 2 6 2" xfId="35582" xr:uid="{00000000-0005-0000-0000-0000038B0000}"/>
    <cellStyle name="Style 24 2 6 2 2" xfId="35583" xr:uid="{00000000-0005-0000-0000-0000048B0000}"/>
    <cellStyle name="Style 24 2 6 2 3" xfId="35584" xr:uid="{00000000-0005-0000-0000-0000058B0000}"/>
    <cellStyle name="Style 24 2 6 3" xfId="35585" xr:uid="{00000000-0005-0000-0000-0000068B0000}"/>
    <cellStyle name="Style 24 2 6 3 2" xfId="35586" xr:uid="{00000000-0005-0000-0000-0000078B0000}"/>
    <cellStyle name="Style 24 2 6 3 3" xfId="35587" xr:uid="{00000000-0005-0000-0000-0000088B0000}"/>
    <cellStyle name="Style 24 2 6 4" xfId="35588" xr:uid="{00000000-0005-0000-0000-0000098B0000}"/>
    <cellStyle name="Style 24 2 6 5" xfId="35589" xr:uid="{00000000-0005-0000-0000-00000A8B0000}"/>
    <cellStyle name="Style 24 2 6 6" xfId="35590" xr:uid="{00000000-0005-0000-0000-00000B8B0000}"/>
    <cellStyle name="Style 24 2 7" xfId="35591" xr:uid="{00000000-0005-0000-0000-00000C8B0000}"/>
    <cellStyle name="Style 24 2 7 2" xfId="35592" xr:uid="{00000000-0005-0000-0000-00000D8B0000}"/>
    <cellStyle name="Style 24 2 7 3" xfId="35593" xr:uid="{00000000-0005-0000-0000-00000E8B0000}"/>
    <cellStyle name="Style 24 2 8" xfId="35594" xr:uid="{00000000-0005-0000-0000-00000F8B0000}"/>
    <cellStyle name="Style 24 2 8 2" xfId="35595" xr:uid="{00000000-0005-0000-0000-0000108B0000}"/>
    <cellStyle name="Style 24 2 8 3" xfId="35596" xr:uid="{00000000-0005-0000-0000-0000118B0000}"/>
    <cellStyle name="Style 24 2 9" xfId="35597" xr:uid="{00000000-0005-0000-0000-0000128B0000}"/>
    <cellStyle name="Style 24 2 9 2" xfId="35598" xr:uid="{00000000-0005-0000-0000-0000138B0000}"/>
    <cellStyle name="Style 24 2 9 3" xfId="35599" xr:uid="{00000000-0005-0000-0000-0000148B0000}"/>
    <cellStyle name="Style 24 20" xfId="35600" xr:uid="{00000000-0005-0000-0000-0000158B0000}"/>
    <cellStyle name="Style 24 21" xfId="35601" xr:uid="{00000000-0005-0000-0000-0000168B0000}"/>
    <cellStyle name="Style 24 22" xfId="35602" xr:uid="{00000000-0005-0000-0000-0000178B0000}"/>
    <cellStyle name="Style 24 3" xfId="35603" xr:uid="{00000000-0005-0000-0000-0000188B0000}"/>
    <cellStyle name="Style 24 3 10" xfId="35604" xr:uid="{00000000-0005-0000-0000-0000198B0000}"/>
    <cellStyle name="Style 24 3 11" xfId="35605" xr:uid="{00000000-0005-0000-0000-00001A8B0000}"/>
    <cellStyle name="Style 24 3 12" xfId="35606" xr:uid="{00000000-0005-0000-0000-00001B8B0000}"/>
    <cellStyle name="Style 24 3 2" xfId="35607" xr:uid="{00000000-0005-0000-0000-00001C8B0000}"/>
    <cellStyle name="Style 24 3 2 10" xfId="35608" xr:uid="{00000000-0005-0000-0000-00001D8B0000}"/>
    <cellStyle name="Style 24 3 2 2" xfId="35609" xr:uid="{00000000-0005-0000-0000-00001E8B0000}"/>
    <cellStyle name="Style 24 3 2 2 2" xfId="35610" xr:uid="{00000000-0005-0000-0000-00001F8B0000}"/>
    <cellStyle name="Style 24 3 2 2 2 2" xfId="35611" xr:uid="{00000000-0005-0000-0000-0000208B0000}"/>
    <cellStyle name="Style 24 3 2 2 2 2 2" xfId="35612" xr:uid="{00000000-0005-0000-0000-0000218B0000}"/>
    <cellStyle name="Style 24 3 2 2 2 2 3" xfId="35613" xr:uid="{00000000-0005-0000-0000-0000228B0000}"/>
    <cellStyle name="Style 24 3 2 2 2 3" xfId="35614" xr:uid="{00000000-0005-0000-0000-0000238B0000}"/>
    <cellStyle name="Style 24 3 2 2 2 3 2" xfId="35615" xr:uid="{00000000-0005-0000-0000-0000248B0000}"/>
    <cellStyle name="Style 24 3 2 2 2 3 3" xfId="35616" xr:uid="{00000000-0005-0000-0000-0000258B0000}"/>
    <cellStyle name="Style 24 3 2 2 2 4" xfId="35617" xr:uid="{00000000-0005-0000-0000-0000268B0000}"/>
    <cellStyle name="Style 24 3 2 2 2 5" xfId="35618" xr:uid="{00000000-0005-0000-0000-0000278B0000}"/>
    <cellStyle name="Style 24 3 2 2 2 6" xfId="35619" xr:uid="{00000000-0005-0000-0000-0000288B0000}"/>
    <cellStyle name="Style 24 3 2 2 3" xfId="35620" xr:uid="{00000000-0005-0000-0000-0000298B0000}"/>
    <cellStyle name="Style 24 3 2 2 3 2" xfId="35621" xr:uid="{00000000-0005-0000-0000-00002A8B0000}"/>
    <cellStyle name="Style 24 3 2 2 3 3" xfId="35622" xr:uid="{00000000-0005-0000-0000-00002B8B0000}"/>
    <cellStyle name="Style 24 3 2 2 4" xfId="35623" xr:uid="{00000000-0005-0000-0000-00002C8B0000}"/>
    <cellStyle name="Style 24 3 2 2 4 2" xfId="35624" xr:uid="{00000000-0005-0000-0000-00002D8B0000}"/>
    <cellStyle name="Style 24 3 2 2 4 3" xfId="35625" xr:uid="{00000000-0005-0000-0000-00002E8B0000}"/>
    <cellStyle name="Style 24 3 2 2 5" xfId="35626" xr:uid="{00000000-0005-0000-0000-00002F8B0000}"/>
    <cellStyle name="Style 24 3 2 2 5 2" xfId="35627" xr:uid="{00000000-0005-0000-0000-0000308B0000}"/>
    <cellStyle name="Style 24 3 2 2 5 3" xfId="35628" xr:uid="{00000000-0005-0000-0000-0000318B0000}"/>
    <cellStyle name="Style 24 3 2 2 6" xfId="35629" xr:uid="{00000000-0005-0000-0000-0000328B0000}"/>
    <cellStyle name="Style 24 3 2 2 7" xfId="35630" xr:uid="{00000000-0005-0000-0000-0000338B0000}"/>
    <cellStyle name="Style 24 3 2 2 8" xfId="35631" xr:uid="{00000000-0005-0000-0000-0000348B0000}"/>
    <cellStyle name="Style 24 3 2 3" xfId="35632" xr:uid="{00000000-0005-0000-0000-0000358B0000}"/>
    <cellStyle name="Style 24 3 2 3 2" xfId="35633" xr:uid="{00000000-0005-0000-0000-0000368B0000}"/>
    <cellStyle name="Style 24 3 2 3 2 2" xfId="35634" xr:uid="{00000000-0005-0000-0000-0000378B0000}"/>
    <cellStyle name="Style 24 3 2 3 2 2 2" xfId="35635" xr:uid="{00000000-0005-0000-0000-0000388B0000}"/>
    <cellStyle name="Style 24 3 2 3 2 2 3" xfId="35636" xr:uid="{00000000-0005-0000-0000-0000398B0000}"/>
    <cellStyle name="Style 24 3 2 3 2 3" xfId="35637" xr:uid="{00000000-0005-0000-0000-00003A8B0000}"/>
    <cellStyle name="Style 24 3 2 3 2 3 2" xfId="35638" xr:uid="{00000000-0005-0000-0000-00003B8B0000}"/>
    <cellStyle name="Style 24 3 2 3 2 3 3" xfId="35639" xr:uid="{00000000-0005-0000-0000-00003C8B0000}"/>
    <cellStyle name="Style 24 3 2 3 2 4" xfId="35640" xr:uid="{00000000-0005-0000-0000-00003D8B0000}"/>
    <cellStyle name="Style 24 3 2 3 2 5" xfId="35641" xr:uid="{00000000-0005-0000-0000-00003E8B0000}"/>
    <cellStyle name="Style 24 3 2 3 2 6" xfId="35642" xr:uid="{00000000-0005-0000-0000-00003F8B0000}"/>
    <cellStyle name="Style 24 3 2 3 3" xfId="35643" xr:uid="{00000000-0005-0000-0000-0000408B0000}"/>
    <cellStyle name="Style 24 3 2 3 3 2" xfId="35644" xr:uid="{00000000-0005-0000-0000-0000418B0000}"/>
    <cellStyle name="Style 24 3 2 3 3 3" xfId="35645" xr:uid="{00000000-0005-0000-0000-0000428B0000}"/>
    <cellStyle name="Style 24 3 2 3 4" xfId="35646" xr:uid="{00000000-0005-0000-0000-0000438B0000}"/>
    <cellStyle name="Style 24 3 2 3 4 2" xfId="35647" xr:uid="{00000000-0005-0000-0000-0000448B0000}"/>
    <cellStyle name="Style 24 3 2 3 4 3" xfId="35648" xr:uid="{00000000-0005-0000-0000-0000458B0000}"/>
    <cellStyle name="Style 24 3 2 3 5" xfId="35649" xr:uid="{00000000-0005-0000-0000-0000468B0000}"/>
    <cellStyle name="Style 24 3 2 3 5 2" xfId="35650" xr:uid="{00000000-0005-0000-0000-0000478B0000}"/>
    <cellStyle name="Style 24 3 2 3 5 3" xfId="35651" xr:uid="{00000000-0005-0000-0000-0000488B0000}"/>
    <cellStyle name="Style 24 3 2 3 6" xfId="35652" xr:uid="{00000000-0005-0000-0000-0000498B0000}"/>
    <cellStyle name="Style 24 3 2 3 7" xfId="35653" xr:uid="{00000000-0005-0000-0000-00004A8B0000}"/>
    <cellStyle name="Style 24 3 2 3 8" xfId="35654" xr:uid="{00000000-0005-0000-0000-00004B8B0000}"/>
    <cellStyle name="Style 24 3 2 4" xfId="35655" xr:uid="{00000000-0005-0000-0000-00004C8B0000}"/>
    <cellStyle name="Style 24 3 2 4 2" xfId="35656" xr:uid="{00000000-0005-0000-0000-00004D8B0000}"/>
    <cellStyle name="Style 24 3 2 4 2 2" xfId="35657" xr:uid="{00000000-0005-0000-0000-00004E8B0000}"/>
    <cellStyle name="Style 24 3 2 4 2 3" xfId="35658" xr:uid="{00000000-0005-0000-0000-00004F8B0000}"/>
    <cellStyle name="Style 24 3 2 4 3" xfId="35659" xr:uid="{00000000-0005-0000-0000-0000508B0000}"/>
    <cellStyle name="Style 24 3 2 4 3 2" xfId="35660" xr:uid="{00000000-0005-0000-0000-0000518B0000}"/>
    <cellStyle name="Style 24 3 2 4 3 3" xfId="35661" xr:uid="{00000000-0005-0000-0000-0000528B0000}"/>
    <cellStyle name="Style 24 3 2 4 4" xfId="35662" xr:uid="{00000000-0005-0000-0000-0000538B0000}"/>
    <cellStyle name="Style 24 3 2 4 5" xfId="35663" xr:uid="{00000000-0005-0000-0000-0000548B0000}"/>
    <cellStyle name="Style 24 3 2 4 6" xfId="35664" xr:uid="{00000000-0005-0000-0000-0000558B0000}"/>
    <cellStyle name="Style 24 3 2 5" xfId="35665" xr:uid="{00000000-0005-0000-0000-0000568B0000}"/>
    <cellStyle name="Style 24 3 2 5 2" xfId="35666" xr:uid="{00000000-0005-0000-0000-0000578B0000}"/>
    <cellStyle name="Style 24 3 2 5 3" xfId="35667" xr:uid="{00000000-0005-0000-0000-0000588B0000}"/>
    <cellStyle name="Style 24 3 2 6" xfId="35668" xr:uid="{00000000-0005-0000-0000-0000598B0000}"/>
    <cellStyle name="Style 24 3 2 6 2" xfId="35669" xr:uid="{00000000-0005-0000-0000-00005A8B0000}"/>
    <cellStyle name="Style 24 3 2 6 3" xfId="35670" xr:uid="{00000000-0005-0000-0000-00005B8B0000}"/>
    <cellStyle name="Style 24 3 2 7" xfId="35671" xr:uid="{00000000-0005-0000-0000-00005C8B0000}"/>
    <cellStyle name="Style 24 3 2 7 2" xfId="35672" xr:uid="{00000000-0005-0000-0000-00005D8B0000}"/>
    <cellStyle name="Style 24 3 2 7 3" xfId="35673" xr:uid="{00000000-0005-0000-0000-00005E8B0000}"/>
    <cellStyle name="Style 24 3 2 8" xfId="35674" xr:uid="{00000000-0005-0000-0000-00005F8B0000}"/>
    <cellStyle name="Style 24 3 2 9" xfId="35675" xr:uid="{00000000-0005-0000-0000-0000608B0000}"/>
    <cellStyle name="Style 24 3 3" xfId="35676" xr:uid="{00000000-0005-0000-0000-0000618B0000}"/>
    <cellStyle name="Style 24 3 3 2" xfId="35677" xr:uid="{00000000-0005-0000-0000-0000628B0000}"/>
    <cellStyle name="Style 24 3 3 2 2" xfId="35678" xr:uid="{00000000-0005-0000-0000-0000638B0000}"/>
    <cellStyle name="Style 24 3 3 2 2 2" xfId="35679" xr:uid="{00000000-0005-0000-0000-0000648B0000}"/>
    <cellStyle name="Style 24 3 3 2 2 3" xfId="35680" xr:uid="{00000000-0005-0000-0000-0000658B0000}"/>
    <cellStyle name="Style 24 3 3 2 3" xfId="35681" xr:uid="{00000000-0005-0000-0000-0000668B0000}"/>
    <cellStyle name="Style 24 3 3 2 3 2" xfId="35682" xr:uid="{00000000-0005-0000-0000-0000678B0000}"/>
    <cellStyle name="Style 24 3 3 2 3 3" xfId="35683" xr:uid="{00000000-0005-0000-0000-0000688B0000}"/>
    <cellStyle name="Style 24 3 3 2 4" xfId="35684" xr:uid="{00000000-0005-0000-0000-0000698B0000}"/>
    <cellStyle name="Style 24 3 3 2 5" xfId="35685" xr:uid="{00000000-0005-0000-0000-00006A8B0000}"/>
    <cellStyle name="Style 24 3 3 2 6" xfId="35686" xr:uid="{00000000-0005-0000-0000-00006B8B0000}"/>
    <cellStyle name="Style 24 3 3 3" xfId="35687" xr:uid="{00000000-0005-0000-0000-00006C8B0000}"/>
    <cellStyle name="Style 24 3 3 3 2" xfId="35688" xr:uid="{00000000-0005-0000-0000-00006D8B0000}"/>
    <cellStyle name="Style 24 3 3 3 3" xfId="35689" xr:uid="{00000000-0005-0000-0000-00006E8B0000}"/>
    <cellStyle name="Style 24 3 3 4" xfId="35690" xr:uid="{00000000-0005-0000-0000-00006F8B0000}"/>
    <cellStyle name="Style 24 3 3 4 2" xfId="35691" xr:uid="{00000000-0005-0000-0000-0000708B0000}"/>
    <cellStyle name="Style 24 3 3 4 3" xfId="35692" xr:uid="{00000000-0005-0000-0000-0000718B0000}"/>
    <cellStyle name="Style 24 3 3 5" xfId="35693" xr:uid="{00000000-0005-0000-0000-0000728B0000}"/>
    <cellStyle name="Style 24 3 3 5 2" xfId="35694" xr:uid="{00000000-0005-0000-0000-0000738B0000}"/>
    <cellStyle name="Style 24 3 3 5 3" xfId="35695" xr:uid="{00000000-0005-0000-0000-0000748B0000}"/>
    <cellStyle name="Style 24 3 3 6" xfId="35696" xr:uid="{00000000-0005-0000-0000-0000758B0000}"/>
    <cellStyle name="Style 24 3 3 7" xfId="35697" xr:uid="{00000000-0005-0000-0000-0000768B0000}"/>
    <cellStyle name="Style 24 3 3 8" xfId="35698" xr:uid="{00000000-0005-0000-0000-0000778B0000}"/>
    <cellStyle name="Style 24 3 4" xfId="35699" xr:uid="{00000000-0005-0000-0000-0000788B0000}"/>
    <cellStyle name="Style 24 3 4 2" xfId="35700" xr:uid="{00000000-0005-0000-0000-0000798B0000}"/>
    <cellStyle name="Style 24 3 4 2 2" xfId="35701" xr:uid="{00000000-0005-0000-0000-00007A8B0000}"/>
    <cellStyle name="Style 24 3 4 2 2 2" xfId="35702" xr:uid="{00000000-0005-0000-0000-00007B8B0000}"/>
    <cellStyle name="Style 24 3 4 2 2 3" xfId="35703" xr:uid="{00000000-0005-0000-0000-00007C8B0000}"/>
    <cellStyle name="Style 24 3 4 2 3" xfId="35704" xr:uid="{00000000-0005-0000-0000-00007D8B0000}"/>
    <cellStyle name="Style 24 3 4 2 3 2" xfId="35705" xr:uid="{00000000-0005-0000-0000-00007E8B0000}"/>
    <cellStyle name="Style 24 3 4 2 3 3" xfId="35706" xr:uid="{00000000-0005-0000-0000-00007F8B0000}"/>
    <cellStyle name="Style 24 3 4 2 4" xfId="35707" xr:uid="{00000000-0005-0000-0000-0000808B0000}"/>
    <cellStyle name="Style 24 3 4 2 5" xfId="35708" xr:uid="{00000000-0005-0000-0000-0000818B0000}"/>
    <cellStyle name="Style 24 3 4 2 6" xfId="35709" xr:uid="{00000000-0005-0000-0000-0000828B0000}"/>
    <cellStyle name="Style 24 3 4 3" xfId="35710" xr:uid="{00000000-0005-0000-0000-0000838B0000}"/>
    <cellStyle name="Style 24 3 4 3 2" xfId="35711" xr:uid="{00000000-0005-0000-0000-0000848B0000}"/>
    <cellStyle name="Style 24 3 4 3 3" xfId="35712" xr:uid="{00000000-0005-0000-0000-0000858B0000}"/>
    <cellStyle name="Style 24 3 4 4" xfId="35713" xr:uid="{00000000-0005-0000-0000-0000868B0000}"/>
    <cellStyle name="Style 24 3 4 4 2" xfId="35714" xr:uid="{00000000-0005-0000-0000-0000878B0000}"/>
    <cellStyle name="Style 24 3 4 4 3" xfId="35715" xr:uid="{00000000-0005-0000-0000-0000888B0000}"/>
    <cellStyle name="Style 24 3 4 5" xfId="35716" xr:uid="{00000000-0005-0000-0000-0000898B0000}"/>
    <cellStyle name="Style 24 3 4 5 2" xfId="35717" xr:uid="{00000000-0005-0000-0000-00008A8B0000}"/>
    <cellStyle name="Style 24 3 4 5 3" xfId="35718" xr:uid="{00000000-0005-0000-0000-00008B8B0000}"/>
    <cellStyle name="Style 24 3 4 6" xfId="35719" xr:uid="{00000000-0005-0000-0000-00008C8B0000}"/>
    <cellStyle name="Style 24 3 4 7" xfId="35720" xr:uid="{00000000-0005-0000-0000-00008D8B0000}"/>
    <cellStyle name="Style 24 3 4 8" xfId="35721" xr:uid="{00000000-0005-0000-0000-00008E8B0000}"/>
    <cellStyle name="Style 24 3 5" xfId="35722" xr:uid="{00000000-0005-0000-0000-00008F8B0000}"/>
    <cellStyle name="Style 24 3 5 2" xfId="35723" xr:uid="{00000000-0005-0000-0000-0000908B0000}"/>
    <cellStyle name="Style 24 3 5 2 2" xfId="35724" xr:uid="{00000000-0005-0000-0000-0000918B0000}"/>
    <cellStyle name="Style 24 3 5 2 2 2" xfId="35725" xr:uid="{00000000-0005-0000-0000-0000928B0000}"/>
    <cellStyle name="Style 24 3 5 2 2 3" xfId="35726" xr:uid="{00000000-0005-0000-0000-0000938B0000}"/>
    <cellStyle name="Style 24 3 5 2 3" xfId="35727" xr:uid="{00000000-0005-0000-0000-0000948B0000}"/>
    <cellStyle name="Style 24 3 5 2 3 2" xfId="35728" xr:uid="{00000000-0005-0000-0000-0000958B0000}"/>
    <cellStyle name="Style 24 3 5 2 3 3" xfId="35729" xr:uid="{00000000-0005-0000-0000-0000968B0000}"/>
    <cellStyle name="Style 24 3 5 2 4" xfId="35730" xr:uid="{00000000-0005-0000-0000-0000978B0000}"/>
    <cellStyle name="Style 24 3 5 2 5" xfId="35731" xr:uid="{00000000-0005-0000-0000-0000988B0000}"/>
    <cellStyle name="Style 24 3 5 2 6" xfId="35732" xr:uid="{00000000-0005-0000-0000-0000998B0000}"/>
    <cellStyle name="Style 24 3 5 3" xfId="35733" xr:uid="{00000000-0005-0000-0000-00009A8B0000}"/>
    <cellStyle name="Style 24 3 5 3 2" xfId="35734" xr:uid="{00000000-0005-0000-0000-00009B8B0000}"/>
    <cellStyle name="Style 24 3 5 3 3" xfId="35735" xr:uid="{00000000-0005-0000-0000-00009C8B0000}"/>
    <cellStyle name="Style 24 3 5 4" xfId="35736" xr:uid="{00000000-0005-0000-0000-00009D8B0000}"/>
    <cellStyle name="Style 24 3 5 4 2" xfId="35737" xr:uid="{00000000-0005-0000-0000-00009E8B0000}"/>
    <cellStyle name="Style 24 3 5 4 3" xfId="35738" xr:uid="{00000000-0005-0000-0000-00009F8B0000}"/>
    <cellStyle name="Style 24 3 5 5" xfId="35739" xr:uid="{00000000-0005-0000-0000-0000A08B0000}"/>
    <cellStyle name="Style 24 3 5 5 2" xfId="35740" xr:uid="{00000000-0005-0000-0000-0000A18B0000}"/>
    <cellStyle name="Style 24 3 5 5 3" xfId="35741" xr:uid="{00000000-0005-0000-0000-0000A28B0000}"/>
    <cellStyle name="Style 24 3 5 6" xfId="35742" xr:uid="{00000000-0005-0000-0000-0000A38B0000}"/>
    <cellStyle name="Style 24 3 5 7" xfId="35743" xr:uid="{00000000-0005-0000-0000-0000A48B0000}"/>
    <cellStyle name="Style 24 3 5 8" xfId="35744" xr:uid="{00000000-0005-0000-0000-0000A58B0000}"/>
    <cellStyle name="Style 24 3 6" xfId="35745" xr:uid="{00000000-0005-0000-0000-0000A68B0000}"/>
    <cellStyle name="Style 24 3 6 2" xfId="35746" xr:uid="{00000000-0005-0000-0000-0000A78B0000}"/>
    <cellStyle name="Style 24 3 6 2 2" xfId="35747" xr:uid="{00000000-0005-0000-0000-0000A88B0000}"/>
    <cellStyle name="Style 24 3 6 2 3" xfId="35748" xr:uid="{00000000-0005-0000-0000-0000A98B0000}"/>
    <cellStyle name="Style 24 3 6 3" xfId="35749" xr:uid="{00000000-0005-0000-0000-0000AA8B0000}"/>
    <cellStyle name="Style 24 3 6 3 2" xfId="35750" xr:uid="{00000000-0005-0000-0000-0000AB8B0000}"/>
    <cellStyle name="Style 24 3 6 3 3" xfId="35751" xr:uid="{00000000-0005-0000-0000-0000AC8B0000}"/>
    <cellStyle name="Style 24 3 6 4" xfId="35752" xr:uid="{00000000-0005-0000-0000-0000AD8B0000}"/>
    <cellStyle name="Style 24 3 6 5" xfId="35753" xr:uid="{00000000-0005-0000-0000-0000AE8B0000}"/>
    <cellStyle name="Style 24 3 6 6" xfId="35754" xr:uid="{00000000-0005-0000-0000-0000AF8B0000}"/>
    <cellStyle name="Style 24 3 7" xfId="35755" xr:uid="{00000000-0005-0000-0000-0000B08B0000}"/>
    <cellStyle name="Style 24 3 7 2" xfId="35756" xr:uid="{00000000-0005-0000-0000-0000B18B0000}"/>
    <cellStyle name="Style 24 3 7 3" xfId="35757" xr:uid="{00000000-0005-0000-0000-0000B28B0000}"/>
    <cellStyle name="Style 24 3 8" xfId="35758" xr:uid="{00000000-0005-0000-0000-0000B38B0000}"/>
    <cellStyle name="Style 24 3 8 2" xfId="35759" xr:uid="{00000000-0005-0000-0000-0000B48B0000}"/>
    <cellStyle name="Style 24 3 8 3" xfId="35760" xr:uid="{00000000-0005-0000-0000-0000B58B0000}"/>
    <cellStyle name="Style 24 3 9" xfId="35761" xr:uid="{00000000-0005-0000-0000-0000B68B0000}"/>
    <cellStyle name="Style 24 3 9 2" xfId="35762" xr:uid="{00000000-0005-0000-0000-0000B78B0000}"/>
    <cellStyle name="Style 24 3 9 3" xfId="35763" xr:uid="{00000000-0005-0000-0000-0000B88B0000}"/>
    <cellStyle name="Style 24 4" xfId="35764" xr:uid="{00000000-0005-0000-0000-0000B98B0000}"/>
    <cellStyle name="Style 24 4 10" xfId="35765" xr:uid="{00000000-0005-0000-0000-0000BA8B0000}"/>
    <cellStyle name="Style 24 4 11" xfId="35766" xr:uid="{00000000-0005-0000-0000-0000BB8B0000}"/>
    <cellStyle name="Style 24 4 12" xfId="35767" xr:uid="{00000000-0005-0000-0000-0000BC8B0000}"/>
    <cellStyle name="Style 24 4 2" xfId="35768" xr:uid="{00000000-0005-0000-0000-0000BD8B0000}"/>
    <cellStyle name="Style 24 4 2 10" xfId="35769" xr:uid="{00000000-0005-0000-0000-0000BE8B0000}"/>
    <cellStyle name="Style 24 4 2 2" xfId="35770" xr:uid="{00000000-0005-0000-0000-0000BF8B0000}"/>
    <cellStyle name="Style 24 4 2 2 2" xfId="35771" xr:uid="{00000000-0005-0000-0000-0000C08B0000}"/>
    <cellStyle name="Style 24 4 2 2 2 2" xfId="35772" xr:uid="{00000000-0005-0000-0000-0000C18B0000}"/>
    <cellStyle name="Style 24 4 2 2 2 2 2" xfId="35773" xr:uid="{00000000-0005-0000-0000-0000C28B0000}"/>
    <cellStyle name="Style 24 4 2 2 2 2 3" xfId="35774" xr:uid="{00000000-0005-0000-0000-0000C38B0000}"/>
    <cellStyle name="Style 24 4 2 2 2 3" xfId="35775" xr:uid="{00000000-0005-0000-0000-0000C48B0000}"/>
    <cellStyle name="Style 24 4 2 2 2 3 2" xfId="35776" xr:uid="{00000000-0005-0000-0000-0000C58B0000}"/>
    <cellStyle name="Style 24 4 2 2 2 3 3" xfId="35777" xr:uid="{00000000-0005-0000-0000-0000C68B0000}"/>
    <cellStyle name="Style 24 4 2 2 2 4" xfId="35778" xr:uid="{00000000-0005-0000-0000-0000C78B0000}"/>
    <cellStyle name="Style 24 4 2 2 2 5" xfId="35779" xr:uid="{00000000-0005-0000-0000-0000C88B0000}"/>
    <cellStyle name="Style 24 4 2 2 2 6" xfId="35780" xr:uid="{00000000-0005-0000-0000-0000C98B0000}"/>
    <cellStyle name="Style 24 4 2 2 3" xfId="35781" xr:uid="{00000000-0005-0000-0000-0000CA8B0000}"/>
    <cellStyle name="Style 24 4 2 2 3 2" xfId="35782" xr:uid="{00000000-0005-0000-0000-0000CB8B0000}"/>
    <cellStyle name="Style 24 4 2 2 3 3" xfId="35783" xr:uid="{00000000-0005-0000-0000-0000CC8B0000}"/>
    <cellStyle name="Style 24 4 2 2 4" xfId="35784" xr:uid="{00000000-0005-0000-0000-0000CD8B0000}"/>
    <cellStyle name="Style 24 4 2 2 4 2" xfId="35785" xr:uid="{00000000-0005-0000-0000-0000CE8B0000}"/>
    <cellStyle name="Style 24 4 2 2 4 3" xfId="35786" xr:uid="{00000000-0005-0000-0000-0000CF8B0000}"/>
    <cellStyle name="Style 24 4 2 2 5" xfId="35787" xr:uid="{00000000-0005-0000-0000-0000D08B0000}"/>
    <cellStyle name="Style 24 4 2 2 5 2" xfId="35788" xr:uid="{00000000-0005-0000-0000-0000D18B0000}"/>
    <cellStyle name="Style 24 4 2 2 5 3" xfId="35789" xr:uid="{00000000-0005-0000-0000-0000D28B0000}"/>
    <cellStyle name="Style 24 4 2 2 6" xfId="35790" xr:uid="{00000000-0005-0000-0000-0000D38B0000}"/>
    <cellStyle name="Style 24 4 2 2 7" xfId="35791" xr:uid="{00000000-0005-0000-0000-0000D48B0000}"/>
    <cellStyle name="Style 24 4 2 2 8" xfId="35792" xr:uid="{00000000-0005-0000-0000-0000D58B0000}"/>
    <cellStyle name="Style 24 4 2 3" xfId="35793" xr:uid="{00000000-0005-0000-0000-0000D68B0000}"/>
    <cellStyle name="Style 24 4 2 3 2" xfId="35794" xr:uid="{00000000-0005-0000-0000-0000D78B0000}"/>
    <cellStyle name="Style 24 4 2 3 2 2" xfId="35795" xr:uid="{00000000-0005-0000-0000-0000D88B0000}"/>
    <cellStyle name="Style 24 4 2 3 2 2 2" xfId="35796" xr:uid="{00000000-0005-0000-0000-0000D98B0000}"/>
    <cellStyle name="Style 24 4 2 3 2 2 3" xfId="35797" xr:uid="{00000000-0005-0000-0000-0000DA8B0000}"/>
    <cellStyle name="Style 24 4 2 3 2 3" xfId="35798" xr:uid="{00000000-0005-0000-0000-0000DB8B0000}"/>
    <cellStyle name="Style 24 4 2 3 2 3 2" xfId="35799" xr:uid="{00000000-0005-0000-0000-0000DC8B0000}"/>
    <cellStyle name="Style 24 4 2 3 2 3 3" xfId="35800" xr:uid="{00000000-0005-0000-0000-0000DD8B0000}"/>
    <cellStyle name="Style 24 4 2 3 2 4" xfId="35801" xr:uid="{00000000-0005-0000-0000-0000DE8B0000}"/>
    <cellStyle name="Style 24 4 2 3 2 5" xfId="35802" xr:uid="{00000000-0005-0000-0000-0000DF8B0000}"/>
    <cellStyle name="Style 24 4 2 3 2 6" xfId="35803" xr:uid="{00000000-0005-0000-0000-0000E08B0000}"/>
    <cellStyle name="Style 24 4 2 3 3" xfId="35804" xr:uid="{00000000-0005-0000-0000-0000E18B0000}"/>
    <cellStyle name="Style 24 4 2 3 3 2" xfId="35805" xr:uid="{00000000-0005-0000-0000-0000E28B0000}"/>
    <cellStyle name="Style 24 4 2 3 3 3" xfId="35806" xr:uid="{00000000-0005-0000-0000-0000E38B0000}"/>
    <cellStyle name="Style 24 4 2 3 4" xfId="35807" xr:uid="{00000000-0005-0000-0000-0000E48B0000}"/>
    <cellStyle name="Style 24 4 2 3 4 2" xfId="35808" xr:uid="{00000000-0005-0000-0000-0000E58B0000}"/>
    <cellStyle name="Style 24 4 2 3 4 3" xfId="35809" xr:uid="{00000000-0005-0000-0000-0000E68B0000}"/>
    <cellStyle name="Style 24 4 2 3 5" xfId="35810" xr:uid="{00000000-0005-0000-0000-0000E78B0000}"/>
    <cellStyle name="Style 24 4 2 3 5 2" xfId="35811" xr:uid="{00000000-0005-0000-0000-0000E88B0000}"/>
    <cellStyle name="Style 24 4 2 3 5 3" xfId="35812" xr:uid="{00000000-0005-0000-0000-0000E98B0000}"/>
    <cellStyle name="Style 24 4 2 3 6" xfId="35813" xr:uid="{00000000-0005-0000-0000-0000EA8B0000}"/>
    <cellStyle name="Style 24 4 2 3 7" xfId="35814" xr:uid="{00000000-0005-0000-0000-0000EB8B0000}"/>
    <cellStyle name="Style 24 4 2 3 8" xfId="35815" xr:uid="{00000000-0005-0000-0000-0000EC8B0000}"/>
    <cellStyle name="Style 24 4 2 4" xfId="35816" xr:uid="{00000000-0005-0000-0000-0000ED8B0000}"/>
    <cellStyle name="Style 24 4 2 4 2" xfId="35817" xr:uid="{00000000-0005-0000-0000-0000EE8B0000}"/>
    <cellStyle name="Style 24 4 2 4 2 2" xfId="35818" xr:uid="{00000000-0005-0000-0000-0000EF8B0000}"/>
    <cellStyle name="Style 24 4 2 4 2 3" xfId="35819" xr:uid="{00000000-0005-0000-0000-0000F08B0000}"/>
    <cellStyle name="Style 24 4 2 4 3" xfId="35820" xr:uid="{00000000-0005-0000-0000-0000F18B0000}"/>
    <cellStyle name="Style 24 4 2 4 3 2" xfId="35821" xr:uid="{00000000-0005-0000-0000-0000F28B0000}"/>
    <cellStyle name="Style 24 4 2 4 3 3" xfId="35822" xr:uid="{00000000-0005-0000-0000-0000F38B0000}"/>
    <cellStyle name="Style 24 4 2 4 4" xfId="35823" xr:uid="{00000000-0005-0000-0000-0000F48B0000}"/>
    <cellStyle name="Style 24 4 2 4 5" xfId="35824" xr:uid="{00000000-0005-0000-0000-0000F58B0000}"/>
    <cellStyle name="Style 24 4 2 4 6" xfId="35825" xr:uid="{00000000-0005-0000-0000-0000F68B0000}"/>
    <cellStyle name="Style 24 4 2 5" xfId="35826" xr:uid="{00000000-0005-0000-0000-0000F78B0000}"/>
    <cellStyle name="Style 24 4 2 5 2" xfId="35827" xr:uid="{00000000-0005-0000-0000-0000F88B0000}"/>
    <cellStyle name="Style 24 4 2 5 3" xfId="35828" xr:uid="{00000000-0005-0000-0000-0000F98B0000}"/>
    <cellStyle name="Style 24 4 2 6" xfId="35829" xr:uid="{00000000-0005-0000-0000-0000FA8B0000}"/>
    <cellStyle name="Style 24 4 2 6 2" xfId="35830" xr:uid="{00000000-0005-0000-0000-0000FB8B0000}"/>
    <cellStyle name="Style 24 4 2 6 3" xfId="35831" xr:uid="{00000000-0005-0000-0000-0000FC8B0000}"/>
    <cellStyle name="Style 24 4 2 7" xfId="35832" xr:uid="{00000000-0005-0000-0000-0000FD8B0000}"/>
    <cellStyle name="Style 24 4 2 7 2" xfId="35833" xr:uid="{00000000-0005-0000-0000-0000FE8B0000}"/>
    <cellStyle name="Style 24 4 2 7 3" xfId="35834" xr:uid="{00000000-0005-0000-0000-0000FF8B0000}"/>
    <cellStyle name="Style 24 4 2 8" xfId="35835" xr:uid="{00000000-0005-0000-0000-0000008C0000}"/>
    <cellStyle name="Style 24 4 2 9" xfId="35836" xr:uid="{00000000-0005-0000-0000-0000018C0000}"/>
    <cellStyle name="Style 24 4 3" xfId="35837" xr:uid="{00000000-0005-0000-0000-0000028C0000}"/>
    <cellStyle name="Style 24 4 3 2" xfId="35838" xr:uid="{00000000-0005-0000-0000-0000038C0000}"/>
    <cellStyle name="Style 24 4 3 2 2" xfId="35839" xr:uid="{00000000-0005-0000-0000-0000048C0000}"/>
    <cellStyle name="Style 24 4 3 2 2 2" xfId="35840" xr:uid="{00000000-0005-0000-0000-0000058C0000}"/>
    <cellStyle name="Style 24 4 3 2 2 3" xfId="35841" xr:uid="{00000000-0005-0000-0000-0000068C0000}"/>
    <cellStyle name="Style 24 4 3 2 3" xfId="35842" xr:uid="{00000000-0005-0000-0000-0000078C0000}"/>
    <cellStyle name="Style 24 4 3 2 3 2" xfId="35843" xr:uid="{00000000-0005-0000-0000-0000088C0000}"/>
    <cellStyle name="Style 24 4 3 2 3 3" xfId="35844" xr:uid="{00000000-0005-0000-0000-0000098C0000}"/>
    <cellStyle name="Style 24 4 3 2 4" xfId="35845" xr:uid="{00000000-0005-0000-0000-00000A8C0000}"/>
    <cellStyle name="Style 24 4 3 2 5" xfId="35846" xr:uid="{00000000-0005-0000-0000-00000B8C0000}"/>
    <cellStyle name="Style 24 4 3 2 6" xfId="35847" xr:uid="{00000000-0005-0000-0000-00000C8C0000}"/>
    <cellStyle name="Style 24 4 3 3" xfId="35848" xr:uid="{00000000-0005-0000-0000-00000D8C0000}"/>
    <cellStyle name="Style 24 4 3 3 2" xfId="35849" xr:uid="{00000000-0005-0000-0000-00000E8C0000}"/>
    <cellStyle name="Style 24 4 3 3 3" xfId="35850" xr:uid="{00000000-0005-0000-0000-00000F8C0000}"/>
    <cellStyle name="Style 24 4 3 4" xfId="35851" xr:uid="{00000000-0005-0000-0000-0000108C0000}"/>
    <cellStyle name="Style 24 4 3 4 2" xfId="35852" xr:uid="{00000000-0005-0000-0000-0000118C0000}"/>
    <cellStyle name="Style 24 4 3 4 3" xfId="35853" xr:uid="{00000000-0005-0000-0000-0000128C0000}"/>
    <cellStyle name="Style 24 4 3 5" xfId="35854" xr:uid="{00000000-0005-0000-0000-0000138C0000}"/>
    <cellStyle name="Style 24 4 3 5 2" xfId="35855" xr:uid="{00000000-0005-0000-0000-0000148C0000}"/>
    <cellStyle name="Style 24 4 3 5 3" xfId="35856" xr:uid="{00000000-0005-0000-0000-0000158C0000}"/>
    <cellStyle name="Style 24 4 3 6" xfId="35857" xr:uid="{00000000-0005-0000-0000-0000168C0000}"/>
    <cellStyle name="Style 24 4 3 7" xfId="35858" xr:uid="{00000000-0005-0000-0000-0000178C0000}"/>
    <cellStyle name="Style 24 4 3 8" xfId="35859" xr:uid="{00000000-0005-0000-0000-0000188C0000}"/>
    <cellStyle name="Style 24 4 4" xfId="35860" xr:uid="{00000000-0005-0000-0000-0000198C0000}"/>
    <cellStyle name="Style 24 4 4 2" xfId="35861" xr:uid="{00000000-0005-0000-0000-00001A8C0000}"/>
    <cellStyle name="Style 24 4 4 2 2" xfId="35862" xr:uid="{00000000-0005-0000-0000-00001B8C0000}"/>
    <cellStyle name="Style 24 4 4 2 2 2" xfId="35863" xr:uid="{00000000-0005-0000-0000-00001C8C0000}"/>
    <cellStyle name="Style 24 4 4 2 2 3" xfId="35864" xr:uid="{00000000-0005-0000-0000-00001D8C0000}"/>
    <cellStyle name="Style 24 4 4 2 3" xfId="35865" xr:uid="{00000000-0005-0000-0000-00001E8C0000}"/>
    <cellStyle name="Style 24 4 4 2 3 2" xfId="35866" xr:uid="{00000000-0005-0000-0000-00001F8C0000}"/>
    <cellStyle name="Style 24 4 4 2 3 3" xfId="35867" xr:uid="{00000000-0005-0000-0000-0000208C0000}"/>
    <cellStyle name="Style 24 4 4 2 4" xfId="35868" xr:uid="{00000000-0005-0000-0000-0000218C0000}"/>
    <cellStyle name="Style 24 4 4 2 5" xfId="35869" xr:uid="{00000000-0005-0000-0000-0000228C0000}"/>
    <cellStyle name="Style 24 4 4 2 6" xfId="35870" xr:uid="{00000000-0005-0000-0000-0000238C0000}"/>
    <cellStyle name="Style 24 4 4 3" xfId="35871" xr:uid="{00000000-0005-0000-0000-0000248C0000}"/>
    <cellStyle name="Style 24 4 4 3 2" xfId="35872" xr:uid="{00000000-0005-0000-0000-0000258C0000}"/>
    <cellStyle name="Style 24 4 4 3 3" xfId="35873" xr:uid="{00000000-0005-0000-0000-0000268C0000}"/>
    <cellStyle name="Style 24 4 4 4" xfId="35874" xr:uid="{00000000-0005-0000-0000-0000278C0000}"/>
    <cellStyle name="Style 24 4 4 4 2" xfId="35875" xr:uid="{00000000-0005-0000-0000-0000288C0000}"/>
    <cellStyle name="Style 24 4 4 4 3" xfId="35876" xr:uid="{00000000-0005-0000-0000-0000298C0000}"/>
    <cellStyle name="Style 24 4 4 5" xfId="35877" xr:uid="{00000000-0005-0000-0000-00002A8C0000}"/>
    <cellStyle name="Style 24 4 4 5 2" xfId="35878" xr:uid="{00000000-0005-0000-0000-00002B8C0000}"/>
    <cellStyle name="Style 24 4 4 5 3" xfId="35879" xr:uid="{00000000-0005-0000-0000-00002C8C0000}"/>
    <cellStyle name="Style 24 4 4 6" xfId="35880" xr:uid="{00000000-0005-0000-0000-00002D8C0000}"/>
    <cellStyle name="Style 24 4 4 7" xfId="35881" xr:uid="{00000000-0005-0000-0000-00002E8C0000}"/>
    <cellStyle name="Style 24 4 4 8" xfId="35882" xr:uid="{00000000-0005-0000-0000-00002F8C0000}"/>
    <cellStyle name="Style 24 4 5" xfId="35883" xr:uid="{00000000-0005-0000-0000-0000308C0000}"/>
    <cellStyle name="Style 24 4 5 2" xfId="35884" xr:uid="{00000000-0005-0000-0000-0000318C0000}"/>
    <cellStyle name="Style 24 4 5 2 2" xfId="35885" xr:uid="{00000000-0005-0000-0000-0000328C0000}"/>
    <cellStyle name="Style 24 4 5 2 2 2" xfId="35886" xr:uid="{00000000-0005-0000-0000-0000338C0000}"/>
    <cellStyle name="Style 24 4 5 2 2 3" xfId="35887" xr:uid="{00000000-0005-0000-0000-0000348C0000}"/>
    <cellStyle name="Style 24 4 5 2 3" xfId="35888" xr:uid="{00000000-0005-0000-0000-0000358C0000}"/>
    <cellStyle name="Style 24 4 5 2 3 2" xfId="35889" xr:uid="{00000000-0005-0000-0000-0000368C0000}"/>
    <cellStyle name="Style 24 4 5 2 3 3" xfId="35890" xr:uid="{00000000-0005-0000-0000-0000378C0000}"/>
    <cellStyle name="Style 24 4 5 2 4" xfId="35891" xr:uid="{00000000-0005-0000-0000-0000388C0000}"/>
    <cellStyle name="Style 24 4 5 2 5" xfId="35892" xr:uid="{00000000-0005-0000-0000-0000398C0000}"/>
    <cellStyle name="Style 24 4 5 2 6" xfId="35893" xr:uid="{00000000-0005-0000-0000-00003A8C0000}"/>
    <cellStyle name="Style 24 4 5 3" xfId="35894" xr:uid="{00000000-0005-0000-0000-00003B8C0000}"/>
    <cellStyle name="Style 24 4 5 3 2" xfId="35895" xr:uid="{00000000-0005-0000-0000-00003C8C0000}"/>
    <cellStyle name="Style 24 4 5 3 3" xfId="35896" xr:uid="{00000000-0005-0000-0000-00003D8C0000}"/>
    <cellStyle name="Style 24 4 5 4" xfId="35897" xr:uid="{00000000-0005-0000-0000-00003E8C0000}"/>
    <cellStyle name="Style 24 4 5 4 2" xfId="35898" xr:uid="{00000000-0005-0000-0000-00003F8C0000}"/>
    <cellStyle name="Style 24 4 5 4 3" xfId="35899" xr:uid="{00000000-0005-0000-0000-0000408C0000}"/>
    <cellStyle name="Style 24 4 5 5" xfId="35900" xr:uid="{00000000-0005-0000-0000-0000418C0000}"/>
    <cellStyle name="Style 24 4 5 5 2" xfId="35901" xr:uid="{00000000-0005-0000-0000-0000428C0000}"/>
    <cellStyle name="Style 24 4 5 5 3" xfId="35902" xr:uid="{00000000-0005-0000-0000-0000438C0000}"/>
    <cellStyle name="Style 24 4 5 6" xfId="35903" xr:uid="{00000000-0005-0000-0000-0000448C0000}"/>
    <cellStyle name="Style 24 4 5 7" xfId="35904" xr:uid="{00000000-0005-0000-0000-0000458C0000}"/>
    <cellStyle name="Style 24 4 5 8" xfId="35905" xr:uid="{00000000-0005-0000-0000-0000468C0000}"/>
    <cellStyle name="Style 24 4 6" xfId="35906" xr:uid="{00000000-0005-0000-0000-0000478C0000}"/>
    <cellStyle name="Style 24 4 6 2" xfId="35907" xr:uid="{00000000-0005-0000-0000-0000488C0000}"/>
    <cellStyle name="Style 24 4 6 2 2" xfId="35908" xr:uid="{00000000-0005-0000-0000-0000498C0000}"/>
    <cellStyle name="Style 24 4 6 2 3" xfId="35909" xr:uid="{00000000-0005-0000-0000-00004A8C0000}"/>
    <cellStyle name="Style 24 4 6 3" xfId="35910" xr:uid="{00000000-0005-0000-0000-00004B8C0000}"/>
    <cellStyle name="Style 24 4 6 3 2" xfId="35911" xr:uid="{00000000-0005-0000-0000-00004C8C0000}"/>
    <cellStyle name="Style 24 4 6 3 3" xfId="35912" xr:uid="{00000000-0005-0000-0000-00004D8C0000}"/>
    <cellStyle name="Style 24 4 6 4" xfId="35913" xr:uid="{00000000-0005-0000-0000-00004E8C0000}"/>
    <cellStyle name="Style 24 4 6 5" xfId="35914" xr:uid="{00000000-0005-0000-0000-00004F8C0000}"/>
    <cellStyle name="Style 24 4 6 6" xfId="35915" xr:uid="{00000000-0005-0000-0000-0000508C0000}"/>
    <cellStyle name="Style 24 4 7" xfId="35916" xr:uid="{00000000-0005-0000-0000-0000518C0000}"/>
    <cellStyle name="Style 24 4 7 2" xfId="35917" xr:uid="{00000000-0005-0000-0000-0000528C0000}"/>
    <cellStyle name="Style 24 4 7 3" xfId="35918" xr:uid="{00000000-0005-0000-0000-0000538C0000}"/>
    <cellStyle name="Style 24 4 8" xfId="35919" xr:uid="{00000000-0005-0000-0000-0000548C0000}"/>
    <cellStyle name="Style 24 4 8 2" xfId="35920" xr:uid="{00000000-0005-0000-0000-0000558C0000}"/>
    <cellStyle name="Style 24 4 8 3" xfId="35921" xr:uid="{00000000-0005-0000-0000-0000568C0000}"/>
    <cellStyle name="Style 24 4 9" xfId="35922" xr:uid="{00000000-0005-0000-0000-0000578C0000}"/>
    <cellStyle name="Style 24 4 9 2" xfId="35923" xr:uid="{00000000-0005-0000-0000-0000588C0000}"/>
    <cellStyle name="Style 24 4 9 3" xfId="35924" xr:uid="{00000000-0005-0000-0000-0000598C0000}"/>
    <cellStyle name="Style 24 5" xfId="35925" xr:uid="{00000000-0005-0000-0000-00005A8C0000}"/>
    <cellStyle name="Style 24 5 10" xfId="35926" xr:uid="{00000000-0005-0000-0000-00005B8C0000}"/>
    <cellStyle name="Style 24 5 11" xfId="35927" xr:uid="{00000000-0005-0000-0000-00005C8C0000}"/>
    <cellStyle name="Style 24 5 12" xfId="35928" xr:uid="{00000000-0005-0000-0000-00005D8C0000}"/>
    <cellStyle name="Style 24 5 2" xfId="35929" xr:uid="{00000000-0005-0000-0000-00005E8C0000}"/>
    <cellStyle name="Style 24 5 2 10" xfId="35930" xr:uid="{00000000-0005-0000-0000-00005F8C0000}"/>
    <cellStyle name="Style 24 5 2 2" xfId="35931" xr:uid="{00000000-0005-0000-0000-0000608C0000}"/>
    <cellStyle name="Style 24 5 2 2 2" xfId="35932" xr:uid="{00000000-0005-0000-0000-0000618C0000}"/>
    <cellStyle name="Style 24 5 2 2 2 2" xfId="35933" xr:uid="{00000000-0005-0000-0000-0000628C0000}"/>
    <cellStyle name="Style 24 5 2 2 2 2 2" xfId="35934" xr:uid="{00000000-0005-0000-0000-0000638C0000}"/>
    <cellStyle name="Style 24 5 2 2 2 2 3" xfId="35935" xr:uid="{00000000-0005-0000-0000-0000648C0000}"/>
    <cellStyle name="Style 24 5 2 2 2 3" xfId="35936" xr:uid="{00000000-0005-0000-0000-0000658C0000}"/>
    <cellStyle name="Style 24 5 2 2 2 3 2" xfId="35937" xr:uid="{00000000-0005-0000-0000-0000668C0000}"/>
    <cellStyle name="Style 24 5 2 2 2 3 3" xfId="35938" xr:uid="{00000000-0005-0000-0000-0000678C0000}"/>
    <cellStyle name="Style 24 5 2 2 2 4" xfId="35939" xr:uid="{00000000-0005-0000-0000-0000688C0000}"/>
    <cellStyle name="Style 24 5 2 2 2 5" xfId="35940" xr:uid="{00000000-0005-0000-0000-0000698C0000}"/>
    <cellStyle name="Style 24 5 2 2 2 6" xfId="35941" xr:uid="{00000000-0005-0000-0000-00006A8C0000}"/>
    <cellStyle name="Style 24 5 2 2 3" xfId="35942" xr:uid="{00000000-0005-0000-0000-00006B8C0000}"/>
    <cellStyle name="Style 24 5 2 2 3 2" xfId="35943" xr:uid="{00000000-0005-0000-0000-00006C8C0000}"/>
    <cellStyle name="Style 24 5 2 2 3 3" xfId="35944" xr:uid="{00000000-0005-0000-0000-00006D8C0000}"/>
    <cellStyle name="Style 24 5 2 2 4" xfId="35945" xr:uid="{00000000-0005-0000-0000-00006E8C0000}"/>
    <cellStyle name="Style 24 5 2 2 4 2" xfId="35946" xr:uid="{00000000-0005-0000-0000-00006F8C0000}"/>
    <cellStyle name="Style 24 5 2 2 4 3" xfId="35947" xr:uid="{00000000-0005-0000-0000-0000708C0000}"/>
    <cellStyle name="Style 24 5 2 2 5" xfId="35948" xr:uid="{00000000-0005-0000-0000-0000718C0000}"/>
    <cellStyle name="Style 24 5 2 2 5 2" xfId="35949" xr:uid="{00000000-0005-0000-0000-0000728C0000}"/>
    <cellStyle name="Style 24 5 2 2 5 3" xfId="35950" xr:uid="{00000000-0005-0000-0000-0000738C0000}"/>
    <cellStyle name="Style 24 5 2 2 6" xfId="35951" xr:uid="{00000000-0005-0000-0000-0000748C0000}"/>
    <cellStyle name="Style 24 5 2 2 7" xfId="35952" xr:uid="{00000000-0005-0000-0000-0000758C0000}"/>
    <cellStyle name="Style 24 5 2 2 8" xfId="35953" xr:uid="{00000000-0005-0000-0000-0000768C0000}"/>
    <cellStyle name="Style 24 5 2 3" xfId="35954" xr:uid="{00000000-0005-0000-0000-0000778C0000}"/>
    <cellStyle name="Style 24 5 2 3 2" xfId="35955" xr:uid="{00000000-0005-0000-0000-0000788C0000}"/>
    <cellStyle name="Style 24 5 2 3 2 2" xfId="35956" xr:uid="{00000000-0005-0000-0000-0000798C0000}"/>
    <cellStyle name="Style 24 5 2 3 2 2 2" xfId="35957" xr:uid="{00000000-0005-0000-0000-00007A8C0000}"/>
    <cellStyle name="Style 24 5 2 3 2 2 3" xfId="35958" xr:uid="{00000000-0005-0000-0000-00007B8C0000}"/>
    <cellStyle name="Style 24 5 2 3 2 3" xfId="35959" xr:uid="{00000000-0005-0000-0000-00007C8C0000}"/>
    <cellStyle name="Style 24 5 2 3 2 3 2" xfId="35960" xr:uid="{00000000-0005-0000-0000-00007D8C0000}"/>
    <cellStyle name="Style 24 5 2 3 2 3 3" xfId="35961" xr:uid="{00000000-0005-0000-0000-00007E8C0000}"/>
    <cellStyle name="Style 24 5 2 3 2 4" xfId="35962" xr:uid="{00000000-0005-0000-0000-00007F8C0000}"/>
    <cellStyle name="Style 24 5 2 3 2 5" xfId="35963" xr:uid="{00000000-0005-0000-0000-0000808C0000}"/>
    <cellStyle name="Style 24 5 2 3 2 6" xfId="35964" xr:uid="{00000000-0005-0000-0000-0000818C0000}"/>
    <cellStyle name="Style 24 5 2 3 3" xfId="35965" xr:uid="{00000000-0005-0000-0000-0000828C0000}"/>
    <cellStyle name="Style 24 5 2 3 3 2" xfId="35966" xr:uid="{00000000-0005-0000-0000-0000838C0000}"/>
    <cellStyle name="Style 24 5 2 3 3 3" xfId="35967" xr:uid="{00000000-0005-0000-0000-0000848C0000}"/>
    <cellStyle name="Style 24 5 2 3 4" xfId="35968" xr:uid="{00000000-0005-0000-0000-0000858C0000}"/>
    <cellStyle name="Style 24 5 2 3 4 2" xfId="35969" xr:uid="{00000000-0005-0000-0000-0000868C0000}"/>
    <cellStyle name="Style 24 5 2 3 4 3" xfId="35970" xr:uid="{00000000-0005-0000-0000-0000878C0000}"/>
    <cellStyle name="Style 24 5 2 3 5" xfId="35971" xr:uid="{00000000-0005-0000-0000-0000888C0000}"/>
    <cellStyle name="Style 24 5 2 3 5 2" xfId="35972" xr:uid="{00000000-0005-0000-0000-0000898C0000}"/>
    <cellStyle name="Style 24 5 2 3 5 3" xfId="35973" xr:uid="{00000000-0005-0000-0000-00008A8C0000}"/>
    <cellStyle name="Style 24 5 2 3 6" xfId="35974" xr:uid="{00000000-0005-0000-0000-00008B8C0000}"/>
    <cellStyle name="Style 24 5 2 3 7" xfId="35975" xr:uid="{00000000-0005-0000-0000-00008C8C0000}"/>
    <cellStyle name="Style 24 5 2 3 8" xfId="35976" xr:uid="{00000000-0005-0000-0000-00008D8C0000}"/>
    <cellStyle name="Style 24 5 2 4" xfId="35977" xr:uid="{00000000-0005-0000-0000-00008E8C0000}"/>
    <cellStyle name="Style 24 5 2 4 2" xfId="35978" xr:uid="{00000000-0005-0000-0000-00008F8C0000}"/>
    <cellStyle name="Style 24 5 2 4 2 2" xfId="35979" xr:uid="{00000000-0005-0000-0000-0000908C0000}"/>
    <cellStyle name="Style 24 5 2 4 2 3" xfId="35980" xr:uid="{00000000-0005-0000-0000-0000918C0000}"/>
    <cellStyle name="Style 24 5 2 4 3" xfId="35981" xr:uid="{00000000-0005-0000-0000-0000928C0000}"/>
    <cellStyle name="Style 24 5 2 4 3 2" xfId="35982" xr:uid="{00000000-0005-0000-0000-0000938C0000}"/>
    <cellStyle name="Style 24 5 2 4 3 3" xfId="35983" xr:uid="{00000000-0005-0000-0000-0000948C0000}"/>
    <cellStyle name="Style 24 5 2 4 4" xfId="35984" xr:uid="{00000000-0005-0000-0000-0000958C0000}"/>
    <cellStyle name="Style 24 5 2 4 5" xfId="35985" xr:uid="{00000000-0005-0000-0000-0000968C0000}"/>
    <cellStyle name="Style 24 5 2 4 6" xfId="35986" xr:uid="{00000000-0005-0000-0000-0000978C0000}"/>
    <cellStyle name="Style 24 5 2 5" xfId="35987" xr:uid="{00000000-0005-0000-0000-0000988C0000}"/>
    <cellStyle name="Style 24 5 2 5 2" xfId="35988" xr:uid="{00000000-0005-0000-0000-0000998C0000}"/>
    <cellStyle name="Style 24 5 2 5 3" xfId="35989" xr:uid="{00000000-0005-0000-0000-00009A8C0000}"/>
    <cellStyle name="Style 24 5 2 6" xfId="35990" xr:uid="{00000000-0005-0000-0000-00009B8C0000}"/>
    <cellStyle name="Style 24 5 2 6 2" xfId="35991" xr:uid="{00000000-0005-0000-0000-00009C8C0000}"/>
    <cellStyle name="Style 24 5 2 6 3" xfId="35992" xr:uid="{00000000-0005-0000-0000-00009D8C0000}"/>
    <cellStyle name="Style 24 5 2 7" xfId="35993" xr:uid="{00000000-0005-0000-0000-00009E8C0000}"/>
    <cellStyle name="Style 24 5 2 7 2" xfId="35994" xr:uid="{00000000-0005-0000-0000-00009F8C0000}"/>
    <cellStyle name="Style 24 5 2 7 3" xfId="35995" xr:uid="{00000000-0005-0000-0000-0000A08C0000}"/>
    <cellStyle name="Style 24 5 2 8" xfId="35996" xr:uid="{00000000-0005-0000-0000-0000A18C0000}"/>
    <cellStyle name="Style 24 5 2 9" xfId="35997" xr:uid="{00000000-0005-0000-0000-0000A28C0000}"/>
    <cellStyle name="Style 24 5 3" xfId="35998" xr:uid="{00000000-0005-0000-0000-0000A38C0000}"/>
    <cellStyle name="Style 24 5 3 2" xfId="35999" xr:uid="{00000000-0005-0000-0000-0000A48C0000}"/>
    <cellStyle name="Style 24 5 3 2 2" xfId="36000" xr:uid="{00000000-0005-0000-0000-0000A58C0000}"/>
    <cellStyle name="Style 24 5 3 2 2 2" xfId="36001" xr:uid="{00000000-0005-0000-0000-0000A68C0000}"/>
    <cellStyle name="Style 24 5 3 2 2 3" xfId="36002" xr:uid="{00000000-0005-0000-0000-0000A78C0000}"/>
    <cellStyle name="Style 24 5 3 2 3" xfId="36003" xr:uid="{00000000-0005-0000-0000-0000A88C0000}"/>
    <cellStyle name="Style 24 5 3 2 3 2" xfId="36004" xr:uid="{00000000-0005-0000-0000-0000A98C0000}"/>
    <cellStyle name="Style 24 5 3 2 3 3" xfId="36005" xr:uid="{00000000-0005-0000-0000-0000AA8C0000}"/>
    <cellStyle name="Style 24 5 3 2 4" xfId="36006" xr:uid="{00000000-0005-0000-0000-0000AB8C0000}"/>
    <cellStyle name="Style 24 5 3 2 5" xfId="36007" xr:uid="{00000000-0005-0000-0000-0000AC8C0000}"/>
    <cellStyle name="Style 24 5 3 2 6" xfId="36008" xr:uid="{00000000-0005-0000-0000-0000AD8C0000}"/>
    <cellStyle name="Style 24 5 3 3" xfId="36009" xr:uid="{00000000-0005-0000-0000-0000AE8C0000}"/>
    <cellStyle name="Style 24 5 3 3 2" xfId="36010" xr:uid="{00000000-0005-0000-0000-0000AF8C0000}"/>
    <cellStyle name="Style 24 5 3 3 3" xfId="36011" xr:uid="{00000000-0005-0000-0000-0000B08C0000}"/>
    <cellStyle name="Style 24 5 3 4" xfId="36012" xr:uid="{00000000-0005-0000-0000-0000B18C0000}"/>
    <cellStyle name="Style 24 5 3 4 2" xfId="36013" xr:uid="{00000000-0005-0000-0000-0000B28C0000}"/>
    <cellStyle name="Style 24 5 3 4 3" xfId="36014" xr:uid="{00000000-0005-0000-0000-0000B38C0000}"/>
    <cellStyle name="Style 24 5 3 5" xfId="36015" xr:uid="{00000000-0005-0000-0000-0000B48C0000}"/>
    <cellStyle name="Style 24 5 3 5 2" xfId="36016" xr:uid="{00000000-0005-0000-0000-0000B58C0000}"/>
    <cellStyle name="Style 24 5 3 5 3" xfId="36017" xr:uid="{00000000-0005-0000-0000-0000B68C0000}"/>
    <cellStyle name="Style 24 5 3 6" xfId="36018" xr:uid="{00000000-0005-0000-0000-0000B78C0000}"/>
    <cellStyle name="Style 24 5 3 7" xfId="36019" xr:uid="{00000000-0005-0000-0000-0000B88C0000}"/>
    <cellStyle name="Style 24 5 3 8" xfId="36020" xr:uid="{00000000-0005-0000-0000-0000B98C0000}"/>
    <cellStyle name="Style 24 5 4" xfId="36021" xr:uid="{00000000-0005-0000-0000-0000BA8C0000}"/>
    <cellStyle name="Style 24 5 4 2" xfId="36022" xr:uid="{00000000-0005-0000-0000-0000BB8C0000}"/>
    <cellStyle name="Style 24 5 4 2 2" xfId="36023" xr:uid="{00000000-0005-0000-0000-0000BC8C0000}"/>
    <cellStyle name="Style 24 5 4 2 2 2" xfId="36024" xr:uid="{00000000-0005-0000-0000-0000BD8C0000}"/>
    <cellStyle name="Style 24 5 4 2 2 3" xfId="36025" xr:uid="{00000000-0005-0000-0000-0000BE8C0000}"/>
    <cellStyle name="Style 24 5 4 2 3" xfId="36026" xr:uid="{00000000-0005-0000-0000-0000BF8C0000}"/>
    <cellStyle name="Style 24 5 4 2 3 2" xfId="36027" xr:uid="{00000000-0005-0000-0000-0000C08C0000}"/>
    <cellStyle name="Style 24 5 4 2 3 3" xfId="36028" xr:uid="{00000000-0005-0000-0000-0000C18C0000}"/>
    <cellStyle name="Style 24 5 4 2 4" xfId="36029" xr:uid="{00000000-0005-0000-0000-0000C28C0000}"/>
    <cellStyle name="Style 24 5 4 2 5" xfId="36030" xr:uid="{00000000-0005-0000-0000-0000C38C0000}"/>
    <cellStyle name="Style 24 5 4 2 6" xfId="36031" xr:uid="{00000000-0005-0000-0000-0000C48C0000}"/>
    <cellStyle name="Style 24 5 4 3" xfId="36032" xr:uid="{00000000-0005-0000-0000-0000C58C0000}"/>
    <cellStyle name="Style 24 5 4 3 2" xfId="36033" xr:uid="{00000000-0005-0000-0000-0000C68C0000}"/>
    <cellStyle name="Style 24 5 4 3 3" xfId="36034" xr:uid="{00000000-0005-0000-0000-0000C78C0000}"/>
    <cellStyle name="Style 24 5 4 4" xfId="36035" xr:uid="{00000000-0005-0000-0000-0000C88C0000}"/>
    <cellStyle name="Style 24 5 4 4 2" xfId="36036" xr:uid="{00000000-0005-0000-0000-0000C98C0000}"/>
    <cellStyle name="Style 24 5 4 4 3" xfId="36037" xr:uid="{00000000-0005-0000-0000-0000CA8C0000}"/>
    <cellStyle name="Style 24 5 4 5" xfId="36038" xr:uid="{00000000-0005-0000-0000-0000CB8C0000}"/>
    <cellStyle name="Style 24 5 4 5 2" xfId="36039" xr:uid="{00000000-0005-0000-0000-0000CC8C0000}"/>
    <cellStyle name="Style 24 5 4 5 3" xfId="36040" xr:uid="{00000000-0005-0000-0000-0000CD8C0000}"/>
    <cellStyle name="Style 24 5 4 6" xfId="36041" xr:uid="{00000000-0005-0000-0000-0000CE8C0000}"/>
    <cellStyle name="Style 24 5 4 7" xfId="36042" xr:uid="{00000000-0005-0000-0000-0000CF8C0000}"/>
    <cellStyle name="Style 24 5 4 8" xfId="36043" xr:uid="{00000000-0005-0000-0000-0000D08C0000}"/>
    <cellStyle name="Style 24 5 5" xfId="36044" xr:uid="{00000000-0005-0000-0000-0000D18C0000}"/>
    <cellStyle name="Style 24 5 5 2" xfId="36045" xr:uid="{00000000-0005-0000-0000-0000D28C0000}"/>
    <cellStyle name="Style 24 5 5 2 2" xfId="36046" xr:uid="{00000000-0005-0000-0000-0000D38C0000}"/>
    <cellStyle name="Style 24 5 5 2 2 2" xfId="36047" xr:uid="{00000000-0005-0000-0000-0000D48C0000}"/>
    <cellStyle name="Style 24 5 5 2 2 3" xfId="36048" xr:uid="{00000000-0005-0000-0000-0000D58C0000}"/>
    <cellStyle name="Style 24 5 5 2 3" xfId="36049" xr:uid="{00000000-0005-0000-0000-0000D68C0000}"/>
    <cellStyle name="Style 24 5 5 2 3 2" xfId="36050" xr:uid="{00000000-0005-0000-0000-0000D78C0000}"/>
    <cellStyle name="Style 24 5 5 2 3 3" xfId="36051" xr:uid="{00000000-0005-0000-0000-0000D88C0000}"/>
    <cellStyle name="Style 24 5 5 2 4" xfId="36052" xr:uid="{00000000-0005-0000-0000-0000D98C0000}"/>
    <cellStyle name="Style 24 5 5 2 5" xfId="36053" xr:uid="{00000000-0005-0000-0000-0000DA8C0000}"/>
    <cellStyle name="Style 24 5 5 2 6" xfId="36054" xr:uid="{00000000-0005-0000-0000-0000DB8C0000}"/>
    <cellStyle name="Style 24 5 5 3" xfId="36055" xr:uid="{00000000-0005-0000-0000-0000DC8C0000}"/>
    <cellStyle name="Style 24 5 5 3 2" xfId="36056" xr:uid="{00000000-0005-0000-0000-0000DD8C0000}"/>
    <cellStyle name="Style 24 5 5 3 3" xfId="36057" xr:uid="{00000000-0005-0000-0000-0000DE8C0000}"/>
    <cellStyle name="Style 24 5 5 4" xfId="36058" xr:uid="{00000000-0005-0000-0000-0000DF8C0000}"/>
    <cellStyle name="Style 24 5 5 4 2" xfId="36059" xr:uid="{00000000-0005-0000-0000-0000E08C0000}"/>
    <cellStyle name="Style 24 5 5 4 3" xfId="36060" xr:uid="{00000000-0005-0000-0000-0000E18C0000}"/>
    <cellStyle name="Style 24 5 5 5" xfId="36061" xr:uid="{00000000-0005-0000-0000-0000E28C0000}"/>
    <cellStyle name="Style 24 5 5 5 2" xfId="36062" xr:uid="{00000000-0005-0000-0000-0000E38C0000}"/>
    <cellStyle name="Style 24 5 5 5 3" xfId="36063" xr:uid="{00000000-0005-0000-0000-0000E48C0000}"/>
    <cellStyle name="Style 24 5 5 6" xfId="36064" xr:uid="{00000000-0005-0000-0000-0000E58C0000}"/>
    <cellStyle name="Style 24 5 5 7" xfId="36065" xr:uid="{00000000-0005-0000-0000-0000E68C0000}"/>
    <cellStyle name="Style 24 5 5 8" xfId="36066" xr:uid="{00000000-0005-0000-0000-0000E78C0000}"/>
    <cellStyle name="Style 24 5 6" xfId="36067" xr:uid="{00000000-0005-0000-0000-0000E88C0000}"/>
    <cellStyle name="Style 24 5 6 2" xfId="36068" xr:uid="{00000000-0005-0000-0000-0000E98C0000}"/>
    <cellStyle name="Style 24 5 6 2 2" xfId="36069" xr:uid="{00000000-0005-0000-0000-0000EA8C0000}"/>
    <cellStyle name="Style 24 5 6 2 3" xfId="36070" xr:uid="{00000000-0005-0000-0000-0000EB8C0000}"/>
    <cellStyle name="Style 24 5 6 3" xfId="36071" xr:uid="{00000000-0005-0000-0000-0000EC8C0000}"/>
    <cellStyle name="Style 24 5 6 3 2" xfId="36072" xr:uid="{00000000-0005-0000-0000-0000ED8C0000}"/>
    <cellStyle name="Style 24 5 6 3 3" xfId="36073" xr:uid="{00000000-0005-0000-0000-0000EE8C0000}"/>
    <cellStyle name="Style 24 5 6 4" xfId="36074" xr:uid="{00000000-0005-0000-0000-0000EF8C0000}"/>
    <cellStyle name="Style 24 5 6 5" xfId="36075" xr:uid="{00000000-0005-0000-0000-0000F08C0000}"/>
    <cellStyle name="Style 24 5 6 6" xfId="36076" xr:uid="{00000000-0005-0000-0000-0000F18C0000}"/>
    <cellStyle name="Style 24 5 7" xfId="36077" xr:uid="{00000000-0005-0000-0000-0000F28C0000}"/>
    <cellStyle name="Style 24 5 7 2" xfId="36078" xr:uid="{00000000-0005-0000-0000-0000F38C0000}"/>
    <cellStyle name="Style 24 5 7 3" xfId="36079" xr:uid="{00000000-0005-0000-0000-0000F48C0000}"/>
    <cellStyle name="Style 24 5 8" xfId="36080" xr:uid="{00000000-0005-0000-0000-0000F58C0000}"/>
    <cellStyle name="Style 24 5 8 2" xfId="36081" xr:uid="{00000000-0005-0000-0000-0000F68C0000}"/>
    <cellStyle name="Style 24 5 8 3" xfId="36082" xr:uid="{00000000-0005-0000-0000-0000F78C0000}"/>
    <cellStyle name="Style 24 5 9" xfId="36083" xr:uid="{00000000-0005-0000-0000-0000F88C0000}"/>
    <cellStyle name="Style 24 5 9 2" xfId="36084" xr:uid="{00000000-0005-0000-0000-0000F98C0000}"/>
    <cellStyle name="Style 24 5 9 3" xfId="36085" xr:uid="{00000000-0005-0000-0000-0000FA8C0000}"/>
    <cellStyle name="Style 24 6" xfId="36086" xr:uid="{00000000-0005-0000-0000-0000FB8C0000}"/>
    <cellStyle name="Style 24 6 10" xfId="36087" xr:uid="{00000000-0005-0000-0000-0000FC8C0000}"/>
    <cellStyle name="Style 24 6 11" xfId="36088" xr:uid="{00000000-0005-0000-0000-0000FD8C0000}"/>
    <cellStyle name="Style 24 6 12" xfId="36089" xr:uid="{00000000-0005-0000-0000-0000FE8C0000}"/>
    <cellStyle name="Style 24 6 2" xfId="36090" xr:uid="{00000000-0005-0000-0000-0000FF8C0000}"/>
    <cellStyle name="Style 24 6 2 10" xfId="36091" xr:uid="{00000000-0005-0000-0000-0000008D0000}"/>
    <cellStyle name="Style 24 6 2 2" xfId="36092" xr:uid="{00000000-0005-0000-0000-0000018D0000}"/>
    <cellStyle name="Style 24 6 2 2 2" xfId="36093" xr:uid="{00000000-0005-0000-0000-0000028D0000}"/>
    <cellStyle name="Style 24 6 2 2 2 2" xfId="36094" xr:uid="{00000000-0005-0000-0000-0000038D0000}"/>
    <cellStyle name="Style 24 6 2 2 2 2 2" xfId="36095" xr:uid="{00000000-0005-0000-0000-0000048D0000}"/>
    <cellStyle name="Style 24 6 2 2 2 2 3" xfId="36096" xr:uid="{00000000-0005-0000-0000-0000058D0000}"/>
    <cellStyle name="Style 24 6 2 2 2 3" xfId="36097" xr:uid="{00000000-0005-0000-0000-0000068D0000}"/>
    <cellStyle name="Style 24 6 2 2 2 3 2" xfId="36098" xr:uid="{00000000-0005-0000-0000-0000078D0000}"/>
    <cellStyle name="Style 24 6 2 2 2 3 3" xfId="36099" xr:uid="{00000000-0005-0000-0000-0000088D0000}"/>
    <cellStyle name="Style 24 6 2 2 2 4" xfId="36100" xr:uid="{00000000-0005-0000-0000-0000098D0000}"/>
    <cellStyle name="Style 24 6 2 2 2 5" xfId="36101" xr:uid="{00000000-0005-0000-0000-00000A8D0000}"/>
    <cellStyle name="Style 24 6 2 2 2 6" xfId="36102" xr:uid="{00000000-0005-0000-0000-00000B8D0000}"/>
    <cellStyle name="Style 24 6 2 2 3" xfId="36103" xr:uid="{00000000-0005-0000-0000-00000C8D0000}"/>
    <cellStyle name="Style 24 6 2 2 3 2" xfId="36104" xr:uid="{00000000-0005-0000-0000-00000D8D0000}"/>
    <cellStyle name="Style 24 6 2 2 3 3" xfId="36105" xr:uid="{00000000-0005-0000-0000-00000E8D0000}"/>
    <cellStyle name="Style 24 6 2 2 4" xfId="36106" xr:uid="{00000000-0005-0000-0000-00000F8D0000}"/>
    <cellStyle name="Style 24 6 2 2 4 2" xfId="36107" xr:uid="{00000000-0005-0000-0000-0000108D0000}"/>
    <cellStyle name="Style 24 6 2 2 4 3" xfId="36108" xr:uid="{00000000-0005-0000-0000-0000118D0000}"/>
    <cellStyle name="Style 24 6 2 2 5" xfId="36109" xr:uid="{00000000-0005-0000-0000-0000128D0000}"/>
    <cellStyle name="Style 24 6 2 2 5 2" xfId="36110" xr:uid="{00000000-0005-0000-0000-0000138D0000}"/>
    <cellStyle name="Style 24 6 2 2 5 3" xfId="36111" xr:uid="{00000000-0005-0000-0000-0000148D0000}"/>
    <cellStyle name="Style 24 6 2 2 6" xfId="36112" xr:uid="{00000000-0005-0000-0000-0000158D0000}"/>
    <cellStyle name="Style 24 6 2 2 7" xfId="36113" xr:uid="{00000000-0005-0000-0000-0000168D0000}"/>
    <cellStyle name="Style 24 6 2 2 8" xfId="36114" xr:uid="{00000000-0005-0000-0000-0000178D0000}"/>
    <cellStyle name="Style 24 6 2 3" xfId="36115" xr:uid="{00000000-0005-0000-0000-0000188D0000}"/>
    <cellStyle name="Style 24 6 2 3 2" xfId="36116" xr:uid="{00000000-0005-0000-0000-0000198D0000}"/>
    <cellStyle name="Style 24 6 2 3 2 2" xfId="36117" xr:uid="{00000000-0005-0000-0000-00001A8D0000}"/>
    <cellStyle name="Style 24 6 2 3 2 2 2" xfId="36118" xr:uid="{00000000-0005-0000-0000-00001B8D0000}"/>
    <cellStyle name="Style 24 6 2 3 2 2 3" xfId="36119" xr:uid="{00000000-0005-0000-0000-00001C8D0000}"/>
    <cellStyle name="Style 24 6 2 3 2 3" xfId="36120" xr:uid="{00000000-0005-0000-0000-00001D8D0000}"/>
    <cellStyle name="Style 24 6 2 3 2 3 2" xfId="36121" xr:uid="{00000000-0005-0000-0000-00001E8D0000}"/>
    <cellStyle name="Style 24 6 2 3 2 3 3" xfId="36122" xr:uid="{00000000-0005-0000-0000-00001F8D0000}"/>
    <cellStyle name="Style 24 6 2 3 2 4" xfId="36123" xr:uid="{00000000-0005-0000-0000-0000208D0000}"/>
    <cellStyle name="Style 24 6 2 3 2 5" xfId="36124" xr:uid="{00000000-0005-0000-0000-0000218D0000}"/>
    <cellStyle name="Style 24 6 2 3 2 6" xfId="36125" xr:uid="{00000000-0005-0000-0000-0000228D0000}"/>
    <cellStyle name="Style 24 6 2 3 3" xfId="36126" xr:uid="{00000000-0005-0000-0000-0000238D0000}"/>
    <cellStyle name="Style 24 6 2 3 3 2" xfId="36127" xr:uid="{00000000-0005-0000-0000-0000248D0000}"/>
    <cellStyle name="Style 24 6 2 3 3 3" xfId="36128" xr:uid="{00000000-0005-0000-0000-0000258D0000}"/>
    <cellStyle name="Style 24 6 2 3 4" xfId="36129" xr:uid="{00000000-0005-0000-0000-0000268D0000}"/>
    <cellStyle name="Style 24 6 2 3 4 2" xfId="36130" xr:uid="{00000000-0005-0000-0000-0000278D0000}"/>
    <cellStyle name="Style 24 6 2 3 4 3" xfId="36131" xr:uid="{00000000-0005-0000-0000-0000288D0000}"/>
    <cellStyle name="Style 24 6 2 3 5" xfId="36132" xr:uid="{00000000-0005-0000-0000-0000298D0000}"/>
    <cellStyle name="Style 24 6 2 3 5 2" xfId="36133" xr:uid="{00000000-0005-0000-0000-00002A8D0000}"/>
    <cellStyle name="Style 24 6 2 3 5 3" xfId="36134" xr:uid="{00000000-0005-0000-0000-00002B8D0000}"/>
    <cellStyle name="Style 24 6 2 3 6" xfId="36135" xr:uid="{00000000-0005-0000-0000-00002C8D0000}"/>
    <cellStyle name="Style 24 6 2 3 7" xfId="36136" xr:uid="{00000000-0005-0000-0000-00002D8D0000}"/>
    <cellStyle name="Style 24 6 2 3 8" xfId="36137" xr:uid="{00000000-0005-0000-0000-00002E8D0000}"/>
    <cellStyle name="Style 24 6 2 4" xfId="36138" xr:uid="{00000000-0005-0000-0000-00002F8D0000}"/>
    <cellStyle name="Style 24 6 2 4 2" xfId="36139" xr:uid="{00000000-0005-0000-0000-0000308D0000}"/>
    <cellStyle name="Style 24 6 2 4 2 2" xfId="36140" xr:uid="{00000000-0005-0000-0000-0000318D0000}"/>
    <cellStyle name="Style 24 6 2 4 2 3" xfId="36141" xr:uid="{00000000-0005-0000-0000-0000328D0000}"/>
    <cellStyle name="Style 24 6 2 4 3" xfId="36142" xr:uid="{00000000-0005-0000-0000-0000338D0000}"/>
    <cellStyle name="Style 24 6 2 4 3 2" xfId="36143" xr:uid="{00000000-0005-0000-0000-0000348D0000}"/>
    <cellStyle name="Style 24 6 2 4 3 3" xfId="36144" xr:uid="{00000000-0005-0000-0000-0000358D0000}"/>
    <cellStyle name="Style 24 6 2 4 4" xfId="36145" xr:uid="{00000000-0005-0000-0000-0000368D0000}"/>
    <cellStyle name="Style 24 6 2 4 5" xfId="36146" xr:uid="{00000000-0005-0000-0000-0000378D0000}"/>
    <cellStyle name="Style 24 6 2 4 6" xfId="36147" xr:uid="{00000000-0005-0000-0000-0000388D0000}"/>
    <cellStyle name="Style 24 6 2 5" xfId="36148" xr:uid="{00000000-0005-0000-0000-0000398D0000}"/>
    <cellStyle name="Style 24 6 2 5 2" xfId="36149" xr:uid="{00000000-0005-0000-0000-00003A8D0000}"/>
    <cellStyle name="Style 24 6 2 5 3" xfId="36150" xr:uid="{00000000-0005-0000-0000-00003B8D0000}"/>
    <cellStyle name="Style 24 6 2 6" xfId="36151" xr:uid="{00000000-0005-0000-0000-00003C8D0000}"/>
    <cellStyle name="Style 24 6 2 6 2" xfId="36152" xr:uid="{00000000-0005-0000-0000-00003D8D0000}"/>
    <cellStyle name="Style 24 6 2 6 3" xfId="36153" xr:uid="{00000000-0005-0000-0000-00003E8D0000}"/>
    <cellStyle name="Style 24 6 2 7" xfId="36154" xr:uid="{00000000-0005-0000-0000-00003F8D0000}"/>
    <cellStyle name="Style 24 6 2 7 2" xfId="36155" xr:uid="{00000000-0005-0000-0000-0000408D0000}"/>
    <cellStyle name="Style 24 6 2 7 3" xfId="36156" xr:uid="{00000000-0005-0000-0000-0000418D0000}"/>
    <cellStyle name="Style 24 6 2 8" xfId="36157" xr:uid="{00000000-0005-0000-0000-0000428D0000}"/>
    <cellStyle name="Style 24 6 2 9" xfId="36158" xr:uid="{00000000-0005-0000-0000-0000438D0000}"/>
    <cellStyle name="Style 24 6 3" xfId="36159" xr:uid="{00000000-0005-0000-0000-0000448D0000}"/>
    <cellStyle name="Style 24 6 3 2" xfId="36160" xr:uid="{00000000-0005-0000-0000-0000458D0000}"/>
    <cellStyle name="Style 24 6 3 2 2" xfId="36161" xr:uid="{00000000-0005-0000-0000-0000468D0000}"/>
    <cellStyle name="Style 24 6 3 2 2 2" xfId="36162" xr:uid="{00000000-0005-0000-0000-0000478D0000}"/>
    <cellStyle name="Style 24 6 3 2 2 3" xfId="36163" xr:uid="{00000000-0005-0000-0000-0000488D0000}"/>
    <cellStyle name="Style 24 6 3 2 3" xfId="36164" xr:uid="{00000000-0005-0000-0000-0000498D0000}"/>
    <cellStyle name="Style 24 6 3 2 3 2" xfId="36165" xr:uid="{00000000-0005-0000-0000-00004A8D0000}"/>
    <cellStyle name="Style 24 6 3 2 3 3" xfId="36166" xr:uid="{00000000-0005-0000-0000-00004B8D0000}"/>
    <cellStyle name="Style 24 6 3 2 4" xfId="36167" xr:uid="{00000000-0005-0000-0000-00004C8D0000}"/>
    <cellStyle name="Style 24 6 3 2 5" xfId="36168" xr:uid="{00000000-0005-0000-0000-00004D8D0000}"/>
    <cellStyle name="Style 24 6 3 2 6" xfId="36169" xr:uid="{00000000-0005-0000-0000-00004E8D0000}"/>
    <cellStyle name="Style 24 6 3 3" xfId="36170" xr:uid="{00000000-0005-0000-0000-00004F8D0000}"/>
    <cellStyle name="Style 24 6 3 3 2" xfId="36171" xr:uid="{00000000-0005-0000-0000-0000508D0000}"/>
    <cellStyle name="Style 24 6 3 3 3" xfId="36172" xr:uid="{00000000-0005-0000-0000-0000518D0000}"/>
    <cellStyle name="Style 24 6 3 4" xfId="36173" xr:uid="{00000000-0005-0000-0000-0000528D0000}"/>
    <cellStyle name="Style 24 6 3 4 2" xfId="36174" xr:uid="{00000000-0005-0000-0000-0000538D0000}"/>
    <cellStyle name="Style 24 6 3 4 3" xfId="36175" xr:uid="{00000000-0005-0000-0000-0000548D0000}"/>
    <cellStyle name="Style 24 6 3 5" xfId="36176" xr:uid="{00000000-0005-0000-0000-0000558D0000}"/>
    <cellStyle name="Style 24 6 3 5 2" xfId="36177" xr:uid="{00000000-0005-0000-0000-0000568D0000}"/>
    <cellStyle name="Style 24 6 3 5 3" xfId="36178" xr:uid="{00000000-0005-0000-0000-0000578D0000}"/>
    <cellStyle name="Style 24 6 3 6" xfId="36179" xr:uid="{00000000-0005-0000-0000-0000588D0000}"/>
    <cellStyle name="Style 24 6 3 7" xfId="36180" xr:uid="{00000000-0005-0000-0000-0000598D0000}"/>
    <cellStyle name="Style 24 6 3 8" xfId="36181" xr:uid="{00000000-0005-0000-0000-00005A8D0000}"/>
    <cellStyle name="Style 24 6 4" xfId="36182" xr:uid="{00000000-0005-0000-0000-00005B8D0000}"/>
    <cellStyle name="Style 24 6 4 2" xfId="36183" xr:uid="{00000000-0005-0000-0000-00005C8D0000}"/>
    <cellStyle name="Style 24 6 4 2 2" xfId="36184" xr:uid="{00000000-0005-0000-0000-00005D8D0000}"/>
    <cellStyle name="Style 24 6 4 2 2 2" xfId="36185" xr:uid="{00000000-0005-0000-0000-00005E8D0000}"/>
    <cellStyle name="Style 24 6 4 2 2 3" xfId="36186" xr:uid="{00000000-0005-0000-0000-00005F8D0000}"/>
    <cellStyle name="Style 24 6 4 2 3" xfId="36187" xr:uid="{00000000-0005-0000-0000-0000608D0000}"/>
    <cellStyle name="Style 24 6 4 2 3 2" xfId="36188" xr:uid="{00000000-0005-0000-0000-0000618D0000}"/>
    <cellStyle name="Style 24 6 4 2 3 3" xfId="36189" xr:uid="{00000000-0005-0000-0000-0000628D0000}"/>
    <cellStyle name="Style 24 6 4 2 4" xfId="36190" xr:uid="{00000000-0005-0000-0000-0000638D0000}"/>
    <cellStyle name="Style 24 6 4 2 5" xfId="36191" xr:uid="{00000000-0005-0000-0000-0000648D0000}"/>
    <cellStyle name="Style 24 6 4 2 6" xfId="36192" xr:uid="{00000000-0005-0000-0000-0000658D0000}"/>
    <cellStyle name="Style 24 6 4 3" xfId="36193" xr:uid="{00000000-0005-0000-0000-0000668D0000}"/>
    <cellStyle name="Style 24 6 4 3 2" xfId="36194" xr:uid="{00000000-0005-0000-0000-0000678D0000}"/>
    <cellStyle name="Style 24 6 4 3 3" xfId="36195" xr:uid="{00000000-0005-0000-0000-0000688D0000}"/>
    <cellStyle name="Style 24 6 4 4" xfId="36196" xr:uid="{00000000-0005-0000-0000-0000698D0000}"/>
    <cellStyle name="Style 24 6 4 4 2" xfId="36197" xr:uid="{00000000-0005-0000-0000-00006A8D0000}"/>
    <cellStyle name="Style 24 6 4 4 3" xfId="36198" xr:uid="{00000000-0005-0000-0000-00006B8D0000}"/>
    <cellStyle name="Style 24 6 4 5" xfId="36199" xr:uid="{00000000-0005-0000-0000-00006C8D0000}"/>
    <cellStyle name="Style 24 6 4 5 2" xfId="36200" xr:uid="{00000000-0005-0000-0000-00006D8D0000}"/>
    <cellStyle name="Style 24 6 4 5 3" xfId="36201" xr:uid="{00000000-0005-0000-0000-00006E8D0000}"/>
    <cellStyle name="Style 24 6 4 6" xfId="36202" xr:uid="{00000000-0005-0000-0000-00006F8D0000}"/>
    <cellStyle name="Style 24 6 4 7" xfId="36203" xr:uid="{00000000-0005-0000-0000-0000708D0000}"/>
    <cellStyle name="Style 24 6 4 8" xfId="36204" xr:uid="{00000000-0005-0000-0000-0000718D0000}"/>
    <cellStyle name="Style 24 6 5" xfId="36205" xr:uid="{00000000-0005-0000-0000-0000728D0000}"/>
    <cellStyle name="Style 24 6 5 2" xfId="36206" xr:uid="{00000000-0005-0000-0000-0000738D0000}"/>
    <cellStyle name="Style 24 6 5 2 2" xfId="36207" xr:uid="{00000000-0005-0000-0000-0000748D0000}"/>
    <cellStyle name="Style 24 6 5 2 2 2" xfId="36208" xr:uid="{00000000-0005-0000-0000-0000758D0000}"/>
    <cellStyle name="Style 24 6 5 2 2 3" xfId="36209" xr:uid="{00000000-0005-0000-0000-0000768D0000}"/>
    <cellStyle name="Style 24 6 5 2 3" xfId="36210" xr:uid="{00000000-0005-0000-0000-0000778D0000}"/>
    <cellStyle name="Style 24 6 5 2 3 2" xfId="36211" xr:uid="{00000000-0005-0000-0000-0000788D0000}"/>
    <cellStyle name="Style 24 6 5 2 3 3" xfId="36212" xr:uid="{00000000-0005-0000-0000-0000798D0000}"/>
    <cellStyle name="Style 24 6 5 2 4" xfId="36213" xr:uid="{00000000-0005-0000-0000-00007A8D0000}"/>
    <cellStyle name="Style 24 6 5 2 5" xfId="36214" xr:uid="{00000000-0005-0000-0000-00007B8D0000}"/>
    <cellStyle name="Style 24 6 5 2 6" xfId="36215" xr:uid="{00000000-0005-0000-0000-00007C8D0000}"/>
    <cellStyle name="Style 24 6 5 3" xfId="36216" xr:uid="{00000000-0005-0000-0000-00007D8D0000}"/>
    <cellStyle name="Style 24 6 5 3 2" xfId="36217" xr:uid="{00000000-0005-0000-0000-00007E8D0000}"/>
    <cellStyle name="Style 24 6 5 3 3" xfId="36218" xr:uid="{00000000-0005-0000-0000-00007F8D0000}"/>
    <cellStyle name="Style 24 6 5 4" xfId="36219" xr:uid="{00000000-0005-0000-0000-0000808D0000}"/>
    <cellStyle name="Style 24 6 5 4 2" xfId="36220" xr:uid="{00000000-0005-0000-0000-0000818D0000}"/>
    <cellStyle name="Style 24 6 5 4 3" xfId="36221" xr:uid="{00000000-0005-0000-0000-0000828D0000}"/>
    <cellStyle name="Style 24 6 5 5" xfId="36222" xr:uid="{00000000-0005-0000-0000-0000838D0000}"/>
    <cellStyle name="Style 24 6 5 5 2" xfId="36223" xr:uid="{00000000-0005-0000-0000-0000848D0000}"/>
    <cellStyle name="Style 24 6 5 5 3" xfId="36224" xr:uid="{00000000-0005-0000-0000-0000858D0000}"/>
    <cellStyle name="Style 24 6 5 6" xfId="36225" xr:uid="{00000000-0005-0000-0000-0000868D0000}"/>
    <cellStyle name="Style 24 6 5 7" xfId="36226" xr:uid="{00000000-0005-0000-0000-0000878D0000}"/>
    <cellStyle name="Style 24 6 5 8" xfId="36227" xr:uid="{00000000-0005-0000-0000-0000888D0000}"/>
    <cellStyle name="Style 24 6 6" xfId="36228" xr:uid="{00000000-0005-0000-0000-0000898D0000}"/>
    <cellStyle name="Style 24 6 6 2" xfId="36229" xr:uid="{00000000-0005-0000-0000-00008A8D0000}"/>
    <cellStyle name="Style 24 6 6 2 2" xfId="36230" xr:uid="{00000000-0005-0000-0000-00008B8D0000}"/>
    <cellStyle name="Style 24 6 6 2 3" xfId="36231" xr:uid="{00000000-0005-0000-0000-00008C8D0000}"/>
    <cellStyle name="Style 24 6 6 3" xfId="36232" xr:uid="{00000000-0005-0000-0000-00008D8D0000}"/>
    <cellStyle name="Style 24 6 6 3 2" xfId="36233" xr:uid="{00000000-0005-0000-0000-00008E8D0000}"/>
    <cellStyle name="Style 24 6 6 3 3" xfId="36234" xr:uid="{00000000-0005-0000-0000-00008F8D0000}"/>
    <cellStyle name="Style 24 6 6 4" xfId="36235" xr:uid="{00000000-0005-0000-0000-0000908D0000}"/>
    <cellStyle name="Style 24 6 6 5" xfId="36236" xr:uid="{00000000-0005-0000-0000-0000918D0000}"/>
    <cellStyle name="Style 24 6 6 6" xfId="36237" xr:uid="{00000000-0005-0000-0000-0000928D0000}"/>
    <cellStyle name="Style 24 6 7" xfId="36238" xr:uid="{00000000-0005-0000-0000-0000938D0000}"/>
    <cellStyle name="Style 24 6 7 2" xfId="36239" xr:uid="{00000000-0005-0000-0000-0000948D0000}"/>
    <cellStyle name="Style 24 6 7 3" xfId="36240" xr:uid="{00000000-0005-0000-0000-0000958D0000}"/>
    <cellStyle name="Style 24 6 8" xfId="36241" xr:uid="{00000000-0005-0000-0000-0000968D0000}"/>
    <cellStyle name="Style 24 6 8 2" xfId="36242" xr:uid="{00000000-0005-0000-0000-0000978D0000}"/>
    <cellStyle name="Style 24 6 8 3" xfId="36243" xr:uid="{00000000-0005-0000-0000-0000988D0000}"/>
    <cellStyle name="Style 24 6 9" xfId="36244" xr:uid="{00000000-0005-0000-0000-0000998D0000}"/>
    <cellStyle name="Style 24 6 9 2" xfId="36245" xr:uid="{00000000-0005-0000-0000-00009A8D0000}"/>
    <cellStyle name="Style 24 6 9 3" xfId="36246" xr:uid="{00000000-0005-0000-0000-00009B8D0000}"/>
    <cellStyle name="Style 24 7" xfId="36247" xr:uid="{00000000-0005-0000-0000-00009C8D0000}"/>
    <cellStyle name="Style 24 7 10" xfId="36248" xr:uid="{00000000-0005-0000-0000-00009D8D0000}"/>
    <cellStyle name="Style 24 7 11" xfId="36249" xr:uid="{00000000-0005-0000-0000-00009E8D0000}"/>
    <cellStyle name="Style 24 7 12" xfId="36250" xr:uid="{00000000-0005-0000-0000-00009F8D0000}"/>
    <cellStyle name="Style 24 7 2" xfId="36251" xr:uid="{00000000-0005-0000-0000-0000A08D0000}"/>
    <cellStyle name="Style 24 7 2 10" xfId="36252" xr:uid="{00000000-0005-0000-0000-0000A18D0000}"/>
    <cellStyle name="Style 24 7 2 2" xfId="36253" xr:uid="{00000000-0005-0000-0000-0000A28D0000}"/>
    <cellStyle name="Style 24 7 2 2 2" xfId="36254" xr:uid="{00000000-0005-0000-0000-0000A38D0000}"/>
    <cellStyle name="Style 24 7 2 2 2 2" xfId="36255" xr:uid="{00000000-0005-0000-0000-0000A48D0000}"/>
    <cellStyle name="Style 24 7 2 2 2 2 2" xfId="36256" xr:uid="{00000000-0005-0000-0000-0000A58D0000}"/>
    <cellStyle name="Style 24 7 2 2 2 2 3" xfId="36257" xr:uid="{00000000-0005-0000-0000-0000A68D0000}"/>
    <cellStyle name="Style 24 7 2 2 2 3" xfId="36258" xr:uid="{00000000-0005-0000-0000-0000A78D0000}"/>
    <cellStyle name="Style 24 7 2 2 2 3 2" xfId="36259" xr:uid="{00000000-0005-0000-0000-0000A88D0000}"/>
    <cellStyle name="Style 24 7 2 2 2 3 3" xfId="36260" xr:uid="{00000000-0005-0000-0000-0000A98D0000}"/>
    <cellStyle name="Style 24 7 2 2 2 4" xfId="36261" xr:uid="{00000000-0005-0000-0000-0000AA8D0000}"/>
    <cellStyle name="Style 24 7 2 2 2 5" xfId="36262" xr:uid="{00000000-0005-0000-0000-0000AB8D0000}"/>
    <cellStyle name="Style 24 7 2 2 2 6" xfId="36263" xr:uid="{00000000-0005-0000-0000-0000AC8D0000}"/>
    <cellStyle name="Style 24 7 2 2 3" xfId="36264" xr:uid="{00000000-0005-0000-0000-0000AD8D0000}"/>
    <cellStyle name="Style 24 7 2 2 3 2" xfId="36265" xr:uid="{00000000-0005-0000-0000-0000AE8D0000}"/>
    <cellStyle name="Style 24 7 2 2 3 3" xfId="36266" xr:uid="{00000000-0005-0000-0000-0000AF8D0000}"/>
    <cellStyle name="Style 24 7 2 2 4" xfId="36267" xr:uid="{00000000-0005-0000-0000-0000B08D0000}"/>
    <cellStyle name="Style 24 7 2 2 4 2" xfId="36268" xr:uid="{00000000-0005-0000-0000-0000B18D0000}"/>
    <cellStyle name="Style 24 7 2 2 4 3" xfId="36269" xr:uid="{00000000-0005-0000-0000-0000B28D0000}"/>
    <cellStyle name="Style 24 7 2 2 5" xfId="36270" xr:uid="{00000000-0005-0000-0000-0000B38D0000}"/>
    <cellStyle name="Style 24 7 2 2 5 2" xfId="36271" xr:uid="{00000000-0005-0000-0000-0000B48D0000}"/>
    <cellStyle name="Style 24 7 2 2 5 3" xfId="36272" xr:uid="{00000000-0005-0000-0000-0000B58D0000}"/>
    <cellStyle name="Style 24 7 2 2 6" xfId="36273" xr:uid="{00000000-0005-0000-0000-0000B68D0000}"/>
    <cellStyle name="Style 24 7 2 2 7" xfId="36274" xr:uid="{00000000-0005-0000-0000-0000B78D0000}"/>
    <cellStyle name="Style 24 7 2 2 8" xfId="36275" xr:uid="{00000000-0005-0000-0000-0000B88D0000}"/>
    <cellStyle name="Style 24 7 2 3" xfId="36276" xr:uid="{00000000-0005-0000-0000-0000B98D0000}"/>
    <cellStyle name="Style 24 7 2 3 2" xfId="36277" xr:uid="{00000000-0005-0000-0000-0000BA8D0000}"/>
    <cellStyle name="Style 24 7 2 3 2 2" xfId="36278" xr:uid="{00000000-0005-0000-0000-0000BB8D0000}"/>
    <cellStyle name="Style 24 7 2 3 2 2 2" xfId="36279" xr:uid="{00000000-0005-0000-0000-0000BC8D0000}"/>
    <cellStyle name="Style 24 7 2 3 2 2 3" xfId="36280" xr:uid="{00000000-0005-0000-0000-0000BD8D0000}"/>
    <cellStyle name="Style 24 7 2 3 2 3" xfId="36281" xr:uid="{00000000-0005-0000-0000-0000BE8D0000}"/>
    <cellStyle name="Style 24 7 2 3 2 3 2" xfId="36282" xr:uid="{00000000-0005-0000-0000-0000BF8D0000}"/>
    <cellStyle name="Style 24 7 2 3 2 3 3" xfId="36283" xr:uid="{00000000-0005-0000-0000-0000C08D0000}"/>
    <cellStyle name="Style 24 7 2 3 2 4" xfId="36284" xr:uid="{00000000-0005-0000-0000-0000C18D0000}"/>
    <cellStyle name="Style 24 7 2 3 2 5" xfId="36285" xr:uid="{00000000-0005-0000-0000-0000C28D0000}"/>
    <cellStyle name="Style 24 7 2 3 2 6" xfId="36286" xr:uid="{00000000-0005-0000-0000-0000C38D0000}"/>
    <cellStyle name="Style 24 7 2 3 3" xfId="36287" xr:uid="{00000000-0005-0000-0000-0000C48D0000}"/>
    <cellStyle name="Style 24 7 2 3 3 2" xfId="36288" xr:uid="{00000000-0005-0000-0000-0000C58D0000}"/>
    <cellStyle name="Style 24 7 2 3 3 3" xfId="36289" xr:uid="{00000000-0005-0000-0000-0000C68D0000}"/>
    <cellStyle name="Style 24 7 2 3 4" xfId="36290" xr:uid="{00000000-0005-0000-0000-0000C78D0000}"/>
    <cellStyle name="Style 24 7 2 3 4 2" xfId="36291" xr:uid="{00000000-0005-0000-0000-0000C88D0000}"/>
    <cellStyle name="Style 24 7 2 3 4 3" xfId="36292" xr:uid="{00000000-0005-0000-0000-0000C98D0000}"/>
    <cellStyle name="Style 24 7 2 3 5" xfId="36293" xr:uid="{00000000-0005-0000-0000-0000CA8D0000}"/>
    <cellStyle name="Style 24 7 2 3 5 2" xfId="36294" xr:uid="{00000000-0005-0000-0000-0000CB8D0000}"/>
    <cellStyle name="Style 24 7 2 3 5 3" xfId="36295" xr:uid="{00000000-0005-0000-0000-0000CC8D0000}"/>
    <cellStyle name="Style 24 7 2 3 6" xfId="36296" xr:uid="{00000000-0005-0000-0000-0000CD8D0000}"/>
    <cellStyle name="Style 24 7 2 3 7" xfId="36297" xr:uid="{00000000-0005-0000-0000-0000CE8D0000}"/>
    <cellStyle name="Style 24 7 2 3 8" xfId="36298" xr:uid="{00000000-0005-0000-0000-0000CF8D0000}"/>
    <cellStyle name="Style 24 7 2 4" xfId="36299" xr:uid="{00000000-0005-0000-0000-0000D08D0000}"/>
    <cellStyle name="Style 24 7 2 4 2" xfId="36300" xr:uid="{00000000-0005-0000-0000-0000D18D0000}"/>
    <cellStyle name="Style 24 7 2 4 2 2" xfId="36301" xr:uid="{00000000-0005-0000-0000-0000D28D0000}"/>
    <cellStyle name="Style 24 7 2 4 2 3" xfId="36302" xr:uid="{00000000-0005-0000-0000-0000D38D0000}"/>
    <cellStyle name="Style 24 7 2 4 3" xfId="36303" xr:uid="{00000000-0005-0000-0000-0000D48D0000}"/>
    <cellStyle name="Style 24 7 2 4 3 2" xfId="36304" xr:uid="{00000000-0005-0000-0000-0000D58D0000}"/>
    <cellStyle name="Style 24 7 2 4 3 3" xfId="36305" xr:uid="{00000000-0005-0000-0000-0000D68D0000}"/>
    <cellStyle name="Style 24 7 2 4 4" xfId="36306" xr:uid="{00000000-0005-0000-0000-0000D78D0000}"/>
    <cellStyle name="Style 24 7 2 4 5" xfId="36307" xr:uid="{00000000-0005-0000-0000-0000D88D0000}"/>
    <cellStyle name="Style 24 7 2 4 6" xfId="36308" xr:uid="{00000000-0005-0000-0000-0000D98D0000}"/>
    <cellStyle name="Style 24 7 2 5" xfId="36309" xr:uid="{00000000-0005-0000-0000-0000DA8D0000}"/>
    <cellStyle name="Style 24 7 2 5 2" xfId="36310" xr:uid="{00000000-0005-0000-0000-0000DB8D0000}"/>
    <cellStyle name="Style 24 7 2 5 3" xfId="36311" xr:uid="{00000000-0005-0000-0000-0000DC8D0000}"/>
    <cellStyle name="Style 24 7 2 6" xfId="36312" xr:uid="{00000000-0005-0000-0000-0000DD8D0000}"/>
    <cellStyle name="Style 24 7 2 6 2" xfId="36313" xr:uid="{00000000-0005-0000-0000-0000DE8D0000}"/>
    <cellStyle name="Style 24 7 2 6 3" xfId="36314" xr:uid="{00000000-0005-0000-0000-0000DF8D0000}"/>
    <cellStyle name="Style 24 7 2 7" xfId="36315" xr:uid="{00000000-0005-0000-0000-0000E08D0000}"/>
    <cellStyle name="Style 24 7 2 7 2" xfId="36316" xr:uid="{00000000-0005-0000-0000-0000E18D0000}"/>
    <cellStyle name="Style 24 7 2 7 3" xfId="36317" xr:uid="{00000000-0005-0000-0000-0000E28D0000}"/>
    <cellStyle name="Style 24 7 2 8" xfId="36318" xr:uid="{00000000-0005-0000-0000-0000E38D0000}"/>
    <cellStyle name="Style 24 7 2 9" xfId="36319" xr:uid="{00000000-0005-0000-0000-0000E48D0000}"/>
    <cellStyle name="Style 24 7 3" xfId="36320" xr:uid="{00000000-0005-0000-0000-0000E58D0000}"/>
    <cellStyle name="Style 24 7 3 2" xfId="36321" xr:uid="{00000000-0005-0000-0000-0000E68D0000}"/>
    <cellStyle name="Style 24 7 3 2 2" xfId="36322" xr:uid="{00000000-0005-0000-0000-0000E78D0000}"/>
    <cellStyle name="Style 24 7 3 2 2 2" xfId="36323" xr:uid="{00000000-0005-0000-0000-0000E88D0000}"/>
    <cellStyle name="Style 24 7 3 2 2 3" xfId="36324" xr:uid="{00000000-0005-0000-0000-0000E98D0000}"/>
    <cellStyle name="Style 24 7 3 2 3" xfId="36325" xr:uid="{00000000-0005-0000-0000-0000EA8D0000}"/>
    <cellStyle name="Style 24 7 3 2 3 2" xfId="36326" xr:uid="{00000000-0005-0000-0000-0000EB8D0000}"/>
    <cellStyle name="Style 24 7 3 2 3 3" xfId="36327" xr:uid="{00000000-0005-0000-0000-0000EC8D0000}"/>
    <cellStyle name="Style 24 7 3 2 4" xfId="36328" xr:uid="{00000000-0005-0000-0000-0000ED8D0000}"/>
    <cellStyle name="Style 24 7 3 2 5" xfId="36329" xr:uid="{00000000-0005-0000-0000-0000EE8D0000}"/>
    <cellStyle name="Style 24 7 3 2 6" xfId="36330" xr:uid="{00000000-0005-0000-0000-0000EF8D0000}"/>
    <cellStyle name="Style 24 7 3 3" xfId="36331" xr:uid="{00000000-0005-0000-0000-0000F08D0000}"/>
    <cellStyle name="Style 24 7 3 3 2" xfId="36332" xr:uid="{00000000-0005-0000-0000-0000F18D0000}"/>
    <cellStyle name="Style 24 7 3 3 3" xfId="36333" xr:uid="{00000000-0005-0000-0000-0000F28D0000}"/>
    <cellStyle name="Style 24 7 3 4" xfId="36334" xr:uid="{00000000-0005-0000-0000-0000F38D0000}"/>
    <cellStyle name="Style 24 7 3 4 2" xfId="36335" xr:uid="{00000000-0005-0000-0000-0000F48D0000}"/>
    <cellStyle name="Style 24 7 3 4 3" xfId="36336" xr:uid="{00000000-0005-0000-0000-0000F58D0000}"/>
    <cellStyle name="Style 24 7 3 5" xfId="36337" xr:uid="{00000000-0005-0000-0000-0000F68D0000}"/>
    <cellStyle name="Style 24 7 3 5 2" xfId="36338" xr:uid="{00000000-0005-0000-0000-0000F78D0000}"/>
    <cellStyle name="Style 24 7 3 5 3" xfId="36339" xr:uid="{00000000-0005-0000-0000-0000F88D0000}"/>
    <cellStyle name="Style 24 7 3 6" xfId="36340" xr:uid="{00000000-0005-0000-0000-0000F98D0000}"/>
    <cellStyle name="Style 24 7 3 7" xfId="36341" xr:uid="{00000000-0005-0000-0000-0000FA8D0000}"/>
    <cellStyle name="Style 24 7 3 8" xfId="36342" xr:uid="{00000000-0005-0000-0000-0000FB8D0000}"/>
    <cellStyle name="Style 24 7 4" xfId="36343" xr:uid="{00000000-0005-0000-0000-0000FC8D0000}"/>
    <cellStyle name="Style 24 7 4 2" xfId="36344" xr:uid="{00000000-0005-0000-0000-0000FD8D0000}"/>
    <cellStyle name="Style 24 7 4 2 2" xfId="36345" xr:uid="{00000000-0005-0000-0000-0000FE8D0000}"/>
    <cellStyle name="Style 24 7 4 2 2 2" xfId="36346" xr:uid="{00000000-0005-0000-0000-0000FF8D0000}"/>
    <cellStyle name="Style 24 7 4 2 2 3" xfId="36347" xr:uid="{00000000-0005-0000-0000-0000008E0000}"/>
    <cellStyle name="Style 24 7 4 2 3" xfId="36348" xr:uid="{00000000-0005-0000-0000-0000018E0000}"/>
    <cellStyle name="Style 24 7 4 2 3 2" xfId="36349" xr:uid="{00000000-0005-0000-0000-0000028E0000}"/>
    <cellStyle name="Style 24 7 4 2 3 3" xfId="36350" xr:uid="{00000000-0005-0000-0000-0000038E0000}"/>
    <cellStyle name="Style 24 7 4 2 4" xfId="36351" xr:uid="{00000000-0005-0000-0000-0000048E0000}"/>
    <cellStyle name="Style 24 7 4 2 5" xfId="36352" xr:uid="{00000000-0005-0000-0000-0000058E0000}"/>
    <cellStyle name="Style 24 7 4 2 6" xfId="36353" xr:uid="{00000000-0005-0000-0000-0000068E0000}"/>
    <cellStyle name="Style 24 7 4 3" xfId="36354" xr:uid="{00000000-0005-0000-0000-0000078E0000}"/>
    <cellStyle name="Style 24 7 4 3 2" xfId="36355" xr:uid="{00000000-0005-0000-0000-0000088E0000}"/>
    <cellStyle name="Style 24 7 4 3 3" xfId="36356" xr:uid="{00000000-0005-0000-0000-0000098E0000}"/>
    <cellStyle name="Style 24 7 4 4" xfId="36357" xr:uid="{00000000-0005-0000-0000-00000A8E0000}"/>
    <cellStyle name="Style 24 7 4 4 2" xfId="36358" xr:uid="{00000000-0005-0000-0000-00000B8E0000}"/>
    <cellStyle name="Style 24 7 4 4 3" xfId="36359" xr:uid="{00000000-0005-0000-0000-00000C8E0000}"/>
    <cellStyle name="Style 24 7 4 5" xfId="36360" xr:uid="{00000000-0005-0000-0000-00000D8E0000}"/>
    <cellStyle name="Style 24 7 4 5 2" xfId="36361" xr:uid="{00000000-0005-0000-0000-00000E8E0000}"/>
    <cellStyle name="Style 24 7 4 5 3" xfId="36362" xr:uid="{00000000-0005-0000-0000-00000F8E0000}"/>
    <cellStyle name="Style 24 7 4 6" xfId="36363" xr:uid="{00000000-0005-0000-0000-0000108E0000}"/>
    <cellStyle name="Style 24 7 4 7" xfId="36364" xr:uid="{00000000-0005-0000-0000-0000118E0000}"/>
    <cellStyle name="Style 24 7 4 8" xfId="36365" xr:uid="{00000000-0005-0000-0000-0000128E0000}"/>
    <cellStyle name="Style 24 7 5" xfId="36366" xr:uid="{00000000-0005-0000-0000-0000138E0000}"/>
    <cellStyle name="Style 24 7 5 2" xfId="36367" xr:uid="{00000000-0005-0000-0000-0000148E0000}"/>
    <cellStyle name="Style 24 7 5 2 2" xfId="36368" xr:uid="{00000000-0005-0000-0000-0000158E0000}"/>
    <cellStyle name="Style 24 7 5 2 2 2" xfId="36369" xr:uid="{00000000-0005-0000-0000-0000168E0000}"/>
    <cellStyle name="Style 24 7 5 2 2 3" xfId="36370" xr:uid="{00000000-0005-0000-0000-0000178E0000}"/>
    <cellStyle name="Style 24 7 5 2 3" xfId="36371" xr:uid="{00000000-0005-0000-0000-0000188E0000}"/>
    <cellStyle name="Style 24 7 5 2 3 2" xfId="36372" xr:uid="{00000000-0005-0000-0000-0000198E0000}"/>
    <cellStyle name="Style 24 7 5 2 3 3" xfId="36373" xr:uid="{00000000-0005-0000-0000-00001A8E0000}"/>
    <cellStyle name="Style 24 7 5 2 4" xfId="36374" xr:uid="{00000000-0005-0000-0000-00001B8E0000}"/>
    <cellStyle name="Style 24 7 5 2 5" xfId="36375" xr:uid="{00000000-0005-0000-0000-00001C8E0000}"/>
    <cellStyle name="Style 24 7 5 2 6" xfId="36376" xr:uid="{00000000-0005-0000-0000-00001D8E0000}"/>
    <cellStyle name="Style 24 7 5 3" xfId="36377" xr:uid="{00000000-0005-0000-0000-00001E8E0000}"/>
    <cellStyle name="Style 24 7 5 3 2" xfId="36378" xr:uid="{00000000-0005-0000-0000-00001F8E0000}"/>
    <cellStyle name="Style 24 7 5 3 3" xfId="36379" xr:uid="{00000000-0005-0000-0000-0000208E0000}"/>
    <cellStyle name="Style 24 7 5 4" xfId="36380" xr:uid="{00000000-0005-0000-0000-0000218E0000}"/>
    <cellStyle name="Style 24 7 5 4 2" xfId="36381" xr:uid="{00000000-0005-0000-0000-0000228E0000}"/>
    <cellStyle name="Style 24 7 5 4 3" xfId="36382" xr:uid="{00000000-0005-0000-0000-0000238E0000}"/>
    <cellStyle name="Style 24 7 5 5" xfId="36383" xr:uid="{00000000-0005-0000-0000-0000248E0000}"/>
    <cellStyle name="Style 24 7 5 5 2" xfId="36384" xr:uid="{00000000-0005-0000-0000-0000258E0000}"/>
    <cellStyle name="Style 24 7 5 5 3" xfId="36385" xr:uid="{00000000-0005-0000-0000-0000268E0000}"/>
    <cellStyle name="Style 24 7 5 6" xfId="36386" xr:uid="{00000000-0005-0000-0000-0000278E0000}"/>
    <cellStyle name="Style 24 7 5 7" xfId="36387" xr:uid="{00000000-0005-0000-0000-0000288E0000}"/>
    <cellStyle name="Style 24 7 5 8" xfId="36388" xr:uid="{00000000-0005-0000-0000-0000298E0000}"/>
    <cellStyle name="Style 24 7 6" xfId="36389" xr:uid="{00000000-0005-0000-0000-00002A8E0000}"/>
    <cellStyle name="Style 24 7 6 2" xfId="36390" xr:uid="{00000000-0005-0000-0000-00002B8E0000}"/>
    <cellStyle name="Style 24 7 6 2 2" xfId="36391" xr:uid="{00000000-0005-0000-0000-00002C8E0000}"/>
    <cellStyle name="Style 24 7 6 2 3" xfId="36392" xr:uid="{00000000-0005-0000-0000-00002D8E0000}"/>
    <cellStyle name="Style 24 7 6 3" xfId="36393" xr:uid="{00000000-0005-0000-0000-00002E8E0000}"/>
    <cellStyle name="Style 24 7 6 3 2" xfId="36394" xr:uid="{00000000-0005-0000-0000-00002F8E0000}"/>
    <cellStyle name="Style 24 7 6 3 3" xfId="36395" xr:uid="{00000000-0005-0000-0000-0000308E0000}"/>
    <cellStyle name="Style 24 7 6 4" xfId="36396" xr:uid="{00000000-0005-0000-0000-0000318E0000}"/>
    <cellStyle name="Style 24 7 6 5" xfId="36397" xr:uid="{00000000-0005-0000-0000-0000328E0000}"/>
    <cellStyle name="Style 24 7 6 6" xfId="36398" xr:uid="{00000000-0005-0000-0000-0000338E0000}"/>
    <cellStyle name="Style 24 7 7" xfId="36399" xr:uid="{00000000-0005-0000-0000-0000348E0000}"/>
    <cellStyle name="Style 24 7 7 2" xfId="36400" xr:uid="{00000000-0005-0000-0000-0000358E0000}"/>
    <cellStyle name="Style 24 7 7 3" xfId="36401" xr:uid="{00000000-0005-0000-0000-0000368E0000}"/>
    <cellStyle name="Style 24 7 8" xfId="36402" xr:uid="{00000000-0005-0000-0000-0000378E0000}"/>
    <cellStyle name="Style 24 7 8 2" xfId="36403" xr:uid="{00000000-0005-0000-0000-0000388E0000}"/>
    <cellStyle name="Style 24 7 8 3" xfId="36404" xr:uid="{00000000-0005-0000-0000-0000398E0000}"/>
    <cellStyle name="Style 24 7 9" xfId="36405" xr:uid="{00000000-0005-0000-0000-00003A8E0000}"/>
    <cellStyle name="Style 24 7 9 2" xfId="36406" xr:uid="{00000000-0005-0000-0000-00003B8E0000}"/>
    <cellStyle name="Style 24 7 9 3" xfId="36407" xr:uid="{00000000-0005-0000-0000-00003C8E0000}"/>
    <cellStyle name="Style 24 8" xfId="36408" xr:uid="{00000000-0005-0000-0000-00003D8E0000}"/>
    <cellStyle name="Style 24 8 10" xfId="36409" xr:uid="{00000000-0005-0000-0000-00003E8E0000}"/>
    <cellStyle name="Style 24 8 11" xfId="36410" xr:uid="{00000000-0005-0000-0000-00003F8E0000}"/>
    <cellStyle name="Style 24 8 12" xfId="36411" xr:uid="{00000000-0005-0000-0000-0000408E0000}"/>
    <cellStyle name="Style 24 8 2" xfId="36412" xr:uid="{00000000-0005-0000-0000-0000418E0000}"/>
    <cellStyle name="Style 24 8 2 10" xfId="36413" xr:uid="{00000000-0005-0000-0000-0000428E0000}"/>
    <cellStyle name="Style 24 8 2 2" xfId="36414" xr:uid="{00000000-0005-0000-0000-0000438E0000}"/>
    <cellStyle name="Style 24 8 2 2 2" xfId="36415" xr:uid="{00000000-0005-0000-0000-0000448E0000}"/>
    <cellStyle name="Style 24 8 2 2 2 2" xfId="36416" xr:uid="{00000000-0005-0000-0000-0000458E0000}"/>
    <cellStyle name="Style 24 8 2 2 2 2 2" xfId="36417" xr:uid="{00000000-0005-0000-0000-0000468E0000}"/>
    <cellStyle name="Style 24 8 2 2 2 2 3" xfId="36418" xr:uid="{00000000-0005-0000-0000-0000478E0000}"/>
    <cellStyle name="Style 24 8 2 2 2 3" xfId="36419" xr:uid="{00000000-0005-0000-0000-0000488E0000}"/>
    <cellStyle name="Style 24 8 2 2 2 3 2" xfId="36420" xr:uid="{00000000-0005-0000-0000-0000498E0000}"/>
    <cellStyle name="Style 24 8 2 2 2 3 3" xfId="36421" xr:uid="{00000000-0005-0000-0000-00004A8E0000}"/>
    <cellStyle name="Style 24 8 2 2 2 4" xfId="36422" xr:uid="{00000000-0005-0000-0000-00004B8E0000}"/>
    <cellStyle name="Style 24 8 2 2 2 5" xfId="36423" xr:uid="{00000000-0005-0000-0000-00004C8E0000}"/>
    <cellStyle name="Style 24 8 2 2 2 6" xfId="36424" xr:uid="{00000000-0005-0000-0000-00004D8E0000}"/>
    <cellStyle name="Style 24 8 2 2 3" xfId="36425" xr:uid="{00000000-0005-0000-0000-00004E8E0000}"/>
    <cellStyle name="Style 24 8 2 2 3 2" xfId="36426" xr:uid="{00000000-0005-0000-0000-00004F8E0000}"/>
    <cellStyle name="Style 24 8 2 2 3 3" xfId="36427" xr:uid="{00000000-0005-0000-0000-0000508E0000}"/>
    <cellStyle name="Style 24 8 2 2 4" xfId="36428" xr:uid="{00000000-0005-0000-0000-0000518E0000}"/>
    <cellStyle name="Style 24 8 2 2 4 2" xfId="36429" xr:uid="{00000000-0005-0000-0000-0000528E0000}"/>
    <cellStyle name="Style 24 8 2 2 4 3" xfId="36430" xr:uid="{00000000-0005-0000-0000-0000538E0000}"/>
    <cellStyle name="Style 24 8 2 2 5" xfId="36431" xr:uid="{00000000-0005-0000-0000-0000548E0000}"/>
    <cellStyle name="Style 24 8 2 2 5 2" xfId="36432" xr:uid="{00000000-0005-0000-0000-0000558E0000}"/>
    <cellStyle name="Style 24 8 2 2 5 3" xfId="36433" xr:uid="{00000000-0005-0000-0000-0000568E0000}"/>
    <cellStyle name="Style 24 8 2 2 6" xfId="36434" xr:uid="{00000000-0005-0000-0000-0000578E0000}"/>
    <cellStyle name="Style 24 8 2 2 7" xfId="36435" xr:uid="{00000000-0005-0000-0000-0000588E0000}"/>
    <cellStyle name="Style 24 8 2 2 8" xfId="36436" xr:uid="{00000000-0005-0000-0000-0000598E0000}"/>
    <cellStyle name="Style 24 8 2 3" xfId="36437" xr:uid="{00000000-0005-0000-0000-00005A8E0000}"/>
    <cellStyle name="Style 24 8 2 3 2" xfId="36438" xr:uid="{00000000-0005-0000-0000-00005B8E0000}"/>
    <cellStyle name="Style 24 8 2 3 2 2" xfId="36439" xr:uid="{00000000-0005-0000-0000-00005C8E0000}"/>
    <cellStyle name="Style 24 8 2 3 2 2 2" xfId="36440" xr:uid="{00000000-0005-0000-0000-00005D8E0000}"/>
    <cellStyle name="Style 24 8 2 3 2 2 3" xfId="36441" xr:uid="{00000000-0005-0000-0000-00005E8E0000}"/>
    <cellStyle name="Style 24 8 2 3 2 3" xfId="36442" xr:uid="{00000000-0005-0000-0000-00005F8E0000}"/>
    <cellStyle name="Style 24 8 2 3 2 3 2" xfId="36443" xr:uid="{00000000-0005-0000-0000-0000608E0000}"/>
    <cellStyle name="Style 24 8 2 3 2 3 3" xfId="36444" xr:uid="{00000000-0005-0000-0000-0000618E0000}"/>
    <cellStyle name="Style 24 8 2 3 2 4" xfId="36445" xr:uid="{00000000-0005-0000-0000-0000628E0000}"/>
    <cellStyle name="Style 24 8 2 3 2 5" xfId="36446" xr:uid="{00000000-0005-0000-0000-0000638E0000}"/>
    <cellStyle name="Style 24 8 2 3 2 6" xfId="36447" xr:uid="{00000000-0005-0000-0000-0000648E0000}"/>
    <cellStyle name="Style 24 8 2 3 3" xfId="36448" xr:uid="{00000000-0005-0000-0000-0000658E0000}"/>
    <cellStyle name="Style 24 8 2 3 3 2" xfId="36449" xr:uid="{00000000-0005-0000-0000-0000668E0000}"/>
    <cellStyle name="Style 24 8 2 3 3 3" xfId="36450" xr:uid="{00000000-0005-0000-0000-0000678E0000}"/>
    <cellStyle name="Style 24 8 2 3 4" xfId="36451" xr:uid="{00000000-0005-0000-0000-0000688E0000}"/>
    <cellStyle name="Style 24 8 2 3 4 2" xfId="36452" xr:uid="{00000000-0005-0000-0000-0000698E0000}"/>
    <cellStyle name="Style 24 8 2 3 4 3" xfId="36453" xr:uid="{00000000-0005-0000-0000-00006A8E0000}"/>
    <cellStyle name="Style 24 8 2 3 5" xfId="36454" xr:uid="{00000000-0005-0000-0000-00006B8E0000}"/>
    <cellStyle name="Style 24 8 2 3 5 2" xfId="36455" xr:uid="{00000000-0005-0000-0000-00006C8E0000}"/>
    <cellStyle name="Style 24 8 2 3 5 3" xfId="36456" xr:uid="{00000000-0005-0000-0000-00006D8E0000}"/>
    <cellStyle name="Style 24 8 2 3 6" xfId="36457" xr:uid="{00000000-0005-0000-0000-00006E8E0000}"/>
    <cellStyle name="Style 24 8 2 3 7" xfId="36458" xr:uid="{00000000-0005-0000-0000-00006F8E0000}"/>
    <cellStyle name="Style 24 8 2 3 8" xfId="36459" xr:uid="{00000000-0005-0000-0000-0000708E0000}"/>
    <cellStyle name="Style 24 8 2 4" xfId="36460" xr:uid="{00000000-0005-0000-0000-0000718E0000}"/>
    <cellStyle name="Style 24 8 2 4 2" xfId="36461" xr:uid="{00000000-0005-0000-0000-0000728E0000}"/>
    <cellStyle name="Style 24 8 2 4 2 2" xfId="36462" xr:uid="{00000000-0005-0000-0000-0000738E0000}"/>
    <cellStyle name="Style 24 8 2 4 2 3" xfId="36463" xr:uid="{00000000-0005-0000-0000-0000748E0000}"/>
    <cellStyle name="Style 24 8 2 4 3" xfId="36464" xr:uid="{00000000-0005-0000-0000-0000758E0000}"/>
    <cellStyle name="Style 24 8 2 4 3 2" xfId="36465" xr:uid="{00000000-0005-0000-0000-0000768E0000}"/>
    <cellStyle name="Style 24 8 2 4 3 3" xfId="36466" xr:uid="{00000000-0005-0000-0000-0000778E0000}"/>
    <cellStyle name="Style 24 8 2 4 4" xfId="36467" xr:uid="{00000000-0005-0000-0000-0000788E0000}"/>
    <cellStyle name="Style 24 8 2 4 5" xfId="36468" xr:uid="{00000000-0005-0000-0000-0000798E0000}"/>
    <cellStyle name="Style 24 8 2 4 6" xfId="36469" xr:uid="{00000000-0005-0000-0000-00007A8E0000}"/>
    <cellStyle name="Style 24 8 2 5" xfId="36470" xr:uid="{00000000-0005-0000-0000-00007B8E0000}"/>
    <cellStyle name="Style 24 8 2 5 2" xfId="36471" xr:uid="{00000000-0005-0000-0000-00007C8E0000}"/>
    <cellStyle name="Style 24 8 2 5 3" xfId="36472" xr:uid="{00000000-0005-0000-0000-00007D8E0000}"/>
    <cellStyle name="Style 24 8 2 6" xfId="36473" xr:uid="{00000000-0005-0000-0000-00007E8E0000}"/>
    <cellStyle name="Style 24 8 2 6 2" xfId="36474" xr:uid="{00000000-0005-0000-0000-00007F8E0000}"/>
    <cellStyle name="Style 24 8 2 6 3" xfId="36475" xr:uid="{00000000-0005-0000-0000-0000808E0000}"/>
    <cellStyle name="Style 24 8 2 7" xfId="36476" xr:uid="{00000000-0005-0000-0000-0000818E0000}"/>
    <cellStyle name="Style 24 8 2 7 2" xfId="36477" xr:uid="{00000000-0005-0000-0000-0000828E0000}"/>
    <cellStyle name="Style 24 8 2 7 3" xfId="36478" xr:uid="{00000000-0005-0000-0000-0000838E0000}"/>
    <cellStyle name="Style 24 8 2 8" xfId="36479" xr:uid="{00000000-0005-0000-0000-0000848E0000}"/>
    <cellStyle name="Style 24 8 2 9" xfId="36480" xr:uid="{00000000-0005-0000-0000-0000858E0000}"/>
    <cellStyle name="Style 24 8 3" xfId="36481" xr:uid="{00000000-0005-0000-0000-0000868E0000}"/>
    <cellStyle name="Style 24 8 3 2" xfId="36482" xr:uid="{00000000-0005-0000-0000-0000878E0000}"/>
    <cellStyle name="Style 24 8 3 2 2" xfId="36483" xr:uid="{00000000-0005-0000-0000-0000888E0000}"/>
    <cellStyle name="Style 24 8 3 2 2 2" xfId="36484" xr:uid="{00000000-0005-0000-0000-0000898E0000}"/>
    <cellStyle name="Style 24 8 3 2 2 3" xfId="36485" xr:uid="{00000000-0005-0000-0000-00008A8E0000}"/>
    <cellStyle name="Style 24 8 3 2 3" xfId="36486" xr:uid="{00000000-0005-0000-0000-00008B8E0000}"/>
    <cellStyle name="Style 24 8 3 2 3 2" xfId="36487" xr:uid="{00000000-0005-0000-0000-00008C8E0000}"/>
    <cellStyle name="Style 24 8 3 2 3 3" xfId="36488" xr:uid="{00000000-0005-0000-0000-00008D8E0000}"/>
    <cellStyle name="Style 24 8 3 2 4" xfId="36489" xr:uid="{00000000-0005-0000-0000-00008E8E0000}"/>
    <cellStyle name="Style 24 8 3 2 5" xfId="36490" xr:uid="{00000000-0005-0000-0000-00008F8E0000}"/>
    <cellStyle name="Style 24 8 3 2 6" xfId="36491" xr:uid="{00000000-0005-0000-0000-0000908E0000}"/>
    <cellStyle name="Style 24 8 3 3" xfId="36492" xr:uid="{00000000-0005-0000-0000-0000918E0000}"/>
    <cellStyle name="Style 24 8 3 3 2" xfId="36493" xr:uid="{00000000-0005-0000-0000-0000928E0000}"/>
    <cellStyle name="Style 24 8 3 3 3" xfId="36494" xr:uid="{00000000-0005-0000-0000-0000938E0000}"/>
    <cellStyle name="Style 24 8 3 4" xfId="36495" xr:uid="{00000000-0005-0000-0000-0000948E0000}"/>
    <cellStyle name="Style 24 8 3 4 2" xfId="36496" xr:uid="{00000000-0005-0000-0000-0000958E0000}"/>
    <cellStyle name="Style 24 8 3 4 3" xfId="36497" xr:uid="{00000000-0005-0000-0000-0000968E0000}"/>
    <cellStyle name="Style 24 8 3 5" xfId="36498" xr:uid="{00000000-0005-0000-0000-0000978E0000}"/>
    <cellStyle name="Style 24 8 3 5 2" xfId="36499" xr:uid="{00000000-0005-0000-0000-0000988E0000}"/>
    <cellStyle name="Style 24 8 3 5 3" xfId="36500" xr:uid="{00000000-0005-0000-0000-0000998E0000}"/>
    <cellStyle name="Style 24 8 3 6" xfId="36501" xr:uid="{00000000-0005-0000-0000-00009A8E0000}"/>
    <cellStyle name="Style 24 8 3 7" xfId="36502" xr:uid="{00000000-0005-0000-0000-00009B8E0000}"/>
    <cellStyle name="Style 24 8 3 8" xfId="36503" xr:uid="{00000000-0005-0000-0000-00009C8E0000}"/>
    <cellStyle name="Style 24 8 4" xfId="36504" xr:uid="{00000000-0005-0000-0000-00009D8E0000}"/>
    <cellStyle name="Style 24 8 4 2" xfId="36505" xr:uid="{00000000-0005-0000-0000-00009E8E0000}"/>
    <cellStyle name="Style 24 8 4 2 2" xfId="36506" xr:uid="{00000000-0005-0000-0000-00009F8E0000}"/>
    <cellStyle name="Style 24 8 4 2 2 2" xfId="36507" xr:uid="{00000000-0005-0000-0000-0000A08E0000}"/>
    <cellStyle name="Style 24 8 4 2 2 3" xfId="36508" xr:uid="{00000000-0005-0000-0000-0000A18E0000}"/>
    <cellStyle name="Style 24 8 4 2 3" xfId="36509" xr:uid="{00000000-0005-0000-0000-0000A28E0000}"/>
    <cellStyle name="Style 24 8 4 2 3 2" xfId="36510" xr:uid="{00000000-0005-0000-0000-0000A38E0000}"/>
    <cellStyle name="Style 24 8 4 2 3 3" xfId="36511" xr:uid="{00000000-0005-0000-0000-0000A48E0000}"/>
    <cellStyle name="Style 24 8 4 2 4" xfId="36512" xr:uid="{00000000-0005-0000-0000-0000A58E0000}"/>
    <cellStyle name="Style 24 8 4 2 5" xfId="36513" xr:uid="{00000000-0005-0000-0000-0000A68E0000}"/>
    <cellStyle name="Style 24 8 4 2 6" xfId="36514" xr:uid="{00000000-0005-0000-0000-0000A78E0000}"/>
    <cellStyle name="Style 24 8 4 3" xfId="36515" xr:uid="{00000000-0005-0000-0000-0000A88E0000}"/>
    <cellStyle name="Style 24 8 4 3 2" xfId="36516" xr:uid="{00000000-0005-0000-0000-0000A98E0000}"/>
    <cellStyle name="Style 24 8 4 3 3" xfId="36517" xr:uid="{00000000-0005-0000-0000-0000AA8E0000}"/>
    <cellStyle name="Style 24 8 4 4" xfId="36518" xr:uid="{00000000-0005-0000-0000-0000AB8E0000}"/>
    <cellStyle name="Style 24 8 4 4 2" xfId="36519" xr:uid="{00000000-0005-0000-0000-0000AC8E0000}"/>
    <cellStyle name="Style 24 8 4 4 3" xfId="36520" xr:uid="{00000000-0005-0000-0000-0000AD8E0000}"/>
    <cellStyle name="Style 24 8 4 5" xfId="36521" xr:uid="{00000000-0005-0000-0000-0000AE8E0000}"/>
    <cellStyle name="Style 24 8 4 5 2" xfId="36522" xr:uid="{00000000-0005-0000-0000-0000AF8E0000}"/>
    <cellStyle name="Style 24 8 4 5 3" xfId="36523" xr:uid="{00000000-0005-0000-0000-0000B08E0000}"/>
    <cellStyle name="Style 24 8 4 6" xfId="36524" xr:uid="{00000000-0005-0000-0000-0000B18E0000}"/>
    <cellStyle name="Style 24 8 4 7" xfId="36525" xr:uid="{00000000-0005-0000-0000-0000B28E0000}"/>
    <cellStyle name="Style 24 8 4 8" xfId="36526" xr:uid="{00000000-0005-0000-0000-0000B38E0000}"/>
    <cellStyle name="Style 24 8 5" xfId="36527" xr:uid="{00000000-0005-0000-0000-0000B48E0000}"/>
    <cellStyle name="Style 24 8 5 2" xfId="36528" xr:uid="{00000000-0005-0000-0000-0000B58E0000}"/>
    <cellStyle name="Style 24 8 5 2 2" xfId="36529" xr:uid="{00000000-0005-0000-0000-0000B68E0000}"/>
    <cellStyle name="Style 24 8 5 2 2 2" xfId="36530" xr:uid="{00000000-0005-0000-0000-0000B78E0000}"/>
    <cellStyle name="Style 24 8 5 2 2 3" xfId="36531" xr:uid="{00000000-0005-0000-0000-0000B88E0000}"/>
    <cellStyle name="Style 24 8 5 2 3" xfId="36532" xr:uid="{00000000-0005-0000-0000-0000B98E0000}"/>
    <cellStyle name="Style 24 8 5 2 3 2" xfId="36533" xr:uid="{00000000-0005-0000-0000-0000BA8E0000}"/>
    <cellStyle name="Style 24 8 5 2 3 3" xfId="36534" xr:uid="{00000000-0005-0000-0000-0000BB8E0000}"/>
    <cellStyle name="Style 24 8 5 2 4" xfId="36535" xr:uid="{00000000-0005-0000-0000-0000BC8E0000}"/>
    <cellStyle name="Style 24 8 5 2 5" xfId="36536" xr:uid="{00000000-0005-0000-0000-0000BD8E0000}"/>
    <cellStyle name="Style 24 8 5 2 6" xfId="36537" xr:uid="{00000000-0005-0000-0000-0000BE8E0000}"/>
    <cellStyle name="Style 24 8 5 3" xfId="36538" xr:uid="{00000000-0005-0000-0000-0000BF8E0000}"/>
    <cellStyle name="Style 24 8 5 3 2" xfId="36539" xr:uid="{00000000-0005-0000-0000-0000C08E0000}"/>
    <cellStyle name="Style 24 8 5 3 3" xfId="36540" xr:uid="{00000000-0005-0000-0000-0000C18E0000}"/>
    <cellStyle name="Style 24 8 5 4" xfId="36541" xr:uid="{00000000-0005-0000-0000-0000C28E0000}"/>
    <cellStyle name="Style 24 8 5 4 2" xfId="36542" xr:uid="{00000000-0005-0000-0000-0000C38E0000}"/>
    <cellStyle name="Style 24 8 5 4 3" xfId="36543" xr:uid="{00000000-0005-0000-0000-0000C48E0000}"/>
    <cellStyle name="Style 24 8 5 5" xfId="36544" xr:uid="{00000000-0005-0000-0000-0000C58E0000}"/>
    <cellStyle name="Style 24 8 5 5 2" xfId="36545" xr:uid="{00000000-0005-0000-0000-0000C68E0000}"/>
    <cellStyle name="Style 24 8 5 5 3" xfId="36546" xr:uid="{00000000-0005-0000-0000-0000C78E0000}"/>
    <cellStyle name="Style 24 8 5 6" xfId="36547" xr:uid="{00000000-0005-0000-0000-0000C88E0000}"/>
    <cellStyle name="Style 24 8 5 7" xfId="36548" xr:uid="{00000000-0005-0000-0000-0000C98E0000}"/>
    <cellStyle name="Style 24 8 5 8" xfId="36549" xr:uid="{00000000-0005-0000-0000-0000CA8E0000}"/>
    <cellStyle name="Style 24 8 6" xfId="36550" xr:uid="{00000000-0005-0000-0000-0000CB8E0000}"/>
    <cellStyle name="Style 24 8 6 2" xfId="36551" xr:uid="{00000000-0005-0000-0000-0000CC8E0000}"/>
    <cellStyle name="Style 24 8 6 2 2" xfId="36552" xr:uid="{00000000-0005-0000-0000-0000CD8E0000}"/>
    <cellStyle name="Style 24 8 6 2 3" xfId="36553" xr:uid="{00000000-0005-0000-0000-0000CE8E0000}"/>
    <cellStyle name="Style 24 8 6 3" xfId="36554" xr:uid="{00000000-0005-0000-0000-0000CF8E0000}"/>
    <cellStyle name="Style 24 8 6 3 2" xfId="36555" xr:uid="{00000000-0005-0000-0000-0000D08E0000}"/>
    <cellStyle name="Style 24 8 6 3 3" xfId="36556" xr:uid="{00000000-0005-0000-0000-0000D18E0000}"/>
    <cellStyle name="Style 24 8 6 4" xfId="36557" xr:uid="{00000000-0005-0000-0000-0000D28E0000}"/>
    <cellStyle name="Style 24 8 6 5" xfId="36558" xr:uid="{00000000-0005-0000-0000-0000D38E0000}"/>
    <cellStyle name="Style 24 8 6 6" xfId="36559" xr:uid="{00000000-0005-0000-0000-0000D48E0000}"/>
    <cellStyle name="Style 24 8 7" xfId="36560" xr:uid="{00000000-0005-0000-0000-0000D58E0000}"/>
    <cellStyle name="Style 24 8 7 2" xfId="36561" xr:uid="{00000000-0005-0000-0000-0000D68E0000}"/>
    <cellStyle name="Style 24 8 7 3" xfId="36562" xr:uid="{00000000-0005-0000-0000-0000D78E0000}"/>
    <cellStyle name="Style 24 8 8" xfId="36563" xr:uid="{00000000-0005-0000-0000-0000D88E0000}"/>
    <cellStyle name="Style 24 8 8 2" xfId="36564" xr:uid="{00000000-0005-0000-0000-0000D98E0000}"/>
    <cellStyle name="Style 24 8 8 3" xfId="36565" xr:uid="{00000000-0005-0000-0000-0000DA8E0000}"/>
    <cellStyle name="Style 24 8 9" xfId="36566" xr:uid="{00000000-0005-0000-0000-0000DB8E0000}"/>
    <cellStyle name="Style 24 8 9 2" xfId="36567" xr:uid="{00000000-0005-0000-0000-0000DC8E0000}"/>
    <cellStyle name="Style 24 8 9 3" xfId="36568" xr:uid="{00000000-0005-0000-0000-0000DD8E0000}"/>
    <cellStyle name="Style 24 9" xfId="36569" xr:uid="{00000000-0005-0000-0000-0000DE8E0000}"/>
    <cellStyle name="Style 24 9 10" xfId="36570" xr:uid="{00000000-0005-0000-0000-0000DF8E0000}"/>
    <cellStyle name="Style 24 9 11" xfId="36571" xr:uid="{00000000-0005-0000-0000-0000E08E0000}"/>
    <cellStyle name="Style 24 9 12" xfId="36572" xr:uid="{00000000-0005-0000-0000-0000E18E0000}"/>
    <cellStyle name="Style 24 9 2" xfId="36573" xr:uid="{00000000-0005-0000-0000-0000E28E0000}"/>
    <cellStyle name="Style 24 9 2 10" xfId="36574" xr:uid="{00000000-0005-0000-0000-0000E38E0000}"/>
    <cellStyle name="Style 24 9 2 2" xfId="36575" xr:uid="{00000000-0005-0000-0000-0000E48E0000}"/>
    <cellStyle name="Style 24 9 2 2 2" xfId="36576" xr:uid="{00000000-0005-0000-0000-0000E58E0000}"/>
    <cellStyle name="Style 24 9 2 2 2 2" xfId="36577" xr:uid="{00000000-0005-0000-0000-0000E68E0000}"/>
    <cellStyle name="Style 24 9 2 2 2 2 2" xfId="36578" xr:uid="{00000000-0005-0000-0000-0000E78E0000}"/>
    <cellStyle name="Style 24 9 2 2 2 2 3" xfId="36579" xr:uid="{00000000-0005-0000-0000-0000E88E0000}"/>
    <cellStyle name="Style 24 9 2 2 2 3" xfId="36580" xr:uid="{00000000-0005-0000-0000-0000E98E0000}"/>
    <cellStyle name="Style 24 9 2 2 2 3 2" xfId="36581" xr:uid="{00000000-0005-0000-0000-0000EA8E0000}"/>
    <cellStyle name="Style 24 9 2 2 2 3 3" xfId="36582" xr:uid="{00000000-0005-0000-0000-0000EB8E0000}"/>
    <cellStyle name="Style 24 9 2 2 2 4" xfId="36583" xr:uid="{00000000-0005-0000-0000-0000EC8E0000}"/>
    <cellStyle name="Style 24 9 2 2 2 5" xfId="36584" xr:uid="{00000000-0005-0000-0000-0000ED8E0000}"/>
    <cellStyle name="Style 24 9 2 2 2 6" xfId="36585" xr:uid="{00000000-0005-0000-0000-0000EE8E0000}"/>
    <cellStyle name="Style 24 9 2 2 3" xfId="36586" xr:uid="{00000000-0005-0000-0000-0000EF8E0000}"/>
    <cellStyle name="Style 24 9 2 2 3 2" xfId="36587" xr:uid="{00000000-0005-0000-0000-0000F08E0000}"/>
    <cellStyle name="Style 24 9 2 2 3 3" xfId="36588" xr:uid="{00000000-0005-0000-0000-0000F18E0000}"/>
    <cellStyle name="Style 24 9 2 2 4" xfId="36589" xr:uid="{00000000-0005-0000-0000-0000F28E0000}"/>
    <cellStyle name="Style 24 9 2 2 4 2" xfId="36590" xr:uid="{00000000-0005-0000-0000-0000F38E0000}"/>
    <cellStyle name="Style 24 9 2 2 4 3" xfId="36591" xr:uid="{00000000-0005-0000-0000-0000F48E0000}"/>
    <cellStyle name="Style 24 9 2 2 5" xfId="36592" xr:uid="{00000000-0005-0000-0000-0000F58E0000}"/>
    <cellStyle name="Style 24 9 2 2 5 2" xfId="36593" xr:uid="{00000000-0005-0000-0000-0000F68E0000}"/>
    <cellStyle name="Style 24 9 2 2 5 3" xfId="36594" xr:uid="{00000000-0005-0000-0000-0000F78E0000}"/>
    <cellStyle name="Style 24 9 2 2 6" xfId="36595" xr:uid="{00000000-0005-0000-0000-0000F88E0000}"/>
    <cellStyle name="Style 24 9 2 2 7" xfId="36596" xr:uid="{00000000-0005-0000-0000-0000F98E0000}"/>
    <cellStyle name="Style 24 9 2 2 8" xfId="36597" xr:uid="{00000000-0005-0000-0000-0000FA8E0000}"/>
    <cellStyle name="Style 24 9 2 3" xfId="36598" xr:uid="{00000000-0005-0000-0000-0000FB8E0000}"/>
    <cellStyle name="Style 24 9 2 3 2" xfId="36599" xr:uid="{00000000-0005-0000-0000-0000FC8E0000}"/>
    <cellStyle name="Style 24 9 2 3 2 2" xfId="36600" xr:uid="{00000000-0005-0000-0000-0000FD8E0000}"/>
    <cellStyle name="Style 24 9 2 3 2 2 2" xfId="36601" xr:uid="{00000000-0005-0000-0000-0000FE8E0000}"/>
    <cellStyle name="Style 24 9 2 3 2 2 3" xfId="36602" xr:uid="{00000000-0005-0000-0000-0000FF8E0000}"/>
    <cellStyle name="Style 24 9 2 3 2 3" xfId="36603" xr:uid="{00000000-0005-0000-0000-0000008F0000}"/>
    <cellStyle name="Style 24 9 2 3 2 3 2" xfId="36604" xr:uid="{00000000-0005-0000-0000-0000018F0000}"/>
    <cellStyle name="Style 24 9 2 3 2 3 3" xfId="36605" xr:uid="{00000000-0005-0000-0000-0000028F0000}"/>
    <cellStyle name="Style 24 9 2 3 2 4" xfId="36606" xr:uid="{00000000-0005-0000-0000-0000038F0000}"/>
    <cellStyle name="Style 24 9 2 3 2 5" xfId="36607" xr:uid="{00000000-0005-0000-0000-0000048F0000}"/>
    <cellStyle name="Style 24 9 2 3 2 6" xfId="36608" xr:uid="{00000000-0005-0000-0000-0000058F0000}"/>
    <cellStyle name="Style 24 9 2 3 3" xfId="36609" xr:uid="{00000000-0005-0000-0000-0000068F0000}"/>
    <cellStyle name="Style 24 9 2 3 3 2" xfId="36610" xr:uid="{00000000-0005-0000-0000-0000078F0000}"/>
    <cellStyle name="Style 24 9 2 3 3 3" xfId="36611" xr:uid="{00000000-0005-0000-0000-0000088F0000}"/>
    <cellStyle name="Style 24 9 2 3 4" xfId="36612" xr:uid="{00000000-0005-0000-0000-0000098F0000}"/>
    <cellStyle name="Style 24 9 2 3 4 2" xfId="36613" xr:uid="{00000000-0005-0000-0000-00000A8F0000}"/>
    <cellStyle name="Style 24 9 2 3 4 3" xfId="36614" xr:uid="{00000000-0005-0000-0000-00000B8F0000}"/>
    <cellStyle name="Style 24 9 2 3 5" xfId="36615" xr:uid="{00000000-0005-0000-0000-00000C8F0000}"/>
    <cellStyle name="Style 24 9 2 3 5 2" xfId="36616" xr:uid="{00000000-0005-0000-0000-00000D8F0000}"/>
    <cellStyle name="Style 24 9 2 3 5 3" xfId="36617" xr:uid="{00000000-0005-0000-0000-00000E8F0000}"/>
    <cellStyle name="Style 24 9 2 3 6" xfId="36618" xr:uid="{00000000-0005-0000-0000-00000F8F0000}"/>
    <cellStyle name="Style 24 9 2 3 7" xfId="36619" xr:uid="{00000000-0005-0000-0000-0000108F0000}"/>
    <cellStyle name="Style 24 9 2 3 8" xfId="36620" xr:uid="{00000000-0005-0000-0000-0000118F0000}"/>
    <cellStyle name="Style 24 9 2 4" xfId="36621" xr:uid="{00000000-0005-0000-0000-0000128F0000}"/>
    <cellStyle name="Style 24 9 2 4 2" xfId="36622" xr:uid="{00000000-0005-0000-0000-0000138F0000}"/>
    <cellStyle name="Style 24 9 2 4 2 2" xfId="36623" xr:uid="{00000000-0005-0000-0000-0000148F0000}"/>
    <cellStyle name="Style 24 9 2 4 2 3" xfId="36624" xr:uid="{00000000-0005-0000-0000-0000158F0000}"/>
    <cellStyle name="Style 24 9 2 4 3" xfId="36625" xr:uid="{00000000-0005-0000-0000-0000168F0000}"/>
    <cellStyle name="Style 24 9 2 4 3 2" xfId="36626" xr:uid="{00000000-0005-0000-0000-0000178F0000}"/>
    <cellStyle name="Style 24 9 2 4 3 3" xfId="36627" xr:uid="{00000000-0005-0000-0000-0000188F0000}"/>
    <cellStyle name="Style 24 9 2 4 4" xfId="36628" xr:uid="{00000000-0005-0000-0000-0000198F0000}"/>
    <cellStyle name="Style 24 9 2 4 5" xfId="36629" xr:uid="{00000000-0005-0000-0000-00001A8F0000}"/>
    <cellStyle name="Style 24 9 2 4 6" xfId="36630" xr:uid="{00000000-0005-0000-0000-00001B8F0000}"/>
    <cellStyle name="Style 24 9 2 5" xfId="36631" xr:uid="{00000000-0005-0000-0000-00001C8F0000}"/>
    <cellStyle name="Style 24 9 2 5 2" xfId="36632" xr:uid="{00000000-0005-0000-0000-00001D8F0000}"/>
    <cellStyle name="Style 24 9 2 5 3" xfId="36633" xr:uid="{00000000-0005-0000-0000-00001E8F0000}"/>
    <cellStyle name="Style 24 9 2 6" xfId="36634" xr:uid="{00000000-0005-0000-0000-00001F8F0000}"/>
    <cellStyle name="Style 24 9 2 6 2" xfId="36635" xr:uid="{00000000-0005-0000-0000-0000208F0000}"/>
    <cellStyle name="Style 24 9 2 6 3" xfId="36636" xr:uid="{00000000-0005-0000-0000-0000218F0000}"/>
    <cellStyle name="Style 24 9 2 7" xfId="36637" xr:uid="{00000000-0005-0000-0000-0000228F0000}"/>
    <cellStyle name="Style 24 9 2 7 2" xfId="36638" xr:uid="{00000000-0005-0000-0000-0000238F0000}"/>
    <cellStyle name="Style 24 9 2 7 3" xfId="36639" xr:uid="{00000000-0005-0000-0000-0000248F0000}"/>
    <cellStyle name="Style 24 9 2 8" xfId="36640" xr:uid="{00000000-0005-0000-0000-0000258F0000}"/>
    <cellStyle name="Style 24 9 2 9" xfId="36641" xr:uid="{00000000-0005-0000-0000-0000268F0000}"/>
    <cellStyle name="Style 24 9 3" xfId="36642" xr:uid="{00000000-0005-0000-0000-0000278F0000}"/>
    <cellStyle name="Style 24 9 3 2" xfId="36643" xr:uid="{00000000-0005-0000-0000-0000288F0000}"/>
    <cellStyle name="Style 24 9 3 2 2" xfId="36644" xr:uid="{00000000-0005-0000-0000-0000298F0000}"/>
    <cellStyle name="Style 24 9 3 2 2 2" xfId="36645" xr:uid="{00000000-0005-0000-0000-00002A8F0000}"/>
    <cellStyle name="Style 24 9 3 2 2 3" xfId="36646" xr:uid="{00000000-0005-0000-0000-00002B8F0000}"/>
    <cellStyle name="Style 24 9 3 2 3" xfId="36647" xr:uid="{00000000-0005-0000-0000-00002C8F0000}"/>
    <cellStyle name="Style 24 9 3 2 3 2" xfId="36648" xr:uid="{00000000-0005-0000-0000-00002D8F0000}"/>
    <cellStyle name="Style 24 9 3 2 3 3" xfId="36649" xr:uid="{00000000-0005-0000-0000-00002E8F0000}"/>
    <cellStyle name="Style 24 9 3 2 4" xfId="36650" xr:uid="{00000000-0005-0000-0000-00002F8F0000}"/>
    <cellStyle name="Style 24 9 3 2 5" xfId="36651" xr:uid="{00000000-0005-0000-0000-0000308F0000}"/>
    <cellStyle name="Style 24 9 3 2 6" xfId="36652" xr:uid="{00000000-0005-0000-0000-0000318F0000}"/>
    <cellStyle name="Style 24 9 3 3" xfId="36653" xr:uid="{00000000-0005-0000-0000-0000328F0000}"/>
    <cellStyle name="Style 24 9 3 3 2" xfId="36654" xr:uid="{00000000-0005-0000-0000-0000338F0000}"/>
    <cellStyle name="Style 24 9 3 3 3" xfId="36655" xr:uid="{00000000-0005-0000-0000-0000348F0000}"/>
    <cellStyle name="Style 24 9 3 4" xfId="36656" xr:uid="{00000000-0005-0000-0000-0000358F0000}"/>
    <cellStyle name="Style 24 9 3 4 2" xfId="36657" xr:uid="{00000000-0005-0000-0000-0000368F0000}"/>
    <cellStyle name="Style 24 9 3 4 3" xfId="36658" xr:uid="{00000000-0005-0000-0000-0000378F0000}"/>
    <cellStyle name="Style 24 9 3 5" xfId="36659" xr:uid="{00000000-0005-0000-0000-0000388F0000}"/>
    <cellStyle name="Style 24 9 3 5 2" xfId="36660" xr:uid="{00000000-0005-0000-0000-0000398F0000}"/>
    <cellStyle name="Style 24 9 3 5 3" xfId="36661" xr:uid="{00000000-0005-0000-0000-00003A8F0000}"/>
    <cellStyle name="Style 24 9 3 6" xfId="36662" xr:uid="{00000000-0005-0000-0000-00003B8F0000}"/>
    <cellStyle name="Style 24 9 3 7" xfId="36663" xr:uid="{00000000-0005-0000-0000-00003C8F0000}"/>
    <cellStyle name="Style 24 9 3 8" xfId="36664" xr:uid="{00000000-0005-0000-0000-00003D8F0000}"/>
    <cellStyle name="Style 24 9 4" xfId="36665" xr:uid="{00000000-0005-0000-0000-00003E8F0000}"/>
    <cellStyle name="Style 24 9 4 2" xfId="36666" xr:uid="{00000000-0005-0000-0000-00003F8F0000}"/>
    <cellStyle name="Style 24 9 4 2 2" xfId="36667" xr:uid="{00000000-0005-0000-0000-0000408F0000}"/>
    <cellStyle name="Style 24 9 4 2 2 2" xfId="36668" xr:uid="{00000000-0005-0000-0000-0000418F0000}"/>
    <cellStyle name="Style 24 9 4 2 2 3" xfId="36669" xr:uid="{00000000-0005-0000-0000-0000428F0000}"/>
    <cellStyle name="Style 24 9 4 2 3" xfId="36670" xr:uid="{00000000-0005-0000-0000-0000438F0000}"/>
    <cellStyle name="Style 24 9 4 2 3 2" xfId="36671" xr:uid="{00000000-0005-0000-0000-0000448F0000}"/>
    <cellStyle name="Style 24 9 4 2 3 3" xfId="36672" xr:uid="{00000000-0005-0000-0000-0000458F0000}"/>
    <cellStyle name="Style 24 9 4 2 4" xfId="36673" xr:uid="{00000000-0005-0000-0000-0000468F0000}"/>
    <cellStyle name="Style 24 9 4 2 5" xfId="36674" xr:uid="{00000000-0005-0000-0000-0000478F0000}"/>
    <cellStyle name="Style 24 9 4 2 6" xfId="36675" xr:uid="{00000000-0005-0000-0000-0000488F0000}"/>
    <cellStyle name="Style 24 9 4 3" xfId="36676" xr:uid="{00000000-0005-0000-0000-0000498F0000}"/>
    <cellStyle name="Style 24 9 4 3 2" xfId="36677" xr:uid="{00000000-0005-0000-0000-00004A8F0000}"/>
    <cellStyle name="Style 24 9 4 3 3" xfId="36678" xr:uid="{00000000-0005-0000-0000-00004B8F0000}"/>
    <cellStyle name="Style 24 9 4 4" xfId="36679" xr:uid="{00000000-0005-0000-0000-00004C8F0000}"/>
    <cellStyle name="Style 24 9 4 4 2" xfId="36680" xr:uid="{00000000-0005-0000-0000-00004D8F0000}"/>
    <cellStyle name="Style 24 9 4 4 3" xfId="36681" xr:uid="{00000000-0005-0000-0000-00004E8F0000}"/>
    <cellStyle name="Style 24 9 4 5" xfId="36682" xr:uid="{00000000-0005-0000-0000-00004F8F0000}"/>
    <cellStyle name="Style 24 9 4 5 2" xfId="36683" xr:uid="{00000000-0005-0000-0000-0000508F0000}"/>
    <cellStyle name="Style 24 9 4 5 3" xfId="36684" xr:uid="{00000000-0005-0000-0000-0000518F0000}"/>
    <cellStyle name="Style 24 9 4 6" xfId="36685" xr:uid="{00000000-0005-0000-0000-0000528F0000}"/>
    <cellStyle name="Style 24 9 4 7" xfId="36686" xr:uid="{00000000-0005-0000-0000-0000538F0000}"/>
    <cellStyle name="Style 24 9 4 8" xfId="36687" xr:uid="{00000000-0005-0000-0000-0000548F0000}"/>
    <cellStyle name="Style 24 9 5" xfId="36688" xr:uid="{00000000-0005-0000-0000-0000558F0000}"/>
    <cellStyle name="Style 24 9 5 2" xfId="36689" xr:uid="{00000000-0005-0000-0000-0000568F0000}"/>
    <cellStyle name="Style 24 9 5 2 2" xfId="36690" xr:uid="{00000000-0005-0000-0000-0000578F0000}"/>
    <cellStyle name="Style 24 9 5 2 2 2" xfId="36691" xr:uid="{00000000-0005-0000-0000-0000588F0000}"/>
    <cellStyle name="Style 24 9 5 2 2 3" xfId="36692" xr:uid="{00000000-0005-0000-0000-0000598F0000}"/>
    <cellStyle name="Style 24 9 5 2 3" xfId="36693" xr:uid="{00000000-0005-0000-0000-00005A8F0000}"/>
    <cellStyle name="Style 24 9 5 2 3 2" xfId="36694" xr:uid="{00000000-0005-0000-0000-00005B8F0000}"/>
    <cellStyle name="Style 24 9 5 2 3 3" xfId="36695" xr:uid="{00000000-0005-0000-0000-00005C8F0000}"/>
    <cellStyle name="Style 24 9 5 2 4" xfId="36696" xr:uid="{00000000-0005-0000-0000-00005D8F0000}"/>
    <cellStyle name="Style 24 9 5 2 5" xfId="36697" xr:uid="{00000000-0005-0000-0000-00005E8F0000}"/>
    <cellStyle name="Style 24 9 5 2 6" xfId="36698" xr:uid="{00000000-0005-0000-0000-00005F8F0000}"/>
    <cellStyle name="Style 24 9 5 3" xfId="36699" xr:uid="{00000000-0005-0000-0000-0000608F0000}"/>
    <cellStyle name="Style 24 9 5 3 2" xfId="36700" xr:uid="{00000000-0005-0000-0000-0000618F0000}"/>
    <cellStyle name="Style 24 9 5 3 3" xfId="36701" xr:uid="{00000000-0005-0000-0000-0000628F0000}"/>
    <cellStyle name="Style 24 9 5 4" xfId="36702" xr:uid="{00000000-0005-0000-0000-0000638F0000}"/>
    <cellStyle name="Style 24 9 5 4 2" xfId="36703" xr:uid="{00000000-0005-0000-0000-0000648F0000}"/>
    <cellStyle name="Style 24 9 5 4 3" xfId="36704" xr:uid="{00000000-0005-0000-0000-0000658F0000}"/>
    <cellStyle name="Style 24 9 5 5" xfId="36705" xr:uid="{00000000-0005-0000-0000-0000668F0000}"/>
    <cellStyle name="Style 24 9 5 5 2" xfId="36706" xr:uid="{00000000-0005-0000-0000-0000678F0000}"/>
    <cellStyle name="Style 24 9 5 5 3" xfId="36707" xr:uid="{00000000-0005-0000-0000-0000688F0000}"/>
    <cellStyle name="Style 24 9 5 6" xfId="36708" xr:uid="{00000000-0005-0000-0000-0000698F0000}"/>
    <cellStyle name="Style 24 9 5 7" xfId="36709" xr:uid="{00000000-0005-0000-0000-00006A8F0000}"/>
    <cellStyle name="Style 24 9 5 8" xfId="36710" xr:uid="{00000000-0005-0000-0000-00006B8F0000}"/>
    <cellStyle name="Style 24 9 6" xfId="36711" xr:uid="{00000000-0005-0000-0000-00006C8F0000}"/>
    <cellStyle name="Style 24 9 6 2" xfId="36712" xr:uid="{00000000-0005-0000-0000-00006D8F0000}"/>
    <cellStyle name="Style 24 9 6 2 2" xfId="36713" xr:uid="{00000000-0005-0000-0000-00006E8F0000}"/>
    <cellStyle name="Style 24 9 6 2 3" xfId="36714" xr:uid="{00000000-0005-0000-0000-00006F8F0000}"/>
    <cellStyle name="Style 24 9 6 3" xfId="36715" xr:uid="{00000000-0005-0000-0000-0000708F0000}"/>
    <cellStyle name="Style 24 9 6 3 2" xfId="36716" xr:uid="{00000000-0005-0000-0000-0000718F0000}"/>
    <cellStyle name="Style 24 9 6 3 3" xfId="36717" xr:uid="{00000000-0005-0000-0000-0000728F0000}"/>
    <cellStyle name="Style 24 9 6 4" xfId="36718" xr:uid="{00000000-0005-0000-0000-0000738F0000}"/>
    <cellStyle name="Style 24 9 6 5" xfId="36719" xr:uid="{00000000-0005-0000-0000-0000748F0000}"/>
    <cellStyle name="Style 24 9 6 6" xfId="36720" xr:uid="{00000000-0005-0000-0000-0000758F0000}"/>
    <cellStyle name="Style 24 9 7" xfId="36721" xr:uid="{00000000-0005-0000-0000-0000768F0000}"/>
    <cellStyle name="Style 24 9 7 2" xfId="36722" xr:uid="{00000000-0005-0000-0000-0000778F0000}"/>
    <cellStyle name="Style 24 9 7 3" xfId="36723" xr:uid="{00000000-0005-0000-0000-0000788F0000}"/>
    <cellStyle name="Style 24 9 8" xfId="36724" xr:uid="{00000000-0005-0000-0000-0000798F0000}"/>
    <cellStyle name="Style 24 9 8 2" xfId="36725" xr:uid="{00000000-0005-0000-0000-00007A8F0000}"/>
    <cellStyle name="Style 24 9 8 3" xfId="36726" xr:uid="{00000000-0005-0000-0000-00007B8F0000}"/>
    <cellStyle name="Style 24 9 9" xfId="36727" xr:uid="{00000000-0005-0000-0000-00007C8F0000}"/>
    <cellStyle name="Style 24 9 9 2" xfId="36728" xr:uid="{00000000-0005-0000-0000-00007D8F0000}"/>
    <cellStyle name="Style 24 9 9 3" xfId="36729" xr:uid="{00000000-0005-0000-0000-00007E8F0000}"/>
    <cellStyle name="Style 25" xfId="36730" xr:uid="{00000000-0005-0000-0000-00007F8F0000}"/>
    <cellStyle name="Style 25 10" xfId="36731" xr:uid="{00000000-0005-0000-0000-0000808F0000}"/>
    <cellStyle name="Style 25 10 10" xfId="36732" xr:uid="{00000000-0005-0000-0000-0000818F0000}"/>
    <cellStyle name="Style 25 10 11" xfId="36733" xr:uid="{00000000-0005-0000-0000-0000828F0000}"/>
    <cellStyle name="Style 25 10 12" xfId="36734" xr:uid="{00000000-0005-0000-0000-0000838F0000}"/>
    <cellStyle name="Style 25 10 2" xfId="36735" xr:uid="{00000000-0005-0000-0000-0000848F0000}"/>
    <cellStyle name="Style 25 10 2 10" xfId="36736" xr:uid="{00000000-0005-0000-0000-0000858F0000}"/>
    <cellStyle name="Style 25 10 2 2" xfId="36737" xr:uid="{00000000-0005-0000-0000-0000868F0000}"/>
    <cellStyle name="Style 25 10 2 2 2" xfId="36738" xr:uid="{00000000-0005-0000-0000-0000878F0000}"/>
    <cellStyle name="Style 25 10 2 2 2 2" xfId="36739" xr:uid="{00000000-0005-0000-0000-0000888F0000}"/>
    <cellStyle name="Style 25 10 2 2 2 2 2" xfId="36740" xr:uid="{00000000-0005-0000-0000-0000898F0000}"/>
    <cellStyle name="Style 25 10 2 2 2 2 3" xfId="36741" xr:uid="{00000000-0005-0000-0000-00008A8F0000}"/>
    <cellStyle name="Style 25 10 2 2 2 3" xfId="36742" xr:uid="{00000000-0005-0000-0000-00008B8F0000}"/>
    <cellStyle name="Style 25 10 2 2 2 3 2" xfId="36743" xr:uid="{00000000-0005-0000-0000-00008C8F0000}"/>
    <cellStyle name="Style 25 10 2 2 2 3 3" xfId="36744" xr:uid="{00000000-0005-0000-0000-00008D8F0000}"/>
    <cellStyle name="Style 25 10 2 2 2 4" xfId="36745" xr:uid="{00000000-0005-0000-0000-00008E8F0000}"/>
    <cellStyle name="Style 25 10 2 2 2 5" xfId="36746" xr:uid="{00000000-0005-0000-0000-00008F8F0000}"/>
    <cellStyle name="Style 25 10 2 2 2 6" xfId="36747" xr:uid="{00000000-0005-0000-0000-0000908F0000}"/>
    <cellStyle name="Style 25 10 2 2 3" xfId="36748" xr:uid="{00000000-0005-0000-0000-0000918F0000}"/>
    <cellStyle name="Style 25 10 2 2 3 2" xfId="36749" xr:uid="{00000000-0005-0000-0000-0000928F0000}"/>
    <cellStyle name="Style 25 10 2 2 3 3" xfId="36750" xr:uid="{00000000-0005-0000-0000-0000938F0000}"/>
    <cellStyle name="Style 25 10 2 2 4" xfId="36751" xr:uid="{00000000-0005-0000-0000-0000948F0000}"/>
    <cellStyle name="Style 25 10 2 2 4 2" xfId="36752" xr:uid="{00000000-0005-0000-0000-0000958F0000}"/>
    <cellStyle name="Style 25 10 2 2 4 3" xfId="36753" xr:uid="{00000000-0005-0000-0000-0000968F0000}"/>
    <cellStyle name="Style 25 10 2 2 5" xfId="36754" xr:uid="{00000000-0005-0000-0000-0000978F0000}"/>
    <cellStyle name="Style 25 10 2 2 5 2" xfId="36755" xr:uid="{00000000-0005-0000-0000-0000988F0000}"/>
    <cellStyle name="Style 25 10 2 2 5 3" xfId="36756" xr:uid="{00000000-0005-0000-0000-0000998F0000}"/>
    <cellStyle name="Style 25 10 2 2 6" xfId="36757" xr:uid="{00000000-0005-0000-0000-00009A8F0000}"/>
    <cellStyle name="Style 25 10 2 2 7" xfId="36758" xr:uid="{00000000-0005-0000-0000-00009B8F0000}"/>
    <cellStyle name="Style 25 10 2 2 8" xfId="36759" xr:uid="{00000000-0005-0000-0000-00009C8F0000}"/>
    <cellStyle name="Style 25 10 2 3" xfId="36760" xr:uid="{00000000-0005-0000-0000-00009D8F0000}"/>
    <cellStyle name="Style 25 10 2 3 2" xfId="36761" xr:uid="{00000000-0005-0000-0000-00009E8F0000}"/>
    <cellStyle name="Style 25 10 2 3 2 2" xfId="36762" xr:uid="{00000000-0005-0000-0000-00009F8F0000}"/>
    <cellStyle name="Style 25 10 2 3 2 2 2" xfId="36763" xr:uid="{00000000-0005-0000-0000-0000A08F0000}"/>
    <cellStyle name="Style 25 10 2 3 2 2 3" xfId="36764" xr:uid="{00000000-0005-0000-0000-0000A18F0000}"/>
    <cellStyle name="Style 25 10 2 3 2 3" xfId="36765" xr:uid="{00000000-0005-0000-0000-0000A28F0000}"/>
    <cellStyle name="Style 25 10 2 3 2 3 2" xfId="36766" xr:uid="{00000000-0005-0000-0000-0000A38F0000}"/>
    <cellStyle name="Style 25 10 2 3 2 3 3" xfId="36767" xr:uid="{00000000-0005-0000-0000-0000A48F0000}"/>
    <cellStyle name="Style 25 10 2 3 2 4" xfId="36768" xr:uid="{00000000-0005-0000-0000-0000A58F0000}"/>
    <cellStyle name="Style 25 10 2 3 2 5" xfId="36769" xr:uid="{00000000-0005-0000-0000-0000A68F0000}"/>
    <cellStyle name="Style 25 10 2 3 2 6" xfId="36770" xr:uid="{00000000-0005-0000-0000-0000A78F0000}"/>
    <cellStyle name="Style 25 10 2 3 3" xfId="36771" xr:uid="{00000000-0005-0000-0000-0000A88F0000}"/>
    <cellStyle name="Style 25 10 2 3 3 2" xfId="36772" xr:uid="{00000000-0005-0000-0000-0000A98F0000}"/>
    <cellStyle name="Style 25 10 2 3 3 3" xfId="36773" xr:uid="{00000000-0005-0000-0000-0000AA8F0000}"/>
    <cellStyle name="Style 25 10 2 3 4" xfId="36774" xr:uid="{00000000-0005-0000-0000-0000AB8F0000}"/>
    <cellStyle name="Style 25 10 2 3 4 2" xfId="36775" xr:uid="{00000000-0005-0000-0000-0000AC8F0000}"/>
    <cellStyle name="Style 25 10 2 3 4 3" xfId="36776" xr:uid="{00000000-0005-0000-0000-0000AD8F0000}"/>
    <cellStyle name="Style 25 10 2 3 5" xfId="36777" xr:uid="{00000000-0005-0000-0000-0000AE8F0000}"/>
    <cellStyle name="Style 25 10 2 3 5 2" xfId="36778" xr:uid="{00000000-0005-0000-0000-0000AF8F0000}"/>
    <cellStyle name="Style 25 10 2 3 5 3" xfId="36779" xr:uid="{00000000-0005-0000-0000-0000B08F0000}"/>
    <cellStyle name="Style 25 10 2 3 6" xfId="36780" xr:uid="{00000000-0005-0000-0000-0000B18F0000}"/>
    <cellStyle name="Style 25 10 2 3 7" xfId="36781" xr:uid="{00000000-0005-0000-0000-0000B28F0000}"/>
    <cellStyle name="Style 25 10 2 3 8" xfId="36782" xr:uid="{00000000-0005-0000-0000-0000B38F0000}"/>
    <cellStyle name="Style 25 10 2 4" xfId="36783" xr:uid="{00000000-0005-0000-0000-0000B48F0000}"/>
    <cellStyle name="Style 25 10 2 4 2" xfId="36784" xr:uid="{00000000-0005-0000-0000-0000B58F0000}"/>
    <cellStyle name="Style 25 10 2 4 2 2" xfId="36785" xr:uid="{00000000-0005-0000-0000-0000B68F0000}"/>
    <cellStyle name="Style 25 10 2 4 2 3" xfId="36786" xr:uid="{00000000-0005-0000-0000-0000B78F0000}"/>
    <cellStyle name="Style 25 10 2 4 3" xfId="36787" xr:uid="{00000000-0005-0000-0000-0000B88F0000}"/>
    <cellStyle name="Style 25 10 2 4 3 2" xfId="36788" xr:uid="{00000000-0005-0000-0000-0000B98F0000}"/>
    <cellStyle name="Style 25 10 2 4 3 3" xfId="36789" xr:uid="{00000000-0005-0000-0000-0000BA8F0000}"/>
    <cellStyle name="Style 25 10 2 4 4" xfId="36790" xr:uid="{00000000-0005-0000-0000-0000BB8F0000}"/>
    <cellStyle name="Style 25 10 2 4 5" xfId="36791" xr:uid="{00000000-0005-0000-0000-0000BC8F0000}"/>
    <cellStyle name="Style 25 10 2 4 6" xfId="36792" xr:uid="{00000000-0005-0000-0000-0000BD8F0000}"/>
    <cellStyle name="Style 25 10 2 5" xfId="36793" xr:uid="{00000000-0005-0000-0000-0000BE8F0000}"/>
    <cellStyle name="Style 25 10 2 5 2" xfId="36794" xr:uid="{00000000-0005-0000-0000-0000BF8F0000}"/>
    <cellStyle name="Style 25 10 2 5 3" xfId="36795" xr:uid="{00000000-0005-0000-0000-0000C08F0000}"/>
    <cellStyle name="Style 25 10 2 6" xfId="36796" xr:uid="{00000000-0005-0000-0000-0000C18F0000}"/>
    <cellStyle name="Style 25 10 2 6 2" xfId="36797" xr:uid="{00000000-0005-0000-0000-0000C28F0000}"/>
    <cellStyle name="Style 25 10 2 6 3" xfId="36798" xr:uid="{00000000-0005-0000-0000-0000C38F0000}"/>
    <cellStyle name="Style 25 10 2 7" xfId="36799" xr:uid="{00000000-0005-0000-0000-0000C48F0000}"/>
    <cellStyle name="Style 25 10 2 7 2" xfId="36800" xr:uid="{00000000-0005-0000-0000-0000C58F0000}"/>
    <cellStyle name="Style 25 10 2 7 3" xfId="36801" xr:uid="{00000000-0005-0000-0000-0000C68F0000}"/>
    <cellStyle name="Style 25 10 2 8" xfId="36802" xr:uid="{00000000-0005-0000-0000-0000C78F0000}"/>
    <cellStyle name="Style 25 10 2 9" xfId="36803" xr:uid="{00000000-0005-0000-0000-0000C88F0000}"/>
    <cellStyle name="Style 25 10 3" xfId="36804" xr:uid="{00000000-0005-0000-0000-0000C98F0000}"/>
    <cellStyle name="Style 25 10 3 2" xfId="36805" xr:uid="{00000000-0005-0000-0000-0000CA8F0000}"/>
    <cellStyle name="Style 25 10 3 2 2" xfId="36806" xr:uid="{00000000-0005-0000-0000-0000CB8F0000}"/>
    <cellStyle name="Style 25 10 3 2 2 2" xfId="36807" xr:uid="{00000000-0005-0000-0000-0000CC8F0000}"/>
    <cellStyle name="Style 25 10 3 2 2 3" xfId="36808" xr:uid="{00000000-0005-0000-0000-0000CD8F0000}"/>
    <cellStyle name="Style 25 10 3 2 3" xfId="36809" xr:uid="{00000000-0005-0000-0000-0000CE8F0000}"/>
    <cellStyle name="Style 25 10 3 2 3 2" xfId="36810" xr:uid="{00000000-0005-0000-0000-0000CF8F0000}"/>
    <cellStyle name="Style 25 10 3 2 3 3" xfId="36811" xr:uid="{00000000-0005-0000-0000-0000D08F0000}"/>
    <cellStyle name="Style 25 10 3 2 4" xfId="36812" xr:uid="{00000000-0005-0000-0000-0000D18F0000}"/>
    <cellStyle name="Style 25 10 3 2 5" xfId="36813" xr:uid="{00000000-0005-0000-0000-0000D28F0000}"/>
    <cellStyle name="Style 25 10 3 2 6" xfId="36814" xr:uid="{00000000-0005-0000-0000-0000D38F0000}"/>
    <cellStyle name="Style 25 10 3 3" xfId="36815" xr:uid="{00000000-0005-0000-0000-0000D48F0000}"/>
    <cellStyle name="Style 25 10 3 3 2" xfId="36816" xr:uid="{00000000-0005-0000-0000-0000D58F0000}"/>
    <cellStyle name="Style 25 10 3 3 3" xfId="36817" xr:uid="{00000000-0005-0000-0000-0000D68F0000}"/>
    <cellStyle name="Style 25 10 3 4" xfId="36818" xr:uid="{00000000-0005-0000-0000-0000D78F0000}"/>
    <cellStyle name="Style 25 10 3 4 2" xfId="36819" xr:uid="{00000000-0005-0000-0000-0000D88F0000}"/>
    <cellStyle name="Style 25 10 3 4 3" xfId="36820" xr:uid="{00000000-0005-0000-0000-0000D98F0000}"/>
    <cellStyle name="Style 25 10 3 5" xfId="36821" xr:uid="{00000000-0005-0000-0000-0000DA8F0000}"/>
    <cellStyle name="Style 25 10 3 5 2" xfId="36822" xr:uid="{00000000-0005-0000-0000-0000DB8F0000}"/>
    <cellStyle name="Style 25 10 3 5 3" xfId="36823" xr:uid="{00000000-0005-0000-0000-0000DC8F0000}"/>
    <cellStyle name="Style 25 10 3 6" xfId="36824" xr:uid="{00000000-0005-0000-0000-0000DD8F0000}"/>
    <cellStyle name="Style 25 10 3 7" xfId="36825" xr:uid="{00000000-0005-0000-0000-0000DE8F0000}"/>
    <cellStyle name="Style 25 10 3 8" xfId="36826" xr:uid="{00000000-0005-0000-0000-0000DF8F0000}"/>
    <cellStyle name="Style 25 10 4" xfId="36827" xr:uid="{00000000-0005-0000-0000-0000E08F0000}"/>
    <cellStyle name="Style 25 10 4 2" xfId="36828" xr:uid="{00000000-0005-0000-0000-0000E18F0000}"/>
    <cellStyle name="Style 25 10 4 2 2" xfId="36829" xr:uid="{00000000-0005-0000-0000-0000E28F0000}"/>
    <cellStyle name="Style 25 10 4 2 2 2" xfId="36830" xr:uid="{00000000-0005-0000-0000-0000E38F0000}"/>
    <cellStyle name="Style 25 10 4 2 2 3" xfId="36831" xr:uid="{00000000-0005-0000-0000-0000E48F0000}"/>
    <cellStyle name="Style 25 10 4 2 3" xfId="36832" xr:uid="{00000000-0005-0000-0000-0000E58F0000}"/>
    <cellStyle name="Style 25 10 4 2 3 2" xfId="36833" xr:uid="{00000000-0005-0000-0000-0000E68F0000}"/>
    <cellStyle name="Style 25 10 4 2 3 3" xfId="36834" xr:uid="{00000000-0005-0000-0000-0000E78F0000}"/>
    <cellStyle name="Style 25 10 4 2 4" xfId="36835" xr:uid="{00000000-0005-0000-0000-0000E88F0000}"/>
    <cellStyle name="Style 25 10 4 2 5" xfId="36836" xr:uid="{00000000-0005-0000-0000-0000E98F0000}"/>
    <cellStyle name="Style 25 10 4 2 6" xfId="36837" xr:uid="{00000000-0005-0000-0000-0000EA8F0000}"/>
    <cellStyle name="Style 25 10 4 3" xfId="36838" xr:uid="{00000000-0005-0000-0000-0000EB8F0000}"/>
    <cellStyle name="Style 25 10 4 3 2" xfId="36839" xr:uid="{00000000-0005-0000-0000-0000EC8F0000}"/>
    <cellStyle name="Style 25 10 4 3 3" xfId="36840" xr:uid="{00000000-0005-0000-0000-0000ED8F0000}"/>
    <cellStyle name="Style 25 10 4 4" xfId="36841" xr:uid="{00000000-0005-0000-0000-0000EE8F0000}"/>
    <cellStyle name="Style 25 10 4 4 2" xfId="36842" xr:uid="{00000000-0005-0000-0000-0000EF8F0000}"/>
    <cellStyle name="Style 25 10 4 4 3" xfId="36843" xr:uid="{00000000-0005-0000-0000-0000F08F0000}"/>
    <cellStyle name="Style 25 10 4 5" xfId="36844" xr:uid="{00000000-0005-0000-0000-0000F18F0000}"/>
    <cellStyle name="Style 25 10 4 5 2" xfId="36845" xr:uid="{00000000-0005-0000-0000-0000F28F0000}"/>
    <cellStyle name="Style 25 10 4 5 3" xfId="36846" xr:uid="{00000000-0005-0000-0000-0000F38F0000}"/>
    <cellStyle name="Style 25 10 4 6" xfId="36847" xr:uid="{00000000-0005-0000-0000-0000F48F0000}"/>
    <cellStyle name="Style 25 10 4 7" xfId="36848" xr:uid="{00000000-0005-0000-0000-0000F58F0000}"/>
    <cellStyle name="Style 25 10 4 8" xfId="36849" xr:uid="{00000000-0005-0000-0000-0000F68F0000}"/>
    <cellStyle name="Style 25 10 5" xfId="36850" xr:uid="{00000000-0005-0000-0000-0000F78F0000}"/>
    <cellStyle name="Style 25 10 5 2" xfId="36851" xr:uid="{00000000-0005-0000-0000-0000F88F0000}"/>
    <cellStyle name="Style 25 10 5 2 2" xfId="36852" xr:uid="{00000000-0005-0000-0000-0000F98F0000}"/>
    <cellStyle name="Style 25 10 5 2 2 2" xfId="36853" xr:uid="{00000000-0005-0000-0000-0000FA8F0000}"/>
    <cellStyle name="Style 25 10 5 2 2 3" xfId="36854" xr:uid="{00000000-0005-0000-0000-0000FB8F0000}"/>
    <cellStyle name="Style 25 10 5 2 3" xfId="36855" xr:uid="{00000000-0005-0000-0000-0000FC8F0000}"/>
    <cellStyle name="Style 25 10 5 2 3 2" xfId="36856" xr:uid="{00000000-0005-0000-0000-0000FD8F0000}"/>
    <cellStyle name="Style 25 10 5 2 3 3" xfId="36857" xr:uid="{00000000-0005-0000-0000-0000FE8F0000}"/>
    <cellStyle name="Style 25 10 5 2 4" xfId="36858" xr:uid="{00000000-0005-0000-0000-0000FF8F0000}"/>
    <cellStyle name="Style 25 10 5 2 5" xfId="36859" xr:uid="{00000000-0005-0000-0000-000000900000}"/>
    <cellStyle name="Style 25 10 5 2 6" xfId="36860" xr:uid="{00000000-0005-0000-0000-000001900000}"/>
    <cellStyle name="Style 25 10 5 3" xfId="36861" xr:uid="{00000000-0005-0000-0000-000002900000}"/>
    <cellStyle name="Style 25 10 5 3 2" xfId="36862" xr:uid="{00000000-0005-0000-0000-000003900000}"/>
    <cellStyle name="Style 25 10 5 3 3" xfId="36863" xr:uid="{00000000-0005-0000-0000-000004900000}"/>
    <cellStyle name="Style 25 10 5 4" xfId="36864" xr:uid="{00000000-0005-0000-0000-000005900000}"/>
    <cellStyle name="Style 25 10 5 4 2" xfId="36865" xr:uid="{00000000-0005-0000-0000-000006900000}"/>
    <cellStyle name="Style 25 10 5 4 3" xfId="36866" xr:uid="{00000000-0005-0000-0000-000007900000}"/>
    <cellStyle name="Style 25 10 5 5" xfId="36867" xr:uid="{00000000-0005-0000-0000-000008900000}"/>
    <cellStyle name="Style 25 10 5 5 2" xfId="36868" xr:uid="{00000000-0005-0000-0000-000009900000}"/>
    <cellStyle name="Style 25 10 5 5 3" xfId="36869" xr:uid="{00000000-0005-0000-0000-00000A900000}"/>
    <cellStyle name="Style 25 10 5 6" xfId="36870" xr:uid="{00000000-0005-0000-0000-00000B900000}"/>
    <cellStyle name="Style 25 10 5 7" xfId="36871" xr:uid="{00000000-0005-0000-0000-00000C900000}"/>
    <cellStyle name="Style 25 10 5 8" xfId="36872" xr:uid="{00000000-0005-0000-0000-00000D900000}"/>
    <cellStyle name="Style 25 10 6" xfId="36873" xr:uid="{00000000-0005-0000-0000-00000E900000}"/>
    <cellStyle name="Style 25 10 6 2" xfId="36874" xr:uid="{00000000-0005-0000-0000-00000F900000}"/>
    <cellStyle name="Style 25 10 6 2 2" xfId="36875" xr:uid="{00000000-0005-0000-0000-000010900000}"/>
    <cellStyle name="Style 25 10 6 2 3" xfId="36876" xr:uid="{00000000-0005-0000-0000-000011900000}"/>
    <cellStyle name="Style 25 10 6 3" xfId="36877" xr:uid="{00000000-0005-0000-0000-000012900000}"/>
    <cellStyle name="Style 25 10 6 3 2" xfId="36878" xr:uid="{00000000-0005-0000-0000-000013900000}"/>
    <cellStyle name="Style 25 10 6 3 3" xfId="36879" xr:uid="{00000000-0005-0000-0000-000014900000}"/>
    <cellStyle name="Style 25 10 6 4" xfId="36880" xr:uid="{00000000-0005-0000-0000-000015900000}"/>
    <cellStyle name="Style 25 10 6 5" xfId="36881" xr:uid="{00000000-0005-0000-0000-000016900000}"/>
    <cellStyle name="Style 25 10 6 6" xfId="36882" xr:uid="{00000000-0005-0000-0000-000017900000}"/>
    <cellStyle name="Style 25 10 7" xfId="36883" xr:uid="{00000000-0005-0000-0000-000018900000}"/>
    <cellStyle name="Style 25 10 7 2" xfId="36884" xr:uid="{00000000-0005-0000-0000-000019900000}"/>
    <cellStyle name="Style 25 10 7 3" xfId="36885" xr:uid="{00000000-0005-0000-0000-00001A900000}"/>
    <cellStyle name="Style 25 10 8" xfId="36886" xr:uid="{00000000-0005-0000-0000-00001B900000}"/>
    <cellStyle name="Style 25 10 8 2" xfId="36887" xr:uid="{00000000-0005-0000-0000-00001C900000}"/>
    <cellStyle name="Style 25 10 8 3" xfId="36888" xr:uid="{00000000-0005-0000-0000-00001D900000}"/>
    <cellStyle name="Style 25 10 9" xfId="36889" xr:uid="{00000000-0005-0000-0000-00001E900000}"/>
    <cellStyle name="Style 25 10 9 2" xfId="36890" xr:uid="{00000000-0005-0000-0000-00001F900000}"/>
    <cellStyle name="Style 25 10 9 3" xfId="36891" xr:uid="{00000000-0005-0000-0000-000020900000}"/>
    <cellStyle name="Style 25 11" xfId="36892" xr:uid="{00000000-0005-0000-0000-000021900000}"/>
    <cellStyle name="Style 25 11 10" xfId="36893" xr:uid="{00000000-0005-0000-0000-000022900000}"/>
    <cellStyle name="Style 25 11 11" xfId="36894" xr:uid="{00000000-0005-0000-0000-000023900000}"/>
    <cellStyle name="Style 25 11 12" xfId="36895" xr:uid="{00000000-0005-0000-0000-000024900000}"/>
    <cellStyle name="Style 25 11 2" xfId="36896" xr:uid="{00000000-0005-0000-0000-000025900000}"/>
    <cellStyle name="Style 25 11 2 10" xfId="36897" xr:uid="{00000000-0005-0000-0000-000026900000}"/>
    <cellStyle name="Style 25 11 2 2" xfId="36898" xr:uid="{00000000-0005-0000-0000-000027900000}"/>
    <cellStyle name="Style 25 11 2 2 2" xfId="36899" xr:uid="{00000000-0005-0000-0000-000028900000}"/>
    <cellStyle name="Style 25 11 2 2 2 2" xfId="36900" xr:uid="{00000000-0005-0000-0000-000029900000}"/>
    <cellStyle name="Style 25 11 2 2 2 2 2" xfId="36901" xr:uid="{00000000-0005-0000-0000-00002A900000}"/>
    <cellStyle name="Style 25 11 2 2 2 2 3" xfId="36902" xr:uid="{00000000-0005-0000-0000-00002B900000}"/>
    <cellStyle name="Style 25 11 2 2 2 3" xfId="36903" xr:uid="{00000000-0005-0000-0000-00002C900000}"/>
    <cellStyle name="Style 25 11 2 2 2 3 2" xfId="36904" xr:uid="{00000000-0005-0000-0000-00002D900000}"/>
    <cellStyle name="Style 25 11 2 2 2 3 3" xfId="36905" xr:uid="{00000000-0005-0000-0000-00002E900000}"/>
    <cellStyle name="Style 25 11 2 2 2 4" xfId="36906" xr:uid="{00000000-0005-0000-0000-00002F900000}"/>
    <cellStyle name="Style 25 11 2 2 2 5" xfId="36907" xr:uid="{00000000-0005-0000-0000-000030900000}"/>
    <cellStyle name="Style 25 11 2 2 2 6" xfId="36908" xr:uid="{00000000-0005-0000-0000-000031900000}"/>
    <cellStyle name="Style 25 11 2 2 3" xfId="36909" xr:uid="{00000000-0005-0000-0000-000032900000}"/>
    <cellStyle name="Style 25 11 2 2 3 2" xfId="36910" xr:uid="{00000000-0005-0000-0000-000033900000}"/>
    <cellStyle name="Style 25 11 2 2 3 3" xfId="36911" xr:uid="{00000000-0005-0000-0000-000034900000}"/>
    <cellStyle name="Style 25 11 2 2 4" xfId="36912" xr:uid="{00000000-0005-0000-0000-000035900000}"/>
    <cellStyle name="Style 25 11 2 2 4 2" xfId="36913" xr:uid="{00000000-0005-0000-0000-000036900000}"/>
    <cellStyle name="Style 25 11 2 2 4 3" xfId="36914" xr:uid="{00000000-0005-0000-0000-000037900000}"/>
    <cellStyle name="Style 25 11 2 2 5" xfId="36915" xr:uid="{00000000-0005-0000-0000-000038900000}"/>
    <cellStyle name="Style 25 11 2 2 5 2" xfId="36916" xr:uid="{00000000-0005-0000-0000-000039900000}"/>
    <cellStyle name="Style 25 11 2 2 5 3" xfId="36917" xr:uid="{00000000-0005-0000-0000-00003A900000}"/>
    <cellStyle name="Style 25 11 2 2 6" xfId="36918" xr:uid="{00000000-0005-0000-0000-00003B900000}"/>
    <cellStyle name="Style 25 11 2 2 7" xfId="36919" xr:uid="{00000000-0005-0000-0000-00003C900000}"/>
    <cellStyle name="Style 25 11 2 2 8" xfId="36920" xr:uid="{00000000-0005-0000-0000-00003D900000}"/>
    <cellStyle name="Style 25 11 2 3" xfId="36921" xr:uid="{00000000-0005-0000-0000-00003E900000}"/>
    <cellStyle name="Style 25 11 2 3 2" xfId="36922" xr:uid="{00000000-0005-0000-0000-00003F900000}"/>
    <cellStyle name="Style 25 11 2 3 2 2" xfId="36923" xr:uid="{00000000-0005-0000-0000-000040900000}"/>
    <cellStyle name="Style 25 11 2 3 2 2 2" xfId="36924" xr:uid="{00000000-0005-0000-0000-000041900000}"/>
    <cellStyle name="Style 25 11 2 3 2 2 3" xfId="36925" xr:uid="{00000000-0005-0000-0000-000042900000}"/>
    <cellStyle name="Style 25 11 2 3 2 3" xfId="36926" xr:uid="{00000000-0005-0000-0000-000043900000}"/>
    <cellStyle name="Style 25 11 2 3 2 3 2" xfId="36927" xr:uid="{00000000-0005-0000-0000-000044900000}"/>
    <cellStyle name="Style 25 11 2 3 2 3 3" xfId="36928" xr:uid="{00000000-0005-0000-0000-000045900000}"/>
    <cellStyle name="Style 25 11 2 3 2 4" xfId="36929" xr:uid="{00000000-0005-0000-0000-000046900000}"/>
    <cellStyle name="Style 25 11 2 3 2 5" xfId="36930" xr:uid="{00000000-0005-0000-0000-000047900000}"/>
    <cellStyle name="Style 25 11 2 3 2 6" xfId="36931" xr:uid="{00000000-0005-0000-0000-000048900000}"/>
    <cellStyle name="Style 25 11 2 3 3" xfId="36932" xr:uid="{00000000-0005-0000-0000-000049900000}"/>
    <cellStyle name="Style 25 11 2 3 3 2" xfId="36933" xr:uid="{00000000-0005-0000-0000-00004A900000}"/>
    <cellStyle name="Style 25 11 2 3 3 3" xfId="36934" xr:uid="{00000000-0005-0000-0000-00004B900000}"/>
    <cellStyle name="Style 25 11 2 3 4" xfId="36935" xr:uid="{00000000-0005-0000-0000-00004C900000}"/>
    <cellStyle name="Style 25 11 2 3 4 2" xfId="36936" xr:uid="{00000000-0005-0000-0000-00004D900000}"/>
    <cellStyle name="Style 25 11 2 3 4 3" xfId="36937" xr:uid="{00000000-0005-0000-0000-00004E900000}"/>
    <cellStyle name="Style 25 11 2 3 5" xfId="36938" xr:uid="{00000000-0005-0000-0000-00004F900000}"/>
    <cellStyle name="Style 25 11 2 3 5 2" xfId="36939" xr:uid="{00000000-0005-0000-0000-000050900000}"/>
    <cellStyle name="Style 25 11 2 3 5 3" xfId="36940" xr:uid="{00000000-0005-0000-0000-000051900000}"/>
    <cellStyle name="Style 25 11 2 3 6" xfId="36941" xr:uid="{00000000-0005-0000-0000-000052900000}"/>
    <cellStyle name="Style 25 11 2 3 7" xfId="36942" xr:uid="{00000000-0005-0000-0000-000053900000}"/>
    <cellStyle name="Style 25 11 2 3 8" xfId="36943" xr:uid="{00000000-0005-0000-0000-000054900000}"/>
    <cellStyle name="Style 25 11 2 4" xfId="36944" xr:uid="{00000000-0005-0000-0000-000055900000}"/>
    <cellStyle name="Style 25 11 2 4 2" xfId="36945" xr:uid="{00000000-0005-0000-0000-000056900000}"/>
    <cellStyle name="Style 25 11 2 4 2 2" xfId="36946" xr:uid="{00000000-0005-0000-0000-000057900000}"/>
    <cellStyle name="Style 25 11 2 4 2 3" xfId="36947" xr:uid="{00000000-0005-0000-0000-000058900000}"/>
    <cellStyle name="Style 25 11 2 4 3" xfId="36948" xr:uid="{00000000-0005-0000-0000-000059900000}"/>
    <cellStyle name="Style 25 11 2 4 3 2" xfId="36949" xr:uid="{00000000-0005-0000-0000-00005A900000}"/>
    <cellStyle name="Style 25 11 2 4 3 3" xfId="36950" xr:uid="{00000000-0005-0000-0000-00005B900000}"/>
    <cellStyle name="Style 25 11 2 4 4" xfId="36951" xr:uid="{00000000-0005-0000-0000-00005C900000}"/>
    <cellStyle name="Style 25 11 2 4 5" xfId="36952" xr:uid="{00000000-0005-0000-0000-00005D900000}"/>
    <cellStyle name="Style 25 11 2 4 6" xfId="36953" xr:uid="{00000000-0005-0000-0000-00005E900000}"/>
    <cellStyle name="Style 25 11 2 5" xfId="36954" xr:uid="{00000000-0005-0000-0000-00005F900000}"/>
    <cellStyle name="Style 25 11 2 5 2" xfId="36955" xr:uid="{00000000-0005-0000-0000-000060900000}"/>
    <cellStyle name="Style 25 11 2 5 3" xfId="36956" xr:uid="{00000000-0005-0000-0000-000061900000}"/>
    <cellStyle name="Style 25 11 2 6" xfId="36957" xr:uid="{00000000-0005-0000-0000-000062900000}"/>
    <cellStyle name="Style 25 11 2 6 2" xfId="36958" xr:uid="{00000000-0005-0000-0000-000063900000}"/>
    <cellStyle name="Style 25 11 2 6 3" xfId="36959" xr:uid="{00000000-0005-0000-0000-000064900000}"/>
    <cellStyle name="Style 25 11 2 7" xfId="36960" xr:uid="{00000000-0005-0000-0000-000065900000}"/>
    <cellStyle name="Style 25 11 2 7 2" xfId="36961" xr:uid="{00000000-0005-0000-0000-000066900000}"/>
    <cellStyle name="Style 25 11 2 7 3" xfId="36962" xr:uid="{00000000-0005-0000-0000-000067900000}"/>
    <cellStyle name="Style 25 11 2 8" xfId="36963" xr:uid="{00000000-0005-0000-0000-000068900000}"/>
    <cellStyle name="Style 25 11 2 9" xfId="36964" xr:uid="{00000000-0005-0000-0000-000069900000}"/>
    <cellStyle name="Style 25 11 3" xfId="36965" xr:uid="{00000000-0005-0000-0000-00006A900000}"/>
    <cellStyle name="Style 25 11 3 2" xfId="36966" xr:uid="{00000000-0005-0000-0000-00006B900000}"/>
    <cellStyle name="Style 25 11 3 2 2" xfId="36967" xr:uid="{00000000-0005-0000-0000-00006C900000}"/>
    <cellStyle name="Style 25 11 3 2 2 2" xfId="36968" xr:uid="{00000000-0005-0000-0000-00006D900000}"/>
    <cellStyle name="Style 25 11 3 2 2 3" xfId="36969" xr:uid="{00000000-0005-0000-0000-00006E900000}"/>
    <cellStyle name="Style 25 11 3 2 3" xfId="36970" xr:uid="{00000000-0005-0000-0000-00006F900000}"/>
    <cellStyle name="Style 25 11 3 2 3 2" xfId="36971" xr:uid="{00000000-0005-0000-0000-000070900000}"/>
    <cellStyle name="Style 25 11 3 2 3 3" xfId="36972" xr:uid="{00000000-0005-0000-0000-000071900000}"/>
    <cellStyle name="Style 25 11 3 2 4" xfId="36973" xr:uid="{00000000-0005-0000-0000-000072900000}"/>
    <cellStyle name="Style 25 11 3 2 5" xfId="36974" xr:uid="{00000000-0005-0000-0000-000073900000}"/>
    <cellStyle name="Style 25 11 3 2 6" xfId="36975" xr:uid="{00000000-0005-0000-0000-000074900000}"/>
    <cellStyle name="Style 25 11 3 3" xfId="36976" xr:uid="{00000000-0005-0000-0000-000075900000}"/>
    <cellStyle name="Style 25 11 3 3 2" xfId="36977" xr:uid="{00000000-0005-0000-0000-000076900000}"/>
    <cellStyle name="Style 25 11 3 3 3" xfId="36978" xr:uid="{00000000-0005-0000-0000-000077900000}"/>
    <cellStyle name="Style 25 11 3 4" xfId="36979" xr:uid="{00000000-0005-0000-0000-000078900000}"/>
    <cellStyle name="Style 25 11 3 4 2" xfId="36980" xr:uid="{00000000-0005-0000-0000-000079900000}"/>
    <cellStyle name="Style 25 11 3 4 3" xfId="36981" xr:uid="{00000000-0005-0000-0000-00007A900000}"/>
    <cellStyle name="Style 25 11 3 5" xfId="36982" xr:uid="{00000000-0005-0000-0000-00007B900000}"/>
    <cellStyle name="Style 25 11 3 5 2" xfId="36983" xr:uid="{00000000-0005-0000-0000-00007C900000}"/>
    <cellStyle name="Style 25 11 3 5 3" xfId="36984" xr:uid="{00000000-0005-0000-0000-00007D900000}"/>
    <cellStyle name="Style 25 11 3 6" xfId="36985" xr:uid="{00000000-0005-0000-0000-00007E900000}"/>
    <cellStyle name="Style 25 11 3 7" xfId="36986" xr:uid="{00000000-0005-0000-0000-00007F900000}"/>
    <cellStyle name="Style 25 11 3 8" xfId="36987" xr:uid="{00000000-0005-0000-0000-000080900000}"/>
    <cellStyle name="Style 25 11 4" xfId="36988" xr:uid="{00000000-0005-0000-0000-000081900000}"/>
    <cellStyle name="Style 25 11 4 2" xfId="36989" xr:uid="{00000000-0005-0000-0000-000082900000}"/>
    <cellStyle name="Style 25 11 4 2 2" xfId="36990" xr:uid="{00000000-0005-0000-0000-000083900000}"/>
    <cellStyle name="Style 25 11 4 2 2 2" xfId="36991" xr:uid="{00000000-0005-0000-0000-000084900000}"/>
    <cellStyle name="Style 25 11 4 2 2 3" xfId="36992" xr:uid="{00000000-0005-0000-0000-000085900000}"/>
    <cellStyle name="Style 25 11 4 2 3" xfId="36993" xr:uid="{00000000-0005-0000-0000-000086900000}"/>
    <cellStyle name="Style 25 11 4 2 3 2" xfId="36994" xr:uid="{00000000-0005-0000-0000-000087900000}"/>
    <cellStyle name="Style 25 11 4 2 3 3" xfId="36995" xr:uid="{00000000-0005-0000-0000-000088900000}"/>
    <cellStyle name="Style 25 11 4 2 4" xfId="36996" xr:uid="{00000000-0005-0000-0000-000089900000}"/>
    <cellStyle name="Style 25 11 4 2 5" xfId="36997" xr:uid="{00000000-0005-0000-0000-00008A900000}"/>
    <cellStyle name="Style 25 11 4 2 6" xfId="36998" xr:uid="{00000000-0005-0000-0000-00008B900000}"/>
    <cellStyle name="Style 25 11 4 3" xfId="36999" xr:uid="{00000000-0005-0000-0000-00008C900000}"/>
    <cellStyle name="Style 25 11 4 3 2" xfId="37000" xr:uid="{00000000-0005-0000-0000-00008D900000}"/>
    <cellStyle name="Style 25 11 4 3 3" xfId="37001" xr:uid="{00000000-0005-0000-0000-00008E900000}"/>
    <cellStyle name="Style 25 11 4 4" xfId="37002" xr:uid="{00000000-0005-0000-0000-00008F900000}"/>
    <cellStyle name="Style 25 11 4 4 2" xfId="37003" xr:uid="{00000000-0005-0000-0000-000090900000}"/>
    <cellStyle name="Style 25 11 4 4 3" xfId="37004" xr:uid="{00000000-0005-0000-0000-000091900000}"/>
    <cellStyle name="Style 25 11 4 5" xfId="37005" xr:uid="{00000000-0005-0000-0000-000092900000}"/>
    <cellStyle name="Style 25 11 4 5 2" xfId="37006" xr:uid="{00000000-0005-0000-0000-000093900000}"/>
    <cellStyle name="Style 25 11 4 5 3" xfId="37007" xr:uid="{00000000-0005-0000-0000-000094900000}"/>
    <cellStyle name="Style 25 11 4 6" xfId="37008" xr:uid="{00000000-0005-0000-0000-000095900000}"/>
    <cellStyle name="Style 25 11 4 7" xfId="37009" xr:uid="{00000000-0005-0000-0000-000096900000}"/>
    <cellStyle name="Style 25 11 4 8" xfId="37010" xr:uid="{00000000-0005-0000-0000-000097900000}"/>
    <cellStyle name="Style 25 11 5" xfId="37011" xr:uid="{00000000-0005-0000-0000-000098900000}"/>
    <cellStyle name="Style 25 11 5 2" xfId="37012" xr:uid="{00000000-0005-0000-0000-000099900000}"/>
    <cellStyle name="Style 25 11 5 2 2" xfId="37013" xr:uid="{00000000-0005-0000-0000-00009A900000}"/>
    <cellStyle name="Style 25 11 5 2 2 2" xfId="37014" xr:uid="{00000000-0005-0000-0000-00009B900000}"/>
    <cellStyle name="Style 25 11 5 2 2 3" xfId="37015" xr:uid="{00000000-0005-0000-0000-00009C900000}"/>
    <cellStyle name="Style 25 11 5 2 3" xfId="37016" xr:uid="{00000000-0005-0000-0000-00009D900000}"/>
    <cellStyle name="Style 25 11 5 2 3 2" xfId="37017" xr:uid="{00000000-0005-0000-0000-00009E900000}"/>
    <cellStyle name="Style 25 11 5 2 3 3" xfId="37018" xr:uid="{00000000-0005-0000-0000-00009F900000}"/>
    <cellStyle name="Style 25 11 5 2 4" xfId="37019" xr:uid="{00000000-0005-0000-0000-0000A0900000}"/>
    <cellStyle name="Style 25 11 5 2 5" xfId="37020" xr:uid="{00000000-0005-0000-0000-0000A1900000}"/>
    <cellStyle name="Style 25 11 5 2 6" xfId="37021" xr:uid="{00000000-0005-0000-0000-0000A2900000}"/>
    <cellStyle name="Style 25 11 5 3" xfId="37022" xr:uid="{00000000-0005-0000-0000-0000A3900000}"/>
    <cellStyle name="Style 25 11 5 3 2" xfId="37023" xr:uid="{00000000-0005-0000-0000-0000A4900000}"/>
    <cellStyle name="Style 25 11 5 3 3" xfId="37024" xr:uid="{00000000-0005-0000-0000-0000A5900000}"/>
    <cellStyle name="Style 25 11 5 4" xfId="37025" xr:uid="{00000000-0005-0000-0000-0000A6900000}"/>
    <cellStyle name="Style 25 11 5 4 2" xfId="37026" xr:uid="{00000000-0005-0000-0000-0000A7900000}"/>
    <cellStyle name="Style 25 11 5 4 3" xfId="37027" xr:uid="{00000000-0005-0000-0000-0000A8900000}"/>
    <cellStyle name="Style 25 11 5 5" xfId="37028" xr:uid="{00000000-0005-0000-0000-0000A9900000}"/>
    <cellStyle name="Style 25 11 5 5 2" xfId="37029" xr:uid="{00000000-0005-0000-0000-0000AA900000}"/>
    <cellStyle name="Style 25 11 5 5 3" xfId="37030" xr:uid="{00000000-0005-0000-0000-0000AB900000}"/>
    <cellStyle name="Style 25 11 5 6" xfId="37031" xr:uid="{00000000-0005-0000-0000-0000AC900000}"/>
    <cellStyle name="Style 25 11 5 7" xfId="37032" xr:uid="{00000000-0005-0000-0000-0000AD900000}"/>
    <cellStyle name="Style 25 11 5 8" xfId="37033" xr:uid="{00000000-0005-0000-0000-0000AE900000}"/>
    <cellStyle name="Style 25 11 6" xfId="37034" xr:uid="{00000000-0005-0000-0000-0000AF900000}"/>
    <cellStyle name="Style 25 11 6 2" xfId="37035" xr:uid="{00000000-0005-0000-0000-0000B0900000}"/>
    <cellStyle name="Style 25 11 6 2 2" xfId="37036" xr:uid="{00000000-0005-0000-0000-0000B1900000}"/>
    <cellStyle name="Style 25 11 6 2 3" xfId="37037" xr:uid="{00000000-0005-0000-0000-0000B2900000}"/>
    <cellStyle name="Style 25 11 6 3" xfId="37038" xr:uid="{00000000-0005-0000-0000-0000B3900000}"/>
    <cellStyle name="Style 25 11 6 3 2" xfId="37039" xr:uid="{00000000-0005-0000-0000-0000B4900000}"/>
    <cellStyle name="Style 25 11 6 3 3" xfId="37040" xr:uid="{00000000-0005-0000-0000-0000B5900000}"/>
    <cellStyle name="Style 25 11 6 4" xfId="37041" xr:uid="{00000000-0005-0000-0000-0000B6900000}"/>
    <cellStyle name="Style 25 11 6 5" xfId="37042" xr:uid="{00000000-0005-0000-0000-0000B7900000}"/>
    <cellStyle name="Style 25 11 6 6" xfId="37043" xr:uid="{00000000-0005-0000-0000-0000B8900000}"/>
    <cellStyle name="Style 25 11 7" xfId="37044" xr:uid="{00000000-0005-0000-0000-0000B9900000}"/>
    <cellStyle name="Style 25 11 7 2" xfId="37045" xr:uid="{00000000-0005-0000-0000-0000BA900000}"/>
    <cellStyle name="Style 25 11 7 3" xfId="37046" xr:uid="{00000000-0005-0000-0000-0000BB900000}"/>
    <cellStyle name="Style 25 11 8" xfId="37047" xr:uid="{00000000-0005-0000-0000-0000BC900000}"/>
    <cellStyle name="Style 25 11 8 2" xfId="37048" xr:uid="{00000000-0005-0000-0000-0000BD900000}"/>
    <cellStyle name="Style 25 11 8 3" xfId="37049" xr:uid="{00000000-0005-0000-0000-0000BE900000}"/>
    <cellStyle name="Style 25 11 9" xfId="37050" xr:uid="{00000000-0005-0000-0000-0000BF900000}"/>
    <cellStyle name="Style 25 11 9 2" xfId="37051" xr:uid="{00000000-0005-0000-0000-0000C0900000}"/>
    <cellStyle name="Style 25 11 9 3" xfId="37052" xr:uid="{00000000-0005-0000-0000-0000C1900000}"/>
    <cellStyle name="Style 25 12" xfId="37053" xr:uid="{00000000-0005-0000-0000-0000C2900000}"/>
    <cellStyle name="Style 25 12 10" xfId="37054" xr:uid="{00000000-0005-0000-0000-0000C3900000}"/>
    <cellStyle name="Style 25 12 2" xfId="37055" xr:uid="{00000000-0005-0000-0000-0000C4900000}"/>
    <cellStyle name="Style 25 12 2 2" xfId="37056" xr:uid="{00000000-0005-0000-0000-0000C5900000}"/>
    <cellStyle name="Style 25 12 2 2 2" xfId="37057" xr:uid="{00000000-0005-0000-0000-0000C6900000}"/>
    <cellStyle name="Style 25 12 2 2 2 2" xfId="37058" xr:uid="{00000000-0005-0000-0000-0000C7900000}"/>
    <cellStyle name="Style 25 12 2 2 2 3" xfId="37059" xr:uid="{00000000-0005-0000-0000-0000C8900000}"/>
    <cellStyle name="Style 25 12 2 2 3" xfId="37060" xr:uid="{00000000-0005-0000-0000-0000C9900000}"/>
    <cellStyle name="Style 25 12 2 2 3 2" xfId="37061" xr:uid="{00000000-0005-0000-0000-0000CA900000}"/>
    <cellStyle name="Style 25 12 2 2 3 3" xfId="37062" xr:uid="{00000000-0005-0000-0000-0000CB900000}"/>
    <cellStyle name="Style 25 12 2 2 4" xfId="37063" xr:uid="{00000000-0005-0000-0000-0000CC900000}"/>
    <cellStyle name="Style 25 12 2 2 5" xfId="37064" xr:uid="{00000000-0005-0000-0000-0000CD900000}"/>
    <cellStyle name="Style 25 12 2 2 6" xfId="37065" xr:uid="{00000000-0005-0000-0000-0000CE900000}"/>
    <cellStyle name="Style 25 12 2 3" xfId="37066" xr:uid="{00000000-0005-0000-0000-0000CF900000}"/>
    <cellStyle name="Style 25 12 2 3 2" xfId="37067" xr:uid="{00000000-0005-0000-0000-0000D0900000}"/>
    <cellStyle name="Style 25 12 2 3 3" xfId="37068" xr:uid="{00000000-0005-0000-0000-0000D1900000}"/>
    <cellStyle name="Style 25 12 2 4" xfId="37069" xr:uid="{00000000-0005-0000-0000-0000D2900000}"/>
    <cellStyle name="Style 25 12 2 4 2" xfId="37070" xr:uid="{00000000-0005-0000-0000-0000D3900000}"/>
    <cellStyle name="Style 25 12 2 4 3" xfId="37071" xr:uid="{00000000-0005-0000-0000-0000D4900000}"/>
    <cellStyle name="Style 25 12 2 5" xfId="37072" xr:uid="{00000000-0005-0000-0000-0000D5900000}"/>
    <cellStyle name="Style 25 12 2 5 2" xfId="37073" xr:uid="{00000000-0005-0000-0000-0000D6900000}"/>
    <cellStyle name="Style 25 12 2 5 3" xfId="37074" xr:uid="{00000000-0005-0000-0000-0000D7900000}"/>
    <cellStyle name="Style 25 12 2 6" xfId="37075" xr:uid="{00000000-0005-0000-0000-0000D8900000}"/>
    <cellStyle name="Style 25 12 2 7" xfId="37076" xr:uid="{00000000-0005-0000-0000-0000D9900000}"/>
    <cellStyle name="Style 25 12 2 8" xfId="37077" xr:uid="{00000000-0005-0000-0000-0000DA900000}"/>
    <cellStyle name="Style 25 12 3" xfId="37078" xr:uid="{00000000-0005-0000-0000-0000DB900000}"/>
    <cellStyle name="Style 25 12 3 2" xfId="37079" xr:uid="{00000000-0005-0000-0000-0000DC900000}"/>
    <cellStyle name="Style 25 12 3 2 2" xfId="37080" xr:uid="{00000000-0005-0000-0000-0000DD900000}"/>
    <cellStyle name="Style 25 12 3 2 2 2" xfId="37081" xr:uid="{00000000-0005-0000-0000-0000DE900000}"/>
    <cellStyle name="Style 25 12 3 2 2 3" xfId="37082" xr:uid="{00000000-0005-0000-0000-0000DF900000}"/>
    <cellStyle name="Style 25 12 3 2 3" xfId="37083" xr:uid="{00000000-0005-0000-0000-0000E0900000}"/>
    <cellStyle name="Style 25 12 3 2 3 2" xfId="37084" xr:uid="{00000000-0005-0000-0000-0000E1900000}"/>
    <cellStyle name="Style 25 12 3 2 3 3" xfId="37085" xr:uid="{00000000-0005-0000-0000-0000E2900000}"/>
    <cellStyle name="Style 25 12 3 2 4" xfId="37086" xr:uid="{00000000-0005-0000-0000-0000E3900000}"/>
    <cellStyle name="Style 25 12 3 2 5" xfId="37087" xr:uid="{00000000-0005-0000-0000-0000E4900000}"/>
    <cellStyle name="Style 25 12 3 2 6" xfId="37088" xr:uid="{00000000-0005-0000-0000-0000E5900000}"/>
    <cellStyle name="Style 25 12 3 3" xfId="37089" xr:uid="{00000000-0005-0000-0000-0000E6900000}"/>
    <cellStyle name="Style 25 12 3 3 2" xfId="37090" xr:uid="{00000000-0005-0000-0000-0000E7900000}"/>
    <cellStyle name="Style 25 12 3 3 3" xfId="37091" xr:uid="{00000000-0005-0000-0000-0000E8900000}"/>
    <cellStyle name="Style 25 12 3 4" xfId="37092" xr:uid="{00000000-0005-0000-0000-0000E9900000}"/>
    <cellStyle name="Style 25 12 3 4 2" xfId="37093" xr:uid="{00000000-0005-0000-0000-0000EA900000}"/>
    <cellStyle name="Style 25 12 3 4 3" xfId="37094" xr:uid="{00000000-0005-0000-0000-0000EB900000}"/>
    <cellStyle name="Style 25 12 3 5" xfId="37095" xr:uid="{00000000-0005-0000-0000-0000EC900000}"/>
    <cellStyle name="Style 25 12 3 5 2" xfId="37096" xr:uid="{00000000-0005-0000-0000-0000ED900000}"/>
    <cellStyle name="Style 25 12 3 5 3" xfId="37097" xr:uid="{00000000-0005-0000-0000-0000EE900000}"/>
    <cellStyle name="Style 25 12 3 6" xfId="37098" xr:uid="{00000000-0005-0000-0000-0000EF900000}"/>
    <cellStyle name="Style 25 12 3 7" xfId="37099" xr:uid="{00000000-0005-0000-0000-0000F0900000}"/>
    <cellStyle name="Style 25 12 3 8" xfId="37100" xr:uid="{00000000-0005-0000-0000-0000F1900000}"/>
    <cellStyle name="Style 25 12 4" xfId="37101" xr:uid="{00000000-0005-0000-0000-0000F2900000}"/>
    <cellStyle name="Style 25 12 4 2" xfId="37102" xr:uid="{00000000-0005-0000-0000-0000F3900000}"/>
    <cellStyle name="Style 25 12 4 2 2" xfId="37103" xr:uid="{00000000-0005-0000-0000-0000F4900000}"/>
    <cellStyle name="Style 25 12 4 2 3" xfId="37104" xr:uid="{00000000-0005-0000-0000-0000F5900000}"/>
    <cellStyle name="Style 25 12 4 3" xfId="37105" xr:uid="{00000000-0005-0000-0000-0000F6900000}"/>
    <cellStyle name="Style 25 12 4 3 2" xfId="37106" xr:uid="{00000000-0005-0000-0000-0000F7900000}"/>
    <cellStyle name="Style 25 12 4 3 3" xfId="37107" xr:uid="{00000000-0005-0000-0000-0000F8900000}"/>
    <cellStyle name="Style 25 12 4 4" xfId="37108" xr:uid="{00000000-0005-0000-0000-0000F9900000}"/>
    <cellStyle name="Style 25 12 4 5" xfId="37109" xr:uid="{00000000-0005-0000-0000-0000FA900000}"/>
    <cellStyle name="Style 25 12 4 6" xfId="37110" xr:uid="{00000000-0005-0000-0000-0000FB900000}"/>
    <cellStyle name="Style 25 12 5" xfId="37111" xr:uid="{00000000-0005-0000-0000-0000FC900000}"/>
    <cellStyle name="Style 25 12 5 2" xfId="37112" xr:uid="{00000000-0005-0000-0000-0000FD900000}"/>
    <cellStyle name="Style 25 12 5 3" xfId="37113" xr:uid="{00000000-0005-0000-0000-0000FE900000}"/>
    <cellStyle name="Style 25 12 6" xfId="37114" xr:uid="{00000000-0005-0000-0000-0000FF900000}"/>
    <cellStyle name="Style 25 12 6 2" xfId="37115" xr:uid="{00000000-0005-0000-0000-000000910000}"/>
    <cellStyle name="Style 25 12 6 3" xfId="37116" xr:uid="{00000000-0005-0000-0000-000001910000}"/>
    <cellStyle name="Style 25 12 7" xfId="37117" xr:uid="{00000000-0005-0000-0000-000002910000}"/>
    <cellStyle name="Style 25 12 7 2" xfId="37118" xr:uid="{00000000-0005-0000-0000-000003910000}"/>
    <cellStyle name="Style 25 12 7 3" xfId="37119" xr:uid="{00000000-0005-0000-0000-000004910000}"/>
    <cellStyle name="Style 25 12 8" xfId="37120" xr:uid="{00000000-0005-0000-0000-000005910000}"/>
    <cellStyle name="Style 25 12 9" xfId="37121" xr:uid="{00000000-0005-0000-0000-000006910000}"/>
    <cellStyle name="Style 25 13" xfId="37122" xr:uid="{00000000-0005-0000-0000-000007910000}"/>
    <cellStyle name="Style 25 13 2" xfId="37123" xr:uid="{00000000-0005-0000-0000-000008910000}"/>
    <cellStyle name="Style 25 13 2 2" xfId="37124" xr:uid="{00000000-0005-0000-0000-000009910000}"/>
    <cellStyle name="Style 25 13 2 2 2" xfId="37125" xr:uid="{00000000-0005-0000-0000-00000A910000}"/>
    <cellStyle name="Style 25 13 2 2 3" xfId="37126" xr:uid="{00000000-0005-0000-0000-00000B910000}"/>
    <cellStyle name="Style 25 13 2 3" xfId="37127" xr:uid="{00000000-0005-0000-0000-00000C910000}"/>
    <cellStyle name="Style 25 13 2 3 2" xfId="37128" xr:uid="{00000000-0005-0000-0000-00000D910000}"/>
    <cellStyle name="Style 25 13 2 3 3" xfId="37129" xr:uid="{00000000-0005-0000-0000-00000E910000}"/>
    <cellStyle name="Style 25 13 2 4" xfId="37130" xr:uid="{00000000-0005-0000-0000-00000F910000}"/>
    <cellStyle name="Style 25 13 2 5" xfId="37131" xr:uid="{00000000-0005-0000-0000-000010910000}"/>
    <cellStyle name="Style 25 13 2 6" xfId="37132" xr:uid="{00000000-0005-0000-0000-000011910000}"/>
    <cellStyle name="Style 25 13 3" xfId="37133" xr:uid="{00000000-0005-0000-0000-000012910000}"/>
    <cellStyle name="Style 25 13 3 2" xfId="37134" xr:uid="{00000000-0005-0000-0000-000013910000}"/>
    <cellStyle name="Style 25 13 3 3" xfId="37135" xr:uid="{00000000-0005-0000-0000-000014910000}"/>
    <cellStyle name="Style 25 13 4" xfId="37136" xr:uid="{00000000-0005-0000-0000-000015910000}"/>
    <cellStyle name="Style 25 13 4 2" xfId="37137" xr:uid="{00000000-0005-0000-0000-000016910000}"/>
    <cellStyle name="Style 25 13 4 3" xfId="37138" xr:uid="{00000000-0005-0000-0000-000017910000}"/>
    <cellStyle name="Style 25 13 5" xfId="37139" xr:uid="{00000000-0005-0000-0000-000018910000}"/>
    <cellStyle name="Style 25 13 5 2" xfId="37140" xr:uid="{00000000-0005-0000-0000-000019910000}"/>
    <cellStyle name="Style 25 13 5 3" xfId="37141" xr:uid="{00000000-0005-0000-0000-00001A910000}"/>
    <cellStyle name="Style 25 13 6" xfId="37142" xr:uid="{00000000-0005-0000-0000-00001B910000}"/>
    <cellStyle name="Style 25 13 7" xfId="37143" xr:uid="{00000000-0005-0000-0000-00001C910000}"/>
    <cellStyle name="Style 25 13 8" xfId="37144" xr:uid="{00000000-0005-0000-0000-00001D910000}"/>
    <cellStyle name="Style 25 14" xfId="37145" xr:uid="{00000000-0005-0000-0000-00001E910000}"/>
    <cellStyle name="Style 25 14 2" xfId="37146" xr:uid="{00000000-0005-0000-0000-00001F910000}"/>
    <cellStyle name="Style 25 14 2 2" xfId="37147" xr:uid="{00000000-0005-0000-0000-000020910000}"/>
    <cellStyle name="Style 25 14 2 2 2" xfId="37148" xr:uid="{00000000-0005-0000-0000-000021910000}"/>
    <cellStyle name="Style 25 14 2 2 3" xfId="37149" xr:uid="{00000000-0005-0000-0000-000022910000}"/>
    <cellStyle name="Style 25 14 2 3" xfId="37150" xr:uid="{00000000-0005-0000-0000-000023910000}"/>
    <cellStyle name="Style 25 14 2 3 2" xfId="37151" xr:uid="{00000000-0005-0000-0000-000024910000}"/>
    <cellStyle name="Style 25 14 2 3 3" xfId="37152" xr:uid="{00000000-0005-0000-0000-000025910000}"/>
    <cellStyle name="Style 25 14 2 4" xfId="37153" xr:uid="{00000000-0005-0000-0000-000026910000}"/>
    <cellStyle name="Style 25 14 2 5" xfId="37154" xr:uid="{00000000-0005-0000-0000-000027910000}"/>
    <cellStyle name="Style 25 14 2 6" xfId="37155" xr:uid="{00000000-0005-0000-0000-000028910000}"/>
    <cellStyle name="Style 25 14 3" xfId="37156" xr:uid="{00000000-0005-0000-0000-000029910000}"/>
    <cellStyle name="Style 25 14 3 2" xfId="37157" xr:uid="{00000000-0005-0000-0000-00002A910000}"/>
    <cellStyle name="Style 25 14 3 3" xfId="37158" xr:uid="{00000000-0005-0000-0000-00002B910000}"/>
    <cellStyle name="Style 25 14 4" xfId="37159" xr:uid="{00000000-0005-0000-0000-00002C910000}"/>
    <cellStyle name="Style 25 14 4 2" xfId="37160" xr:uid="{00000000-0005-0000-0000-00002D910000}"/>
    <cellStyle name="Style 25 14 4 3" xfId="37161" xr:uid="{00000000-0005-0000-0000-00002E910000}"/>
    <cellStyle name="Style 25 14 5" xfId="37162" xr:uid="{00000000-0005-0000-0000-00002F910000}"/>
    <cellStyle name="Style 25 14 5 2" xfId="37163" xr:uid="{00000000-0005-0000-0000-000030910000}"/>
    <cellStyle name="Style 25 14 5 3" xfId="37164" xr:uid="{00000000-0005-0000-0000-000031910000}"/>
    <cellStyle name="Style 25 14 6" xfId="37165" xr:uid="{00000000-0005-0000-0000-000032910000}"/>
    <cellStyle name="Style 25 14 7" xfId="37166" xr:uid="{00000000-0005-0000-0000-000033910000}"/>
    <cellStyle name="Style 25 14 8" xfId="37167" xr:uid="{00000000-0005-0000-0000-000034910000}"/>
    <cellStyle name="Style 25 15" xfId="37168" xr:uid="{00000000-0005-0000-0000-000035910000}"/>
    <cellStyle name="Style 25 15 2" xfId="37169" xr:uid="{00000000-0005-0000-0000-000036910000}"/>
    <cellStyle name="Style 25 15 2 2" xfId="37170" xr:uid="{00000000-0005-0000-0000-000037910000}"/>
    <cellStyle name="Style 25 15 2 2 2" xfId="37171" xr:uid="{00000000-0005-0000-0000-000038910000}"/>
    <cellStyle name="Style 25 15 2 2 3" xfId="37172" xr:uid="{00000000-0005-0000-0000-000039910000}"/>
    <cellStyle name="Style 25 15 2 3" xfId="37173" xr:uid="{00000000-0005-0000-0000-00003A910000}"/>
    <cellStyle name="Style 25 15 2 3 2" xfId="37174" xr:uid="{00000000-0005-0000-0000-00003B910000}"/>
    <cellStyle name="Style 25 15 2 3 3" xfId="37175" xr:uid="{00000000-0005-0000-0000-00003C910000}"/>
    <cellStyle name="Style 25 15 2 4" xfId="37176" xr:uid="{00000000-0005-0000-0000-00003D910000}"/>
    <cellStyle name="Style 25 15 2 5" xfId="37177" xr:uid="{00000000-0005-0000-0000-00003E910000}"/>
    <cellStyle name="Style 25 15 2 6" xfId="37178" xr:uid="{00000000-0005-0000-0000-00003F910000}"/>
    <cellStyle name="Style 25 15 3" xfId="37179" xr:uid="{00000000-0005-0000-0000-000040910000}"/>
    <cellStyle name="Style 25 15 3 2" xfId="37180" xr:uid="{00000000-0005-0000-0000-000041910000}"/>
    <cellStyle name="Style 25 15 3 3" xfId="37181" xr:uid="{00000000-0005-0000-0000-000042910000}"/>
    <cellStyle name="Style 25 15 4" xfId="37182" xr:uid="{00000000-0005-0000-0000-000043910000}"/>
    <cellStyle name="Style 25 15 4 2" xfId="37183" xr:uid="{00000000-0005-0000-0000-000044910000}"/>
    <cellStyle name="Style 25 15 4 3" xfId="37184" xr:uid="{00000000-0005-0000-0000-000045910000}"/>
    <cellStyle name="Style 25 15 5" xfId="37185" xr:uid="{00000000-0005-0000-0000-000046910000}"/>
    <cellStyle name="Style 25 15 5 2" xfId="37186" xr:uid="{00000000-0005-0000-0000-000047910000}"/>
    <cellStyle name="Style 25 15 5 3" xfId="37187" xr:uid="{00000000-0005-0000-0000-000048910000}"/>
    <cellStyle name="Style 25 15 6" xfId="37188" xr:uid="{00000000-0005-0000-0000-000049910000}"/>
    <cellStyle name="Style 25 15 7" xfId="37189" xr:uid="{00000000-0005-0000-0000-00004A910000}"/>
    <cellStyle name="Style 25 15 8" xfId="37190" xr:uid="{00000000-0005-0000-0000-00004B910000}"/>
    <cellStyle name="Style 25 16" xfId="37191" xr:uid="{00000000-0005-0000-0000-00004C910000}"/>
    <cellStyle name="Style 25 16 2" xfId="37192" xr:uid="{00000000-0005-0000-0000-00004D910000}"/>
    <cellStyle name="Style 25 16 2 2" xfId="37193" xr:uid="{00000000-0005-0000-0000-00004E910000}"/>
    <cellStyle name="Style 25 16 2 3" xfId="37194" xr:uid="{00000000-0005-0000-0000-00004F910000}"/>
    <cellStyle name="Style 25 16 3" xfId="37195" xr:uid="{00000000-0005-0000-0000-000050910000}"/>
    <cellStyle name="Style 25 16 3 2" xfId="37196" xr:uid="{00000000-0005-0000-0000-000051910000}"/>
    <cellStyle name="Style 25 16 3 3" xfId="37197" xr:uid="{00000000-0005-0000-0000-000052910000}"/>
    <cellStyle name="Style 25 16 4" xfId="37198" xr:uid="{00000000-0005-0000-0000-000053910000}"/>
    <cellStyle name="Style 25 16 5" xfId="37199" xr:uid="{00000000-0005-0000-0000-000054910000}"/>
    <cellStyle name="Style 25 16 6" xfId="37200" xr:uid="{00000000-0005-0000-0000-000055910000}"/>
    <cellStyle name="Style 25 17" xfId="37201" xr:uid="{00000000-0005-0000-0000-000056910000}"/>
    <cellStyle name="Style 25 17 2" xfId="37202" xr:uid="{00000000-0005-0000-0000-000057910000}"/>
    <cellStyle name="Style 25 17 3" xfId="37203" xr:uid="{00000000-0005-0000-0000-000058910000}"/>
    <cellStyle name="Style 25 18" xfId="37204" xr:uid="{00000000-0005-0000-0000-000059910000}"/>
    <cellStyle name="Style 25 18 2" xfId="37205" xr:uid="{00000000-0005-0000-0000-00005A910000}"/>
    <cellStyle name="Style 25 18 3" xfId="37206" xr:uid="{00000000-0005-0000-0000-00005B910000}"/>
    <cellStyle name="Style 25 19" xfId="37207" xr:uid="{00000000-0005-0000-0000-00005C910000}"/>
    <cellStyle name="Style 25 19 2" xfId="37208" xr:uid="{00000000-0005-0000-0000-00005D910000}"/>
    <cellStyle name="Style 25 19 3" xfId="37209" xr:uid="{00000000-0005-0000-0000-00005E910000}"/>
    <cellStyle name="Style 25 2" xfId="37210" xr:uid="{00000000-0005-0000-0000-00005F910000}"/>
    <cellStyle name="Style 25 2 10" xfId="37211" xr:uid="{00000000-0005-0000-0000-000060910000}"/>
    <cellStyle name="Style 25 2 11" xfId="37212" xr:uid="{00000000-0005-0000-0000-000061910000}"/>
    <cellStyle name="Style 25 2 12" xfId="37213" xr:uid="{00000000-0005-0000-0000-000062910000}"/>
    <cellStyle name="Style 25 2 2" xfId="37214" xr:uid="{00000000-0005-0000-0000-000063910000}"/>
    <cellStyle name="Style 25 2 2 10" xfId="37215" xr:uid="{00000000-0005-0000-0000-000064910000}"/>
    <cellStyle name="Style 25 2 2 2" xfId="37216" xr:uid="{00000000-0005-0000-0000-000065910000}"/>
    <cellStyle name="Style 25 2 2 2 2" xfId="37217" xr:uid="{00000000-0005-0000-0000-000066910000}"/>
    <cellStyle name="Style 25 2 2 2 2 2" xfId="37218" xr:uid="{00000000-0005-0000-0000-000067910000}"/>
    <cellStyle name="Style 25 2 2 2 2 2 2" xfId="37219" xr:uid="{00000000-0005-0000-0000-000068910000}"/>
    <cellStyle name="Style 25 2 2 2 2 2 3" xfId="37220" xr:uid="{00000000-0005-0000-0000-000069910000}"/>
    <cellStyle name="Style 25 2 2 2 2 3" xfId="37221" xr:uid="{00000000-0005-0000-0000-00006A910000}"/>
    <cellStyle name="Style 25 2 2 2 2 3 2" xfId="37222" xr:uid="{00000000-0005-0000-0000-00006B910000}"/>
    <cellStyle name="Style 25 2 2 2 2 3 3" xfId="37223" xr:uid="{00000000-0005-0000-0000-00006C910000}"/>
    <cellStyle name="Style 25 2 2 2 2 4" xfId="37224" xr:uid="{00000000-0005-0000-0000-00006D910000}"/>
    <cellStyle name="Style 25 2 2 2 2 5" xfId="37225" xr:uid="{00000000-0005-0000-0000-00006E910000}"/>
    <cellStyle name="Style 25 2 2 2 2 6" xfId="37226" xr:uid="{00000000-0005-0000-0000-00006F910000}"/>
    <cellStyle name="Style 25 2 2 2 3" xfId="37227" xr:uid="{00000000-0005-0000-0000-000070910000}"/>
    <cellStyle name="Style 25 2 2 2 3 2" xfId="37228" xr:uid="{00000000-0005-0000-0000-000071910000}"/>
    <cellStyle name="Style 25 2 2 2 3 3" xfId="37229" xr:uid="{00000000-0005-0000-0000-000072910000}"/>
    <cellStyle name="Style 25 2 2 2 4" xfId="37230" xr:uid="{00000000-0005-0000-0000-000073910000}"/>
    <cellStyle name="Style 25 2 2 2 4 2" xfId="37231" xr:uid="{00000000-0005-0000-0000-000074910000}"/>
    <cellStyle name="Style 25 2 2 2 4 3" xfId="37232" xr:uid="{00000000-0005-0000-0000-000075910000}"/>
    <cellStyle name="Style 25 2 2 2 5" xfId="37233" xr:uid="{00000000-0005-0000-0000-000076910000}"/>
    <cellStyle name="Style 25 2 2 2 5 2" xfId="37234" xr:uid="{00000000-0005-0000-0000-000077910000}"/>
    <cellStyle name="Style 25 2 2 2 5 3" xfId="37235" xr:uid="{00000000-0005-0000-0000-000078910000}"/>
    <cellStyle name="Style 25 2 2 2 6" xfId="37236" xr:uid="{00000000-0005-0000-0000-000079910000}"/>
    <cellStyle name="Style 25 2 2 2 7" xfId="37237" xr:uid="{00000000-0005-0000-0000-00007A910000}"/>
    <cellStyle name="Style 25 2 2 2 8" xfId="37238" xr:uid="{00000000-0005-0000-0000-00007B910000}"/>
    <cellStyle name="Style 25 2 2 3" xfId="37239" xr:uid="{00000000-0005-0000-0000-00007C910000}"/>
    <cellStyle name="Style 25 2 2 3 2" xfId="37240" xr:uid="{00000000-0005-0000-0000-00007D910000}"/>
    <cellStyle name="Style 25 2 2 3 2 2" xfId="37241" xr:uid="{00000000-0005-0000-0000-00007E910000}"/>
    <cellStyle name="Style 25 2 2 3 2 2 2" xfId="37242" xr:uid="{00000000-0005-0000-0000-00007F910000}"/>
    <cellStyle name="Style 25 2 2 3 2 2 3" xfId="37243" xr:uid="{00000000-0005-0000-0000-000080910000}"/>
    <cellStyle name="Style 25 2 2 3 2 3" xfId="37244" xr:uid="{00000000-0005-0000-0000-000081910000}"/>
    <cellStyle name="Style 25 2 2 3 2 3 2" xfId="37245" xr:uid="{00000000-0005-0000-0000-000082910000}"/>
    <cellStyle name="Style 25 2 2 3 2 3 3" xfId="37246" xr:uid="{00000000-0005-0000-0000-000083910000}"/>
    <cellStyle name="Style 25 2 2 3 2 4" xfId="37247" xr:uid="{00000000-0005-0000-0000-000084910000}"/>
    <cellStyle name="Style 25 2 2 3 2 5" xfId="37248" xr:uid="{00000000-0005-0000-0000-000085910000}"/>
    <cellStyle name="Style 25 2 2 3 2 6" xfId="37249" xr:uid="{00000000-0005-0000-0000-000086910000}"/>
    <cellStyle name="Style 25 2 2 3 3" xfId="37250" xr:uid="{00000000-0005-0000-0000-000087910000}"/>
    <cellStyle name="Style 25 2 2 3 3 2" xfId="37251" xr:uid="{00000000-0005-0000-0000-000088910000}"/>
    <cellStyle name="Style 25 2 2 3 3 3" xfId="37252" xr:uid="{00000000-0005-0000-0000-000089910000}"/>
    <cellStyle name="Style 25 2 2 3 4" xfId="37253" xr:uid="{00000000-0005-0000-0000-00008A910000}"/>
    <cellStyle name="Style 25 2 2 3 4 2" xfId="37254" xr:uid="{00000000-0005-0000-0000-00008B910000}"/>
    <cellStyle name="Style 25 2 2 3 4 3" xfId="37255" xr:uid="{00000000-0005-0000-0000-00008C910000}"/>
    <cellStyle name="Style 25 2 2 3 5" xfId="37256" xr:uid="{00000000-0005-0000-0000-00008D910000}"/>
    <cellStyle name="Style 25 2 2 3 5 2" xfId="37257" xr:uid="{00000000-0005-0000-0000-00008E910000}"/>
    <cellStyle name="Style 25 2 2 3 5 3" xfId="37258" xr:uid="{00000000-0005-0000-0000-00008F910000}"/>
    <cellStyle name="Style 25 2 2 3 6" xfId="37259" xr:uid="{00000000-0005-0000-0000-000090910000}"/>
    <cellStyle name="Style 25 2 2 3 7" xfId="37260" xr:uid="{00000000-0005-0000-0000-000091910000}"/>
    <cellStyle name="Style 25 2 2 3 8" xfId="37261" xr:uid="{00000000-0005-0000-0000-000092910000}"/>
    <cellStyle name="Style 25 2 2 4" xfId="37262" xr:uid="{00000000-0005-0000-0000-000093910000}"/>
    <cellStyle name="Style 25 2 2 4 2" xfId="37263" xr:uid="{00000000-0005-0000-0000-000094910000}"/>
    <cellStyle name="Style 25 2 2 4 2 2" xfId="37264" xr:uid="{00000000-0005-0000-0000-000095910000}"/>
    <cellStyle name="Style 25 2 2 4 2 3" xfId="37265" xr:uid="{00000000-0005-0000-0000-000096910000}"/>
    <cellStyle name="Style 25 2 2 4 3" xfId="37266" xr:uid="{00000000-0005-0000-0000-000097910000}"/>
    <cellStyle name="Style 25 2 2 4 3 2" xfId="37267" xr:uid="{00000000-0005-0000-0000-000098910000}"/>
    <cellStyle name="Style 25 2 2 4 3 3" xfId="37268" xr:uid="{00000000-0005-0000-0000-000099910000}"/>
    <cellStyle name="Style 25 2 2 4 4" xfId="37269" xr:uid="{00000000-0005-0000-0000-00009A910000}"/>
    <cellStyle name="Style 25 2 2 4 5" xfId="37270" xr:uid="{00000000-0005-0000-0000-00009B910000}"/>
    <cellStyle name="Style 25 2 2 4 6" xfId="37271" xr:uid="{00000000-0005-0000-0000-00009C910000}"/>
    <cellStyle name="Style 25 2 2 5" xfId="37272" xr:uid="{00000000-0005-0000-0000-00009D910000}"/>
    <cellStyle name="Style 25 2 2 5 2" xfId="37273" xr:uid="{00000000-0005-0000-0000-00009E910000}"/>
    <cellStyle name="Style 25 2 2 5 3" xfId="37274" xr:uid="{00000000-0005-0000-0000-00009F910000}"/>
    <cellStyle name="Style 25 2 2 6" xfId="37275" xr:uid="{00000000-0005-0000-0000-0000A0910000}"/>
    <cellStyle name="Style 25 2 2 6 2" xfId="37276" xr:uid="{00000000-0005-0000-0000-0000A1910000}"/>
    <cellStyle name="Style 25 2 2 6 3" xfId="37277" xr:uid="{00000000-0005-0000-0000-0000A2910000}"/>
    <cellStyle name="Style 25 2 2 7" xfId="37278" xr:uid="{00000000-0005-0000-0000-0000A3910000}"/>
    <cellStyle name="Style 25 2 2 7 2" xfId="37279" xr:uid="{00000000-0005-0000-0000-0000A4910000}"/>
    <cellStyle name="Style 25 2 2 7 3" xfId="37280" xr:uid="{00000000-0005-0000-0000-0000A5910000}"/>
    <cellStyle name="Style 25 2 2 8" xfId="37281" xr:uid="{00000000-0005-0000-0000-0000A6910000}"/>
    <cellStyle name="Style 25 2 2 9" xfId="37282" xr:uid="{00000000-0005-0000-0000-0000A7910000}"/>
    <cellStyle name="Style 25 2 3" xfId="37283" xr:uid="{00000000-0005-0000-0000-0000A8910000}"/>
    <cellStyle name="Style 25 2 3 2" xfId="37284" xr:uid="{00000000-0005-0000-0000-0000A9910000}"/>
    <cellStyle name="Style 25 2 3 2 2" xfId="37285" xr:uid="{00000000-0005-0000-0000-0000AA910000}"/>
    <cellStyle name="Style 25 2 3 2 2 2" xfId="37286" xr:uid="{00000000-0005-0000-0000-0000AB910000}"/>
    <cellStyle name="Style 25 2 3 2 2 3" xfId="37287" xr:uid="{00000000-0005-0000-0000-0000AC910000}"/>
    <cellStyle name="Style 25 2 3 2 3" xfId="37288" xr:uid="{00000000-0005-0000-0000-0000AD910000}"/>
    <cellStyle name="Style 25 2 3 2 3 2" xfId="37289" xr:uid="{00000000-0005-0000-0000-0000AE910000}"/>
    <cellStyle name="Style 25 2 3 2 3 3" xfId="37290" xr:uid="{00000000-0005-0000-0000-0000AF910000}"/>
    <cellStyle name="Style 25 2 3 2 4" xfId="37291" xr:uid="{00000000-0005-0000-0000-0000B0910000}"/>
    <cellStyle name="Style 25 2 3 2 5" xfId="37292" xr:uid="{00000000-0005-0000-0000-0000B1910000}"/>
    <cellStyle name="Style 25 2 3 2 6" xfId="37293" xr:uid="{00000000-0005-0000-0000-0000B2910000}"/>
    <cellStyle name="Style 25 2 3 3" xfId="37294" xr:uid="{00000000-0005-0000-0000-0000B3910000}"/>
    <cellStyle name="Style 25 2 3 3 2" xfId="37295" xr:uid="{00000000-0005-0000-0000-0000B4910000}"/>
    <cellStyle name="Style 25 2 3 3 3" xfId="37296" xr:uid="{00000000-0005-0000-0000-0000B5910000}"/>
    <cellStyle name="Style 25 2 3 4" xfId="37297" xr:uid="{00000000-0005-0000-0000-0000B6910000}"/>
    <cellStyle name="Style 25 2 3 4 2" xfId="37298" xr:uid="{00000000-0005-0000-0000-0000B7910000}"/>
    <cellStyle name="Style 25 2 3 4 3" xfId="37299" xr:uid="{00000000-0005-0000-0000-0000B8910000}"/>
    <cellStyle name="Style 25 2 3 5" xfId="37300" xr:uid="{00000000-0005-0000-0000-0000B9910000}"/>
    <cellStyle name="Style 25 2 3 5 2" xfId="37301" xr:uid="{00000000-0005-0000-0000-0000BA910000}"/>
    <cellStyle name="Style 25 2 3 5 3" xfId="37302" xr:uid="{00000000-0005-0000-0000-0000BB910000}"/>
    <cellStyle name="Style 25 2 3 6" xfId="37303" xr:uid="{00000000-0005-0000-0000-0000BC910000}"/>
    <cellStyle name="Style 25 2 3 7" xfId="37304" xr:uid="{00000000-0005-0000-0000-0000BD910000}"/>
    <cellStyle name="Style 25 2 3 8" xfId="37305" xr:uid="{00000000-0005-0000-0000-0000BE910000}"/>
    <cellStyle name="Style 25 2 4" xfId="37306" xr:uid="{00000000-0005-0000-0000-0000BF910000}"/>
    <cellStyle name="Style 25 2 4 2" xfId="37307" xr:uid="{00000000-0005-0000-0000-0000C0910000}"/>
    <cellStyle name="Style 25 2 4 2 2" xfId="37308" xr:uid="{00000000-0005-0000-0000-0000C1910000}"/>
    <cellStyle name="Style 25 2 4 2 2 2" xfId="37309" xr:uid="{00000000-0005-0000-0000-0000C2910000}"/>
    <cellStyle name="Style 25 2 4 2 2 3" xfId="37310" xr:uid="{00000000-0005-0000-0000-0000C3910000}"/>
    <cellStyle name="Style 25 2 4 2 3" xfId="37311" xr:uid="{00000000-0005-0000-0000-0000C4910000}"/>
    <cellStyle name="Style 25 2 4 2 3 2" xfId="37312" xr:uid="{00000000-0005-0000-0000-0000C5910000}"/>
    <cellStyle name="Style 25 2 4 2 3 3" xfId="37313" xr:uid="{00000000-0005-0000-0000-0000C6910000}"/>
    <cellStyle name="Style 25 2 4 2 4" xfId="37314" xr:uid="{00000000-0005-0000-0000-0000C7910000}"/>
    <cellStyle name="Style 25 2 4 2 5" xfId="37315" xr:uid="{00000000-0005-0000-0000-0000C8910000}"/>
    <cellStyle name="Style 25 2 4 2 6" xfId="37316" xr:uid="{00000000-0005-0000-0000-0000C9910000}"/>
    <cellStyle name="Style 25 2 4 3" xfId="37317" xr:uid="{00000000-0005-0000-0000-0000CA910000}"/>
    <cellStyle name="Style 25 2 4 3 2" xfId="37318" xr:uid="{00000000-0005-0000-0000-0000CB910000}"/>
    <cellStyle name="Style 25 2 4 3 3" xfId="37319" xr:uid="{00000000-0005-0000-0000-0000CC910000}"/>
    <cellStyle name="Style 25 2 4 4" xfId="37320" xr:uid="{00000000-0005-0000-0000-0000CD910000}"/>
    <cellStyle name="Style 25 2 4 4 2" xfId="37321" xr:uid="{00000000-0005-0000-0000-0000CE910000}"/>
    <cellStyle name="Style 25 2 4 4 3" xfId="37322" xr:uid="{00000000-0005-0000-0000-0000CF910000}"/>
    <cellStyle name="Style 25 2 4 5" xfId="37323" xr:uid="{00000000-0005-0000-0000-0000D0910000}"/>
    <cellStyle name="Style 25 2 4 5 2" xfId="37324" xr:uid="{00000000-0005-0000-0000-0000D1910000}"/>
    <cellStyle name="Style 25 2 4 5 3" xfId="37325" xr:uid="{00000000-0005-0000-0000-0000D2910000}"/>
    <cellStyle name="Style 25 2 4 6" xfId="37326" xr:uid="{00000000-0005-0000-0000-0000D3910000}"/>
    <cellStyle name="Style 25 2 4 7" xfId="37327" xr:uid="{00000000-0005-0000-0000-0000D4910000}"/>
    <cellStyle name="Style 25 2 4 8" xfId="37328" xr:uid="{00000000-0005-0000-0000-0000D5910000}"/>
    <cellStyle name="Style 25 2 5" xfId="37329" xr:uid="{00000000-0005-0000-0000-0000D6910000}"/>
    <cellStyle name="Style 25 2 5 2" xfId="37330" xr:uid="{00000000-0005-0000-0000-0000D7910000}"/>
    <cellStyle name="Style 25 2 5 2 2" xfId="37331" xr:uid="{00000000-0005-0000-0000-0000D8910000}"/>
    <cellStyle name="Style 25 2 5 2 2 2" xfId="37332" xr:uid="{00000000-0005-0000-0000-0000D9910000}"/>
    <cellStyle name="Style 25 2 5 2 2 3" xfId="37333" xr:uid="{00000000-0005-0000-0000-0000DA910000}"/>
    <cellStyle name="Style 25 2 5 2 3" xfId="37334" xr:uid="{00000000-0005-0000-0000-0000DB910000}"/>
    <cellStyle name="Style 25 2 5 2 3 2" xfId="37335" xr:uid="{00000000-0005-0000-0000-0000DC910000}"/>
    <cellStyle name="Style 25 2 5 2 3 3" xfId="37336" xr:uid="{00000000-0005-0000-0000-0000DD910000}"/>
    <cellStyle name="Style 25 2 5 2 4" xfId="37337" xr:uid="{00000000-0005-0000-0000-0000DE910000}"/>
    <cellStyle name="Style 25 2 5 2 5" xfId="37338" xr:uid="{00000000-0005-0000-0000-0000DF910000}"/>
    <cellStyle name="Style 25 2 5 2 6" xfId="37339" xr:uid="{00000000-0005-0000-0000-0000E0910000}"/>
    <cellStyle name="Style 25 2 5 3" xfId="37340" xr:uid="{00000000-0005-0000-0000-0000E1910000}"/>
    <cellStyle name="Style 25 2 5 3 2" xfId="37341" xr:uid="{00000000-0005-0000-0000-0000E2910000}"/>
    <cellStyle name="Style 25 2 5 3 3" xfId="37342" xr:uid="{00000000-0005-0000-0000-0000E3910000}"/>
    <cellStyle name="Style 25 2 5 4" xfId="37343" xr:uid="{00000000-0005-0000-0000-0000E4910000}"/>
    <cellStyle name="Style 25 2 5 4 2" xfId="37344" xr:uid="{00000000-0005-0000-0000-0000E5910000}"/>
    <cellStyle name="Style 25 2 5 4 3" xfId="37345" xr:uid="{00000000-0005-0000-0000-0000E6910000}"/>
    <cellStyle name="Style 25 2 5 5" xfId="37346" xr:uid="{00000000-0005-0000-0000-0000E7910000}"/>
    <cellStyle name="Style 25 2 5 5 2" xfId="37347" xr:uid="{00000000-0005-0000-0000-0000E8910000}"/>
    <cellStyle name="Style 25 2 5 5 3" xfId="37348" xr:uid="{00000000-0005-0000-0000-0000E9910000}"/>
    <cellStyle name="Style 25 2 5 6" xfId="37349" xr:uid="{00000000-0005-0000-0000-0000EA910000}"/>
    <cellStyle name="Style 25 2 5 7" xfId="37350" xr:uid="{00000000-0005-0000-0000-0000EB910000}"/>
    <cellStyle name="Style 25 2 5 8" xfId="37351" xr:uid="{00000000-0005-0000-0000-0000EC910000}"/>
    <cellStyle name="Style 25 2 6" xfId="37352" xr:uid="{00000000-0005-0000-0000-0000ED910000}"/>
    <cellStyle name="Style 25 2 6 2" xfId="37353" xr:uid="{00000000-0005-0000-0000-0000EE910000}"/>
    <cellStyle name="Style 25 2 6 2 2" xfId="37354" xr:uid="{00000000-0005-0000-0000-0000EF910000}"/>
    <cellStyle name="Style 25 2 6 2 3" xfId="37355" xr:uid="{00000000-0005-0000-0000-0000F0910000}"/>
    <cellStyle name="Style 25 2 6 3" xfId="37356" xr:uid="{00000000-0005-0000-0000-0000F1910000}"/>
    <cellStyle name="Style 25 2 6 3 2" xfId="37357" xr:uid="{00000000-0005-0000-0000-0000F2910000}"/>
    <cellStyle name="Style 25 2 6 3 3" xfId="37358" xr:uid="{00000000-0005-0000-0000-0000F3910000}"/>
    <cellStyle name="Style 25 2 6 4" xfId="37359" xr:uid="{00000000-0005-0000-0000-0000F4910000}"/>
    <cellStyle name="Style 25 2 6 5" xfId="37360" xr:uid="{00000000-0005-0000-0000-0000F5910000}"/>
    <cellStyle name="Style 25 2 6 6" xfId="37361" xr:uid="{00000000-0005-0000-0000-0000F6910000}"/>
    <cellStyle name="Style 25 2 7" xfId="37362" xr:uid="{00000000-0005-0000-0000-0000F7910000}"/>
    <cellStyle name="Style 25 2 7 2" xfId="37363" xr:uid="{00000000-0005-0000-0000-0000F8910000}"/>
    <cellStyle name="Style 25 2 7 3" xfId="37364" xr:uid="{00000000-0005-0000-0000-0000F9910000}"/>
    <cellStyle name="Style 25 2 8" xfId="37365" xr:uid="{00000000-0005-0000-0000-0000FA910000}"/>
    <cellStyle name="Style 25 2 8 2" xfId="37366" xr:uid="{00000000-0005-0000-0000-0000FB910000}"/>
    <cellStyle name="Style 25 2 8 3" xfId="37367" xr:uid="{00000000-0005-0000-0000-0000FC910000}"/>
    <cellStyle name="Style 25 2 9" xfId="37368" xr:uid="{00000000-0005-0000-0000-0000FD910000}"/>
    <cellStyle name="Style 25 2 9 2" xfId="37369" xr:uid="{00000000-0005-0000-0000-0000FE910000}"/>
    <cellStyle name="Style 25 2 9 3" xfId="37370" xr:uid="{00000000-0005-0000-0000-0000FF910000}"/>
    <cellStyle name="Style 25 20" xfId="37371" xr:uid="{00000000-0005-0000-0000-000000920000}"/>
    <cellStyle name="Style 25 21" xfId="37372" xr:uid="{00000000-0005-0000-0000-000001920000}"/>
    <cellStyle name="Style 25 22" xfId="37373" xr:uid="{00000000-0005-0000-0000-000002920000}"/>
    <cellStyle name="Style 25 3" xfId="37374" xr:uid="{00000000-0005-0000-0000-000003920000}"/>
    <cellStyle name="Style 25 3 10" xfId="37375" xr:uid="{00000000-0005-0000-0000-000004920000}"/>
    <cellStyle name="Style 25 3 11" xfId="37376" xr:uid="{00000000-0005-0000-0000-000005920000}"/>
    <cellStyle name="Style 25 3 12" xfId="37377" xr:uid="{00000000-0005-0000-0000-000006920000}"/>
    <cellStyle name="Style 25 3 2" xfId="37378" xr:uid="{00000000-0005-0000-0000-000007920000}"/>
    <cellStyle name="Style 25 3 2 10" xfId="37379" xr:uid="{00000000-0005-0000-0000-000008920000}"/>
    <cellStyle name="Style 25 3 2 2" xfId="37380" xr:uid="{00000000-0005-0000-0000-000009920000}"/>
    <cellStyle name="Style 25 3 2 2 2" xfId="37381" xr:uid="{00000000-0005-0000-0000-00000A920000}"/>
    <cellStyle name="Style 25 3 2 2 2 2" xfId="37382" xr:uid="{00000000-0005-0000-0000-00000B920000}"/>
    <cellStyle name="Style 25 3 2 2 2 2 2" xfId="37383" xr:uid="{00000000-0005-0000-0000-00000C920000}"/>
    <cellStyle name="Style 25 3 2 2 2 2 3" xfId="37384" xr:uid="{00000000-0005-0000-0000-00000D920000}"/>
    <cellStyle name="Style 25 3 2 2 2 3" xfId="37385" xr:uid="{00000000-0005-0000-0000-00000E920000}"/>
    <cellStyle name="Style 25 3 2 2 2 3 2" xfId="37386" xr:uid="{00000000-0005-0000-0000-00000F920000}"/>
    <cellStyle name="Style 25 3 2 2 2 3 3" xfId="37387" xr:uid="{00000000-0005-0000-0000-000010920000}"/>
    <cellStyle name="Style 25 3 2 2 2 4" xfId="37388" xr:uid="{00000000-0005-0000-0000-000011920000}"/>
    <cellStyle name="Style 25 3 2 2 2 5" xfId="37389" xr:uid="{00000000-0005-0000-0000-000012920000}"/>
    <cellStyle name="Style 25 3 2 2 2 6" xfId="37390" xr:uid="{00000000-0005-0000-0000-000013920000}"/>
    <cellStyle name="Style 25 3 2 2 3" xfId="37391" xr:uid="{00000000-0005-0000-0000-000014920000}"/>
    <cellStyle name="Style 25 3 2 2 3 2" xfId="37392" xr:uid="{00000000-0005-0000-0000-000015920000}"/>
    <cellStyle name="Style 25 3 2 2 3 3" xfId="37393" xr:uid="{00000000-0005-0000-0000-000016920000}"/>
    <cellStyle name="Style 25 3 2 2 4" xfId="37394" xr:uid="{00000000-0005-0000-0000-000017920000}"/>
    <cellStyle name="Style 25 3 2 2 4 2" xfId="37395" xr:uid="{00000000-0005-0000-0000-000018920000}"/>
    <cellStyle name="Style 25 3 2 2 4 3" xfId="37396" xr:uid="{00000000-0005-0000-0000-000019920000}"/>
    <cellStyle name="Style 25 3 2 2 5" xfId="37397" xr:uid="{00000000-0005-0000-0000-00001A920000}"/>
    <cellStyle name="Style 25 3 2 2 5 2" xfId="37398" xr:uid="{00000000-0005-0000-0000-00001B920000}"/>
    <cellStyle name="Style 25 3 2 2 5 3" xfId="37399" xr:uid="{00000000-0005-0000-0000-00001C920000}"/>
    <cellStyle name="Style 25 3 2 2 6" xfId="37400" xr:uid="{00000000-0005-0000-0000-00001D920000}"/>
    <cellStyle name="Style 25 3 2 2 7" xfId="37401" xr:uid="{00000000-0005-0000-0000-00001E920000}"/>
    <cellStyle name="Style 25 3 2 2 8" xfId="37402" xr:uid="{00000000-0005-0000-0000-00001F920000}"/>
    <cellStyle name="Style 25 3 2 3" xfId="37403" xr:uid="{00000000-0005-0000-0000-000020920000}"/>
    <cellStyle name="Style 25 3 2 3 2" xfId="37404" xr:uid="{00000000-0005-0000-0000-000021920000}"/>
    <cellStyle name="Style 25 3 2 3 2 2" xfId="37405" xr:uid="{00000000-0005-0000-0000-000022920000}"/>
    <cellStyle name="Style 25 3 2 3 2 2 2" xfId="37406" xr:uid="{00000000-0005-0000-0000-000023920000}"/>
    <cellStyle name="Style 25 3 2 3 2 2 3" xfId="37407" xr:uid="{00000000-0005-0000-0000-000024920000}"/>
    <cellStyle name="Style 25 3 2 3 2 3" xfId="37408" xr:uid="{00000000-0005-0000-0000-000025920000}"/>
    <cellStyle name="Style 25 3 2 3 2 3 2" xfId="37409" xr:uid="{00000000-0005-0000-0000-000026920000}"/>
    <cellStyle name="Style 25 3 2 3 2 3 3" xfId="37410" xr:uid="{00000000-0005-0000-0000-000027920000}"/>
    <cellStyle name="Style 25 3 2 3 2 4" xfId="37411" xr:uid="{00000000-0005-0000-0000-000028920000}"/>
    <cellStyle name="Style 25 3 2 3 2 5" xfId="37412" xr:uid="{00000000-0005-0000-0000-000029920000}"/>
    <cellStyle name="Style 25 3 2 3 2 6" xfId="37413" xr:uid="{00000000-0005-0000-0000-00002A920000}"/>
    <cellStyle name="Style 25 3 2 3 3" xfId="37414" xr:uid="{00000000-0005-0000-0000-00002B920000}"/>
    <cellStyle name="Style 25 3 2 3 3 2" xfId="37415" xr:uid="{00000000-0005-0000-0000-00002C920000}"/>
    <cellStyle name="Style 25 3 2 3 3 3" xfId="37416" xr:uid="{00000000-0005-0000-0000-00002D920000}"/>
    <cellStyle name="Style 25 3 2 3 4" xfId="37417" xr:uid="{00000000-0005-0000-0000-00002E920000}"/>
    <cellStyle name="Style 25 3 2 3 4 2" xfId="37418" xr:uid="{00000000-0005-0000-0000-00002F920000}"/>
    <cellStyle name="Style 25 3 2 3 4 3" xfId="37419" xr:uid="{00000000-0005-0000-0000-000030920000}"/>
    <cellStyle name="Style 25 3 2 3 5" xfId="37420" xr:uid="{00000000-0005-0000-0000-000031920000}"/>
    <cellStyle name="Style 25 3 2 3 5 2" xfId="37421" xr:uid="{00000000-0005-0000-0000-000032920000}"/>
    <cellStyle name="Style 25 3 2 3 5 3" xfId="37422" xr:uid="{00000000-0005-0000-0000-000033920000}"/>
    <cellStyle name="Style 25 3 2 3 6" xfId="37423" xr:uid="{00000000-0005-0000-0000-000034920000}"/>
    <cellStyle name="Style 25 3 2 3 7" xfId="37424" xr:uid="{00000000-0005-0000-0000-000035920000}"/>
    <cellStyle name="Style 25 3 2 3 8" xfId="37425" xr:uid="{00000000-0005-0000-0000-000036920000}"/>
    <cellStyle name="Style 25 3 2 4" xfId="37426" xr:uid="{00000000-0005-0000-0000-000037920000}"/>
    <cellStyle name="Style 25 3 2 4 2" xfId="37427" xr:uid="{00000000-0005-0000-0000-000038920000}"/>
    <cellStyle name="Style 25 3 2 4 2 2" xfId="37428" xr:uid="{00000000-0005-0000-0000-000039920000}"/>
    <cellStyle name="Style 25 3 2 4 2 3" xfId="37429" xr:uid="{00000000-0005-0000-0000-00003A920000}"/>
    <cellStyle name="Style 25 3 2 4 3" xfId="37430" xr:uid="{00000000-0005-0000-0000-00003B920000}"/>
    <cellStyle name="Style 25 3 2 4 3 2" xfId="37431" xr:uid="{00000000-0005-0000-0000-00003C920000}"/>
    <cellStyle name="Style 25 3 2 4 3 3" xfId="37432" xr:uid="{00000000-0005-0000-0000-00003D920000}"/>
    <cellStyle name="Style 25 3 2 4 4" xfId="37433" xr:uid="{00000000-0005-0000-0000-00003E920000}"/>
    <cellStyle name="Style 25 3 2 4 5" xfId="37434" xr:uid="{00000000-0005-0000-0000-00003F920000}"/>
    <cellStyle name="Style 25 3 2 4 6" xfId="37435" xr:uid="{00000000-0005-0000-0000-000040920000}"/>
    <cellStyle name="Style 25 3 2 5" xfId="37436" xr:uid="{00000000-0005-0000-0000-000041920000}"/>
    <cellStyle name="Style 25 3 2 5 2" xfId="37437" xr:uid="{00000000-0005-0000-0000-000042920000}"/>
    <cellStyle name="Style 25 3 2 5 3" xfId="37438" xr:uid="{00000000-0005-0000-0000-000043920000}"/>
    <cellStyle name="Style 25 3 2 6" xfId="37439" xr:uid="{00000000-0005-0000-0000-000044920000}"/>
    <cellStyle name="Style 25 3 2 6 2" xfId="37440" xr:uid="{00000000-0005-0000-0000-000045920000}"/>
    <cellStyle name="Style 25 3 2 6 3" xfId="37441" xr:uid="{00000000-0005-0000-0000-000046920000}"/>
    <cellStyle name="Style 25 3 2 7" xfId="37442" xr:uid="{00000000-0005-0000-0000-000047920000}"/>
    <cellStyle name="Style 25 3 2 7 2" xfId="37443" xr:uid="{00000000-0005-0000-0000-000048920000}"/>
    <cellStyle name="Style 25 3 2 7 3" xfId="37444" xr:uid="{00000000-0005-0000-0000-000049920000}"/>
    <cellStyle name="Style 25 3 2 8" xfId="37445" xr:uid="{00000000-0005-0000-0000-00004A920000}"/>
    <cellStyle name="Style 25 3 2 9" xfId="37446" xr:uid="{00000000-0005-0000-0000-00004B920000}"/>
    <cellStyle name="Style 25 3 3" xfId="37447" xr:uid="{00000000-0005-0000-0000-00004C920000}"/>
    <cellStyle name="Style 25 3 3 2" xfId="37448" xr:uid="{00000000-0005-0000-0000-00004D920000}"/>
    <cellStyle name="Style 25 3 3 2 2" xfId="37449" xr:uid="{00000000-0005-0000-0000-00004E920000}"/>
    <cellStyle name="Style 25 3 3 2 2 2" xfId="37450" xr:uid="{00000000-0005-0000-0000-00004F920000}"/>
    <cellStyle name="Style 25 3 3 2 2 3" xfId="37451" xr:uid="{00000000-0005-0000-0000-000050920000}"/>
    <cellStyle name="Style 25 3 3 2 3" xfId="37452" xr:uid="{00000000-0005-0000-0000-000051920000}"/>
    <cellStyle name="Style 25 3 3 2 3 2" xfId="37453" xr:uid="{00000000-0005-0000-0000-000052920000}"/>
    <cellStyle name="Style 25 3 3 2 3 3" xfId="37454" xr:uid="{00000000-0005-0000-0000-000053920000}"/>
    <cellStyle name="Style 25 3 3 2 4" xfId="37455" xr:uid="{00000000-0005-0000-0000-000054920000}"/>
    <cellStyle name="Style 25 3 3 2 5" xfId="37456" xr:uid="{00000000-0005-0000-0000-000055920000}"/>
    <cellStyle name="Style 25 3 3 2 6" xfId="37457" xr:uid="{00000000-0005-0000-0000-000056920000}"/>
    <cellStyle name="Style 25 3 3 3" xfId="37458" xr:uid="{00000000-0005-0000-0000-000057920000}"/>
    <cellStyle name="Style 25 3 3 3 2" xfId="37459" xr:uid="{00000000-0005-0000-0000-000058920000}"/>
    <cellStyle name="Style 25 3 3 3 3" xfId="37460" xr:uid="{00000000-0005-0000-0000-000059920000}"/>
    <cellStyle name="Style 25 3 3 4" xfId="37461" xr:uid="{00000000-0005-0000-0000-00005A920000}"/>
    <cellStyle name="Style 25 3 3 4 2" xfId="37462" xr:uid="{00000000-0005-0000-0000-00005B920000}"/>
    <cellStyle name="Style 25 3 3 4 3" xfId="37463" xr:uid="{00000000-0005-0000-0000-00005C920000}"/>
    <cellStyle name="Style 25 3 3 5" xfId="37464" xr:uid="{00000000-0005-0000-0000-00005D920000}"/>
    <cellStyle name="Style 25 3 3 5 2" xfId="37465" xr:uid="{00000000-0005-0000-0000-00005E920000}"/>
    <cellStyle name="Style 25 3 3 5 3" xfId="37466" xr:uid="{00000000-0005-0000-0000-00005F920000}"/>
    <cellStyle name="Style 25 3 3 6" xfId="37467" xr:uid="{00000000-0005-0000-0000-000060920000}"/>
    <cellStyle name="Style 25 3 3 7" xfId="37468" xr:uid="{00000000-0005-0000-0000-000061920000}"/>
    <cellStyle name="Style 25 3 3 8" xfId="37469" xr:uid="{00000000-0005-0000-0000-000062920000}"/>
    <cellStyle name="Style 25 3 4" xfId="37470" xr:uid="{00000000-0005-0000-0000-000063920000}"/>
    <cellStyle name="Style 25 3 4 2" xfId="37471" xr:uid="{00000000-0005-0000-0000-000064920000}"/>
    <cellStyle name="Style 25 3 4 2 2" xfId="37472" xr:uid="{00000000-0005-0000-0000-000065920000}"/>
    <cellStyle name="Style 25 3 4 2 2 2" xfId="37473" xr:uid="{00000000-0005-0000-0000-000066920000}"/>
    <cellStyle name="Style 25 3 4 2 2 3" xfId="37474" xr:uid="{00000000-0005-0000-0000-000067920000}"/>
    <cellStyle name="Style 25 3 4 2 3" xfId="37475" xr:uid="{00000000-0005-0000-0000-000068920000}"/>
    <cellStyle name="Style 25 3 4 2 3 2" xfId="37476" xr:uid="{00000000-0005-0000-0000-000069920000}"/>
    <cellStyle name="Style 25 3 4 2 3 3" xfId="37477" xr:uid="{00000000-0005-0000-0000-00006A920000}"/>
    <cellStyle name="Style 25 3 4 2 4" xfId="37478" xr:uid="{00000000-0005-0000-0000-00006B920000}"/>
    <cellStyle name="Style 25 3 4 2 5" xfId="37479" xr:uid="{00000000-0005-0000-0000-00006C920000}"/>
    <cellStyle name="Style 25 3 4 2 6" xfId="37480" xr:uid="{00000000-0005-0000-0000-00006D920000}"/>
    <cellStyle name="Style 25 3 4 3" xfId="37481" xr:uid="{00000000-0005-0000-0000-00006E920000}"/>
    <cellStyle name="Style 25 3 4 3 2" xfId="37482" xr:uid="{00000000-0005-0000-0000-00006F920000}"/>
    <cellStyle name="Style 25 3 4 3 3" xfId="37483" xr:uid="{00000000-0005-0000-0000-000070920000}"/>
    <cellStyle name="Style 25 3 4 4" xfId="37484" xr:uid="{00000000-0005-0000-0000-000071920000}"/>
    <cellStyle name="Style 25 3 4 4 2" xfId="37485" xr:uid="{00000000-0005-0000-0000-000072920000}"/>
    <cellStyle name="Style 25 3 4 4 3" xfId="37486" xr:uid="{00000000-0005-0000-0000-000073920000}"/>
    <cellStyle name="Style 25 3 4 5" xfId="37487" xr:uid="{00000000-0005-0000-0000-000074920000}"/>
    <cellStyle name="Style 25 3 4 5 2" xfId="37488" xr:uid="{00000000-0005-0000-0000-000075920000}"/>
    <cellStyle name="Style 25 3 4 5 3" xfId="37489" xr:uid="{00000000-0005-0000-0000-000076920000}"/>
    <cellStyle name="Style 25 3 4 6" xfId="37490" xr:uid="{00000000-0005-0000-0000-000077920000}"/>
    <cellStyle name="Style 25 3 4 7" xfId="37491" xr:uid="{00000000-0005-0000-0000-000078920000}"/>
    <cellStyle name="Style 25 3 4 8" xfId="37492" xr:uid="{00000000-0005-0000-0000-000079920000}"/>
    <cellStyle name="Style 25 3 5" xfId="37493" xr:uid="{00000000-0005-0000-0000-00007A920000}"/>
    <cellStyle name="Style 25 3 5 2" xfId="37494" xr:uid="{00000000-0005-0000-0000-00007B920000}"/>
    <cellStyle name="Style 25 3 5 2 2" xfId="37495" xr:uid="{00000000-0005-0000-0000-00007C920000}"/>
    <cellStyle name="Style 25 3 5 2 2 2" xfId="37496" xr:uid="{00000000-0005-0000-0000-00007D920000}"/>
    <cellStyle name="Style 25 3 5 2 2 3" xfId="37497" xr:uid="{00000000-0005-0000-0000-00007E920000}"/>
    <cellStyle name="Style 25 3 5 2 3" xfId="37498" xr:uid="{00000000-0005-0000-0000-00007F920000}"/>
    <cellStyle name="Style 25 3 5 2 3 2" xfId="37499" xr:uid="{00000000-0005-0000-0000-000080920000}"/>
    <cellStyle name="Style 25 3 5 2 3 3" xfId="37500" xr:uid="{00000000-0005-0000-0000-000081920000}"/>
    <cellStyle name="Style 25 3 5 2 4" xfId="37501" xr:uid="{00000000-0005-0000-0000-000082920000}"/>
    <cellStyle name="Style 25 3 5 2 5" xfId="37502" xr:uid="{00000000-0005-0000-0000-000083920000}"/>
    <cellStyle name="Style 25 3 5 2 6" xfId="37503" xr:uid="{00000000-0005-0000-0000-000084920000}"/>
    <cellStyle name="Style 25 3 5 3" xfId="37504" xr:uid="{00000000-0005-0000-0000-000085920000}"/>
    <cellStyle name="Style 25 3 5 3 2" xfId="37505" xr:uid="{00000000-0005-0000-0000-000086920000}"/>
    <cellStyle name="Style 25 3 5 3 3" xfId="37506" xr:uid="{00000000-0005-0000-0000-000087920000}"/>
    <cellStyle name="Style 25 3 5 4" xfId="37507" xr:uid="{00000000-0005-0000-0000-000088920000}"/>
    <cellStyle name="Style 25 3 5 4 2" xfId="37508" xr:uid="{00000000-0005-0000-0000-000089920000}"/>
    <cellStyle name="Style 25 3 5 4 3" xfId="37509" xr:uid="{00000000-0005-0000-0000-00008A920000}"/>
    <cellStyle name="Style 25 3 5 5" xfId="37510" xr:uid="{00000000-0005-0000-0000-00008B920000}"/>
    <cellStyle name="Style 25 3 5 5 2" xfId="37511" xr:uid="{00000000-0005-0000-0000-00008C920000}"/>
    <cellStyle name="Style 25 3 5 5 3" xfId="37512" xr:uid="{00000000-0005-0000-0000-00008D920000}"/>
    <cellStyle name="Style 25 3 5 6" xfId="37513" xr:uid="{00000000-0005-0000-0000-00008E920000}"/>
    <cellStyle name="Style 25 3 5 7" xfId="37514" xr:uid="{00000000-0005-0000-0000-00008F920000}"/>
    <cellStyle name="Style 25 3 5 8" xfId="37515" xr:uid="{00000000-0005-0000-0000-000090920000}"/>
    <cellStyle name="Style 25 3 6" xfId="37516" xr:uid="{00000000-0005-0000-0000-000091920000}"/>
    <cellStyle name="Style 25 3 6 2" xfId="37517" xr:uid="{00000000-0005-0000-0000-000092920000}"/>
    <cellStyle name="Style 25 3 6 2 2" xfId="37518" xr:uid="{00000000-0005-0000-0000-000093920000}"/>
    <cellStyle name="Style 25 3 6 2 3" xfId="37519" xr:uid="{00000000-0005-0000-0000-000094920000}"/>
    <cellStyle name="Style 25 3 6 3" xfId="37520" xr:uid="{00000000-0005-0000-0000-000095920000}"/>
    <cellStyle name="Style 25 3 6 3 2" xfId="37521" xr:uid="{00000000-0005-0000-0000-000096920000}"/>
    <cellStyle name="Style 25 3 6 3 3" xfId="37522" xr:uid="{00000000-0005-0000-0000-000097920000}"/>
    <cellStyle name="Style 25 3 6 4" xfId="37523" xr:uid="{00000000-0005-0000-0000-000098920000}"/>
    <cellStyle name="Style 25 3 6 5" xfId="37524" xr:uid="{00000000-0005-0000-0000-000099920000}"/>
    <cellStyle name="Style 25 3 6 6" xfId="37525" xr:uid="{00000000-0005-0000-0000-00009A920000}"/>
    <cellStyle name="Style 25 3 7" xfId="37526" xr:uid="{00000000-0005-0000-0000-00009B920000}"/>
    <cellStyle name="Style 25 3 7 2" xfId="37527" xr:uid="{00000000-0005-0000-0000-00009C920000}"/>
    <cellStyle name="Style 25 3 7 3" xfId="37528" xr:uid="{00000000-0005-0000-0000-00009D920000}"/>
    <cellStyle name="Style 25 3 8" xfId="37529" xr:uid="{00000000-0005-0000-0000-00009E920000}"/>
    <cellStyle name="Style 25 3 8 2" xfId="37530" xr:uid="{00000000-0005-0000-0000-00009F920000}"/>
    <cellStyle name="Style 25 3 8 3" xfId="37531" xr:uid="{00000000-0005-0000-0000-0000A0920000}"/>
    <cellStyle name="Style 25 3 9" xfId="37532" xr:uid="{00000000-0005-0000-0000-0000A1920000}"/>
    <cellStyle name="Style 25 3 9 2" xfId="37533" xr:uid="{00000000-0005-0000-0000-0000A2920000}"/>
    <cellStyle name="Style 25 3 9 3" xfId="37534" xr:uid="{00000000-0005-0000-0000-0000A3920000}"/>
    <cellStyle name="Style 25 4" xfId="37535" xr:uid="{00000000-0005-0000-0000-0000A4920000}"/>
    <cellStyle name="Style 25 4 10" xfId="37536" xr:uid="{00000000-0005-0000-0000-0000A5920000}"/>
    <cellStyle name="Style 25 4 11" xfId="37537" xr:uid="{00000000-0005-0000-0000-0000A6920000}"/>
    <cellStyle name="Style 25 4 12" xfId="37538" xr:uid="{00000000-0005-0000-0000-0000A7920000}"/>
    <cellStyle name="Style 25 4 2" xfId="37539" xr:uid="{00000000-0005-0000-0000-0000A8920000}"/>
    <cellStyle name="Style 25 4 2 10" xfId="37540" xr:uid="{00000000-0005-0000-0000-0000A9920000}"/>
    <cellStyle name="Style 25 4 2 2" xfId="37541" xr:uid="{00000000-0005-0000-0000-0000AA920000}"/>
    <cellStyle name="Style 25 4 2 2 2" xfId="37542" xr:uid="{00000000-0005-0000-0000-0000AB920000}"/>
    <cellStyle name="Style 25 4 2 2 2 2" xfId="37543" xr:uid="{00000000-0005-0000-0000-0000AC920000}"/>
    <cellStyle name="Style 25 4 2 2 2 2 2" xfId="37544" xr:uid="{00000000-0005-0000-0000-0000AD920000}"/>
    <cellStyle name="Style 25 4 2 2 2 2 3" xfId="37545" xr:uid="{00000000-0005-0000-0000-0000AE920000}"/>
    <cellStyle name="Style 25 4 2 2 2 3" xfId="37546" xr:uid="{00000000-0005-0000-0000-0000AF920000}"/>
    <cellStyle name="Style 25 4 2 2 2 3 2" xfId="37547" xr:uid="{00000000-0005-0000-0000-0000B0920000}"/>
    <cellStyle name="Style 25 4 2 2 2 3 3" xfId="37548" xr:uid="{00000000-0005-0000-0000-0000B1920000}"/>
    <cellStyle name="Style 25 4 2 2 2 4" xfId="37549" xr:uid="{00000000-0005-0000-0000-0000B2920000}"/>
    <cellStyle name="Style 25 4 2 2 2 5" xfId="37550" xr:uid="{00000000-0005-0000-0000-0000B3920000}"/>
    <cellStyle name="Style 25 4 2 2 2 6" xfId="37551" xr:uid="{00000000-0005-0000-0000-0000B4920000}"/>
    <cellStyle name="Style 25 4 2 2 3" xfId="37552" xr:uid="{00000000-0005-0000-0000-0000B5920000}"/>
    <cellStyle name="Style 25 4 2 2 3 2" xfId="37553" xr:uid="{00000000-0005-0000-0000-0000B6920000}"/>
    <cellStyle name="Style 25 4 2 2 3 3" xfId="37554" xr:uid="{00000000-0005-0000-0000-0000B7920000}"/>
    <cellStyle name="Style 25 4 2 2 4" xfId="37555" xr:uid="{00000000-0005-0000-0000-0000B8920000}"/>
    <cellStyle name="Style 25 4 2 2 4 2" xfId="37556" xr:uid="{00000000-0005-0000-0000-0000B9920000}"/>
    <cellStyle name="Style 25 4 2 2 4 3" xfId="37557" xr:uid="{00000000-0005-0000-0000-0000BA920000}"/>
    <cellStyle name="Style 25 4 2 2 5" xfId="37558" xr:uid="{00000000-0005-0000-0000-0000BB920000}"/>
    <cellStyle name="Style 25 4 2 2 5 2" xfId="37559" xr:uid="{00000000-0005-0000-0000-0000BC920000}"/>
    <cellStyle name="Style 25 4 2 2 5 3" xfId="37560" xr:uid="{00000000-0005-0000-0000-0000BD920000}"/>
    <cellStyle name="Style 25 4 2 2 6" xfId="37561" xr:uid="{00000000-0005-0000-0000-0000BE920000}"/>
    <cellStyle name="Style 25 4 2 2 7" xfId="37562" xr:uid="{00000000-0005-0000-0000-0000BF920000}"/>
    <cellStyle name="Style 25 4 2 2 8" xfId="37563" xr:uid="{00000000-0005-0000-0000-0000C0920000}"/>
    <cellStyle name="Style 25 4 2 3" xfId="37564" xr:uid="{00000000-0005-0000-0000-0000C1920000}"/>
    <cellStyle name="Style 25 4 2 3 2" xfId="37565" xr:uid="{00000000-0005-0000-0000-0000C2920000}"/>
    <cellStyle name="Style 25 4 2 3 2 2" xfId="37566" xr:uid="{00000000-0005-0000-0000-0000C3920000}"/>
    <cellStyle name="Style 25 4 2 3 2 2 2" xfId="37567" xr:uid="{00000000-0005-0000-0000-0000C4920000}"/>
    <cellStyle name="Style 25 4 2 3 2 2 3" xfId="37568" xr:uid="{00000000-0005-0000-0000-0000C5920000}"/>
    <cellStyle name="Style 25 4 2 3 2 3" xfId="37569" xr:uid="{00000000-0005-0000-0000-0000C6920000}"/>
    <cellStyle name="Style 25 4 2 3 2 3 2" xfId="37570" xr:uid="{00000000-0005-0000-0000-0000C7920000}"/>
    <cellStyle name="Style 25 4 2 3 2 3 3" xfId="37571" xr:uid="{00000000-0005-0000-0000-0000C8920000}"/>
    <cellStyle name="Style 25 4 2 3 2 4" xfId="37572" xr:uid="{00000000-0005-0000-0000-0000C9920000}"/>
    <cellStyle name="Style 25 4 2 3 2 5" xfId="37573" xr:uid="{00000000-0005-0000-0000-0000CA920000}"/>
    <cellStyle name="Style 25 4 2 3 2 6" xfId="37574" xr:uid="{00000000-0005-0000-0000-0000CB920000}"/>
    <cellStyle name="Style 25 4 2 3 3" xfId="37575" xr:uid="{00000000-0005-0000-0000-0000CC920000}"/>
    <cellStyle name="Style 25 4 2 3 3 2" xfId="37576" xr:uid="{00000000-0005-0000-0000-0000CD920000}"/>
    <cellStyle name="Style 25 4 2 3 3 3" xfId="37577" xr:uid="{00000000-0005-0000-0000-0000CE920000}"/>
    <cellStyle name="Style 25 4 2 3 4" xfId="37578" xr:uid="{00000000-0005-0000-0000-0000CF920000}"/>
    <cellStyle name="Style 25 4 2 3 4 2" xfId="37579" xr:uid="{00000000-0005-0000-0000-0000D0920000}"/>
    <cellStyle name="Style 25 4 2 3 4 3" xfId="37580" xr:uid="{00000000-0005-0000-0000-0000D1920000}"/>
    <cellStyle name="Style 25 4 2 3 5" xfId="37581" xr:uid="{00000000-0005-0000-0000-0000D2920000}"/>
    <cellStyle name="Style 25 4 2 3 5 2" xfId="37582" xr:uid="{00000000-0005-0000-0000-0000D3920000}"/>
    <cellStyle name="Style 25 4 2 3 5 3" xfId="37583" xr:uid="{00000000-0005-0000-0000-0000D4920000}"/>
    <cellStyle name="Style 25 4 2 3 6" xfId="37584" xr:uid="{00000000-0005-0000-0000-0000D5920000}"/>
    <cellStyle name="Style 25 4 2 3 7" xfId="37585" xr:uid="{00000000-0005-0000-0000-0000D6920000}"/>
    <cellStyle name="Style 25 4 2 3 8" xfId="37586" xr:uid="{00000000-0005-0000-0000-0000D7920000}"/>
    <cellStyle name="Style 25 4 2 4" xfId="37587" xr:uid="{00000000-0005-0000-0000-0000D8920000}"/>
    <cellStyle name="Style 25 4 2 4 2" xfId="37588" xr:uid="{00000000-0005-0000-0000-0000D9920000}"/>
    <cellStyle name="Style 25 4 2 4 2 2" xfId="37589" xr:uid="{00000000-0005-0000-0000-0000DA920000}"/>
    <cellStyle name="Style 25 4 2 4 2 3" xfId="37590" xr:uid="{00000000-0005-0000-0000-0000DB920000}"/>
    <cellStyle name="Style 25 4 2 4 3" xfId="37591" xr:uid="{00000000-0005-0000-0000-0000DC920000}"/>
    <cellStyle name="Style 25 4 2 4 3 2" xfId="37592" xr:uid="{00000000-0005-0000-0000-0000DD920000}"/>
    <cellStyle name="Style 25 4 2 4 3 3" xfId="37593" xr:uid="{00000000-0005-0000-0000-0000DE920000}"/>
    <cellStyle name="Style 25 4 2 4 4" xfId="37594" xr:uid="{00000000-0005-0000-0000-0000DF920000}"/>
    <cellStyle name="Style 25 4 2 4 5" xfId="37595" xr:uid="{00000000-0005-0000-0000-0000E0920000}"/>
    <cellStyle name="Style 25 4 2 4 6" xfId="37596" xr:uid="{00000000-0005-0000-0000-0000E1920000}"/>
    <cellStyle name="Style 25 4 2 5" xfId="37597" xr:uid="{00000000-0005-0000-0000-0000E2920000}"/>
    <cellStyle name="Style 25 4 2 5 2" xfId="37598" xr:uid="{00000000-0005-0000-0000-0000E3920000}"/>
    <cellStyle name="Style 25 4 2 5 3" xfId="37599" xr:uid="{00000000-0005-0000-0000-0000E4920000}"/>
    <cellStyle name="Style 25 4 2 6" xfId="37600" xr:uid="{00000000-0005-0000-0000-0000E5920000}"/>
    <cellStyle name="Style 25 4 2 6 2" xfId="37601" xr:uid="{00000000-0005-0000-0000-0000E6920000}"/>
    <cellStyle name="Style 25 4 2 6 3" xfId="37602" xr:uid="{00000000-0005-0000-0000-0000E7920000}"/>
    <cellStyle name="Style 25 4 2 7" xfId="37603" xr:uid="{00000000-0005-0000-0000-0000E8920000}"/>
    <cellStyle name="Style 25 4 2 7 2" xfId="37604" xr:uid="{00000000-0005-0000-0000-0000E9920000}"/>
    <cellStyle name="Style 25 4 2 7 3" xfId="37605" xr:uid="{00000000-0005-0000-0000-0000EA920000}"/>
    <cellStyle name="Style 25 4 2 8" xfId="37606" xr:uid="{00000000-0005-0000-0000-0000EB920000}"/>
    <cellStyle name="Style 25 4 2 9" xfId="37607" xr:uid="{00000000-0005-0000-0000-0000EC920000}"/>
    <cellStyle name="Style 25 4 3" xfId="37608" xr:uid="{00000000-0005-0000-0000-0000ED920000}"/>
    <cellStyle name="Style 25 4 3 2" xfId="37609" xr:uid="{00000000-0005-0000-0000-0000EE920000}"/>
    <cellStyle name="Style 25 4 3 2 2" xfId="37610" xr:uid="{00000000-0005-0000-0000-0000EF920000}"/>
    <cellStyle name="Style 25 4 3 2 2 2" xfId="37611" xr:uid="{00000000-0005-0000-0000-0000F0920000}"/>
    <cellStyle name="Style 25 4 3 2 2 3" xfId="37612" xr:uid="{00000000-0005-0000-0000-0000F1920000}"/>
    <cellStyle name="Style 25 4 3 2 3" xfId="37613" xr:uid="{00000000-0005-0000-0000-0000F2920000}"/>
    <cellStyle name="Style 25 4 3 2 3 2" xfId="37614" xr:uid="{00000000-0005-0000-0000-0000F3920000}"/>
    <cellStyle name="Style 25 4 3 2 3 3" xfId="37615" xr:uid="{00000000-0005-0000-0000-0000F4920000}"/>
    <cellStyle name="Style 25 4 3 2 4" xfId="37616" xr:uid="{00000000-0005-0000-0000-0000F5920000}"/>
    <cellStyle name="Style 25 4 3 2 5" xfId="37617" xr:uid="{00000000-0005-0000-0000-0000F6920000}"/>
    <cellStyle name="Style 25 4 3 2 6" xfId="37618" xr:uid="{00000000-0005-0000-0000-0000F7920000}"/>
    <cellStyle name="Style 25 4 3 3" xfId="37619" xr:uid="{00000000-0005-0000-0000-0000F8920000}"/>
    <cellStyle name="Style 25 4 3 3 2" xfId="37620" xr:uid="{00000000-0005-0000-0000-0000F9920000}"/>
    <cellStyle name="Style 25 4 3 3 3" xfId="37621" xr:uid="{00000000-0005-0000-0000-0000FA920000}"/>
    <cellStyle name="Style 25 4 3 4" xfId="37622" xr:uid="{00000000-0005-0000-0000-0000FB920000}"/>
    <cellStyle name="Style 25 4 3 4 2" xfId="37623" xr:uid="{00000000-0005-0000-0000-0000FC920000}"/>
    <cellStyle name="Style 25 4 3 4 3" xfId="37624" xr:uid="{00000000-0005-0000-0000-0000FD920000}"/>
    <cellStyle name="Style 25 4 3 5" xfId="37625" xr:uid="{00000000-0005-0000-0000-0000FE920000}"/>
    <cellStyle name="Style 25 4 3 5 2" xfId="37626" xr:uid="{00000000-0005-0000-0000-0000FF920000}"/>
    <cellStyle name="Style 25 4 3 5 3" xfId="37627" xr:uid="{00000000-0005-0000-0000-000000930000}"/>
    <cellStyle name="Style 25 4 3 6" xfId="37628" xr:uid="{00000000-0005-0000-0000-000001930000}"/>
    <cellStyle name="Style 25 4 3 7" xfId="37629" xr:uid="{00000000-0005-0000-0000-000002930000}"/>
    <cellStyle name="Style 25 4 3 8" xfId="37630" xr:uid="{00000000-0005-0000-0000-000003930000}"/>
    <cellStyle name="Style 25 4 4" xfId="37631" xr:uid="{00000000-0005-0000-0000-000004930000}"/>
    <cellStyle name="Style 25 4 4 2" xfId="37632" xr:uid="{00000000-0005-0000-0000-000005930000}"/>
    <cellStyle name="Style 25 4 4 2 2" xfId="37633" xr:uid="{00000000-0005-0000-0000-000006930000}"/>
    <cellStyle name="Style 25 4 4 2 2 2" xfId="37634" xr:uid="{00000000-0005-0000-0000-000007930000}"/>
    <cellStyle name="Style 25 4 4 2 2 3" xfId="37635" xr:uid="{00000000-0005-0000-0000-000008930000}"/>
    <cellStyle name="Style 25 4 4 2 3" xfId="37636" xr:uid="{00000000-0005-0000-0000-000009930000}"/>
    <cellStyle name="Style 25 4 4 2 3 2" xfId="37637" xr:uid="{00000000-0005-0000-0000-00000A930000}"/>
    <cellStyle name="Style 25 4 4 2 3 3" xfId="37638" xr:uid="{00000000-0005-0000-0000-00000B930000}"/>
    <cellStyle name="Style 25 4 4 2 4" xfId="37639" xr:uid="{00000000-0005-0000-0000-00000C930000}"/>
    <cellStyle name="Style 25 4 4 2 5" xfId="37640" xr:uid="{00000000-0005-0000-0000-00000D930000}"/>
    <cellStyle name="Style 25 4 4 2 6" xfId="37641" xr:uid="{00000000-0005-0000-0000-00000E930000}"/>
    <cellStyle name="Style 25 4 4 3" xfId="37642" xr:uid="{00000000-0005-0000-0000-00000F930000}"/>
    <cellStyle name="Style 25 4 4 3 2" xfId="37643" xr:uid="{00000000-0005-0000-0000-000010930000}"/>
    <cellStyle name="Style 25 4 4 3 3" xfId="37644" xr:uid="{00000000-0005-0000-0000-000011930000}"/>
    <cellStyle name="Style 25 4 4 4" xfId="37645" xr:uid="{00000000-0005-0000-0000-000012930000}"/>
    <cellStyle name="Style 25 4 4 4 2" xfId="37646" xr:uid="{00000000-0005-0000-0000-000013930000}"/>
    <cellStyle name="Style 25 4 4 4 3" xfId="37647" xr:uid="{00000000-0005-0000-0000-000014930000}"/>
    <cellStyle name="Style 25 4 4 5" xfId="37648" xr:uid="{00000000-0005-0000-0000-000015930000}"/>
    <cellStyle name="Style 25 4 4 5 2" xfId="37649" xr:uid="{00000000-0005-0000-0000-000016930000}"/>
    <cellStyle name="Style 25 4 4 5 3" xfId="37650" xr:uid="{00000000-0005-0000-0000-000017930000}"/>
    <cellStyle name="Style 25 4 4 6" xfId="37651" xr:uid="{00000000-0005-0000-0000-000018930000}"/>
    <cellStyle name="Style 25 4 4 7" xfId="37652" xr:uid="{00000000-0005-0000-0000-000019930000}"/>
    <cellStyle name="Style 25 4 4 8" xfId="37653" xr:uid="{00000000-0005-0000-0000-00001A930000}"/>
    <cellStyle name="Style 25 4 5" xfId="37654" xr:uid="{00000000-0005-0000-0000-00001B930000}"/>
    <cellStyle name="Style 25 4 5 2" xfId="37655" xr:uid="{00000000-0005-0000-0000-00001C930000}"/>
    <cellStyle name="Style 25 4 5 2 2" xfId="37656" xr:uid="{00000000-0005-0000-0000-00001D930000}"/>
    <cellStyle name="Style 25 4 5 2 2 2" xfId="37657" xr:uid="{00000000-0005-0000-0000-00001E930000}"/>
    <cellStyle name="Style 25 4 5 2 2 3" xfId="37658" xr:uid="{00000000-0005-0000-0000-00001F930000}"/>
    <cellStyle name="Style 25 4 5 2 3" xfId="37659" xr:uid="{00000000-0005-0000-0000-000020930000}"/>
    <cellStyle name="Style 25 4 5 2 3 2" xfId="37660" xr:uid="{00000000-0005-0000-0000-000021930000}"/>
    <cellStyle name="Style 25 4 5 2 3 3" xfId="37661" xr:uid="{00000000-0005-0000-0000-000022930000}"/>
    <cellStyle name="Style 25 4 5 2 4" xfId="37662" xr:uid="{00000000-0005-0000-0000-000023930000}"/>
    <cellStyle name="Style 25 4 5 2 5" xfId="37663" xr:uid="{00000000-0005-0000-0000-000024930000}"/>
    <cellStyle name="Style 25 4 5 2 6" xfId="37664" xr:uid="{00000000-0005-0000-0000-000025930000}"/>
    <cellStyle name="Style 25 4 5 3" xfId="37665" xr:uid="{00000000-0005-0000-0000-000026930000}"/>
    <cellStyle name="Style 25 4 5 3 2" xfId="37666" xr:uid="{00000000-0005-0000-0000-000027930000}"/>
    <cellStyle name="Style 25 4 5 3 3" xfId="37667" xr:uid="{00000000-0005-0000-0000-000028930000}"/>
    <cellStyle name="Style 25 4 5 4" xfId="37668" xr:uid="{00000000-0005-0000-0000-000029930000}"/>
    <cellStyle name="Style 25 4 5 4 2" xfId="37669" xr:uid="{00000000-0005-0000-0000-00002A930000}"/>
    <cellStyle name="Style 25 4 5 4 3" xfId="37670" xr:uid="{00000000-0005-0000-0000-00002B930000}"/>
    <cellStyle name="Style 25 4 5 5" xfId="37671" xr:uid="{00000000-0005-0000-0000-00002C930000}"/>
    <cellStyle name="Style 25 4 5 5 2" xfId="37672" xr:uid="{00000000-0005-0000-0000-00002D930000}"/>
    <cellStyle name="Style 25 4 5 5 3" xfId="37673" xr:uid="{00000000-0005-0000-0000-00002E930000}"/>
    <cellStyle name="Style 25 4 5 6" xfId="37674" xr:uid="{00000000-0005-0000-0000-00002F930000}"/>
    <cellStyle name="Style 25 4 5 7" xfId="37675" xr:uid="{00000000-0005-0000-0000-000030930000}"/>
    <cellStyle name="Style 25 4 5 8" xfId="37676" xr:uid="{00000000-0005-0000-0000-000031930000}"/>
    <cellStyle name="Style 25 4 6" xfId="37677" xr:uid="{00000000-0005-0000-0000-000032930000}"/>
    <cellStyle name="Style 25 4 6 2" xfId="37678" xr:uid="{00000000-0005-0000-0000-000033930000}"/>
    <cellStyle name="Style 25 4 6 2 2" xfId="37679" xr:uid="{00000000-0005-0000-0000-000034930000}"/>
    <cellStyle name="Style 25 4 6 2 3" xfId="37680" xr:uid="{00000000-0005-0000-0000-000035930000}"/>
    <cellStyle name="Style 25 4 6 3" xfId="37681" xr:uid="{00000000-0005-0000-0000-000036930000}"/>
    <cellStyle name="Style 25 4 6 3 2" xfId="37682" xr:uid="{00000000-0005-0000-0000-000037930000}"/>
    <cellStyle name="Style 25 4 6 3 3" xfId="37683" xr:uid="{00000000-0005-0000-0000-000038930000}"/>
    <cellStyle name="Style 25 4 6 4" xfId="37684" xr:uid="{00000000-0005-0000-0000-000039930000}"/>
    <cellStyle name="Style 25 4 6 5" xfId="37685" xr:uid="{00000000-0005-0000-0000-00003A930000}"/>
    <cellStyle name="Style 25 4 6 6" xfId="37686" xr:uid="{00000000-0005-0000-0000-00003B930000}"/>
    <cellStyle name="Style 25 4 7" xfId="37687" xr:uid="{00000000-0005-0000-0000-00003C930000}"/>
    <cellStyle name="Style 25 4 7 2" xfId="37688" xr:uid="{00000000-0005-0000-0000-00003D930000}"/>
    <cellStyle name="Style 25 4 7 3" xfId="37689" xr:uid="{00000000-0005-0000-0000-00003E930000}"/>
    <cellStyle name="Style 25 4 8" xfId="37690" xr:uid="{00000000-0005-0000-0000-00003F930000}"/>
    <cellStyle name="Style 25 4 8 2" xfId="37691" xr:uid="{00000000-0005-0000-0000-000040930000}"/>
    <cellStyle name="Style 25 4 8 3" xfId="37692" xr:uid="{00000000-0005-0000-0000-000041930000}"/>
    <cellStyle name="Style 25 4 9" xfId="37693" xr:uid="{00000000-0005-0000-0000-000042930000}"/>
    <cellStyle name="Style 25 4 9 2" xfId="37694" xr:uid="{00000000-0005-0000-0000-000043930000}"/>
    <cellStyle name="Style 25 4 9 3" xfId="37695" xr:uid="{00000000-0005-0000-0000-000044930000}"/>
    <cellStyle name="Style 25 5" xfId="37696" xr:uid="{00000000-0005-0000-0000-000045930000}"/>
    <cellStyle name="Style 25 5 10" xfId="37697" xr:uid="{00000000-0005-0000-0000-000046930000}"/>
    <cellStyle name="Style 25 5 11" xfId="37698" xr:uid="{00000000-0005-0000-0000-000047930000}"/>
    <cellStyle name="Style 25 5 12" xfId="37699" xr:uid="{00000000-0005-0000-0000-000048930000}"/>
    <cellStyle name="Style 25 5 2" xfId="37700" xr:uid="{00000000-0005-0000-0000-000049930000}"/>
    <cellStyle name="Style 25 5 2 10" xfId="37701" xr:uid="{00000000-0005-0000-0000-00004A930000}"/>
    <cellStyle name="Style 25 5 2 2" xfId="37702" xr:uid="{00000000-0005-0000-0000-00004B930000}"/>
    <cellStyle name="Style 25 5 2 2 2" xfId="37703" xr:uid="{00000000-0005-0000-0000-00004C930000}"/>
    <cellStyle name="Style 25 5 2 2 2 2" xfId="37704" xr:uid="{00000000-0005-0000-0000-00004D930000}"/>
    <cellStyle name="Style 25 5 2 2 2 2 2" xfId="37705" xr:uid="{00000000-0005-0000-0000-00004E930000}"/>
    <cellStyle name="Style 25 5 2 2 2 2 3" xfId="37706" xr:uid="{00000000-0005-0000-0000-00004F930000}"/>
    <cellStyle name="Style 25 5 2 2 2 3" xfId="37707" xr:uid="{00000000-0005-0000-0000-000050930000}"/>
    <cellStyle name="Style 25 5 2 2 2 3 2" xfId="37708" xr:uid="{00000000-0005-0000-0000-000051930000}"/>
    <cellStyle name="Style 25 5 2 2 2 3 3" xfId="37709" xr:uid="{00000000-0005-0000-0000-000052930000}"/>
    <cellStyle name="Style 25 5 2 2 2 4" xfId="37710" xr:uid="{00000000-0005-0000-0000-000053930000}"/>
    <cellStyle name="Style 25 5 2 2 2 5" xfId="37711" xr:uid="{00000000-0005-0000-0000-000054930000}"/>
    <cellStyle name="Style 25 5 2 2 2 6" xfId="37712" xr:uid="{00000000-0005-0000-0000-000055930000}"/>
    <cellStyle name="Style 25 5 2 2 3" xfId="37713" xr:uid="{00000000-0005-0000-0000-000056930000}"/>
    <cellStyle name="Style 25 5 2 2 3 2" xfId="37714" xr:uid="{00000000-0005-0000-0000-000057930000}"/>
    <cellStyle name="Style 25 5 2 2 3 3" xfId="37715" xr:uid="{00000000-0005-0000-0000-000058930000}"/>
    <cellStyle name="Style 25 5 2 2 4" xfId="37716" xr:uid="{00000000-0005-0000-0000-000059930000}"/>
    <cellStyle name="Style 25 5 2 2 4 2" xfId="37717" xr:uid="{00000000-0005-0000-0000-00005A930000}"/>
    <cellStyle name="Style 25 5 2 2 4 3" xfId="37718" xr:uid="{00000000-0005-0000-0000-00005B930000}"/>
    <cellStyle name="Style 25 5 2 2 5" xfId="37719" xr:uid="{00000000-0005-0000-0000-00005C930000}"/>
    <cellStyle name="Style 25 5 2 2 5 2" xfId="37720" xr:uid="{00000000-0005-0000-0000-00005D930000}"/>
    <cellStyle name="Style 25 5 2 2 5 3" xfId="37721" xr:uid="{00000000-0005-0000-0000-00005E930000}"/>
    <cellStyle name="Style 25 5 2 2 6" xfId="37722" xr:uid="{00000000-0005-0000-0000-00005F930000}"/>
    <cellStyle name="Style 25 5 2 2 7" xfId="37723" xr:uid="{00000000-0005-0000-0000-000060930000}"/>
    <cellStyle name="Style 25 5 2 2 8" xfId="37724" xr:uid="{00000000-0005-0000-0000-000061930000}"/>
    <cellStyle name="Style 25 5 2 3" xfId="37725" xr:uid="{00000000-0005-0000-0000-000062930000}"/>
    <cellStyle name="Style 25 5 2 3 2" xfId="37726" xr:uid="{00000000-0005-0000-0000-000063930000}"/>
    <cellStyle name="Style 25 5 2 3 2 2" xfId="37727" xr:uid="{00000000-0005-0000-0000-000064930000}"/>
    <cellStyle name="Style 25 5 2 3 2 2 2" xfId="37728" xr:uid="{00000000-0005-0000-0000-000065930000}"/>
    <cellStyle name="Style 25 5 2 3 2 2 3" xfId="37729" xr:uid="{00000000-0005-0000-0000-000066930000}"/>
    <cellStyle name="Style 25 5 2 3 2 3" xfId="37730" xr:uid="{00000000-0005-0000-0000-000067930000}"/>
    <cellStyle name="Style 25 5 2 3 2 3 2" xfId="37731" xr:uid="{00000000-0005-0000-0000-000068930000}"/>
    <cellStyle name="Style 25 5 2 3 2 3 3" xfId="37732" xr:uid="{00000000-0005-0000-0000-000069930000}"/>
    <cellStyle name="Style 25 5 2 3 2 4" xfId="37733" xr:uid="{00000000-0005-0000-0000-00006A930000}"/>
    <cellStyle name="Style 25 5 2 3 2 5" xfId="37734" xr:uid="{00000000-0005-0000-0000-00006B930000}"/>
    <cellStyle name="Style 25 5 2 3 2 6" xfId="37735" xr:uid="{00000000-0005-0000-0000-00006C930000}"/>
    <cellStyle name="Style 25 5 2 3 3" xfId="37736" xr:uid="{00000000-0005-0000-0000-00006D930000}"/>
    <cellStyle name="Style 25 5 2 3 3 2" xfId="37737" xr:uid="{00000000-0005-0000-0000-00006E930000}"/>
    <cellStyle name="Style 25 5 2 3 3 3" xfId="37738" xr:uid="{00000000-0005-0000-0000-00006F930000}"/>
    <cellStyle name="Style 25 5 2 3 4" xfId="37739" xr:uid="{00000000-0005-0000-0000-000070930000}"/>
    <cellStyle name="Style 25 5 2 3 4 2" xfId="37740" xr:uid="{00000000-0005-0000-0000-000071930000}"/>
    <cellStyle name="Style 25 5 2 3 4 3" xfId="37741" xr:uid="{00000000-0005-0000-0000-000072930000}"/>
    <cellStyle name="Style 25 5 2 3 5" xfId="37742" xr:uid="{00000000-0005-0000-0000-000073930000}"/>
    <cellStyle name="Style 25 5 2 3 5 2" xfId="37743" xr:uid="{00000000-0005-0000-0000-000074930000}"/>
    <cellStyle name="Style 25 5 2 3 5 3" xfId="37744" xr:uid="{00000000-0005-0000-0000-000075930000}"/>
    <cellStyle name="Style 25 5 2 3 6" xfId="37745" xr:uid="{00000000-0005-0000-0000-000076930000}"/>
    <cellStyle name="Style 25 5 2 3 7" xfId="37746" xr:uid="{00000000-0005-0000-0000-000077930000}"/>
    <cellStyle name="Style 25 5 2 3 8" xfId="37747" xr:uid="{00000000-0005-0000-0000-000078930000}"/>
    <cellStyle name="Style 25 5 2 4" xfId="37748" xr:uid="{00000000-0005-0000-0000-000079930000}"/>
    <cellStyle name="Style 25 5 2 4 2" xfId="37749" xr:uid="{00000000-0005-0000-0000-00007A930000}"/>
    <cellStyle name="Style 25 5 2 4 2 2" xfId="37750" xr:uid="{00000000-0005-0000-0000-00007B930000}"/>
    <cellStyle name="Style 25 5 2 4 2 3" xfId="37751" xr:uid="{00000000-0005-0000-0000-00007C930000}"/>
    <cellStyle name="Style 25 5 2 4 3" xfId="37752" xr:uid="{00000000-0005-0000-0000-00007D930000}"/>
    <cellStyle name="Style 25 5 2 4 3 2" xfId="37753" xr:uid="{00000000-0005-0000-0000-00007E930000}"/>
    <cellStyle name="Style 25 5 2 4 3 3" xfId="37754" xr:uid="{00000000-0005-0000-0000-00007F930000}"/>
    <cellStyle name="Style 25 5 2 4 4" xfId="37755" xr:uid="{00000000-0005-0000-0000-000080930000}"/>
    <cellStyle name="Style 25 5 2 4 5" xfId="37756" xr:uid="{00000000-0005-0000-0000-000081930000}"/>
    <cellStyle name="Style 25 5 2 4 6" xfId="37757" xr:uid="{00000000-0005-0000-0000-000082930000}"/>
    <cellStyle name="Style 25 5 2 5" xfId="37758" xr:uid="{00000000-0005-0000-0000-000083930000}"/>
    <cellStyle name="Style 25 5 2 5 2" xfId="37759" xr:uid="{00000000-0005-0000-0000-000084930000}"/>
    <cellStyle name="Style 25 5 2 5 3" xfId="37760" xr:uid="{00000000-0005-0000-0000-000085930000}"/>
    <cellStyle name="Style 25 5 2 6" xfId="37761" xr:uid="{00000000-0005-0000-0000-000086930000}"/>
    <cellStyle name="Style 25 5 2 6 2" xfId="37762" xr:uid="{00000000-0005-0000-0000-000087930000}"/>
    <cellStyle name="Style 25 5 2 6 3" xfId="37763" xr:uid="{00000000-0005-0000-0000-000088930000}"/>
    <cellStyle name="Style 25 5 2 7" xfId="37764" xr:uid="{00000000-0005-0000-0000-000089930000}"/>
    <cellStyle name="Style 25 5 2 7 2" xfId="37765" xr:uid="{00000000-0005-0000-0000-00008A930000}"/>
    <cellStyle name="Style 25 5 2 7 3" xfId="37766" xr:uid="{00000000-0005-0000-0000-00008B930000}"/>
    <cellStyle name="Style 25 5 2 8" xfId="37767" xr:uid="{00000000-0005-0000-0000-00008C930000}"/>
    <cellStyle name="Style 25 5 2 9" xfId="37768" xr:uid="{00000000-0005-0000-0000-00008D930000}"/>
    <cellStyle name="Style 25 5 3" xfId="37769" xr:uid="{00000000-0005-0000-0000-00008E930000}"/>
    <cellStyle name="Style 25 5 3 2" xfId="37770" xr:uid="{00000000-0005-0000-0000-00008F930000}"/>
    <cellStyle name="Style 25 5 3 2 2" xfId="37771" xr:uid="{00000000-0005-0000-0000-000090930000}"/>
    <cellStyle name="Style 25 5 3 2 2 2" xfId="37772" xr:uid="{00000000-0005-0000-0000-000091930000}"/>
    <cellStyle name="Style 25 5 3 2 2 3" xfId="37773" xr:uid="{00000000-0005-0000-0000-000092930000}"/>
    <cellStyle name="Style 25 5 3 2 3" xfId="37774" xr:uid="{00000000-0005-0000-0000-000093930000}"/>
    <cellStyle name="Style 25 5 3 2 3 2" xfId="37775" xr:uid="{00000000-0005-0000-0000-000094930000}"/>
    <cellStyle name="Style 25 5 3 2 3 3" xfId="37776" xr:uid="{00000000-0005-0000-0000-000095930000}"/>
    <cellStyle name="Style 25 5 3 2 4" xfId="37777" xr:uid="{00000000-0005-0000-0000-000096930000}"/>
    <cellStyle name="Style 25 5 3 2 5" xfId="37778" xr:uid="{00000000-0005-0000-0000-000097930000}"/>
    <cellStyle name="Style 25 5 3 2 6" xfId="37779" xr:uid="{00000000-0005-0000-0000-000098930000}"/>
    <cellStyle name="Style 25 5 3 3" xfId="37780" xr:uid="{00000000-0005-0000-0000-000099930000}"/>
    <cellStyle name="Style 25 5 3 3 2" xfId="37781" xr:uid="{00000000-0005-0000-0000-00009A930000}"/>
    <cellStyle name="Style 25 5 3 3 3" xfId="37782" xr:uid="{00000000-0005-0000-0000-00009B930000}"/>
    <cellStyle name="Style 25 5 3 4" xfId="37783" xr:uid="{00000000-0005-0000-0000-00009C930000}"/>
    <cellStyle name="Style 25 5 3 4 2" xfId="37784" xr:uid="{00000000-0005-0000-0000-00009D930000}"/>
    <cellStyle name="Style 25 5 3 4 3" xfId="37785" xr:uid="{00000000-0005-0000-0000-00009E930000}"/>
    <cellStyle name="Style 25 5 3 5" xfId="37786" xr:uid="{00000000-0005-0000-0000-00009F930000}"/>
    <cellStyle name="Style 25 5 3 5 2" xfId="37787" xr:uid="{00000000-0005-0000-0000-0000A0930000}"/>
    <cellStyle name="Style 25 5 3 5 3" xfId="37788" xr:uid="{00000000-0005-0000-0000-0000A1930000}"/>
    <cellStyle name="Style 25 5 3 6" xfId="37789" xr:uid="{00000000-0005-0000-0000-0000A2930000}"/>
    <cellStyle name="Style 25 5 3 7" xfId="37790" xr:uid="{00000000-0005-0000-0000-0000A3930000}"/>
    <cellStyle name="Style 25 5 3 8" xfId="37791" xr:uid="{00000000-0005-0000-0000-0000A4930000}"/>
    <cellStyle name="Style 25 5 4" xfId="37792" xr:uid="{00000000-0005-0000-0000-0000A5930000}"/>
    <cellStyle name="Style 25 5 4 2" xfId="37793" xr:uid="{00000000-0005-0000-0000-0000A6930000}"/>
    <cellStyle name="Style 25 5 4 2 2" xfId="37794" xr:uid="{00000000-0005-0000-0000-0000A7930000}"/>
    <cellStyle name="Style 25 5 4 2 2 2" xfId="37795" xr:uid="{00000000-0005-0000-0000-0000A8930000}"/>
    <cellStyle name="Style 25 5 4 2 2 3" xfId="37796" xr:uid="{00000000-0005-0000-0000-0000A9930000}"/>
    <cellStyle name="Style 25 5 4 2 3" xfId="37797" xr:uid="{00000000-0005-0000-0000-0000AA930000}"/>
    <cellStyle name="Style 25 5 4 2 3 2" xfId="37798" xr:uid="{00000000-0005-0000-0000-0000AB930000}"/>
    <cellStyle name="Style 25 5 4 2 3 3" xfId="37799" xr:uid="{00000000-0005-0000-0000-0000AC930000}"/>
    <cellStyle name="Style 25 5 4 2 4" xfId="37800" xr:uid="{00000000-0005-0000-0000-0000AD930000}"/>
    <cellStyle name="Style 25 5 4 2 5" xfId="37801" xr:uid="{00000000-0005-0000-0000-0000AE930000}"/>
    <cellStyle name="Style 25 5 4 2 6" xfId="37802" xr:uid="{00000000-0005-0000-0000-0000AF930000}"/>
    <cellStyle name="Style 25 5 4 3" xfId="37803" xr:uid="{00000000-0005-0000-0000-0000B0930000}"/>
    <cellStyle name="Style 25 5 4 3 2" xfId="37804" xr:uid="{00000000-0005-0000-0000-0000B1930000}"/>
    <cellStyle name="Style 25 5 4 3 3" xfId="37805" xr:uid="{00000000-0005-0000-0000-0000B2930000}"/>
    <cellStyle name="Style 25 5 4 4" xfId="37806" xr:uid="{00000000-0005-0000-0000-0000B3930000}"/>
    <cellStyle name="Style 25 5 4 4 2" xfId="37807" xr:uid="{00000000-0005-0000-0000-0000B4930000}"/>
    <cellStyle name="Style 25 5 4 4 3" xfId="37808" xr:uid="{00000000-0005-0000-0000-0000B5930000}"/>
    <cellStyle name="Style 25 5 4 5" xfId="37809" xr:uid="{00000000-0005-0000-0000-0000B6930000}"/>
    <cellStyle name="Style 25 5 4 5 2" xfId="37810" xr:uid="{00000000-0005-0000-0000-0000B7930000}"/>
    <cellStyle name="Style 25 5 4 5 3" xfId="37811" xr:uid="{00000000-0005-0000-0000-0000B8930000}"/>
    <cellStyle name="Style 25 5 4 6" xfId="37812" xr:uid="{00000000-0005-0000-0000-0000B9930000}"/>
    <cellStyle name="Style 25 5 4 7" xfId="37813" xr:uid="{00000000-0005-0000-0000-0000BA930000}"/>
    <cellStyle name="Style 25 5 4 8" xfId="37814" xr:uid="{00000000-0005-0000-0000-0000BB930000}"/>
    <cellStyle name="Style 25 5 5" xfId="37815" xr:uid="{00000000-0005-0000-0000-0000BC930000}"/>
    <cellStyle name="Style 25 5 5 2" xfId="37816" xr:uid="{00000000-0005-0000-0000-0000BD930000}"/>
    <cellStyle name="Style 25 5 5 2 2" xfId="37817" xr:uid="{00000000-0005-0000-0000-0000BE930000}"/>
    <cellStyle name="Style 25 5 5 2 2 2" xfId="37818" xr:uid="{00000000-0005-0000-0000-0000BF930000}"/>
    <cellStyle name="Style 25 5 5 2 2 3" xfId="37819" xr:uid="{00000000-0005-0000-0000-0000C0930000}"/>
    <cellStyle name="Style 25 5 5 2 3" xfId="37820" xr:uid="{00000000-0005-0000-0000-0000C1930000}"/>
    <cellStyle name="Style 25 5 5 2 3 2" xfId="37821" xr:uid="{00000000-0005-0000-0000-0000C2930000}"/>
    <cellStyle name="Style 25 5 5 2 3 3" xfId="37822" xr:uid="{00000000-0005-0000-0000-0000C3930000}"/>
    <cellStyle name="Style 25 5 5 2 4" xfId="37823" xr:uid="{00000000-0005-0000-0000-0000C4930000}"/>
    <cellStyle name="Style 25 5 5 2 5" xfId="37824" xr:uid="{00000000-0005-0000-0000-0000C5930000}"/>
    <cellStyle name="Style 25 5 5 2 6" xfId="37825" xr:uid="{00000000-0005-0000-0000-0000C6930000}"/>
    <cellStyle name="Style 25 5 5 3" xfId="37826" xr:uid="{00000000-0005-0000-0000-0000C7930000}"/>
    <cellStyle name="Style 25 5 5 3 2" xfId="37827" xr:uid="{00000000-0005-0000-0000-0000C8930000}"/>
    <cellStyle name="Style 25 5 5 3 3" xfId="37828" xr:uid="{00000000-0005-0000-0000-0000C9930000}"/>
    <cellStyle name="Style 25 5 5 4" xfId="37829" xr:uid="{00000000-0005-0000-0000-0000CA930000}"/>
    <cellStyle name="Style 25 5 5 4 2" xfId="37830" xr:uid="{00000000-0005-0000-0000-0000CB930000}"/>
    <cellStyle name="Style 25 5 5 4 3" xfId="37831" xr:uid="{00000000-0005-0000-0000-0000CC930000}"/>
    <cellStyle name="Style 25 5 5 5" xfId="37832" xr:uid="{00000000-0005-0000-0000-0000CD930000}"/>
    <cellStyle name="Style 25 5 5 5 2" xfId="37833" xr:uid="{00000000-0005-0000-0000-0000CE930000}"/>
    <cellStyle name="Style 25 5 5 5 3" xfId="37834" xr:uid="{00000000-0005-0000-0000-0000CF930000}"/>
    <cellStyle name="Style 25 5 5 6" xfId="37835" xr:uid="{00000000-0005-0000-0000-0000D0930000}"/>
    <cellStyle name="Style 25 5 5 7" xfId="37836" xr:uid="{00000000-0005-0000-0000-0000D1930000}"/>
    <cellStyle name="Style 25 5 5 8" xfId="37837" xr:uid="{00000000-0005-0000-0000-0000D2930000}"/>
    <cellStyle name="Style 25 5 6" xfId="37838" xr:uid="{00000000-0005-0000-0000-0000D3930000}"/>
    <cellStyle name="Style 25 5 6 2" xfId="37839" xr:uid="{00000000-0005-0000-0000-0000D4930000}"/>
    <cellStyle name="Style 25 5 6 2 2" xfId="37840" xr:uid="{00000000-0005-0000-0000-0000D5930000}"/>
    <cellStyle name="Style 25 5 6 2 3" xfId="37841" xr:uid="{00000000-0005-0000-0000-0000D6930000}"/>
    <cellStyle name="Style 25 5 6 3" xfId="37842" xr:uid="{00000000-0005-0000-0000-0000D7930000}"/>
    <cellStyle name="Style 25 5 6 3 2" xfId="37843" xr:uid="{00000000-0005-0000-0000-0000D8930000}"/>
    <cellStyle name="Style 25 5 6 3 3" xfId="37844" xr:uid="{00000000-0005-0000-0000-0000D9930000}"/>
    <cellStyle name="Style 25 5 6 4" xfId="37845" xr:uid="{00000000-0005-0000-0000-0000DA930000}"/>
    <cellStyle name="Style 25 5 6 5" xfId="37846" xr:uid="{00000000-0005-0000-0000-0000DB930000}"/>
    <cellStyle name="Style 25 5 6 6" xfId="37847" xr:uid="{00000000-0005-0000-0000-0000DC930000}"/>
    <cellStyle name="Style 25 5 7" xfId="37848" xr:uid="{00000000-0005-0000-0000-0000DD930000}"/>
    <cellStyle name="Style 25 5 7 2" xfId="37849" xr:uid="{00000000-0005-0000-0000-0000DE930000}"/>
    <cellStyle name="Style 25 5 7 3" xfId="37850" xr:uid="{00000000-0005-0000-0000-0000DF930000}"/>
    <cellStyle name="Style 25 5 8" xfId="37851" xr:uid="{00000000-0005-0000-0000-0000E0930000}"/>
    <cellStyle name="Style 25 5 8 2" xfId="37852" xr:uid="{00000000-0005-0000-0000-0000E1930000}"/>
    <cellStyle name="Style 25 5 8 3" xfId="37853" xr:uid="{00000000-0005-0000-0000-0000E2930000}"/>
    <cellStyle name="Style 25 5 9" xfId="37854" xr:uid="{00000000-0005-0000-0000-0000E3930000}"/>
    <cellStyle name="Style 25 5 9 2" xfId="37855" xr:uid="{00000000-0005-0000-0000-0000E4930000}"/>
    <cellStyle name="Style 25 5 9 3" xfId="37856" xr:uid="{00000000-0005-0000-0000-0000E5930000}"/>
    <cellStyle name="Style 25 6" xfId="37857" xr:uid="{00000000-0005-0000-0000-0000E6930000}"/>
    <cellStyle name="Style 25 6 10" xfId="37858" xr:uid="{00000000-0005-0000-0000-0000E7930000}"/>
    <cellStyle name="Style 25 6 11" xfId="37859" xr:uid="{00000000-0005-0000-0000-0000E8930000}"/>
    <cellStyle name="Style 25 6 12" xfId="37860" xr:uid="{00000000-0005-0000-0000-0000E9930000}"/>
    <cellStyle name="Style 25 6 2" xfId="37861" xr:uid="{00000000-0005-0000-0000-0000EA930000}"/>
    <cellStyle name="Style 25 6 2 10" xfId="37862" xr:uid="{00000000-0005-0000-0000-0000EB930000}"/>
    <cellStyle name="Style 25 6 2 2" xfId="37863" xr:uid="{00000000-0005-0000-0000-0000EC930000}"/>
    <cellStyle name="Style 25 6 2 2 2" xfId="37864" xr:uid="{00000000-0005-0000-0000-0000ED930000}"/>
    <cellStyle name="Style 25 6 2 2 2 2" xfId="37865" xr:uid="{00000000-0005-0000-0000-0000EE930000}"/>
    <cellStyle name="Style 25 6 2 2 2 2 2" xfId="37866" xr:uid="{00000000-0005-0000-0000-0000EF930000}"/>
    <cellStyle name="Style 25 6 2 2 2 2 3" xfId="37867" xr:uid="{00000000-0005-0000-0000-0000F0930000}"/>
    <cellStyle name="Style 25 6 2 2 2 3" xfId="37868" xr:uid="{00000000-0005-0000-0000-0000F1930000}"/>
    <cellStyle name="Style 25 6 2 2 2 3 2" xfId="37869" xr:uid="{00000000-0005-0000-0000-0000F2930000}"/>
    <cellStyle name="Style 25 6 2 2 2 3 3" xfId="37870" xr:uid="{00000000-0005-0000-0000-0000F3930000}"/>
    <cellStyle name="Style 25 6 2 2 2 4" xfId="37871" xr:uid="{00000000-0005-0000-0000-0000F4930000}"/>
    <cellStyle name="Style 25 6 2 2 2 5" xfId="37872" xr:uid="{00000000-0005-0000-0000-0000F5930000}"/>
    <cellStyle name="Style 25 6 2 2 2 6" xfId="37873" xr:uid="{00000000-0005-0000-0000-0000F6930000}"/>
    <cellStyle name="Style 25 6 2 2 3" xfId="37874" xr:uid="{00000000-0005-0000-0000-0000F7930000}"/>
    <cellStyle name="Style 25 6 2 2 3 2" xfId="37875" xr:uid="{00000000-0005-0000-0000-0000F8930000}"/>
    <cellStyle name="Style 25 6 2 2 3 3" xfId="37876" xr:uid="{00000000-0005-0000-0000-0000F9930000}"/>
    <cellStyle name="Style 25 6 2 2 4" xfId="37877" xr:uid="{00000000-0005-0000-0000-0000FA930000}"/>
    <cellStyle name="Style 25 6 2 2 4 2" xfId="37878" xr:uid="{00000000-0005-0000-0000-0000FB930000}"/>
    <cellStyle name="Style 25 6 2 2 4 3" xfId="37879" xr:uid="{00000000-0005-0000-0000-0000FC930000}"/>
    <cellStyle name="Style 25 6 2 2 5" xfId="37880" xr:uid="{00000000-0005-0000-0000-0000FD930000}"/>
    <cellStyle name="Style 25 6 2 2 5 2" xfId="37881" xr:uid="{00000000-0005-0000-0000-0000FE930000}"/>
    <cellStyle name="Style 25 6 2 2 5 3" xfId="37882" xr:uid="{00000000-0005-0000-0000-0000FF930000}"/>
    <cellStyle name="Style 25 6 2 2 6" xfId="37883" xr:uid="{00000000-0005-0000-0000-000000940000}"/>
    <cellStyle name="Style 25 6 2 2 7" xfId="37884" xr:uid="{00000000-0005-0000-0000-000001940000}"/>
    <cellStyle name="Style 25 6 2 2 8" xfId="37885" xr:uid="{00000000-0005-0000-0000-000002940000}"/>
    <cellStyle name="Style 25 6 2 3" xfId="37886" xr:uid="{00000000-0005-0000-0000-000003940000}"/>
    <cellStyle name="Style 25 6 2 3 2" xfId="37887" xr:uid="{00000000-0005-0000-0000-000004940000}"/>
    <cellStyle name="Style 25 6 2 3 2 2" xfId="37888" xr:uid="{00000000-0005-0000-0000-000005940000}"/>
    <cellStyle name="Style 25 6 2 3 2 2 2" xfId="37889" xr:uid="{00000000-0005-0000-0000-000006940000}"/>
    <cellStyle name="Style 25 6 2 3 2 2 3" xfId="37890" xr:uid="{00000000-0005-0000-0000-000007940000}"/>
    <cellStyle name="Style 25 6 2 3 2 3" xfId="37891" xr:uid="{00000000-0005-0000-0000-000008940000}"/>
    <cellStyle name="Style 25 6 2 3 2 3 2" xfId="37892" xr:uid="{00000000-0005-0000-0000-000009940000}"/>
    <cellStyle name="Style 25 6 2 3 2 3 3" xfId="37893" xr:uid="{00000000-0005-0000-0000-00000A940000}"/>
    <cellStyle name="Style 25 6 2 3 2 4" xfId="37894" xr:uid="{00000000-0005-0000-0000-00000B940000}"/>
    <cellStyle name="Style 25 6 2 3 2 5" xfId="37895" xr:uid="{00000000-0005-0000-0000-00000C940000}"/>
    <cellStyle name="Style 25 6 2 3 2 6" xfId="37896" xr:uid="{00000000-0005-0000-0000-00000D940000}"/>
    <cellStyle name="Style 25 6 2 3 3" xfId="37897" xr:uid="{00000000-0005-0000-0000-00000E940000}"/>
    <cellStyle name="Style 25 6 2 3 3 2" xfId="37898" xr:uid="{00000000-0005-0000-0000-00000F940000}"/>
    <cellStyle name="Style 25 6 2 3 3 3" xfId="37899" xr:uid="{00000000-0005-0000-0000-000010940000}"/>
    <cellStyle name="Style 25 6 2 3 4" xfId="37900" xr:uid="{00000000-0005-0000-0000-000011940000}"/>
    <cellStyle name="Style 25 6 2 3 4 2" xfId="37901" xr:uid="{00000000-0005-0000-0000-000012940000}"/>
    <cellStyle name="Style 25 6 2 3 4 3" xfId="37902" xr:uid="{00000000-0005-0000-0000-000013940000}"/>
    <cellStyle name="Style 25 6 2 3 5" xfId="37903" xr:uid="{00000000-0005-0000-0000-000014940000}"/>
    <cellStyle name="Style 25 6 2 3 5 2" xfId="37904" xr:uid="{00000000-0005-0000-0000-000015940000}"/>
    <cellStyle name="Style 25 6 2 3 5 3" xfId="37905" xr:uid="{00000000-0005-0000-0000-000016940000}"/>
    <cellStyle name="Style 25 6 2 3 6" xfId="37906" xr:uid="{00000000-0005-0000-0000-000017940000}"/>
    <cellStyle name="Style 25 6 2 3 7" xfId="37907" xr:uid="{00000000-0005-0000-0000-000018940000}"/>
    <cellStyle name="Style 25 6 2 3 8" xfId="37908" xr:uid="{00000000-0005-0000-0000-000019940000}"/>
    <cellStyle name="Style 25 6 2 4" xfId="37909" xr:uid="{00000000-0005-0000-0000-00001A940000}"/>
    <cellStyle name="Style 25 6 2 4 2" xfId="37910" xr:uid="{00000000-0005-0000-0000-00001B940000}"/>
    <cellStyle name="Style 25 6 2 4 2 2" xfId="37911" xr:uid="{00000000-0005-0000-0000-00001C940000}"/>
    <cellStyle name="Style 25 6 2 4 2 3" xfId="37912" xr:uid="{00000000-0005-0000-0000-00001D940000}"/>
    <cellStyle name="Style 25 6 2 4 3" xfId="37913" xr:uid="{00000000-0005-0000-0000-00001E940000}"/>
    <cellStyle name="Style 25 6 2 4 3 2" xfId="37914" xr:uid="{00000000-0005-0000-0000-00001F940000}"/>
    <cellStyle name="Style 25 6 2 4 3 3" xfId="37915" xr:uid="{00000000-0005-0000-0000-000020940000}"/>
    <cellStyle name="Style 25 6 2 4 4" xfId="37916" xr:uid="{00000000-0005-0000-0000-000021940000}"/>
    <cellStyle name="Style 25 6 2 4 5" xfId="37917" xr:uid="{00000000-0005-0000-0000-000022940000}"/>
    <cellStyle name="Style 25 6 2 4 6" xfId="37918" xr:uid="{00000000-0005-0000-0000-000023940000}"/>
    <cellStyle name="Style 25 6 2 5" xfId="37919" xr:uid="{00000000-0005-0000-0000-000024940000}"/>
    <cellStyle name="Style 25 6 2 5 2" xfId="37920" xr:uid="{00000000-0005-0000-0000-000025940000}"/>
    <cellStyle name="Style 25 6 2 5 3" xfId="37921" xr:uid="{00000000-0005-0000-0000-000026940000}"/>
    <cellStyle name="Style 25 6 2 6" xfId="37922" xr:uid="{00000000-0005-0000-0000-000027940000}"/>
    <cellStyle name="Style 25 6 2 6 2" xfId="37923" xr:uid="{00000000-0005-0000-0000-000028940000}"/>
    <cellStyle name="Style 25 6 2 6 3" xfId="37924" xr:uid="{00000000-0005-0000-0000-000029940000}"/>
    <cellStyle name="Style 25 6 2 7" xfId="37925" xr:uid="{00000000-0005-0000-0000-00002A940000}"/>
    <cellStyle name="Style 25 6 2 7 2" xfId="37926" xr:uid="{00000000-0005-0000-0000-00002B940000}"/>
    <cellStyle name="Style 25 6 2 7 3" xfId="37927" xr:uid="{00000000-0005-0000-0000-00002C940000}"/>
    <cellStyle name="Style 25 6 2 8" xfId="37928" xr:uid="{00000000-0005-0000-0000-00002D940000}"/>
    <cellStyle name="Style 25 6 2 9" xfId="37929" xr:uid="{00000000-0005-0000-0000-00002E940000}"/>
    <cellStyle name="Style 25 6 3" xfId="37930" xr:uid="{00000000-0005-0000-0000-00002F940000}"/>
    <cellStyle name="Style 25 6 3 2" xfId="37931" xr:uid="{00000000-0005-0000-0000-000030940000}"/>
    <cellStyle name="Style 25 6 3 2 2" xfId="37932" xr:uid="{00000000-0005-0000-0000-000031940000}"/>
    <cellStyle name="Style 25 6 3 2 2 2" xfId="37933" xr:uid="{00000000-0005-0000-0000-000032940000}"/>
    <cellStyle name="Style 25 6 3 2 2 3" xfId="37934" xr:uid="{00000000-0005-0000-0000-000033940000}"/>
    <cellStyle name="Style 25 6 3 2 3" xfId="37935" xr:uid="{00000000-0005-0000-0000-000034940000}"/>
    <cellStyle name="Style 25 6 3 2 3 2" xfId="37936" xr:uid="{00000000-0005-0000-0000-000035940000}"/>
    <cellStyle name="Style 25 6 3 2 3 3" xfId="37937" xr:uid="{00000000-0005-0000-0000-000036940000}"/>
    <cellStyle name="Style 25 6 3 2 4" xfId="37938" xr:uid="{00000000-0005-0000-0000-000037940000}"/>
    <cellStyle name="Style 25 6 3 2 5" xfId="37939" xr:uid="{00000000-0005-0000-0000-000038940000}"/>
    <cellStyle name="Style 25 6 3 2 6" xfId="37940" xr:uid="{00000000-0005-0000-0000-000039940000}"/>
    <cellStyle name="Style 25 6 3 3" xfId="37941" xr:uid="{00000000-0005-0000-0000-00003A940000}"/>
    <cellStyle name="Style 25 6 3 3 2" xfId="37942" xr:uid="{00000000-0005-0000-0000-00003B940000}"/>
    <cellStyle name="Style 25 6 3 3 3" xfId="37943" xr:uid="{00000000-0005-0000-0000-00003C940000}"/>
    <cellStyle name="Style 25 6 3 4" xfId="37944" xr:uid="{00000000-0005-0000-0000-00003D940000}"/>
    <cellStyle name="Style 25 6 3 4 2" xfId="37945" xr:uid="{00000000-0005-0000-0000-00003E940000}"/>
    <cellStyle name="Style 25 6 3 4 3" xfId="37946" xr:uid="{00000000-0005-0000-0000-00003F940000}"/>
    <cellStyle name="Style 25 6 3 5" xfId="37947" xr:uid="{00000000-0005-0000-0000-000040940000}"/>
    <cellStyle name="Style 25 6 3 5 2" xfId="37948" xr:uid="{00000000-0005-0000-0000-000041940000}"/>
    <cellStyle name="Style 25 6 3 5 3" xfId="37949" xr:uid="{00000000-0005-0000-0000-000042940000}"/>
    <cellStyle name="Style 25 6 3 6" xfId="37950" xr:uid="{00000000-0005-0000-0000-000043940000}"/>
    <cellStyle name="Style 25 6 3 7" xfId="37951" xr:uid="{00000000-0005-0000-0000-000044940000}"/>
    <cellStyle name="Style 25 6 3 8" xfId="37952" xr:uid="{00000000-0005-0000-0000-000045940000}"/>
    <cellStyle name="Style 25 6 4" xfId="37953" xr:uid="{00000000-0005-0000-0000-000046940000}"/>
    <cellStyle name="Style 25 6 4 2" xfId="37954" xr:uid="{00000000-0005-0000-0000-000047940000}"/>
    <cellStyle name="Style 25 6 4 2 2" xfId="37955" xr:uid="{00000000-0005-0000-0000-000048940000}"/>
    <cellStyle name="Style 25 6 4 2 2 2" xfId="37956" xr:uid="{00000000-0005-0000-0000-000049940000}"/>
    <cellStyle name="Style 25 6 4 2 2 3" xfId="37957" xr:uid="{00000000-0005-0000-0000-00004A940000}"/>
    <cellStyle name="Style 25 6 4 2 3" xfId="37958" xr:uid="{00000000-0005-0000-0000-00004B940000}"/>
    <cellStyle name="Style 25 6 4 2 3 2" xfId="37959" xr:uid="{00000000-0005-0000-0000-00004C940000}"/>
    <cellStyle name="Style 25 6 4 2 3 3" xfId="37960" xr:uid="{00000000-0005-0000-0000-00004D940000}"/>
    <cellStyle name="Style 25 6 4 2 4" xfId="37961" xr:uid="{00000000-0005-0000-0000-00004E940000}"/>
    <cellStyle name="Style 25 6 4 2 5" xfId="37962" xr:uid="{00000000-0005-0000-0000-00004F940000}"/>
    <cellStyle name="Style 25 6 4 2 6" xfId="37963" xr:uid="{00000000-0005-0000-0000-000050940000}"/>
    <cellStyle name="Style 25 6 4 3" xfId="37964" xr:uid="{00000000-0005-0000-0000-000051940000}"/>
    <cellStyle name="Style 25 6 4 3 2" xfId="37965" xr:uid="{00000000-0005-0000-0000-000052940000}"/>
    <cellStyle name="Style 25 6 4 3 3" xfId="37966" xr:uid="{00000000-0005-0000-0000-000053940000}"/>
    <cellStyle name="Style 25 6 4 4" xfId="37967" xr:uid="{00000000-0005-0000-0000-000054940000}"/>
    <cellStyle name="Style 25 6 4 4 2" xfId="37968" xr:uid="{00000000-0005-0000-0000-000055940000}"/>
    <cellStyle name="Style 25 6 4 4 3" xfId="37969" xr:uid="{00000000-0005-0000-0000-000056940000}"/>
    <cellStyle name="Style 25 6 4 5" xfId="37970" xr:uid="{00000000-0005-0000-0000-000057940000}"/>
    <cellStyle name="Style 25 6 4 5 2" xfId="37971" xr:uid="{00000000-0005-0000-0000-000058940000}"/>
    <cellStyle name="Style 25 6 4 5 3" xfId="37972" xr:uid="{00000000-0005-0000-0000-000059940000}"/>
    <cellStyle name="Style 25 6 4 6" xfId="37973" xr:uid="{00000000-0005-0000-0000-00005A940000}"/>
    <cellStyle name="Style 25 6 4 7" xfId="37974" xr:uid="{00000000-0005-0000-0000-00005B940000}"/>
    <cellStyle name="Style 25 6 4 8" xfId="37975" xr:uid="{00000000-0005-0000-0000-00005C940000}"/>
    <cellStyle name="Style 25 6 5" xfId="37976" xr:uid="{00000000-0005-0000-0000-00005D940000}"/>
    <cellStyle name="Style 25 6 5 2" xfId="37977" xr:uid="{00000000-0005-0000-0000-00005E940000}"/>
    <cellStyle name="Style 25 6 5 2 2" xfId="37978" xr:uid="{00000000-0005-0000-0000-00005F940000}"/>
    <cellStyle name="Style 25 6 5 2 2 2" xfId="37979" xr:uid="{00000000-0005-0000-0000-000060940000}"/>
    <cellStyle name="Style 25 6 5 2 2 3" xfId="37980" xr:uid="{00000000-0005-0000-0000-000061940000}"/>
    <cellStyle name="Style 25 6 5 2 3" xfId="37981" xr:uid="{00000000-0005-0000-0000-000062940000}"/>
    <cellStyle name="Style 25 6 5 2 3 2" xfId="37982" xr:uid="{00000000-0005-0000-0000-000063940000}"/>
    <cellStyle name="Style 25 6 5 2 3 3" xfId="37983" xr:uid="{00000000-0005-0000-0000-000064940000}"/>
    <cellStyle name="Style 25 6 5 2 4" xfId="37984" xr:uid="{00000000-0005-0000-0000-000065940000}"/>
    <cellStyle name="Style 25 6 5 2 5" xfId="37985" xr:uid="{00000000-0005-0000-0000-000066940000}"/>
    <cellStyle name="Style 25 6 5 2 6" xfId="37986" xr:uid="{00000000-0005-0000-0000-000067940000}"/>
    <cellStyle name="Style 25 6 5 3" xfId="37987" xr:uid="{00000000-0005-0000-0000-000068940000}"/>
    <cellStyle name="Style 25 6 5 3 2" xfId="37988" xr:uid="{00000000-0005-0000-0000-000069940000}"/>
    <cellStyle name="Style 25 6 5 3 3" xfId="37989" xr:uid="{00000000-0005-0000-0000-00006A940000}"/>
    <cellStyle name="Style 25 6 5 4" xfId="37990" xr:uid="{00000000-0005-0000-0000-00006B940000}"/>
    <cellStyle name="Style 25 6 5 4 2" xfId="37991" xr:uid="{00000000-0005-0000-0000-00006C940000}"/>
    <cellStyle name="Style 25 6 5 4 3" xfId="37992" xr:uid="{00000000-0005-0000-0000-00006D940000}"/>
    <cellStyle name="Style 25 6 5 5" xfId="37993" xr:uid="{00000000-0005-0000-0000-00006E940000}"/>
    <cellStyle name="Style 25 6 5 5 2" xfId="37994" xr:uid="{00000000-0005-0000-0000-00006F940000}"/>
    <cellStyle name="Style 25 6 5 5 3" xfId="37995" xr:uid="{00000000-0005-0000-0000-000070940000}"/>
    <cellStyle name="Style 25 6 5 6" xfId="37996" xr:uid="{00000000-0005-0000-0000-000071940000}"/>
    <cellStyle name="Style 25 6 5 7" xfId="37997" xr:uid="{00000000-0005-0000-0000-000072940000}"/>
    <cellStyle name="Style 25 6 5 8" xfId="37998" xr:uid="{00000000-0005-0000-0000-000073940000}"/>
    <cellStyle name="Style 25 6 6" xfId="37999" xr:uid="{00000000-0005-0000-0000-000074940000}"/>
    <cellStyle name="Style 25 6 6 2" xfId="38000" xr:uid="{00000000-0005-0000-0000-000075940000}"/>
    <cellStyle name="Style 25 6 6 2 2" xfId="38001" xr:uid="{00000000-0005-0000-0000-000076940000}"/>
    <cellStyle name="Style 25 6 6 2 3" xfId="38002" xr:uid="{00000000-0005-0000-0000-000077940000}"/>
    <cellStyle name="Style 25 6 6 3" xfId="38003" xr:uid="{00000000-0005-0000-0000-000078940000}"/>
    <cellStyle name="Style 25 6 6 3 2" xfId="38004" xr:uid="{00000000-0005-0000-0000-000079940000}"/>
    <cellStyle name="Style 25 6 6 3 3" xfId="38005" xr:uid="{00000000-0005-0000-0000-00007A940000}"/>
    <cellStyle name="Style 25 6 6 4" xfId="38006" xr:uid="{00000000-0005-0000-0000-00007B940000}"/>
    <cellStyle name="Style 25 6 6 5" xfId="38007" xr:uid="{00000000-0005-0000-0000-00007C940000}"/>
    <cellStyle name="Style 25 6 6 6" xfId="38008" xr:uid="{00000000-0005-0000-0000-00007D940000}"/>
    <cellStyle name="Style 25 6 7" xfId="38009" xr:uid="{00000000-0005-0000-0000-00007E940000}"/>
    <cellStyle name="Style 25 6 7 2" xfId="38010" xr:uid="{00000000-0005-0000-0000-00007F940000}"/>
    <cellStyle name="Style 25 6 7 3" xfId="38011" xr:uid="{00000000-0005-0000-0000-000080940000}"/>
    <cellStyle name="Style 25 6 8" xfId="38012" xr:uid="{00000000-0005-0000-0000-000081940000}"/>
    <cellStyle name="Style 25 6 8 2" xfId="38013" xr:uid="{00000000-0005-0000-0000-000082940000}"/>
    <cellStyle name="Style 25 6 8 3" xfId="38014" xr:uid="{00000000-0005-0000-0000-000083940000}"/>
    <cellStyle name="Style 25 6 9" xfId="38015" xr:uid="{00000000-0005-0000-0000-000084940000}"/>
    <cellStyle name="Style 25 6 9 2" xfId="38016" xr:uid="{00000000-0005-0000-0000-000085940000}"/>
    <cellStyle name="Style 25 6 9 3" xfId="38017" xr:uid="{00000000-0005-0000-0000-000086940000}"/>
    <cellStyle name="Style 25 7" xfId="38018" xr:uid="{00000000-0005-0000-0000-000087940000}"/>
    <cellStyle name="Style 25 7 10" xfId="38019" xr:uid="{00000000-0005-0000-0000-000088940000}"/>
    <cellStyle name="Style 25 7 11" xfId="38020" xr:uid="{00000000-0005-0000-0000-000089940000}"/>
    <cellStyle name="Style 25 7 12" xfId="38021" xr:uid="{00000000-0005-0000-0000-00008A940000}"/>
    <cellStyle name="Style 25 7 2" xfId="38022" xr:uid="{00000000-0005-0000-0000-00008B940000}"/>
    <cellStyle name="Style 25 7 2 10" xfId="38023" xr:uid="{00000000-0005-0000-0000-00008C940000}"/>
    <cellStyle name="Style 25 7 2 2" xfId="38024" xr:uid="{00000000-0005-0000-0000-00008D940000}"/>
    <cellStyle name="Style 25 7 2 2 2" xfId="38025" xr:uid="{00000000-0005-0000-0000-00008E940000}"/>
    <cellStyle name="Style 25 7 2 2 2 2" xfId="38026" xr:uid="{00000000-0005-0000-0000-00008F940000}"/>
    <cellStyle name="Style 25 7 2 2 2 2 2" xfId="38027" xr:uid="{00000000-0005-0000-0000-000090940000}"/>
    <cellStyle name="Style 25 7 2 2 2 2 3" xfId="38028" xr:uid="{00000000-0005-0000-0000-000091940000}"/>
    <cellStyle name="Style 25 7 2 2 2 3" xfId="38029" xr:uid="{00000000-0005-0000-0000-000092940000}"/>
    <cellStyle name="Style 25 7 2 2 2 3 2" xfId="38030" xr:uid="{00000000-0005-0000-0000-000093940000}"/>
    <cellStyle name="Style 25 7 2 2 2 3 3" xfId="38031" xr:uid="{00000000-0005-0000-0000-000094940000}"/>
    <cellStyle name="Style 25 7 2 2 2 4" xfId="38032" xr:uid="{00000000-0005-0000-0000-000095940000}"/>
    <cellStyle name="Style 25 7 2 2 2 5" xfId="38033" xr:uid="{00000000-0005-0000-0000-000096940000}"/>
    <cellStyle name="Style 25 7 2 2 2 6" xfId="38034" xr:uid="{00000000-0005-0000-0000-000097940000}"/>
    <cellStyle name="Style 25 7 2 2 3" xfId="38035" xr:uid="{00000000-0005-0000-0000-000098940000}"/>
    <cellStyle name="Style 25 7 2 2 3 2" xfId="38036" xr:uid="{00000000-0005-0000-0000-000099940000}"/>
    <cellStyle name="Style 25 7 2 2 3 3" xfId="38037" xr:uid="{00000000-0005-0000-0000-00009A940000}"/>
    <cellStyle name="Style 25 7 2 2 4" xfId="38038" xr:uid="{00000000-0005-0000-0000-00009B940000}"/>
    <cellStyle name="Style 25 7 2 2 4 2" xfId="38039" xr:uid="{00000000-0005-0000-0000-00009C940000}"/>
    <cellStyle name="Style 25 7 2 2 4 3" xfId="38040" xr:uid="{00000000-0005-0000-0000-00009D940000}"/>
    <cellStyle name="Style 25 7 2 2 5" xfId="38041" xr:uid="{00000000-0005-0000-0000-00009E940000}"/>
    <cellStyle name="Style 25 7 2 2 5 2" xfId="38042" xr:uid="{00000000-0005-0000-0000-00009F940000}"/>
    <cellStyle name="Style 25 7 2 2 5 3" xfId="38043" xr:uid="{00000000-0005-0000-0000-0000A0940000}"/>
    <cellStyle name="Style 25 7 2 2 6" xfId="38044" xr:uid="{00000000-0005-0000-0000-0000A1940000}"/>
    <cellStyle name="Style 25 7 2 2 7" xfId="38045" xr:uid="{00000000-0005-0000-0000-0000A2940000}"/>
    <cellStyle name="Style 25 7 2 2 8" xfId="38046" xr:uid="{00000000-0005-0000-0000-0000A3940000}"/>
    <cellStyle name="Style 25 7 2 3" xfId="38047" xr:uid="{00000000-0005-0000-0000-0000A4940000}"/>
    <cellStyle name="Style 25 7 2 3 2" xfId="38048" xr:uid="{00000000-0005-0000-0000-0000A5940000}"/>
    <cellStyle name="Style 25 7 2 3 2 2" xfId="38049" xr:uid="{00000000-0005-0000-0000-0000A6940000}"/>
    <cellStyle name="Style 25 7 2 3 2 2 2" xfId="38050" xr:uid="{00000000-0005-0000-0000-0000A7940000}"/>
    <cellStyle name="Style 25 7 2 3 2 2 3" xfId="38051" xr:uid="{00000000-0005-0000-0000-0000A8940000}"/>
    <cellStyle name="Style 25 7 2 3 2 3" xfId="38052" xr:uid="{00000000-0005-0000-0000-0000A9940000}"/>
    <cellStyle name="Style 25 7 2 3 2 3 2" xfId="38053" xr:uid="{00000000-0005-0000-0000-0000AA940000}"/>
    <cellStyle name="Style 25 7 2 3 2 3 3" xfId="38054" xr:uid="{00000000-0005-0000-0000-0000AB940000}"/>
    <cellStyle name="Style 25 7 2 3 2 4" xfId="38055" xr:uid="{00000000-0005-0000-0000-0000AC940000}"/>
    <cellStyle name="Style 25 7 2 3 2 5" xfId="38056" xr:uid="{00000000-0005-0000-0000-0000AD940000}"/>
    <cellStyle name="Style 25 7 2 3 2 6" xfId="38057" xr:uid="{00000000-0005-0000-0000-0000AE940000}"/>
    <cellStyle name="Style 25 7 2 3 3" xfId="38058" xr:uid="{00000000-0005-0000-0000-0000AF940000}"/>
    <cellStyle name="Style 25 7 2 3 3 2" xfId="38059" xr:uid="{00000000-0005-0000-0000-0000B0940000}"/>
    <cellStyle name="Style 25 7 2 3 3 3" xfId="38060" xr:uid="{00000000-0005-0000-0000-0000B1940000}"/>
    <cellStyle name="Style 25 7 2 3 4" xfId="38061" xr:uid="{00000000-0005-0000-0000-0000B2940000}"/>
    <cellStyle name="Style 25 7 2 3 4 2" xfId="38062" xr:uid="{00000000-0005-0000-0000-0000B3940000}"/>
    <cellStyle name="Style 25 7 2 3 4 3" xfId="38063" xr:uid="{00000000-0005-0000-0000-0000B4940000}"/>
    <cellStyle name="Style 25 7 2 3 5" xfId="38064" xr:uid="{00000000-0005-0000-0000-0000B5940000}"/>
    <cellStyle name="Style 25 7 2 3 5 2" xfId="38065" xr:uid="{00000000-0005-0000-0000-0000B6940000}"/>
    <cellStyle name="Style 25 7 2 3 5 3" xfId="38066" xr:uid="{00000000-0005-0000-0000-0000B7940000}"/>
    <cellStyle name="Style 25 7 2 3 6" xfId="38067" xr:uid="{00000000-0005-0000-0000-0000B8940000}"/>
    <cellStyle name="Style 25 7 2 3 7" xfId="38068" xr:uid="{00000000-0005-0000-0000-0000B9940000}"/>
    <cellStyle name="Style 25 7 2 3 8" xfId="38069" xr:uid="{00000000-0005-0000-0000-0000BA940000}"/>
    <cellStyle name="Style 25 7 2 4" xfId="38070" xr:uid="{00000000-0005-0000-0000-0000BB940000}"/>
    <cellStyle name="Style 25 7 2 4 2" xfId="38071" xr:uid="{00000000-0005-0000-0000-0000BC940000}"/>
    <cellStyle name="Style 25 7 2 4 2 2" xfId="38072" xr:uid="{00000000-0005-0000-0000-0000BD940000}"/>
    <cellStyle name="Style 25 7 2 4 2 3" xfId="38073" xr:uid="{00000000-0005-0000-0000-0000BE940000}"/>
    <cellStyle name="Style 25 7 2 4 3" xfId="38074" xr:uid="{00000000-0005-0000-0000-0000BF940000}"/>
    <cellStyle name="Style 25 7 2 4 3 2" xfId="38075" xr:uid="{00000000-0005-0000-0000-0000C0940000}"/>
    <cellStyle name="Style 25 7 2 4 3 3" xfId="38076" xr:uid="{00000000-0005-0000-0000-0000C1940000}"/>
    <cellStyle name="Style 25 7 2 4 4" xfId="38077" xr:uid="{00000000-0005-0000-0000-0000C2940000}"/>
    <cellStyle name="Style 25 7 2 4 5" xfId="38078" xr:uid="{00000000-0005-0000-0000-0000C3940000}"/>
    <cellStyle name="Style 25 7 2 4 6" xfId="38079" xr:uid="{00000000-0005-0000-0000-0000C4940000}"/>
    <cellStyle name="Style 25 7 2 5" xfId="38080" xr:uid="{00000000-0005-0000-0000-0000C5940000}"/>
    <cellStyle name="Style 25 7 2 5 2" xfId="38081" xr:uid="{00000000-0005-0000-0000-0000C6940000}"/>
    <cellStyle name="Style 25 7 2 5 3" xfId="38082" xr:uid="{00000000-0005-0000-0000-0000C7940000}"/>
    <cellStyle name="Style 25 7 2 6" xfId="38083" xr:uid="{00000000-0005-0000-0000-0000C8940000}"/>
    <cellStyle name="Style 25 7 2 6 2" xfId="38084" xr:uid="{00000000-0005-0000-0000-0000C9940000}"/>
    <cellStyle name="Style 25 7 2 6 3" xfId="38085" xr:uid="{00000000-0005-0000-0000-0000CA940000}"/>
    <cellStyle name="Style 25 7 2 7" xfId="38086" xr:uid="{00000000-0005-0000-0000-0000CB940000}"/>
    <cellStyle name="Style 25 7 2 7 2" xfId="38087" xr:uid="{00000000-0005-0000-0000-0000CC940000}"/>
    <cellStyle name="Style 25 7 2 7 3" xfId="38088" xr:uid="{00000000-0005-0000-0000-0000CD940000}"/>
    <cellStyle name="Style 25 7 2 8" xfId="38089" xr:uid="{00000000-0005-0000-0000-0000CE940000}"/>
    <cellStyle name="Style 25 7 2 9" xfId="38090" xr:uid="{00000000-0005-0000-0000-0000CF940000}"/>
    <cellStyle name="Style 25 7 3" xfId="38091" xr:uid="{00000000-0005-0000-0000-0000D0940000}"/>
    <cellStyle name="Style 25 7 3 2" xfId="38092" xr:uid="{00000000-0005-0000-0000-0000D1940000}"/>
    <cellStyle name="Style 25 7 3 2 2" xfId="38093" xr:uid="{00000000-0005-0000-0000-0000D2940000}"/>
    <cellStyle name="Style 25 7 3 2 2 2" xfId="38094" xr:uid="{00000000-0005-0000-0000-0000D3940000}"/>
    <cellStyle name="Style 25 7 3 2 2 3" xfId="38095" xr:uid="{00000000-0005-0000-0000-0000D4940000}"/>
    <cellStyle name="Style 25 7 3 2 3" xfId="38096" xr:uid="{00000000-0005-0000-0000-0000D5940000}"/>
    <cellStyle name="Style 25 7 3 2 3 2" xfId="38097" xr:uid="{00000000-0005-0000-0000-0000D6940000}"/>
    <cellStyle name="Style 25 7 3 2 3 3" xfId="38098" xr:uid="{00000000-0005-0000-0000-0000D7940000}"/>
    <cellStyle name="Style 25 7 3 2 4" xfId="38099" xr:uid="{00000000-0005-0000-0000-0000D8940000}"/>
    <cellStyle name="Style 25 7 3 2 5" xfId="38100" xr:uid="{00000000-0005-0000-0000-0000D9940000}"/>
    <cellStyle name="Style 25 7 3 2 6" xfId="38101" xr:uid="{00000000-0005-0000-0000-0000DA940000}"/>
    <cellStyle name="Style 25 7 3 3" xfId="38102" xr:uid="{00000000-0005-0000-0000-0000DB940000}"/>
    <cellStyle name="Style 25 7 3 3 2" xfId="38103" xr:uid="{00000000-0005-0000-0000-0000DC940000}"/>
    <cellStyle name="Style 25 7 3 3 3" xfId="38104" xr:uid="{00000000-0005-0000-0000-0000DD940000}"/>
    <cellStyle name="Style 25 7 3 4" xfId="38105" xr:uid="{00000000-0005-0000-0000-0000DE940000}"/>
    <cellStyle name="Style 25 7 3 4 2" xfId="38106" xr:uid="{00000000-0005-0000-0000-0000DF940000}"/>
    <cellStyle name="Style 25 7 3 4 3" xfId="38107" xr:uid="{00000000-0005-0000-0000-0000E0940000}"/>
    <cellStyle name="Style 25 7 3 5" xfId="38108" xr:uid="{00000000-0005-0000-0000-0000E1940000}"/>
    <cellStyle name="Style 25 7 3 5 2" xfId="38109" xr:uid="{00000000-0005-0000-0000-0000E2940000}"/>
    <cellStyle name="Style 25 7 3 5 3" xfId="38110" xr:uid="{00000000-0005-0000-0000-0000E3940000}"/>
    <cellStyle name="Style 25 7 3 6" xfId="38111" xr:uid="{00000000-0005-0000-0000-0000E4940000}"/>
    <cellStyle name="Style 25 7 3 7" xfId="38112" xr:uid="{00000000-0005-0000-0000-0000E5940000}"/>
    <cellStyle name="Style 25 7 3 8" xfId="38113" xr:uid="{00000000-0005-0000-0000-0000E6940000}"/>
    <cellStyle name="Style 25 7 4" xfId="38114" xr:uid="{00000000-0005-0000-0000-0000E7940000}"/>
    <cellStyle name="Style 25 7 4 2" xfId="38115" xr:uid="{00000000-0005-0000-0000-0000E8940000}"/>
    <cellStyle name="Style 25 7 4 2 2" xfId="38116" xr:uid="{00000000-0005-0000-0000-0000E9940000}"/>
    <cellStyle name="Style 25 7 4 2 2 2" xfId="38117" xr:uid="{00000000-0005-0000-0000-0000EA940000}"/>
    <cellStyle name="Style 25 7 4 2 2 3" xfId="38118" xr:uid="{00000000-0005-0000-0000-0000EB940000}"/>
    <cellStyle name="Style 25 7 4 2 3" xfId="38119" xr:uid="{00000000-0005-0000-0000-0000EC940000}"/>
    <cellStyle name="Style 25 7 4 2 3 2" xfId="38120" xr:uid="{00000000-0005-0000-0000-0000ED940000}"/>
    <cellStyle name="Style 25 7 4 2 3 3" xfId="38121" xr:uid="{00000000-0005-0000-0000-0000EE940000}"/>
    <cellStyle name="Style 25 7 4 2 4" xfId="38122" xr:uid="{00000000-0005-0000-0000-0000EF940000}"/>
    <cellStyle name="Style 25 7 4 2 5" xfId="38123" xr:uid="{00000000-0005-0000-0000-0000F0940000}"/>
    <cellStyle name="Style 25 7 4 2 6" xfId="38124" xr:uid="{00000000-0005-0000-0000-0000F1940000}"/>
    <cellStyle name="Style 25 7 4 3" xfId="38125" xr:uid="{00000000-0005-0000-0000-0000F2940000}"/>
    <cellStyle name="Style 25 7 4 3 2" xfId="38126" xr:uid="{00000000-0005-0000-0000-0000F3940000}"/>
    <cellStyle name="Style 25 7 4 3 3" xfId="38127" xr:uid="{00000000-0005-0000-0000-0000F4940000}"/>
    <cellStyle name="Style 25 7 4 4" xfId="38128" xr:uid="{00000000-0005-0000-0000-0000F5940000}"/>
    <cellStyle name="Style 25 7 4 4 2" xfId="38129" xr:uid="{00000000-0005-0000-0000-0000F6940000}"/>
    <cellStyle name="Style 25 7 4 4 3" xfId="38130" xr:uid="{00000000-0005-0000-0000-0000F7940000}"/>
    <cellStyle name="Style 25 7 4 5" xfId="38131" xr:uid="{00000000-0005-0000-0000-0000F8940000}"/>
    <cellStyle name="Style 25 7 4 5 2" xfId="38132" xr:uid="{00000000-0005-0000-0000-0000F9940000}"/>
    <cellStyle name="Style 25 7 4 5 3" xfId="38133" xr:uid="{00000000-0005-0000-0000-0000FA940000}"/>
    <cellStyle name="Style 25 7 4 6" xfId="38134" xr:uid="{00000000-0005-0000-0000-0000FB940000}"/>
    <cellStyle name="Style 25 7 4 7" xfId="38135" xr:uid="{00000000-0005-0000-0000-0000FC940000}"/>
    <cellStyle name="Style 25 7 4 8" xfId="38136" xr:uid="{00000000-0005-0000-0000-0000FD940000}"/>
    <cellStyle name="Style 25 7 5" xfId="38137" xr:uid="{00000000-0005-0000-0000-0000FE940000}"/>
    <cellStyle name="Style 25 7 5 2" xfId="38138" xr:uid="{00000000-0005-0000-0000-0000FF940000}"/>
    <cellStyle name="Style 25 7 5 2 2" xfId="38139" xr:uid="{00000000-0005-0000-0000-000000950000}"/>
    <cellStyle name="Style 25 7 5 2 2 2" xfId="38140" xr:uid="{00000000-0005-0000-0000-000001950000}"/>
    <cellStyle name="Style 25 7 5 2 2 3" xfId="38141" xr:uid="{00000000-0005-0000-0000-000002950000}"/>
    <cellStyle name="Style 25 7 5 2 3" xfId="38142" xr:uid="{00000000-0005-0000-0000-000003950000}"/>
    <cellStyle name="Style 25 7 5 2 3 2" xfId="38143" xr:uid="{00000000-0005-0000-0000-000004950000}"/>
    <cellStyle name="Style 25 7 5 2 3 3" xfId="38144" xr:uid="{00000000-0005-0000-0000-000005950000}"/>
    <cellStyle name="Style 25 7 5 2 4" xfId="38145" xr:uid="{00000000-0005-0000-0000-000006950000}"/>
    <cellStyle name="Style 25 7 5 2 5" xfId="38146" xr:uid="{00000000-0005-0000-0000-000007950000}"/>
    <cellStyle name="Style 25 7 5 2 6" xfId="38147" xr:uid="{00000000-0005-0000-0000-000008950000}"/>
    <cellStyle name="Style 25 7 5 3" xfId="38148" xr:uid="{00000000-0005-0000-0000-000009950000}"/>
    <cellStyle name="Style 25 7 5 3 2" xfId="38149" xr:uid="{00000000-0005-0000-0000-00000A950000}"/>
    <cellStyle name="Style 25 7 5 3 3" xfId="38150" xr:uid="{00000000-0005-0000-0000-00000B950000}"/>
    <cellStyle name="Style 25 7 5 4" xfId="38151" xr:uid="{00000000-0005-0000-0000-00000C950000}"/>
    <cellStyle name="Style 25 7 5 4 2" xfId="38152" xr:uid="{00000000-0005-0000-0000-00000D950000}"/>
    <cellStyle name="Style 25 7 5 4 3" xfId="38153" xr:uid="{00000000-0005-0000-0000-00000E950000}"/>
    <cellStyle name="Style 25 7 5 5" xfId="38154" xr:uid="{00000000-0005-0000-0000-00000F950000}"/>
    <cellStyle name="Style 25 7 5 5 2" xfId="38155" xr:uid="{00000000-0005-0000-0000-000010950000}"/>
    <cellStyle name="Style 25 7 5 5 3" xfId="38156" xr:uid="{00000000-0005-0000-0000-000011950000}"/>
    <cellStyle name="Style 25 7 5 6" xfId="38157" xr:uid="{00000000-0005-0000-0000-000012950000}"/>
    <cellStyle name="Style 25 7 5 7" xfId="38158" xr:uid="{00000000-0005-0000-0000-000013950000}"/>
    <cellStyle name="Style 25 7 5 8" xfId="38159" xr:uid="{00000000-0005-0000-0000-000014950000}"/>
    <cellStyle name="Style 25 7 6" xfId="38160" xr:uid="{00000000-0005-0000-0000-000015950000}"/>
    <cellStyle name="Style 25 7 6 2" xfId="38161" xr:uid="{00000000-0005-0000-0000-000016950000}"/>
    <cellStyle name="Style 25 7 6 2 2" xfId="38162" xr:uid="{00000000-0005-0000-0000-000017950000}"/>
    <cellStyle name="Style 25 7 6 2 3" xfId="38163" xr:uid="{00000000-0005-0000-0000-000018950000}"/>
    <cellStyle name="Style 25 7 6 3" xfId="38164" xr:uid="{00000000-0005-0000-0000-000019950000}"/>
    <cellStyle name="Style 25 7 6 3 2" xfId="38165" xr:uid="{00000000-0005-0000-0000-00001A950000}"/>
    <cellStyle name="Style 25 7 6 3 3" xfId="38166" xr:uid="{00000000-0005-0000-0000-00001B950000}"/>
    <cellStyle name="Style 25 7 6 4" xfId="38167" xr:uid="{00000000-0005-0000-0000-00001C950000}"/>
    <cellStyle name="Style 25 7 6 5" xfId="38168" xr:uid="{00000000-0005-0000-0000-00001D950000}"/>
    <cellStyle name="Style 25 7 6 6" xfId="38169" xr:uid="{00000000-0005-0000-0000-00001E950000}"/>
    <cellStyle name="Style 25 7 7" xfId="38170" xr:uid="{00000000-0005-0000-0000-00001F950000}"/>
    <cellStyle name="Style 25 7 7 2" xfId="38171" xr:uid="{00000000-0005-0000-0000-000020950000}"/>
    <cellStyle name="Style 25 7 7 3" xfId="38172" xr:uid="{00000000-0005-0000-0000-000021950000}"/>
    <cellStyle name="Style 25 7 8" xfId="38173" xr:uid="{00000000-0005-0000-0000-000022950000}"/>
    <cellStyle name="Style 25 7 8 2" xfId="38174" xr:uid="{00000000-0005-0000-0000-000023950000}"/>
    <cellStyle name="Style 25 7 8 3" xfId="38175" xr:uid="{00000000-0005-0000-0000-000024950000}"/>
    <cellStyle name="Style 25 7 9" xfId="38176" xr:uid="{00000000-0005-0000-0000-000025950000}"/>
    <cellStyle name="Style 25 7 9 2" xfId="38177" xr:uid="{00000000-0005-0000-0000-000026950000}"/>
    <cellStyle name="Style 25 7 9 3" xfId="38178" xr:uid="{00000000-0005-0000-0000-000027950000}"/>
    <cellStyle name="Style 25 8" xfId="38179" xr:uid="{00000000-0005-0000-0000-000028950000}"/>
    <cellStyle name="Style 25 8 10" xfId="38180" xr:uid="{00000000-0005-0000-0000-000029950000}"/>
    <cellStyle name="Style 25 8 11" xfId="38181" xr:uid="{00000000-0005-0000-0000-00002A950000}"/>
    <cellStyle name="Style 25 8 12" xfId="38182" xr:uid="{00000000-0005-0000-0000-00002B950000}"/>
    <cellStyle name="Style 25 8 2" xfId="38183" xr:uid="{00000000-0005-0000-0000-00002C950000}"/>
    <cellStyle name="Style 25 8 2 10" xfId="38184" xr:uid="{00000000-0005-0000-0000-00002D950000}"/>
    <cellStyle name="Style 25 8 2 2" xfId="38185" xr:uid="{00000000-0005-0000-0000-00002E950000}"/>
    <cellStyle name="Style 25 8 2 2 2" xfId="38186" xr:uid="{00000000-0005-0000-0000-00002F950000}"/>
    <cellStyle name="Style 25 8 2 2 2 2" xfId="38187" xr:uid="{00000000-0005-0000-0000-000030950000}"/>
    <cellStyle name="Style 25 8 2 2 2 2 2" xfId="38188" xr:uid="{00000000-0005-0000-0000-000031950000}"/>
    <cellStyle name="Style 25 8 2 2 2 2 3" xfId="38189" xr:uid="{00000000-0005-0000-0000-000032950000}"/>
    <cellStyle name="Style 25 8 2 2 2 3" xfId="38190" xr:uid="{00000000-0005-0000-0000-000033950000}"/>
    <cellStyle name="Style 25 8 2 2 2 3 2" xfId="38191" xr:uid="{00000000-0005-0000-0000-000034950000}"/>
    <cellStyle name="Style 25 8 2 2 2 3 3" xfId="38192" xr:uid="{00000000-0005-0000-0000-000035950000}"/>
    <cellStyle name="Style 25 8 2 2 2 4" xfId="38193" xr:uid="{00000000-0005-0000-0000-000036950000}"/>
    <cellStyle name="Style 25 8 2 2 2 5" xfId="38194" xr:uid="{00000000-0005-0000-0000-000037950000}"/>
    <cellStyle name="Style 25 8 2 2 2 6" xfId="38195" xr:uid="{00000000-0005-0000-0000-000038950000}"/>
    <cellStyle name="Style 25 8 2 2 3" xfId="38196" xr:uid="{00000000-0005-0000-0000-000039950000}"/>
    <cellStyle name="Style 25 8 2 2 3 2" xfId="38197" xr:uid="{00000000-0005-0000-0000-00003A950000}"/>
    <cellStyle name="Style 25 8 2 2 3 3" xfId="38198" xr:uid="{00000000-0005-0000-0000-00003B950000}"/>
    <cellStyle name="Style 25 8 2 2 4" xfId="38199" xr:uid="{00000000-0005-0000-0000-00003C950000}"/>
    <cellStyle name="Style 25 8 2 2 4 2" xfId="38200" xr:uid="{00000000-0005-0000-0000-00003D950000}"/>
    <cellStyle name="Style 25 8 2 2 4 3" xfId="38201" xr:uid="{00000000-0005-0000-0000-00003E950000}"/>
    <cellStyle name="Style 25 8 2 2 5" xfId="38202" xr:uid="{00000000-0005-0000-0000-00003F950000}"/>
    <cellStyle name="Style 25 8 2 2 5 2" xfId="38203" xr:uid="{00000000-0005-0000-0000-000040950000}"/>
    <cellStyle name="Style 25 8 2 2 5 3" xfId="38204" xr:uid="{00000000-0005-0000-0000-000041950000}"/>
    <cellStyle name="Style 25 8 2 2 6" xfId="38205" xr:uid="{00000000-0005-0000-0000-000042950000}"/>
    <cellStyle name="Style 25 8 2 2 7" xfId="38206" xr:uid="{00000000-0005-0000-0000-000043950000}"/>
    <cellStyle name="Style 25 8 2 2 8" xfId="38207" xr:uid="{00000000-0005-0000-0000-000044950000}"/>
    <cellStyle name="Style 25 8 2 3" xfId="38208" xr:uid="{00000000-0005-0000-0000-000045950000}"/>
    <cellStyle name="Style 25 8 2 3 2" xfId="38209" xr:uid="{00000000-0005-0000-0000-000046950000}"/>
    <cellStyle name="Style 25 8 2 3 2 2" xfId="38210" xr:uid="{00000000-0005-0000-0000-000047950000}"/>
    <cellStyle name="Style 25 8 2 3 2 2 2" xfId="38211" xr:uid="{00000000-0005-0000-0000-000048950000}"/>
    <cellStyle name="Style 25 8 2 3 2 2 3" xfId="38212" xr:uid="{00000000-0005-0000-0000-000049950000}"/>
    <cellStyle name="Style 25 8 2 3 2 3" xfId="38213" xr:uid="{00000000-0005-0000-0000-00004A950000}"/>
    <cellStyle name="Style 25 8 2 3 2 3 2" xfId="38214" xr:uid="{00000000-0005-0000-0000-00004B950000}"/>
    <cellStyle name="Style 25 8 2 3 2 3 3" xfId="38215" xr:uid="{00000000-0005-0000-0000-00004C950000}"/>
    <cellStyle name="Style 25 8 2 3 2 4" xfId="38216" xr:uid="{00000000-0005-0000-0000-00004D950000}"/>
    <cellStyle name="Style 25 8 2 3 2 5" xfId="38217" xr:uid="{00000000-0005-0000-0000-00004E950000}"/>
    <cellStyle name="Style 25 8 2 3 2 6" xfId="38218" xr:uid="{00000000-0005-0000-0000-00004F950000}"/>
    <cellStyle name="Style 25 8 2 3 3" xfId="38219" xr:uid="{00000000-0005-0000-0000-000050950000}"/>
    <cellStyle name="Style 25 8 2 3 3 2" xfId="38220" xr:uid="{00000000-0005-0000-0000-000051950000}"/>
    <cellStyle name="Style 25 8 2 3 3 3" xfId="38221" xr:uid="{00000000-0005-0000-0000-000052950000}"/>
    <cellStyle name="Style 25 8 2 3 4" xfId="38222" xr:uid="{00000000-0005-0000-0000-000053950000}"/>
    <cellStyle name="Style 25 8 2 3 4 2" xfId="38223" xr:uid="{00000000-0005-0000-0000-000054950000}"/>
    <cellStyle name="Style 25 8 2 3 4 3" xfId="38224" xr:uid="{00000000-0005-0000-0000-000055950000}"/>
    <cellStyle name="Style 25 8 2 3 5" xfId="38225" xr:uid="{00000000-0005-0000-0000-000056950000}"/>
    <cellStyle name="Style 25 8 2 3 5 2" xfId="38226" xr:uid="{00000000-0005-0000-0000-000057950000}"/>
    <cellStyle name="Style 25 8 2 3 5 3" xfId="38227" xr:uid="{00000000-0005-0000-0000-000058950000}"/>
    <cellStyle name="Style 25 8 2 3 6" xfId="38228" xr:uid="{00000000-0005-0000-0000-000059950000}"/>
    <cellStyle name="Style 25 8 2 3 7" xfId="38229" xr:uid="{00000000-0005-0000-0000-00005A950000}"/>
    <cellStyle name="Style 25 8 2 3 8" xfId="38230" xr:uid="{00000000-0005-0000-0000-00005B950000}"/>
    <cellStyle name="Style 25 8 2 4" xfId="38231" xr:uid="{00000000-0005-0000-0000-00005C950000}"/>
    <cellStyle name="Style 25 8 2 4 2" xfId="38232" xr:uid="{00000000-0005-0000-0000-00005D950000}"/>
    <cellStyle name="Style 25 8 2 4 2 2" xfId="38233" xr:uid="{00000000-0005-0000-0000-00005E950000}"/>
    <cellStyle name="Style 25 8 2 4 2 3" xfId="38234" xr:uid="{00000000-0005-0000-0000-00005F950000}"/>
    <cellStyle name="Style 25 8 2 4 3" xfId="38235" xr:uid="{00000000-0005-0000-0000-000060950000}"/>
    <cellStyle name="Style 25 8 2 4 3 2" xfId="38236" xr:uid="{00000000-0005-0000-0000-000061950000}"/>
    <cellStyle name="Style 25 8 2 4 3 3" xfId="38237" xr:uid="{00000000-0005-0000-0000-000062950000}"/>
    <cellStyle name="Style 25 8 2 4 4" xfId="38238" xr:uid="{00000000-0005-0000-0000-000063950000}"/>
    <cellStyle name="Style 25 8 2 4 5" xfId="38239" xr:uid="{00000000-0005-0000-0000-000064950000}"/>
    <cellStyle name="Style 25 8 2 4 6" xfId="38240" xr:uid="{00000000-0005-0000-0000-000065950000}"/>
    <cellStyle name="Style 25 8 2 5" xfId="38241" xr:uid="{00000000-0005-0000-0000-000066950000}"/>
    <cellStyle name="Style 25 8 2 5 2" xfId="38242" xr:uid="{00000000-0005-0000-0000-000067950000}"/>
    <cellStyle name="Style 25 8 2 5 3" xfId="38243" xr:uid="{00000000-0005-0000-0000-000068950000}"/>
    <cellStyle name="Style 25 8 2 6" xfId="38244" xr:uid="{00000000-0005-0000-0000-000069950000}"/>
    <cellStyle name="Style 25 8 2 6 2" xfId="38245" xr:uid="{00000000-0005-0000-0000-00006A950000}"/>
    <cellStyle name="Style 25 8 2 6 3" xfId="38246" xr:uid="{00000000-0005-0000-0000-00006B950000}"/>
    <cellStyle name="Style 25 8 2 7" xfId="38247" xr:uid="{00000000-0005-0000-0000-00006C950000}"/>
    <cellStyle name="Style 25 8 2 7 2" xfId="38248" xr:uid="{00000000-0005-0000-0000-00006D950000}"/>
    <cellStyle name="Style 25 8 2 7 3" xfId="38249" xr:uid="{00000000-0005-0000-0000-00006E950000}"/>
    <cellStyle name="Style 25 8 2 8" xfId="38250" xr:uid="{00000000-0005-0000-0000-00006F950000}"/>
    <cellStyle name="Style 25 8 2 9" xfId="38251" xr:uid="{00000000-0005-0000-0000-000070950000}"/>
    <cellStyle name="Style 25 8 3" xfId="38252" xr:uid="{00000000-0005-0000-0000-000071950000}"/>
    <cellStyle name="Style 25 8 3 2" xfId="38253" xr:uid="{00000000-0005-0000-0000-000072950000}"/>
    <cellStyle name="Style 25 8 3 2 2" xfId="38254" xr:uid="{00000000-0005-0000-0000-000073950000}"/>
    <cellStyle name="Style 25 8 3 2 2 2" xfId="38255" xr:uid="{00000000-0005-0000-0000-000074950000}"/>
    <cellStyle name="Style 25 8 3 2 2 3" xfId="38256" xr:uid="{00000000-0005-0000-0000-000075950000}"/>
    <cellStyle name="Style 25 8 3 2 3" xfId="38257" xr:uid="{00000000-0005-0000-0000-000076950000}"/>
    <cellStyle name="Style 25 8 3 2 3 2" xfId="38258" xr:uid="{00000000-0005-0000-0000-000077950000}"/>
    <cellStyle name="Style 25 8 3 2 3 3" xfId="38259" xr:uid="{00000000-0005-0000-0000-000078950000}"/>
    <cellStyle name="Style 25 8 3 2 4" xfId="38260" xr:uid="{00000000-0005-0000-0000-000079950000}"/>
    <cellStyle name="Style 25 8 3 2 5" xfId="38261" xr:uid="{00000000-0005-0000-0000-00007A950000}"/>
    <cellStyle name="Style 25 8 3 2 6" xfId="38262" xr:uid="{00000000-0005-0000-0000-00007B950000}"/>
    <cellStyle name="Style 25 8 3 3" xfId="38263" xr:uid="{00000000-0005-0000-0000-00007C950000}"/>
    <cellStyle name="Style 25 8 3 3 2" xfId="38264" xr:uid="{00000000-0005-0000-0000-00007D950000}"/>
    <cellStyle name="Style 25 8 3 3 3" xfId="38265" xr:uid="{00000000-0005-0000-0000-00007E950000}"/>
    <cellStyle name="Style 25 8 3 4" xfId="38266" xr:uid="{00000000-0005-0000-0000-00007F950000}"/>
    <cellStyle name="Style 25 8 3 4 2" xfId="38267" xr:uid="{00000000-0005-0000-0000-000080950000}"/>
    <cellStyle name="Style 25 8 3 4 3" xfId="38268" xr:uid="{00000000-0005-0000-0000-000081950000}"/>
    <cellStyle name="Style 25 8 3 5" xfId="38269" xr:uid="{00000000-0005-0000-0000-000082950000}"/>
    <cellStyle name="Style 25 8 3 5 2" xfId="38270" xr:uid="{00000000-0005-0000-0000-000083950000}"/>
    <cellStyle name="Style 25 8 3 5 3" xfId="38271" xr:uid="{00000000-0005-0000-0000-000084950000}"/>
    <cellStyle name="Style 25 8 3 6" xfId="38272" xr:uid="{00000000-0005-0000-0000-000085950000}"/>
    <cellStyle name="Style 25 8 3 7" xfId="38273" xr:uid="{00000000-0005-0000-0000-000086950000}"/>
    <cellStyle name="Style 25 8 3 8" xfId="38274" xr:uid="{00000000-0005-0000-0000-000087950000}"/>
    <cellStyle name="Style 25 8 4" xfId="38275" xr:uid="{00000000-0005-0000-0000-000088950000}"/>
    <cellStyle name="Style 25 8 4 2" xfId="38276" xr:uid="{00000000-0005-0000-0000-000089950000}"/>
    <cellStyle name="Style 25 8 4 2 2" xfId="38277" xr:uid="{00000000-0005-0000-0000-00008A950000}"/>
    <cellStyle name="Style 25 8 4 2 2 2" xfId="38278" xr:uid="{00000000-0005-0000-0000-00008B950000}"/>
    <cellStyle name="Style 25 8 4 2 2 3" xfId="38279" xr:uid="{00000000-0005-0000-0000-00008C950000}"/>
    <cellStyle name="Style 25 8 4 2 3" xfId="38280" xr:uid="{00000000-0005-0000-0000-00008D950000}"/>
    <cellStyle name="Style 25 8 4 2 3 2" xfId="38281" xr:uid="{00000000-0005-0000-0000-00008E950000}"/>
    <cellStyle name="Style 25 8 4 2 3 3" xfId="38282" xr:uid="{00000000-0005-0000-0000-00008F950000}"/>
    <cellStyle name="Style 25 8 4 2 4" xfId="38283" xr:uid="{00000000-0005-0000-0000-000090950000}"/>
    <cellStyle name="Style 25 8 4 2 5" xfId="38284" xr:uid="{00000000-0005-0000-0000-000091950000}"/>
    <cellStyle name="Style 25 8 4 2 6" xfId="38285" xr:uid="{00000000-0005-0000-0000-000092950000}"/>
    <cellStyle name="Style 25 8 4 3" xfId="38286" xr:uid="{00000000-0005-0000-0000-000093950000}"/>
    <cellStyle name="Style 25 8 4 3 2" xfId="38287" xr:uid="{00000000-0005-0000-0000-000094950000}"/>
    <cellStyle name="Style 25 8 4 3 3" xfId="38288" xr:uid="{00000000-0005-0000-0000-000095950000}"/>
    <cellStyle name="Style 25 8 4 4" xfId="38289" xr:uid="{00000000-0005-0000-0000-000096950000}"/>
    <cellStyle name="Style 25 8 4 4 2" xfId="38290" xr:uid="{00000000-0005-0000-0000-000097950000}"/>
    <cellStyle name="Style 25 8 4 4 3" xfId="38291" xr:uid="{00000000-0005-0000-0000-000098950000}"/>
    <cellStyle name="Style 25 8 4 5" xfId="38292" xr:uid="{00000000-0005-0000-0000-000099950000}"/>
    <cellStyle name="Style 25 8 4 5 2" xfId="38293" xr:uid="{00000000-0005-0000-0000-00009A950000}"/>
    <cellStyle name="Style 25 8 4 5 3" xfId="38294" xr:uid="{00000000-0005-0000-0000-00009B950000}"/>
    <cellStyle name="Style 25 8 4 6" xfId="38295" xr:uid="{00000000-0005-0000-0000-00009C950000}"/>
    <cellStyle name="Style 25 8 4 7" xfId="38296" xr:uid="{00000000-0005-0000-0000-00009D950000}"/>
    <cellStyle name="Style 25 8 4 8" xfId="38297" xr:uid="{00000000-0005-0000-0000-00009E950000}"/>
    <cellStyle name="Style 25 8 5" xfId="38298" xr:uid="{00000000-0005-0000-0000-00009F950000}"/>
    <cellStyle name="Style 25 8 5 2" xfId="38299" xr:uid="{00000000-0005-0000-0000-0000A0950000}"/>
    <cellStyle name="Style 25 8 5 2 2" xfId="38300" xr:uid="{00000000-0005-0000-0000-0000A1950000}"/>
    <cellStyle name="Style 25 8 5 2 2 2" xfId="38301" xr:uid="{00000000-0005-0000-0000-0000A2950000}"/>
    <cellStyle name="Style 25 8 5 2 2 3" xfId="38302" xr:uid="{00000000-0005-0000-0000-0000A3950000}"/>
    <cellStyle name="Style 25 8 5 2 3" xfId="38303" xr:uid="{00000000-0005-0000-0000-0000A4950000}"/>
    <cellStyle name="Style 25 8 5 2 3 2" xfId="38304" xr:uid="{00000000-0005-0000-0000-0000A5950000}"/>
    <cellStyle name="Style 25 8 5 2 3 3" xfId="38305" xr:uid="{00000000-0005-0000-0000-0000A6950000}"/>
    <cellStyle name="Style 25 8 5 2 4" xfId="38306" xr:uid="{00000000-0005-0000-0000-0000A7950000}"/>
    <cellStyle name="Style 25 8 5 2 5" xfId="38307" xr:uid="{00000000-0005-0000-0000-0000A8950000}"/>
    <cellStyle name="Style 25 8 5 2 6" xfId="38308" xr:uid="{00000000-0005-0000-0000-0000A9950000}"/>
    <cellStyle name="Style 25 8 5 3" xfId="38309" xr:uid="{00000000-0005-0000-0000-0000AA950000}"/>
    <cellStyle name="Style 25 8 5 3 2" xfId="38310" xr:uid="{00000000-0005-0000-0000-0000AB950000}"/>
    <cellStyle name="Style 25 8 5 3 3" xfId="38311" xr:uid="{00000000-0005-0000-0000-0000AC950000}"/>
    <cellStyle name="Style 25 8 5 4" xfId="38312" xr:uid="{00000000-0005-0000-0000-0000AD950000}"/>
    <cellStyle name="Style 25 8 5 4 2" xfId="38313" xr:uid="{00000000-0005-0000-0000-0000AE950000}"/>
    <cellStyle name="Style 25 8 5 4 3" xfId="38314" xr:uid="{00000000-0005-0000-0000-0000AF950000}"/>
    <cellStyle name="Style 25 8 5 5" xfId="38315" xr:uid="{00000000-0005-0000-0000-0000B0950000}"/>
    <cellStyle name="Style 25 8 5 5 2" xfId="38316" xr:uid="{00000000-0005-0000-0000-0000B1950000}"/>
    <cellStyle name="Style 25 8 5 5 3" xfId="38317" xr:uid="{00000000-0005-0000-0000-0000B2950000}"/>
    <cellStyle name="Style 25 8 5 6" xfId="38318" xr:uid="{00000000-0005-0000-0000-0000B3950000}"/>
    <cellStyle name="Style 25 8 5 7" xfId="38319" xr:uid="{00000000-0005-0000-0000-0000B4950000}"/>
    <cellStyle name="Style 25 8 5 8" xfId="38320" xr:uid="{00000000-0005-0000-0000-0000B5950000}"/>
    <cellStyle name="Style 25 8 6" xfId="38321" xr:uid="{00000000-0005-0000-0000-0000B6950000}"/>
    <cellStyle name="Style 25 8 6 2" xfId="38322" xr:uid="{00000000-0005-0000-0000-0000B7950000}"/>
    <cellStyle name="Style 25 8 6 2 2" xfId="38323" xr:uid="{00000000-0005-0000-0000-0000B8950000}"/>
    <cellStyle name="Style 25 8 6 2 3" xfId="38324" xr:uid="{00000000-0005-0000-0000-0000B9950000}"/>
    <cellStyle name="Style 25 8 6 3" xfId="38325" xr:uid="{00000000-0005-0000-0000-0000BA950000}"/>
    <cellStyle name="Style 25 8 6 3 2" xfId="38326" xr:uid="{00000000-0005-0000-0000-0000BB950000}"/>
    <cellStyle name="Style 25 8 6 3 3" xfId="38327" xr:uid="{00000000-0005-0000-0000-0000BC950000}"/>
    <cellStyle name="Style 25 8 6 4" xfId="38328" xr:uid="{00000000-0005-0000-0000-0000BD950000}"/>
    <cellStyle name="Style 25 8 6 5" xfId="38329" xr:uid="{00000000-0005-0000-0000-0000BE950000}"/>
    <cellStyle name="Style 25 8 6 6" xfId="38330" xr:uid="{00000000-0005-0000-0000-0000BF950000}"/>
    <cellStyle name="Style 25 8 7" xfId="38331" xr:uid="{00000000-0005-0000-0000-0000C0950000}"/>
    <cellStyle name="Style 25 8 7 2" xfId="38332" xr:uid="{00000000-0005-0000-0000-0000C1950000}"/>
    <cellStyle name="Style 25 8 7 3" xfId="38333" xr:uid="{00000000-0005-0000-0000-0000C2950000}"/>
    <cellStyle name="Style 25 8 8" xfId="38334" xr:uid="{00000000-0005-0000-0000-0000C3950000}"/>
    <cellStyle name="Style 25 8 8 2" xfId="38335" xr:uid="{00000000-0005-0000-0000-0000C4950000}"/>
    <cellStyle name="Style 25 8 8 3" xfId="38336" xr:uid="{00000000-0005-0000-0000-0000C5950000}"/>
    <cellStyle name="Style 25 8 9" xfId="38337" xr:uid="{00000000-0005-0000-0000-0000C6950000}"/>
    <cellStyle name="Style 25 8 9 2" xfId="38338" xr:uid="{00000000-0005-0000-0000-0000C7950000}"/>
    <cellStyle name="Style 25 8 9 3" xfId="38339" xr:uid="{00000000-0005-0000-0000-0000C8950000}"/>
    <cellStyle name="Style 25 9" xfId="38340" xr:uid="{00000000-0005-0000-0000-0000C9950000}"/>
    <cellStyle name="Style 25 9 10" xfId="38341" xr:uid="{00000000-0005-0000-0000-0000CA950000}"/>
    <cellStyle name="Style 25 9 11" xfId="38342" xr:uid="{00000000-0005-0000-0000-0000CB950000}"/>
    <cellStyle name="Style 25 9 12" xfId="38343" xr:uid="{00000000-0005-0000-0000-0000CC950000}"/>
    <cellStyle name="Style 25 9 2" xfId="38344" xr:uid="{00000000-0005-0000-0000-0000CD950000}"/>
    <cellStyle name="Style 25 9 2 10" xfId="38345" xr:uid="{00000000-0005-0000-0000-0000CE950000}"/>
    <cellStyle name="Style 25 9 2 2" xfId="38346" xr:uid="{00000000-0005-0000-0000-0000CF950000}"/>
    <cellStyle name="Style 25 9 2 2 2" xfId="38347" xr:uid="{00000000-0005-0000-0000-0000D0950000}"/>
    <cellStyle name="Style 25 9 2 2 2 2" xfId="38348" xr:uid="{00000000-0005-0000-0000-0000D1950000}"/>
    <cellStyle name="Style 25 9 2 2 2 2 2" xfId="38349" xr:uid="{00000000-0005-0000-0000-0000D2950000}"/>
    <cellStyle name="Style 25 9 2 2 2 2 3" xfId="38350" xr:uid="{00000000-0005-0000-0000-0000D3950000}"/>
    <cellStyle name="Style 25 9 2 2 2 3" xfId="38351" xr:uid="{00000000-0005-0000-0000-0000D4950000}"/>
    <cellStyle name="Style 25 9 2 2 2 3 2" xfId="38352" xr:uid="{00000000-0005-0000-0000-0000D5950000}"/>
    <cellStyle name="Style 25 9 2 2 2 3 3" xfId="38353" xr:uid="{00000000-0005-0000-0000-0000D6950000}"/>
    <cellStyle name="Style 25 9 2 2 2 4" xfId="38354" xr:uid="{00000000-0005-0000-0000-0000D7950000}"/>
    <cellStyle name="Style 25 9 2 2 2 5" xfId="38355" xr:uid="{00000000-0005-0000-0000-0000D8950000}"/>
    <cellStyle name="Style 25 9 2 2 2 6" xfId="38356" xr:uid="{00000000-0005-0000-0000-0000D9950000}"/>
    <cellStyle name="Style 25 9 2 2 3" xfId="38357" xr:uid="{00000000-0005-0000-0000-0000DA950000}"/>
    <cellStyle name="Style 25 9 2 2 3 2" xfId="38358" xr:uid="{00000000-0005-0000-0000-0000DB950000}"/>
    <cellStyle name="Style 25 9 2 2 3 3" xfId="38359" xr:uid="{00000000-0005-0000-0000-0000DC950000}"/>
    <cellStyle name="Style 25 9 2 2 4" xfId="38360" xr:uid="{00000000-0005-0000-0000-0000DD950000}"/>
    <cellStyle name="Style 25 9 2 2 4 2" xfId="38361" xr:uid="{00000000-0005-0000-0000-0000DE950000}"/>
    <cellStyle name="Style 25 9 2 2 4 3" xfId="38362" xr:uid="{00000000-0005-0000-0000-0000DF950000}"/>
    <cellStyle name="Style 25 9 2 2 5" xfId="38363" xr:uid="{00000000-0005-0000-0000-0000E0950000}"/>
    <cellStyle name="Style 25 9 2 2 5 2" xfId="38364" xr:uid="{00000000-0005-0000-0000-0000E1950000}"/>
    <cellStyle name="Style 25 9 2 2 5 3" xfId="38365" xr:uid="{00000000-0005-0000-0000-0000E2950000}"/>
    <cellStyle name="Style 25 9 2 2 6" xfId="38366" xr:uid="{00000000-0005-0000-0000-0000E3950000}"/>
    <cellStyle name="Style 25 9 2 2 7" xfId="38367" xr:uid="{00000000-0005-0000-0000-0000E4950000}"/>
    <cellStyle name="Style 25 9 2 2 8" xfId="38368" xr:uid="{00000000-0005-0000-0000-0000E5950000}"/>
    <cellStyle name="Style 25 9 2 3" xfId="38369" xr:uid="{00000000-0005-0000-0000-0000E6950000}"/>
    <cellStyle name="Style 25 9 2 3 2" xfId="38370" xr:uid="{00000000-0005-0000-0000-0000E7950000}"/>
    <cellStyle name="Style 25 9 2 3 2 2" xfId="38371" xr:uid="{00000000-0005-0000-0000-0000E8950000}"/>
    <cellStyle name="Style 25 9 2 3 2 2 2" xfId="38372" xr:uid="{00000000-0005-0000-0000-0000E9950000}"/>
    <cellStyle name="Style 25 9 2 3 2 2 3" xfId="38373" xr:uid="{00000000-0005-0000-0000-0000EA950000}"/>
    <cellStyle name="Style 25 9 2 3 2 3" xfId="38374" xr:uid="{00000000-0005-0000-0000-0000EB950000}"/>
    <cellStyle name="Style 25 9 2 3 2 3 2" xfId="38375" xr:uid="{00000000-0005-0000-0000-0000EC950000}"/>
    <cellStyle name="Style 25 9 2 3 2 3 3" xfId="38376" xr:uid="{00000000-0005-0000-0000-0000ED950000}"/>
    <cellStyle name="Style 25 9 2 3 2 4" xfId="38377" xr:uid="{00000000-0005-0000-0000-0000EE950000}"/>
    <cellStyle name="Style 25 9 2 3 2 5" xfId="38378" xr:uid="{00000000-0005-0000-0000-0000EF950000}"/>
    <cellStyle name="Style 25 9 2 3 2 6" xfId="38379" xr:uid="{00000000-0005-0000-0000-0000F0950000}"/>
    <cellStyle name="Style 25 9 2 3 3" xfId="38380" xr:uid="{00000000-0005-0000-0000-0000F1950000}"/>
    <cellStyle name="Style 25 9 2 3 3 2" xfId="38381" xr:uid="{00000000-0005-0000-0000-0000F2950000}"/>
    <cellStyle name="Style 25 9 2 3 3 3" xfId="38382" xr:uid="{00000000-0005-0000-0000-0000F3950000}"/>
    <cellStyle name="Style 25 9 2 3 4" xfId="38383" xr:uid="{00000000-0005-0000-0000-0000F4950000}"/>
    <cellStyle name="Style 25 9 2 3 4 2" xfId="38384" xr:uid="{00000000-0005-0000-0000-0000F5950000}"/>
    <cellStyle name="Style 25 9 2 3 4 3" xfId="38385" xr:uid="{00000000-0005-0000-0000-0000F6950000}"/>
    <cellStyle name="Style 25 9 2 3 5" xfId="38386" xr:uid="{00000000-0005-0000-0000-0000F7950000}"/>
    <cellStyle name="Style 25 9 2 3 5 2" xfId="38387" xr:uid="{00000000-0005-0000-0000-0000F8950000}"/>
    <cellStyle name="Style 25 9 2 3 5 3" xfId="38388" xr:uid="{00000000-0005-0000-0000-0000F9950000}"/>
    <cellStyle name="Style 25 9 2 3 6" xfId="38389" xr:uid="{00000000-0005-0000-0000-0000FA950000}"/>
    <cellStyle name="Style 25 9 2 3 7" xfId="38390" xr:uid="{00000000-0005-0000-0000-0000FB950000}"/>
    <cellStyle name="Style 25 9 2 3 8" xfId="38391" xr:uid="{00000000-0005-0000-0000-0000FC950000}"/>
    <cellStyle name="Style 25 9 2 4" xfId="38392" xr:uid="{00000000-0005-0000-0000-0000FD950000}"/>
    <cellStyle name="Style 25 9 2 4 2" xfId="38393" xr:uid="{00000000-0005-0000-0000-0000FE950000}"/>
    <cellStyle name="Style 25 9 2 4 2 2" xfId="38394" xr:uid="{00000000-0005-0000-0000-0000FF950000}"/>
    <cellStyle name="Style 25 9 2 4 2 3" xfId="38395" xr:uid="{00000000-0005-0000-0000-000000960000}"/>
    <cellStyle name="Style 25 9 2 4 3" xfId="38396" xr:uid="{00000000-0005-0000-0000-000001960000}"/>
    <cellStyle name="Style 25 9 2 4 3 2" xfId="38397" xr:uid="{00000000-0005-0000-0000-000002960000}"/>
    <cellStyle name="Style 25 9 2 4 3 3" xfId="38398" xr:uid="{00000000-0005-0000-0000-000003960000}"/>
    <cellStyle name="Style 25 9 2 4 4" xfId="38399" xr:uid="{00000000-0005-0000-0000-000004960000}"/>
    <cellStyle name="Style 25 9 2 4 5" xfId="38400" xr:uid="{00000000-0005-0000-0000-000005960000}"/>
    <cellStyle name="Style 25 9 2 4 6" xfId="38401" xr:uid="{00000000-0005-0000-0000-000006960000}"/>
    <cellStyle name="Style 25 9 2 5" xfId="38402" xr:uid="{00000000-0005-0000-0000-000007960000}"/>
    <cellStyle name="Style 25 9 2 5 2" xfId="38403" xr:uid="{00000000-0005-0000-0000-000008960000}"/>
    <cellStyle name="Style 25 9 2 5 3" xfId="38404" xr:uid="{00000000-0005-0000-0000-000009960000}"/>
    <cellStyle name="Style 25 9 2 6" xfId="38405" xr:uid="{00000000-0005-0000-0000-00000A960000}"/>
    <cellStyle name="Style 25 9 2 6 2" xfId="38406" xr:uid="{00000000-0005-0000-0000-00000B960000}"/>
    <cellStyle name="Style 25 9 2 6 3" xfId="38407" xr:uid="{00000000-0005-0000-0000-00000C960000}"/>
    <cellStyle name="Style 25 9 2 7" xfId="38408" xr:uid="{00000000-0005-0000-0000-00000D960000}"/>
    <cellStyle name="Style 25 9 2 7 2" xfId="38409" xr:uid="{00000000-0005-0000-0000-00000E960000}"/>
    <cellStyle name="Style 25 9 2 7 3" xfId="38410" xr:uid="{00000000-0005-0000-0000-00000F960000}"/>
    <cellStyle name="Style 25 9 2 8" xfId="38411" xr:uid="{00000000-0005-0000-0000-000010960000}"/>
    <cellStyle name="Style 25 9 2 9" xfId="38412" xr:uid="{00000000-0005-0000-0000-000011960000}"/>
    <cellStyle name="Style 25 9 3" xfId="38413" xr:uid="{00000000-0005-0000-0000-000012960000}"/>
    <cellStyle name="Style 25 9 3 2" xfId="38414" xr:uid="{00000000-0005-0000-0000-000013960000}"/>
    <cellStyle name="Style 25 9 3 2 2" xfId="38415" xr:uid="{00000000-0005-0000-0000-000014960000}"/>
    <cellStyle name="Style 25 9 3 2 2 2" xfId="38416" xr:uid="{00000000-0005-0000-0000-000015960000}"/>
    <cellStyle name="Style 25 9 3 2 2 3" xfId="38417" xr:uid="{00000000-0005-0000-0000-000016960000}"/>
    <cellStyle name="Style 25 9 3 2 3" xfId="38418" xr:uid="{00000000-0005-0000-0000-000017960000}"/>
    <cellStyle name="Style 25 9 3 2 3 2" xfId="38419" xr:uid="{00000000-0005-0000-0000-000018960000}"/>
    <cellStyle name="Style 25 9 3 2 3 3" xfId="38420" xr:uid="{00000000-0005-0000-0000-000019960000}"/>
    <cellStyle name="Style 25 9 3 2 4" xfId="38421" xr:uid="{00000000-0005-0000-0000-00001A960000}"/>
    <cellStyle name="Style 25 9 3 2 5" xfId="38422" xr:uid="{00000000-0005-0000-0000-00001B960000}"/>
    <cellStyle name="Style 25 9 3 2 6" xfId="38423" xr:uid="{00000000-0005-0000-0000-00001C960000}"/>
    <cellStyle name="Style 25 9 3 3" xfId="38424" xr:uid="{00000000-0005-0000-0000-00001D960000}"/>
    <cellStyle name="Style 25 9 3 3 2" xfId="38425" xr:uid="{00000000-0005-0000-0000-00001E960000}"/>
    <cellStyle name="Style 25 9 3 3 3" xfId="38426" xr:uid="{00000000-0005-0000-0000-00001F960000}"/>
    <cellStyle name="Style 25 9 3 4" xfId="38427" xr:uid="{00000000-0005-0000-0000-000020960000}"/>
    <cellStyle name="Style 25 9 3 4 2" xfId="38428" xr:uid="{00000000-0005-0000-0000-000021960000}"/>
    <cellStyle name="Style 25 9 3 4 3" xfId="38429" xr:uid="{00000000-0005-0000-0000-000022960000}"/>
    <cellStyle name="Style 25 9 3 5" xfId="38430" xr:uid="{00000000-0005-0000-0000-000023960000}"/>
    <cellStyle name="Style 25 9 3 5 2" xfId="38431" xr:uid="{00000000-0005-0000-0000-000024960000}"/>
    <cellStyle name="Style 25 9 3 5 3" xfId="38432" xr:uid="{00000000-0005-0000-0000-000025960000}"/>
    <cellStyle name="Style 25 9 3 6" xfId="38433" xr:uid="{00000000-0005-0000-0000-000026960000}"/>
    <cellStyle name="Style 25 9 3 7" xfId="38434" xr:uid="{00000000-0005-0000-0000-000027960000}"/>
    <cellStyle name="Style 25 9 3 8" xfId="38435" xr:uid="{00000000-0005-0000-0000-000028960000}"/>
    <cellStyle name="Style 25 9 4" xfId="38436" xr:uid="{00000000-0005-0000-0000-000029960000}"/>
    <cellStyle name="Style 25 9 4 2" xfId="38437" xr:uid="{00000000-0005-0000-0000-00002A960000}"/>
    <cellStyle name="Style 25 9 4 2 2" xfId="38438" xr:uid="{00000000-0005-0000-0000-00002B960000}"/>
    <cellStyle name="Style 25 9 4 2 2 2" xfId="38439" xr:uid="{00000000-0005-0000-0000-00002C960000}"/>
    <cellStyle name="Style 25 9 4 2 2 3" xfId="38440" xr:uid="{00000000-0005-0000-0000-00002D960000}"/>
    <cellStyle name="Style 25 9 4 2 3" xfId="38441" xr:uid="{00000000-0005-0000-0000-00002E960000}"/>
    <cellStyle name="Style 25 9 4 2 3 2" xfId="38442" xr:uid="{00000000-0005-0000-0000-00002F960000}"/>
    <cellStyle name="Style 25 9 4 2 3 3" xfId="38443" xr:uid="{00000000-0005-0000-0000-000030960000}"/>
    <cellStyle name="Style 25 9 4 2 4" xfId="38444" xr:uid="{00000000-0005-0000-0000-000031960000}"/>
    <cellStyle name="Style 25 9 4 2 5" xfId="38445" xr:uid="{00000000-0005-0000-0000-000032960000}"/>
    <cellStyle name="Style 25 9 4 2 6" xfId="38446" xr:uid="{00000000-0005-0000-0000-000033960000}"/>
    <cellStyle name="Style 25 9 4 3" xfId="38447" xr:uid="{00000000-0005-0000-0000-000034960000}"/>
    <cellStyle name="Style 25 9 4 3 2" xfId="38448" xr:uid="{00000000-0005-0000-0000-000035960000}"/>
    <cellStyle name="Style 25 9 4 3 3" xfId="38449" xr:uid="{00000000-0005-0000-0000-000036960000}"/>
    <cellStyle name="Style 25 9 4 4" xfId="38450" xr:uid="{00000000-0005-0000-0000-000037960000}"/>
    <cellStyle name="Style 25 9 4 4 2" xfId="38451" xr:uid="{00000000-0005-0000-0000-000038960000}"/>
    <cellStyle name="Style 25 9 4 4 3" xfId="38452" xr:uid="{00000000-0005-0000-0000-000039960000}"/>
    <cellStyle name="Style 25 9 4 5" xfId="38453" xr:uid="{00000000-0005-0000-0000-00003A960000}"/>
    <cellStyle name="Style 25 9 4 5 2" xfId="38454" xr:uid="{00000000-0005-0000-0000-00003B960000}"/>
    <cellStyle name="Style 25 9 4 5 3" xfId="38455" xr:uid="{00000000-0005-0000-0000-00003C960000}"/>
    <cellStyle name="Style 25 9 4 6" xfId="38456" xr:uid="{00000000-0005-0000-0000-00003D960000}"/>
    <cellStyle name="Style 25 9 4 7" xfId="38457" xr:uid="{00000000-0005-0000-0000-00003E960000}"/>
    <cellStyle name="Style 25 9 4 8" xfId="38458" xr:uid="{00000000-0005-0000-0000-00003F960000}"/>
    <cellStyle name="Style 25 9 5" xfId="38459" xr:uid="{00000000-0005-0000-0000-000040960000}"/>
    <cellStyle name="Style 25 9 5 2" xfId="38460" xr:uid="{00000000-0005-0000-0000-000041960000}"/>
    <cellStyle name="Style 25 9 5 2 2" xfId="38461" xr:uid="{00000000-0005-0000-0000-000042960000}"/>
    <cellStyle name="Style 25 9 5 2 2 2" xfId="38462" xr:uid="{00000000-0005-0000-0000-000043960000}"/>
    <cellStyle name="Style 25 9 5 2 2 3" xfId="38463" xr:uid="{00000000-0005-0000-0000-000044960000}"/>
    <cellStyle name="Style 25 9 5 2 3" xfId="38464" xr:uid="{00000000-0005-0000-0000-000045960000}"/>
    <cellStyle name="Style 25 9 5 2 3 2" xfId="38465" xr:uid="{00000000-0005-0000-0000-000046960000}"/>
    <cellStyle name="Style 25 9 5 2 3 3" xfId="38466" xr:uid="{00000000-0005-0000-0000-000047960000}"/>
    <cellStyle name="Style 25 9 5 2 4" xfId="38467" xr:uid="{00000000-0005-0000-0000-000048960000}"/>
    <cellStyle name="Style 25 9 5 2 5" xfId="38468" xr:uid="{00000000-0005-0000-0000-000049960000}"/>
    <cellStyle name="Style 25 9 5 2 6" xfId="38469" xr:uid="{00000000-0005-0000-0000-00004A960000}"/>
    <cellStyle name="Style 25 9 5 3" xfId="38470" xr:uid="{00000000-0005-0000-0000-00004B960000}"/>
    <cellStyle name="Style 25 9 5 3 2" xfId="38471" xr:uid="{00000000-0005-0000-0000-00004C960000}"/>
    <cellStyle name="Style 25 9 5 3 3" xfId="38472" xr:uid="{00000000-0005-0000-0000-00004D960000}"/>
    <cellStyle name="Style 25 9 5 4" xfId="38473" xr:uid="{00000000-0005-0000-0000-00004E960000}"/>
    <cellStyle name="Style 25 9 5 4 2" xfId="38474" xr:uid="{00000000-0005-0000-0000-00004F960000}"/>
    <cellStyle name="Style 25 9 5 4 3" xfId="38475" xr:uid="{00000000-0005-0000-0000-000050960000}"/>
    <cellStyle name="Style 25 9 5 5" xfId="38476" xr:uid="{00000000-0005-0000-0000-000051960000}"/>
    <cellStyle name="Style 25 9 5 5 2" xfId="38477" xr:uid="{00000000-0005-0000-0000-000052960000}"/>
    <cellStyle name="Style 25 9 5 5 3" xfId="38478" xr:uid="{00000000-0005-0000-0000-000053960000}"/>
    <cellStyle name="Style 25 9 5 6" xfId="38479" xr:uid="{00000000-0005-0000-0000-000054960000}"/>
    <cellStyle name="Style 25 9 5 7" xfId="38480" xr:uid="{00000000-0005-0000-0000-000055960000}"/>
    <cellStyle name="Style 25 9 5 8" xfId="38481" xr:uid="{00000000-0005-0000-0000-000056960000}"/>
    <cellStyle name="Style 25 9 6" xfId="38482" xr:uid="{00000000-0005-0000-0000-000057960000}"/>
    <cellStyle name="Style 25 9 6 2" xfId="38483" xr:uid="{00000000-0005-0000-0000-000058960000}"/>
    <cellStyle name="Style 25 9 6 2 2" xfId="38484" xr:uid="{00000000-0005-0000-0000-000059960000}"/>
    <cellStyle name="Style 25 9 6 2 3" xfId="38485" xr:uid="{00000000-0005-0000-0000-00005A960000}"/>
    <cellStyle name="Style 25 9 6 3" xfId="38486" xr:uid="{00000000-0005-0000-0000-00005B960000}"/>
    <cellStyle name="Style 25 9 6 3 2" xfId="38487" xr:uid="{00000000-0005-0000-0000-00005C960000}"/>
    <cellStyle name="Style 25 9 6 3 3" xfId="38488" xr:uid="{00000000-0005-0000-0000-00005D960000}"/>
    <cellStyle name="Style 25 9 6 4" xfId="38489" xr:uid="{00000000-0005-0000-0000-00005E960000}"/>
    <cellStyle name="Style 25 9 6 5" xfId="38490" xr:uid="{00000000-0005-0000-0000-00005F960000}"/>
    <cellStyle name="Style 25 9 6 6" xfId="38491" xr:uid="{00000000-0005-0000-0000-000060960000}"/>
    <cellStyle name="Style 25 9 7" xfId="38492" xr:uid="{00000000-0005-0000-0000-000061960000}"/>
    <cellStyle name="Style 25 9 7 2" xfId="38493" xr:uid="{00000000-0005-0000-0000-000062960000}"/>
    <cellStyle name="Style 25 9 7 3" xfId="38494" xr:uid="{00000000-0005-0000-0000-000063960000}"/>
    <cellStyle name="Style 25 9 8" xfId="38495" xr:uid="{00000000-0005-0000-0000-000064960000}"/>
    <cellStyle name="Style 25 9 8 2" xfId="38496" xr:uid="{00000000-0005-0000-0000-000065960000}"/>
    <cellStyle name="Style 25 9 8 3" xfId="38497" xr:uid="{00000000-0005-0000-0000-000066960000}"/>
    <cellStyle name="Style 25 9 9" xfId="38498" xr:uid="{00000000-0005-0000-0000-000067960000}"/>
    <cellStyle name="Style 25 9 9 2" xfId="38499" xr:uid="{00000000-0005-0000-0000-000068960000}"/>
    <cellStyle name="Style 25 9 9 3" xfId="38500" xr:uid="{00000000-0005-0000-0000-000069960000}"/>
    <cellStyle name="Style 26" xfId="38501" xr:uid="{00000000-0005-0000-0000-00006A960000}"/>
    <cellStyle name="Style 26 10" xfId="38502" xr:uid="{00000000-0005-0000-0000-00006B960000}"/>
    <cellStyle name="Style 26 10 10" xfId="38503" xr:uid="{00000000-0005-0000-0000-00006C960000}"/>
    <cellStyle name="Style 26 10 11" xfId="38504" xr:uid="{00000000-0005-0000-0000-00006D960000}"/>
    <cellStyle name="Style 26 10 12" xfId="38505" xr:uid="{00000000-0005-0000-0000-00006E960000}"/>
    <cellStyle name="Style 26 10 2" xfId="38506" xr:uid="{00000000-0005-0000-0000-00006F960000}"/>
    <cellStyle name="Style 26 10 2 10" xfId="38507" xr:uid="{00000000-0005-0000-0000-000070960000}"/>
    <cellStyle name="Style 26 10 2 2" xfId="38508" xr:uid="{00000000-0005-0000-0000-000071960000}"/>
    <cellStyle name="Style 26 10 2 2 2" xfId="38509" xr:uid="{00000000-0005-0000-0000-000072960000}"/>
    <cellStyle name="Style 26 10 2 2 2 2" xfId="38510" xr:uid="{00000000-0005-0000-0000-000073960000}"/>
    <cellStyle name="Style 26 10 2 2 2 2 2" xfId="38511" xr:uid="{00000000-0005-0000-0000-000074960000}"/>
    <cellStyle name="Style 26 10 2 2 2 2 3" xfId="38512" xr:uid="{00000000-0005-0000-0000-000075960000}"/>
    <cellStyle name="Style 26 10 2 2 2 3" xfId="38513" xr:uid="{00000000-0005-0000-0000-000076960000}"/>
    <cellStyle name="Style 26 10 2 2 2 3 2" xfId="38514" xr:uid="{00000000-0005-0000-0000-000077960000}"/>
    <cellStyle name="Style 26 10 2 2 2 3 3" xfId="38515" xr:uid="{00000000-0005-0000-0000-000078960000}"/>
    <cellStyle name="Style 26 10 2 2 2 4" xfId="38516" xr:uid="{00000000-0005-0000-0000-000079960000}"/>
    <cellStyle name="Style 26 10 2 2 2 5" xfId="38517" xr:uid="{00000000-0005-0000-0000-00007A960000}"/>
    <cellStyle name="Style 26 10 2 2 2 6" xfId="38518" xr:uid="{00000000-0005-0000-0000-00007B960000}"/>
    <cellStyle name="Style 26 10 2 2 3" xfId="38519" xr:uid="{00000000-0005-0000-0000-00007C960000}"/>
    <cellStyle name="Style 26 10 2 2 3 2" xfId="38520" xr:uid="{00000000-0005-0000-0000-00007D960000}"/>
    <cellStyle name="Style 26 10 2 2 3 3" xfId="38521" xr:uid="{00000000-0005-0000-0000-00007E960000}"/>
    <cellStyle name="Style 26 10 2 2 4" xfId="38522" xr:uid="{00000000-0005-0000-0000-00007F960000}"/>
    <cellStyle name="Style 26 10 2 2 4 2" xfId="38523" xr:uid="{00000000-0005-0000-0000-000080960000}"/>
    <cellStyle name="Style 26 10 2 2 4 3" xfId="38524" xr:uid="{00000000-0005-0000-0000-000081960000}"/>
    <cellStyle name="Style 26 10 2 2 5" xfId="38525" xr:uid="{00000000-0005-0000-0000-000082960000}"/>
    <cellStyle name="Style 26 10 2 2 5 2" xfId="38526" xr:uid="{00000000-0005-0000-0000-000083960000}"/>
    <cellStyle name="Style 26 10 2 2 5 3" xfId="38527" xr:uid="{00000000-0005-0000-0000-000084960000}"/>
    <cellStyle name="Style 26 10 2 2 6" xfId="38528" xr:uid="{00000000-0005-0000-0000-000085960000}"/>
    <cellStyle name="Style 26 10 2 2 7" xfId="38529" xr:uid="{00000000-0005-0000-0000-000086960000}"/>
    <cellStyle name="Style 26 10 2 2 8" xfId="38530" xr:uid="{00000000-0005-0000-0000-000087960000}"/>
    <cellStyle name="Style 26 10 2 3" xfId="38531" xr:uid="{00000000-0005-0000-0000-000088960000}"/>
    <cellStyle name="Style 26 10 2 3 2" xfId="38532" xr:uid="{00000000-0005-0000-0000-000089960000}"/>
    <cellStyle name="Style 26 10 2 3 2 2" xfId="38533" xr:uid="{00000000-0005-0000-0000-00008A960000}"/>
    <cellStyle name="Style 26 10 2 3 2 2 2" xfId="38534" xr:uid="{00000000-0005-0000-0000-00008B960000}"/>
    <cellStyle name="Style 26 10 2 3 2 2 3" xfId="38535" xr:uid="{00000000-0005-0000-0000-00008C960000}"/>
    <cellStyle name="Style 26 10 2 3 2 3" xfId="38536" xr:uid="{00000000-0005-0000-0000-00008D960000}"/>
    <cellStyle name="Style 26 10 2 3 2 3 2" xfId="38537" xr:uid="{00000000-0005-0000-0000-00008E960000}"/>
    <cellStyle name="Style 26 10 2 3 2 3 3" xfId="38538" xr:uid="{00000000-0005-0000-0000-00008F960000}"/>
    <cellStyle name="Style 26 10 2 3 2 4" xfId="38539" xr:uid="{00000000-0005-0000-0000-000090960000}"/>
    <cellStyle name="Style 26 10 2 3 2 5" xfId="38540" xr:uid="{00000000-0005-0000-0000-000091960000}"/>
    <cellStyle name="Style 26 10 2 3 2 6" xfId="38541" xr:uid="{00000000-0005-0000-0000-000092960000}"/>
    <cellStyle name="Style 26 10 2 3 3" xfId="38542" xr:uid="{00000000-0005-0000-0000-000093960000}"/>
    <cellStyle name="Style 26 10 2 3 3 2" xfId="38543" xr:uid="{00000000-0005-0000-0000-000094960000}"/>
    <cellStyle name="Style 26 10 2 3 3 3" xfId="38544" xr:uid="{00000000-0005-0000-0000-000095960000}"/>
    <cellStyle name="Style 26 10 2 3 4" xfId="38545" xr:uid="{00000000-0005-0000-0000-000096960000}"/>
    <cellStyle name="Style 26 10 2 3 4 2" xfId="38546" xr:uid="{00000000-0005-0000-0000-000097960000}"/>
    <cellStyle name="Style 26 10 2 3 4 3" xfId="38547" xr:uid="{00000000-0005-0000-0000-000098960000}"/>
    <cellStyle name="Style 26 10 2 3 5" xfId="38548" xr:uid="{00000000-0005-0000-0000-000099960000}"/>
    <cellStyle name="Style 26 10 2 3 5 2" xfId="38549" xr:uid="{00000000-0005-0000-0000-00009A960000}"/>
    <cellStyle name="Style 26 10 2 3 5 3" xfId="38550" xr:uid="{00000000-0005-0000-0000-00009B960000}"/>
    <cellStyle name="Style 26 10 2 3 6" xfId="38551" xr:uid="{00000000-0005-0000-0000-00009C960000}"/>
    <cellStyle name="Style 26 10 2 3 7" xfId="38552" xr:uid="{00000000-0005-0000-0000-00009D960000}"/>
    <cellStyle name="Style 26 10 2 3 8" xfId="38553" xr:uid="{00000000-0005-0000-0000-00009E960000}"/>
    <cellStyle name="Style 26 10 2 4" xfId="38554" xr:uid="{00000000-0005-0000-0000-00009F960000}"/>
    <cellStyle name="Style 26 10 2 4 2" xfId="38555" xr:uid="{00000000-0005-0000-0000-0000A0960000}"/>
    <cellStyle name="Style 26 10 2 4 2 2" xfId="38556" xr:uid="{00000000-0005-0000-0000-0000A1960000}"/>
    <cellStyle name="Style 26 10 2 4 2 3" xfId="38557" xr:uid="{00000000-0005-0000-0000-0000A2960000}"/>
    <cellStyle name="Style 26 10 2 4 3" xfId="38558" xr:uid="{00000000-0005-0000-0000-0000A3960000}"/>
    <cellStyle name="Style 26 10 2 4 3 2" xfId="38559" xr:uid="{00000000-0005-0000-0000-0000A4960000}"/>
    <cellStyle name="Style 26 10 2 4 3 3" xfId="38560" xr:uid="{00000000-0005-0000-0000-0000A5960000}"/>
    <cellStyle name="Style 26 10 2 4 4" xfId="38561" xr:uid="{00000000-0005-0000-0000-0000A6960000}"/>
    <cellStyle name="Style 26 10 2 4 5" xfId="38562" xr:uid="{00000000-0005-0000-0000-0000A7960000}"/>
    <cellStyle name="Style 26 10 2 4 6" xfId="38563" xr:uid="{00000000-0005-0000-0000-0000A8960000}"/>
    <cellStyle name="Style 26 10 2 5" xfId="38564" xr:uid="{00000000-0005-0000-0000-0000A9960000}"/>
    <cellStyle name="Style 26 10 2 5 2" xfId="38565" xr:uid="{00000000-0005-0000-0000-0000AA960000}"/>
    <cellStyle name="Style 26 10 2 5 3" xfId="38566" xr:uid="{00000000-0005-0000-0000-0000AB960000}"/>
    <cellStyle name="Style 26 10 2 6" xfId="38567" xr:uid="{00000000-0005-0000-0000-0000AC960000}"/>
    <cellStyle name="Style 26 10 2 6 2" xfId="38568" xr:uid="{00000000-0005-0000-0000-0000AD960000}"/>
    <cellStyle name="Style 26 10 2 6 3" xfId="38569" xr:uid="{00000000-0005-0000-0000-0000AE960000}"/>
    <cellStyle name="Style 26 10 2 7" xfId="38570" xr:uid="{00000000-0005-0000-0000-0000AF960000}"/>
    <cellStyle name="Style 26 10 2 7 2" xfId="38571" xr:uid="{00000000-0005-0000-0000-0000B0960000}"/>
    <cellStyle name="Style 26 10 2 7 3" xfId="38572" xr:uid="{00000000-0005-0000-0000-0000B1960000}"/>
    <cellStyle name="Style 26 10 2 8" xfId="38573" xr:uid="{00000000-0005-0000-0000-0000B2960000}"/>
    <cellStyle name="Style 26 10 2 9" xfId="38574" xr:uid="{00000000-0005-0000-0000-0000B3960000}"/>
    <cellStyle name="Style 26 10 3" xfId="38575" xr:uid="{00000000-0005-0000-0000-0000B4960000}"/>
    <cellStyle name="Style 26 10 3 2" xfId="38576" xr:uid="{00000000-0005-0000-0000-0000B5960000}"/>
    <cellStyle name="Style 26 10 3 2 2" xfId="38577" xr:uid="{00000000-0005-0000-0000-0000B6960000}"/>
    <cellStyle name="Style 26 10 3 2 2 2" xfId="38578" xr:uid="{00000000-0005-0000-0000-0000B7960000}"/>
    <cellStyle name="Style 26 10 3 2 2 3" xfId="38579" xr:uid="{00000000-0005-0000-0000-0000B8960000}"/>
    <cellStyle name="Style 26 10 3 2 3" xfId="38580" xr:uid="{00000000-0005-0000-0000-0000B9960000}"/>
    <cellStyle name="Style 26 10 3 2 3 2" xfId="38581" xr:uid="{00000000-0005-0000-0000-0000BA960000}"/>
    <cellStyle name="Style 26 10 3 2 3 3" xfId="38582" xr:uid="{00000000-0005-0000-0000-0000BB960000}"/>
    <cellStyle name="Style 26 10 3 2 4" xfId="38583" xr:uid="{00000000-0005-0000-0000-0000BC960000}"/>
    <cellStyle name="Style 26 10 3 2 5" xfId="38584" xr:uid="{00000000-0005-0000-0000-0000BD960000}"/>
    <cellStyle name="Style 26 10 3 2 6" xfId="38585" xr:uid="{00000000-0005-0000-0000-0000BE960000}"/>
    <cellStyle name="Style 26 10 3 3" xfId="38586" xr:uid="{00000000-0005-0000-0000-0000BF960000}"/>
    <cellStyle name="Style 26 10 3 3 2" xfId="38587" xr:uid="{00000000-0005-0000-0000-0000C0960000}"/>
    <cellStyle name="Style 26 10 3 3 3" xfId="38588" xr:uid="{00000000-0005-0000-0000-0000C1960000}"/>
    <cellStyle name="Style 26 10 3 4" xfId="38589" xr:uid="{00000000-0005-0000-0000-0000C2960000}"/>
    <cellStyle name="Style 26 10 3 4 2" xfId="38590" xr:uid="{00000000-0005-0000-0000-0000C3960000}"/>
    <cellStyle name="Style 26 10 3 4 3" xfId="38591" xr:uid="{00000000-0005-0000-0000-0000C4960000}"/>
    <cellStyle name="Style 26 10 3 5" xfId="38592" xr:uid="{00000000-0005-0000-0000-0000C5960000}"/>
    <cellStyle name="Style 26 10 3 5 2" xfId="38593" xr:uid="{00000000-0005-0000-0000-0000C6960000}"/>
    <cellStyle name="Style 26 10 3 5 3" xfId="38594" xr:uid="{00000000-0005-0000-0000-0000C7960000}"/>
    <cellStyle name="Style 26 10 3 6" xfId="38595" xr:uid="{00000000-0005-0000-0000-0000C8960000}"/>
    <cellStyle name="Style 26 10 3 7" xfId="38596" xr:uid="{00000000-0005-0000-0000-0000C9960000}"/>
    <cellStyle name="Style 26 10 3 8" xfId="38597" xr:uid="{00000000-0005-0000-0000-0000CA960000}"/>
    <cellStyle name="Style 26 10 4" xfId="38598" xr:uid="{00000000-0005-0000-0000-0000CB960000}"/>
    <cellStyle name="Style 26 10 4 2" xfId="38599" xr:uid="{00000000-0005-0000-0000-0000CC960000}"/>
    <cellStyle name="Style 26 10 4 2 2" xfId="38600" xr:uid="{00000000-0005-0000-0000-0000CD960000}"/>
    <cellStyle name="Style 26 10 4 2 2 2" xfId="38601" xr:uid="{00000000-0005-0000-0000-0000CE960000}"/>
    <cellStyle name="Style 26 10 4 2 2 3" xfId="38602" xr:uid="{00000000-0005-0000-0000-0000CF960000}"/>
    <cellStyle name="Style 26 10 4 2 3" xfId="38603" xr:uid="{00000000-0005-0000-0000-0000D0960000}"/>
    <cellStyle name="Style 26 10 4 2 3 2" xfId="38604" xr:uid="{00000000-0005-0000-0000-0000D1960000}"/>
    <cellStyle name="Style 26 10 4 2 3 3" xfId="38605" xr:uid="{00000000-0005-0000-0000-0000D2960000}"/>
    <cellStyle name="Style 26 10 4 2 4" xfId="38606" xr:uid="{00000000-0005-0000-0000-0000D3960000}"/>
    <cellStyle name="Style 26 10 4 2 5" xfId="38607" xr:uid="{00000000-0005-0000-0000-0000D4960000}"/>
    <cellStyle name="Style 26 10 4 2 6" xfId="38608" xr:uid="{00000000-0005-0000-0000-0000D5960000}"/>
    <cellStyle name="Style 26 10 4 3" xfId="38609" xr:uid="{00000000-0005-0000-0000-0000D6960000}"/>
    <cellStyle name="Style 26 10 4 3 2" xfId="38610" xr:uid="{00000000-0005-0000-0000-0000D7960000}"/>
    <cellStyle name="Style 26 10 4 3 3" xfId="38611" xr:uid="{00000000-0005-0000-0000-0000D8960000}"/>
    <cellStyle name="Style 26 10 4 4" xfId="38612" xr:uid="{00000000-0005-0000-0000-0000D9960000}"/>
    <cellStyle name="Style 26 10 4 4 2" xfId="38613" xr:uid="{00000000-0005-0000-0000-0000DA960000}"/>
    <cellStyle name="Style 26 10 4 4 3" xfId="38614" xr:uid="{00000000-0005-0000-0000-0000DB960000}"/>
    <cellStyle name="Style 26 10 4 5" xfId="38615" xr:uid="{00000000-0005-0000-0000-0000DC960000}"/>
    <cellStyle name="Style 26 10 4 5 2" xfId="38616" xr:uid="{00000000-0005-0000-0000-0000DD960000}"/>
    <cellStyle name="Style 26 10 4 5 3" xfId="38617" xr:uid="{00000000-0005-0000-0000-0000DE960000}"/>
    <cellStyle name="Style 26 10 4 6" xfId="38618" xr:uid="{00000000-0005-0000-0000-0000DF960000}"/>
    <cellStyle name="Style 26 10 4 7" xfId="38619" xr:uid="{00000000-0005-0000-0000-0000E0960000}"/>
    <cellStyle name="Style 26 10 4 8" xfId="38620" xr:uid="{00000000-0005-0000-0000-0000E1960000}"/>
    <cellStyle name="Style 26 10 5" xfId="38621" xr:uid="{00000000-0005-0000-0000-0000E2960000}"/>
    <cellStyle name="Style 26 10 5 2" xfId="38622" xr:uid="{00000000-0005-0000-0000-0000E3960000}"/>
    <cellStyle name="Style 26 10 5 2 2" xfId="38623" xr:uid="{00000000-0005-0000-0000-0000E4960000}"/>
    <cellStyle name="Style 26 10 5 2 2 2" xfId="38624" xr:uid="{00000000-0005-0000-0000-0000E5960000}"/>
    <cellStyle name="Style 26 10 5 2 2 3" xfId="38625" xr:uid="{00000000-0005-0000-0000-0000E6960000}"/>
    <cellStyle name="Style 26 10 5 2 3" xfId="38626" xr:uid="{00000000-0005-0000-0000-0000E7960000}"/>
    <cellStyle name="Style 26 10 5 2 3 2" xfId="38627" xr:uid="{00000000-0005-0000-0000-0000E8960000}"/>
    <cellStyle name="Style 26 10 5 2 3 3" xfId="38628" xr:uid="{00000000-0005-0000-0000-0000E9960000}"/>
    <cellStyle name="Style 26 10 5 2 4" xfId="38629" xr:uid="{00000000-0005-0000-0000-0000EA960000}"/>
    <cellStyle name="Style 26 10 5 2 5" xfId="38630" xr:uid="{00000000-0005-0000-0000-0000EB960000}"/>
    <cellStyle name="Style 26 10 5 2 6" xfId="38631" xr:uid="{00000000-0005-0000-0000-0000EC960000}"/>
    <cellStyle name="Style 26 10 5 3" xfId="38632" xr:uid="{00000000-0005-0000-0000-0000ED960000}"/>
    <cellStyle name="Style 26 10 5 3 2" xfId="38633" xr:uid="{00000000-0005-0000-0000-0000EE960000}"/>
    <cellStyle name="Style 26 10 5 3 3" xfId="38634" xr:uid="{00000000-0005-0000-0000-0000EF960000}"/>
    <cellStyle name="Style 26 10 5 4" xfId="38635" xr:uid="{00000000-0005-0000-0000-0000F0960000}"/>
    <cellStyle name="Style 26 10 5 4 2" xfId="38636" xr:uid="{00000000-0005-0000-0000-0000F1960000}"/>
    <cellStyle name="Style 26 10 5 4 3" xfId="38637" xr:uid="{00000000-0005-0000-0000-0000F2960000}"/>
    <cellStyle name="Style 26 10 5 5" xfId="38638" xr:uid="{00000000-0005-0000-0000-0000F3960000}"/>
    <cellStyle name="Style 26 10 5 5 2" xfId="38639" xr:uid="{00000000-0005-0000-0000-0000F4960000}"/>
    <cellStyle name="Style 26 10 5 5 3" xfId="38640" xr:uid="{00000000-0005-0000-0000-0000F5960000}"/>
    <cellStyle name="Style 26 10 5 6" xfId="38641" xr:uid="{00000000-0005-0000-0000-0000F6960000}"/>
    <cellStyle name="Style 26 10 5 7" xfId="38642" xr:uid="{00000000-0005-0000-0000-0000F7960000}"/>
    <cellStyle name="Style 26 10 5 8" xfId="38643" xr:uid="{00000000-0005-0000-0000-0000F8960000}"/>
    <cellStyle name="Style 26 10 6" xfId="38644" xr:uid="{00000000-0005-0000-0000-0000F9960000}"/>
    <cellStyle name="Style 26 10 6 2" xfId="38645" xr:uid="{00000000-0005-0000-0000-0000FA960000}"/>
    <cellStyle name="Style 26 10 6 2 2" xfId="38646" xr:uid="{00000000-0005-0000-0000-0000FB960000}"/>
    <cellStyle name="Style 26 10 6 2 3" xfId="38647" xr:uid="{00000000-0005-0000-0000-0000FC960000}"/>
    <cellStyle name="Style 26 10 6 3" xfId="38648" xr:uid="{00000000-0005-0000-0000-0000FD960000}"/>
    <cellStyle name="Style 26 10 6 3 2" xfId="38649" xr:uid="{00000000-0005-0000-0000-0000FE960000}"/>
    <cellStyle name="Style 26 10 6 3 3" xfId="38650" xr:uid="{00000000-0005-0000-0000-0000FF960000}"/>
    <cellStyle name="Style 26 10 6 4" xfId="38651" xr:uid="{00000000-0005-0000-0000-000000970000}"/>
    <cellStyle name="Style 26 10 6 5" xfId="38652" xr:uid="{00000000-0005-0000-0000-000001970000}"/>
    <cellStyle name="Style 26 10 6 6" xfId="38653" xr:uid="{00000000-0005-0000-0000-000002970000}"/>
    <cellStyle name="Style 26 10 7" xfId="38654" xr:uid="{00000000-0005-0000-0000-000003970000}"/>
    <cellStyle name="Style 26 10 7 2" xfId="38655" xr:uid="{00000000-0005-0000-0000-000004970000}"/>
    <cellStyle name="Style 26 10 7 3" xfId="38656" xr:uid="{00000000-0005-0000-0000-000005970000}"/>
    <cellStyle name="Style 26 10 8" xfId="38657" xr:uid="{00000000-0005-0000-0000-000006970000}"/>
    <cellStyle name="Style 26 10 8 2" xfId="38658" xr:uid="{00000000-0005-0000-0000-000007970000}"/>
    <cellStyle name="Style 26 10 8 3" xfId="38659" xr:uid="{00000000-0005-0000-0000-000008970000}"/>
    <cellStyle name="Style 26 10 9" xfId="38660" xr:uid="{00000000-0005-0000-0000-000009970000}"/>
    <cellStyle name="Style 26 10 9 2" xfId="38661" xr:uid="{00000000-0005-0000-0000-00000A970000}"/>
    <cellStyle name="Style 26 10 9 3" xfId="38662" xr:uid="{00000000-0005-0000-0000-00000B970000}"/>
    <cellStyle name="Style 26 11" xfId="38663" xr:uid="{00000000-0005-0000-0000-00000C970000}"/>
    <cellStyle name="Style 26 11 10" xfId="38664" xr:uid="{00000000-0005-0000-0000-00000D970000}"/>
    <cellStyle name="Style 26 11 11" xfId="38665" xr:uid="{00000000-0005-0000-0000-00000E970000}"/>
    <cellStyle name="Style 26 11 12" xfId="38666" xr:uid="{00000000-0005-0000-0000-00000F970000}"/>
    <cellStyle name="Style 26 11 2" xfId="38667" xr:uid="{00000000-0005-0000-0000-000010970000}"/>
    <cellStyle name="Style 26 11 2 10" xfId="38668" xr:uid="{00000000-0005-0000-0000-000011970000}"/>
    <cellStyle name="Style 26 11 2 2" xfId="38669" xr:uid="{00000000-0005-0000-0000-000012970000}"/>
    <cellStyle name="Style 26 11 2 2 2" xfId="38670" xr:uid="{00000000-0005-0000-0000-000013970000}"/>
    <cellStyle name="Style 26 11 2 2 2 2" xfId="38671" xr:uid="{00000000-0005-0000-0000-000014970000}"/>
    <cellStyle name="Style 26 11 2 2 2 2 2" xfId="38672" xr:uid="{00000000-0005-0000-0000-000015970000}"/>
    <cellStyle name="Style 26 11 2 2 2 2 3" xfId="38673" xr:uid="{00000000-0005-0000-0000-000016970000}"/>
    <cellStyle name="Style 26 11 2 2 2 3" xfId="38674" xr:uid="{00000000-0005-0000-0000-000017970000}"/>
    <cellStyle name="Style 26 11 2 2 2 3 2" xfId="38675" xr:uid="{00000000-0005-0000-0000-000018970000}"/>
    <cellStyle name="Style 26 11 2 2 2 3 3" xfId="38676" xr:uid="{00000000-0005-0000-0000-000019970000}"/>
    <cellStyle name="Style 26 11 2 2 2 4" xfId="38677" xr:uid="{00000000-0005-0000-0000-00001A970000}"/>
    <cellStyle name="Style 26 11 2 2 2 5" xfId="38678" xr:uid="{00000000-0005-0000-0000-00001B970000}"/>
    <cellStyle name="Style 26 11 2 2 2 6" xfId="38679" xr:uid="{00000000-0005-0000-0000-00001C970000}"/>
    <cellStyle name="Style 26 11 2 2 3" xfId="38680" xr:uid="{00000000-0005-0000-0000-00001D970000}"/>
    <cellStyle name="Style 26 11 2 2 3 2" xfId="38681" xr:uid="{00000000-0005-0000-0000-00001E970000}"/>
    <cellStyle name="Style 26 11 2 2 3 3" xfId="38682" xr:uid="{00000000-0005-0000-0000-00001F970000}"/>
    <cellStyle name="Style 26 11 2 2 4" xfId="38683" xr:uid="{00000000-0005-0000-0000-000020970000}"/>
    <cellStyle name="Style 26 11 2 2 4 2" xfId="38684" xr:uid="{00000000-0005-0000-0000-000021970000}"/>
    <cellStyle name="Style 26 11 2 2 4 3" xfId="38685" xr:uid="{00000000-0005-0000-0000-000022970000}"/>
    <cellStyle name="Style 26 11 2 2 5" xfId="38686" xr:uid="{00000000-0005-0000-0000-000023970000}"/>
    <cellStyle name="Style 26 11 2 2 5 2" xfId="38687" xr:uid="{00000000-0005-0000-0000-000024970000}"/>
    <cellStyle name="Style 26 11 2 2 5 3" xfId="38688" xr:uid="{00000000-0005-0000-0000-000025970000}"/>
    <cellStyle name="Style 26 11 2 2 6" xfId="38689" xr:uid="{00000000-0005-0000-0000-000026970000}"/>
    <cellStyle name="Style 26 11 2 2 7" xfId="38690" xr:uid="{00000000-0005-0000-0000-000027970000}"/>
    <cellStyle name="Style 26 11 2 2 8" xfId="38691" xr:uid="{00000000-0005-0000-0000-000028970000}"/>
    <cellStyle name="Style 26 11 2 3" xfId="38692" xr:uid="{00000000-0005-0000-0000-000029970000}"/>
    <cellStyle name="Style 26 11 2 3 2" xfId="38693" xr:uid="{00000000-0005-0000-0000-00002A970000}"/>
    <cellStyle name="Style 26 11 2 3 2 2" xfId="38694" xr:uid="{00000000-0005-0000-0000-00002B970000}"/>
    <cellStyle name="Style 26 11 2 3 2 2 2" xfId="38695" xr:uid="{00000000-0005-0000-0000-00002C970000}"/>
    <cellStyle name="Style 26 11 2 3 2 2 3" xfId="38696" xr:uid="{00000000-0005-0000-0000-00002D970000}"/>
    <cellStyle name="Style 26 11 2 3 2 3" xfId="38697" xr:uid="{00000000-0005-0000-0000-00002E970000}"/>
    <cellStyle name="Style 26 11 2 3 2 3 2" xfId="38698" xr:uid="{00000000-0005-0000-0000-00002F970000}"/>
    <cellStyle name="Style 26 11 2 3 2 3 3" xfId="38699" xr:uid="{00000000-0005-0000-0000-000030970000}"/>
    <cellStyle name="Style 26 11 2 3 2 4" xfId="38700" xr:uid="{00000000-0005-0000-0000-000031970000}"/>
    <cellStyle name="Style 26 11 2 3 2 5" xfId="38701" xr:uid="{00000000-0005-0000-0000-000032970000}"/>
    <cellStyle name="Style 26 11 2 3 2 6" xfId="38702" xr:uid="{00000000-0005-0000-0000-000033970000}"/>
    <cellStyle name="Style 26 11 2 3 3" xfId="38703" xr:uid="{00000000-0005-0000-0000-000034970000}"/>
    <cellStyle name="Style 26 11 2 3 3 2" xfId="38704" xr:uid="{00000000-0005-0000-0000-000035970000}"/>
    <cellStyle name="Style 26 11 2 3 3 3" xfId="38705" xr:uid="{00000000-0005-0000-0000-000036970000}"/>
    <cellStyle name="Style 26 11 2 3 4" xfId="38706" xr:uid="{00000000-0005-0000-0000-000037970000}"/>
    <cellStyle name="Style 26 11 2 3 4 2" xfId="38707" xr:uid="{00000000-0005-0000-0000-000038970000}"/>
    <cellStyle name="Style 26 11 2 3 4 3" xfId="38708" xr:uid="{00000000-0005-0000-0000-000039970000}"/>
    <cellStyle name="Style 26 11 2 3 5" xfId="38709" xr:uid="{00000000-0005-0000-0000-00003A970000}"/>
    <cellStyle name="Style 26 11 2 3 5 2" xfId="38710" xr:uid="{00000000-0005-0000-0000-00003B970000}"/>
    <cellStyle name="Style 26 11 2 3 5 3" xfId="38711" xr:uid="{00000000-0005-0000-0000-00003C970000}"/>
    <cellStyle name="Style 26 11 2 3 6" xfId="38712" xr:uid="{00000000-0005-0000-0000-00003D970000}"/>
    <cellStyle name="Style 26 11 2 3 7" xfId="38713" xr:uid="{00000000-0005-0000-0000-00003E970000}"/>
    <cellStyle name="Style 26 11 2 3 8" xfId="38714" xr:uid="{00000000-0005-0000-0000-00003F970000}"/>
    <cellStyle name="Style 26 11 2 4" xfId="38715" xr:uid="{00000000-0005-0000-0000-000040970000}"/>
    <cellStyle name="Style 26 11 2 4 2" xfId="38716" xr:uid="{00000000-0005-0000-0000-000041970000}"/>
    <cellStyle name="Style 26 11 2 4 2 2" xfId="38717" xr:uid="{00000000-0005-0000-0000-000042970000}"/>
    <cellStyle name="Style 26 11 2 4 2 3" xfId="38718" xr:uid="{00000000-0005-0000-0000-000043970000}"/>
    <cellStyle name="Style 26 11 2 4 3" xfId="38719" xr:uid="{00000000-0005-0000-0000-000044970000}"/>
    <cellStyle name="Style 26 11 2 4 3 2" xfId="38720" xr:uid="{00000000-0005-0000-0000-000045970000}"/>
    <cellStyle name="Style 26 11 2 4 3 3" xfId="38721" xr:uid="{00000000-0005-0000-0000-000046970000}"/>
    <cellStyle name="Style 26 11 2 4 4" xfId="38722" xr:uid="{00000000-0005-0000-0000-000047970000}"/>
    <cellStyle name="Style 26 11 2 4 5" xfId="38723" xr:uid="{00000000-0005-0000-0000-000048970000}"/>
    <cellStyle name="Style 26 11 2 4 6" xfId="38724" xr:uid="{00000000-0005-0000-0000-000049970000}"/>
    <cellStyle name="Style 26 11 2 5" xfId="38725" xr:uid="{00000000-0005-0000-0000-00004A970000}"/>
    <cellStyle name="Style 26 11 2 5 2" xfId="38726" xr:uid="{00000000-0005-0000-0000-00004B970000}"/>
    <cellStyle name="Style 26 11 2 5 3" xfId="38727" xr:uid="{00000000-0005-0000-0000-00004C970000}"/>
    <cellStyle name="Style 26 11 2 6" xfId="38728" xr:uid="{00000000-0005-0000-0000-00004D970000}"/>
    <cellStyle name="Style 26 11 2 6 2" xfId="38729" xr:uid="{00000000-0005-0000-0000-00004E970000}"/>
    <cellStyle name="Style 26 11 2 6 3" xfId="38730" xr:uid="{00000000-0005-0000-0000-00004F970000}"/>
    <cellStyle name="Style 26 11 2 7" xfId="38731" xr:uid="{00000000-0005-0000-0000-000050970000}"/>
    <cellStyle name="Style 26 11 2 7 2" xfId="38732" xr:uid="{00000000-0005-0000-0000-000051970000}"/>
    <cellStyle name="Style 26 11 2 7 3" xfId="38733" xr:uid="{00000000-0005-0000-0000-000052970000}"/>
    <cellStyle name="Style 26 11 2 8" xfId="38734" xr:uid="{00000000-0005-0000-0000-000053970000}"/>
    <cellStyle name="Style 26 11 2 9" xfId="38735" xr:uid="{00000000-0005-0000-0000-000054970000}"/>
    <cellStyle name="Style 26 11 3" xfId="38736" xr:uid="{00000000-0005-0000-0000-000055970000}"/>
    <cellStyle name="Style 26 11 3 2" xfId="38737" xr:uid="{00000000-0005-0000-0000-000056970000}"/>
    <cellStyle name="Style 26 11 3 2 2" xfId="38738" xr:uid="{00000000-0005-0000-0000-000057970000}"/>
    <cellStyle name="Style 26 11 3 2 2 2" xfId="38739" xr:uid="{00000000-0005-0000-0000-000058970000}"/>
    <cellStyle name="Style 26 11 3 2 2 3" xfId="38740" xr:uid="{00000000-0005-0000-0000-000059970000}"/>
    <cellStyle name="Style 26 11 3 2 3" xfId="38741" xr:uid="{00000000-0005-0000-0000-00005A970000}"/>
    <cellStyle name="Style 26 11 3 2 3 2" xfId="38742" xr:uid="{00000000-0005-0000-0000-00005B970000}"/>
    <cellStyle name="Style 26 11 3 2 3 3" xfId="38743" xr:uid="{00000000-0005-0000-0000-00005C970000}"/>
    <cellStyle name="Style 26 11 3 2 4" xfId="38744" xr:uid="{00000000-0005-0000-0000-00005D970000}"/>
    <cellStyle name="Style 26 11 3 2 5" xfId="38745" xr:uid="{00000000-0005-0000-0000-00005E970000}"/>
    <cellStyle name="Style 26 11 3 2 6" xfId="38746" xr:uid="{00000000-0005-0000-0000-00005F970000}"/>
    <cellStyle name="Style 26 11 3 3" xfId="38747" xr:uid="{00000000-0005-0000-0000-000060970000}"/>
    <cellStyle name="Style 26 11 3 3 2" xfId="38748" xr:uid="{00000000-0005-0000-0000-000061970000}"/>
    <cellStyle name="Style 26 11 3 3 3" xfId="38749" xr:uid="{00000000-0005-0000-0000-000062970000}"/>
    <cellStyle name="Style 26 11 3 4" xfId="38750" xr:uid="{00000000-0005-0000-0000-000063970000}"/>
    <cellStyle name="Style 26 11 3 4 2" xfId="38751" xr:uid="{00000000-0005-0000-0000-000064970000}"/>
    <cellStyle name="Style 26 11 3 4 3" xfId="38752" xr:uid="{00000000-0005-0000-0000-000065970000}"/>
    <cellStyle name="Style 26 11 3 5" xfId="38753" xr:uid="{00000000-0005-0000-0000-000066970000}"/>
    <cellStyle name="Style 26 11 3 5 2" xfId="38754" xr:uid="{00000000-0005-0000-0000-000067970000}"/>
    <cellStyle name="Style 26 11 3 5 3" xfId="38755" xr:uid="{00000000-0005-0000-0000-000068970000}"/>
    <cellStyle name="Style 26 11 3 6" xfId="38756" xr:uid="{00000000-0005-0000-0000-000069970000}"/>
    <cellStyle name="Style 26 11 3 7" xfId="38757" xr:uid="{00000000-0005-0000-0000-00006A970000}"/>
    <cellStyle name="Style 26 11 3 8" xfId="38758" xr:uid="{00000000-0005-0000-0000-00006B970000}"/>
    <cellStyle name="Style 26 11 4" xfId="38759" xr:uid="{00000000-0005-0000-0000-00006C970000}"/>
    <cellStyle name="Style 26 11 4 2" xfId="38760" xr:uid="{00000000-0005-0000-0000-00006D970000}"/>
    <cellStyle name="Style 26 11 4 2 2" xfId="38761" xr:uid="{00000000-0005-0000-0000-00006E970000}"/>
    <cellStyle name="Style 26 11 4 2 2 2" xfId="38762" xr:uid="{00000000-0005-0000-0000-00006F970000}"/>
    <cellStyle name="Style 26 11 4 2 2 3" xfId="38763" xr:uid="{00000000-0005-0000-0000-000070970000}"/>
    <cellStyle name="Style 26 11 4 2 3" xfId="38764" xr:uid="{00000000-0005-0000-0000-000071970000}"/>
    <cellStyle name="Style 26 11 4 2 3 2" xfId="38765" xr:uid="{00000000-0005-0000-0000-000072970000}"/>
    <cellStyle name="Style 26 11 4 2 3 3" xfId="38766" xr:uid="{00000000-0005-0000-0000-000073970000}"/>
    <cellStyle name="Style 26 11 4 2 4" xfId="38767" xr:uid="{00000000-0005-0000-0000-000074970000}"/>
    <cellStyle name="Style 26 11 4 2 5" xfId="38768" xr:uid="{00000000-0005-0000-0000-000075970000}"/>
    <cellStyle name="Style 26 11 4 2 6" xfId="38769" xr:uid="{00000000-0005-0000-0000-000076970000}"/>
    <cellStyle name="Style 26 11 4 3" xfId="38770" xr:uid="{00000000-0005-0000-0000-000077970000}"/>
    <cellStyle name="Style 26 11 4 3 2" xfId="38771" xr:uid="{00000000-0005-0000-0000-000078970000}"/>
    <cellStyle name="Style 26 11 4 3 3" xfId="38772" xr:uid="{00000000-0005-0000-0000-000079970000}"/>
    <cellStyle name="Style 26 11 4 4" xfId="38773" xr:uid="{00000000-0005-0000-0000-00007A970000}"/>
    <cellStyle name="Style 26 11 4 4 2" xfId="38774" xr:uid="{00000000-0005-0000-0000-00007B970000}"/>
    <cellStyle name="Style 26 11 4 4 3" xfId="38775" xr:uid="{00000000-0005-0000-0000-00007C970000}"/>
    <cellStyle name="Style 26 11 4 5" xfId="38776" xr:uid="{00000000-0005-0000-0000-00007D970000}"/>
    <cellStyle name="Style 26 11 4 5 2" xfId="38777" xr:uid="{00000000-0005-0000-0000-00007E970000}"/>
    <cellStyle name="Style 26 11 4 5 3" xfId="38778" xr:uid="{00000000-0005-0000-0000-00007F970000}"/>
    <cellStyle name="Style 26 11 4 6" xfId="38779" xr:uid="{00000000-0005-0000-0000-000080970000}"/>
    <cellStyle name="Style 26 11 4 7" xfId="38780" xr:uid="{00000000-0005-0000-0000-000081970000}"/>
    <cellStyle name="Style 26 11 4 8" xfId="38781" xr:uid="{00000000-0005-0000-0000-000082970000}"/>
    <cellStyle name="Style 26 11 5" xfId="38782" xr:uid="{00000000-0005-0000-0000-000083970000}"/>
    <cellStyle name="Style 26 11 5 2" xfId="38783" xr:uid="{00000000-0005-0000-0000-000084970000}"/>
    <cellStyle name="Style 26 11 5 2 2" xfId="38784" xr:uid="{00000000-0005-0000-0000-000085970000}"/>
    <cellStyle name="Style 26 11 5 2 2 2" xfId="38785" xr:uid="{00000000-0005-0000-0000-000086970000}"/>
    <cellStyle name="Style 26 11 5 2 2 3" xfId="38786" xr:uid="{00000000-0005-0000-0000-000087970000}"/>
    <cellStyle name="Style 26 11 5 2 3" xfId="38787" xr:uid="{00000000-0005-0000-0000-000088970000}"/>
    <cellStyle name="Style 26 11 5 2 3 2" xfId="38788" xr:uid="{00000000-0005-0000-0000-000089970000}"/>
    <cellStyle name="Style 26 11 5 2 3 3" xfId="38789" xr:uid="{00000000-0005-0000-0000-00008A970000}"/>
    <cellStyle name="Style 26 11 5 2 4" xfId="38790" xr:uid="{00000000-0005-0000-0000-00008B970000}"/>
    <cellStyle name="Style 26 11 5 2 5" xfId="38791" xr:uid="{00000000-0005-0000-0000-00008C970000}"/>
    <cellStyle name="Style 26 11 5 2 6" xfId="38792" xr:uid="{00000000-0005-0000-0000-00008D970000}"/>
    <cellStyle name="Style 26 11 5 3" xfId="38793" xr:uid="{00000000-0005-0000-0000-00008E970000}"/>
    <cellStyle name="Style 26 11 5 3 2" xfId="38794" xr:uid="{00000000-0005-0000-0000-00008F970000}"/>
    <cellStyle name="Style 26 11 5 3 3" xfId="38795" xr:uid="{00000000-0005-0000-0000-000090970000}"/>
    <cellStyle name="Style 26 11 5 4" xfId="38796" xr:uid="{00000000-0005-0000-0000-000091970000}"/>
    <cellStyle name="Style 26 11 5 4 2" xfId="38797" xr:uid="{00000000-0005-0000-0000-000092970000}"/>
    <cellStyle name="Style 26 11 5 4 3" xfId="38798" xr:uid="{00000000-0005-0000-0000-000093970000}"/>
    <cellStyle name="Style 26 11 5 5" xfId="38799" xr:uid="{00000000-0005-0000-0000-000094970000}"/>
    <cellStyle name="Style 26 11 5 5 2" xfId="38800" xr:uid="{00000000-0005-0000-0000-000095970000}"/>
    <cellStyle name="Style 26 11 5 5 3" xfId="38801" xr:uid="{00000000-0005-0000-0000-000096970000}"/>
    <cellStyle name="Style 26 11 5 6" xfId="38802" xr:uid="{00000000-0005-0000-0000-000097970000}"/>
    <cellStyle name="Style 26 11 5 7" xfId="38803" xr:uid="{00000000-0005-0000-0000-000098970000}"/>
    <cellStyle name="Style 26 11 5 8" xfId="38804" xr:uid="{00000000-0005-0000-0000-000099970000}"/>
    <cellStyle name="Style 26 11 6" xfId="38805" xr:uid="{00000000-0005-0000-0000-00009A970000}"/>
    <cellStyle name="Style 26 11 6 2" xfId="38806" xr:uid="{00000000-0005-0000-0000-00009B970000}"/>
    <cellStyle name="Style 26 11 6 2 2" xfId="38807" xr:uid="{00000000-0005-0000-0000-00009C970000}"/>
    <cellStyle name="Style 26 11 6 2 3" xfId="38808" xr:uid="{00000000-0005-0000-0000-00009D970000}"/>
    <cellStyle name="Style 26 11 6 3" xfId="38809" xr:uid="{00000000-0005-0000-0000-00009E970000}"/>
    <cellStyle name="Style 26 11 6 3 2" xfId="38810" xr:uid="{00000000-0005-0000-0000-00009F970000}"/>
    <cellStyle name="Style 26 11 6 3 3" xfId="38811" xr:uid="{00000000-0005-0000-0000-0000A0970000}"/>
    <cellStyle name="Style 26 11 6 4" xfId="38812" xr:uid="{00000000-0005-0000-0000-0000A1970000}"/>
    <cellStyle name="Style 26 11 6 5" xfId="38813" xr:uid="{00000000-0005-0000-0000-0000A2970000}"/>
    <cellStyle name="Style 26 11 6 6" xfId="38814" xr:uid="{00000000-0005-0000-0000-0000A3970000}"/>
    <cellStyle name="Style 26 11 7" xfId="38815" xr:uid="{00000000-0005-0000-0000-0000A4970000}"/>
    <cellStyle name="Style 26 11 7 2" xfId="38816" xr:uid="{00000000-0005-0000-0000-0000A5970000}"/>
    <cellStyle name="Style 26 11 7 3" xfId="38817" xr:uid="{00000000-0005-0000-0000-0000A6970000}"/>
    <cellStyle name="Style 26 11 8" xfId="38818" xr:uid="{00000000-0005-0000-0000-0000A7970000}"/>
    <cellStyle name="Style 26 11 8 2" xfId="38819" xr:uid="{00000000-0005-0000-0000-0000A8970000}"/>
    <cellStyle name="Style 26 11 8 3" xfId="38820" xr:uid="{00000000-0005-0000-0000-0000A9970000}"/>
    <cellStyle name="Style 26 11 9" xfId="38821" xr:uid="{00000000-0005-0000-0000-0000AA970000}"/>
    <cellStyle name="Style 26 11 9 2" xfId="38822" xr:uid="{00000000-0005-0000-0000-0000AB970000}"/>
    <cellStyle name="Style 26 11 9 3" xfId="38823" xr:uid="{00000000-0005-0000-0000-0000AC970000}"/>
    <cellStyle name="Style 26 12" xfId="38824" xr:uid="{00000000-0005-0000-0000-0000AD970000}"/>
    <cellStyle name="Style 26 12 10" xfId="38825" xr:uid="{00000000-0005-0000-0000-0000AE970000}"/>
    <cellStyle name="Style 26 12 2" xfId="38826" xr:uid="{00000000-0005-0000-0000-0000AF970000}"/>
    <cellStyle name="Style 26 12 2 2" xfId="38827" xr:uid="{00000000-0005-0000-0000-0000B0970000}"/>
    <cellStyle name="Style 26 12 2 2 2" xfId="38828" xr:uid="{00000000-0005-0000-0000-0000B1970000}"/>
    <cellStyle name="Style 26 12 2 2 2 2" xfId="38829" xr:uid="{00000000-0005-0000-0000-0000B2970000}"/>
    <cellStyle name="Style 26 12 2 2 2 3" xfId="38830" xr:uid="{00000000-0005-0000-0000-0000B3970000}"/>
    <cellStyle name="Style 26 12 2 2 3" xfId="38831" xr:uid="{00000000-0005-0000-0000-0000B4970000}"/>
    <cellStyle name="Style 26 12 2 2 3 2" xfId="38832" xr:uid="{00000000-0005-0000-0000-0000B5970000}"/>
    <cellStyle name="Style 26 12 2 2 3 3" xfId="38833" xr:uid="{00000000-0005-0000-0000-0000B6970000}"/>
    <cellStyle name="Style 26 12 2 2 4" xfId="38834" xr:uid="{00000000-0005-0000-0000-0000B7970000}"/>
    <cellStyle name="Style 26 12 2 2 5" xfId="38835" xr:uid="{00000000-0005-0000-0000-0000B8970000}"/>
    <cellStyle name="Style 26 12 2 2 6" xfId="38836" xr:uid="{00000000-0005-0000-0000-0000B9970000}"/>
    <cellStyle name="Style 26 12 2 3" xfId="38837" xr:uid="{00000000-0005-0000-0000-0000BA970000}"/>
    <cellStyle name="Style 26 12 2 3 2" xfId="38838" xr:uid="{00000000-0005-0000-0000-0000BB970000}"/>
    <cellStyle name="Style 26 12 2 3 3" xfId="38839" xr:uid="{00000000-0005-0000-0000-0000BC970000}"/>
    <cellStyle name="Style 26 12 2 4" xfId="38840" xr:uid="{00000000-0005-0000-0000-0000BD970000}"/>
    <cellStyle name="Style 26 12 2 4 2" xfId="38841" xr:uid="{00000000-0005-0000-0000-0000BE970000}"/>
    <cellStyle name="Style 26 12 2 4 3" xfId="38842" xr:uid="{00000000-0005-0000-0000-0000BF970000}"/>
    <cellStyle name="Style 26 12 2 5" xfId="38843" xr:uid="{00000000-0005-0000-0000-0000C0970000}"/>
    <cellStyle name="Style 26 12 2 5 2" xfId="38844" xr:uid="{00000000-0005-0000-0000-0000C1970000}"/>
    <cellStyle name="Style 26 12 2 5 3" xfId="38845" xr:uid="{00000000-0005-0000-0000-0000C2970000}"/>
    <cellStyle name="Style 26 12 2 6" xfId="38846" xr:uid="{00000000-0005-0000-0000-0000C3970000}"/>
    <cellStyle name="Style 26 12 2 7" xfId="38847" xr:uid="{00000000-0005-0000-0000-0000C4970000}"/>
    <cellStyle name="Style 26 12 2 8" xfId="38848" xr:uid="{00000000-0005-0000-0000-0000C5970000}"/>
    <cellStyle name="Style 26 12 3" xfId="38849" xr:uid="{00000000-0005-0000-0000-0000C6970000}"/>
    <cellStyle name="Style 26 12 3 2" xfId="38850" xr:uid="{00000000-0005-0000-0000-0000C7970000}"/>
    <cellStyle name="Style 26 12 3 2 2" xfId="38851" xr:uid="{00000000-0005-0000-0000-0000C8970000}"/>
    <cellStyle name="Style 26 12 3 2 2 2" xfId="38852" xr:uid="{00000000-0005-0000-0000-0000C9970000}"/>
    <cellStyle name="Style 26 12 3 2 2 3" xfId="38853" xr:uid="{00000000-0005-0000-0000-0000CA970000}"/>
    <cellStyle name="Style 26 12 3 2 3" xfId="38854" xr:uid="{00000000-0005-0000-0000-0000CB970000}"/>
    <cellStyle name="Style 26 12 3 2 3 2" xfId="38855" xr:uid="{00000000-0005-0000-0000-0000CC970000}"/>
    <cellStyle name="Style 26 12 3 2 3 3" xfId="38856" xr:uid="{00000000-0005-0000-0000-0000CD970000}"/>
    <cellStyle name="Style 26 12 3 2 4" xfId="38857" xr:uid="{00000000-0005-0000-0000-0000CE970000}"/>
    <cellStyle name="Style 26 12 3 2 5" xfId="38858" xr:uid="{00000000-0005-0000-0000-0000CF970000}"/>
    <cellStyle name="Style 26 12 3 2 6" xfId="38859" xr:uid="{00000000-0005-0000-0000-0000D0970000}"/>
    <cellStyle name="Style 26 12 3 3" xfId="38860" xr:uid="{00000000-0005-0000-0000-0000D1970000}"/>
    <cellStyle name="Style 26 12 3 3 2" xfId="38861" xr:uid="{00000000-0005-0000-0000-0000D2970000}"/>
    <cellStyle name="Style 26 12 3 3 3" xfId="38862" xr:uid="{00000000-0005-0000-0000-0000D3970000}"/>
    <cellStyle name="Style 26 12 3 4" xfId="38863" xr:uid="{00000000-0005-0000-0000-0000D4970000}"/>
    <cellStyle name="Style 26 12 3 4 2" xfId="38864" xr:uid="{00000000-0005-0000-0000-0000D5970000}"/>
    <cellStyle name="Style 26 12 3 4 3" xfId="38865" xr:uid="{00000000-0005-0000-0000-0000D6970000}"/>
    <cellStyle name="Style 26 12 3 5" xfId="38866" xr:uid="{00000000-0005-0000-0000-0000D7970000}"/>
    <cellStyle name="Style 26 12 3 5 2" xfId="38867" xr:uid="{00000000-0005-0000-0000-0000D8970000}"/>
    <cellStyle name="Style 26 12 3 5 3" xfId="38868" xr:uid="{00000000-0005-0000-0000-0000D9970000}"/>
    <cellStyle name="Style 26 12 3 6" xfId="38869" xr:uid="{00000000-0005-0000-0000-0000DA970000}"/>
    <cellStyle name="Style 26 12 3 7" xfId="38870" xr:uid="{00000000-0005-0000-0000-0000DB970000}"/>
    <cellStyle name="Style 26 12 3 8" xfId="38871" xr:uid="{00000000-0005-0000-0000-0000DC970000}"/>
    <cellStyle name="Style 26 12 4" xfId="38872" xr:uid="{00000000-0005-0000-0000-0000DD970000}"/>
    <cellStyle name="Style 26 12 4 2" xfId="38873" xr:uid="{00000000-0005-0000-0000-0000DE970000}"/>
    <cellStyle name="Style 26 12 4 2 2" xfId="38874" xr:uid="{00000000-0005-0000-0000-0000DF970000}"/>
    <cellStyle name="Style 26 12 4 2 3" xfId="38875" xr:uid="{00000000-0005-0000-0000-0000E0970000}"/>
    <cellStyle name="Style 26 12 4 3" xfId="38876" xr:uid="{00000000-0005-0000-0000-0000E1970000}"/>
    <cellStyle name="Style 26 12 4 3 2" xfId="38877" xr:uid="{00000000-0005-0000-0000-0000E2970000}"/>
    <cellStyle name="Style 26 12 4 3 3" xfId="38878" xr:uid="{00000000-0005-0000-0000-0000E3970000}"/>
    <cellStyle name="Style 26 12 4 4" xfId="38879" xr:uid="{00000000-0005-0000-0000-0000E4970000}"/>
    <cellStyle name="Style 26 12 4 5" xfId="38880" xr:uid="{00000000-0005-0000-0000-0000E5970000}"/>
    <cellStyle name="Style 26 12 4 6" xfId="38881" xr:uid="{00000000-0005-0000-0000-0000E6970000}"/>
    <cellStyle name="Style 26 12 5" xfId="38882" xr:uid="{00000000-0005-0000-0000-0000E7970000}"/>
    <cellStyle name="Style 26 12 5 2" xfId="38883" xr:uid="{00000000-0005-0000-0000-0000E8970000}"/>
    <cellStyle name="Style 26 12 5 3" xfId="38884" xr:uid="{00000000-0005-0000-0000-0000E9970000}"/>
    <cellStyle name="Style 26 12 6" xfId="38885" xr:uid="{00000000-0005-0000-0000-0000EA970000}"/>
    <cellStyle name="Style 26 12 6 2" xfId="38886" xr:uid="{00000000-0005-0000-0000-0000EB970000}"/>
    <cellStyle name="Style 26 12 6 3" xfId="38887" xr:uid="{00000000-0005-0000-0000-0000EC970000}"/>
    <cellStyle name="Style 26 12 7" xfId="38888" xr:uid="{00000000-0005-0000-0000-0000ED970000}"/>
    <cellStyle name="Style 26 12 7 2" xfId="38889" xr:uid="{00000000-0005-0000-0000-0000EE970000}"/>
    <cellStyle name="Style 26 12 7 3" xfId="38890" xr:uid="{00000000-0005-0000-0000-0000EF970000}"/>
    <cellStyle name="Style 26 12 8" xfId="38891" xr:uid="{00000000-0005-0000-0000-0000F0970000}"/>
    <cellStyle name="Style 26 12 9" xfId="38892" xr:uid="{00000000-0005-0000-0000-0000F1970000}"/>
    <cellStyle name="Style 26 13" xfId="38893" xr:uid="{00000000-0005-0000-0000-0000F2970000}"/>
    <cellStyle name="Style 26 13 2" xfId="38894" xr:uid="{00000000-0005-0000-0000-0000F3970000}"/>
    <cellStyle name="Style 26 13 2 2" xfId="38895" xr:uid="{00000000-0005-0000-0000-0000F4970000}"/>
    <cellStyle name="Style 26 13 2 2 2" xfId="38896" xr:uid="{00000000-0005-0000-0000-0000F5970000}"/>
    <cellStyle name="Style 26 13 2 2 3" xfId="38897" xr:uid="{00000000-0005-0000-0000-0000F6970000}"/>
    <cellStyle name="Style 26 13 2 3" xfId="38898" xr:uid="{00000000-0005-0000-0000-0000F7970000}"/>
    <cellStyle name="Style 26 13 2 3 2" xfId="38899" xr:uid="{00000000-0005-0000-0000-0000F8970000}"/>
    <cellStyle name="Style 26 13 2 3 3" xfId="38900" xr:uid="{00000000-0005-0000-0000-0000F9970000}"/>
    <cellStyle name="Style 26 13 2 4" xfId="38901" xr:uid="{00000000-0005-0000-0000-0000FA970000}"/>
    <cellStyle name="Style 26 13 2 5" xfId="38902" xr:uid="{00000000-0005-0000-0000-0000FB970000}"/>
    <cellStyle name="Style 26 13 2 6" xfId="38903" xr:uid="{00000000-0005-0000-0000-0000FC970000}"/>
    <cellStyle name="Style 26 13 3" xfId="38904" xr:uid="{00000000-0005-0000-0000-0000FD970000}"/>
    <cellStyle name="Style 26 13 3 2" xfId="38905" xr:uid="{00000000-0005-0000-0000-0000FE970000}"/>
    <cellStyle name="Style 26 13 3 3" xfId="38906" xr:uid="{00000000-0005-0000-0000-0000FF970000}"/>
    <cellStyle name="Style 26 13 4" xfId="38907" xr:uid="{00000000-0005-0000-0000-000000980000}"/>
    <cellStyle name="Style 26 13 4 2" xfId="38908" xr:uid="{00000000-0005-0000-0000-000001980000}"/>
    <cellStyle name="Style 26 13 4 3" xfId="38909" xr:uid="{00000000-0005-0000-0000-000002980000}"/>
    <cellStyle name="Style 26 13 5" xfId="38910" xr:uid="{00000000-0005-0000-0000-000003980000}"/>
    <cellStyle name="Style 26 13 5 2" xfId="38911" xr:uid="{00000000-0005-0000-0000-000004980000}"/>
    <cellStyle name="Style 26 13 5 3" xfId="38912" xr:uid="{00000000-0005-0000-0000-000005980000}"/>
    <cellStyle name="Style 26 13 6" xfId="38913" xr:uid="{00000000-0005-0000-0000-000006980000}"/>
    <cellStyle name="Style 26 13 7" xfId="38914" xr:uid="{00000000-0005-0000-0000-000007980000}"/>
    <cellStyle name="Style 26 13 8" xfId="38915" xr:uid="{00000000-0005-0000-0000-000008980000}"/>
    <cellStyle name="Style 26 14" xfId="38916" xr:uid="{00000000-0005-0000-0000-000009980000}"/>
    <cellStyle name="Style 26 14 2" xfId="38917" xr:uid="{00000000-0005-0000-0000-00000A980000}"/>
    <cellStyle name="Style 26 14 2 2" xfId="38918" xr:uid="{00000000-0005-0000-0000-00000B980000}"/>
    <cellStyle name="Style 26 14 2 2 2" xfId="38919" xr:uid="{00000000-0005-0000-0000-00000C980000}"/>
    <cellStyle name="Style 26 14 2 2 3" xfId="38920" xr:uid="{00000000-0005-0000-0000-00000D980000}"/>
    <cellStyle name="Style 26 14 2 3" xfId="38921" xr:uid="{00000000-0005-0000-0000-00000E980000}"/>
    <cellStyle name="Style 26 14 2 3 2" xfId="38922" xr:uid="{00000000-0005-0000-0000-00000F980000}"/>
    <cellStyle name="Style 26 14 2 3 3" xfId="38923" xr:uid="{00000000-0005-0000-0000-000010980000}"/>
    <cellStyle name="Style 26 14 2 4" xfId="38924" xr:uid="{00000000-0005-0000-0000-000011980000}"/>
    <cellStyle name="Style 26 14 2 5" xfId="38925" xr:uid="{00000000-0005-0000-0000-000012980000}"/>
    <cellStyle name="Style 26 14 2 6" xfId="38926" xr:uid="{00000000-0005-0000-0000-000013980000}"/>
    <cellStyle name="Style 26 14 3" xfId="38927" xr:uid="{00000000-0005-0000-0000-000014980000}"/>
    <cellStyle name="Style 26 14 3 2" xfId="38928" xr:uid="{00000000-0005-0000-0000-000015980000}"/>
    <cellStyle name="Style 26 14 3 3" xfId="38929" xr:uid="{00000000-0005-0000-0000-000016980000}"/>
    <cellStyle name="Style 26 14 4" xfId="38930" xr:uid="{00000000-0005-0000-0000-000017980000}"/>
    <cellStyle name="Style 26 14 4 2" xfId="38931" xr:uid="{00000000-0005-0000-0000-000018980000}"/>
    <cellStyle name="Style 26 14 4 3" xfId="38932" xr:uid="{00000000-0005-0000-0000-000019980000}"/>
    <cellStyle name="Style 26 14 5" xfId="38933" xr:uid="{00000000-0005-0000-0000-00001A980000}"/>
    <cellStyle name="Style 26 14 5 2" xfId="38934" xr:uid="{00000000-0005-0000-0000-00001B980000}"/>
    <cellStyle name="Style 26 14 5 3" xfId="38935" xr:uid="{00000000-0005-0000-0000-00001C980000}"/>
    <cellStyle name="Style 26 14 6" xfId="38936" xr:uid="{00000000-0005-0000-0000-00001D980000}"/>
    <cellStyle name="Style 26 14 7" xfId="38937" xr:uid="{00000000-0005-0000-0000-00001E980000}"/>
    <cellStyle name="Style 26 14 8" xfId="38938" xr:uid="{00000000-0005-0000-0000-00001F980000}"/>
    <cellStyle name="Style 26 15" xfId="38939" xr:uid="{00000000-0005-0000-0000-000020980000}"/>
    <cellStyle name="Style 26 15 2" xfId="38940" xr:uid="{00000000-0005-0000-0000-000021980000}"/>
    <cellStyle name="Style 26 15 2 2" xfId="38941" xr:uid="{00000000-0005-0000-0000-000022980000}"/>
    <cellStyle name="Style 26 15 2 2 2" xfId="38942" xr:uid="{00000000-0005-0000-0000-000023980000}"/>
    <cellStyle name="Style 26 15 2 2 3" xfId="38943" xr:uid="{00000000-0005-0000-0000-000024980000}"/>
    <cellStyle name="Style 26 15 2 3" xfId="38944" xr:uid="{00000000-0005-0000-0000-000025980000}"/>
    <cellStyle name="Style 26 15 2 3 2" xfId="38945" xr:uid="{00000000-0005-0000-0000-000026980000}"/>
    <cellStyle name="Style 26 15 2 3 3" xfId="38946" xr:uid="{00000000-0005-0000-0000-000027980000}"/>
    <cellStyle name="Style 26 15 2 4" xfId="38947" xr:uid="{00000000-0005-0000-0000-000028980000}"/>
    <cellStyle name="Style 26 15 2 5" xfId="38948" xr:uid="{00000000-0005-0000-0000-000029980000}"/>
    <cellStyle name="Style 26 15 2 6" xfId="38949" xr:uid="{00000000-0005-0000-0000-00002A980000}"/>
    <cellStyle name="Style 26 15 3" xfId="38950" xr:uid="{00000000-0005-0000-0000-00002B980000}"/>
    <cellStyle name="Style 26 15 3 2" xfId="38951" xr:uid="{00000000-0005-0000-0000-00002C980000}"/>
    <cellStyle name="Style 26 15 3 3" xfId="38952" xr:uid="{00000000-0005-0000-0000-00002D980000}"/>
    <cellStyle name="Style 26 15 4" xfId="38953" xr:uid="{00000000-0005-0000-0000-00002E980000}"/>
    <cellStyle name="Style 26 15 4 2" xfId="38954" xr:uid="{00000000-0005-0000-0000-00002F980000}"/>
    <cellStyle name="Style 26 15 4 3" xfId="38955" xr:uid="{00000000-0005-0000-0000-000030980000}"/>
    <cellStyle name="Style 26 15 5" xfId="38956" xr:uid="{00000000-0005-0000-0000-000031980000}"/>
    <cellStyle name="Style 26 15 5 2" xfId="38957" xr:uid="{00000000-0005-0000-0000-000032980000}"/>
    <cellStyle name="Style 26 15 5 3" xfId="38958" xr:uid="{00000000-0005-0000-0000-000033980000}"/>
    <cellStyle name="Style 26 15 6" xfId="38959" xr:uid="{00000000-0005-0000-0000-000034980000}"/>
    <cellStyle name="Style 26 15 7" xfId="38960" xr:uid="{00000000-0005-0000-0000-000035980000}"/>
    <cellStyle name="Style 26 15 8" xfId="38961" xr:uid="{00000000-0005-0000-0000-000036980000}"/>
    <cellStyle name="Style 26 16" xfId="38962" xr:uid="{00000000-0005-0000-0000-000037980000}"/>
    <cellStyle name="Style 26 16 2" xfId="38963" xr:uid="{00000000-0005-0000-0000-000038980000}"/>
    <cellStyle name="Style 26 16 2 2" xfId="38964" xr:uid="{00000000-0005-0000-0000-000039980000}"/>
    <cellStyle name="Style 26 16 2 3" xfId="38965" xr:uid="{00000000-0005-0000-0000-00003A980000}"/>
    <cellStyle name="Style 26 16 3" xfId="38966" xr:uid="{00000000-0005-0000-0000-00003B980000}"/>
    <cellStyle name="Style 26 16 3 2" xfId="38967" xr:uid="{00000000-0005-0000-0000-00003C980000}"/>
    <cellStyle name="Style 26 16 3 3" xfId="38968" xr:uid="{00000000-0005-0000-0000-00003D980000}"/>
    <cellStyle name="Style 26 16 4" xfId="38969" xr:uid="{00000000-0005-0000-0000-00003E980000}"/>
    <cellStyle name="Style 26 16 5" xfId="38970" xr:uid="{00000000-0005-0000-0000-00003F980000}"/>
    <cellStyle name="Style 26 16 6" xfId="38971" xr:uid="{00000000-0005-0000-0000-000040980000}"/>
    <cellStyle name="Style 26 17" xfId="38972" xr:uid="{00000000-0005-0000-0000-000041980000}"/>
    <cellStyle name="Style 26 17 2" xfId="38973" xr:uid="{00000000-0005-0000-0000-000042980000}"/>
    <cellStyle name="Style 26 17 3" xfId="38974" xr:uid="{00000000-0005-0000-0000-000043980000}"/>
    <cellStyle name="Style 26 18" xfId="38975" xr:uid="{00000000-0005-0000-0000-000044980000}"/>
    <cellStyle name="Style 26 18 2" xfId="38976" xr:uid="{00000000-0005-0000-0000-000045980000}"/>
    <cellStyle name="Style 26 18 3" xfId="38977" xr:uid="{00000000-0005-0000-0000-000046980000}"/>
    <cellStyle name="Style 26 19" xfId="38978" xr:uid="{00000000-0005-0000-0000-000047980000}"/>
    <cellStyle name="Style 26 19 2" xfId="38979" xr:uid="{00000000-0005-0000-0000-000048980000}"/>
    <cellStyle name="Style 26 19 3" xfId="38980" xr:uid="{00000000-0005-0000-0000-000049980000}"/>
    <cellStyle name="Style 26 2" xfId="38981" xr:uid="{00000000-0005-0000-0000-00004A980000}"/>
    <cellStyle name="Style 26 2 10" xfId="38982" xr:uid="{00000000-0005-0000-0000-00004B980000}"/>
    <cellStyle name="Style 26 2 11" xfId="38983" xr:uid="{00000000-0005-0000-0000-00004C980000}"/>
    <cellStyle name="Style 26 2 12" xfId="38984" xr:uid="{00000000-0005-0000-0000-00004D980000}"/>
    <cellStyle name="Style 26 2 2" xfId="38985" xr:uid="{00000000-0005-0000-0000-00004E980000}"/>
    <cellStyle name="Style 26 2 2 10" xfId="38986" xr:uid="{00000000-0005-0000-0000-00004F980000}"/>
    <cellStyle name="Style 26 2 2 2" xfId="38987" xr:uid="{00000000-0005-0000-0000-000050980000}"/>
    <cellStyle name="Style 26 2 2 2 2" xfId="38988" xr:uid="{00000000-0005-0000-0000-000051980000}"/>
    <cellStyle name="Style 26 2 2 2 2 2" xfId="38989" xr:uid="{00000000-0005-0000-0000-000052980000}"/>
    <cellStyle name="Style 26 2 2 2 2 2 2" xfId="38990" xr:uid="{00000000-0005-0000-0000-000053980000}"/>
    <cellStyle name="Style 26 2 2 2 2 2 3" xfId="38991" xr:uid="{00000000-0005-0000-0000-000054980000}"/>
    <cellStyle name="Style 26 2 2 2 2 3" xfId="38992" xr:uid="{00000000-0005-0000-0000-000055980000}"/>
    <cellStyle name="Style 26 2 2 2 2 3 2" xfId="38993" xr:uid="{00000000-0005-0000-0000-000056980000}"/>
    <cellStyle name="Style 26 2 2 2 2 3 3" xfId="38994" xr:uid="{00000000-0005-0000-0000-000057980000}"/>
    <cellStyle name="Style 26 2 2 2 2 4" xfId="38995" xr:uid="{00000000-0005-0000-0000-000058980000}"/>
    <cellStyle name="Style 26 2 2 2 2 5" xfId="38996" xr:uid="{00000000-0005-0000-0000-000059980000}"/>
    <cellStyle name="Style 26 2 2 2 2 6" xfId="38997" xr:uid="{00000000-0005-0000-0000-00005A980000}"/>
    <cellStyle name="Style 26 2 2 2 3" xfId="38998" xr:uid="{00000000-0005-0000-0000-00005B980000}"/>
    <cellStyle name="Style 26 2 2 2 3 2" xfId="38999" xr:uid="{00000000-0005-0000-0000-00005C980000}"/>
    <cellStyle name="Style 26 2 2 2 3 3" xfId="39000" xr:uid="{00000000-0005-0000-0000-00005D980000}"/>
    <cellStyle name="Style 26 2 2 2 4" xfId="39001" xr:uid="{00000000-0005-0000-0000-00005E980000}"/>
    <cellStyle name="Style 26 2 2 2 4 2" xfId="39002" xr:uid="{00000000-0005-0000-0000-00005F980000}"/>
    <cellStyle name="Style 26 2 2 2 4 3" xfId="39003" xr:uid="{00000000-0005-0000-0000-000060980000}"/>
    <cellStyle name="Style 26 2 2 2 5" xfId="39004" xr:uid="{00000000-0005-0000-0000-000061980000}"/>
    <cellStyle name="Style 26 2 2 2 5 2" xfId="39005" xr:uid="{00000000-0005-0000-0000-000062980000}"/>
    <cellStyle name="Style 26 2 2 2 5 3" xfId="39006" xr:uid="{00000000-0005-0000-0000-000063980000}"/>
    <cellStyle name="Style 26 2 2 2 6" xfId="39007" xr:uid="{00000000-0005-0000-0000-000064980000}"/>
    <cellStyle name="Style 26 2 2 2 7" xfId="39008" xr:uid="{00000000-0005-0000-0000-000065980000}"/>
    <cellStyle name="Style 26 2 2 2 8" xfId="39009" xr:uid="{00000000-0005-0000-0000-000066980000}"/>
    <cellStyle name="Style 26 2 2 3" xfId="39010" xr:uid="{00000000-0005-0000-0000-000067980000}"/>
    <cellStyle name="Style 26 2 2 3 2" xfId="39011" xr:uid="{00000000-0005-0000-0000-000068980000}"/>
    <cellStyle name="Style 26 2 2 3 2 2" xfId="39012" xr:uid="{00000000-0005-0000-0000-000069980000}"/>
    <cellStyle name="Style 26 2 2 3 2 2 2" xfId="39013" xr:uid="{00000000-0005-0000-0000-00006A980000}"/>
    <cellStyle name="Style 26 2 2 3 2 2 3" xfId="39014" xr:uid="{00000000-0005-0000-0000-00006B980000}"/>
    <cellStyle name="Style 26 2 2 3 2 3" xfId="39015" xr:uid="{00000000-0005-0000-0000-00006C980000}"/>
    <cellStyle name="Style 26 2 2 3 2 3 2" xfId="39016" xr:uid="{00000000-0005-0000-0000-00006D980000}"/>
    <cellStyle name="Style 26 2 2 3 2 3 3" xfId="39017" xr:uid="{00000000-0005-0000-0000-00006E980000}"/>
    <cellStyle name="Style 26 2 2 3 2 4" xfId="39018" xr:uid="{00000000-0005-0000-0000-00006F980000}"/>
    <cellStyle name="Style 26 2 2 3 2 5" xfId="39019" xr:uid="{00000000-0005-0000-0000-000070980000}"/>
    <cellStyle name="Style 26 2 2 3 2 6" xfId="39020" xr:uid="{00000000-0005-0000-0000-000071980000}"/>
    <cellStyle name="Style 26 2 2 3 3" xfId="39021" xr:uid="{00000000-0005-0000-0000-000072980000}"/>
    <cellStyle name="Style 26 2 2 3 3 2" xfId="39022" xr:uid="{00000000-0005-0000-0000-000073980000}"/>
    <cellStyle name="Style 26 2 2 3 3 3" xfId="39023" xr:uid="{00000000-0005-0000-0000-000074980000}"/>
    <cellStyle name="Style 26 2 2 3 4" xfId="39024" xr:uid="{00000000-0005-0000-0000-000075980000}"/>
    <cellStyle name="Style 26 2 2 3 4 2" xfId="39025" xr:uid="{00000000-0005-0000-0000-000076980000}"/>
    <cellStyle name="Style 26 2 2 3 4 3" xfId="39026" xr:uid="{00000000-0005-0000-0000-000077980000}"/>
    <cellStyle name="Style 26 2 2 3 5" xfId="39027" xr:uid="{00000000-0005-0000-0000-000078980000}"/>
    <cellStyle name="Style 26 2 2 3 5 2" xfId="39028" xr:uid="{00000000-0005-0000-0000-000079980000}"/>
    <cellStyle name="Style 26 2 2 3 5 3" xfId="39029" xr:uid="{00000000-0005-0000-0000-00007A980000}"/>
    <cellStyle name="Style 26 2 2 3 6" xfId="39030" xr:uid="{00000000-0005-0000-0000-00007B980000}"/>
    <cellStyle name="Style 26 2 2 3 7" xfId="39031" xr:uid="{00000000-0005-0000-0000-00007C980000}"/>
    <cellStyle name="Style 26 2 2 3 8" xfId="39032" xr:uid="{00000000-0005-0000-0000-00007D980000}"/>
    <cellStyle name="Style 26 2 2 4" xfId="39033" xr:uid="{00000000-0005-0000-0000-00007E980000}"/>
    <cellStyle name="Style 26 2 2 4 2" xfId="39034" xr:uid="{00000000-0005-0000-0000-00007F980000}"/>
    <cellStyle name="Style 26 2 2 4 2 2" xfId="39035" xr:uid="{00000000-0005-0000-0000-000080980000}"/>
    <cellStyle name="Style 26 2 2 4 2 3" xfId="39036" xr:uid="{00000000-0005-0000-0000-000081980000}"/>
    <cellStyle name="Style 26 2 2 4 3" xfId="39037" xr:uid="{00000000-0005-0000-0000-000082980000}"/>
    <cellStyle name="Style 26 2 2 4 3 2" xfId="39038" xr:uid="{00000000-0005-0000-0000-000083980000}"/>
    <cellStyle name="Style 26 2 2 4 3 3" xfId="39039" xr:uid="{00000000-0005-0000-0000-000084980000}"/>
    <cellStyle name="Style 26 2 2 4 4" xfId="39040" xr:uid="{00000000-0005-0000-0000-000085980000}"/>
    <cellStyle name="Style 26 2 2 4 5" xfId="39041" xr:uid="{00000000-0005-0000-0000-000086980000}"/>
    <cellStyle name="Style 26 2 2 4 6" xfId="39042" xr:uid="{00000000-0005-0000-0000-000087980000}"/>
    <cellStyle name="Style 26 2 2 5" xfId="39043" xr:uid="{00000000-0005-0000-0000-000088980000}"/>
    <cellStyle name="Style 26 2 2 5 2" xfId="39044" xr:uid="{00000000-0005-0000-0000-000089980000}"/>
    <cellStyle name="Style 26 2 2 5 3" xfId="39045" xr:uid="{00000000-0005-0000-0000-00008A980000}"/>
    <cellStyle name="Style 26 2 2 6" xfId="39046" xr:uid="{00000000-0005-0000-0000-00008B980000}"/>
    <cellStyle name="Style 26 2 2 6 2" xfId="39047" xr:uid="{00000000-0005-0000-0000-00008C980000}"/>
    <cellStyle name="Style 26 2 2 6 3" xfId="39048" xr:uid="{00000000-0005-0000-0000-00008D980000}"/>
    <cellStyle name="Style 26 2 2 7" xfId="39049" xr:uid="{00000000-0005-0000-0000-00008E980000}"/>
    <cellStyle name="Style 26 2 2 7 2" xfId="39050" xr:uid="{00000000-0005-0000-0000-00008F980000}"/>
    <cellStyle name="Style 26 2 2 7 3" xfId="39051" xr:uid="{00000000-0005-0000-0000-000090980000}"/>
    <cellStyle name="Style 26 2 2 8" xfId="39052" xr:uid="{00000000-0005-0000-0000-000091980000}"/>
    <cellStyle name="Style 26 2 2 9" xfId="39053" xr:uid="{00000000-0005-0000-0000-000092980000}"/>
    <cellStyle name="Style 26 2 3" xfId="39054" xr:uid="{00000000-0005-0000-0000-000093980000}"/>
    <cellStyle name="Style 26 2 3 2" xfId="39055" xr:uid="{00000000-0005-0000-0000-000094980000}"/>
    <cellStyle name="Style 26 2 3 2 2" xfId="39056" xr:uid="{00000000-0005-0000-0000-000095980000}"/>
    <cellStyle name="Style 26 2 3 2 2 2" xfId="39057" xr:uid="{00000000-0005-0000-0000-000096980000}"/>
    <cellStyle name="Style 26 2 3 2 2 3" xfId="39058" xr:uid="{00000000-0005-0000-0000-000097980000}"/>
    <cellStyle name="Style 26 2 3 2 3" xfId="39059" xr:uid="{00000000-0005-0000-0000-000098980000}"/>
    <cellStyle name="Style 26 2 3 2 3 2" xfId="39060" xr:uid="{00000000-0005-0000-0000-000099980000}"/>
    <cellStyle name="Style 26 2 3 2 3 3" xfId="39061" xr:uid="{00000000-0005-0000-0000-00009A980000}"/>
    <cellStyle name="Style 26 2 3 2 4" xfId="39062" xr:uid="{00000000-0005-0000-0000-00009B980000}"/>
    <cellStyle name="Style 26 2 3 2 5" xfId="39063" xr:uid="{00000000-0005-0000-0000-00009C980000}"/>
    <cellStyle name="Style 26 2 3 2 6" xfId="39064" xr:uid="{00000000-0005-0000-0000-00009D980000}"/>
    <cellStyle name="Style 26 2 3 3" xfId="39065" xr:uid="{00000000-0005-0000-0000-00009E980000}"/>
    <cellStyle name="Style 26 2 3 3 2" xfId="39066" xr:uid="{00000000-0005-0000-0000-00009F980000}"/>
    <cellStyle name="Style 26 2 3 3 3" xfId="39067" xr:uid="{00000000-0005-0000-0000-0000A0980000}"/>
    <cellStyle name="Style 26 2 3 4" xfId="39068" xr:uid="{00000000-0005-0000-0000-0000A1980000}"/>
    <cellStyle name="Style 26 2 3 4 2" xfId="39069" xr:uid="{00000000-0005-0000-0000-0000A2980000}"/>
    <cellStyle name="Style 26 2 3 4 3" xfId="39070" xr:uid="{00000000-0005-0000-0000-0000A3980000}"/>
    <cellStyle name="Style 26 2 3 5" xfId="39071" xr:uid="{00000000-0005-0000-0000-0000A4980000}"/>
    <cellStyle name="Style 26 2 3 5 2" xfId="39072" xr:uid="{00000000-0005-0000-0000-0000A5980000}"/>
    <cellStyle name="Style 26 2 3 5 3" xfId="39073" xr:uid="{00000000-0005-0000-0000-0000A6980000}"/>
    <cellStyle name="Style 26 2 3 6" xfId="39074" xr:uid="{00000000-0005-0000-0000-0000A7980000}"/>
    <cellStyle name="Style 26 2 3 7" xfId="39075" xr:uid="{00000000-0005-0000-0000-0000A8980000}"/>
    <cellStyle name="Style 26 2 3 8" xfId="39076" xr:uid="{00000000-0005-0000-0000-0000A9980000}"/>
    <cellStyle name="Style 26 2 4" xfId="39077" xr:uid="{00000000-0005-0000-0000-0000AA980000}"/>
    <cellStyle name="Style 26 2 4 2" xfId="39078" xr:uid="{00000000-0005-0000-0000-0000AB980000}"/>
    <cellStyle name="Style 26 2 4 2 2" xfId="39079" xr:uid="{00000000-0005-0000-0000-0000AC980000}"/>
    <cellStyle name="Style 26 2 4 2 2 2" xfId="39080" xr:uid="{00000000-0005-0000-0000-0000AD980000}"/>
    <cellStyle name="Style 26 2 4 2 2 3" xfId="39081" xr:uid="{00000000-0005-0000-0000-0000AE980000}"/>
    <cellStyle name="Style 26 2 4 2 3" xfId="39082" xr:uid="{00000000-0005-0000-0000-0000AF980000}"/>
    <cellStyle name="Style 26 2 4 2 3 2" xfId="39083" xr:uid="{00000000-0005-0000-0000-0000B0980000}"/>
    <cellStyle name="Style 26 2 4 2 3 3" xfId="39084" xr:uid="{00000000-0005-0000-0000-0000B1980000}"/>
    <cellStyle name="Style 26 2 4 2 4" xfId="39085" xr:uid="{00000000-0005-0000-0000-0000B2980000}"/>
    <cellStyle name="Style 26 2 4 2 5" xfId="39086" xr:uid="{00000000-0005-0000-0000-0000B3980000}"/>
    <cellStyle name="Style 26 2 4 2 6" xfId="39087" xr:uid="{00000000-0005-0000-0000-0000B4980000}"/>
    <cellStyle name="Style 26 2 4 3" xfId="39088" xr:uid="{00000000-0005-0000-0000-0000B5980000}"/>
    <cellStyle name="Style 26 2 4 3 2" xfId="39089" xr:uid="{00000000-0005-0000-0000-0000B6980000}"/>
    <cellStyle name="Style 26 2 4 3 3" xfId="39090" xr:uid="{00000000-0005-0000-0000-0000B7980000}"/>
    <cellStyle name="Style 26 2 4 4" xfId="39091" xr:uid="{00000000-0005-0000-0000-0000B8980000}"/>
    <cellStyle name="Style 26 2 4 4 2" xfId="39092" xr:uid="{00000000-0005-0000-0000-0000B9980000}"/>
    <cellStyle name="Style 26 2 4 4 3" xfId="39093" xr:uid="{00000000-0005-0000-0000-0000BA980000}"/>
    <cellStyle name="Style 26 2 4 5" xfId="39094" xr:uid="{00000000-0005-0000-0000-0000BB980000}"/>
    <cellStyle name="Style 26 2 4 5 2" xfId="39095" xr:uid="{00000000-0005-0000-0000-0000BC980000}"/>
    <cellStyle name="Style 26 2 4 5 3" xfId="39096" xr:uid="{00000000-0005-0000-0000-0000BD980000}"/>
    <cellStyle name="Style 26 2 4 6" xfId="39097" xr:uid="{00000000-0005-0000-0000-0000BE980000}"/>
    <cellStyle name="Style 26 2 4 7" xfId="39098" xr:uid="{00000000-0005-0000-0000-0000BF980000}"/>
    <cellStyle name="Style 26 2 4 8" xfId="39099" xr:uid="{00000000-0005-0000-0000-0000C0980000}"/>
    <cellStyle name="Style 26 2 5" xfId="39100" xr:uid="{00000000-0005-0000-0000-0000C1980000}"/>
    <cellStyle name="Style 26 2 5 2" xfId="39101" xr:uid="{00000000-0005-0000-0000-0000C2980000}"/>
    <cellStyle name="Style 26 2 5 2 2" xfId="39102" xr:uid="{00000000-0005-0000-0000-0000C3980000}"/>
    <cellStyle name="Style 26 2 5 2 2 2" xfId="39103" xr:uid="{00000000-0005-0000-0000-0000C4980000}"/>
    <cellStyle name="Style 26 2 5 2 2 3" xfId="39104" xr:uid="{00000000-0005-0000-0000-0000C5980000}"/>
    <cellStyle name="Style 26 2 5 2 3" xfId="39105" xr:uid="{00000000-0005-0000-0000-0000C6980000}"/>
    <cellStyle name="Style 26 2 5 2 3 2" xfId="39106" xr:uid="{00000000-0005-0000-0000-0000C7980000}"/>
    <cellStyle name="Style 26 2 5 2 3 3" xfId="39107" xr:uid="{00000000-0005-0000-0000-0000C8980000}"/>
    <cellStyle name="Style 26 2 5 2 4" xfId="39108" xr:uid="{00000000-0005-0000-0000-0000C9980000}"/>
    <cellStyle name="Style 26 2 5 2 5" xfId="39109" xr:uid="{00000000-0005-0000-0000-0000CA980000}"/>
    <cellStyle name="Style 26 2 5 2 6" xfId="39110" xr:uid="{00000000-0005-0000-0000-0000CB980000}"/>
    <cellStyle name="Style 26 2 5 3" xfId="39111" xr:uid="{00000000-0005-0000-0000-0000CC980000}"/>
    <cellStyle name="Style 26 2 5 3 2" xfId="39112" xr:uid="{00000000-0005-0000-0000-0000CD980000}"/>
    <cellStyle name="Style 26 2 5 3 3" xfId="39113" xr:uid="{00000000-0005-0000-0000-0000CE980000}"/>
    <cellStyle name="Style 26 2 5 4" xfId="39114" xr:uid="{00000000-0005-0000-0000-0000CF980000}"/>
    <cellStyle name="Style 26 2 5 4 2" xfId="39115" xr:uid="{00000000-0005-0000-0000-0000D0980000}"/>
    <cellStyle name="Style 26 2 5 4 3" xfId="39116" xr:uid="{00000000-0005-0000-0000-0000D1980000}"/>
    <cellStyle name="Style 26 2 5 5" xfId="39117" xr:uid="{00000000-0005-0000-0000-0000D2980000}"/>
    <cellStyle name="Style 26 2 5 5 2" xfId="39118" xr:uid="{00000000-0005-0000-0000-0000D3980000}"/>
    <cellStyle name="Style 26 2 5 5 3" xfId="39119" xr:uid="{00000000-0005-0000-0000-0000D4980000}"/>
    <cellStyle name="Style 26 2 5 6" xfId="39120" xr:uid="{00000000-0005-0000-0000-0000D5980000}"/>
    <cellStyle name="Style 26 2 5 7" xfId="39121" xr:uid="{00000000-0005-0000-0000-0000D6980000}"/>
    <cellStyle name="Style 26 2 5 8" xfId="39122" xr:uid="{00000000-0005-0000-0000-0000D7980000}"/>
    <cellStyle name="Style 26 2 6" xfId="39123" xr:uid="{00000000-0005-0000-0000-0000D8980000}"/>
    <cellStyle name="Style 26 2 6 2" xfId="39124" xr:uid="{00000000-0005-0000-0000-0000D9980000}"/>
    <cellStyle name="Style 26 2 6 2 2" xfId="39125" xr:uid="{00000000-0005-0000-0000-0000DA980000}"/>
    <cellStyle name="Style 26 2 6 2 3" xfId="39126" xr:uid="{00000000-0005-0000-0000-0000DB980000}"/>
    <cellStyle name="Style 26 2 6 3" xfId="39127" xr:uid="{00000000-0005-0000-0000-0000DC980000}"/>
    <cellStyle name="Style 26 2 6 3 2" xfId="39128" xr:uid="{00000000-0005-0000-0000-0000DD980000}"/>
    <cellStyle name="Style 26 2 6 3 3" xfId="39129" xr:uid="{00000000-0005-0000-0000-0000DE980000}"/>
    <cellStyle name="Style 26 2 6 4" xfId="39130" xr:uid="{00000000-0005-0000-0000-0000DF980000}"/>
    <cellStyle name="Style 26 2 6 5" xfId="39131" xr:uid="{00000000-0005-0000-0000-0000E0980000}"/>
    <cellStyle name="Style 26 2 6 6" xfId="39132" xr:uid="{00000000-0005-0000-0000-0000E1980000}"/>
    <cellStyle name="Style 26 2 7" xfId="39133" xr:uid="{00000000-0005-0000-0000-0000E2980000}"/>
    <cellStyle name="Style 26 2 7 2" xfId="39134" xr:uid="{00000000-0005-0000-0000-0000E3980000}"/>
    <cellStyle name="Style 26 2 7 3" xfId="39135" xr:uid="{00000000-0005-0000-0000-0000E4980000}"/>
    <cellStyle name="Style 26 2 8" xfId="39136" xr:uid="{00000000-0005-0000-0000-0000E5980000}"/>
    <cellStyle name="Style 26 2 8 2" xfId="39137" xr:uid="{00000000-0005-0000-0000-0000E6980000}"/>
    <cellStyle name="Style 26 2 8 3" xfId="39138" xr:uid="{00000000-0005-0000-0000-0000E7980000}"/>
    <cellStyle name="Style 26 2 9" xfId="39139" xr:uid="{00000000-0005-0000-0000-0000E8980000}"/>
    <cellStyle name="Style 26 2 9 2" xfId="39140" xr:uid="{00000000-0005-0000-0000-0000E9980000}"/>
    <cellStyle name="Style 26 2 9 3" xfId="39141" xr:uid="{00000000-0005-0000-0000-0000EA980000}"/>
    <cellStyle name="Style 26 20" xfId="39142" xr:uid="{00000000-0005-0000-0000-0000EB980000}"/>
    <cellStyle name="Style 26 21" xfId="39143" xr:uid="{00000000-0005-0000-0000-0000EC980000}"/>
    <cellStyle name="Style 26 22" xfId="39144" xr:uid="{00000000-0005-0000-0000-0000ED980000}"/>
    <cellStyle name="Style 26 3" xfId="39145" xr:uid="{00000000-0005-0000-0000-0000EE980000}"/>
    <cellStyle name="Style 26 3 10" xfId="39146" xr:uid="{00000000-0005-0000-0000-0000EF980000}"/>
    <cellStyle name="Style 26 3 11" xfId="39147" xr:uid="{00000000-0005-0000-0000-0000F0980000}"/>
    <cellStyle name="Style 26 3 12" xfId="39148" xr:uid="{00000000-0005-0000-0000-0000F1980000}"/>
    <cellStyle name="Style 26 3 2" xfId="39149" xr:uid="{00000000-0005-0000-0000-0000F2980000}"/>
    <cellStyle name="Style 26 3 2 10" xfId="39150" xr:uid="{00000000-0005-0000-0000-0000F3980000}"/>
    <cellStyle name="Style 26 3 2 2" xfId="39151" xr:uid="{00000000-0005-0000-0000-0000F4980000}"/>
    <cellStyle name="Style 26 3 2 2 2" xfId="39152" xr:uid="{00000000-0005-0000-0000-0000F5980000}"/>
    <cellStyle name="Style 26 3 2 2 2 2" xfId="39153" xr:uid="{00000000-0005-0000-0000-0000F6980000}"/>
    <cellStyle name="Style 26 3 2 2 2 2 2" xfId="39154" xr:uid="{00000000-0005-0000-0000-0000F7980000}"/>
    <cellStyle name="Style 26 3 2 2 2 2 3" xfId="39155" xr:uid="{00000000-0005-0000-0000-0000F8980000}"/>
    <cellStyle name="Style 26 3 2 2 2 3" xfId="39156" xr:uid="{00000000-0005-0000-0000-0000F9980000}"/>
    <cellStyle name="Style 26 3 2 2 2 3 2" xfId="39157" xr:uid="{00000000-0005-0000-0000-0000FA980000}"/>
    <cellStyle name="Style 26 3 2 2 2 3 3" xfId="39158" xr:uid="{00000000-0005-0000-0000-0000FB980000}"/>
    <cellStyle name="Style 26 3 2 2 2 4" xfId="39159" xr:uid="{00000000-0005-0000-0000-0000FC980000}"/>
    <cellStyle name="Style 26 3 2 2 2 5" xfId="39160" xr:uid="{00000000-0005-0000-0000-0000FD980000}"/>
    <cellStyle name="Style 26 3 2 2 2 6" xfId="39161" xr:uid="{00000000-0005-0000-0000-0000FE980000}"/>
    <cellStyle name="Style 26 3 2 2 3" xfId="39162" xr:uid="{00000000-0005-0000-0000-0000FF980000}"/>
    <cellStyle name="Style 26 3 2 2 3 2" xfId="39163" xr:uid="{00000000-0005-0000-0000-000000990000}"/>
    <cellStyle name="Style 26 3 2 2 3 3" xfId="39164" xr:uid="{00000000-0005-0000-0000-000001990000}"/>
    <cellStyle name="Style 26 3 2 2 4" xfId="39165" xr:uid="{00000000-0005-0000-0000-000002990000}"/>
    <cellStyle name="Style 26 3 2 2 4 2" xfId="39166" xr:uid="{00000000-0005-0000-0000-000003990000}"/>
    <cellStyle name="Style 26 3 2 2 4 3" xfId="39167" xr:uid="{00000000-0005-0000-0000-000004990000}"/>
    <cellStyle name="Style 26 3 2 2 5" xfId="39168" xr:uid="{00000000-0005-0000-0000-000005990000}"/>
    <cellStyle name="Style 26 3 2 2 5 2" xfId="39169" xr:uid="{00000000-0005-0000-0000-000006990000}"/>
    <cellStyle name="Style 26 3 2 2 5 3" xfId="39170" xr:uid="{00000000-0005-0000-0000-000007990000}"/>
    <cellStyle name="Style 26 3 2 2 6" xfId="39171" xr:uid="{00000000-0005-0000-0000-000008990000}"/>
    <cellStyle name="Style 26 3 2 2 7" xfId="39172" xr:uid="{00000000-0005-0000-0000-000009990000}"/>
    <cellStyle name="Style 26 3 2 2 8" xfId="39173" xr:uid="{00000000-0005-0000-0000-00000A990000}"/>
    <cellStyle name="Style 26 3 2 3" xfId="39174" xr:uid="{00000000-0005-0000-0000-00000B990000}"/>
    <cellStyle name="Style 26 3 2 3 2" xfId="39175" xr:uid="{00000000-0005-0000-0000-00000C990000}"/>
    <cellStyle name="Style 26 3 2 3 2 2" xfId="39176" xr:uid="{00000000-0005-0000-0000-00000D990000}"/>
    <cellStyle name="Style 26 3 2 3 2 2 2" xfId="39177" xr:uid="{00000000-0005-0000-0000-00000E990000}"/>
    <cellStyle name="Style 26 3 2 3 2 2 3" xfId="39178" xr:uid="{00000000-0005-0000-0000-00000F990000}"/>
    <cellStyle name="Style 26 3 2 3 2 3" xfId="39179" xr:uid="{00000000-0005-0000-0000-000010990000}"/>
    <cellStyle name="Style 26 3 2 3 2 3 2" xfId="39180" xr:uid="{00000000-0005-0000-0000-000011990000}"/>
    <cellStyle name="Style 26 3 2 3 2 3 3" xfId="39181" xr:uid="{00000000-0005-0000-0000-000012990000}"/>
    <cellStyle name="Style 26 3 2 3 2 4" xfId="39182" xr:uid="{00000000-0005-0000-0000-000013990000}"/>
    <cellStyle name="Style 26 3 2 3 2 5" xfId="39183" xr:uid="{00000000-0005-0000-0000-000014990000}"/>
    <cellStyle name="Style 26 3 2 3 2 6" xfId="39184" xr:uid="{00000000-0005-0000-0000-000015990000}"/>
    <cellStyle name="Style 26 3 2 3 3" xfId="39185" xr:uid="{00000000-0005-0000-0000-000016990000}"/>
    <cellStyle name="Style 26 3 2 3 3 2" xfId="39186" xr:uid="{00000000-0005-0000-0000-000017990000}"/>
    <cellStyle name="Style 26 3 2 3 3 3" xfId="39187" xr:uid="{00000000-0005-0000-0000-000018990000}"/>
    <cellStyle name="Style 26 3 2 3 4" xfId="39188" xr:uid="{00000000-0005-0000-0000-000019990000}"/>
    <cellStyle name="Style 26 3 2 3 4 2" xfId="39189" xr:uid="{00000000-0005-0000-0000-00001A990000}"/>
    <cellStyle name="Style 26 3 2 3 4 3" xfId="39190" xr:uid="{00000000-0005-0000-0000-00001B990000}"/>
    <cellStyle name="Style 26 3 2 3 5" xfId="39191" xr:uid="{00000000-0005-0000-0000-00001C990000}"/>
    <cellStyle name="Style 26 3 2 3 5 2" xfId="39192" xr:uid="{00000000-0005-0000-0000-00001D990000}"/>
    <cellStyle name="Style 26 3 2 3 5 3" xfId="39193" xr:uid="{00000000-0005-0000-0000-00001E990000}"/>
    <cellStyle name="Style 26 3 2 3 6" xfId="39194" xr:uid="{00000000-0005-0000-0000-00001F990000}"/>
    <cellStyle name="Style 26 3 2 3 7" xfId="39195" xr:uid="{00000000-0005-0000-0000-000020990000}"/>
    <cellStyle name="Style 26 3 2 3 8" xfId="39196" xr:uid="{00000000-0005-0000-0000-000021990000}"/>
    <cellStyle name="Style 26 3 2 4" xfId="39197" xr:uid="{00000000-0005-0000-0000-000022990000}"/>
    <cellStyle name="Style 26 3 2 4 2" xfId="39198" xr:uid="{00000000-0005-0000-0000-000023990000}"/>
    <cellStyle name="Style 26 3 2 4 2 2" xfId="39199" xr:uid="{00000000-0005-0000-0000-000024990000}"/>
    <cellStyle name="Style 26 3 2 4 2 3" xfId="39200" xr:uid="{00000000-0005-0000-0000-000025990000}"/>
    <cellStyle name="Style 26 3 2 4 3" xfId="39201" xr:uid="{00000000-0005-0000-0000-000026990000}"/>
    <cellStyle name="Style 26 3 2 4 3 2" xfId="39202" xr:uid="{00000000-0005-0000-0000-000027990000}"/>
    <cellStyle name="Style 26 3 2 4 3 3" xfId="39203" xr:uid="{00000000-0005-0000-0000-000028990000}"/>
    <cellStyle name="Style 26 3 2 4 4" xfId="39204" xr:uid="{00000000-0005-0000-0000-000029990000}"/>
    <cellStyle name="Style 26 3 2 4 5" xfId="39205" xr:uid="{00000000-0005-0000-0000-00002A990000}"/>
    <cellStyle name="Style 26 3 2 4 6" xfId="39206" xr:uid="{00000000-0005-0000-0000-00002B990000}"/>
    <cellStyle name="Style 26 3 2 5" xfId="39207" xr:uid="{00000000-0005-0000-0000-00002C990000}"/>
    <cellStyle name="Style 26 3 2 5 2" xfId="39208" xr:uid="{00000000-0005-0000-0000-00002D990000}"/>
    <cellStyle name="Style 26 3 2 5 3" xfId="39209" xr:uid="{00000000-0005-0000-0000-00002E990000}"/>
    <cellStyle name="Style 26 3 2 6" xfId="39210" xr:uid="{00000000-0005-0000-0000-00002F990000}"/>
    <cellStyle name="Style 26 3 2 6 2" xfId="39211" xr:uid="{00000000-0005-0000-0000-000030990000}"/>
    <cellStyle name="Style 26 3 2 6 3" xfId="39212" xr:uid="{00000000-0005-0000-0000-000031990000}"/>
    <cellStyle name="Style 26 3 2 7" xfId="39213" xr:uid="{00000000-0005-0000-0000-000032990000}"/>
    <cellStyle name="Style 26 3 2 7 2" xfId="39214" xr:uid="{00000000-0005-0000-0000-000033990000}"/>
    <cellStyle name="Style 26 3 2 7 3" xfId="39215" xr:uid="{00000000-0005-0000-0000-000034990000}"/>
    <cellStyle name="Style 26 3 2 8" xfId="39216" xr:uid="{00000000-0005-0000-0000-000035990000}"/>
    <cellStyle name="Style 26 3 2 9" xfId="39217" xr:uid="{00000000-0005-0000-0000-000036990000}"/>
    <cellStyle name="Style 26 3 3" xfId="39218" xr:uid="{00000000-0005-0000-0000-000037990000}"/>
    <cellStyle name="Style 26 3 3 2" xfId="39219" xr:uid="{00000000-0005-0000-0000-000038990000}"/>
    <cellStyle name="Style 26 3 3 2 2" xfId="39220" xr:uid="{00000000-0005-0000-0000-000039990000}"/>
    <cellStyle name="Style 26 3 3 2 2 2" xfId="39221" xr:uid="{00000000-0005-0000-0000-00003A990000}"/>
    <cellStyle name="Style 26 3 3 2 2 3" xfId="39222" xr:uid="{00000000-0005-0000-0000-00003B990000}"/>
    <cellStyle name="Style 26 3 3 2 3" xfId="39223" xr:uid="{00000000-0005-0000-0000-00003C990000}"/>
    <cellStyle name="Style 26 3 3 2 3 2" xfId="39224" xr:uid="{00000000-0005-0000-0000-00003D990000}"/>
    <cellStyle name="Style 26 3 3 2 3 3" xfId="39225" xr:uid="{00000000-0005-0000-0000-00003E990000}"/>
    <cellStyle name="Style 26 3 3 2 4" xfId="39226" xr:uid="{00000000-0005-0000-0000-00003F990000}"/>
    <cellStyle name="Style 26 3 3 2 5" xfId="39227" xr:uid="{00000000-0005-0000-0000-000040990000}"/>
    <cellStyle name="Style 26 3 3 2 6" xfId="39228" xr:uid="{00000000-0005-0000-0000-000041990000}"/>
    <cellStyle name="Style 26 3 3 3" xfId="39229" xr:uid="{00000000-0005-0000-0000-000042990000}"/>
    <cellStyle name="Style 26 3 3 3 2" xfId="39230" xr:uid="{00000000-0005-0000-0000-000043990000}"/>
    <cellStyle name="Style 26 3 3 3 3" xfId="39231" xr:uid="{00000000-0005-0000-0000-000044990000}"/>
    <cellStyle name="Style 26 3 3 4" xfId="39232" xr:uid="{00000000-0005-0000-0000-000045990000}"/>
    <cellStyle name="Style 26 3 3 4 2" xfId="39233" xr:uid="{00000000-0005-0000-0000-000046990000}"/>
    <cellStyle name="Style 26 3 3 4 3" xfId="39234" xr:uid="{00000000-0005-0000-0000-000047990000}"/>
    <cellStyle name="Style 26 3 3 5" xfId="39235" xr:uid="{00000000-0005-0000-0000-000048990000}"/>
    <cellStyle name="Style 26 3 3 5 2" xfId="39236" xr:uid="{00000000-0005-0000-0000-000049990000}"/>
    <cellStyle name="Style 26 3 3 5 3" xfId="39237" xr:uid="{00000000-0005-0000-0000-00004A990000}"/>
    <cellStyle name="Style 26 3 3 6" xfId="39238" xr:uid="{00000000-0005-0000-0000-00004B990000}"/>
    <cellStyle name="Style 26 3 3 7" xfId="39239" xr:uid="{00000000-0005-0000-0000-00004C990000}"/>
    <cellStyle name="Style 26 3 3 8" xfId="39240" xr:uid="{00000000-0005-0000-0000-00004D990000}"/>
    <cellStyle name="Style 26 3 4" xfId="39241" xr:uid="{00000000-0005-0000-0000-00004E990000}"/>
    <cellStyle name="Style 26 3 4 2" xfId="39242" xr:uid="{00000000-0005-0000-0000-00004F990000}"/>
    <cellStyle name="Style 26 3 4 2 2" xfId="39243" xr:uid="{00000000-0005-0000-0000-000050990000}"/>
    <cellStyle name="Style 26 3 4 2 2 2" xfId="39244" xr:uid="{00000000-0005-0000-0000-000051990000}"/>
    <cellStyle name="Style 26 3 4 2 2 3" xfId="39245" xr:uid="{00000000-0005-0000-0000-000052990000}"/>
    <cellStyle name="Style 26 3 4 2 3" xfId="39246" xr:uid="{00000000-0005-0000-0000-000053990000}"/>
    <cellStyle name="Style 26 3 4 2 3 2" xfId="39247" xr:uid="{00000000-0005-0000-0000-000054990000}"/>
    <cellStyle name="Style 26 3 4 2 3 3" xfId="39248" xr:uid="{00000000-0005-0000-0000-000055990000}"/>
    <cellStyle name="Style 26 3 4 2 4" xfId="39249" xr:uid="{00000000-0005-0000-0000-000056990000}"/>
    <cellStyle name="Style 26 3 4 2 5" xfId="39250" xr:uid="{00000000-0005-0000-0000-000057990000}"/>
    <cellStyle name="Style 26 3 4 2 6" xfId="39251" xr:uid="{00000000-0005-0000-0000-000058990000}"/>
    <cellStyle name="Style 26 3 4 3" xfId="39252" xr:uid="{00000000-0005-0000-0000-000059990000}"/>
    <cellStyle name="Style 26 3 4 3 2" xfId="39253" xr:uid="{00000000-0005-0000-0000-00005A990000}"/>
    <cellStyle name="Style 26 3 4 3 3" xfId="39254" xr:uid="{00000000-0005-0000-0000-00005B990000}"/>
    <cellStyle name="Style 26 3 4 4" xfId="39255" xr:uid="{00000000-0005-0000-0000-00005C990000}"/>
    <cellStyle name="Style 26 3 4 4 2" xfId="39256" xr:uid="{00000000-0005-0000-0000-00005D990000}"/>
    <cellStyle name="Style 26 3 4 4 3" xfId="39257" xr:uid="{00000000-0005-0000-0000-00005E990000}"/>
    <cellStyle name="Style 26 3 4 5" xfId="39258" xr:uid="{00000000-0005-0000-0000-00005F990000}"/>
    <cellStyle name="Style 26 3 4 5 2" xfId="39259" xr:uid="{00000000-0005-0000-0000-000060990000}"/>
    <cellStyle name="Style 26 3 4 5 3" xfId="39260" xr:uid="{00000000-0005-0000-0000-000061990000}"/>
    <cellStyle name="Style 26 3 4 6" xfId="39261" xr:uid="{00000000-0005-0000-0000-000062990000}"/>
    <cellStyle name="Style 26 3 4 7" xfId="39262" xr:uid="{00000000-0005-0000-0000-000063990000}"/>
    <cellStyle name="Style 26 3 4 8" xfId="39263" xr:uid="{00000000-0005-0000-0000-000064990000}"/>
    <cellStyle name="Style 26 3 5" xfId="39264" xr:uid="{00000000-0005-0000-0000-000065990000}"/>
    <cellStyle name="Style 26 3 5 2" xfId="39265" xr:uid="{00000000-0005-0000-0000-000066990000}"/>
    <cellStyle name="Style 26 3 5 2 2" xfId="39266" xr:uid="{00000000-0005-0000-0000-000067990000}"/>
    <cellStyle name="Style 26 3 5 2 2 2" xfId="39267" xr:uid="{00000000-0005-0000-0000-000068990000}"/>
    <cellStyle name="Style 26 3 5 2 2 3" xfId="39268" xr:uid="{00000000-0005-0000-0000-000069990000}"/>
    <cellStyle name="Style 26 3 5 2 3" xfId="39269" xr:uid="{00000000-0005-0000-0000-00006A990000}"/>
    <cellStyle name="Style 26 3 5 2 3 2" xfId="39270" xr:uid="{00000000-0005-0000-0000-00006B990000}"/>
    <cellStyle name="Style 26 3 5 2 3 3" xfId="39271" xr:uid="{00000000-0005-0000-0000-00006C990000}"/>
    <cellStyle name="Style 26 3 5 2 4" xfId="39272" xr:uid="{00000000-0005-0000-0000-00006D990000}"/>
    <cellStyle name="Style 26 3 5 2 5" xfId="39273" xr:uid="{00000000-0005-0000-0000-00006E990000}"/>
    <cellStyle name="Style 26 3 5 2 6" xfId="39274" xr:uid="{00000000-0005-0000-0000-00006F990000}"/>
    <cellStyle name="Style 26 3 5 3" xfId="39275" xr:uid="{00000000-0005-0000-0000-000070990000}"/>
    <cellStyle name="Style 26 3 5 3 2" xfId="39276" xr:uid="{00000000-0005-0000-0000-000071990000}"/>
    <cellStyle name="Style 26 3 5 3 3" xfId="39277" xr:uid="{00000000-0005-0000-0000-000072990000}"/>
    <cellStyle name="Style 26 3 5 4" xfId="39278" xr:uid="{00000000-0005-0000-0000-000073990000}"/>
    <cellStyle name="Style 26 3 5 4 2" xfId="39279" xr:uid="{00000000-0005-0000-0000-000074990000}"/>
    <cellStyle name="Style 26 3 5 4 3" xfId="39280" xr:uid="{00000000-0005-0000-0000-000075990000}"/>
    <cellStyle name="Style 26 3 5 5" xfId="39281" xr:uid="{00000000-0005-0000-0000-000076990000}"/>
    <cellStyle name="Style 26 3 5 5 2" xfId="39282" xr:uid="{00000000-0005-0000-0000-000077990000}"/>
    <cellStyle name="Style 26 3 5 5 3" xfId="39283" xr:uid="{00000000-0005-0000-0000-000078990000}"/>
    <cellStyle name="Style 26 3 5 6" xfId="39284" xr:uid="{00000000-0005-0000-0000-000079990000}"/>
    <cellStyle name="Style 26 3 5 7" xfId="39285" xr:uid="{00000000-0005-0000-0000-00007A990000}"/>
    <cellStyle name="Style 26 3 5 8" xfId="39286" xr:uid="{00000000-0005-0000-0000-00007B990000}"/>
    <cellStyle name="Style 26 3 6" xfId="39287" xr:uid="{00000000-0005-0000-0000-00007C990000}"/>
    <cellStyle name="Style 26 3 6 2" xfId="39288" xr:uid="{00000000-0005-0000-0000-00007D990000}"/>
    <cellStyle name="Style 26 3 6 2 2" xfId="39289" xr:uid="{00000000-0005-0000-0000-00007E990000}"/>
    <cellStyle name="Style 26 3 6 2 3" xfId="39290" xr:uid="{00000000-0005-0000-0000-00007F990000}"/>
    <cellStyle name="Style 26 3 6 3" xfId="39291" xr:uid="{00000000-0005-0000-0000-000080990000}"/>
    <cellStyle name="Style 26 3 6 3 2" xfId="39292" xr:uid="{00000000-0005-0000-0000-000081990000}"/>
    <cellStyle name="Style 26 3 6 3 3" xfId="39293" xr:uid="{00000000-0005-0000-0000-000082990000}"/>
    <cellStyle name="Style 26 3 6 4" xfId="39294" xr:uid="{00000000-0005-0000-0000-000083990000}"/>
    <cellStyle name="Style 26 3 6 5" xfId="39295" xr:uid="{00000000-0005-0000-0000-000084990000}"/>
    <cellStyle name="Style 26 3 6 6" xfId="39296" xr:uid="{00000000-0005-0000-0000-000085990000}"/>
    <cellStyle name="Style 26 3 7" xfId="39297" xr:uid="{00000000-0005-0000-0000-000086990000}"/>
    <cellStyle name="Style 26 3 7 2" xfId="39298" xr:uid="{00000000-0005-0000-0000-000087990000}"/>
    <cellStyle name="Style 26 3 7 3" xfId="39299" xr:uid="{00000000-0005-0000-0000-000088990000}"/>
    <cellStyle name="Style 26 3 8" xfId="39300" xr:uid="{00000000-0005-0000-0000-000089990000}"/>
    <cellStyle name="Style 26 3 8 2" xfId="39301" xr:uid="{00000000-0005-0000-0000-00008A990000}"/>
    <cellStyle name="Style 26 3 8 3" xfId="39302" xr:uid="{00000000-0005-0000-0000-00008B990000}"/>
    <cellStyle name="Style 26 3 9" xfId="39303" xr:uid="{00000000-0005-0000-0000-00008C990000}"/>
    <cellStyle name="Style 26 3 9 2" xfId="39304" xr:uid="{00000000-0005-0000-0000-00008D990000}"/>
    <cellStyle name="Style 26 3 9 3" xfId="39305" xr:uid="{00000000-0005-0000-0000-00008E990000}"/>
    <cellStyle name="Style 26 4" xfId="39306" xr:uid="{00000000-0005-0000-0000-00008F990000}"/>
    <cellStyle name="Style 26 4 10" xfId="39307" xr:uid="{00000000-0005-0000-0000-000090990000}"/>
    <cellStyle name="Style 26 4 11" xfId="39308" xr:uid="{00000000-0005-0000-0000-000091990000}"/>
    <cellStyle name="Style 26 4 12" xfId="39309" xr:uid="{00000000-0005-0000-0000-000092990000}"/>
    <cellStyle name="Style 26 4 2" xfId="39310" xr:uid="{00000000-0005-0000-0000-000093990000}"/>
    <cellStyle name="Style 26 4 2 10" xfId="39311" xr:uid="{00000000-0005-0000-0000-000094990000}"/>
    <cellStyle name="Style 26 4 2 2" xfId="39312" xr:uid="{00000000-0005-0000-0000-000095990000}"/>
    <cellStyle name="Style 26 4 2 2 2" xfId="39313" xr:uid="{00000000-0005-0000-0000-000096990000}"/>
    <cellStyle name="Style 26 4 2 2 2 2" xfId="39314" xr:uid="{00000000-0005-0000-0000-000097990000}"/>
    <cellStyle name="Style 26 4 2 2 2 2 2" xfId="39315" xr:uid="{00000000-0005-0000-0000-000098990000}"/>
    <cellStyle name="Style 26 4 2 2 2 2 3" xfId="39316" xr:uid="{00000000-0005-0000-0000-000099990000}"/>
    <cellStyle name="Style 26 4 2 2 2 3" xfId="39317" xr:uid="{00000000-0005-0000-0000-00009A990000}"/>
    <cellStyle name="Style 26 4 2 2 2 3 2" xfId="39318" xr:uid="{00000000-0005-0000-0000-00009B990000}"/>
    <cellStyle name="Style 26 4 2 2 2 3 3" xfId="39319" xr:uid="{00000000-0005-0000-0000-00009C990000}"/>
    <cellStyle name="Style 26 4 2 2 2 4" xfId="39320" xr:uid="{00000000-0005-0000-0000-00009D990000}"/>
    <cellStyle name="Style 26 4 2 2 2 5" xfId="39321" xr:uid="{00000000-0005-0000-0000-00009E990000}"/>
    <cellStyle name="Style 26 4 2 2 2 6" xfId="39322" xr:uid="{00000000-0005-0000-0000-00009F990000}"/>
    <cellStyle name="Style 26 4 2 2 3" xfId="39323" xr:uid="{00000000-0005-0000-0000-0000A0990000}"/>
    <cellStyle name="Style 26 4 2 2 3 2" xfId="39324" xr:uid="{00000000-0005-0000-0000-0000A1990000}"/>
    <cellStyle name="Style 26 4 2 2 3 3" xfId="39325" xr:uid="{00000000-0005-0000-0000-0000A2990000}"/>
    <cellStyle name="Style 26 4 2 2 4" xfId="39326" xr:uid="{00000000-0005-0000-0000-0000A3990000}"/>
    <cellStyle name="Style 26 4 2 2 4 2" xfId="39327" xr:uid="{00000000-0005-0000-0000-0000A4990000}"/>
    <cellStyle name="Style 26 4 2 2 4 3" xfId="39328" xr:uid="{00000000-0005-0000-0000-0000A5990000}"/>
    <cellStyle name="Style 26 4 2 2 5" xfId="39329" xr:uid="{00000000-0005-0000-0000-0000A6990000}"/>
    <cellStyle name="Style 26 4 2 2 5 2" xfId="39330" xr:uid="{00000000-0005-0000-0000-0000A7990000}"/>
    <cellStyle name="Style 26 4 2 2 5 3" xfId="39331" xr:uid="{00000000-0005-0000-0000-0000A8990000}"/>
    <cellStyle name="Style 26 4 2 2 6" xfId="39332" xr:uid="{00000000-0005-0000-0000-0000A9990000}"/>
    <cellStyle name="Style 26 4 2 2 7" xfId="39333" xr:uid="{00000000-0005-0000-0000-0000AA990000}"/>
    <cellStyle name="Style 26 4 2 2 8" xfId="39334" xr:uid="{00000000-0005-0000-0000-0000AB990000}"/>
    <cellStyle name="Style 26 4 2 3" xfId="39335" xr:uid="{00000000-0005-0000-0000-0000AC990000}"/>
    <cellStyle name="Style 26 4 2 3 2" xfId="39336" xr:uid="{00000000-0005-0000-0000-0000AD990000}"/>
    <cellStyle name="Style 26 4 2 3 2 2" xfId="39337" xr:uid="{00000000-0005-0000-0000-0000AE990000}"/>
    <cellStyle name="Style 26 4 2 3 2 2 2" xfId="39338" xr:uid="{00000000-0005-0000-0000-0000AF990000}"/>
    <cellStyle name="Style 26 4 2 3 2 2 3" xfId="39339" xr:uid="{00000000-0005-0000-0000-0000B0990000}"/>
    <cellStyle name="Style 26 4 2 3 2 3" xfId="39340" xr:uid="{00000000-0005-0000-0000-0000B1990000}"/>
    <cellStyle name="Style 26 4 2 3 2 3 2" xfId="39341" xr:uid="{00000000-0005-0000-0000-0000B2990000}"/>
    <cellStyle name="Style 26 4 2 3 2 3 3" xfId="39342" xr:uid="{00000000-0005-0000-0000-0000B3990000}"/>
    <cellStyle name="Style 26 4 2 3 2 4" xfId="39343" xr:uid="{00000000-0005-0000-0000-0000B4990000}"/>
    <cellStyle name="Style 26 4 2 3 2 5" xfId="39344" xr:uid="{00000000-0005-0000-0000-0000B5990000}"/>
    <cellStyle name="Style 26 4 2 3 2 6" xfId="39345" xr:uid="{00000000-0005-0000-0000-0000B6990000}"/>
    <cellStyle name="Style 26 4 2 3 3" xfId="39346" xr:uid="{00000000-0005-0000-0000-0000B7990000}"/>
    <cellStyle name="Style 26 4 2 3 3 2" xfId="39347" xr:uid="{00000000-0005-0000-0000-0000B8990000}"/>
    <cellStyle name="Style 26 4 2 3 3 3" xfId="39348" xr:uid="{00000000-0005-0000-0000-0000B9990000}"/>
    <cellStyle name="Style 26 4 2 3 4" xfId="39349" xr:uid="{00000000-0005-0000-0000-0000BA990000}"/>
    <cellStyle name="Style 26 4 2 3 4 2" xfId="39350" xr:uid="{00000000-0005-0000-0000-0000BB990000}"/>
    <cellStyle name="Style 26 4 2 3 4 3" xfId="39351" xr:uid="{00000000-0005-0000-0000-0000BC990000}"/>
    <cellStyle name="Style 26 4 2 3 5" xfId="39352" xr:uid="{00000000-0005-0000-0000-0000BD990000}"/>
    <cellStyle name="Style 26 4 2 3 5 2" xfId="39353" xr:uid="{00000000-0005-0000-0000-0000BE990000}"/>
    <cellStyle name="Style 26 4 2 3 5 3" xfId="39354" xr:uid="{00000000-0005-0000-0000-0000BF990000}"/>
    <cellStyle name="Style 26 4 2 3 6" xfId="39355" xr:uid="{00000000-0005-0000-0000-0000C0990000}"/>
    <cellStyle name="Style 26 4 2 3 7" xfId="39356" xr:uid="{00000000-0005-0000-0000-0000C1990000}"/>
    <cellStyle name="Style 26 4 2 3 8" xfId="39357" xr:uid="{00000000-0005-0000-0000-0000C2990000}"/>
    <cellStyle name="Style 26 4 2 4" xfId="39358" xr:uid="{00000000-0005-0000-0000-0000C3990000}"/>
    <cellStyle name="Style 26 4 2 4 2" xfId="39359" xr:uid="{00000000-0005-0000-0000-0000C4990000}"/>
    <cellStyle name="Style 26 4 2 4 2 2" xfId="39360" xr:uid="{00000000-0005-0000-0000-0000C5990000}"/>
    <cellStyle name="Style 26 4 2 4 2 3" xfId="39361" xr:uid="{00000000-0005-0000-0000-0000C6990000}"/>
    <cellStyle name="Style 26 4 2 4 3" xfId="39362" xr:uid="{00000000-0005-0000-0000-0000C7990000}"/>
    <cellStyle name="Style 26 4 2 4 3 2" xfId="39363" xr:uid="{00000000-0005-0000-0000-0000C8990000}"/>
    <cellStyle name="Style 26 4 2 4 3 3" xfId="39364" xr:uid="{00000000-0005-0000-0000-0000C9990000}"/>
    <cellStyle name="Style 26 4 2 4 4" xfId="39365" xr:uid="{00000000-0005-0000-0000-0000CA990000}"/>
    <cellStyle name="Style 26 4 2 4 5" xfId="39366" xr:uid="{00000000-0005-0000-0000-0000CB990000}"/>
    <cellStyle name="Style 26 4 2 4 6" xfId="39367" xr:uid="{00000000-0005-0000-0000-0000CC990000}"/>
    <cellStyle name="Style 26 4 2 5" xfId="39368" xr:uid="{00000000-0005-0000-0000-0000CD990000}"/>
    <cellStyle name="Style 26 4 2 5 2" xfId="39369" xr:uid="{00000000-0005-0000-0000-0000CE990000}"/>
    <cellStyle name="Style 26 4 2 5 3" xfId="39370" xr:uid="{00000000-0005-0000-0000-0000CF990000}"/>
    <cellStyle name="Style 26 4 2 6" xfId="39371" xr:uid="{00000000-0005-0000-0000-0000D0990000}"/>
    <cellStyle name="Style 26 4 2 6 2" xfId="39372" xr:uid="{00000000-0005-0000-0000-0000D1990000}"/>
    <cellStyle name="Style 26 4 2 6 3" xfId="39373" xr:uid="{00000000-0005-0000-0000-0000D2990000}"/>
    <cellStyle name="Style 26 4 2 7" xfId="39374" xr:uid="{00000000-0005-0000-0000-0000D3990000}"/>
    <cellStyle name="Style 26 4 2 7 2" xfId="39375" xr:uid="{00000000-0005-0000-0000-0000D4990000}"/>
    <cellStyle name="Style 26 4 2 7 3" xfId="39376" xr:uid="{00000000-0005-0000-0000-0000D5990000}"/>
    <cellStyle name="Style 26 4 2 8" xfId="39377" xr:uid="{00000000-0005-0000-0000-0000D6990000}"/>
    <cellStyle name="Style 26 4 2 9" xfId="39378" xr:uid="{00000000-0005-0000-0000-0000D7990000}"/>
    <cellStyle name="Style 26 4 3" xfId="39379" xr:uid="{00000000-0005-0000-0000-0000D8990000}"/>
    <cellStyle name="Style 26 4 3 2" xfId="39380" xr:uid="{00000000-0005-0000-0000-0000D9990000}"/>
    <cellStyle name="Style 26 4 3 2 2" xfId="39381" xr:uid="{00000000-0005-0000-0000-0000DA990000}"/>
    <cellStyle name="Style 26 4 3 2 2 2" xfId="39382" xr:uid="{00000000-0005-0000-0000-0000DB990000}"/>
    <cellStyle name="Style 26 4 3 2 2 3" xfId="39383" xr:uid="{00000000-0005-0000-0000-0000DC990000}"/>
    <cellStyle name="Style 26 4 3 2 3" xfId="39384" xr:uid="{00000000-0005-0000-0000-0000DD990000}"/>
    <cellStyle name="Style 26 4 3 2 3 2" xfId="39385" xr:uid="{00000000-0005-0000-0000-0000DE990000}"/>
    <cellStyle name="Style 26 4 3 2 3 3" xfId="39386" xr:uid="{00000000-0005-0000-0000-0000DF990000}"/>
    <cellStyle name="Style 26 4 3 2 4" xfId="39387" xr:uid="{00000000-0005-0000-0000-0000E0990000}"/>
    <cellStyle name="Style 26 4 3 2 5" xfId="39388" xr:uid="{00000000-0005-0000-0000-0000E1990000}"/>
    <cellStyle name="Style 26 4 3 2 6" xfId="39389" xr:uid="{00000000-0005-0000-0000-0000E2990000}"/>
    <cellStyle name="Style 26 4 3 3" xfId="39390" xr:uid="{00000000-0005-0000-0000-0000E3990000}"/>
    <cellStyle name="Style 26 4 3 3 2" xfId="39391" xr:uid="{00000000-0005-0000-0000-0000E4990000}"/>
    <cellStyle name="Style 26 4 3 3 3" xfId="39392" xr:uid="{00000000-0005-0000-0000-0000E5990000}"/>
    <cellStyle name="Style 26 4 3 4" xfId="39393" xr:uid="{00000000-0005-0000-0000-0000E6990000}"/>
    <cellStyle name="Style 26 4 3 4 2" xfId="39394" xr:uid="{00000000-0005-0000-0000-0000E7990000}"/>
    <cellStyle name="Style 26 4 3 4 3" xfId="39395" xr:uid="{00000000-0005-0000-0000-0000E8990000}"/>
    <cellStyle name="Style 26 4 3 5" xfId="39396" xr:uid="{00000000-0005-0000-0000-0000E9990000}"/>
    <cellStyle name="Style 26 4 3 5 2" xfId="39397" xr:uid="{00000000-0005-0000-0000-0000EA990000}"/>
    <cellStyle name="Style 26 4 3 5 3" xfId="39398" xr:uid="{00000000-0005-0000-0000-0000EB990000}"/>
    <cellStyle name="Style 26 4 3 6" xfId="39399" xr:uid="{00000000-0005-0000-0000-0000EC990000}"/>
    <cellStyle name="Style 26 4 3 7" xfId="39400" xr:uid="{00000000-0005-0000-0000-0000ED990000}"/>
    <cellStyle name="Style 26 4 3 8" xfId="39401" xr:uid="{00000000-0005-0000-0000-0000EE990000}"/>
    <cellStyle name="Style 26 4 4" xfId="39402" xr:uid="{00000000-0005-0000-0000-0000EF990000}"/>
    <cellStyle name="Style 26 4 4 2" xfId="39403" xr:uid="{00000000-0005-0000-0000-0000F0990000}"/>
    <cellStyle name="Style 26 4 4 2 2" xfId="39404" xr:uid="{00000000-0005-0000-0000-0000F1990000}"/>
    <cellStyle name="Style 26 4 4 2 2 2" xfId="39405" xr:uid="{00000000-0005-0000-0000-0000F2990000}"/>
    <cellStyle name="Style 26 4 4 2 2 3" xfId="39406" xr:uid="{00000000-0005-0000-0000-0000F3990000}"/>
    <cellStyle name="Style 26 4 4 2 3" xfId="39407" xr:uid="{00000000-0005-0000-0000-0000F4990000}"/>
    <cellStyle name="Style 26 4 4 2 3 2" xfId="39408" xr:uid="{00000000-0005-0000-0000-0000F5990000}"/>
    <cellStyle name="Style 26 4 4 2 3 3" xfId="39409" xr:uid="{00000000-0005-0000-0000-0000F6990000}"/>
    <cellStyle name="Style 26 4 4 2 4" xfId="39410" xr:uid="{00000000-0005-0000-0000-0000F7990000}"/>
    <cellStyle name="Style 26 4 4 2 5" xfId="39411" xr:uid="{00000000-0005-0000-0000-0000F8990000}"/>
    <cellStyle name="Style 26 4 4 2 6" xfId="39412" xr:uid="{00000000-0005-0000-0000-0000F9990000}"/>
    <cellStyle name="Style 26 4 4 3" xfId="39413" xr:uid="{00000000-0005-0000-0000-0000FA990000}"/>
    <cellStyle name="Style 26 4 4 3 2" xfId="39414" xr:uid="{00000000-0005-0000-0000-0000FB990000}"/>
    <cellStyle name="Style 26 4 4 3 3" xfId="39415" xr:uid="{00000000-0005-0000-0000-0000FC990000}"/>
    <cellStyle name="Style 26 4 4 4" xfId="39416" xr:uid="{00000000-0005-0000-0000-0000FD990000}"/>
    <cellStyle name="Style 26 4 4 4 2" xfId="39417" xr:uid="{00000000-0005-0000-0000-0000FE990000}"/>
    <cellStyle name="Style 26 4 4 4 3" xfId="39418" xr:uid="{00000000-0005-0000-0000-0000FF990000}"/>
    <cellStyle name="Style 26 4 4 5" xfId="39419" xr:uid="{00000000-0005-0000-0000-0000009A0000}"/>
    <cellStyle name="Style 26 4 4 5 2" xfId="39420" xr:uid="{00000000-0005-0000-0000-0000019A0000}"/>
    <cellStyle name="Style 26 4 4 5 3" xfId="39421" xr:uid="{00000000-0005-0000-0000-0000029A0000}"/>
    <cellStyle name="Style 26 4 4 6" xfId="39422" xr:uid="{00000000-0005-0000-0000-0000039A0000}"/>
    <cellStyle name="Style 26 4 4 7" xfId="39423" xr:uid="{00000000-0005-0000-0000-0000049A0000}"/>
    <cellStyle name="Style 26 4 4 8" xfId="39424" xr:uid="{00000000-0005-0000-0000-0000059A0000}"/>
    <cellStyle name="Style 26 4 5" xfId="39425" xr:uid="{00000000-0005-0000-0000-0000069A0000}"/>
    <cellStyle name="Style 26 4 5 2" xfId="39426" xr:uid="{00000000-0005-0000-0000-0000079A0000}"/>
    <cellStyle name="Style 26 4 5 2 2" xfId="39427" xr:uid="{00000000-0005-0000-0000-0000089A0000}"/>
    <cellStyle name="Style 26 4 5 2 2 2" xfId="39428" xr:uid="{00000000-0005-0000-0000-0000099A0000}"/>
    <cellStyle name="Style 26 4 5 2 2 3" xfId="39429" xr:uid="{00000000-0005-0000-0000-00000A9A0000}"/>
    <cellStyle name="Style 26 4 5 2 3" xfId="39430" xr:uid="{00000000-0005-0000-0000-00000B9A0000}"/>
    <cellStyle name="Style 26 4 5 2 3 2" xfId="39431" xr:uid="{00000000-0005-0000-0000-00000C9A0000}"/>
    <cellStyle name="Style 26 4 5 2 3 3" xfId="39432" xr:uid="{00000000-0005-0000-0000-00000D9A0000}"/>
    <cellStyle name="Style 26 4 5 2 4" xfId="39433" xr:uid="{00000000-0005-0000-0000-00000E9A0000}"/>
    <cellStyle name="Style 26 4 5 2 5" xfId="39434" xr:uid="{00000000-0005-0000-0000-00000F9A0000}"/>
    <cellStyle name="Style 26 4 5 2 6" xfId="39435" xr:uid="{00000000-0005-0000-0000-0000109A0000}"/>
    <cellStyle name="Style 26 4 5 3" xfId="39436" xr:uid="{00000000-0005-0000-0000-0000119A0000}"/>
    <cellStyle name="Style 26 4 5 3 2" xfId="39437" xr:uid="{00000000-0005-0000-0000-0000129A0000}"/>
    <cellStyle name="Style 26 4 5 3 3" xfId="39438" xr:uid="{00000000-0005-0000-0000-0000139A0000}"/>
    <cellStyle name="Style 26 4 5 4" xfId="39439" xr:uid="{00000000-0005-0000-0000-0000149A0000}"/>
    <cellStyle name="Style 26 4 5 4 2" xfId="39440" xr:uid="{00000000-0005-0000-0000-0000159A0000}"/>
    <cellStyle name="Style 26 4 5 4 3" xfId="39441" xr:uid="{00000000-0005-0000-0000-0000169A0000}"/>
    <cellStyle name="Style 26 4 5 5" xfId="39442" xr:uid="{00000000-0005-0000-0000-0000179A0000}"/>
    <cellStyle name="Style 26 4 5 5 2" xfId="39443" xr:uid="{00000000-0005-0000-0000-0000189A0000}"/>
    <cellStyle name="Style 26 4 5 5 3" xfId="39444" xr:uid="{00000000-0005-0000-0000-0000199A0000}"/>
    <cellStyle name="Style 26 4 5 6" xfId="39445" xr:uid="{00000000-0005-0000-0000-00001A9A0000}"/>
    <cellStyle name="Style 26 4 5 7" xfId="39446" xr:uid="{00000000-0005-0000-0000-00001B9A0000}"/>
    <cellStyle name="Style 26 4 5 8" xfId="39447" xr:uid="{00000000-0005-0000-0000-00001C9A0000}"/>
    <cellStyle name="Style 26 4 6" xfId="39448" xr:uid="{00000000-0005-0000-0000-00001D9A0000}"/>
    <cellStyle name="Style 26 4 6 2" xfId="39449" xr:uid="{00000000-0005-0000-0000-00001E9A0000}"/>
    <cellStyle name="Style 26 4 6 2 2" xfId="39450" xr:uid="{00000000-0005-0000-0000-00001F9A0000}"/>
    <cellStyle name="Style 26 4 6 2 3" xfId="39451" xr:uid="{00000000-0005-0000-0000-0000209A0000}"/>
    <cellStyle name="Style 26 4 6 3" xfId="39452" xr:uid="{00000000-0005-0000-0000-0000219A0000}"/>
    <cellStyle name="Style 26 4 6 3 2" xfId="39453" xr:uid="{00000000-0005-0000-0000-0000229A0000}"/>
    <cellStyle name="Style 26 4 6 3 3" xfId="39454" xr:uid="{00000000-0005-0000-0000-0000239A0000}"/>
    <cellStyle name="Style 26 4 6 4" xfId="39455" xr:uid="{00000000-0005-0000-0000-0000249A0000}"/>
    <cellStyle name="Style 26 4 6 5" xfId="39456" xr:uid="{00000000-0005-0000-0000-0000259A0000}"/>
    <cellStyle name="Style 26 4 6 6" xfId="39457" xr:uid="{00000000-0005-0000-0000-0000269A0000}"/>
    <cellStyle name="Style 26 4 7" xfId="39458" xr:uid="{00000000-0005-0000-0000-0000279A0000}"/>
    <cellStyle name="Style 26 4 7 2" xfId="39459" xr:uid="{00000000-0005-0000-0000-0000289A0000}"/>
    <cellStyle name="Style 26 4 7 3" xfId="39460" xr:uid="{00000000-0005-0000-0000-0000299A0000}"/>
    <cellStyle name="Style 26 4 8" xfId="39461" xr:uid="{00000000-0005-0000-0000-00002A9A0000}"/>
    <cellStyle name="Style 26 4 8 2" xfId="39462" xr:uid="{00000000-0005-0000-0000-00002B9A0000}"/>
    <cellStyle name="Style 26 4 8 3" xfId="39463" xr:uid="{00000000-0005-0000-0000-00002C9A0000}"/>
    <cellStyle name="Style 26 4 9" xfId="39464" xr:uid="{00000000-0005-0000-0000-00002D9A0000}"/>
    <cellStyle name="Style 26 4 9 2" xfId="39465" xr:uid="{00000000-0005-0000-0000-00002E9A0000}"/>
    <cellStyle name="Style 26 4 9 3" xfId="39466" xr:uid="{00000000-0005-0000-0000-00002F9A0000}"/>
    <cellStyle name="Style 26 5" xfId="39467" xr:uid="{00000000-0005-0000-0000-0000309A0000}"/>
    <cellStyle name="Style 26 5 10" xfId="39468" xr:uid="{00000000-0005-0000-0000-0000319A0000}"/>
    <cellStyle name="Style 26 5 11" xfId="39469" xr:uid="{00000000-0005-0000-0000-0000329A0000}"/>
    <cellStyle name="Style 26 5 12" xfId="39470" xr:uid="{00000000-0005-0000-0000-0000339A0000}"/>
    <cellStyle name="Style 26 5 2" xfId="39471" xr:uid="{00000000-0005-0000-0000-0000349A0000}"/>
    <cellStyle name="Style 26 5 2 10" xfId="39472" xr:uid="{00000000-0005-0000-0000-0000359A0000}"/>
    <cellStyle name="Style 26 5 2 2" xfId="39473" xr:uid="{00000000-0005-0000-0000-0000369A0000}"/>
    <cellStyle name="Style 26 5 2 2 2" xfId="39474" xr:uid="{00000000-0005-0000-0000-0000379A0000}"/>
    <cellStyle name="Style 26 5 2 2 2 2" xfId="39475" xr:uid="{00000000-0005-0000-0000-0000389A0000}"/>
    <cellStyle name="Style 26 5 2 2 2 2 2" xfId="39476" xr:uid="{00000000-0005-0000-0000-0000399A0000}"/>
    <cellStyle name="Style 26 5 2 2 2 2 3" xfId="39477" xr:uid="{00000000-0005-0000-0000-00003A9A0000}"/>
    <cellStyle name="Style 26 5 2 2 2 3" xfId="39478" xr:uid="{00000000-0005-0000-0000-00003B9A0000}"/>
    <cellStyle name="Style 26 5 2 2 2 3 2" xfId="39479" xr:uid="{00000000-0005-0000-0000-00003C9A0000}"/>
    <cellStyle name="Style 26 5 2 2 2 3 3" xfId="39480" xr:uid="{00000000-0005-0000-0000-00003D9A0000}"/>
    <cellStyle name="Style 26 5 2 2 2 4" xfId="39481" xr:uid="{00000000-0005-0000-0000-00003E9A0000}"/>
    <cellStyle name="Style 26 5 2 2 2 5" xfId="39482" xr:uid="{00000000-0005-0000-0000-00003F9A0000}"/>
    <cellStyle name="Style 26 5 2 2 2 6" xfId="39483" xr:uid="{00000000-0005-0000-0000-0000409A0000}"/>
    <cellStyle name="Style 26 5 2 2 3" xfId="39484" xr:uid="{00000000-0005-0000-0000-0000419A0000}"/>
    <cellStyle name="Style 26 5 2 2 3 2" xfId="39485" xr:uid="{00000000-0005-0000-0000-0000429A0000}"/>
    <cellStyle name="Style 26 5 2 2 3 3" xfId="39486" xr:uid="{00000000-0005-0000-0000-0000439A0000}"/>
    <cellStyle name="Style 26 5 2 2 4" xfId="39487" xr:uid="{00000000-0005-0000-0000-0000449A0000}"/>
    <cellStyle name="Style 26 5 2 2 4 2" xfId="39488" xr:uid="{00000000-0005-0000-0000-0000459A0000}"/>
    <cellStyle name="Style 26 5 2 2 4 3" xfId="39489" xr:uid="{00000000-0005-0000-0000-0000469A0000}"/>
    <cellStyle name="Style 26 5 2 2 5" xfId="39490" xr:uid="{00000000-0005-0000-0000-0000479A0000}"/>
    <cellStyle name="Style 26 5 2 2 5 2" xfId="39491" xr:uid="{00000000-0005-0000-0000-0000489A0000}"/>
    <cellStyle name="Style 26 5 2 2 5 3" xfId="39492" xr:uid="{00000000-0005-0000-0000-0000499A0000}"/>
    <cellStyle name="Style 26 5 2 2 6" xfId="39493" xr:uid="{00000000-0005-0000-0000-00004A9A0000}"/>
    <cellStyle name="Style 26 5 2 2 7" xfId="39494" xr:uid="{00000000-0005-0000-0000-00004B9A0000}"/>
    <cellStyle name="Style 26 5 2 2 8" xfId="39495" xr:uid="{00000000-0005-0000-0000-00004C9A0000}"/>
    <cellStyle name="Style 26 5 2 3" xfId="39496" xr:uid="{00000000-0005-0000-0000-00004D9A0000}"/>
    <cellStyle name="Style 26 5 2 3 2" xfId="39497" xr:uid="{00000000-0005-0000-0000-00004E9A0000}"/>
    <cellStyle name="Style 26 5 2 3 2 2" xfId="39498" xr:uid="{00000000-0005-0000-0000-00004F9A0000}"/>
    <cellStyle name="Style 26 5 2 3 2 2 2" xfId="39499" xr:uid="{00000000-0005-0000-0000-0000509A0000}"/>
    <cellStyle name="Style 26 5 2 3 2 2 3" xfId="39500" xr:uid="{00000000-0005-0000-0000-0000519A0000}"/>
    <cellStyle name="Style 26 5 2 3 2 3" xfId="39501" xr:uid="{00000000-0005-0000-0000-0000529A0000}"/>
    <cellStyle name="Style 26 5 2 3 2 3 2" xfId="39502" xr:uid="{00000000-0005-0000-0000-0000539A0000}"/>
    <cellStyle name="Style 26 5 2 3 2 3 3" xfId="39503" xr:uid="{00000000-0005-0000-0000-0000549A0000}"/>
    <cellStyle name="Style 26 5 2 3 2 4" xfId="39504" xr:uid="{00000000-0005-0000-0000-0000559A0000}"/>
    <cellStyle name="Style 26 5 2 3 2 5" xfId="39505" xr:uid="{00000000-0005-0000-0000-0000569A0000}"/>
    <cellStyle name="Style 26 5 2 3 2 6" xfId="39506" xr:uid="{00000000-0005-0000-0000-0000579A0000}"/>
    <cellStyle name="Style 26 5 2 3 3" xfId="39507" xr:uid="{00000000-0005-0000-0000-0000589A0000}"/>
    <cellStyle name="Style 26 5 2 3 3 2" xfId="39508" xr:uid="{00000000-0005-0000-0000-0000599A0000}"/>
    <cellStyle name="Style 26 5 2 3 3 3" xfId="39509" xr:uid="{00000000-0005-0000-0000-00005A9A0000}"/>
    <cellStyle name="Style 26 5 2 3 4" xfId="39510" xr:uid="{00000000-0005-0000-0000-00005B9A0000}"/>
    <cellStyle name="Style 26 5 2 3 4 2" xfId="39511" xr:uid="{00000000-0005-0000-0000-00005C9A0000}"/>
    <cellStyle name="Style 26 5 2 3 4 3" xfId="39512" xr:uid="{00000000-0005-0000-0000-00005D9A0000}"/>
    <cellStyle name="Style 26 5 2 3 5" xfId="39513" xr:uid="{00000000-0005-0000-0000-00005E9A0000}"/>
    <cellStyle name="Style 26 5 2 3 5 2" xfId="39514" xr:uid="{00000000-0005-0000-0000-00005F9A0000}"/>
    <cellStyle name="Style 26 5 2 3 5 3" xfId="39515" xr:uid="{00000000-0005-0000-0000-0000609A0000}"/>
    <cellStyle name="Style 26 5 2 3 6" xfId="39516" xr:uid="{00000000-0005-0000-0000-0000619A0000}"/>
    <cellStyle name="Style 26 5 2 3 7" xfId="39517" xr:uid="{00000000-0005-0000-0000-0000629A0000}"/>
    <cellStyle name="Style 26 5 2 3 8" xfId="39518" xr:uid="{00000000-0005-0000-0000-0000639A0000}"/>
    <cellStyle name="Style 26 5 2 4" xfId="39519" xr:uid="{00000000-0005-0000-0000-0000649A0000}"/>
    <cellStyle name="Style 26 5 2 4 2" xfId="39520" xr:uid="{00000000-0005-0000-0000-0000659A0000}"/>
    <cellStyle name="Style 26 5 2 4 2 2" xfId="39521" xr:uid="{00000000-0005-0000-0000-0000669A0000}"/>
    <cellStyle name="Style 26 5 2 4 2 3" xfId="39522" xr:uid="{00000000-0005-0000-0000-0000679A0000}"/>
    <cellStyle name="Style 26 5 2 4 3" xfId="39523" xr:uid="{00000000-0005-0000-0000-0000689A0000}"/>
    <cellStyle name="Style 26 5 2 4 3 2" xfId="39524" xr:uid="{00000000-0005-0000-0000-0000699A0000}"/>
    <cellStyle name="Style 26 5 2 4 3 3" xfId="39525" xr:uid="{00000000-0005-0000-0000-00006A9A0000}"/>
    <cellStyle name="Style 26 5 2 4 4" xfId="39526" xr:uid="{00000000-0005-0000-0000-00006B9A0000}"/>
    <cellStyle name="Style 26 5 2 4 5" xfId="39527" xr:uid="{00000000-0005-0000-0000-00006C9A0000}"/>
    <cellStyle name="Style 26 5 2 4 6" xfId="39528" xr:uid="{00000000-0005-0000-0000-00006D9A0000}"/>
    <cellStyle name="Style 26 5 2 5" xfId="39529" xr:uid="{00000000-0005-0000-0000-00006E9A0000}"/>
    <cellStyle name="Style 26 5 2 5 2" xfId="39530" xr:uid="{00000000-0005-0000-0000-00006F9A0000}"/>
    <cellStyle name="Style 26 5 2 5 3" xfId="39531" xr:uid="{00000000-0005-0000-0000-0000709A0000}"/>
    <cellStyle name="Style 26 5 2 6" xfId="39532" xr:uid="{00000000-0005-0000-0000-0000719A0000}"/>
    <cellStyle name="Style 26 5 2 6 2" xfId="39533" xr:uid="{00000000-0005-0000-0000-0000729A0000}"/>
    <cellStyle name="Style 26 5 2 6 3" xfId="39534" xr:uid="{00000000-0005-0000-0000-0000739A0000}"/>
    <cellStyle name="Style 26 5 2 7" xfId="39535" xr:uid="{00000000-0005-0000-0000-0000749A0000}"/>
    <cellStyle name="Style 26 5 2 7 2" xfId="39536" xr:uid="{00000000-0005-0000-0000-0000759A0000}"/>
    <cellStyle name="Style 26 5 2 7 3" xfId="39537" xr:uid="{00000000-0005-0000-0000-0000769A0000}"/>
    <cellStyle name="Style 26 5 2 8" xfId="39538" xr:uid="{00000000-0005-0000-0000-0000779A0000}"/>
    <cellStyle name="Style 26 5 2 9" xfId="39539" xr:uid="{00000000-0005-0000-0000-0000789A0000}"/>
    <cellStyle name="Style 26 5 3" xfId="39540" xr:uid="{00000000-0005-0000-0000-0000799A0000}"/>
    <cellStyle name="Style 26 5 3 2" xfId="39541" xr:uid="{00000000-0005-0000-0000-00007A9A0000}"/>
    <cellStyle name="Style 26 5 3 2 2" xfId="39542" xr:uid="{00000000-0005-0000-0000-00007B9A0000}"/>
    <cellStyle name="Style 26 5 3 2 2 2" xfId="39543" xr:uid="{00000000-0005-0000-0000-00007C9A0000}"/>
    <cellStyle name="Style 26 5 3 2 2 3" xfId="39544" xr:uid="{00000000-0005-0000-0000-00007D9A0000}"/>
    <cellStyle name="Style 26 5 3 2 3" xfId="39545" xr:uid="{00000000-0005-0000-0000-00007E9A0000}"/>
    <cellStyle name="Style 26 5 3 2 3 2" xfId="39546" xr:uid="{00000000-0005-0000-0000-00007F9A0000}"/>
    <cellStyle name="Style 26 5 3 2 3 3" xfId="39547" xr:uid="{00000000-0005-0000-0000-0000809A0000}"/>
    <cellStyle name="Style 26 5 3 2 4" xfId="39548" xr:uid="{00000000-0005-0000-0000-0000819A0000}"/>
    <cellStyle name="Style 26 5 3 2 5" xfId="39549" xr:uid="{00000000-0005-0000-0000-0000829A0000}"/>
    <cellStyle name="Style 26 5 3 2 6" xfId="39550" xr:uid="{00000000-0005-0000-0000-0000839A0000}"/>
    <cellStyle name="Style 26 5 3 3" xfId="39551" xr:uid="{00000000-0005-0000-0000-0000849A0000}"/>
    <cellStyle name="Style 26 5 3 3 2" xfId="39552" xr:uid="{00000000-0005-0000-0000-0000859A0000}"/>
    <cellStyle name="Style 26 5 3 3 3" xfId="39553" xr:uid="{00000000-0005-0000-0000-0000869A0000}"/>
    <cellStyle name="Style 26 5 3 4" xfId="39554" xr:uid="{00000000-0005-0000-0000-0000879A0000}"/>
    <cellStyle name="Style 26 5 3 4 2" xfId="39555" xr:uid="{00000000-0005-0000-0000-0000889A0000}"/>
    <cellStyle name="Style 26 5 3 4 3" xfId="39556" xr:uid="{00000000-0005-0000-0000-0000899A0000}"/>
    <cellStyle name="Style 26 5 3 5" xfId="39557" xr:uid="{00000000-0005-0000-0000-00008A9A0000}"/>
    <cellStyle name="Style 26 5 3 5 2" xfId="39558" xr:uid="{00000000-0005-0000-0000-00008B9A0000}"/>
    <cellStyle name="Style 26 5 3 5 3" xfId="39559" xr:uid="{00000000-0005-0000-0000-00008C9A0000}"/>
    <cellStyle name="Style 26 5 3 6" xfId="39560" xr:uid="{00000000-0005-0000-0000-00008D9A0000}"/>
    <cellStyle name="Style 26 5 3 7" xfId="39561" xr:uid="{00000000-0005-0000-0000-00008E9A0000}"/>
    <cellStyle name="Style 26 5 3 8" xfId="39562" xr:uid="{00000000-0005-0000-0000-00008F9A0000}"/>
    <cellStyle name="Style 26 5 4" xfId="39563" xr:uid="{00000000-0005-0000-0000-0000909A0000}"/>
    <cellStyle name="Style 26 5 4 2" xfId="39564" xr:uid="{00000000-0005-0000-0000-0000919A0000}"/>
    <cellStyle name="Style 26 5 4 2 2" xfId="39565" xr:uid="{00000000-0005-0000-0000-0000929A0000}"/>
    <cellStyle name="Style 26 5 4 2 2 2" xfId="39566" xr:uid="{00000000-0005-0000-0000-0000939A0000}"/>
    <cellStyle name="Style 26 5 4 2 2 3" xfId="39567" xr:uid="{00000000-0005-0000-0000-0000949A0000}"/>
    <cellStyle name="Style 26 5 4 2 3" xfId="39568" xr:uid="{00000000-0005-0000-0000-0000959A0000}"/>
    <cellStyle name="Style 26 5 4 2 3 2" xfId="39569" xr:uid="{00000000-0005-0000-0000-0000969A0000}"/>
    <cellStyle name="Style 26 5 4 2 3 3" xfId="39570" xr:uid="{00000000-0005-0000-0000-0000979A0000}"/>
    <cellStyle name="Style 26 5 4 2 4" xfId="39571" xr:uid="{00000000-0005-0000-0000-0000989A0000}"/>
    <cellStyle name="Style 26 5 4 2 5" xfId="39572" xr:uid="{00000000-0005-0000-0000-0000999A0000}"/>
    <cellStyle name="Style 26 5 4 2 6" xfId="39573" xr:uid="{00000000-0005-0000-0000-00009A9A0000}"/>
    <cellStyle name="Style 26 5 4 3" xfId="39574" xr:uid="{00000000-0005-0000-0000-00009B9A0000}"/>
    <cellStyle name="Style 26 5 4 3 2" xfId="39575" xr:uid="{00000000-0005-0000-0000-00009C9A0000}"/>
    <cellStyle name="Style 26 5 4 3 3" xfId="39576" xr:uid="{00000000-0005-0000-0000-00009D9A0000}"/>
    <cellStyle name="Style 26 5 4 4" xfId="39577" xr:uid="{00000000-0005-0000-0000-00009E9A0000}"/>
    <cellStyle name="Style 26 5 4 4 2" xfId="39578" xr:uid="{00000000-0005-0000-0000-00009F9A0000}"/>
    <cellStyle name="Style 26 5 4 4 3" xfId="39579" xr:uid="{00000000-0005-0000-0000-0000A09A0000}"/>
    <cellStyle name="Style 26 5 4 5" xfId="39580" xr:uid="{00000000-0005-0000-0000-0000A19A0000}"/>
    <cellStyle name="Style 26 5 4 5 2" xfId="39581" xr:uid="{00000000-0005-0000-0000-0000A29A0000}"/>
    <cellStyle name="Style 26 5 4 5 3" xfId="39582" xr:uid="{00000000-0005-0000-0000-0000A39A0000}"/>
    <cellStyle name="Style 26 5 4 6" xfId="39583" xr:uid="{00000000-0005-0000-0000-0000A49A0000}"/>
    <cellStyle name="Style 26 5 4 7" xfId="39584" xr:uid="{00000000-0005-0000-0000-0000A59A0000}"/>
    <cellStyle name="Style 26 5 4 8" xfId="39585" xr:uid="{00000000-0005-0000-0000-0000A69A0000}"/>
    <cellStyle name="Style 26 5 5" xfId="39586" xr:uid="{00000000-0005-0000-0000-0000A79A0000}"/>
    <cellStyle name="Style 26 5 5 2" xfId="39587" xr:uid="{00000000-0005-0000-0000-0000A89A0000}"/>
    <cellStyle name="Style 26 5 5 2 2" xfId="39588" xr:uid="{00000000-0005-0000-0000-0000A99A0000}"/>
    <cellStyle name="Style 26 5 5 2 2 2" xfId="39589" xr:uid="{00000000-0005-0000-0000-0000AA9A0000}"/>
    <cellStyle name="Style 26 5 5 2 2 3" xfId="39590" xr:uid="{00000000-0005-0000-0000-0000AB9A0000}"/>
    <cellStyle name="Style 26 5 5 2 3" xfId="39591" xr:uid="{00000000-0005-0000-0000-0000AC9A0000}"/>
    <cellStyle name="Style 26 5 5 2 3 2" xfId="39592" xr:uid="{00000000-0005-0000-0000-0000AD9A0000}"/>
    <cellStyle name="Style 26 5 5 2 3 3" xfId="39593" xr:uid="{00000000-0005-0000-0000-0000AE9A0000}"/>
    <cellStyle name="Style 26 5 5 2 4" xfId="39594" xr:uid="{00000000-0005-0000-0000-0000AF9A0000}"/>
    <cellStyle name="Style 26 5 5 2 5" xfId="39595" xr:uid="{00000000-0005-0000-0000-0000B09A0000}"/>
    <cellStyle name="Style 26 5 5 2 6" xfId="39596" xr:uid="{00000000-0005-0000-0000-0000B19A0000}"/>
    <cellStyle name="Style 26 5 5 3" xfId="39597" xr:uid="{00000000-0005-0000-0000-0000B29A0000}"/>
    <cellStyle name="Style 26 5 5 3 2" xfId="39598" xr:uid="{00000000-0005-0000-0000-0000B39A0000}"/>
    <cellStyle name="Style 26 5 5 3 3" xfId="39599" xr:uid="{00000000-0005-0000-0000-0000B49A0000}"/>
    <cellStyle name="Style 26 5 5 4" xfId="39600" xr:uid="{00000000-0005-0000-0000-0000B59A0000}"/>
    <cellStyle name="Style 26 5 5 4 2" xfId="39601" xr:uid="{00000000-0005-0000-0000-0000B69A0000}"/>
    <cellStyle name="Style 26 5 5 4 3" xfId="39602" xr:uid="{00000000-0005-0000-0000-0000B79A0000}"/>
    <cellStyle name="Style 26 5 5 5" xfId="39603" xr:uid="{00000000-0005-0000-0000-0000B89A0000}"/>
    <cellStyle name="Style 26 5 5 5 2" xfId="39604" xr:uid="{00000000-0005-0000-0000-0000B99A0000}"/>
    <cellStyle name="Style 26 5 5 5 3" xfId="39605" xr:uid="{00000000-0005-0000-0000-0000BA9A0000}"/>
    <cellStyle name="Style 26 5 5 6" xfId="39606" xr:uid="{00000000-0005-0000-0000-0000BB9A0000}"/>
    <cellStyle name="Style 26 5 5 7" xfId="39607" xr:uid="{00000000-0005-0000-0000-0000BC9A0000}"/>
    <cellStyle name="Style 26 5 5 8" xfId="39608" xr:uid="{00000000-0005-0000-0000-0000BD9A0000}"/>
    <cellStyle name="Style 26 5 6" xfId="39609" xr:uid="{00000000-0005-0000-0000-0000BE9A0000}"/>
    <cellStyle name="Style 26 5 6 2" xfId="39610" xr:uid="{00000000-0005-0000-0000-0000BF9A0000}"/>
    <cellStyle name="Style 26 5 6 2 2" xfId="39611" xr:uid="{00000000-0005-0000-0000-0000C09A0000}"/>
    <cellStyle name="Style 26 5 6 2 3" xfId="39612" xr:uid="{00000000-0005-0000-0000-0000C19A0000}"/>
    <cellStyle name="Style 26 5 6 3" xfId="39613" xr:uid="{00000000-0005-0000-0000-0000C29A0000}"/>
    <cellStyle name="Style 26 5 6 3 2" xfId="39614" xr:uid="{00000000-0005-0000-0000-0000C39A0000}"/>
    <cellStyle name="Style 26 5 6 3 3" xfId="39615" xr:uid="{00000000-0005-0000-0000-0000C49A0000}"/>
    <cellStyle name="Style 26 5 6 4" xfId="39616" xr:uid="{00000000-0005-0000-0000-0000C59A0000}"/>
    <cellStyle name="Style 26 5 6 5" xfId="39617" xr:uid="{00000000-0005-0000-0000-0000C69A0000}"/>
    <cellStyle name="Style 26 5 6 6" xfId="39618" xr:uid="{00000000-0005-0000-0000-0000C79A0000}"/>
    <cellStyle name="Style 26 5 7" xfId="39619" xr:uid="{00000000-0005-0000-0000-0000C89A0000}"/>
    <cellStyle name="Style 26 5 7 2" xfId="39620" xr:uid="{00000000-0005-0000-0000-0000C99A0000}"/>
    <cellStyle name="Style 26 5 7 3" xfId="39621" xr:uid="{00000000-0005-0000-0000-0000CA9A0000}"/>
    <cellStyle name="Style 26 5 8" xfId="39622" xr:uid="{00000000-0005-0000-0000-0000CB9A0000}"/>
    <cellStyle name="Style 26 5 8 2" xfId="39623" xr:uid="{00000000-0005-0000-0000-0000CC9A0000}"/>
    <cellStyle name="Style 26 5 8 3" xfId="39624" xr:uid="{00000000-0005-0000-0000-0000CD9A0000}"/>
    <cellStyle name="Style 26 5 9" xfId="39625" xr:uid="{00000000-0005-0000-0000-0000CE9A0000}"/>
    <cellStyle name="Style 26 5 9 2" xfId="39626" xr:uid="{00000000-0005-0000-0000-0000CF9A0000}"/>
    <cellStyle name="Style 26 5 9 3" xfId="39627" xr:uid="{00000000-0005-0000-0000-0000D09A0000}"/>
    <cellStyle name="Style 26 6" xfId="39628" xr:uid="{00000000-0005-0000-0000-0000D19A0000}"/>
    <cellStyle name="Style 26 6 10" xfId="39629" xr:uid="{00000000-0005-0000-0000-0000D29A0000}"/>
    <cellStyle name="Style 26 6 11" xfId="39630" xr:uid="{00000000-0005-0000-0000-0000D39A0000}"/>
    <cellStyle name="Style 26 6 12" xfId="39631" xr:uid="{00000000-0005-0000-0000-0000D49A0000}"/>
    <cellStyle name="Style 26 6 2" xfId="39632" xr:uid="{00000000-0005-0000-0000-0000D59A0000}"/>
    <cellStyle name="Style 26 6 2 10" xfId="39633" xr:uid="{00000000-0005-0000-0000-0000D69A0000}"/>
    <cellStyle name="Style 26 6 2 2" xfId="39634" xr:uid="{00000000-0005-0000-0000-0000D79A0000}"/>
    <cellStyle name="Style 26 6 2 2 2" xfId="39635" xr:uid="{00000000-0005-0000-0000-0000D89A0000}"/>
    <cellStyle name="Style 26 6 2 2 2 2" xfId="39636" xr:uid="{00000000-0005-0000-0000-0000D99A0000}"/>
    <cellStyle name="Style 26 6 2 2 2 2 2" xfId="39637" xr:uid="{00000000-0005-0000-0000-0000DA9A0000}"/>
    <cellStyle name="Style 26 6 2 2 2 2 3" xfId="39638" xr:uid="{00000000-0005-0000-0000-0000DB9A0000}"/>
    <cellStyle name="Style 26 6 2 2 2 3" xfId="39639" xr:uid="{00000000-0005-0000-0000-0000DC9A0000}"/>
    <cellStyle name="Style 26 6 2 2 2 3 2" xfId="39640" xr:uid="{00000000-0005-0000-0000-0000DD9A0000}"/>
    <cellStyle name="Style 26 6 2 2 2 3 3" xfId="39641" xr:uid="{00000000-0005-0000-0000-0000DE9A0000}"/>
    <cellStyle name="Style 26 6 2 2 2 4" xfId="39642" xr:uid="{00000000-0005-0000-0000-0000DF9A0000}"/>
    <cellStyle name="Style 26 6 2 2 2 5" xfId="39643" xr:uid="{00000000-0005-0000-0000-0000E09A0000}"/>
    <cellStyle name="Style 26 6 2 2 2 6" xfId="39644" xr:uid="{00000000-0005-0000-0000-0000E19A0000}"/>
    <cellStyle name="Style 26 6 2 2 3" xfId="39645" xr:uid="{00000000-0005-0000-0000-0000E29A0000}"/>
    <cellStyle name="Style 26 6 2 2 3 2" xfId="39646" xr:uid="{00000000-0005-0000-0000-0000E39A0000}"/>
    <cellStyle name="Style 26 6 2 2 3 3" xfId="39647" xr:uid="{00000000-0005-0000-0000-0000E49A0000}"/>
    <cellStyle name="Style 26 6 2 2 4" xfId="39648" xr:uid="{00000000-0005-0000-0000-0000E59A0000}"/>
    <cellStyle name="Style 26 6 2 2 4 2" xfId="39649" xr:uid="{00000000-0005-0000-0000-0000E69A0000}"/>
    <cellStyle name="Style 26 6 2 2 4 3" xfId="39650" xr:uid="{00000000-0005-0000-0000-0000E79A0000}"/>
    <cellStyle name="Style 26 6 2 2 5" xfId="39651" xr:uid="{00000000-0005-0000-0000-0000E89A0000}"/>
    <cellStyle name="Style 26 6 2 2 5 2" xfId="39652" xr:uid="{00000000-0005-0000-0000-0000E99A0000}"/>
    <cellStyle name="Style 26 6 2 2 5 3" xfId="39653" xr:uid="{00000000-0005-0000-0000-0000EA9A0000}"/>
    <cellStyle name="Style 26 6 2 2 6" xfId="39654" xr:uid="{00000000-0005-0000-0000-0000EB9A0000}"/>
    <cellStyle name="Style 26 6 2 2 7" xfId="39655" xr:uid="{00000000-0005-0000-0000-0000EC9A0000}"/>
    <cellStyle name="Style 26 6 2 2 8" xfId="39656" xr:uid="{00000000-0005-0000-0000-0000ED9A0000}"/>
    <cellStyle name="Style 26 6 2 3" xfId="39657" xr:uid="{00000000-0005-0000-0000-0000EE9A0000}"/>
    <cellStyle name="Style 26 6 2 3 2" xfId="39658" xr:uid="{00000000-0005-0000-0000-0000EF9A0000}"/>
    <cellStyle name="Style 26 6 2 3 2 2" xfId="39659" xr:uid="{00000000-0005-0000-0000-0000F09A0000}"/>
    <cellStyle name="Style 26 6 2 3 2 2 2" xfId="39660" xr:uid="{00000000-0005-0000-0000-0000F19A0000}"/>
    <cellStyle name="Style 26 6 2 3 2 2 3" xfId="39661" xr:uid="{00000000-0005-0000-0000-0000F29A0000}"/>
    <cellStyle name="Style 26 6 2 3 2 3" xfId="39662" xr:uid="{00000000-0005-0000-0000-0000F39A0000}"/>
    <cellStyle name="Style 26 6 2 3 2 3 2" xfId="39663" xr:uid="{00000000-0005-0000-0000-0000F49A0000}"/>
    <cellStyle name="Style 26 6 2 3 2 3 3" xfId="39664" xr:uid="{00000000-0005-0000-0000-0000F59A0000}"/>
    <cellStyle name="Style 26 6 2 3 2 4" xfId="39665" xr:uid="{00000000-0005-0000-0000-0000F69A0000}"/>
    <cellStyle name="Style 26 6 2 3 2 5" xfId="39666" xr:uid="{00000000-0005-0000-0000-0000F79A0000}"/>
    <cellStyle name="Style 26 6 2 3 2 6" xfId="39667" xr:uid="{00000000-0005-0000-0000-0000F89A0000}"/>
    <cellStyle name="Style 26 6 2 3 3" xfId="39668" xr:uid="{00000000-0005-0000-0000-0000F99A0000}"/>
    <cellStyle name="Style 26 6 2 3 3 2" xfId="39669" xr:uid="{00000000-0005-0000-0000-0000FA9A0000}"/>
    <cellStyle name="Style 26 6 2 3 3 3" xfId="39670" xr:uid="{00000000-0005-0000-0000-0000FB9A0000}"/>
    <cellStyle name="Style 26 6 2 3 4" xfId="39671" xr:uid="{00000000-0005-0000-0000-0000FC9A0000}"/>
    <cellStyle name="Style 26 6 2 3 4 2" xfId="39672" xr:uid="{00000000-0005-0000-0000-0000FD9A0000}"/>
    <cellStyle name="Style 26 6 2 3 4 3" xfId="39673" xr:uid="{00000000-0005-0000-0000-0000FE9A0000}"/>
    <cellStyle name="Style 26 6 2 3 5" xfId="39674" xr:uid="{00000000-0005-0000-0000-0000FF9A0000}"/>
    <cellStyle name="Style 26 6 2 3 5 2" xfId="39675" xr:uid="{00000000-0005-0000-0000-0000009B0000}"/>
    <cellStyle name="Style 26 6 2 3 5 3" xfId="39676" xr:uid="{00000000-0005-0000-0000-0000019B0000}"/>
    <cellStyle name="Style 26 6 2 3 6" xfId="39677" xr:uid="{00000000-0005-0000-0000-0000029B0000}"/>
    <cellStyle name="Style 26 6 2 3 7" xfId="39678" xr:uid="{00000000-0005-0000-0000-0000039B0000}"/>
    <cellStyle name="Style 26 6 2 3 8" xfId="39679" xr:uid="{00000000-0005-0000-0000-0000049B0000}"/>
    <cellStyle name="Style 26 6 2 4" xfId="39680" xr:uid="{00000000-0005-0000-0000-0000059B0000}"/>
    <cellStyle name="Style 26 6 2 4 2" xfId="39681" xr:uid="{00000000-0005-0000-0000-0000069B0000}"/>
    <cellStyle name="Style 26 6 2 4 2 2" xfId="39682" xr:uid="{00000000-0005-0000-0000-0000079B0000}"/>
    <cellStyle name="Style 26 6 2 4 2 3" xfId="39683" xr:uid="{00000000-0005-0000-0000-0000089B0000}"/>
    <cellStyle name="Style 26 6 2 4 3" xfId="39684" xr:uid="{00000000-0005-0000-0000-0000099B0000}"/>
    <cellStyle name="Style 26 6 2 4 3 2" xfId="39685" xr:uid="{00000000-0005-0000-0000-00000A9B0000}"/>
    <cellStyle name="Style 26 6 2 4 3 3" xfId="39686" xr:uid="{00000000-0005-0000-0000-00000B9B0000}"/>
    <cellStyle name="Style 26 6 2 4 4" xfId="39687" xr:uid="{00000000-0005-0000-0000-00000C9B0000}"/>
    <cellStyle name="Style 26 6 2 4 5" xfId="39688" xr:uid="{00000000-0005-0000-0000-00000D9B0000}"/>
    <cellStyle name="Style 26 6 2 4 6" xfId="39689" xr:uid="{00000000-0005-0000-0000-00000E9B0000}"/>
    <cellStyle name="Style 26 6 2 5" xfId="39690" xr:uid="{00000000-0005-0000-0000-00000F9B0000}"/>
    <cellStyle name="Style 26 6 2 5 2" xfId="39691" xr:uid="{00000000-0005-0000-0000-0000109B0000}"/>
    <cellStyle name="Style 26 6 2 5 3" xfId="39692" xr:uid="{00000000-0005-0000-0000-0000119B0000}"/>
    <cellStyle name="Style 26 6 2 6" xfId="39693" xr:uid="{00000000-0005-0000-0000-0000129B0000}"/>
    <cellStyle name="Style 26 6 2 6 2" xfId="39694" xr:uid="{00000000-0005-0000-0000-0000139B0000}"/>
    <cellStyle name="Style 26 6 2 6 3" xfId="39695" xr:uid="{00000000-0005-0000-0000-0000149B0000}"/>
    <cellStyle name="Style 26 6 2 7" xfId="39696" xr:uid="{00000000-0005-0000-0000-0000159B0000}"/>
    <cellStyle name="Style 26 6 2 7 2" xfId="39697" xr:uid="{00000000-0005-0000-0000-0000169B0000}"/>
    <cellStyle name="Style 26 6 2 7 3" xfId="39698" xr:uid="{00000000-0005-0000-0000-0000179B0000}"/>
    <cellStyle name="Style 26 6 2 8" xfId="39699" xr:uid="{00000000-0005-0000-0000-0000189B0000}"/>
    <cellStyle name="Style 26 6 2 9" xfId="39700" xr:uid="{00000000-0005-0000-0000-0000199B0000}"/>
    <cellStyle name="Style 26 6 3" xfId="39701" xr:uid="{00000000-0005-0000-0000-00001A9B0000}"/>
    <cellStyle name="Style 26 6 3 2" xfId="39702" xr:uid="{00000000-0005-0000-0000-00001B9B0000}"/>
    <cellStyle name="Style 26 6 3 2 2" xfId="39703" xr:uid="{00000000-0005-0000-0000-00001C9B0000}"/>
    <cellStyle name="Style 26 6 3 2 2 2" xfId="39704" xr:uid="{00000000-0005-0000-0000-00001D9B0000}"/>
    <cellStyle name="Style 26 6 3 2 2 3" xfId="39705" xr:uid="{00000000-0005-0000-0000-00001E9B0000}"/>
    <cellStyle name="Style 26 6 3 2 3" xfId="39706" xr:uid="{00000000-0005-0000-0000-00001F9B0000}"/>
    <cellStyle name="Style 26 6 3 2 3 2" xfId="39707" xr:uid="{00000000-0005-0000-0000-0000209B0000}"/>
    <cellStyle name="Style 26 6 3 2 3 3" xfId="39708" xr:uid="{00000000-0005-0000-0000-0000219B0000}"/>
    <cellStyle name="Style 26 6 3 2 4" xfId="39709" xr:uid="{00000000-0005-0000-0000-0000229B0000}"/>
    <cellStyle name="Style 26 6 3 2 5" xfId="39710" xr:uid="{00000000-0005-0000-0000-0000239B0000}"/>
    <cellStyle name="Style 26 6 3 2 6" xfId="39711" xr:uid="{00000000-0005-0000-0000-0000249B0000}"/>
    <cellStyle name="Style 26 6 3 3" xfId="39712" xr:uid="{00000000-0005-0000-0000-0000259B0000}"/>
    <cellStyle name="Style 26 6 3 3 2" xfId="39713" xr:uid="{00000000-0005-0000-0000-0000269B0000}"/>
    <cellStyle name="Style 26 6 3 3 3" xfId="39714" xr:uid="{00000000-0005-0000-0000-0000279B0000}"/>
    <cellStyle name="Style 26 6 3 4" xfId="39715" xr:uid="{00000000-0005-0000-0000-0000289B0000}"/>
    <cellStyle name="Style 26 6 3 4 2" xfId="39716" xr:uid="{00000000-0005-0000-0000-0000299B0000}"/>
    <cellStyle name="Style 26 6 3 4 3" xfId="39717" xr:uid="{00000000-0005-0000-0000-00002A9B0000}"/>
    <cellStyle name="Style 26 6 3 5" xfId="39718" xr:uid="{00000000-0005-0000-0000-00002B9B0000}"/>
    <cellStyle name="Style 26 6 3 5 2" xfId="39719" xr:uid="{00000000-0005-0000-0000-00002C9B0000}"/>
    <cellStyle name="Style 26 6 3 5 3" xfId="39720" xr:uid="{00000000-0005-0000-0000-00002D9B0000}"/>
    <cellStyle name="Style 26 6 3 6" xfId="39721" xr:uid="{00000000-0005-0000-0000-00002E9B0000}"/>
    <cellStyle name="Style 26 6 3 7" xfId="39722" xr:uid="{00000000-0005-0000-0000-00002F9B0000}"/>
    <cellStyle name="Style 26 6 3 8" xfId="39723" xr:uid="{00000000-0005-0000-0000-0000309B0000}"/>
    <cellStyle name="Style 26 6 4" xfId="39724" xr:uid="{00000000-0005-0000-0000-0000319B0000}"/>
    <cellStyle name="Style 26 6 4 2" xfId="39725" xr:uid="{00000000-0005-0000-0000-0000329B0000}"/>
    <cellStyle name="Style 26 6 4 2 2" xfId="39726" xr:uid="{00000000-0005-0000-0000-0000339B0000}"/>
    <cellStyle name="Style 26 6 4 2 2 2" xfId="39727" xr:uid="{00000000-0005-0000-0000-0000349B0000}"/>
    <cellStyle name="Style 26 6 4 2 2 3" xfId="39728" xr:uid="{00000000-0005-0000-0000-0000359B0000}"/>
    <cellStyle name="Style 26 6 4 2 3" xfId="39729" xr:uid="{00000000-0005-0000-0000-0000369B0000}"/>
    <cellStyle name="Style 26 6 4 2 3 2" xfId="39730" xr:uid="{00000000-0005-0000-0000-0000379B0000}"/>
    <cellStyle name="Style 26 6 4 2 3 3" xfId="39731" xr:uid="{00000000-0005-0000-0000-0000389B0000}"/>
    <cellStyle name="Style 26 6 4 2 4" xfId="39732" xr:uid="{00000000-0005-0000-0000-0000399B0000}"/>
    <cellStyle name="Style 26 6 4 2 5" xfId="39733" xr:uid="{00000000-0005-0000-0000-00003A9B0000}"/>
    <cellStyle name="Style 26 6 4 2 6" xfId="39734" xr:uid="{00000000-0005-0000-0000-00003B9B0000}"/>
    <cellStyle name="Style 26 6 4 3" xfId="39735" xr:uid="{00000000-0005-0000-0000-00003C9B0000}"/>
    <cellStyle name="Style 26 6 4 3 2" xfId="39736" xr:uid="{00000000-0005-0000-0000-00003D9B0000}"/>
    <cellStyle name="Style 26 6 4 3 3" xfId="39737" xr:uid="{00000000-0005-0000-0000-00003E9B0000}"/>
    <cellStyle name="Style 26 6 4 4" xfId="39738" xr:uid="{00000000-0005-0000-0000-00003F9B0000}"/>
    <cellStyle name="Style 26 6 4 4 2" xfId="39739" xr:uid="{00000000-0005-0000-0000-0000409B0000}"/>
    <cellStyle name="Style 26 6 4 4 3" xfId="39740" xr:uid="{00000000-0005-0000-0000-0000419B0000}"/>
    <cellStyle name="Style 26 6 4 5" xfId="39741" xr:uid="{00000000-0005-0000-0000-0000429B0000}"/>
    <cellStyle name="Style 26 6 4 5 2" xfId="39742" xr:uid="{00000000-0005-0000-0000-0000439B0000}"/>
    <cellStyle name="Style 26 6 4 5 3" xfId="39743" xr:uid="{00000000-0005-0000-0000-0000449B0000}"/>
    <cellStyle name="Style 26 6 4 6" xfId="39744" xr:uid="{00000000-0005-0000-0000-0000459B0000}"/>
    <cellStyle name="Style 26 6 4 7" xfId="39745" xr:uid="{00000000-0005-0000-0000-0000469B0000}"/>
    <cellStyle name="Style 26 6 4 8" xfId="39746" xr:uid="{00000000-0005-0000-0000-0000479B0000}"/>
    <cellStyle name="Style 26 6 5" xfId="39747" xr:uid="{00000000-0005-0000-0000-0000489B0000}"/>
    <cellStyle name="Style 26 6 5 2" xfId="39748" xr:uid="{00000000-0005-0000-0000-0000499B0000}"/>
    <cellStyle name="Style 26 6 5 2 2" xfId="39749" xr:uid="{00000000-0005-0000-0000-00004A9B0000}"/>
    <cellStyle name="Style 26 6 5 2 2 2" xfId="39750" xr:uid="{00000000-0005-0000-0000-00004B9B0000}"/>
    <cellStyle name="Style 26 6 5 2 2 3" xfId="39751" xr:uid="{00000000-0005-0000-0000-00004C9B0000}"/>
    <cellStyle name="Style 26 6 5 2 3" xfId="39752" xr:uid="{00000000-0005-0000-0000-00004D9B0000}"/>
    <cellStyle name="Style 26 6 5 2 3 2" xfId="39753" xr:uid="{00000000-0005-0000-0000-00004E9B0000}"/>
    <cellStyle name="Style 26 6 5 2 3 3" xfId="39754" xr:uid="{00000000-0005-0000-0000-00004F9B0000}"/>
    <cellStyle name="Style 26 6 5 2 4" xfId="39755" xr:uid="{00000000-0005-0000-0000-0000509B0000}"/>
    <cellStyle name="Style 26 6 5 2 5" xfId="39756" xr:uid="{00000000-0005-0000-0000-0000519B0000}"/>
    <cellStyle name="Style 26 6 5 2 6" xfId="39757" xr:uid="{00000000-0005-0000-0000-0000529B0000}"/>
    <cellStyle name="Style 26 6 5 3" xfId="39758" xr:uid="{00000000-0005-0000-0000-0000539B0000}"/>
    <cellStyle name="Style 26 6 5 3 2" xfId="39759" xr:uid="{00000000-0005-0000-0000-0000549B0000}"/>
    <cellStyle name="Style 26 6 5 3 3" xfId="39760" xr:uid="{00000000-0005-0000-0000-0000559B0000}"/>
    <cellStyle name="Style 26 6 5 4" xfId="39761" xr:uid="{00000000-0005-0000-0000-0000569B0000}"/>
    <cellStyle name="Style 26 6 5 4 2" xfId="39762" xr:uid="{00000000-0005-0000-0000-0000579B0000}"/>
    <cellStyle name="Style 26 6 5 4 3" xfId="39763" xr:uid="{00000000-0005-0000-0000-0000589B0000}"/>
    <cellStyle name="Style 26 6 5 5" xfId="39764" xr:uid="{00000000-0005-0000-0000-0000599B0000}"/>
    <cellStyle name="Style 26 6 5 5 2" xfId="39765" xr:uid="{00000000-0005-0000-0000-00005A9B0000}"/>
    <cellStyle name="Style 26 6 5 5 3" xfId="39766" xr:uid="{00000000-0005-0000-0000-00005B9B0000}"/>
    <cellStyle name="Style 26 6 5 6" xfId="39767" xr:uid="{00000000-0005-0000-0000-00005C9B0000}"/>
    <cellStyle name="Style 26 6 5 7" xfId="39768" xr:uid="{00000000-0005-0000-0000-00005D9B0000}"/>
    <cellStyle name="Style 26 6 5 8" xfId="39769" xr:uid="{00000000-0005-0000-0000-00005E9B0000}"/>
    <cellStyle name="Style 26 6 6" xfId="39770" xr:uid="{00000000-0005-0000-0000-00005F9B0000}"/>
    <cellStyle name="Style 26 6 6 2" xfId="39771" xr:uid="{00000000-0005-0000-0000-0000609B0000}"/>
    <cellStyle name="Style 26 6 6 2 2" xfId="39772" xr:uid="{00000000-0005-0000-0000-0000619B0000}"/>
    <cellStyle name="Style 26 6 6 2 3" xfId="39773" xr:uid="{00000000-0005-0000-0000-0000629B0000}"/>
    <cellStyle name="Style 26 6 6 3" xfId="39774" xr:uid="{00000000-0005-0000-0000-0000639B0000}"/>
    <cellStyle name="Style 26 6 6 3 2" xfId="39775" xr:uid="{00000000-0005-0000-0000-0000649B0000}"/>
    <cellStyle name="Style 26 6 6 3 3" xfId="39776" xr:uid="{00000000-0005-0000-0000-0000659B0000}"/>
    <cellStyle name="Style 26 6 6 4" xfId="39777" xr:uid="{00000000-0005-0000-0000-0000669B0000}"/>
    <cellStyle name="Style 26 6 6 5" xfId="39778" xr:uid="{00000000-0005-0000-0000-0000679B0000}"/>
    <cellStyle name="Style 26 6 6 6" xfId="39779" xr:uid="{00000000-0005-0000-0000-0000689B0000}"/>
    <cellStyle name="Style 26 6 7" xfId="39780" xr:uid="{00000000-0005-0000-0000-0000699B0000}"/>
    <cellStyle name="Style 26 6 7 2" xfId="39781" xr:uid="{00000000-0005-0000-0000-00006A9B0000}"/>
    <cellStyle name="Style 26 6 7 3" xfId="39782" xr:uid="{00000000-0005-0000-0000-00006B9B0000}"/>
    <cellStyle name="Style 26 6 8" xfId="39783" xr:uid="{00000000-0005-0000-0000-00006C9B0000}"/>
    <cellStyle name="Style 26 6 8 2" xfId="39784" xr:uid="{00000000-0005-0000-0000-00006D9B0000}"/>
    <cellStyle name="Style 26 6 8 3" xfId="39785" xr:uid="{00000000-0005-0000-0000-00006E9B0000}"/>
    <cellStyle name="Style 26 6 9" xfId="39786" xr:uid="{00000000-0005-0000-0000-00006F9B0000}"/>
    <cellStyle name="Style 26 6 9 2" xfId="39787" xr:uid="{00000000-0005-0000-0000-0000709B0000}"/>
    <cellStyle name="Style 26 6 9 3" xfId="39788" xr:uid="{00000000-0005-0000-0000-0000719B0000}"/>
    <cellStyle name="Style 26 7" xfId="39789" xr:uid="{00000000-0005-0000-0000-0000729B0000}"/>
    <cellStyle name="Style 26 7 10" xfId="39790" xr:uid="{00000000-0005-0000-0000-0000739B0000}"/>
    <cellStyle name="Style 26 7 11" xfId="39791" xr:uid="{00000000-0005-0000-0000-0000749B0000}"/>
    <cellStyle name="Style 26 7 12" xfId="39792" xr:uid="{00000000-0005-0000-0000-0000759B0000}"/>
    <cellStyle name="Style 26 7 2" xfId="39793" xr:uid="{00000000-0005-0000-0000-0000769B0000}"/>
    <cellStyle name="Style 26 7 2 10" xfId="39794" xr:uid="{00000000-0005-0000-0000-0000779B0000}"/>
    <cellStyle name="Style 26 7 2 2" xfId="39795" xr:uid="{00000000-0005-0000-0000-0000789B0000}"/>
    <cellStyle name="Style 26 7 2 2 2" xfId="39796" xr:uid="{00000000-0005-0000-0000-0000799B0000}"/>
    <cellStyle name="Style 26 7 2 2 2 2" xfId="39797" xr:uid="{00000000-0005-0000-0000-00007A9B0000}"/>
    <cellStyle name="Style 26 7 2 2 2 2 2" xfId="39798" xr:uid="{00000000-0005-0000-0000-00007B9B0000}"/>
    <cellStyle name="Style 26 7 2 2 2 2 3" xfId="39799" xr:uid="{00000000-0005-0000-0000-00007C9B0000}"/>
    <cellStyle name="Style 26 7 2 2 2 3" xfId="39800" xr:uid="{00000000-0005-0000-0000-00007D9B0000}"/>
    <cellStyle name="Style 26 7 2 2 2 3 2" xfId="39801" xr:uid="{00000000-0005-0000-0000-00007E9B0000}"/>
    <cellStyle name="Style 26 7 2 2 2 3 3" xfId="39802" xr:uid="{00000000-0005-0000-0000-00007F9B0000}"/>
    <cellStyle name="Style 26 7 2 2 2 4" xfId="39803" xr:uid="{00000000-0005-0000-0000-0000809B0000}"/>
    <cellStyle name="Style 26 7 2 2 2 5" xfId="39804" xr:uid="{00000000-0005-0000-0000-0000819B0000}"/>
    <cellStyle name="Style 26 7 2 2 2 6" xfId="39805" xr:uid="{00000000-0005-0000-0000-0000829B0000}"/>
    <cellStyle name="Style 26 7 2 2 3" xfId="39806" xr:uid="{00000000-0005-0000-0000-0000839B0000}"/>
    <cellStyle name="Style 26 7 2 2 3 2" xfId="39807" xr:uid="{00000000-0005-0000-0000-0000849B0000}"/>
    <cellStyle name="Style 26 7 2 2 3 3" xfId="39808" xr:uid="{00000000-0005-0000-0000-0000859B0000}"/>
    <cellStyle name="Style 26 7 2 2 4" xfId="39809" xr:uid="{00000000-0005-0000-0000-0000869B0000}"/>
    <cellStyle name="Style 26 7 2 2 4 2" xfId="39810" xr:uid="{00000000-0005-0000-0000-0000879B0000}"/>
    <cellStyle name="Style 26 7 2 2 4 3" xfId="39811" xr:uid="{00000000-0005-0000-0000-0000889B0000}"/>
    <cellStyle name="Style 26 7 2 2 5" xfId="39812" xr:uid="{00000000-0005-0000-0000-0000899B0000}"/>
    <cellStyle name="Style 26 7 2 2 5 2" xfId="39813" xr:uid="{00000000-0005-0000-0000-00008A9B0000}"/>
    <cellStyle name="Style 26 7 2 2 5 3" xfId="39814" xr:uid="{00000000-0005-0000-0000-00008B9B0000}"/>
    <cellStyle name="Style 26 7 2 2 6" xfId="39815" xr:uid="{00000000-0005-0000-0000-00008C9B0000}"/>
    <cellStyle name="Style 26 7 2 2 7" xfId="39816" xr:uid="{00000000-0005-0000-0000-00008D9B0000}"/>
    <cellStyle name="Style 26 7 2 2 8" xfId="39817" xr:uid="{00000000-0005-0000-0000-00008E9B0000}"/>
    <cellStyle name="Style 26 7 2 3" xfId="39818" xr:uid="{00000000-0005-0000-0000-00008F9B0000}"/>
    <cellStyle name="Style 26 7 2 3 2" xfId="39819" xr:uid="{00000000-0005-0000-0000-0000909B0000}"/>
    <cellStyle name="Style 26 7 2 3 2 2" xfId="39820" xr:uid="{00000000-0005-0000-0000-0000919B0000}"/>
    <cellStyle name="Style 26 7 2 3 2 2 2" xfId="39821" xr:uid="{00000000-0005-0000-0000-0000929B0000}"/>
    <cellStyle name="Style 26 7 2 3 2 2 3" xfId="39822" xr:uid="{00000000-0005-0000-0000-0000939B0000}"/>
    <cellStyle name="Style 26 7 2 3 2 3" xfId="39823" xr:uid="{00000000-0005-0000-0000-0000949B0000}"/>
    <cellStyle name="Style 26 7 2 3 2 3 2" xfId="39824" xr:uid="{00000000-0005-0000-0000-0000959B0000}"/>
    <cellStyle name="Style 26 7 2 3 2 3 3" xfId="39825" xr:uid="{00000000-0005-0000-0000-0000969B0000}"/>
    <cellStyle name="Style 26 7 2 3 2 4" xfId="39826" xr:uid="{00000000-0005-0000-0000-0000979B0000}"/>
    <cellStyle name="Style 26 7 2 3 2 5" xfId="39827" xr:uid="{00000000-0005-0000-0000-0000989B0000}"/>
    <cellStyle name="Style 26 7 2 3 2 6" xfId="39828" xr:uid="{00000000-0005-0000-0000-0000999B0000}"/>
    <cellStyle name="Style 26 7 2 3 3" xfId="39829" xr:uid="{00000000-0005-0000-0000-00009A9B0000}"/>
    <cellStyle name="Style 26 7 2 3 3 2" xfId="39830" xr:uid="{00000000-0005-0000-0000-00009B9B0000}"/>
    <cellStyle name="Style 26 7 2 3 3 3" xfId="39831" xr:uid="{00000000-0005-0000-0000-00009C9B0000}"/>
    <cellStyle name="Style 26 7 2 3 4" xfId="39832" xr:uid="{00000000-0005-0000-0000-00009D9B0000}"/>
    <cellStyle name="Style 26 7 2 3 4 2" xfId="39833" xr:uid="{00000000-0005-0000-0000-00009E9B0000}"/>
    <cellStyle name="Style 26 7 2 3 4 3" xfId="39834" xr:uid="{00000000-0005-0000-0000-00009F9B0000}"/>
    <cellStyle name="Style 26 7 2 3 5" xfId="39835" xr:uid="{00000000-0005-0000-0000-0000A09B0000}"/>
    <cellStyle name="Style 26 7 2 3 5 2" xfId="39836" xr:uid="{00000000-0005-0000-0000-0000A19B0000}"/>
    <cellStyle name="Style 26 7 2 3 5 3" xfId="39837" xr:uid="{00000000-0005-0000-0000-0000A29B0000}"/>
    <cellStyle name="Style 26 7 2 3 6" xfId="39838" xr:uid="{00000000-0005-0000-0000-0000A39B0000}"/>
    <cellStyle name="Style 26 7 2 3 7" xfId="39839" xr:uid="{00000000-0005-0000-0000-0000A49B0000}"/>
    <cellStyle name="Style 26 7 2 3 8" xfId="39840" xr:uid="{00000000-0005-0000-0000-0000A59B0000}"/>
    <cellStyle name="Style 26 7 2 4" xfId="39841" xr:uid="{00000000-0005-0000-0000-0000A69B0000}"/>
    <cellStyle name="Style 26 7 2 4 2" xfId="39842" xr:uid="{00000000-0005-0000-0000-0000A79B0000}"/>
    <cellStyle name="Style 26 7 2 4 2 2" xfId="39843" xr:uid="{00000000-0005-0000-0000-0000A89B0000}"/>
    <cellStyle name="Style 26 7 2 4 2 3" xfId="39844" xr:uid="{00000000-0005-0000-0000-0000A99B0000}"/>
    <cellStyle name="Style 26 7 2 4 3" xfId="39845" xr:uid="{00000000-0005-0000-0000-0000AA9B0000}"/>
    <cellStyle name="Style 26 7 2 4 3 2" xfId="39846" xr:uid="{00000000-0005-0000-0000-0000AB9B0000}"/>
    <cellStyle name="Style 26 7 2 4 3 3" xfId="39847" xr:uid="{00000000-0005-0000-0000-0000AC9B0000}"/>
    <cellStyle name="Style 26 7 2 4 4" xfId="39848" xr:uid="{00000000-0005-0000-0000-0000AD9B0000}"/>
    <cellStyle name="Style 26 7 2 4 5" xfId="39849" xr:uid="{00000000-0005-0000-0000-0000AE9B0000}"/>
    <cellStyle name="Style 26 7 2 4 6" xfId="39850" xr:uid="{00000000-0005-0000-0000-0000AF9B0000}"/>
    <cellStyle name="Style 26 7 2 5" xfId="39851" xr:uid="{00000000-0005-0000-0000-0000B09B0000}"/>
    <cellStyle name="Style 26 7 2 5 2" xfId="39852" xr:uid="{00000000-0005-0000-0000-0000B19B0000}"/>
    <cellStyle name="Style 26 7 2 5 3" xfId="39853" xr:uid="{00000000-0005-0000-0000-0000B29B0000}"/>
    <cellStyle name="Style 26 7 2 6" xfId="39854" xr:uid="{00000000-0005-0000-0000-0000B39B0000}"/>
    <cellStyle name="Style 26 7 2 6 2" xfId="39855" xr:uid="{00000000-0005-0000-0000-0000B49B0000}"/>
    <cellStyle name="Style 26 7 2 6 3" xfId="39856" xr:uid="{00000000-0005-0000-0000-0000B59B0000}"/>
    <cellStyle name="Style 26 7 2 7" xfId="39857" xr:uid="{00000000-0005-0000-0000-0000B69B0000}"/>
    <cellStyle name="Style 26 7 2 7 2" xfId="39858" xr:uid="{00000000-0005-0000-0000-0000B79B0000}"/>
    <cellStyle name="Style 26 7 2 7 3" xfId="39859" xr:uid="{00000000-0005-0000-0000-0000B89B0000}"/>
    <cellStyle name="Style 26 7 2 8" xfId="39860" xr:uid="{00000000-0005-0000-0000-0000B99B0000}"/>
    <cellStyle name="Style 26 7 2 9" xfId="39861" xr:uid="{00000000-0005-0000-0000-0000BA9B0000}"/>
    <cellStyle name="Style 26 7 3" xfId="39862" xr:uid="{00000000-0005-0000-0000-0000BB9B0000}"/>
    <cellStyle name="Style 26 7 3 2" xfId="39863" xr:uid="{00000000-0005-0000-0000-0000BC9B0000}"/>
    <cellStyle name="Style 26 7 3 2 2" xfId="39864" xr:uid="{00000000-0005-0000-0000-0000BD9B0000}"/>
    <cellStyle name="Style 26 7 3 2 2 2" xfId="39865" xr:uid="{00000000-0005-0000-0000-0000BE9B0000}"/>
    <cellStyle name="Style 26 7 3 2 2 3" xfId="39866" xr:uid="{00000000-0005-0000-0000-0000BF9B0000}"/>
    <cellStyle name="Style 26 7 3 2 3" xfId="39867" xr:uid="{00000000-0005-0000-0000-0000C09B0000}"/>
    <cellStyle name="Style 26 7 3 2 3 2" xfId="39868" xr:uid="{00000000-0005-0000-0000-0000C19B0000}"/>
    <cellStyle name="Style 26 7 3 2 3 3" xfId="39869" xr:uid="{00000000-0005-0000-0000-0000C29B0000}"/>
    <cellStyle name="Style 26 7 3 2 4" xfId="39870" xr:uid="{00000000-0005-0000-0000-0000C39B0000}"/>
    <cellStyle name="Style 26 7 3 2 5" xfId="39871" xr:uid="{00000000-0005-0000-0000-0000C49B0000}"/>
    <cellStyle name="Style 26 7 3 2 6" xfId="39872" xr:uid="{00000000-0005-0000-0000-0000C59B0000}"/>
    <cellStyle name="Style 26 7 3 3" xfId="39873" xr:uid="{00000000-0005-0000-0000-0000C69B0000}"/>
    <cellStyle name="Style 26 7 3 3 2" xfId="39874" xr:uid="{00000000-0005-0000-0000-0000C79B0000}"/>
    <cellStyle name="Style 26 7 3 3 3" xfId="39875" xr:uid="{00000000-0005-0000-0000-0000C89B0000}"/>
    <cellStyle name="Style 26 7 3 4" xfId="39876" xr:uid="{00000000-0005-0000-0000-0000C99B0000}"/>
    <cellStyle name="Style 26 7 3 4 2" xfId="39877" xr:uid="{00000000-0005-0000-0000-0000CA9B0000}"/>
    <cellStyle name="Style 26 7 3 4 3" xfId="39878" xr:uid="{00000000-0005-0000-0000-0000CB9B0000}"/>
    <cellStyle name="Style 26 7 3 5" xfId="39879" xr:uid="{00000000-0005-0000-0000-0000CC9B0000}"/>
    <cellStyle name="Style 26 7 3 5 2" xfId="39880" xr:uid="{00000000-0005-0000-0000-0000CD9B0000}"/>
    <cellStyle name="Style 26 7 3 5 3" xfId="39881" xr:uid="{00000000-0005-0000-0000-0000CE9B0000}"/>
    <cellStyle name="Style 26 7 3 6" xfId="39882" xr:uid="{00000000-0005-0000-0000-0000CF9B0000}"/>
    <cellStyle name="Style 26 7 3 7" xfId="39883" xr:uid="{00000000-0005-0000-0000-0000D09B0000}"/>
    <cellStyle name="Style 26 7 3 8" xfId="39884" xr:uid="{00000000-0005-0000-0000-0000D19B0000}"/>
    <cellStyle name="Style 26 7 4" xfId="39885" xr:uid="{00000000-0005-0000-0000-0000D29B0000}"/>
    <cellStyle name="Style 26 7 4 2" xfId="39886" xr:uid="{00000000-0005-0000-0000-0000D39B0000}"/>
    <cellStyle name="Style 26 7 4 2 2" xfId="39887" xr:uid="{00000000-0005-0000-0000-0000D49B0000}"/>
    <cellStyle name="Style 26 7 4 2 2 2" xfId="39888" xr:uid="{00000000-0005-0000-0000-0000D59B0000}"/>
    <cellStyle name="Style 26 7 4 2 2 3" xfId="39889" xr:uid="{00000000-0005-0000-0000-0000D69B0000}"/>
    <cellStyle name="Style 26 7 4 2 3" xfId="39890" xr:uid="{00000000-0005-0000-0000-0000D79B0000}"/>
    <cellStyle name="Style 26 7 4 2 3 2" xfId="39891" xr:uid="{00000000-0005-0000-0000-0000D89B0000}"/>
    <cellStyle name="Style 26 7 4 2 3 3" xfId="39892" xr:uid="{00000000-0005-0000-0000-0000D99B0000}"/>
    <cellStyle name="Style 26 7 4 2 4" xfId="39893" xr:uid="{00000000-0005-0000-0000-0000DA9B0000}"/>
    <cellStyle name="Style 26 7 4 2 5" xfId="39894" xr:uid="{00000000-0005-0000-0000-0000DB9B0000}"/>
    <cellStyle name="Style 26 7 4 2 6" xfId="39895" xr:uid="{00000000-0005-0000-0000-0000DC9B0000}"/>
    <cellStyle name="Style 26 7 4 3" xfId="39896" xr:uid="{00000000-0005-0000-0000-0000DD9B0000}"/>
    <cellStyle name="Style 26 7 4 3 2" xfId="39897" xr:uid="{00000000-0005-0000-0000-0000DE9B0000}"/>
    <cellStyle name="Style 26 7 4 3 3" xfId="39898" xr:uid="{00000000-0005-0000-0000-0000DF9B0000}"/>
    <cellStyle name="Style 26 7 4 4" xfId="39899" xr:uid="{00000000-0005-0000-0000-0000E09B0000}"/>
    <cellStyle name="Style 26 7 4 4 2" xfId="39900" xr:uid="{00000000-0005-0000-0000-0000E19B0000}"/>
    <cellStyle name="Style 26 7 4 4 3" xfId="39901" xr:uid="{00000000-0005-0000-0000-0000E29B0000}"/>
    <cellStyle name="Style 26 7 4 5" xfId="39902" xr:uid="{00000000-0005-0000-0000-0000E39B0000}"/>
    <cellStyle name="Style 26 7 4 5 2" xfId="39903" xr:uid="{00000000-0005-0000-0000-0000E49B0000}"/>
    <cellStyle name="Style 26 7 4 5 3" xfId="39904" xr:uid="{00000000-0005-0000-0000-0000E59B0000}"/>
    <cellStyle name="Style 26 7 4 6" xfId="39905" xr:uid="{00000000-0005-0000-0000-0000E69B0000}"/>
    <cellStyle name="Style 26 7 4 7" xfId="39906" xr:uid="{00000000-0005-0000-0000-0000E79B0000}"/>
    <cellStyle name="Style 26 7 4 8" xfId="39907" xr:uid="{00000000-0005-0000-0000-0000E89B0000}"/>
    <cellStyle name="Style 26 7 5" xfId="39908" xr:uid="{00000000-0005-0000-0000-0000E99B0000}"/>
    <cellStyle name="Style 26 7 5 2" xfId="39909" xr:uid="{00000000-0005-0000-0000-0000EA9B0000}"/>
    <cellStyle name="Style 26 7 5 2 2" xfId="39910" xr:uid="{00000000-0005-0000-0000-0000EB9B0000}"/>
    <cellStyle name="Style 26 7 5 2 2 2" xfId="39911" xr:uid="{00000000-0005-0000-0000-0000EC9B0000}"/>
    <cellStyle name="Style 26 7 5 2 2 3" xfId="39912" xr:uid="{00000000-0005-0000-0000-0000ED9B0000}"/>
    <cellStyle name="Style 26 7 5 2 3" xfId="39913" xr:uid="{00000000-0005-0000-0000-0000EE9B0000}"/>
    <cellStyle name="Style 26 7 5 2 3 2" xfId="39914" xr:uid="{00000000-0005-0000-0000-0000EF9B0000}"/>
    <cellStyle name="Style 26 7 5 2 3 3" xfId="39915" xr:uid="{00000000-0005-0000-0000-0000F09B0000}"/>
    <cellStyle name="Style 26 7 5 2 4" xfId="39916" xr:uid="{00000000-0005-0000-0000-0000F19B0000}"/>
    <cellStyle name="Style 26 7 5 2 5" xfId="39917" xr:uid="{00000000-0005-0000-0000-0000F29B0000}"/>
    <cellStyle name="Style 26 7 5 2 6" xfId="39918" xr:uid="{00000000-0005-0000-0000-0000F39B0000}"/>
    <cellStyle name="Style 26 7 5 3" xfId="39919" xr:uid="{00000000-0005-0000-0000-0000F49B0000}"/>
    <cellStyle name="Style 26 7 5 3 2" xfId="39920" xr:uid="{00000000-0005-0000-0000-0000F59B0000}"/>
    <cellStyle name="Style 26 7 5 3 3" xfId="39921" xr:uid="{00000000-0005-0000-0000-0000F69B0000}"/>
    <cellStyle name="Style 26 7 5 4" xfId="39922" xr:uid="{00000000-0005-0000-0000-0000F79B0000}"/>
    <cellStyle name="Style 26 7 5 4 2" xfId="39923" xr:uid="{00000000-0005-0000-0000-0000F89B0000}"/>
    <cellStyle name="Style 26 7 5 4 3" xfId="39924" xr:uid="{00000000-0005-0000-0000-0000F99B0000}"/>
    <cellStyle name="Style 26 7 5 5" xfId="39925" xr:uid="{00000000-0005-0000-0000-0000FA9B0000}"/>
    <cellStyle name="Style 26 7 5 5 2" xfId="39926" xr:uid="{00000000-0005-0000-0000-0000FB9B0000}"/>
    <cellStyle name="Style 26 7 5 5 3" xfId="39927" xr:uid="{00000000-0005-0000-0000-0000FC9B0000}"/>
    <cellStyle name="Style 26 7 5 6" xfId="39928" xr:uid="{00000000-0005-0000-0000-0000FD9B0000}"/>
    <cellStyle name="Style 26 7 5 7" xfId="39929" xr:uid="{00000000-0005-0000-0000-0000FE9B0000}"/>
    <cellStyle name="Style 26 7 5 8" xfId="39930" xr:uid="{00000000-0005-0000-0000-0000FF9B0000}"/>
    <cellStyle name="Style 26 7 6" xfId="39931" xr:uid="{00000000-0005-0000-0000-0000009C0000}"/>
    <cellStyle name="Style 26 7 6 2" xfId="39932" xr:uid="{00000000-0005-0000-0000-0000019C0000}"/>
    <cellStyle name="Style 26 7 6 2 2" xfId="39933" xr:uid="{00000000-0005-0000-0000-0000029C0000}"/>
    <cellStyle name="Style 26 7 6 2 3" xfId="39934" xr:uid="{00000000-0005-0000-0000-0000039C0000}"/>
    <cellStyle name="Style 26 7 6 3" xfId="39935" xr:uid="{00000000-0005-0000-0000-0000049C0000}"/>
    <cellStyle name="Style 26 7 6 3 2" xfId="39936" xr:uid="{00000000-0005-0000-0000-0000059C0000}"/>
    <cellStyle name="Style 26 7 6 3 3" xfId="39937" xr:uid="{00000000-0005-0000-0000-0000069C0000}"/>
    <cellStyle name="Style 26 7 6 4" xfId="39938" xr:uid="{00000000-0005-0000-0000-0000079C0000}"/>
    <cellStyle name="Style 26 7 6 5" xfId="39939" xr:uid="{00000000-0005-0000-0000-0000089C0000}"/>
    <cellStyle name="Style 26 7 6 6" xfId="39940" xr:uid="{00000000-0005-0000-0000-0000099C0000}"/>
    <cellStyle name="Style 26 7 7" xfId="39941" xr:uid="{00000000-0005-0000-0000-00000A9C0000}"/>
    <cellStyle name="Style 26 7 7 2" xfId="39942" xr:uid="{00000000-0005-0000-0000-00000B9C0000}"/>
    <cellStyle name="Style 26 7 7 3" xfId="39943" xr:uid="{00000000-0005-0000-0000-00000C9C0000}"/>
    <cellStyle name="Style 26 7 8" xfId="39944" xr:uid="{00000000-0005-0000-0000-00000D9C0000}"/>
    <cellStyle name="Style 26 7 8 2" xfId="39945" xr:uid="{00000000-0005-0000-0000-00000E9C0000}"/>
    <cellStyle name="Style 26 7 8 3" xfId="39946" xr:uid="{00000000-0005-0000-0000-00000F9C0000}"/>
    <cellStyle name="Style 26 7 9" xfId="39947" xr:uid="{00000000-0005-0000-0000-0000109C0000}"/>
    <cellStyle name="Style 26 7 9 2" xfId="39948" xr:uid="{00000000-0005-0000-0000-0000119C0000}"/>
    <cellStyle name="Style 26 7 9 3" xfId="39949" xr:uid="{00000000-0005-0000-0000-0000129C0000}"/>
    <cellStyle name="Style 26 8" xfId="39950" xr:uid="{00000000-0005-0000-0000-0000139C0000}"/>
    <cellStyle name="Style 26 8 10" xfId="39951" xr:uid="{00000000-0005-0000-0000-0000149C0000}"/>
    <cellStyle name="Style 26 8 11" xfId="39952" xr:uid="{00000000-0005-0000-0000-0000159C0000}"/>
    <cellStyle name="Style 26 8 12" xfId="39953" xr:uid="{00000000-0005-0000-0000-0000169C0000}"/>
    <cellStyle name="Style 26 8 2" xfId="39954" xr:uid="{00000000-0005-0000-0000-0000179C0000}"/>
    <cellStyle name="Style 26 8 2 10" xfId="39955" xr:uid="{00000000-0005-0000-0000-0000189C0000}"/>
    <cellStyle name="Style 26 8 2 2" xfId="39956" xr:uid="{00000000-0005-0000-0000-0000199C0000}"/>
    <cellStyle name="Style 26 8 2 2 2" xfId="39957" xr:uid="{00000000-0005-0000-0000-00001A9C0000}"/>
    <cellStyle name="Style 26 8 2 2 2 2" xfId="39958" xr:uid="{00000000-0005-0000-0000-00001B9C0000}"/>
    <cellStyle name="Style 26 8 2 2 2 2 2" xfId="39959" xr:uid="{00000000-0005-0000-0000-00001C9C0000}"/>
    <cellStyle name="Style 26 8 2 2 2 2 3" xfId="39960" xr:uid="{00000000-0005-0000-0000-00001D9C0000}"/>
    <cellStyle name="Style 26 8 2 2 2 3" xfId="39961" xr:uid="{00000000-0005-0000-0000-00001E9C0000}"/>
    <cellStyle name="Style 26 8 2 2 2 3 2" xfId="39962" xr:uid="{00000000-0005-0000-0000-00001F9C0000}"/>
    <cellStyle name="Style 26 8 2 2 2 3 3" xfId="39963" xr:uid="{00000000-0005-0000-0000-0000209C0000}"/>
    <cellStyle name="Style 26 8 2 2 2 4" xfId="39964" xr:uid="{00000000-0005-0000-0000-0000219C0000}"/>
    <cellStyle name="Style 26 8 2 2 2 5" xfId="39965" xr:uid="{00000000-0005-0000-0000-0000229C0000}"/>
    <cellStyle name="Style 26 8 2 2 2 6" xfId="39966" xr:uid="{00000000-0005-0000-0000-0000239C0000}"/>
    <cellStyle name="Style 26 8 2 2 3" xfId="39967" xr:uid="{00000000-0005-0000-0000-0000249C0000}"/>
    <cellStyle name="Style 26 8 2 2 3 2" xfId="39968" xr:uid="{00000000-0005-0000-0000-0000259C0000}"/>
    <cellStyle name="Style 26 8 2 2 3 3" xfId="39969" xr:uid="{00000000-0005-0000-0000-0000269C0000}"/>
    <cellStyle name="Style 26 8 2 2 4" xfId="39970" xr:uid="{00000000-0005-0000-0000-0000279C0000}"/>
    <cellStyle name="Style 26 8 2 2 4 2" xfId="39971" xr:uid="{00000000-0005-0000-0000-0000289C0000}"/>
    <cellStyle name="Style 26 8 2 2 4 3" xfId="39972" xr:uid="{00000000-0005-0000-0000-0000299C0000}"/>
    <cellStyle name="Style 26 8 2 2 5" xfId="39973" xr:uid="{00000000-0005-0000-0000-00002A9C0000}"/>
    <cellStyle name="Style 26 8 2 2 5 2" xfId="39974" xr:uid="{00000000-0005-0000-0000-00002B9C0000}"/>
    <cellStyle name="Style 26 8 2 2 5 3" xfId="39975" xr:uid="{00000000-0005-0000-0000-00002C9C0000}"/>
    <cellStyle name="Style 26 8 2 2 6" xfId="39976" xr:uid="{00000000-0005-0000-0000-00002D9C0000}"/>
    <cellStyle name="Style 26 8 2 2 7" xfId="39977" xr:uid="{00000000-0005-0000-0000-00002E9C0000}"/>
    <cellStyle name="Style 26 8 2 2 8" xfId="39978" xr:uid="{00000000-0005-0000-0000-00002F9C0000}"/>
    <cellStyle name="Style 26 8 2 3" xfId="39979" xr:uid="{00000000-0005-0000-0000-0000309C0000}"/>
    <cellStyle name="Style 26 8 2 3 2" xfId="39980" xr:uid="{00000000-0005-0000-0000-0000319C0000}"/>
    <cellStyle name="Style 26 8 2 3 2 2" xfId="39981" xr:uid="{00000000-0005-0000-0000-0000329C0000}"/>
    <cellStyle name="Style 26 8 2 3 2 2 2" xfId="39982" xr:uid="{00000000-0005-0000-0000-0000339C0000}"/>
    <cellStyle name="Style 26 8 2 3 2 2 3" xfId="39983" xr:uid="{00000000-0005-0000-0000-0000349C0000}"/>
    <cellStyle name="Style 26 8 2 3 2 3" xfId="39984" xr:uid="{00000000-0005-0000-0000-0000359C0000}"/>
    <cellStyle name="Style 26 8 2 3 2 3 2" xfId="39985" xr:uid="{00000000-0005-0000-0000-0000369C0000}"/>
    <cellStyle name="Style 26 8 2 3 2 3 3" xfId="39986" xr:uid="{00000000-0005-0000-0000-0000379C0000}"/>
    <cellStyle name="Style 26 8 2 3 2 4" xfId="39987" xr:uid="{00000000-0005-0000-0000-0000389C0000}"/>
    <cellStyle name="Style 26 8 2 3 2 5" xfId="39988" xr:uid="{00000000-0005-0000-0000-0000399C0000}"/>
    <cellStyle name="Style 26 8 2 3 2 6" xfId="39989" xr:uid="{00000000-0005-0000-0000-00003A9C0000}"/>
    <cellStyle name="Style 26 8 2 3 3" xfId="39990" xr:uid="{00000000-0005-0000-0000-00003B9C0000}"/>
    <cellStyle name="Style 26 8 2 3 3 2" xfId="39991" xr:uid="{00000000-0005-0000-0000-00003C9C0000}"/>
    <cellStyle name="Style 26 8 2 3 3 3" xfId="39992" xr:uid="{00000000-0005-0000-0000-00003D9C0000}"/>
    <cellStyle name="Style 26 8 2 3 4" xfId="39993" xr:uid="{00000000-0005-0000-0000-00003E9C0000}"/>
    <cellStyle name="Style 26 8 2 3 4 2" xfId="39994" xr:uid="{00000000-0005-0000-0000-00003F9C0000}"/>
    <cellStyle name="Style 26 8 2 3 4 3" xfId="39995" xr:uid="{00000000-0005-0000-0000-0000409C0000}"/>
    <cellStyle name="Style 26 8 2 3 5" xfId="39996" xr:uid="{00000000-0005-0000-0000-0000419C0000}"/>
    <cellStyle name="Style 26 8 2 3 5 2" xfId="39997" xr:uid="{00000000-0005-0000-0000-0000429C0000}"/>
    <cellStyle name="Style 26 8 2 3 5 3" xfId="39998" xr:uid="{00000000-0005-0000-0000-0000439C0000}"/>
    <cellStyle name="Style 26 8 2 3 6" xfId="39999" xr:uid="{00000000-0005-0000-0000-0000449C0000}"/>
    <cellStyle name="Style 26 8 2 3 7" xfId="40000" xr:uid="{00000000-0005-0000-0000-0000459C0000}"/>
    <cellStyle name="Style 26 8 2 3 8" xfId="40001" xr:uid="{00000000-0005-0000-0000-0000469C0000}"/>
    <cellStyle name="Style 26 8 2 4" xfId="40002" xr:uid="{00000000-0005-0000-0000-0000479C0000}"/>
    <cellStyle name="Style 26 8 2 4 2" xfId="40003" xr:uid="{00000000-0005-0000-0000-0000489C0000}"/>
    <cellStyle name="Style 26 8 2 4 2 2" xfId="40004" xr:uid="{00000000-0005-0000-0000-0000499C0000}"/>
    <cellStyle name="Style 26 8 2 4 2 3" xfId="40005" xr:uid="{00000000-0005-0000-0000-00004A9C0000}"/>
    <cellStyle name="Style 26 8 2 4 3" xfId="40006" xr:uid="{00000000-0005-0000-0000-00004B9C0000}"/>
    <cellStyle name="Style 26 8 2 4 3 2" xfId="40007" xr:uid="{00000000-0005-0000-0000-00004C9C0000}"/>
    <cellStyle name="Style 26 8 2 4 3 3" xfId="40008" xr:uid="{00000000-0005-0000-0000-00004D9C0000}"/>
    <cellStyle name="Style 26 8 2 4 4" xfId="40009" xr:uid="{00000000-0005-0000-0000-00004E9C0000}"/>
    <cellStyle name="Style 26 8 2 4 5" xfId="40010" xr:uid="{00000000-0005-0000-0000-00004F9C0000}"/>
    <cellStyle name="Style 26 8 2 4 6" xfId="40011" xr:uid="{00000000-0005-0000-0000-0000509C0000}"/>
    <cellStyle name="Style 26 8 2 5" xfId="40012" xr:uid="{00000000-0005-0000-0000-0000519C0000}"/>
    <cellStyle name="Style 26 8 2 5 2" xfId="40013" xr:uid="{00000000-0005-0000-0000-0000529C0000}"/>
    <cellStyle name="Style 26 8 2 5 3" xfId="40014" xr:uid="{00000000-0005-0000-0000-0000539C0000}"/>
    <cellStyle name="Style 26 8 2 6" xfId="40015" xr:uid="{00000000-0005-0000-0000-0000549C0000}"/>
    <cellStyle name="Style 26 8 2 6 2" xfId="40016" xr:uid="{00000000-0005-0000-0000-0000559C0000}"/>
    <cellStyle name="Style 26 8 2 6 3" xfId="40017" xr:uid="{00000000-0005-0000-0000-0000569C0000}"/>
    <cellStyle name="Style 26 8 2 7" xfId="40018" xr:uid="{00000000-0005-0000-0000-0000579C0000}"/>
    <cellStyle name="Style 26 8 2 7 2" xfId="40019" xr:uid="{00000000-0005-0000-0000-0000589C0000}"/>
    <cellStyle name="Style 26 8 2 7 3" xfId="40020" xr:uid="{00000000-0005-0000-0000-0000599C0000}"/>
    <cellStyle name="Style 26 8 2 8" xfId="40021" xr:uid="{00000000-0005-0000-0000-00005A9C0000}"/>
    <cellStyle name="Style 26 8 2 9" xfId="40022" xr:uid="{00000000-0005-0000-0000-00005B9C0000}"/>
    <cellStyle name="Style 26 8 3" xfId="40023" xr:uid="{00000000-0005-0000-0000-00005C9C0000}"/>
    <cellStyle name="Style 26 8 3 2" xfId="40024" xr:uid="{00000000-0005-0000-0000-00005D9C0000}"/>
    <cellStyle name="Style 26 8 3 2 2" xfId="40025" xr:uid="{00000000-0005-0000-0000-00005E9C0000}"/>
    <cellStyle name="Style 26 8 3 2 2 2" xfId="40026" xr:uid="{00000000-0005-0000-0000-00005F9C0000}"/>
    <cellStyle name="Style 26 8 3 2 2 3" xfId="40027" xr:uid="{00000000-0005-0000-0000-0000609C0000}"/>
    <cellStyle name="Style 26 8 3 2 3" xfId="40028" xr:uid="{00000000-0005-0000-0000-0000619C0000}"/>
    <cellStyle name="Style 26 8 3 2 3 2" xfId="40029" xr:uid="{00000000-0005-0000-0000-0000629C0000}"/>
    <cellStyle name="Style 26 8 3 2 3 3" xfId="40030" xr:uid="{00000000-0005-0000-0000-0000639C0000}"/>
    <cellStyle name="Style 26 8 3 2 4" xfId="40031" xr:uid="{00000000-0005-0000-0000-0000649C0000}"/>
    <cellStyle name="Style 26 8 3 2 5" xfId="40032" xr:uid="{00000000-0005-0000-0000-0000659C0000}"/>
    <cellStyle name="Style 26 8 3 2 6" xfId="40033" xr:uid="{00000000-0005-0000-0000-0000669C0000}"/>
    <cellStyle name="Style 26 8 3 3" xfId="40034" xr:uid="{00000000-0005-0000-0000-0000679C0000}"/>
    <cellStyle name="Style 26 8 3 3 2" xfId="40035" xr:uid="{00000000-0005-0000-0000-0000689C0000}"/>
    <cellStyle name="Style 26 8 3 3 3" xfId="40036" xr:uid="{00000000-0005-0000-0000-0000699C0000}"/>
    <cellStyle name="Style 26 8 3 4" xfId="40037" xr:uid="{00000000-0005-0000-0000-00006A9C0000}"/>
    <cellStyle name="Style 26 8 3 4 2" xfId="40038" xr:uid="{00000000-0005-0000-0000-00006B9C0000}"/>
    <cellStyle name="Style 26 8 3 4 3" xfId="40039" xr:uid="{00000000-0005-0000-0000-00006C9C0000}"/>
    <cellStyle name="Style 26 8 3 5" xfId="40040" xr:uid="{00000000-0005-0000-0000-00006D9C0000}"/>
    <cellStyle name="Style 26 8 3 5 2" xfId="40041" xr:uid="{00000000-0005-0000-0000-00006E9C0000}"/>
    <cellStyle name="Style 26 8 3 5 3" xfId="40042" xr:uid="{00000000-0005-0000-0000-00006F9C0000}"/>
    <cellStyle name="Style 26 8 3 6" xfId="40043" xr:uid="{00000000-0005-0000-0000-0000709C0000}"/>
    <cellStyle name="Style 26 8 3 7" xfId="40044" xr:uid="{00000000-0005-0000-0000-0000719C0000}"/>
    <cellStyle name="Style 26 8 3 8" xfId="40045" xr:uid="{00000000-0005-0000-0000-0000729C0000}"/>
    <cellStyle name="Style 26 8 4" xfId="40046" xr:uid="{00000000-0005-0000-0000-0000739C0000}"/>
    <cellStyle name="Style 26 8 4 2" xfId="40047" xr:uid="{00000000-0005-0000-0000-0000749C0000}"/>
    <cellStyle name="Style 26 8 4 2 2" xfId="40048" xr:uid="{00000000-0005-0000-0000-0000759C0000}"/>
    <cellStyle name="Style 26 8 4 2 2 2" xfId="40049" xr:uid="{00000000-0005-0000-0000-0000769C0000}"/>
    <cellStyle name="Style 26 8 4 2 2 3" xfId="40050" xr:uid="{00000000-0005-0000-0000-0000779C0000}"/>
    <cellStyle name="Style 26 8 4 2 3" xfId="40051" xr:uid="{00000000-0005-0000-0000-0000789C0000}"/>
    <cellStyle name="Style 26 8 4 2 3 2" xfId="40052" xr:uid="{00000000-0005-0000-0000-0000799C0000}"/>
    <cellStyle name="Style 26 8 4 2 3 3" xfId="40053" xr:uid="{00000000-0005-0000-0000-00007A9C0000}"/>
    <cellStyle name="Style 26 8 4 2 4" xfId="40054" xr:uid="{00000000-0005-0000-0000-00007B9C0000}"/>
    <cellStyle name="Style 26 8 4 2 5" xfId="40055" xr:uid="{00000000-0005-0000-0000-00007C9C0000}"/>
    <cellStyle name="Style 26 8 4 2 6" xfId="40056" xr:uid="{00000000-0005-0000-0000-00007D9C0000}"/>
    <cellStyle name="Style 26 8 4 3" xfId="40057" xr:uid="{00000000-0005-0000-0000-00007E9C0000}"/>
    <cellStyle name="Style 26 8 4 3 2" xfId="40058" xr:uid="{00000000-0005-0000-0000-00007F9C0000}"/>
    <cellStyle name="Style 26 8 4 3 3" xfId="40059" xr:uid="{00000000-0005-0000-0000-0000809C0000}"/>
    <cellStyle name="Style 26 8 4 4" xfId="40060" xr:uid="{00000000-0005-0000-0000-0000819C0000}"/>
    <cellStyle name="Style 26 8 4 4 2" xfId="40061" xr:uid="{00000000-0005-0000-0000-0000829C0000}"/>
    <cellStyle name="Style 26 8 4 4 3" xfId="40062" xr:uid="{00000000-0005-0000-0000-0000839C0000}"/>
    <cellStyle name="Style 26 8 4 5" xfId="40063" xr:uid="{00000000-0005-0000-0000-0000849C0000}"/>
    <cellStyle name="Style 26 8 4 5 2" xfId="40064" xr:uid="{00000000-0005-0000-0000-0000859C0000}"/>
    <cellStyle name="Style 26 8 4 5 3" xfId="40065" xr:uid="{00000000-0005-0000-0000-0000869C0000}"/>
    <cellStyle name="Style 26 8 4 6" xfId="40066" xr:uid="{00000000-0005-0000-0000-0000879C0000}"/>
    <cellStyle name="Style 26 8 4 7" xfId="40067" xr:uid="{00000000-0005-0000-0000-0000889C0000}"/>
    <cellStyle name="Style 26 8 4 8" xfId="40068" xr:uid="{00000000-0005-0000-0000-0000899C0000}"/>
    <cellStyle name="Style 26 8 5" xfId="40069" xr:uid="{00000000-0005-0000-0000-00008A9C0000}"/>
    <cellStyle name="Style 26 8 5 2" xfId="40070" xr:uid="{00000000-0005-0000-0000-00008B9C0000}"/>
    <cellStyle name="Style 26 8 5 2 2" xfId="40071" xr:uid="{00000000-0005-0000-0000-00008C9C0000}"/>
    <cellStyle name="Style 26 8 5 2 2 2" xfId="40072" xr:uid="{00000000-0005-0000-0000-00008D9C0000}"/>
    <cellStyle name="Style 26 8 5 2 2 3" xfId="40073" xr:uid="{00000000-0005-0000-0000-00008E9C0000}"/>
    <cellStyle name="Style 26 8 5 2 3" xfId="40074" xr:uid="{00000000-0005-0000-0000-00008F9C0000}"/>
    <cellStyle name="Style 26 8 5 2 3 2" xfId="40075" xr:uid="{00000000-0005-0000-0000-0000909C0000}"/>
    <cellStyle name="Style 26 8 5 2 3 3" xfId="40076" xr:uid="{00000000-0005-0000-0000-0000919C0000}"/>
    <cellStyle name="Style 26 8 5 2 4" xfId="40077" xr:uid="{00000000-0005-0000-0000-0000929C0000}"/>
    <cellStyle name="Style 26 8 5 2 5" xfId="40078" xr:uid="{00000000-0005-0000-0000-0000939C0000}"/>
    <cellStyle name="Style 26 8 5 2 6" xfId="40079" xr:uid="{00000000-0005-0000-0000-0000949C0000}"/>
    <cellStyle name="Style 26 8 5 3" xfId="40080" xr:uid="{00000000-0005-0000-0000-0000959C0000}"/>
    <cellStyle name="Style 26 8 5 3 2" xfId="40081" xr:uid="{00000000-0005-0000-0000-0000969C0000}"/>
    <cellStyle name="Style 26 8 5 3 3" xfId="40082" xr:uid="{00000000-0005-0000-0000-0000979C0000}"/>
    <cellStyle name="Style 26 8 5 4" xfId="40083" xr:uid="{00000000-0005-0000-0000-0000989C0000}"/>
    <cellStyle name="Style 26 8 5 4 2" xfId="40084" xr:uid="{00000000-0005-0000-0000-0000999C0000}"/>
    <cellStyle name="Style 26 8 5 4 3" xfId="40085" xr:uid="{00000000-0005-0000-0000-00009A9C0000}"/>
    <cellStyle name="Style 26 8 5 5" xfId="40086" xr:uid="{00000000-0005-0000-0000-00009B9C0000}"/>
    <cellStyle name="Style 26 8 5 5 2" xfId="40087" xr:uid="{00000000-0005-0000-0000-00009C9C0000}"/>
    <cellStyle name="Style 26 8 5 5 3" xfId="40088" xr:uid="{00000000-0005-0000-0000-00009D9C0000}"/>
    <cellStyle name="Style 26 8 5 6" xfId="40089" xr:uid="{00000000-0005-0000-0000-00009E9C0000}"/>
    <cellStyle name="Style 26 8 5 7" xfId="40090" xr:uid="{00000000-0005-0000-0000-00009F9C0000}"/>
    <cellStyle name="Style 26 8 5 8" xfId="40091" xr:uid="{00000000-0005-0000-0000-0000A09C0000}"/>
    <cellStyle name="Style 26 8 6" xfId="40092" xr:uid="{00000000-0005-0000-0000-0000A19C0000}"/>
    <cellStyle name="Style 26 8 6 2" xfId="40093" xr:uid="{00000000-0005-0000-0000-0000A29C0000}"/>
    <cellStyle name="Style 26 8 6 2 2" xfId="40094" xr:uid="{00000000-0005-0000-0000-0000A39C0000}"/>
    <cellStyle name="Style 26 8 6 2 3" xfId="40095" xr:uid="{00000000-0005-0000-0000-0000A49C0000}"/>
    <cellStyle name="Style 26 8 6 3" xfId="40096" xr:uid="{00000000-0005-0000-0000-0000A59C0000}"/>
    <cellStyle name="Style 26 8 6 3 2" xfId="40097" xr:uid="{00000000-0005-0000-0000-0000A69C0000}"/>
    <cellStyle name="Style 26 8 6 3 3" xfId="40098" xr:uid="{00000000-0005-0000-0000-0000A79C0000}"/>
    <cellStyle name="Style 26 8 6 4" xfId="40099" xr:uid="{00000000-0005-0000-0000-0000A89C0000}"/>
    <cellStyle name="Style 26 8 6 5" xfId="40100" xr:uid="{00000000-0005-0000-0000-0000A99C0000}"/>
    <cellStyle name="Style 26 8 6 6" xfId="40101" xr:uid="{00000000-0005-0000-0000-0000AA9C0000}"/>
    <cellStyle name="Style 26 8 7" xfId="40102" xr:uid="{00000000-0005-0000-0000-0000AB9C0000}"/>
    <cellStyle name="Style 26 8 7 2" xfId="40103" xr:uid="{00000000-0005-0000-0000-0000AC9C0000}"/>
    <cellStyle name="Style 26 8 7 3" xfId="40104" xr:uid="{00000000-0005-0000-0000-0000AD9C0000}"/>
    <cellStyle name="Style 26 8 8" xfId="40105" xr:uid="{00000000-0005-0000-0000-0000AE9C0000}"/>
    <cellStyle name="Style 26 8 8 2" xfId="40106" xr:uid="{00000000-0005-0000-0000-0000AF9C0000}"/>
    <cellStyle name="Style 26 8 8 3" xfId="40107" xr:uid="{00000000-0005-0000-0000-0000B09C0000}"/>
    <cellStyle name="Style 26 8 9" xfId="40108" xr:uid="{00000000-0005-0000-0000-0000B19C0000}"/>
    <cellStyle name="Style 26 8 9 2" xfId="40109" xr:uid="{00000000-0005-0000-0000-0000B29C0000}"/>
    <cellStyle name="Style 26 8 9 3" xfId="40110" xr:uid="{00000000-0005-0000-0000-0000B39C0000}"/>
    <cellStyle name="Style 26 9" xfId="40111" xr:uid="{00000000-0005-0000-0000-0000B49C0000}"/>
    <cellStyle name="Style 26 9 10" xfId="40112" xr:uid="{00000000-0005-0000-0000-0000B59C0000}"/>
    <cellStyle name="Style 26 9 11" xfId="40113" xr:uid="{00000000-0005-0000-0000-0000B69C0000}"/>
    <cellStyle name="Style 26 9 12" xfId="40114" xr:uid="{00000000-0005-0000-0000-0000B79C0000}"/>
    <cellStyle name="Style 26 9 2" xfId="40115" xr:uid="{00000000-0005-0000-0000-0000B89C0000}"/>
    <cellStyle name="Style 26 9 2 10" xfId="40116" xr:uid="{00000000-0005-0000-0000-0000B99C0000}"/>
    <cellStyle name="Style 26 9 2 2" xfId="40117" xr:uid="{00000000-0005-0000-0000-0000BA9C0000}"/>
    <cellStyle name="Style 26 9 2 2 2" xfId="40118" xr:uid="{00000000-0005-0000-0000-0000BB9C0000}"/>
    <cellStyle name="Style 26 9 2 2 2 2" xfId="40119" xr:uid="{00000000-0005-0000-0000-0000BC9C0000}"/>
    <cellStyle name="Style 26 9 2 2 2 2 2" xfId="40120" xr:uid="{00000000-0005-0000-0000-0000BD9C0000}"/>
    <cellStyle name="Style 26 9 2 2 2 2 3" xfId="40121" xr:uid="{00000000-0005-0000-0000-0000BE9C0000}"/>
    <cellStyle name="Style 26 9 2 2 2 3" xfId="40122" xr:uid="{00000000-0005-0000-0000-0000BF9C0000}"/>
    <cellStyle name="Style 26 9 2 2 2 3 2" xfId="40123" xr:uid="{00000000-0005-0000-0000-0000C09C0000}"/>
    <cellStyle name="Style 26 9 2 2 2 3 3" xfId="40124" xr:uid="{00000000-0005-0000-0000-0000C19C0000}"/>
    <cellStyle name="Style 26 9 2 2 2 4" xfId="40125" xr:uid="{00000000-0005-0000-0000-0000C29C0000}"/>
    <cellStyle name="Style 26 9 2 2 2 5" xfId="40126" xr:uid="{00000000-0005-0000-0000-0000C39C0000}"/>
    <cellStyle name="Style 26 9 2 2 2 6" xfId="40127" xr:uid="{00000000-0005-0000-0000-0000C49C0000}"/>
    <cellStyle name="Style 26 9 2 2 3" xfId="40128" xr:uid="{00000000-0005-0000-0000-0000C59C0000}"/>
    <cellStyle name="Style 26 9 2 2 3 2" xfId="40129" xr:uid="{00000000-0005-0000-0000-0000C69C0000}"/>
    <cellStyle name="Style 26 9 2 2 3 3" xfId="40130" xr:uid="{00000000-0005-0000-0000-0000C79C0000}"/>
    <cellStyle name="Style 26 9 2 2 4" xfId="40131" xr:uid="{00000000-0005-0000-0000-0000C89C0000}"/>
    <cellStyle name="Style 26 9 2 2 4 2" xfId="40132" xr:uid="{00000000-0005-0000-0000-0000C99C0000}"/>
    <cellStyle name="Style 26 9 2 2 4 3" xfId="40133" xr:uid="{00000000-0005-0000-0000-0000CA9C0000}"/>
    <cellStyle name="Style 26 9 2 2 5" xfId="40134" xr:uid="{00000000-0005-0000-0000-0000CB9C0000}"/>
    <cellStyle name="Style 26 9 2 2 5 2" xfId="40135" xr:uid="{00000000-0005-0000-0000-0000CC9C0000}"/>
    <cellStyle name="Style 26 9 2 2 5 3" xfId="40136" xr:uid="{00000000-0005-0000-0000-0000CD9C0000}"/>
    <cellStyle name="Style 26 9 2 2 6" xfId="40137" xr:uid="{00000000-0005-0000-0000-0000CE9C0000}"/>
    <cellStyle name="Style 26 9 2 2 7" xfId="40138" xr:uid="{00000000-0005-0000-0000-0000CF9C0000}"/>
    <cellStyle name="Style 26 9 2 2 8" xfId="40139" xr:uid="{00000000-0005-0000-0000-0000D09C0000}"/>
    <cellStyle name="Style 26 9 2 3" xfId="40140" xr:uid="{00000000-0005-0000-0000-0000D19C0000}"/>
    <cellStyle name="Style 26 9 2 3 2" xfId="40141" xr:uid="{00000000-0005-0000-0000-0000D29C0000}"/>
    <cellStyle name="Style 26 9 2 3 2 2" xfId="40142" xr:uid="{00000000-0005-0000-0000-0000D39C0000}"/>
    <cellStyle name="Style 26 9 2 3 2 2 2" xfId="40143" xr:uid="{00000000-0005-0000-0000-0000D49C0000}"/>
    <cellStyle name="Style 26 9 2 3 2 2 3" xfId="40144" xr:uid="{00000000-0005-0000-0000-0000D59C0000}"/>
    <cellStyle name="Style 26 9 2 3 2 3" xfId="40145" xr:uid="{00000000-0005-0000-0000-0000D69C0000}"/>
    <cellStyle name="Style 26 9 2 3 2 3 2" xfId="40146" xr:uid="{00000000-0005-0000-0000-0000D79C0000}"/>
    <cellStyle name="Style 26 9 2 3 2 3 3" xfId="40147" xr:uid="{00000000-0005-0000-0000-0000D89C0000}"/>
    <cellStyle name="Style 26 9 2 3 2 4" xfId="40148" xr:uid="{00000000-0005-0000-0000-0000D99C0000}"/>
    <cellStyle name="Style 26 9 2 3 2 5" xfId="40149" xr:uid="{00000000-0005-0000-0000-0000DA9C0000}"/>
    <cellStyle name="Style 26 9 2 3 2 6" xfId="40150" xr:uid="{00000000-0005-0000-0000-0000DB9C0000}"/>
    <cellStyle name="Style 26 9 2 3 3" xfId="40151" xr:uid="{00000000-0005-0000-0000-0000DC9C0000}"/>
    <cellStyle name="Style 26 9 2 3 3 2" xfId="40152" xr:uid="{00000000-0005-0000-0000-0000DD9C0000}"/>
    <cellStyle name="Style 26 9 2 3 3 3" xfId="40153" xr:uid="{00000000-0005-0000-0000-0000DE9C0000}"/>
    <cellStyle name="Style 26 9 2 3 4" xfId="40154" xr:uid="{00000000-0005-0000-0000-0000DF9C0000}"/>
    <cellStyle name="Style 26 9 2 3 4 2" xfId="40155" xr:uid="{00000000-0005-0000-0000-0000E09C0000}"/>
    <cellStyle name="Style 26 9 2 3 4 3" xfId="40156" xr:uid="{00000000-0005-0000-0000-0000E19C0000}"/>
    <cellStyle name="Style 26 9 2 3 5" xfId="40157" xr:uid="{00000000-0005-0000-0000-0000E29C0000}"/>
    <cellStyle name="Style 26 9 2 3 5 2" xfId="40158" xr:uid="{00000000-0005-0000-0000-0000E39C0000}"/>
    <cellStyle name="Style 26 9 2 3 5 3" xfId="40159" xr:uid="{00000000-0005-0000-0000-0000E49C0000}"/>
    <cellStyle name="Style 26 9 2 3 6" xfId="40160" xr:uid="{00000000-0005-0000-0000-0000E59C0000}"/>
    <cellStyle name="Style 26 9 2 3 7" xfId="40161" xr:uid="{00000000-0005-0000-0000-0000E69C0000}"/>
    <cellStyle name="Style 26 9 2 3 8" xfId="40162" xr:uid="{00000000-0005-0000-0000-0000E79C0000}"/>
    <cellStyle name="Style 26 9 2 4" xfId="40163" xr:uid="{00000000-0005-0000-0000-0000E89C0000}"/>
    <cellStyle name="Style 26 9 2 4 2" xfId="40164" xr:uid="{00000000-0005-0000-0000-0000E99C0000}"/>
    <cellStyle name="Style 26 9 2 4 2 2" xfId="40165" xr:uid="{00000000-0005-0000-0000-0000EA9C0000}"/>
    <cellStyle name="Style 26 9 2 4 2 3" xfId="40166" xr:uid="{00000000-0005-0000-0000-0000EB9C0000}"/>
    <cellStyle name="Style 26 9 2 4 3" xfId="40167" xr:uid="{00000000-0005-0000-0000-0000EC9C0000}"/>
    <cellStyle name="Style 26 9 2 4 3 2" xfId="40168" xr:uid="{00000000-0005-0000-0000-0000ED9C0000}"/>
    <cellStyle name="Style 26 9 2 4 3 3" xfId="40169" xr:uid="{00000000-0005-0000-0000-0000EE9C0000}"/>
    <cellStyle name="Style 26 9 2 4 4" xfId="40170" xr:uid="{00000000-0005-0000-0000-0000EF9C0000}"/>
    <cellStyle name="Style 26 9 2 4 5" xfId="40171" xr:uid="{00000000-0005-0000-0000-0000F09C0000}"/>
    <cellStyle name="Style 26 9 2 4 6" xfId="40172" xr:uid="{00000000-0005-0000-0000-0000F19C0000}"/>
    <cellStyle name="Style 26 9 2 5" xfId="40173" xr:uid="{00000000-0005-0000-0000-0000F29C0000}"/>
    <cellStyle name="Style 26 9 2 5 2" xfId="40174" xr:uid="{00000000-0005-0000-0000-0000F39C0000}"/>
    <cellStyle name="Style 26 9 2 5 3" xfId="40175" xr:uid="{00000000-0005-0000-0000-0000F49C0000}"/>
    <cellStyle name="Style 26 9 2 6" xfId="40176" xr:uid="{00000000-0005-0000-0000-0000F59C0000}"/>
    <cellStyle name="Style 26 9 2 6 2" xfId="40177" xr:uid="{00000000-0005-0000-0000-0000F69C0000}"/>
    <cellStyle name="Style 26 9 2 6 3" xfId="40178" xr:uid="{00000000-0005-0000-0000-0000F79C0000}"/>
    <cellStyle name="Style 26 9 2 7" xfId="40179" xr:uid="{00000000-0005-0000-0000-0000F89C0000}"/>
    <cellStyle name="Style 26 9 2 7 2" xfId="40180" xr:uid="{00000000-0005-0000-0000-0000F99C0000}"/>
    <cellStyle name="Style 26 9 2 7 3" xfId="40181" xr:uid="{00000000-0005-0000-0000-0000FA9C0000}"/>
    <cellStyle name="Style 26 9 2 8" xfId="40182" xr:uid="{00000000-0005-0000-0000-0000FB9C0000}"/>
    <cellStyle name="Style 26 9 2 9" xfId="40183" xr:uid="{00000000-0005-0000-0000-0000FC9C0000}"/>
    <cellStyle name="Style 26 9 3" xfId="40184" xr:uid="{00000000-0005-0000-0000-0000FD9C0000}"/>
    <cellStyle name="Style 26 9 3 2" xfId="40185" xr:uid="{00000000-0005-0000-0000-0000FE9C0000}"/>
    <cellStyle name="Style 26 9 3 2 2" xfId="40186" xr:uid="{00000000-0005-0000-0000-0000FF9C0000}"/>
    <cellStyle name="Style 26 9 3 2 2 2" xfId="40187" xr:uid="{00000000-0005-0000-0000-0000009D0000}"/>
    <cellStyle name="Style 26 9 3 2 2 3" xfId="40188" xr:uid="{00000000-0005-0000-0000-0000019D0000}"/>
    <cellStyle name="Style 26 9 3 2 3" xfId="40189" xr:uid="{00000000-0005-0000-0000-0000029D0000}"/>
    <cellStyle name="Style 26 9 3 2 3 2" xfId="40190" xr:uid="{00000000-0005-0000-0000-0000039D0000}"/>
    <cellStyle name="Style 26 9 3 2 3 3" xfId="40191" xr:uid="{00000000-0005-0000-0000-0000049D0000}"/>
    <cellStyle name="Style 26 9 3 2 4" xfId="40192" xr:uid="{00000000-0005-0000-0000-0000059D0000}"/>
    <cellStyle name="Style 26 9 3 2 5" xfId="40193" xr:uid="{00000000-0005-0000-0000-0000069D0000}"/>
    <cellStyle name="Style 26 9 3 2 6" xfId="40194" xr:uid="{00000000-0005-0000-0000-0000079D0000}"/>
    <cellStyle name="Style 26 9 3 3" xfId="40195" xr:uid="{00000000-0005-0000-0000-0000089D0000}"/>
    <cellStyle name="Style 26 9 3 3 2" xfId="40196" xr:uid="{00000000-0005-0000-0000-0000099D0000}"/>
    <cellStyle name="Style 26 9 3 3 3" xfId="40197" xr:uid="{00000000-0005-0000-0000-00000A9D0000}"/>
    <cellStyle name="Style 26 9 3 4" xfId="40198" xr:uid="{00000000-0005-0000-0000-00000B9D0000}"/>
    <cellStyle name="Style 26 9 3 4 2" xfId="40199" xr:uid="{00000000-0005-0000-0000-00000C9D0000}"/>
    <cellStyle name="Style 26 9 3 4 3" xfId="40200" xr:uid="{00000000-0005-0000-0000-00000D9D0000}"/>
    <cellStyle name="Style 26 9 3 5" xfId="40201" xr:uid="{00000000-0005-0000-0000-00000E9D0000}"/>
    <cellStyle name="Style 26 9 3 5 2" xfId="40202" xr:uid="{00000000-0005-0000-0000-00000F9D0000}"/>
    <cellStyle name="Style 26 9 3 5 3" xfId="40203" xr:uid="{00000000-0005-0000-0000-0000109D0000}"/>
    <cellStyle name="Style 26 9 3 6" xfId="40204" xr:uid="{00000000-0005-0000-0000-0000119D0000}"/>
    <cellStyle name="Style 26 9 3 7" xfId="40205" xr:uid="{00000000-0005-0000-0000-0000129D0000}"/>
    <cellStyle name="Style 26 9 3 8" xfId="40206" xr:uid="{00000000-0005-0000-0000-0000139D0000}"/>
    <cellStyle name="Style 26 9 4" xfId="40207" xr:uid="{00000000-0005-0000-0000-0000149D0000}"/>
    <cellStyle name="Style 26 9 4 2" xfId="40208" xr:uid="{00000000-0005-0000-0000-0000159D0000}"/>
    <cellStyle name="Style 26 9 4 2 2" xfId="40209" xr:uid="{00000000-0005-0000-0000-0000169D0000}"/>
    <cellStyle name="Style 26 9 4 2 2 2" xfId="40210" xr:uid="{00000000-0005-0000-0000-0000179D0000}"/>
    <cellStyle name="Style 26 9 4 2 2 3" xfId="40211" xr:uid="{00000000-0005-0000-0000-0000189D0000}"/>
    <cellStyle name="Style 26 9 4 2 3" xfId="40212" xr:uid="{00000000-0005-0000-0000-0000199D0000}"/>
    <cellStyle name="Style 26 9 4 2 3 2" xfId="40213" xr:uid="{00000000-0005-0000-0000-00001A9D0000}"/>
    <cellStyle name="Style 26 9 4 2 3 3" xfId="40214" xr:uid="{00000000-0005-0000-0000-00001B9D0000}"/>
    <cellStyle name="Style 26 9 4 2 4" xfId="40215" xr:uid="{00000000-0005-0000-0000-00001C9D0000}"/>
    <cellStyle name="Style 26 9 4 2 5" xfId="40216" xr:uid="{00000000-0005-0000-0000-00001D9D0000}"/>
    <cellStyle name="Style 26 9 4 2 6" xfId="40217" xr:uid="{00000000-0005-0000-0000-00001E9D0000}"/>
    <cellStyle name="Style 26 9 4 3" xfId="40218" xr:uid="{00000000-0005-0000-0000-00001F9D0000}"/>
    <cellStyle name="Style 26 9 4 3 2" xfId="40219" xr:uid="{00000000-0005-0000-0000-0000209D0000}"/>
    <cellStyle name="Style 26 9 4 3 3" xfId="40220" xr:uid="{00000000-0005-0000-0000-0000219D0000}"/>
    <cellStyle name="Style 26 9 4 4" xfId="40221" xr:uid="{00000000-0005-0000-0000-0000229D0000}"/>
    <cellStyle name="Style 26 9 4 4 2" xfId="40222" xr:uid="{00000000-0005-0000-0000-0000239D0000}"/>
    <cellStyle name="Style 26 9 4 4 3" xfId="40223" xr:uid="{00000000-0005-0000-0000-0000249D0000}"/>
    <cellStyle name="Style 26 9 4 5" xfId="40224" xr:uid="{00000000-0005-0000-0000-0000259D0000}"/>
    <cellStyle name="Style 26 9 4 5 2" xfId="40225" xr:uid="{00000000-0005-0000-0000-0000269D0000}"/>
    <cellStyle name="Style 26 9 4 5 3" xfId="40226" xr:uid="{00000000-0005-0000-0000-0000279D0000}"/>
    <cellStyle name="Style 26 9 4 6" xfId="40227" xr:uid="{00000000-0005-0000-0000-0000289D0000}"/>
    <cellStyle name="Style 26 9 4 7" xfId="40228" xr:uid="{00000000-0005-0000-0000-0000299D0000}"/>
    <cellStyle name="Style 26 9 4 8" xfId="40229" xr:uid="{00000000-0005-0000-0000-00002A9D0000}"/>
    <cellStyle name="Style 26 9 5" xfId="40230" xr:uid="{00000000-0005-0000-0000-00002B9D0000}"/>
    <cellStyle name="Style 26 9 5 2" xfId="40231" xr:uid="{00000000-0005-0000-0000-00002C9D0000}"/>
    <cellStyle name="Style 26 9 5 2 2" xfId="40232" xr:uid="{00000000-0005-0000-0000-00002D9D0000}"/>
    <cellStyle name="Style 26 9 5 2 2 2" xfId="40233" xr:uid="{00000000-0005-0000-0000-00002E9D0000}"/>
    <cellStyle name="Style 26 9 5 2 2 3" xfId="40234" xr:uid="{00000000-0005-0000-0000-00002F9D0000}"/>
    <cellStyle name="Style 26 9 5 2 3" xfId="40235" xr:uid="{00000000-0005-0000-0000-0000309D0000}"/>
    <cellStyle name="Style 26 9 5 2 3 2" xfId="40236" xr:uid="{00000000-0005-0000-0000-0000319D0000}"/>
    <cellStyle name="Style 26 9 5 2 3 3" xfId="40237" xr:uid="{00000000-0005-0000-0000-0000329D0000}"/>
    <cellStyle name="Style 26 9 5 2 4" xfId="40238" xr:uid="{00000000-0005-0000-0000-0000339D0000}"/>
    <cellStyle name="Style 26 9 5 2 5" xfId="40239" xr:uid="{00000000-0005-0000-0000-0000349D0000}"/>
    <cellStyle name="Style 26 9 5 2 6" xfId="40240" xr:uid="{00000000-0005-0000-0000-0000359D0000}"/>
    <cellStyle name="Style 26 9 5 3" xfId="40241" xr:uid="{00000000-0005-0000-0000-0000369D0000}"/>
    <cellStyle name="Style 26 9 5 3 2" xfId="40242" xr:uid="{00000000-0005-0000-0000-0000379D0000}"/>
    <cellStyle name="Style 26 9 5 3 3" xfId="40243" xr:uid="{00000000-0005-0000-0000-0000389D0000}"/>
    <cellStyle name="Style 26 9 5 4" xfId="40244" xr:uid="{00000000-0005-0000-0000-0000399D0000}"/>
    <cellStyle name="Style 26 9 5 4 2" xfId="40245" xr:uid="{00000000-0005-0000-0000-00003A9D0000}"/>
    <cellStyle name="Style 26 9 5 4 3" xfId="40246" xr:uid="{00000000-0005-0000-0000-00003B9D0000}"/>
    <cellStyle name="Style 26 9 5 5" xfId="40247" xr:uid="{00000000-0005-0000-0000-00003C9D0000}"/>
    <cellStyle name="Style 26 9 5 5 2" xfId="40248" xr:uid="{00000000-0005-0000-0000-00003D9D0000}"/>
    <cellStyle name="Style 26 9 5 5 3" xfId="40249" xr:uid="{00000000-0005-0000-0000-00003E9D0000}"/>
    <cellStyle name="Style 26 9 5 6" xfId="40250" xr:uid="{00000000-0005-0000-0000-00003F9D0000}"/>
    <cellStyle name="Style 26 9 5 7" xfId="40251" xr:uid="{00000000-0005-0000-0000-0000409D0000}"/>
    <cellStyle name="Style 26 9 5 8" xfId="40252" xr:uid="{00000000-0005-0000-0000-0000419D0000}"/>
    <cellStyle name="Style 26 9 6" xfId="40253" xr:uid="{00000000-0005-0000-0000-0000429D0000}"/>
    <cellStyle name="Style 26 9 6 2" xfId="40254" xr:uid="{00000000-0005-0000-0000-0000439D0000}"/>
    <cellStyle name="Style 26 9 6 2 2" xfId="40255" xr:uid="{00000000-0005-0000-0000-0000449D0000}"/>
    <cellStyle name="Style 26 9 6 2 3" xfId="40256" xr:uid="{00000000-0005-0000-0000-0000459D0000}"/>
    <cellStyle name="Style 26 9 6 3" xfId="40257" xr:uid="{00000000-0005-0000-0000-0000469D0000}"/>
    <cellStyle name="Style 26 9 6 3 2" xfId="40258" xr:uid="{00000000-0005-0000-0000-0000479D0000}"/>
    <cellStyle name="Style 26 9 6 3 3" xfId="40259" xr:uid="{00000000-0005-0000-0000-0000489D0000}"/>
    <cellStyle name="Style 26 9 6 4" xfId="40260" xr:uid="{00000000-0005-0000-0000-0000499D0000}"/>
    <cellStyle name="Style 26 9 6 5" xfId="40261" xr:uid="{00000000-0005-0000-0000-00004A9D0000}"/>
    <cellStyle name="Style 26 9 6 6" xfId="40262" xr:uid="{00000000-0005-0000-0000-00004B9D0000}"/>
    <cellStyle name="Style 26 9 7" xfId="40263" xr:uid="{00000000-0005-0000-0000-00004C9D0000}"/>
    <cellStyle name="Style 26 9 7 2" xfId="40264" xr:uid="{00000000-0005-0000-0000-00004D9D0000}"/>
    <cellStyle name="Style 26 9 7 3" xfId="40265" xr:uid="{00000000-0005-0000-0000-00004E9D0000}"/>
    <cellStyle name="Style 26 9 8" xfId="40266" xr:uid="{00000000-0005-0000-0000-00004F9D0000}"/>
    <cellStyle name="Style 26 9 8 2" xfId="40267" xr:uid="{00000000-0005-0000-0000-0000509D0000}"/>
    <cellStyle name="Style 26 9 8 3" xfId="40268" xr:uid="{00000000-0005-0000-0000-0000519D0000}"/>
    <cellStyle name="Style 26 9 9" xfId="40269" xr:uid="{00000000-0005-0000-0000-0000529D0000}"/>
    <cellStyle name="Style 26 9 9 2" xfId="40270" xr:uid="{00000000-0005-0000-0000-0000539D0000}"/>
    <cellStyle name="Style 26 9 9 3" xfId="40271" xr:uid="{00000000-0005-0000-0000-0000549D0000}"/>
    <cellStyle name="Style 27" xfId="40272" xr:uid="{00000000-0005-0000-0000-0000559D0000}"/>
    <cellStyle name="Style 27 10" xfId="40273" xr:uid="{00000000-0005-0000-0000-0000569D0000}"/>
    <cellStyle name="Style 27 10 10" xfId="40274" xr:uid="{00000000-0005-0000-0000-0000579D0000}"/>
    <cellStyle name="Style 27 10 11" xfId="40275" xr:uid="{00000000-0005-0000-0000-0000589D0000}"/>
    <cellStyle name="Style 27 10 12" xfId="40276" xr:uid="{00000000-0005-0000-0000-0000599D0000}"/>
    <cellStyle name="Style 27 10 2" xfId="40277" xr:uid="{00000000-0005-0000-0000-00005A9D0000}"/>
    <cellStyle name="Style 27 10 2 10" xfId="40278" xr:uid="{00000000-0005-0000-0000-00005B9D0000}"/>
    <cellStyle name="Style 27 10 2 2" xfId="40279" xr:uid="{00000000-0005-0000-0000-00005C9D0000}"/>
    <cellStyle name="Style 27 10 2 2 2" xfId="40280" xr:uid="{00000000-0005-0000-0000-00005D9D0000}"/>
    <cellStyle name="Style 27 10 2 2 2 2" xfId="40281" xr:uid="{00000000-0005-0000-0000-00005E9D0000}"/>
    <cellStyle name="Style 27 10 2 2 2 2 2" xfId="40282" xr:uid="{00000000-0005-0000-0000-00005F9D0000}"/>
    <cellStyle name="Style 27 10 2 2 2 2 3" xfId="40283" xr:uid="{00000000-0005-0000-0000-0000609D0000}"/>
    <cellStyle name="Style 27 10 2 2 2 3" xfId="40284" xr:uid="{00000000-0005-0000-0000-0000619D0000}"/>
    <cellStyle name="Style 27 10 2 2 2 3 2" xfId="40285" xr:uid="{00000000-0005-0000-0000-0000629D0000}"/>
    <cellStyle name="Style 27 10 2 2 2 3 3" xfId="40286" xr:uid="{00000000-0005-0000-0000-0000639D0000}"/>
    <cellStyle name="Style 27 10 2 2 2 4" xfId="40287" xr:uid="{00000000-0005-0000-0000-0000649D0000}"/>
    <cellStyle name="Style 27 10 2 2 2 5" xfId="40288" xr:uid="{00000000-0005-0000-0000-0000659D0000}"/>
    <cellStyle name="Style 27 10 2 2 2 6" xfId="40289" xr:uid="{00000000-0005-0000-0000-0000669D0000}"/>
    <cellStyle name="Style 27 10 2 2 3" xfId="40290" xr:uid="{00000000-0005-0000-0000-0000679D0000}"/>
    <cellStyle name="Style 27 10 2 2 3 2" xfId="40291" xr:uid="{00000000-0005-0000-0000-0000689D0000}"/>
    <cellStyle name="Style 27 10 2 2 3 3" xfId="40292" xr:uid="{00000000-0005-0000-0000-0000699D0000}"/>
    <cellStyle name="Style 27 10 2 2 4" xfId="40293" xr:uid="{00000000-0005-0000-0000-00006A9D0000}"/>
    <cellStyle name="Style 27 10 2 2 4 2" xfId="40294" xr:uid="{00000000-0005-0000-0000-00006B9D0000}"/>
    <cellStyle name="Style 27 10 2 2 4 3" xfId="40295" xr:uid="{00000000-0005-0000-0000-00006C9D0000}"/>
    <cellStyle name="Style 27 10 2 2 5" xfId="40296" xr:uid="{00000000-0005-0000-0000-00006D9D0000}"/>
    <cellStyle name="Style 27 10 2 2 5 2" xfId="40297" xr:uid="{00000000-0005-0000-0000-00006E9D0000}"/>
    <cellStyle name="Style 27 10 2 2 5 3" xfId="40298" xr:uid="{00000000-0005-0000-0000-00006F9D0000}"/>
    <cellStyle name="Style 27 10 2 2 6" xfId="40299" xr:uid="{00000000-0005-0000-0000-0000709D0000}"/>
    <cellStyle name="Style 27 10 2 2 7" xfId="40300" xr:uid="{00000000-0005-0000-0000-0000719D0000}"/>
    <cellStyle name="Style 27 10 2 2 8" xfId="40301" xr:uid="{00000000-0005-0000-0000-0000729D0000}"/>
    <cellStyle name="Style 27 10 2 3" xfId="40302" xr:uid="{00000000-0005-0000-0000-0000739D0000}"/>
    <cellStyle name="Style 27 10 2 3 2" xfId="40303" xr:uid="{00000000-0005-0000-0000-0000749D0000}"/>
    <cellStyle name="Style 27 10 2 3 2 2" xfId="40304" xr:uid="{00000000-0005-0000-0000-0000759D0000}"/>
    <cellStyle name="Style 27 10 2 3 2 2 2" xfId="40305" xr:uid="{00000000-0005-0000-0000-0000769D0000}"/>
    <cellStyle name="Style 27 10 2 3 2 2 3" xfId="40306" xr:uid="{00000000-0005-0000-0000-0000779D0000}"/>
    <cellStyle name="Style 27 10 2 3 2 3" xfId="40307" xr:uid="{00000000-0005-0000-0000-0000789D0000}"/>
    <cellStyle name="Style 27 10 2 3 2 3 2" xfId="40308" xr:uid="{00000000-0005-0000-0000-0000799D0000}"/>
    <cellStyle name="Style 27 10 2 3 2 3 3" xfId="40309" xr:uid="{00000000-0005-0000-0000-00007A9D0000}"/>
    <cellStyle name="Style 27 10 2 3 2 4" xfId="40310" xr:uid="{00000000-0005-0000-0000-00007B9D0000}"/>
    <cellStyle name="Style 27 10 2 3 2 5" xfId="40311" xr:uid="{00000000-0005-0000-0000-00007C9D0000}"/>
    <cellStyle name="Style 27 10 2 3 2 6" xfId="40312" xr:uid="{00000000-0005-0000-0000-00007D9D0000}"/>
    <cellStyle name="Style 27 10 2 3 3" xfId="40313" xr:uid="{00000000-0005-0000-0000-00007E9D0000}"/>
    <cellStyle name="Style 27 10 2 3 3 2" xfId="40314" xr:uid="{00000000-0005-0000-0000-00007F9D0000}"/>
    <cellStyle name="Style 27 10 2 3 3 3" xfId="40315" xr:uid="{00000000-0005-0000-0000-0000809D0000}"/>
    <cellStyle name="Style 27 10 2 3 4" xfId="40316" xr:uid="{00000000-0005-0000-0000-0000819D0000}"/>
    <cellStyle name="Style 27 10 2 3 4 2" xfId="40317" xr:uid="{00000000-0005-0000-0000-0000829D0000}"/>
    <cellStyle name="Style 27 10 2 3 4 3" xfId="40318" xr:uid="{00000000-0005-0000-0000-0000839D0000}"/>
    <cellStyle name="Style 27 10 2 3 5" xfId="40319" xr:uid="{00000000-0005-0000-0000-0000849D0000}"/>
    <cellStyle name="Style 27 10 2 3 5 2" xfId="40320" xr:uid="{00000000-0005-0000-0000-0000859D0000}"/>
    <cellStyle name="Style 27 10 2 3 5 3" xfId="40321" xr:uid="{00000000-0005-0000-0000-0000869D0000}"/>
    <cellStyle name="Style 27 10 2 3 6" xfId="40322" xr:uid="{00000000-0005-0000-0000-0000879D0000}"/>
    <cellStyle name="Style 27 10 2 3 7" xfId="40323" xr:uid="{00000000-0005-0000-0000-0000889D0000}"/>
    <cellStyle name="Style 27 10 2 3 8" xfId="40324" xr:uid="{00000000-0005-0000-0000-0000899D0000}"/>
    <cellStyle name="Style 27 10 2 4" xfId="40325" xr:uid="{00000000-0005-0000-0000-00008A9D0000}"/>
    <cellStyle name="Style 27 10 2 4 2" xfId="40326" xr:uid="{00000000-0005-0000-0000-00008B9D0000}"/>
    <cellStyle name="Style 27 10 2 4 2 2" xfId="40327" xr:uid="{00000000-0005-0000-0000-00008C9D0000}"/>
    <cellStyle name="Style 27 10 2 4 2 3" xfId="40328" xr:uid="{00000000-0005-0000-0000-00008D9D0000}"/>
    <cellStyle name="Style 27 10 2 4 3" xfId="40329" xr:uid="{00000000-0005-0000-0000-00008E9D0000}"/>
    <cellStyle name="Style 27 10 2 4 3 2" xfId="40330" xr:uid="{00000000-0005-0000-0000-00008F9D0000}"/>
    <cellStyle name="Style 27 10 2 4 3 3" xfId="40331" xr:uid="{00000000-0005-0000-0000-0000909D0000}"/>
    <cellStyle name="Style 27 10 2 4 4" xfId="40332" xr:uid="{00000000-0005-0000-0000-0000919D0000}"/>
    <cellStyle name="Style 27 10 2 4 5" xfId="40333" xr:uid="{00000000-0005-0000-0000-0000929D0000}"/>
    <cellStyle name="Style 27 10 2 4 6" xfId="40334" xr:uid="{00000000-0005-0000-0000-0000939D0000}"/>
    <cellStyle name="Style 27 10 2 5" xfId="40335" xr:uid="{00000000-0005-0000-0000-0000949D0000}"/>
    <cellStyle name="Style 27 10 2 5 2" xfId="40336" xr:uid="{00000000-0005-0000-0000-0000959D0000}"/>
    <cellStyle name="Style 27 10 2 5 3" xfId="40337" xr:uid="{00000000-0005-0000-0000-0000969D0000}"/>
    <cellStyle name="Style 27 10 2 6" xfId="40338" xr:uid="{00000000-0005-0000-0000-0000979D0000}"/>
    <cellStyle name="Style 27 10 2 6 2" xfId="40339" xr:uid="{00000000-0005-0000-0000-0000989D0000}"/>
    <cellStyle name="Style 27 10 2 6 3" xfId="40340" xr:uid="{00000000-0005-0000-0000-0000999D0000}"/>
    <cellStyle name="Style 27 10 2 7" xfId="40341" xr:uid="{00000000-0005-0000-0000-00009A9D0000}"/>
    <cellStyle name="Style 27 10 2 7 2" xfId="40342" xr:uid="{00000000-0005-0000-0000-00009B9D0000}"/>
    <cellStyle name="Style 27 10 2 7 3" xfId="40343" xr:uid="{00000000-0005-0000-0000-00009C9D0000}"/>
    <cellStyle name="Style 27 10 2 8" xfId="40344" xr:uid="{00000000-0005-0000-0000-00009D9D0000}"/>
    <cellStyle name="Style 27 10 2 9" xfId="40345" xr:uid="{00000000-0005-0000-0000-00009E9D0000}"/>
    <cellStyle name="Style 27 10 3" xfId="40346" xr:uid="{00000000-0005-0000-0000-00009F9D0000}"/>
    <cellStyle name="Style 27 10 3 2" xfId="40347" xr:uid="{00000000-0005-0000-0000-0000A09D0000}"/>
    <cellStyle name="Style 27 10 3 2 2" xfId="40348" xr:uid="{00000000-0005-0000-0000-0000A19D0000}"/>
    <cellStyle name="Style 27 10 3 2 2 2" xfId="40349" xr:uid="{00000000-0005-0000-0000-0000A29D0000}"/>
    <cellStyle name="Style 27 10 3 2 2 3" xfId="40350" xr:uid="{00000000-0005-0000-0000-0000A39D0000}"/>
    <cellStyle name="Style 27 10 3 2 3" xfId="40351" xr:uid="{00000000-0005-0000-0000-0000A49D0000}"/>
    <cellStyle name="Style 27 10 3 2 3 2" xfId="40352" xr:uid="{00000000-0005-0000-0000-0000A59D0000}"/>
    <cellStyle name="Style 27 10 3 2 3 3" xfId="40353" xr:uid="{00000000-0005-0000-0000-0000A69D0000}"/>
    <cellStyle name="Style 27 10 3 2 4" xfId="40354" xr:uid="{00000000-0005-0000-0000-0000A79D0000}"/>
    <cellStyle name="Style 27 10 3 2 5" xfId="40355" xr:uid="{00000000-0005-0000-0000-0000A89D0000}"/>
    <cellStyle name="Style 27 10 3 2 6" xfId="40356" xr:uid="{00000000-0005-0000-0000-0000A99D0000}"/>
    <cellStyle name="Style 27 10 3 3" xfId="40357" xr:uid="{00000000-0005-0000-0000-0000AA9D0000}"/>
    <cellStyle name="Style 27 10 3 3 2" xfId="40358" xr:uid="{00000000-0005-0000-0000-0000AB9D0000}"/>
    <cellStyle name="Style 27 10 3 3 3" xfId="40359" xr:uid="{00000000-0005-0000-0000-0000AC9D0000}"/>
    <cellStyle name="Style 27 10 3 4" xfId="40360" xr:uid="{00000000-0005-0000-0000-0000AD9D0000}"/>
    <cellStyle name="Style 27 10 3 4 2" xfId="40361" xr:uid="{00000000-0005-0000-0000-0000AE9D0000}"/>
    <cellStyle name="Style 27 10 3 4 3" xfId="40362" xr:uid="{00000000-0005-0000-0000-0000AF9D0000}"/>
    <cellStyle name="Style 27 10 3 5" xfId="40363" xr:uid="{00000000-0005-0000-0000-0000B09D0000}"/>
    <cellStyle name="Style 27 10 3 5 2" xfId="40364" xr:uid="{00000000-0005-0000-0000-0000B19D0000}"/>
    <cellStyle name="Style 27 10 3 5 3" xfId="40365" xr:uid="{00000000-0005-0000-0000-0000B29D0000}"/>
    <cellStyle name="Style 27 10 3 6" xfId="40366" xr:uid="{00000000-0005-0000-0000-0000B39D0000}"/>
    <cellStyle name="Style 27 10 3 7" xfId="40367" xr:uid="{00000000-0005-0000-0000-0000B49D0000}"/>
    <cellStyle name="Style 27 10 3 8" xfId="40368" xr:uid="{00000000-0005-0000-0000-0000B59D0000}"/>
    <cellStyle name="Style 27 10 4" xfId="40369" xr:uid="{00000000-0005-0000-0000-0000B69D0000}"/>
    <cellStyle name="Style 27 10 4 2" xfId="40370" xr:uid="{00000000-0005-0000-0000-0000B79D0000}"/>
    <cellStyle name="Style 27 10 4 2 2" xfId="40371" xr:uid="{00000000-0005-0000-0000-0000B89D0000}"/>
    <cellStyle name="Style 27 10 4 2 2 2" xfId="40372" xr:uid="{00000000-0005-0000-0000-0000B99D0000}"/>
    <cellStyle name="Style 27 10 4 2 2 3" xfId="40373" xr:uid="{00000000-0005-0000-0000-0000BA9D0000}"/>
    <cellStyle name="Style 27 10 4 2 3" xfId="40374" xr:uid="{00000000-0005-0000-0000-0000BB9D0000}"/>
    <cellStyle name="Style 27 10 4 2 3 2" xfId="40375" xr:uid="{00000000-0005-0000-0000-0000BC9D0000}"/>
    <cellStyle name="Style 27 10 4 2 3 3" xfId="40376" xr:uid="{00000000-0005-0000-0000-0000BD9D0000}"/>
    <cellStyle name="Style 27 10 4 2 4" xfId="40377" xr:uid="{00000000-0005-0000-0000-0000BE9D0000}"/>
    <cellStyle name="Style 27 10 4 2 5" xfId="40378" xr:uid="{00000000-0005-0000-0000-0000BF9D0000}"/>
    <cellStyle name="Style 27 10 4 2 6" xfId="40379" xr:uid="{00000000-0005-0000-0000-0000C09D0000}"/>
    <cellStyle name="Style 27 10 4 3" xfId="40380" xr:uid="{00000000-0005-0000-0000-0000C19D0000}"/>
    <cellStyle name="Style 27 10 4 3 2" xfId="40381" xr:uid="{00000000-0005-0000-0000-0000C29D0000}"/>
    <cellStyle name="Style 27 10 4 3 3" xfId="40382" xr:uid="{00000000-0005-0000-0000-0000C39D0000}"/>
    <cellStyle name="Style 27 10 4 4" xfId="40383" xr:uid="{00000000-0005-0000-0000-0000C49D0000}"/>
    <cellStyle name="Style 27 10 4 4 2" xfId="40384" xr:uid="{00000000-0005-0000-0000-0000C59D0000}"/>
    <cellStyle name="Style 27 10 4 4 3" xfId="40385" xr:uid="{00000000-0005-0000-0000-0000C69D0000}"/>
    <cellStyle name="Style 27 10 4 5" xfId="40386" xr:uid="{00000000-0005-0000-0000-0000C79D0000}"/>
    <cellStyle name="Style 27 10 4 5 2" xfId="40387" xr:uid="{00000000-0005-0000-0000-0000C89D0000}"/>
    <cellStyle name="Style 27 10 4 5 3" xfId="40388" xr:uid="{00000000-0005-0000-0000-0000C99D0000}"/>
    <cellStyle name="Style 27 10 4 6" xfId="40389" xr:uid="{00000000-0005-0000-0000-0000CA9D0000}"/>
    <cellStyle name="Style 27 10 4 7" xfId="40390" xr:uid="{00000000-0005-0000-0000-0000CB9D0000}"/>
    <cellStyle name="Style 27 10 4 8" xfId="40391" xr:uid="{00000000-0005-0000-0000-0000CC9D0000}"/>
    <cellStyle name="Style 27 10 5" xfId="40392" xr:uid="{00000000-0005-0000-0000-0000CD9D0000}"/>
    <cellStyle name="Style 27 10 5 2" xfId="40393" xr:uid="{00000000-0005-0000-0000-0000CE9D0000}"/>
    <cellStyle name="Style 27 10 5 2 2" xfId="40394" xr:uid="{00000000-0005-0000-0000-0000CF9D0000}"/>
    <cellStyle name="Style 27 10 5 2 2 2" xfId="40395" xr:uid="{00000000-0005-0000-0000-0000D09D0000}"/>
    <cellStyle name="Style 27 10 5 2 2 3" xfId="40396" xr:uid="{00000000-0005-0000-0000-0000D19D0000}"/>
    <cellStyle name="Style 27 10 5 2 3" xfId="40397" xr:uid="{00000000-0005-0000-0000-0000D29D0000}"/>
    <cellStyle name="Style 27 10 5 2 3 2" xfId="40398" xr:uid="{00000000-0005-0000-0000-0000D39D0000}"/>
    <cellStyle name="Style 27 10 5 2 3 3" xfId="40399" xr:uid="{00000000-0005-0000-0000-0000D49D0000}"/>
    <cellStyle name="Style 27 10 5 2 4" xfId="40400" xr:uid="{00000000-0005-0000-0000-0000D59D0000}"/>
    <cellStyle name="Style 27 10 5 2 5" xfId="40401" xr:uid="{00000000-0005-0000-0000-0000D69D0000}"/>
    <cellStyle name="Style 27 10 5 2 6" xfId="40402" xr:uid="{00000000-0005-0000-0000-0000D79D0000}"/>
    <cellStyle name="Style 27 10 5 3" xfId="40403" xr:uid="{00000000-0005-0000-0000-0000D89D0000}"/>
    <cellStyle name="Style 27 10 5 3 2" xfId="40404" xr:uid="{00000000-0005-0000-0000-0000D99D0000}"/>
    <cellStyle name="Style 27 10 5 3 3" xfId="40405" xr:uid="{00000000-0005-0000-0000-0000DA9D0000}"/>
    <cellStyle name="Style 27 10 5 4" xfId="40406" xr:uid="{00000000-0005-0000-0000-0000DB9D0000}"/>
    <cellStyle name="Style 27 10 5 4 2" xfId="40407" xr:uid="{00000000-0005-0000-0000-0000DC9D0000}"/>
    <cellStyle name="Style 27 10 5 4 3" xfId="40408" xr:uid="{00000000-0005-0000-0000-0000DD9D0000}"/>
    <cellStyle name="Style 27 10 5 5" xfId="40409" xr:uid="{00000000-0005-0000-0000-0000DE9D0000}"/>
    <cellStyle name="Style 27 10 5 5 2" xfId="40410" xr:uid="{00000000-0005-0000-0000-0000DF9D0000}"/>
    <cellStyle name="Style 27 10 5 5 3" xfId="40411" xr:uid="{00000000-0005-0000-0000-0000E09D0000}"/>
    <cellStyle name="Style 27 10 5 6" xfId="40412" xr:uid="{00000000-0005-0000-0000-0000E19D0000}"/>
    <cellStyle name="Style 27 10 5 7" xfId="40413" xr:uid="{00000000-0005-0000-0000-0000E29D0000}"/>
    <cellStyle name="Style 27 10 5 8" xfId="40414" xr:uid="{00000000-0005-0000-0000-0000E39D0000}"/>
    <cellStyle name="Style 27 10 6" xfId="40415" xr:uid="{00000000-0005-0000-0000-0000E49D0000}"/>
    <cellStyle name="Style 27 10 6 2" xfId="40416" xr:uid="{00000000-0005-0000-0000-0000E59D0000}"/>
    <cellStyle name="Style 27 10 6 2 2" xfId="40417" xr:uid="{00000000-0005-0000-0000-0000E69D0000}"/>
    <cellStyle name="Style 27 10 6 2 3" xfId="40418" xr:uid="{00000000-0005-0000-0000-0000E79D0000}"/>
    <cellStyle name="Style 27 10 6 3" xfId="40419" xr:uid="{00000000-0005-0000-0000-0000E89D0000}"/>
    <cellStyle name="Style 27 10 6 3 2" xfId="40420" xr:uid="{00000000-0005-0000-0000-0000E99D0000}"/>
    <cellStyle name="Style 27 10 6 3 3" xfId="40421" xr:uid="{00000000-0005-0000-0000-0000EA9D0000}"/>
    <cellStyle name="Style 27 10 6 4" xfId="40422" xr:uid="{00000000-0005-0000-0000-0000EB9D0000}"/>
    <cellStyle name="Style 27 10 6 5" xfId="40423" xr:uid="{00000000-0005-0000-0000-0000EC9D0000}"/>
    <cellStyle name="Style 27 10 6 6" xfId="40424" xr:uid="{00000000-0005-0000-0000-0000ED9D0000}"/>
    <cellStyle name="Style 27 10 7" xfId="40425" xr:uid="{00000000-0005-0000-0000-0000EE9D0000}"/>
    <cellStyle name="Style 27 10 7 2" xfId="40426" xr:uid="{00000000-0005-0000-0000-0000EF9D0000}"/>
    <cellStyle name="Style 27 10 7 3" xfId="40427" xr:uid="{00000000-0005-0000-0000-0000F09D0000}"/>
    <cellStyle name="Style 27 10 8" xfId="40428" xr:uid="{00000000-0005-0000-0000-0000F19D0000}"/>
    <cellStyle name="Style 27 10 8 2" xfId="40429" xr:uid="{00000000-0005-0000-0000-0000F29D0000}"/>
    <cellStyle name="Style 27 10 8 3" xfId="40430" xr:uid="{00000000-0005-0000-0000-0000F39D0000}"/>
    <cellStyle name="Style 27 10 9" xfId="40431" xr:uid="{00000000-0005-0000-0000-0000F49D0000}"/>
    <cellStyle name="Style 27 10 9 2" xfId="40432" xr:uid="{00000000-0005-0000-0000-0000F59D0000}"/>
    <cellStyle name="Style 27 10 9 3" xfId="40433" xr:uid="{00000000-0005-0000-0000-0000F69D0000}"/>
    <cellStyle name="Style 27 11" xfId="40434" xr:uid="{00000000-0005-0000-0000-0000F79D0000}"/>
    <cellStyle name="Style 27 11 10" xfId="40435" xr:uid="{00000000-0005-0000-0000-0000F89D0000}"/>
    <cellStyle name="Style 27 11 11" xfId="40436" xr:uid="{00000000-0005-0000-0000-0000F99D0000}"/>
    <cellStyle name="Style 27 11 12" xfId="40437" xr:uid="{00000000-0005-0000-0000-0000FA9D0000}"/>
    <cellStyle name="Style 27 11 2" xfId="40438" xr:uid="{00000000-0005-0000-0000-0000FB9D0000}"/>
    <cellStyle name="Style 27 11 2 10" xfId="40439" xr:uid="{00000000-0005-0000-0000-0000FC9D0000}"/>
    <cellStyle name="Style 27 11 2 2" xfId="40440" xr:uid="{00000000-0005-0000-0000-0000FD9D0000}"/>
    <cellStyle name="Style 27 11 2 2 2" xfId="40441" xr:uid="{00000000-0005-0000-0000-0000FE9D0000}"/>
    <cellStyle name="Style 27 11 2 2 2 2" xfId="40442" xr:uid="{00000000-0005-0000-0000-0000FF9D0000}"/>
    <cellStyle name="Style 27 11 2 2 2 2 2" xfId="40443" xr:uid="{00000000-0005-0000-0000-0000009E0000}"/>
    <cellStyle name="Style 27 11 2 2 2 2 3" xfId="40444" xr:uid="{00000000-0005-0000-0000-0000019E0000}"/>
    <cellStyle name="Style 27 11 2 2 2 3" xfId="40445" xr:uid="{00000000-0005-0000-0000-0000029E0000}"/>
    <cellStyle name="Style 27 11 2 2 2 3 2" xfId="40446" xr:uid="{00000000-0005-0000-0000-0000039E0000}"/>
    <cellStyle name="Style 27 11 2 2 2 3 3" xfId="40447" xr:uid="{00000000-0005-0000-0000-0000049E0000}"/>
    <cellStyle name="Style 27 11 2 2 2 4" xfId="40448" xr:uid="{00000000-0005-0000-0000-0000059E0000}"/>
    <cellStyle name="Style 27 11 2 2 2 5" xfId="40449" xr:uid="{00000000-0005-0000-0000-0000069E0000}"/>
    <cellStyle name="Style 27 11 2 2 2 6" xfId="40450" xr:uid="{00000000-0005-0000-0000-0000079E0000}"/>
    <cellStyle name="Style 27 11 2 2 3" xfId="40451" xr:uid="{00000000-0005-0000-0000-0000089E0000}"/>
    <cellStyle name="Style 27 11 2 2 3 2" xfId="40452" xr:uid="{00000000-0005-0000-0000-0000099E0000}"/>
    <cellStyle name="Style 27 11 2 2 3 3" xfId="40453" xr:uid="{00000000-0005-0000-0000-00000A9E0000}"/>
    <cellStyle name="Style 27 11 2 2 4" xfId="40454" xr:uid="{00000000-0005-0000-0000-00000B9E0000}"/>
    <cellStyle name="Style 27 11 2 2 4 2" xfId="40455" xr:uid="{00000000-0005-0000-0000-00000C9E0000}"/>
    <cellStyle name="Style 27 11 2 2 4 3" xfId="40456" xr:uid="{00000000-0005-0000-0000-00000D9E0000}"/>
    <cellStyle name="Style 27 11 2 2 5" xfId="40457" xr:uid="{00000000-0005-0000-0000-00000E9E0000}"/>
    <cellStyle name="Style 27 11 2 2 5 2" xfId="40458" xr:uid="{00000000-0005-0000-0000-00000F9E0000}"/>
    <cellStyle name="Style 27 11 2 2 5 3" xfId="40459" xr:uid="{00000000-0005-0000-0000-0000109E0000}"/>
    <cellStyle name="Style 27 11 2 2 6" xfId="40460" xr:uid="{00000000-0005-0000-0000-0000119E0000}"/>
    <cellStyle name="Style 27 11 2 2 7" xfId="40461" xr:uid="{00000000-0005-0000-0000-0000129E0000}"/>
    <cellStyle name="Style 27 11 2 2 8" xfId="40462" xr:uid="{00000000-0005-0000-0000-0000139E0000}"/>
    <cellStyle name="Style 27 11 2 3" xfId="40463" xr:uid="{00000000-0005-0000-0000-0000149E0000}"/>
    <cellStyle name="Style 27 11 2 3 2" xfId="40464" xr:uid="{00000000-0005-0000-0000-0000159E0000}"/>
    <cellStyle name="Style 27 11 2 3 2 2" xfId="40465" xr:uid="{00000000-0005-0000-0000-0000169E0000}"/>
    <cellStyle name="Style 27 11 2 3 2 2 2" xfId="40466" xr:uid="{00000000-0005-0000-0000-0000179E0000}"/>
    <cellStyle name="Style 27 11 2 3 2 2 3" xfId="40467" xr:uid="{00000000-0005-0000-0000-0000189E0000}"/>
    <cellStyle name="Style 27 11 2 3 2 3" xfId="40468" xr:uid="{00000000-0005-0000-0000-0000199E0000}"/>
    <cellStyle name="Style 27 11 2 3 2 3 2" xfId="40469" xr:uid="{00000000-0005-0000-0000-00001A9E0000}"/>
    <cellStyle name="Style 27 11 2 3 2 3 3" xfId="40470" xr:uid="{00000000-0005-0000-0000-00001B9E0000}"/>
    <cellStyle name="Style 27 11 2 3 2 4" xfId="40471" xr:uid="{00000000-0005-0000-0000-00001C9E0000}"/>
    <cellStyle name="Style 27 11 2 3 2 5" xfId="40472" xr:uid="{00000000-0005-0000-0000-00001D9E0000}"/>
    <cellStyle name="Style 27 11 2 3 2 6" xfId="40473" xr:uid="{00000000-0005-0000-0000-00001E9E0000}"/>
    <cellStyle name="Style 27 11 2 3 3" xfId="40474" xr:uid="{00000000-0005-0000-0000-00001F9E0000}"/>
    <cellStyle name="Style 27 11 2 3 3 2" xfId="40475" xr:uid="{00000000-0005-0000-0000-0000209E0000}"/>
    <cellStyle name="Style 27 11 2 3 3 3" xfId="40476" xr:uid="{00000000-0005-0000-0000-0000219E0000}"/>
    <cellStyle name="Style 27 11 2 3 4" xfId="40477" xr:uid="{00000000-0005-0000-0000-0000229E0000}"/>
    <cellStyle name="Style 27 11 2 3 4 2" xfId="40478" xr:uid="{00000000-0005-0000-0000-0000239E0000}"/>
    <cellStyle name="Style 27 11 2 3 4 3" xfId="40479" xr:uid="{00000000-0005-0000-0000-0000249E0000}"/>
    <cellStyle name="Style 27 11 2 3 5" xfId="40480" xr:uid="{00000000-0005-0000-0000-0000259E0000}"/>
    <cellStyle name="Style 27 11 2 3 5 2" xfId="40481" xr:uid="{00000000-0005-0000-0000-0000269E0000}"/>
    <cellStyle name="Style 27 11 2 3 5 3" xfId="40482" xr:uid="{00000000-0005-0000-0000-0000279E0000}"/>
    <cellStyle name="Style 27 11 2 3 6" xfId="40483" xr:uid="{00000000-0005-0000-0000-0000289E0000}"/>
    <cellStyle name="Style 27 11 2 3 7" xfId="40484" xr:uid="{00000000-0005-0000-0000-0000299E0000}"/>
    <cellStyle name="Style 27 11 2 3 8" xfId="40485" xr:uid="{00000000-0005-0000-0000-00002A9E0000}"/>
    <cellStyle name="Style 27 11 2 4" xfId="40486" xr:uid="{00000000-0005-0000-0000-00002B9E0000}"/>
    <cellStyle name="Style 27 11 2 4 2" xfId="40487" xr:uid="{00000000-0005-0000-0000-00002C9E0000}"/>
    <cellStyle name="Style 27 11 2 4 2 2" xfId="40488" xr:uid="{00000000-0005-0000-0000-00002D9E0000}"/>
    <cellStyle name="Style 27 11 2 4 2 3" xfId="40489" xr:uid="{00000000-0005-0000-0000-00002E9E0000}"/>
    <cellStyle name="Style 27 11 2 4 3" xfId="40490" xr:uid="{00000000-0005-0000-0000-00002F9E0000}"/>
    <cellStyle name="Style 27 11 2 4 3 2" xfId="40491" xr:uid="{00000000-0005-0000-0000-0000309E0000}"/>
    <cellStyle name="Style 27 11 2 4 3 3" xfId="40492" xr:uid="{00000000-0005-0000-0000-0000319E0000}"/>
    <cellStyle name="Style 27 11 2 4 4" xfId="40493" xr:uid="{00000000-0005-0000-0000-0000329E0000}"/>
    <cellStyle name="Style 27 11 2 4 5" xfId="40494" xr:uid="{00000000-0005-0000-0000-0000339E0000}"/>
    <cellStyle name="Style 27 11 2 4 6" xfId="40495" xr:uid="{00000000-0005-0000-0000-0000349E0000}"/>
    <cellStyle name="Style 27 11 2 5" xfId="40496" xr:uid="{00000000-0005-0000-0000-0000359E0000}"/>
    <cellStyle name="Style 27 11 2 5 2" xfId="40497" xr:uid="{00000000-0005-0000-0000-0000369E0000}"/>
    <cellStyle name="Style 27 11 2 5 3" xfId="40498" xr:uid="{00000000-0005-0000-0000-0000379E0000}"/>
    <cellStyle name="Style 27 11 2 6" xfId="40499" xr:uid="{00000000-0005-0000-0000-0000389E0000}"/>
    <cellStyle name="Style 27 11 2 6 2" xfId="40500" xr:uid="{00000000-0005-0000-0000-0000399E0000}"/>
    <cellStyle name="Style 27 11 2 6 3" xfId="40501" xr:uid="{00000000-0005-0000-0000-00003A9E0000}"/>
    <cellStyle name="Style 27 11 2 7" xfId="40502" xr:uid="{00000000-0005-0000-0000-00003B9E0000}"/>
    <cellStyle name="Style 27 11 2 7 2" xfId="40503" xr:uid="{00000000-0005-0000-0000-00003C9E0000}"/>
    <cellStyle name="Style 27 11 2 7 3" xfId="40504" xr:uid="{00000000-0005-0000-0000-00003D9E0000}"/>
    <cellStyle name="Style 27 11 2 8" xfId="40505" xr:uid="{00000000-0005-0000-0000-00003E9E0000}"/>
    <cellStyle name="Style 27 11 2 9" xfId="40506" xr:uid="{00000000-0005-0000-0000-00003F9E0000}"/>
    <cellStyle name="Style 27 11 3" xfId="40507" xr:uid="{00000000-0005-0000-0000-0000409E0000}"/>
    <cellStyle name="Style 27 11 3 2" xfId="40508" xr:uid="{00000000-0005-0000-0000-0000419E0000}"/>
    <cellStyle name="Style 27 11 3 2 2" xfId="40509" xr:uid="{00000000-0005-0000-0000-0000429E0000}"/>
    <cellStyle name="Style 27 11 3 2 2 2" xfId="40510" xr:uid="{00000000-0005-0000-0000-0000439E0000}"/>
    <cellStyle name="Style 27 11 3 2 2 3" xfId="40511" xr:uid="{00000000-0005-0000-0000-0000449E0000}"/>
    <cellStyle name="Style 27 11 3 2 3" xfId="40512" xr:uid="{00000000-0005-0000-0000-0000459E0000}"/>
    <cellStyle name="Style 27 11 3 2 3 2" xfId="40513" xr:uid="{00000000-0005-0000-0000-0000469E0000}"/>
    <cellStyle name="Style 27 11 3 2 3 3" xfId="40514" xr:uid="{00000000-0005-0000-0000-0000479E0000}"/>
    <cellStyle name="Style 27 11 3 2 4" xfId="40515" xr:uid="{00000000-0005-0000-0000-0000489E0000}"/>
    <cellStyle name="Style 27 11 3 2 5" xfId="40516" xr:uid="{00000000-0005-0000-0000-0000499E0000}"/>
    <cellStyle name="Style 27 11 3 2 6" xfId="40517" xr:uid="{00000000-0005-0000-0000-00004A9E0000}"/>
    <cellStyle name="Style 27 11 3 3" xfId="40518" xr:uid="{00000000-0005-0000-0000-00004B9E0000}"/>
    <cellStyle name="Style 27 11 3 3 2" xfId="40519" xr:uid="{00000000-0005-0000-0000-00004C9E0000}"/>
    <cellStyle name="Style 27 11 3 3 3" xfId="40520" xr:uid="{00000000-0005-0000-0000-00004D9E0000}"/>
    <cellStyle name="Style 27 11 3 4" xfId="40521" xr:uid="{00000000-0005-0000-0000-00004E9E0000}"/>
    <cellStyle name="Style 27 11 3 4 2" xfId="40522" xr:uid="{00000000-0005-0000-0000-00004F9E0000}"/>
    <cellStyle name="Style 27 11 3 4 3" xfId="40523" xr:uid="{00000000-0005-0000-0000-0000509E0000}"/>
    <cellStyle name="Style 27 11 3 5" xfId="40524" xr:uid="{00000000-0005-0000-0000-0000519E0000}"/>
    <cellStyle name="Style 27 11 3 5 2" xfId="40525" xr:uid="{00000000-0005-0000-0000-0000529E0000}"/>
    <cellStyle name="Style 27 11 3 5 3" xfId="40526" xr:uid="{00000000-0005-0000-0000-0000539E0000}"/>
    <cellStyle name="Style 27 11 3 6" xfId="40527" xr:uid="{00000000-0005-0000-0000-0000549E0000}"/>
    <cellStyle name="Style 27 11 3 7" xfId="40528" xr:uid="{00000000-0005-0000-0000-0000559E0000}"/>
    <cellStyle name="Style 27 11 3 8" xfId="40529" xr:uid="{00000000-0005-0000-0000-0000569E0000}"/>
    <cellStyle name="Style 27 11 4" xfId="40530" xr:uid="{00000000-0005-0000-0000-0000579E0000}"/>
    <cellStyle name="Style 27 11 4 2" xfId="40531" xr:uid="{00000000-0005-0000-0000-0000589E0000}"/>
    <cellStyle name="Style 27 11 4 2 2" xfId="40532" xr:uid="{00000000-0005-0000-0000-0000599E0000}"/>
    <cellStyle name="Style 27 11 4 2 2 2" xfId="40533" xr:uid="{00000000-0005-0000-0000-00005A9E0000}"/>
    <cellStyle name="Style 27 11 4 2 2 3" xfId="40534" xr:uid="{00000000-0005-0000-0000-00005B9E0000}"/>
    <cellStyle name="Style 27 11 4 2 3" xfId="40535" xr:uid="{00000000-0005-0000-0000-00005C9E0000}"/>
    <cellStyle name="Style 27 11 4 2 3 2" xfId="40536" xr:uid="{00000000-0005-0000-0000-00005D9E0000}"/>
    <cellStyle name="Style 27 11 4 2 3 3" xfId="40537" xr:uid="{00000000-0005-0000-0000-00005E9E0000}"/>
    <cellStyle name="Style 27 11 4 2 4" xfId="40538" xr:uid="{00000000-0005-0000-0000-00005F9E0000}"/>
    <cellStyle name="Style 27 11 4 2 5" xfId="40539" xr:uid="{00000000-0005-0000-0000-0000609E0000}"/>
    <cellStyle name="Style 27 11 4 2 6" xfId="40540" xr:uid="{00000000-0005-0000-0000-0000619E0000}"/>
    <cellStyle name="Style 27 11 4 3" xfId="40541" xr:uid="{00000000-0005-0000-0000-0000629E0000}"/>
    <cellStyle name="Style 27 11 4 3 2" xfId="40542" xr:uid="{00000000-0005-0000-0000-0000639E0000}"/>
    <cellStyle name="Style 27 11 4 3 3" xfId="40543" xr:uid="{00000000-0005-0000-0000-0000649E0000}"/>
    <cellStyle name="Style 27 11 4 4" xfId="40544" xr:uid="{00000000-0005-0000-0000-0000659E0000}"/>
    <cellStyle name="Style 27 11 4 4 2" xfId="40545" xr:uid="{00000000-0005-0000-0000-0000669E0000}"/>
    <cellStyle name="Style 27 11 4 4 3" xfId="40546" xr:uid="{00000000-0005-0000-0000-0000679E0000}"/>
    <cellStyle name="Style 27 11 4 5" xfId="40547" xr:uid="{00000000-0005-0000-0000-0000689E0000}"/>
    <cellStyle name="Style 27 11 4 5 2" xfId="40548" xr:uid="{00000000-0005-0000-0000-0000699E0000}"/>
    <cellStyle name="Style 27 11 4 5 3" xfId="40549" xr:uid="{00000000-0005-0000-0000-00006A9E0000}"/>
    <cellStyle name="Style 27 11 4 6" xfId="40550" xr:uid="{00000000-0005-0000-0000-00006B9E0000}"/>
    <cellStyle name="Style 27 11 4 7" xfId="40551" xr:uid="{00000000-0005-0000-0000-00006C9E0000}"/>
    <cellStyle name="Style 27 11 4 8" xfId="40552" xr:uid="{00000000-0005-0000-0000-00006D9E0000}"/>
    <cellStyle name="Style 27 11 5" xfId="40553" xr:uid="{00000000-0005-0000-0000-00006E9E0000}"/>
    <cellStyle name="Style 27 11 5 2" xfId="40554" xr:uid="{00000000-0005-0000-0000-00006F9E0000}"/>
    <cellStyle name="Style 27 11 5 2 2" xfId="40555" xr:uid="{00000000-0005-0000-0000-0000709E0000}"/>
    <cellStyle name="Style 27 11 5 2 2 2" xfId="40556" xr:uid="{00000000-0005-0000-0000-0000719E0000}"/>
    <cellStyle name="Style 27 11 5 2 2 3" xfId="40557" xr:uid="{00000000-0005-0000-0000-0000729E0000}"/>
    <cellStyle name="Style 27 11 5 2 3" xfId="40558" xr:uid="{00000000-0005-0000-0000-0000739E0000}"/>
    <cellStyle name="Style 27 11 5 2 3 2" xfId="40559" xr:uid="{00000000-0005-0000-0000-0000749E0000}"/>
    <cellStyle name="Style 27 11 5 2 3 3" xfId="40560" xr:uid="{00000000-0005-0000-0000-0000759E0000}"/>
    <cellStyle name="Style 27 11 5 2 4" xfId="40561" xr:uid="{00000000-0005-0000-0000-0000769E0000}"/>
    <cellStyle name="Style 27 11 5 2 5" xfId="40562" xr:uid="{00000000-0005-0000-0000-0000779E0000}"/>
    <cellStyle name="Style 27 11 5 2 6" xfId="40563" xr:uid="{00000000-0005-0000-0000-0000789E0000}"/>
    <cellStyle name="Style 27 11 5 3" xfId="40564" xr:uid="{00000000-0005-0000-0000-0000799E0000}"/>
    <cellStyle name="Style 27 11 5 3 2" xfId="40565" xr:uid="{00000000-0005-0000-0000-00007A9E0000}"/>
    <cellStyle name="Style 27 11 5 3 3" xfId="40566" xr:uid="{00000000-0005-0000-0000-00007B9E0000}"/>
    <cellStyle name="Style 27 11 5 4" xfId="40567" xr:uid="{00000000-0005-0000-0000-00007C9E0000}"/>
    <cellStyle name="Style 27 11 5 4 2" xfId="40568" xr:uid="{00000000-0005-0000-0000-00007D9E0000}"/>
    <cellStyle name="Style 27 11 5 4 3" xfId="40569" xr:uid="{00000000-0005-0000-0000-00007E9E0000}"/>
    <cellStyle name="Style 27 11 5 5" xfId="40570" xr:uid="{00000000-0005-0000-0000-00007F9E0000}"/>
    <cellStyle name="Style 27 11 5 5 2" xfId="40571" xr:uid="{00000000-0005-0000-0000-0000809E0000}"/>
    <cellStyle name="Style 27 11 5 5 3" xfId="40572" xr:uid="{00000000-0005-0000-0000-0000819E0000}"/>
    <cellStyle name="Style 27 11 5 6" xfId="40573" xr:uid="{00000000-0005-0000-0000-0000829E0000}"/>
    <cellStyle name="Style 27 11 5 7" xfId="40574" xr:uid="{00000000-0005-0000-0000-0000839E0000}"/>
    <cellStyle name="Style 27 11 5 8" xfId="40575" xr:uid="{00000000-0005-0000-0000-0000849E0000}"/>
    <cellStyle name="Style 27 11 6" xfId="40576" xr:uid="{00000000-0005-0000-0000-0000859E0000}"/>
    <cellStyle name="Style 27 11 6 2" xfId="40577" xr:uid="{00000000-0005-0000-0000-0000869E0000}"/>
    <cellStyle name="Style 27 11 6 2 2" xfId="40578" xr:uid="{00000000-0005-0000-0000-0000879E0000}"/>
    <cellStyle name="Style 27 11 6 2 3" xfId="40579" xr:uid="{00000000-0005-0000-0000-0000889E0000}"/>
    <cellStyle name="Style 27 11 6 3" xfId="40580" xr:uid="{00000000-0005-0000-0000-0000899E0000}"/>
    <cellStyle name="Style 27 11 6 3 2" xfId="40581" xr:uid="{00000000-0005-0000-0000-00008A9E0000}"/>
    <cellStyle name="Style 27 11 6 3 3" xfId="40582" xr:uid="{00000000-0005-0000-0000-00008B9E0000}"/>
    <cellStyle name="Style 27 11 6 4" xfId="40583" xr:uid="{00000000-0005-0000-0000-00008C9E0000}"/>
    <cellStyle name="Style 27 11 6 5" xfId="40584" xr:uid="{00000000-0005-0000-0000-00008D9E0000}"/>
    <cellStyle name="Style 27 11 6 6" xfId="40585" xr:uid="{00000000-0005-0000-0000-00008E9E0000}"/>
    <cellStyle name="Style 27 11 7" xfId="40586" xr:uid="{00000000-0005-0000-0000-00008F9E0000}"/>
    <cellStyle name="Style 27 11 7 2" xfId="40587" xr:uid="{00000000-0005-0000-0000-0000909E0000}"/>
    <cellStyle name="Style 27 11 7 3" xfId="40588" xr:uid="{00000000-0005-0000-0000-0000919E0000}"/>
    <cellStyle name="Style 27 11 8" xfId="40589" xr:uid="{00000000-0005-0000-0000-0000929E0000}"/>
    <cellStyle name="Style 27 11 8 2" xfId="40590" xr:uid="{00000000-0005-0000-0000-0000939E0000}"/>
    <cellStyle name="Style 27 11 8 3" xfId="40591" xr:uid="{00000000-0005-0000-0000-0000949E0000}"/>
    <cellStyle name="Style 27 11 9" xfId="40592" xr:uid="{00000000-0005-0000-0000-0000959E0000}"/>
    <cellStyle name="Style 27 11 9 2" xfId="40593" xr:uid="{00000000-0005-0000-0000-0000969E0000}"/>
    <cellStyle name="Style 27 11 9 3" xfId="40594" xr:uid="{00000000-0005-0000-0000-0000979E0000}"/>
    <cellStyle name="Style 27 12" xfId="40595" xr:uid="{00000000-0005-0000-0000-0000989E0000}"/>
    <cellStyle name="Style 27 12 10" xfId="40596" xr:uid="{00000000-0005-0000-0000-0000999E0000}"/>
    <cellStyle name="Style 27 12 2" xfId="40597" xr:uid="{00000000-0005-0000-0000-00009A9E0000}"/>
    <cellStyle name="Style 27 12 2 2" xfId="40598" xr:uid="{00000000-0005-0000-0000-00009B9E0000}"/>
    <cellStyle name="Style 27 12 2 2 2" xfId="40599" xr:uid="{00000000-0005-0000-0000-00009C9E0000}"/>
    <cellStyle name="Style 27 12 2 2 2 2" xfId="40600" xr:uid="{00000000-0005-0000-0000-00009D9E0000}"/>
    <cellStyle name="Style 27 12 2 2 2 3" xfId="40601" xr:uid="{00000000-0005-0000-0000-00009E9E0000}"/>
    <cellStyle name="Style 27 12 2 2 3" xfId="40602" xr:uid="{00000000-0005-0000-0000-00009F9E0000}"/>
    <cellStyle name="Style 27 12 2 2 3 2" xfId="40603" xr:uid="{00000000-0005-0000-0000-0000A09E0000}"/>
    <cellStyle name="Style 27 12 2 2 3 3" xfId="40604" xr:uid="{00000000-0005-0000-0000-0000A19E0000}"/>
    <cellStyle name="Style 27 12 2 2 4" xfId="40605" xr:uid="{00000000-0005-0000-0000-0000A29E0000}"/>
    <cellStyle name="Style 27 12 2 2 5" xfId="40606" xr:uid="{00000000-0005-0000-0000-0000A39E0000}"/>
    <cellStyle name="Style 27 12 2 2 6" xfId="40607" xr:uid="{00000000-0005-0000-0000-0000A49E0000}"/>
    <cellStyle name="Style 27 12 2 3" xfId="40608" xr:uid="{00000000-0005-0000-0000-0000A59E0000}"/>
    <cellStyle name="Style 27 12 2 3 2" xfId="40609" xr:uid="{00000000-0005-0000-0000-0000A69E0000}"/>
    <cellStyle name="Style 27 12 2 3 3" xfId="40610" xr:uid="{00000000-0005-0000-0000-0000A79E0000}"/>
    <cellStyle name="Style 27 12 2 4" xfId="40611" xr:uid="{00000000-0005-0000-0000-0000A89E0000}"/>
    <cellStyle name="Style 27 12 2 4 2" xfId="40612" xr:uid="{00000000-0005-0000-0000-0000A99E0000}"/>
    <cellStyle name="Style 27 12 2 4 3" xfId="40613" xr:uid="{00000000-0005-0000-0000-0000AA9E0000}"/>
    <cellStyle name="Style 27 12 2 5" xfId="40614" xr:uid="{00000000-0005-0000-0000-0000AB9E0000}"/>
    <cellStyle name="Style 27 12 2 5 2" xfId="40615" xr:uid="{00000000-0005-0000-0000-0000AC9E0000}"/>
    <cellStyle name="Style 27 12 2 5 3" xfId="40616" xr:uid="{00000000-0005-0000-0000-0000AD9E0000}"/>
    <cellStyle name="Style 27 12 2 6" xfId="40617" xr:uid="{00000000-0005-0000-0000-0000AE9E0000}"/>
    <cellStyle name="Style 27 12 2 7" xfId="40618" xr:uid="{00000000-0005-0000-0000-0000AF9E0000}"/>
    <cellStyle name="Style 27 12 2 8" xfId="40619" xr:uid="{00000000-0005-0000-0000-0000B09E0000}"/>
    <cellStyle name="Style 27 12 3" xfId="40620" xr:uid="{00000000-0005-0000-0000-0000B19E0000}"/>
    <cellStyle name="Style 27 12 3 2" xfId="40621" xr:uid="{00000000-0005-0000-0000-0000B29E0000}"/>
    <cellStyle name="Style 27 12 3 2 2" xfId="40622" xr:uid="{00000000-0005-0000-0000-0000B39E0000}"/>
    <cellStyle name="Style 27 12 3 2 2 2" xfId="40623" xr:uid="{00000000-0005-0000-0000-0000B49E0000}"/>
    <cellStyle name="Style 27 12 3 2 2 3" xfId="40624" xr:uid="{00000000-0005-0000-0000-0000B59E0000}"/>
    <cellStyle name="Style 27 12 3 2 3" xfId="40625" xr:uid="{00000000-0005-0000-0000-0000B69E0000}"/>
    <cellStyle name="Style 27 12 3 2 3 2" xfId="40626" xr:uid="{00000000-0005-0000-0000-0000B79E0000}"/>
    <cellStyle name="Style 27 12 3 2 3 3" xfId="40627" xr:uid="{00000000-0005-0000-0000-0000B89E0000}"/>
    <cellStyle name="Style 27 12 3 2 4" xfId="40628" xr:uid="{00000000-0005-0000-0000-0000B99E0000}"/>
    <cellStyle name="Style 27 12 3 2 5" xfId="40629" xr:uid="{00000000-0005-0000-0000-0000BA9E0000}"/>
    <cellStyle name="Style 27 12 3 2 6" xfId="40630" xr:uid="{00000000-0005-0000-0000-0000BB9E0000}"/>
    <cellStyle name="Style 27 12 3 3" xfId="40631" xr:uid="{00000000-0005-0000-0000-0000BC9E0000}"/>
    <cellStyle name="Style 27 12 3 3 2" xfId="40632" xr:uid="{00000000-0005-0000-0000-0000BD9E0000}"/>
    <cellStyle name="Style 27 12 3 3 3" xfId="40633" xr:uid="{00000000-0005-0000-0000-0000BE9E0000}"/>
    <cellStyle name="Style 27 12 3 4" xfId="40634" xr:uid="{00000000-0005-0000-0000-0000BF9E0000}"/>
    <cellStyle name="Style 27 12 3 4 2" xfId="40635" xr:uid="{00000000-0005-0000-0000-0000C09E0000}"/>
    <cellStyle name="Style 27 12 3 4 3" xfId="40636" xr:uid="{00000000-0005-0000-0000-0000C19E0000}"/>
    <cellStyle name="Style 27 12 3 5" xfId="40637" xr:uid="{00000000-0005-0000-0000-0000C29E0000}"/>
    <cellStyle name="Style 27 12 3 5 2" xfId="40638" xr:uid="{00000000-0005-0000-0000-0000C39E0000}"/>
    <cellStyle name="Style 27 12 3 5 3" xfId="40639" xr:uid="{00000000-0005-0000-0000-0000C49E0000}"/>
    <cellStyle name="Style 27 12 3 6" xfId="40640" xr:uid="{00000000-0005-0000-0000-0000C59E0000}"/>
    <cellStyle name="Style 27 12 3 7" xfId="40641" xr:uid="{00000000-0005-0000-0000-0000C69E0000}"/>
    <cellStyle name="Style 27 12 3 8" xfId="40642" xr:uid="{00000000-0005-0000-0000-0000C79E0000}"/>
    <cellStyle name="Style 27 12 4" xfId="40643" xr:uid="{00000000-0005-0000-0000-0000C89E0000}"/>
    <cellStyle name="Style 27 12 4 2" xfId="40644" xr:uid="{00000000-0005-0000-0000-0000C99E0000}"/>
    <cellStyle name="Style 27 12 4 2 2" xfId="40645" xr:uid="{00000000-0005-0000-0000-0000CA9E0000}"/>
    <cellStyle name="Style 27 12 4 2 3" xfId="40646" xr:uid="{00000000-0005-0000-0000-0000CB9E0000}"/>
    <cellStyle name="Style 27 12 4 3" xfId="40647" xr:uid="{00000000-0005-0000-0000-0000CC9E0000}"/>
    <cellStyle name="Style 27 12 4 3 2" xfId="40648" xr:uid="{00000000-0005-0000-0000-0000CD9E0000}"/>
    <cellStyle name="Style 27 12 4 3 3" xfId="40649" xr:uid="{00000000-0005-0000-0000-0000CE9E0000}"/>
    <cellStyle name="Style 27 12 4 4" xfId="40650" xr:uid="{00000000-0005-0000-0000-0000CF9E0000}"/>
    <cellStyle name="Style 27 12 4 5" xfId="40651" xr:uid="{00000000-0005-0000-0000-0000D09E0000}"/>
    <cellStyle name="Style 27 12 4 6" xfId="40652" xr:uid="{00000000-0005-0000-0000-0000D19E0000}"/>
    <cellStyle name="Style 27 12 5" xfId="40653" xr:uid="{00000000-0005-0000-0000-0000D29E0000}"/>
    <cellStyle name="Style 27 12 5 2" xfId="40654" xr:uid="{00000000-0005-0000-0000-0000D39E0000}"/>
    <cellStyle name="Style 27 12 5 3" xfId="40655" xr:uid="{00000000-0005-0000-0000-0000D49E0000}"/>
    <cellStyle name="Style 27 12 6" xfId="40656" xr:uid="{00000000-0005-0000-0000-0000D59E0000}"/>
    <cellStyle name="Style 27 12 6 2" xfId="40657" xr:uid="{00000000-0005-0000-0000-0000D69E0000}"/>
    <cellStyle name="Style 27 12 6 3" xfId="40658" xr:uid="{00000000-0005-0000-0000-0000D79E0000}"/>
    <cellStyle name="Style 27 12 7" xfId="40659" xr:uid="{00000000-0005-0000-0000-0000D89E0000}"/>
    <cellStyle name="Style 27 12 7 2" xfId="40660" xr:uid="{00000000-0005-0000-0000-0000D99E0000}"/>
    <cellStyle name="Style 27 12 7 3" xfId="40661" xr:uid="{00000000-0005-0000-0000-0000DA9E0000}"/>
    <cellStyle name="Style 27 12 8" xfId="40662" xr:uid="{00000000-0005-0000-0000-0000DB9E0000}"/>
    <cellStyle name="Style 27 12 9" xfId="40663" xr:uid="{00000000-0005-0000-0000-0000DC9E0000}"/>
    <cellStyle name="Style 27 13" xfId="40664" xr:uid="{00000000-0005-0000-0000-0000DD9E0000}"/>
    <cellStyle name="Style 27 13 2" xfId="40665" xr:uid="{00000000-0005-0000-0000-0000DE9E0000}"/>
    <cellStyle name="Style 27 13 2 2" xfId="40666" xr:uid="{00000000-0005-0000-0000-0000DF9E0000}"/>
    <cellStyle name="Style 27 13 2 2 2" xfId="40667" xr:uid="{00000000-0005-0000-0000-0000E09E0000}"/>
    <cellStyle name="Style 27 13 2 2 3" xfId="40668" xr:uid="{00000000-0005-0000-0000-0000E19E0000}"/>
    <cellStyle name="Style 27 13 2 3" xfId="40669" xr:uid="{00000000-0005-0000-0000-0000E29E0000}"/>
    <cellStyle name="Style 27 13 2 3 2" xfId="40670" xr:uid="{00000000-0005-0000-0000-0000E39E0000}"/>
    <cellStyle name="Style 27 13 2 3 3" xfId="40671" xr:uid="{00000000-0005-0000-0000-0000E49E0000}"/>
    <cellStyle name="Style 27 13 2 4" xfId="40672" xr:uid="{00000000-0005-0000-0000-0000E59E0000}"/>
    <cellStyle name="Style 27 13 2 5" xfId="40673" xr:uid="{00000000-0005-0000-0000-0000E69E0000}"/>
    <cellStyle name="Style 27 13 2 6" xfId="40674" xr:uid="{00000000-0005-0000-0000-0000E79E0000}"/>
    <cellStyle name="Style 27 13 3" xfId="40675" xr:uid="{00000000-0005-0000-0000-0000E89E0000}"/>
    <cellStyle name="Style 27 13 3 2" xfId="40676" xr:uid="{00000000-0005-0000-0000-0000E99E0000}"/>
    <cellStyle name="Style 27 13 3 3" xfId="40677" xr:uid="{00000000-0005-0000-0000-0000EA9E0000}"/>
    <cellStyle name="Style 27 13 4" xfId="40678" xr:uid="{00000000-0005-0000-0000-0000EB9E0000}"/>
    <cellStyle name="Style 27 13 4 2" xfId="40679" xr:uid="{00000000-0005-0000-0000-0000EC9E0000}"/>
    <cellStyle name="Style 27 13 4 3" xfId="40680" xr:uid="{00000000-0005-0000-0000-0000ED9E0000}"/>
    <cellStyle name="Style 27 13 5" xfId="40681" xr:uid="{00000000-0005-0000-0000-0000EE9E0000}"/>
    <cellStyle name="Style 27 13 5 2" xfId="40682" xr:uid="{00000000-0005-0000-0000-0000EF9E0000}"/>
    <cellStyle name="Style 27 13 5 3" xfId="40683" xr:uid="{00000000-0005-0000-0000-0000F09E0000}"/>
    <cellStyle name="Style 27 13 6" xfId="40684" xr:uid="{00000000-0005-0000-0000-0000F19E0000}"/>
    <cellStyle name="Style 27 13 7" xfId="40685" xr:uid="{00000000-0005-0000-0000-0000F29E0000}"/>
    <cellStyle name="Style 27 13 8" xfId="40686" xr:uid="{00000000-0005-0000-0000-0000F39E0000}"/>
    <cellStyle name="Style 27 14" xfId="40687" xr:uid="{00000000-0005-0000-0000-0000F49E0000}"/>
    <cellStyle name="Style 27 14 2" xfId="40688" xr:uid="{00000000-0005-0000-0000-0000F59E0000}"/>
    <cellStyle name="Style 27 14 2 2" xfId="40689" xr:uid="{00000000-0005-0000-0000-0000F69E0000}"/>
    <cellStyle name="Style 27 14 2 2 2" xfId="40690" xr:uid="{00000000-0005-0000-0000-0000F79E0000}"/>
    <cellStyle name="Style 27 14 2 2 3" xfId="40691" xr:uid="{00000000-0005-0000-0000-0000F89E0000}"/>
    <cellStyle name="Style 27 14 2 3" xfId="40692" xr:uid="{00000000-0005-0000-0000-0000F99E0000}"/>
    <cellStyle name="Style 27 14 2 3 2" xfId="40693" xr:uid="{00000000-0005-0000-0000-0000FA9E0000}"/>
    <cellStyle name="Style 27 14 2 3 3" xfId="40694" xr:uid="{00000000-0005-0000-0000-0000FB9E0000}"/>
    <cellStyle name="Style 27 14 2 4" xfId="40695" xr:uid="{00000000-0005-0000-0000-0000FC9E0000}"/>
    <cellStyle name="Style 27 14 2 5" xfId="40696" xr:uid="{00000000-0005-0000-0000-0000FD9E0000}"/>
    <cellStyle name="Style 27 14 2 6" xfId="40697" xr:uid="{00000000-0005-0000-0000-0000FE9E0000}"/>
    <cellStyle name="Style 27 14 3" xfId="40698" xr:uid="{00000000-0005-0000-0000-0000FF9E0000}"/>
    <cellStyle name="Style 27 14 3 2" xfId="40699" xr:uid="{00000000-0005-0000-0000-0000009F0000}"/>
    <cellStyle name="Style 27 14 3 3" xfId="40700" xr:uid="{00000000-0005-0000-0000-0000019F0000}"/>
    <cellStyle name="Style 27 14 4" xfId="40701" xr:uid="{00000000-0005-0000-0000-0000029F0000}"/>
    <cellStyle name="Style 27 14 4 2" xfId="40702" xr:uid="{00000000-0005-0000-0000-0000039F0000}"/>
    <cellStyle name="Style 27 14 4 3" xfId="40703" xr:uid="{00000000-0005-0000-0000-0000049F0000}"/>
    <cellStyle name="Style 27 14 5" xfId="40704" xr:uid="{00000000-0005-0000-0000-0000059F0000}"/>
    <cellStyle name="Style 27 14 5 2" xfId="40705" xr:uid="{00000000-0005-0000-0000-0000069F0000}"/>
    <cellStyle name="Style 27 14 5 3" xfId="40706" xr:uid="{00000000-0005-0000-0000-0000079F0000}"/>
    <cellStyle name="Style 27 14 6" xfId="40707" xr:uid="{00000000-0005-0000-0000-0000089F0000}"/>
    <cellStyle name="Style 27 14 7" xfId="40708" xr:uid="{00000000-0005-0000-0000-0000099F0000}"/>
    <cellStyle name="Style 27 14 8" xfId="40709" xr:uid="{00000000-0005-0000-0000-00000A9F0000}"/>
    <cellStyle name="Style 27 15" xfId="40710" xr:uid="{00000000-0005-0000-0000-00000B9F0000}"/>
    <cellStyle name="Style 27 15 2" xfId="40711" xr:uid="{00000000-0005-0000-0000-00000C9F0000}"/>
    <cellStyle name="Style 27 15 2 2" xfId="40712" xr:uid="{00000000-0005-0000-0000-00000D9F0000}"/>
    <cellStyle name="Style 27 15 2 2 2" xfId="40713" xr:uid="{00000000-0005-0000-0000-00000E9F0000}"/>
    <cellStyle name="Style 27 15 2 2 3" xfId="40714" xr:uid="{00000000-0005-0000-0000-00000F9F0000}"/>
    <cellStyle name="Style 27 15 2 3" xfId="40715" xr:uid="{00000000-0005-0000-0000-0000109F0000}"/>
    <cellStyle name="Style 27 15 2 3 2" xfId="40716" xr:uid="{00000000-0005-0000-0000-0000119F0000}"/>
    <cellStyle name="Style 27 15 2 3 3" xfId="40717" xr:uid="{00000000-0005-0000-0000-0000129F0000}"/>
    <cellStyle name="Style 27 15 2 4" xfId="40718" xr:uid="{00000000-0005-0000-0000-0000139F0000}"/>
    <cellStyle name="Style 27 15 2 5" xfId="40719" xr:uid="{00000000-0005-0000-0000-0000149F0000}"/>
    <cellStyle name="Style 27 15 2 6" xfId="40720" xr:uid="{00000000-0005-0000-0000-0000159F0000}"/>
    <cellStyle name="Style 27 15 3" xfId="40721" xr:uid="{00000000-0005-0000-0000-0000169F0000}"/>
    <cellStyle name="Style 27 15 3 2" xfId="40722" xr:uid="{00000000-0005-0000-0000-0000179F0000}"/>
    <cellStyle name="Style 27 15 3 3" xfId="40723" xr:uid="{00000000-0005-0000-0000-0000189F0000}"/>
    <cellStyle name="Style 27 15 4" xfId="40724" xr:uid="{00000000-0005-0000-0000-0000199F0000}"/>
    <cellStyle name="Style 27 15 4 2" xfId="40725" xr:uid="{00000000-0005-0000-0000-00001A9F0000}"/>
    <cellStyle name="Style 27 15 4 3" xfId="40726" xr:uid="{00000000-0005-0000-0000-00001B9F0000}"/>
    <cellStyle name="Style 27 15 5" xfId="40727" xr:uid="{00000000-0005-0000-0000-00001C9F0000}"/>
    <cellStyle name="Style 27 15 5 2" xfId="40728" xr:uid="{00000000-0005-0000-0000-00001D9F0000}"/>
    <cellStyle name="Style 27 15 5 3" xfId="40729" xr:uid="{00000000-0005-0000-0000-00001E9F0000}"/>
    <cellStyle name="Style 27 15 6" xfId="40730" xr:uid="{00000000-0005-0000-0000-00001F9F0000}"/>
    <cellStyle name="Style 27 15 7" xfId="40731" xr:uid="{00000000-0005-0000-0000-0000209F0000}"/>
    <cellStyle name="Style 27 15 8" xfId="40732" xr:uid="{00000000-0005-0000-0000-0000219F0000}"/>
    <cellStyle name="Style 27 16" xfId="40733" xr:uid="{00000000-0005-0000-0000-0000229F0000}"/>
    <cellStyle name="Style 27 16 2" xfId="40734" xr:uid="{00000000-0005-0000-0000-0000239F0000}"/>
    <cellStyle name="Style 27 16 2 2" xfId="40735" xr:uid="{00000000-0005-0000-0000-0000249F0000}"/>
    <cellStyle name="Style 27 16 2 3" xfId="40736" xr:uid="{00000000-0005-0000-0000-0000259F0000}"/>
    <cellStyle name="Style 27 16 3" xfId="40737" xr:uid="{00000000-0005-0000-0000-0000269F0000}"/>
    <cellStyle name="Style 27 16 3 2" xfId="40738" xr:uid="{00000000-0005-0000-0000-0000279F0000}"/>
    <cellStyle name="Style 27 16 3 3" xfId="40739" xr:uid="{00000000-0005-0000-0000-0000289F0000}"/>
    <cellStyle name="Style 27 16 4" xfId="40740" xr:uid="{00000000-0005-0000-0000-0000299F0000}"/>
    <cellStyle name="Style 27 16 5" xfId="40741" xr:uid="{00000000-0005-0000-0000-00002A9F0000}"/>
    <cellStyle name="Style 27 16 6" xfId="40742" xr:uid="{00000000-0005-0000-0000-00002B9F0000}"/>
    <cellStyle name="Style 27 17" xfId="40743" xr:uid="{00000000-0005-0000-0000-00002C9F0000}"/>
    <cellStyle name="Style 27 17 2" xfId="40744" xr:uid="{00000000-0005-0000-0000-00002D9F0000}"/>
    <cellStyle name="Style 27 17 3" xfId="40745" xr:uid="{00000000-0005-0000-0000-00002E9F0000}"/>
    <cellStyle name="Style 27 18" xfId="40746" xr:uid="{00000000-0005-0000-0000-00002F9F0000}"/>
    <cellStyle name="Style 27 18 2" xfId="40747" xr:uid="{00000000-0005-0000-0000-0000309F0000}"/>
    <cellStyle name="Style 27 18 3" xfId="40748" xr:uid="{00000000-0005-0000-0000-0000319F0000}"/>
    <cellStyle name="Style 27 19" xfId="40749" xr:uid="{00000000-0005-0000-0000-0000329F0000}"/>
    <cellStyle name="Style 27 19 2" xfId="40750" xr:uid="{00000000-0005-0000-0000-0000339F0000}"/>
    <cellStyle name="Style 27 19 3" xfId="40751" xr:uid="{00000000-0005-0000-0000-0000349F0000}"/>
    <cellStyle name="Style 27 2" xfId="40752" xr:uid="{00000000-0005-0000-0000-0000359F0000}"/>
    <cellStyle name="Style 27 2 10" xfId="40753" xr:uid="{00000000-0005-0000-0000-0000369F0000}"/>
    <cellStyle name="Style 27 2 11" xfId="40754" xr:uid="{00000000-0005-0000-0000-0000379F0000}"/>
    <cellStyle name="Style 27 2 12" xfId="40755" xr:uid="{00000000-0005-0000-0000-0000389F0000}"/>
    <cellStyle name="Style 27 2 2" xfId="40756" xr:uid="{00000000-0005-0000-0000-0000399F0000}"/>
    <cellStyle name="Style 27 2 2 10" xfId="40757" xr:uid="{00000000-0005-0000-0000-00003A9F0000}"/>
    <cellStyle name="Style 27 2 2 2" xfId="40758" xr:uid="{00000000-0005-0000-0000-00003B9F0000}"/>
    <cellStyle name="Style 27 2 2 2 2" xfId="40759" xr:uid="{00000000-0005-0000-0000-00003C9F0000}"/>
    <cellStyle name="Style 27 2 2 2 2 2" xfId="40760" xr:uid="{00000000-0005-0000-0000-00003D9F0000}"/>
    <cellStyle name="Style 27 2 2 2 2 2 2" xfId="40761" xr:uid="{00000000-0005-0000-0000-00003E9F0000}"/>
    <cellStyle name="Style 27 2 2 2 2 2 3" xfId="40762" xr:uid="{00000000-0005-0000-0000-00003F9F0000}"/>
    <cellStyle name="Style 27 2 2 2 2 3" xfId="40763" xr:uid="{00000000-0005-0000-0000-0000409F0000}"/>
    <cellStyle name="Style 27 2 2 2 2 3 2" xfId="40764" xr:uid="{00000000-0005-0000-0000-0000419F0000}"/>
    <cellStyle name="Style 27 2 2 2 2 3 3" xfId="40765" xr:uid="{00000000-0005-0000-0000-0000429F0000}"/>
    <cellStyle name="Style 27 2 2 2 2 4" xfId="40766" xr:uid="{00000000-0005-0000-0000-0000439F0000}"/>
    <cellStyle name="Style 27 2 2 2 2 5" xfId="40767" xr:uid="{00000000-0005-0000-0000-0000449F0000}"/>
    <cellStyle name="Style 27 2 2 2 2 6" xfId="40768" xr:uid="{00000000-0005-0000-0000-0000459F0000}"/>
    <cellStyle name="Style 27 2 2 2 3" xfId="40769" xr:uid="{00000000-0005-0000-0000-0000469F0000}"/>
    <cellStyle name="Style 27 2 2 2 3 2" xfId="40770" xr:uid="{00000000-0005-0000-0000-0000479F0000}"/>
    <cellStyle name="Style 27 2 2 2 3 3" xfId="40771" xr:uid="{00000000-0005-0000-0000-0000489F0000}"/>
    <cellStyle name="Style 27 2 2 2 4" xfId="40772" xr:uid="{00000000-0005-0000-0000-0000499F0000}"/>
    <cellStyle name="Style 27 2 2 2 4 2" xfId="40773" xr:uid="{00000000-0005-0000-0000-00004A9F0000}"/>
    <cellStyle name="Style 27 2 2 2 4 3" xfId="40774" xr:uid="{00000000-0005-0000-0000-00004B9F0000}"/>
    <cellStyle name="Style 27 2 2 2 5" xfId="40775" xr:uid="{00000000-0005-0000-0000-00004C9F0000}"/>
    <cellStyle name="Style 27 2 2 2 5 2" xfId="40776" xr:uid="{00000000-0005-0000-0000-00004D9F0000}"/>
    <cellStyle name="Style 27 2 2 2 5 3" xfId="40777" xr:uid="{00000000-0005-0000-0000-00004E9F0000}"/>
    <cellStyle name="Style 27 2 2 2 6" xfId="40778" xr:uid="{00000000-0005-0000-0000-00004F9F0000}"/>
    <cellStyle name="Style 27 2 2 2 7" xfId="40779" xr:uid="{00000000-0005-0000-0000-0000509F0000}"/>
    <cellStyle name="Style 27 2 2 2 8" xfId="40780" xr:uid="{00000000-0005-0000-0000-0000519F0000}"/>
    <cellStyle name="Style 27 2 2 3" xfId="40781" xr:uid="{00000000-0005-0000-0000-0000529F0000}"/>
    <cellStyle name="Style 27 2 2 3 2" xfId="40782" xr:uid="{00000000-0005-0000-0000-0000539F0000}"/>
    <cellStyle name="Style 27 2 2 3 2 2" xfId="40783" xr:uid="{00000000-0005-0000-0000-0000549F0000}"/>
    <cellStyle name="Style 27 2 2 3 2 2 2" xfId="40784" xr:uid="{00000000-0005-0000-0000-0000559F0000}"/>
    <cellStyle name="Style 27 2 2 3 2 2 3" xfId="40785" xr:uid="{00000000-0005-0000-0000-0000569F0000}"/>
    <cellStyle name="Style 27 2 2 3 2 3" xfId="40786" xr:uid="{00000000-0005-0000-0000-0000579F0000}"/>
    <cellStyle name="Style 27 2 2 3 2 3 2" xfId="40787" xr:uid="{00000000-0005-0000-0000-0000589F0000}"/>
    <cellStyle name="Style 27 2 2 3 2 3 3" xfId="40788" xr:uid="{00000000-0005-0000-0000-0000599F0000}"/>
    <cellStyle name="Style 27 2 2 3 2 4" xfId="40789" xr:uid="{00000000-0005-0000-0000-00005A9F0000}"/>
    <cellStyle name="Style 27 2 2 3 2 5" xfId="40790" xr:uid="{00000000-0005-0000-0000-00005B9F0000}"/>
    <cellStyle name="Style 27 2 2 3 2 6" xfId="40791" xr:uid="{00000000-0005-0000-0000-00005C9F0000}"/>
    <cellStyle name="Style 27 2 2 3 3" xfId="40792" xr:uid="{00000000-0005-0000-0000-00005D9F0000}"/>
    <cellStyle name="Style 27 2 2 3 3 2" xfId="40793" xr:uid="{00000000-0005-0000-0000-00005E9F0000}"/>
    <cellStyle name="Style 27 2 2 3 3 3" xfId="40794" xr:uid="{00000000-0005-0000-0000-00005F9F0000}"/>
    <cellStyle name="Style 27 2 2 3 4" xfId="40795" xr:uid="{00000000-0005-0000-0000-0000609F0000}"/>
    <cellStyle name="Style 27 2 2 3 4 2" xfId="40796" xr:uid="{00000000-0005-0000-0000-0000619F0000}"/>
    <cellStyle name="Style 27 2 2 3 4 3" xfId="40797" xr:uid="{00000000-0005-0000-0000-0000629F0000}"/>
    <cellStyle name="Style 27 2 2 3 5" xfId="40798" xr:uid="{00000000-0005-0000-0000-0000639F0000}"/>
    <cellStyle name="Style 27 2 2 3 5 2" xfId="40799" xr:uid="{00000000-0005-0000-0000-0000649F0000}"/>
    <cellStyle name="Style 27 2 2 3 5 3" xfId="40800" xr:uid="{00000000-0005-0000-0000-0000659F0000}"/>
    <cellStyle name="Style 27 2 2 3 6" xfId="40801" xr:uid="{00000000-0005-0000-0000-0000669F0000}"/>
    <cellStyle name="Style 27 2 2 3 7" xfId="40802" xr:uid="{00000000-0005-0000-0000-0000679F0000}"/>
    <cellStyle name="Style 27 2 2 3 8" xfId="40803" xr:uid="{00000000-0005-0000-0000-0000689F0000}"/>
    <cellStyle name="Style 27 2 2 4" xfId="40804" xr:uid="{00000000-0005-0000-0000-0000699F0000}"/>
    <cellStyle name="Style 27 2 2 4 2" xfId="40805" xr:uid="{00000000-0005-0000-0000-00006A9F0000}"/>
    <cellStyle name="Style 27 2 2 4 2 2" xfId="40806" xr:uid="{00000000-0005-0000-0000-00006B9F0000}"/>
    <cellStyle name="Style 27 2 2 4 2 3" xfId="40807" xr:uid="{00000000-0005-0000-0000-00006C9F0000}"/>
    <cellStyle name="Style 27 2 2 4 3" xfId="40808" xr:uid="{00000000-0005-0000-0000-00006D9F0000}"/>
    <cellStyle name="Style 27 2 2 4 3 2" xfId="40809" xr:uid="{00000000-0005-0000-0000-00006E9F0000}"/>
    <cellStyle name="Style 27 2 2 4 3 3" xfId="40810" xr:uid="{00000000-0005-0000-0000-00006F9F0000}"/>
    <cellStyle name="Style 27 2 2 4 4" xfId="40811" xr:uid="{00000000-0005-0000-0000-0000709F0000}"/>
    <cellStyle name="Style 27 2 2 4 5" xfId="40812" xr:uid="{00000000-0005-0000-0000-0000719F0000}"/>
    <cellStyle name="Style 27 2 2 4 6" xfId="40813" xr:uid="{00000000-0005-0000-0000-0000729F0000}"/>
    <cellStyle name="Style 27 2 2 5" xfId="40814" xr:uid="{00000000-0005-0000-0000-0000739F0000}"/>
    <cellStyle name="Style 27 2 2 5 2" xfId="40815" xr:uid="{00000000-0005-0000-0000-0000749F0000}"/>
    <cellStyle name="Style 27 2 2 5 3" xfId="40816" xr:uid="{00000000-0005-0000-0000-0000759F0000}"/>
    <cellStyle name="Style 27 2 2 6" xfId="40817" xr:uid="{00000000-0005-0000-0000-0000769F0000}"/>
    <cellStyle name="Style 27 2 2 6 2" xfId="40818" xr:uid="{00000000-0005-0000-0000-0000779F0000}"/>
    <cellStyle name="Style 27 2 2 6 3" xfId="40819" xr:uid="{00000000-0005-0000-0000-0000789F0000}"/>
    <cellStyle name="Style 27 2 2 7" xfId="40820" xr:uid="{00000000-0005-0000-0000-0000799F0000}"/>
    <cellStyle name="Style 27 2 2 7 2" xfId="40821" xr:uid="{00000000-0005-0000-0000-00007A9F0000}"/>
    <cellStyle name="Style 27 2 2 7 3" xfId="40822" xr:uid="{00000000-0005-0000-0000-00007B9F0000}"/>
    <cellStyle name="Style 27 2 2 8" xfId="40823" xr:uid="{00000000-0005-0000-0000-00007C9F0000}"/>
    <cellStyle name="Style 27 2 2 9" xfId="40824" xr:uid="{00000000-0005-0000-0000-00007D9F0000}"/>
    <cellStyle name="Style 27 2 3" xfId="40825" xr:uid="{00000000-0005-0000-0000-00007E9F0000}"/>
    <cellStyle name="Style 27 2 3 2" xfId="40826" xr:uid="{00000000-0005-0000-0000-00007F9F0000}"/>
    <cellStyle name="Style 27 2 3 2 2" xfId="40827" xr:uid="{00000000-0005-0000-0000-0000809F0000}"/>
    <cellStyle name="Style 27 2 3 2 2 2" xfId="40828" xr:uid="{00000000-0005-0000-0000-0000819F0000}"/>
    <cellStyle name="Style 27 2 3 2 2 3" xfId="40829" xr:uid="{00000000-0005-0000-0000-0000829F0000}"/>
    <cellStyle name="Style 27 2 3 2 3" xfId="40830" xr:uid="{00000000-0005-0000-0000-0000839F0000}"/>
    <cellStyle name="Style 27 2 3 2 3 2" xfId="40831" xr:uid="{00000000-0005-0000-0000-0000849F0000}"/>
    <cellStyle name="Style 27 2 3 2 3 3" xfId="40832" xr:uid="{00000000-0005-0000-0000-0000859F0000}"/>
    <cellStyle name="Style 27 2 3 2 4" xfId="40833" xr:uid="{00000000-0005-0000-0000-0000869F0000}"/>
    <cellStyle name="Style 27 2 3 2 5" xfId="40834" xr:uid="{00000000-0005-0000-0000-0000879F0000}"/>
    <cellStyle name="Style 27 2 3 2 6" xfId="40835" xr:uid="{00000000-0005-0000-0000-0000889F0000}"/>
    <cellStyle name="Style 27 2 3 3" xfId="40836" xr:uid="{00000000-0005-0000-0000-0000899F0000}"/>
    <cellStyle name="Style 27 2 3 3 2" xfId="40837" xr:uid="{00000000-0005-0000-0000-00008A9F0000}"/>
    <cellStyle name="Style 27 2 3 3 3" xfId="40838" xr:uid="{00000000-0005-0000-0000-00008B9F0000}"/>
    <cellStyle name="Style 27 2 3 4" xfId="40839" xr:uid="{00000000-0005-0000-0000-00008C9F0000}"/>
    <cellStyle name="Style 27 2 3 4 2" xfId="40840" xr:uid="{00000000-0005-0000-0000-00008D9F0000}"/>
    <cellStyle name="Style 27 2 3 4 3" xfId="40841" xr:uid="{00000000-0005-0000-0000-00008E9F0000}"/>
    <cellStyle name="Style 27 2 3 5" xfId="40842" xr:uid="{00000000-0005-0000-0000-00008F9F0000}"/>
    <cellStyle name="Style 27 2 3 5 2" xfId="40843" xr:uid="{00000000-0005-0000-0000-0000909F0000}"/>
    <cellStyle name="Style 27 2 3 5 3" xfId="40844" xr:uid="{00000000-0005-0000-0000-0000919F0000}"/>
    <cellStyle name="Style 27 2 3 6" xfId="40845" xr:uid="{00000000-0005-0000-0000-0000929F0000}"/>
    <cellStyle name="Style 27 2 3 7" xfId="40846" xr:uid="{00000000-0005-0000-0000-0000939F0000}"/>
    <cellStyle name="Style 27 2 3 8" xfId="40847" xr:uid="{00000000-0005-0000-0000-0000949F0000}"/>
    <cellStyle name="Style 27 2 4" xfId="40848" xr:uid="{00000000-0005-0000-0000-0000959F0000}"/>
    <cellStyle name="Style 27 2 4 2" xfId="40849" xr:uid="{00000000-0005-0000-0000-0000969F0000}"/>
    <cellStyle name="Style 27 2 4 2 2" xfId="40850" xr:uid="{00000000-0005-0000-0000-0000979F0000}"/>
    <cellStyle name="Style 27 2 4 2 2 2" xfId="40851" xr:uid="{00000000-0005-0000-0000-0000989F0000}"/>
    <cellStyle name="Style 27 2 4 2 2 3" xfId="40852" xr:uid="{00000000-0005-0000-0000-0000999F0000}"/>
    <cellStyle name="Style 27 2 4 2 3" xfId="40853" xr:uid="{00000000-0005-0000-0000-00009A9F0000}"/>
    <cellStyle name="Style 27 2 4 2 3 2" xfId="40854" xr:uid="{00000000-0005-0000-0000-00009B9F0000}"/>
    <cellStyle name="Style 27 2 4 2 3 3" xfId="40855" xr:uid="{00000000-0005-0000-0000-00009C9F0000}"/>
    <cellStyle name="Style 27 2 4 2 4" xfId="40856" xr:uid="{00000000-0005-0000-0000-00009D9F0000}"/>
    <cellStyle name="Style 27 2 4 2 5" xfId="40857" xr:uid="{00000000-0005-0000-0000-00009E9F0000}"/>
    <cellStyle name="Style 27 2 4 2 6" xfId="40858" xr:uid="{00000000-0005-0000-0000-00009F9F0000}"/>
    <cellStyle name="Style 27 2 4 3" xfId="40859" xr:uid="{00000000-0005-0000-0000-0000A09F0000}"/>
    <cellStyle name="Style 27 2 4 3 2" xfId="40860" xr:uid="{00000000-0005-0000-0000-0000A19F0000}"/>
    <cellStyle name="Style 27 2 4 3 3" xfId="40861" xr:uid="{00000000-0005-0000-0000-0000A29F0000}"/>
    <cellStyle name="Style 27 2 4 4" xfId="40862" xr:uid="{00000000-0005-0000-0000-0000A39F0000}"/>
    <cellStyle name="Style 27 2 4 4 2" xfId="40863" xr:uid="{00000000-0005-0000-0000-0000A49F0000}"/>
    <cellStyle name="Style 27 2 4 4 3" xfId="40864" xr:uid="{00000000-0005-0000-0000-0000A59F0000}"/>
    <cellStyle name="Style 27 2 4 5" xfId="40865" xr:uid="{00000000-0005-0000-0000-0000A69F0000}"/>
    <cellStyle name="Style 27 2 4 5 2" xfId="40866" xr:uid="{00000000-0005-0000-0000-0000A79F0000}"/>
    <cellStyle name="Style 27 2 4 5 3" xfId="40867" xr:uid="{00000000-0005-0000-0000-0000A89F0000}"/>
    <cellStyle name="Style 27 2 4 6" xfId="40868" xr:uid="{00000000-0005-0000-0000-0000A99F0000}"/>
    <cellStyle name="Style 27 2 4 7" xfId="40869" xr:uid="{00000000-0005-0000-0000-0000AA9F0000}"/>
    <cellStyle name="Style 27 2 4 8" xfId="40870" xr:uid="{00000000-0005-0000-0000-0000AB9F0000}"/>
    <cellStyle name="Style 27 2 5" xfId="40871" xr:uid="{00000000-0005-0000-0000-0000AC9F0000}"/>
    <cellStyle name="Style 27 2 5 2" xfId="40872" xr:uid="{00000000-0005-0000-0000-0000AD9F0000}"/>
    <cellStyle name="Style 27 2 5 2 2" xfId="40873" xr:uid="{00000000-0005-0000-0000-0000AE9F0000}"/>
    <cellStyle name="Style 27 2 5 2 2 2" xfId="40874" xr:uid="{00000000-0005-0000-0000-0000AF9F0000}"/>
    <cellStyle name="Style 27 2 5 2 2 3" xfId="40875" xr:uid="{00000000-0005-0000-0000-0000B09F0000}"/>
    <cellStyle name="Style 27 2 5 2 3" xfId="40876" xr:uid="{00000000-0005-0000-0000-0000B19F0000}"/>
    <cellStyle name="Style 27 2 5 2 3 2" xfId="40877" xr:uid="{00000000-0005-0000-0000-0000B29F0000}"/>
    <cellStyle name="Style 27 2 5 2 3 3" xfId="40878" xr:uid="{00000000-0005-0000-0000-0000B39F0000}"/>
    <cellStyle name="Style 27 2 5 2 4" xfId="40879" xr:uid="{00000000-0005-0000-0000-0000B49F0000}"/>
    <cellStyle name="Style 27 2 5 2 5" xfId="40880" xr:uid="{00000000-0005-0000-0000-0000B59F0000}"/>
    <cellStyle name="Style 27 2 5 2 6" xfId="40881" xr:uid="{00000000-0005-0000-0000-0000B69F0000}"/>
    <cellStyle name="Style 27 2 5 3" xfId="40882" xr:uid="{00000000-0005-0000-0000-0000B79F0000}"/>
    <cellStyle name="Style 27 2 5 3 2" xfId="40883" xr:uid="{00000000-0005-0000-0000-0000B89F0000}"/>
    <cellStyle name="Style 27 2 5 3 3" xfId="40884" xr:uid="{00000000-0005-0000-0000-0000B99F0000}"/>
    <cellStyle name="Style 27 2 5 4" xfId="40885" xr:uid="{00000000-0005-0000-0000-0000BA9F0000}"/>
    <cellStyle name="Style 27 2 5 4 2" xfId="40886" xr:uid="{00000000-0005-0000-0000-0000BB9F0000}"/>
    <cellStyle name="Style 27 2 5 4 3" xfId="40887" xr:uid="{00000000-0005-0000-0000-0000BC9F0000}"/>
    <cellStyle name="Style 27 2 5 5" xfId="40888" xr:uid="{00000000-0005-0000-0000-0000BD9F0000}"/>
    <cellStyle name="Style 27 2 5 5 2" xfId="40889" xr:uid="{00000000-0005-0000-0000-0000BE9F0000}"/>
    <cellStyle name="Style 27 2 5 5 3" xfId="40890" xr:uid="{00000000-0005-0000-0000-0000BF9F0000}"/>
    <cellStyle name="Style 27 2 5 6" xfId="40891" xr:uid="{00000000-0005-0000-0000-0000C09F0000}"/>
    <cellStyle name="Style 27 2 5 7" xfId="40892" xr:uid="{00000000-0005-0000-0000-0000C19F0000}"/>
    <cellStyle name="Style 27 2 5 8" xfId="40893" xr:uid="{00000000-0005-0000-0000-0000C29F0000}"/>
    <cellStyle name="Style 27 2 6" xfId="40894" xr:uid="{00000000-0005-0000-0000-0000C39F0000}"/>
    <cellStyle name="Style 27 2 6 2" xfId="40895" xr:uid="{00000000-0005-0000-0000-0000C49F0000}"/>
    <cellStyle name="Style 27 2 6 2 2" xfId="40896" xr:uid="{00000000-0005-0000-0000-0000C59F0000}"/>
    <cellStyle name="Style 27 2 6 2 3" xfId="40897" xr:uid="{00000000-0005-0000-0000-0000C69F0000}"/>
    <cellStyle name="Style 27 2 6 3" xfId="40898" xr:uid="{00000000-0005-0000-0000-0000C79F0000}"/>
    <cellStyle name="Style 27 2 6 3 2" xfId="40899" xr:uid="{00000000-0005-0000-0000-0000C89F0000}"/>
    <cellStyle name="Style 27 2 6 3 3" xfId="40900" xr:uid="{00000000-0005-0000-0000-0000C99F0000}"/>
    <cellStyle name="Style 27 2 6 4" xfId="40901" xr:uid="{00000000-0005-0000-0000-0000CA9F0000}"/>
    <cellStyle name="Style 27 2 6 5" xfId="40902" xr:uid="{00000000-0005-0000-0000-0000CB9F0000}"/>
    <cellStyle name="Style 27 2 6 6" xfId="40903" xr:uid="{00000000-0005-0000-0000-0000CC9F0000}"/>
    <cellStyle name="Style 27 2 7" xfId="40904" xr:uid="{00000000-0005-0000-0000-0000CD9F0000}"/>
    <cellStyle name="Style 27 2 7 2" xfId="40905" xr:uid="{00000000-0005-0000-0000-0000CE9F0000}"/>
    <cellStyle name="Style 27 2 7 3" xfId="40906" xr:uid="{00000000-0005-0000-0000-0000CF9F0000}"/>
    <cellStyle name="Style 27 2 8" xfId="40907" xr:uid="{00000000-0005-0000-0000-0000D09F0000}"/>
    <cellStyle name="Style 27 2 8 2" xfId="40908" xr:uid="{00000000-0005-0000-0000-0000D19F0000}"/>
    <cellStyle name="Style 27 2 8 3" xfId="40909" xr:uid="{00000000-0005-0000-0000-0000D29F0000}"/>
    <cellStyle name="Style 27 2 9" xfId="40910" xr:uid="{00000000-0005-0000-0000-0000D39F0000}"/>
    <cellStyle name="Style 27 2 9 2" xfId="40911" xr:uid="{00000000-0005-0000-0000-0000D49F0000}"/>
    <cellStyle name="Style 27 2 9 3" xfId="40912" xr:uid="{00000000-0005-0000-0000-0000D59F0000}"/>
    <cellStyle name="Style 27 20" xfId="40913" xr:uid="{00000000-0005-0000-0000-0000D69F0000}"/>
    <cellStyle name="Style 27 21" xfId="40914" xr:uid="{00000000-0005-0000-0000-0000D79F0000}"/>
    <cellStyle name="Style 27 22" xfId="40915" xr:uid="{00000000-0005-0000-0000-0000D89F0000}"/>
    <cellStyle name="Style 27 3" xfId="40916" xr:uid="{00000000-0005-0000-0000-0000D99F0000}"/>
    <cellStyle name="Style 27 3 10" xfId="40917" xr:uid="{00000000-0005-0000-0000-0000DA9F0000}"/>
    <cellStyle name="Style 27 3 11" xfId="40918" xr:uid="{00000000-0005-0000-0000-0000DB9F0000}"/>
    <cellStyle name="Style 27 3 12" xfId="40919" xr:uid="{00000000-0005-0000-0000-0000DC9F0000}"/>
    <cellStyle name="Style 27 3 2" xfId="40920" xr:uid="{00000000-0005-0000-0000-0000DD9F0000}"/>
    <cellStyle name="Style 27 3 2 10" xfId="40921" xr:uid="{00000000-0005-0000-0000-0000DE9F0000}"/>
    <cellStyle name="Style 27 3 2 2" xfId="40922" xr:uid="{00000000-0005-0000-0000-0000DF9F0000}"/>
    <cellStyle name="Style 27 3 2 2 2" xfId="40923" xr:uid="{00000000-0005-0000-0000-0000E09F0000}"/>
    <cellStyle name="Style 27 3 2 2 2 2" xfId="40924" xr:uid="{00000000-0005-0000-0000-0000E19F0000}"/>
    <cellStyle name="Style 27 3 2 2 2 2 2" xfId="40925" xr:uid="{00000000-0005-0000-0000-0000E29F0000}"/>
    <cellStyle name="Style 27 3 2 2 2 2 3" xfId="40926" xr:uid="{00000000-0005-0000-0000-0000E39F0000}"/>
    <cellStyle name="Style 27 3 2 2 2 3" xfId="40927" xr:uid="{00000000-0005-0000-0000-0000E49F0000}"/>
    <cellStyle name="Style 27 3 2 2 2 3 2" xfId="40928" xr:uid="{00000000-0005-0000-0000-0000E59F0000}"/>
    <cellStyle name="Style 27 3 2 2 2 3 3" xfId="40929" xr:uid="{00000000-0005-0000-0000-0000E69F0000}"/>
    <cellStyle name="Style 27 3 2 2 2 4" xfId="40930" xr:uid="{00000000-0005-0000-0000-0000E79F0000}"/>
    <cellStyle name="Style 27 3 2 2 2 5" xfId="40931" xr:uid="{00000000-0005-0000-0000-0000E89F0000}"/>
    <cellStyle name="Style 27 3 2 2 2 6" xfId="40932" xr:uid="{00000000-0005-0000-0000-0000E99F0000}"/>
    <cellStyle name="Style 27 3 2 2 3" xfId="40933" xr:uid="{00000000-0005-0000-0000-0000EA9F0000}"/>
    <cellStyle name="Style 27 3 2 2 3 2" xfId="40934" xr:uid="{00000000-0005-0000-0000-0000EB9F0000}"/>
    <cellStyle name="Style 27 3 2 2 3 3" xfId="40935" xr:uid="{00000000-0005-0000-0000-0000EC9F0000}"/>
    <cellStyle name="Style 27 3 2 2 4" xfId="40936" xr:uid="{00000000-0005-0000-0000-0000ED9F0000}"/>
    <cellStyle name="Style 27 3 2 2 4 2" xfId="40937" xr:uid="{00000000-0005-0000-0000-0000EE9F0000}"/>
    <cellStyle name="Style 27 3 2 2 4 3" xfId="40938" xr:uid="{00000000-0005-0000-0000-0000EF9F0000}"/>
    <cellStyle name="Style 27 3 2 2 5" xfId="40939" xr:uid="{00000000-0005-0000-0000-0000F09F0000}"/>
    <cellStyle name="Style 27 3 2 2 5 2" xfId="40940" xr:uid="{00000000-0005-0000-0000-0000F19F0000}"/>
    <cellStyle name="Style 27 3 2 2 5 3" xfId="40941" xr:uid="{00000000-0005-0000-0000-0000F29F0000}"/>
    <cellStyle name="Style 27 3 2 2 6" xfId="40942" xr:uid="{00000000-0005-0000-0000-0000F39F0000}"/>
    <cellStyle name="Style 27 3 2 2 7" xfId="40943" xr:uid="{00000000-0005-0000-0000-0000F49F0000}"/>
    <cellStyle name="Style 27 3 2 2 8" xfId="40944" xr:uid="{00000000-0005-0000-0000-0000F59F0000}"/>
    <cellStyle name="Style 27 3 2 3" xfId="40945" xr:uid="{00000000-0005-0000-0000-0000F69F0000}"/>
    <cellStyle name="Style 27 3 2 3 2" xfId="40946" xr:uid="{00000000-0005-0000-0000-0000F79F0000}"/>
    <cellStyle name="Style 27 3 2 3 2 2" xfId="40947" xr:uid="{00000000-0005-0000-0000-0000F89F0000}"/>
    <cellStyle name="Style 27 3 2 3 2 2 2" xfId="40948" xr:uid="{00000000-0005-0000-0000-0000F99F0000}"/>
    <cellStyle name="Style 27 3 2 3 2 2 3" xfId="40949" xr:uid="{00000000-0005-0000-0000-0000FA9F0000}"/>
    <cellStyle name="Style 27 3 2 3 2 3" xfId="40950" xr:uid="{00000000-0005-0000-0000-0000FB9F0000}"/>
    <cellStyle name="Style 27 3 2 3 2 3 2" xfId="40951" xr:uid="{00000000-0005-0000-0000-0000FC9F0000}"/>
    <cellStyle name="Style 27 3 2 3 2 3 3" xfId="40952" xr:uid="{00000000-0005-0000-0000-0000FD9F0000}"/>
    <cellStyle name="Style 27 3 2 3 2 4" xfId="40953" xr:uid="{00000000-0005-0000-0000-0000FE9F0000}"/>
    <cellStyle name="Style 27 3 2 3 2 5" xfId="40954" xr:uid="{00000000-0005-0000-0000-0000FF9F0000}"/>
    <cellStyle name="Style 27 3 2 3 2 6" xfId="40955" xr:uid="{00000000-0005-0000-0000-000000A00000}"/>
    <cellStyle name="Style 27 3 2 3 3" xfId="40956" xr:uid="{00000000-0005-0000-0000-000001A00000}"/>
    <cellStyle name="Style 27 3 2 3 3 2" xfId="40957" xr:uid="{00000000-0005-0000-0000-000002A00000}"/>
    <cellStyle name="Style 27 3 2 3 3 3" xfId="40958" xr:uid="{00000000-0005-0000-0000-000003A00000}"/>
    <cellStyle name="Style 27 3 2 3 4" xfId="40959" xr:uid="{00000000-0005-0000-0000-000004A00000}"/>
    <cellStyle name="Style 27 3 2 3 4 2" xfId="40960" xr:uid="{00000000-0005-0000-0000-000005A00000}"/>
    <cellStyle name="Style 27 3 2 3 4 3" xfId="40961" xr:uid="{00000000-0005-0000-0000-000006A00000}"/>
    <cellStyle name="Style 27 3 2 3 5" xfId="40962" xr:uid="{00000000-0005-0000-0000-000007A00000}"/>
    <cellStyle name="Style 27 3 2 3 5 2" xfId="40963" xr:uid="{00000000-0005-0000-0000-000008A00000}"/>
    <cellStyle name="Style 27 3 2 3 5 3" xfId="40964" xr:uid="{00000000-0005-0000-0000-000009A00000}"/>
    <cellStyle name="Style 27 3 2 3 6" xfId="40965" xr:uid="{00000000-0005-0000-0000-00000AA00000}"/>
    <cellStyle name="Style 27 3 2 3 7" xfId="40966" xr:uid="{00000000-0005-0000-0000-00000BA00000}"/>
    <cellStyle name="Style 27 3 2 3 8" xfId="40967" xr:uid="{00000000-0005-0000-0000-00000CA00000}"/>
    <cellStyle name="Style 27 3 2 4" xfId="40968" xr:uid="{00000000-0005-0000-0000-00000DA00000}"/>
    <cellStyle name="Style 27 3 2 4 2" xfId="40969" xr:uid="{00000000-0005-0000-0000-00000EA00000}"/>
    <cellStyle name="Style 27 3 2 4 2 2" xfId="40970" xr:uid="{00000000-0005-0000-0000-00000FA00000}"/>
    <cellStyle name="Style 27 3 2 4 2 3" xfId="40971" xr:uid="{00000000-0005-0000-0000-000010A00000}"/>
    <cellStyle name="Style 27 3 2 4 3" xfId="40972" xr:uid="{00000000-0005-0000-0000-000011A00000}"/>
    <cellStyle name="Style 27 3 2 4 3 2" xfId="40973" xr:uid="{00000000-0005-0000-0000-000012A00000}"/>
    <cellStyle name="Style 27 3 2 4 3 3" xfId="40974" xr:uid="{00000000-0005-0000-0000-000013A00000}"/>
    <cellStyle name="Style 27 3 2 4 4" xfId="40975" xr:uid="{00000000-0005-0000-0000-000014A00000}"/>
    <cellStyle name="Style 27 3 2 4 5" xfId="40976" xr:uid="{00000000-0005-0000-0000-000015A00000}"/>
    <cellStyle name="Style 27 3 2 4 6" xfId="40977" xr:uid="{00000000-0005-0000-0000-000016A00000}"/>
    <cellStyle name="Style 27 3 2 5" xfId="40978" xr:uid="{00000000-0005-0000-0000-000017A00000}"/>
    <cellStyle name="Style 27 3 2 5 2" xfId="40979" xr:uid="{00000000-0005-0000-0000-000018A00000}"/>
    <cellStyle name="Style 27 3 2 5 3" xfId="40980" xr:uid="{00000000-0005-0000-0000-000019A00000}"/>
    <cellStyle name="Style 27 3 2 6" xfId="40981" xr:uid="{00000000-0005-0000-0000-00001AA00000}"/>
    <cellStyle name="Style 27 3 2 6 2" xfId="40982" xr:uid="{00000000-0005-0000-0000-00001BA00000}"/>
    <cellStyle name="Style 27 3 2 6 3" xfId="40983" xr:uid="{00000000-0005-0000-0000-00001CA00000}"/>
    <cellStyle name="Style 27 3 2 7" xfId="40984" xr:uid="{00000000-0005-0000-0000-00001DA00000}"/>
    <cellStyle name="Style 27 3 2 7 2" xfId="40985" xr:uid="{00000000-0005-0000-0000-00001EA00000}"/>
    <cellStyle name="Style 27 3 2 7 3" xfId="40986" xr:uid="{00000000-0005-0000-0000-00001FA00000}"/>
    <cellStyle name="Style 27 3 2 8" xfId="40987" xr:uid="{00000000-0005-0000-0000-000020A00000}"/>
    <cellStyle name="Style 27 3 2 9" xfId="40988" xr:uid="{00000000-0005-0000-0000-000021A00000}"/>
    <cellStyle name="Style 27 3 3" xfId="40989" xr:uid="{00000000-0005-0000-0000-000022A00000}"/>
    <cellStyle name="Style 27 3 3 2" xfId="40990" xr:uid="{00000000-0005-0000-0000-000023A00000}"/>
    <cellStyle name="Style 27 3 3 2 2" xfId="40991" xr:uid="{00000000-0005-0000-0000-000024A00000}"/>
    <cellStyle name="Style 27 3 3 2 2 2" xfId="40992" xr:uid="{00000000-0005-0000-0000-000025A00000}"/>
    <cellStyle name="Style 27 3 3 2 2 3" xfId="40993" xr:uid="{00000000-0005-0000-0000-000026A00000}"/>
    <cellStyle name="Style 27 3 3 2 3" xfId="40994" xr:uid="{00000000-0005-0000-0000-000027A00000}"/>
    <cellStyle name="Style 27 3 3 2 3 2" xfId="40995" xr:uid="{00000000-0005-0000-0000-000028A00000}"/>
    <cellStyle name="Style 27 3 3 2 3 3" xfId="40996" xr:uid="{00000000-0005-0000-0000-000029A00000}"/>
    <cellStyle name="Style 27 3 3 2 4" xfId="40997" xr:uid="{00000000-0005-0000-0000-00002AA00000}"/>
    <cellStyle name="Style 27 3 3 2 5" xfId="40998" xr:uid="{00000000-0005-0000-0000-00002BA00000}"/>
    <cellStyle name="Style 27 3 3 2 6" xfId="40999" xr:uid="{00000000-0005-0000-0000-00002CA00000}"/>
    <cellStyle name="Style 27 3 3 3" xfId="41000" xr:uid="{00000000-0005-0000-0000-00002DA00000}"/>
    <cellStyle name="Style 27 3 3 3 2" xfId="41001" xr:uid="{00000000-0005-0000-0000-00002EA00000}"/>
    <cellStyle name="Style 27 3 3 3 3" xfId="41002" xr:uid="{00000000-0005-0000-0000-00002FA00000}"/>
    <cellStyle name="Style 27 3 3 4" xfId="41003" xr:uid="{00000000-0005-0000-0000-000030A00000}"/>
    <cellStyle name="Style 27 3 3 4 2" xfId="41004" xr:uid="{00000000-0005-0000-0000-000031A00000}"/>
    <cellStyle name="Style 27 3 3 4 3" xfId="41005" xr:uid="{00000000-0005-0000-0000-000032A00000}"/>
    <cellStyle name="Style 27 3 3 5" xfId="41006" xr:uid="{00000000-0005-0000-0000-000033A00000}"/>
    <cellStyle name="Style 27 3 3 5 2" xfId="41007" xr:uid="{00000000-0005-0000-0000-000034A00000}"/>
    <cellStyle name="Style 27 3 3 5 3" xfId="41008" xr:uid="{00000000-0005-0000-0000-000035A00000}"/>
    <cellStyle name="Style 27 3 3 6" xfId="41009" xr:uid="{00000000-0005-0000-0000-000036A00000}"/>
    <cellStyle name="Style 27 3 3 7" xfId="41010" xr:uid="{00000000-0005-0000-0000-000037A00000}"/>
    <cellStyle name="Style 27 3 3 8" xfId="41011" xr:uid="{00000000-0005-0000-0000-000038A00000}"/>
    <cellStyle name="Style 27 3 4" xfId="41012" xr:uid="{00000000-0005-0000-0000-000039A00000}"/>
    <cellStyle name="Style 27 3 4 2" xfId="41013" xr:uid="{00000000-0005-0000-0000-00003AA00000}"/>
    <cellStyle name="Style 27 3 4 2 2" xfId="41014" xr:uid="{00000000-0005-0000-0000-00003BA00000}"/>
    <cellStyle name="Style 27 3 4 2 2 2" xfId="41015" xr:uid="{00000000-0005-0000-0000-00003CA00000}"/>
    <cellStyle name="Style 27 3 4 2 2 3" xfId="41016" xr:uid="{00000000-0005-0000-0000-00003DA00000}"/>
    <cellStyle name="Style 27 3 4 2 3" xfId="41017" xr:uid="{00000000-0005-0000-0000-00003EA00000}"/>
    <cellStyle name="Style 27 3 4 2 3 2" xfId="41018" xr:uid="{00000000-0005-0000-0000-00003FA00000}"/>
    <cellStyle name="Style 27 3 4 2 3 3" xfId="41019" xr:uid="{00000000-0005-0000-0000-000040A00000}"/>
    <cellStyle name="Style 27 3 4 2 4" xfId="41020" xr:uid="{00000000-0005-0000-0000-000041A00000}"/>
    <cellStyle name="Style 27 3 4 2 5" xfId="41021" xr:uid="{00000000-0005-0000-0000-000042A00000}"/>
    <cellStyle name="Style 27 3 4 2 6" xfId="41022" xr:uid="{00000000-0005-0000-0000-000043A00000}"/>
    <cellStyle name="Style 27 3 4 3" xfId="41023" xr:uid="{00000000-0005-0000-0000-000044A00000}"/>
    <cellStyle name="Style 27 3 4 3 2" xfId="41024" xr:uid="{00000000-0005-0000-0000-000045A00000}"/>
    <cellStyle name="Style 27 3 4 3 3" xfId="41025" xr:uid="{00000000-0005-0000-0000-000046A00000}"/>
    <cellStyle name="Style 27 3 4 4" xfId="41026" xr:uid="{00000000-0005-0000-0000-000047A00000}"/>
    <cellStyle name="Style 27 3 4 4 2" xfId="41027" xr:uid="{00000000-0005-0000-0000-000048A00000}"/>
    <cellStyle name="Style 27 3 4 4 3" xfId="41028" xr:uid="{00000000-0005-0000-0000-000049A00000}"/>
    <cellStyle name="Style 27 3 4 5" xfId="41029" xr:uid="{00000000-0005-0000-0000-00004AA00000}"/>
    <cellStyle name="Style 27 3 4 5 2" xfId="41030" xr:uid="{00000000-0005-0000-0000-00004BA00000}"/>
    <cellStyle name="Style 27 3 4 5 3" xfId="41031" xr:uid="{00000000-0005-0000-0000-00004CA00000}"/>
    <cellStyle name="Style 27 3 4 6" xfId="41032" xr:uid="{00000000-0005-0000-0000-00004DA00000}"/>
    <cellStyle name="Style 27 3 4 7" xfId="41033" xr:uid="{00000000-0005-0000-0000-00004EA00000}"/>
    <cellStyle name="Style 27 3 4 8" xfId="41034" xr:uid="{00000000-0005-0000-0000-00004FA00000}"/>
    <cellStyle name="Style 27 3 5" xfId="41035" xr:uid="{00000000-0005-0000-0000-000050A00000}"/>
    <cellStyle name="Style 27 3 5 2" xfId="41036" xr:uid="{00000000-0005-0000-0000-000051A00000}"/>
    <cellStyle name="Style 27 3 5 2 2" xfId="41037" xr:uid="{00000000-0005-0000-0000-000052A00000}"/>
    <cellStyle name="Style 27 3 5 2 2 2" xfId="41038" xr:uid="{00000000-0005-0000-0000-000053A00000}"/>
    <cellStyle name="Style 27 3 5 2 2 3" xfId="41039" xr:uid="{00000000-0005-0000-0000-000054A00000}"/>
    <cellStyle name="Style 27 3 5 2 3" xfId="41040" xr:uid="{00000000-0005-0000-0000-000055A00000}"/>
    <cellStyle name="Style 27 3 5 2 3 2" xfId="41041" xr:uid="{00000000-0005-0000-0000-000056A00000}"/>
    <cellStyle name="Style 27 3 5 2 3 3" xfId="41042" xr:uid="{00000000-0005-0000-0000-000057A00000}"/>
    <cellStyle name="Style 27 3 5 2 4" xfId="41043" xr:uid="{00000000-0005-0000-0000-000058A00000}"/>
    <cellStyle name="Style 27 3 5 2 5" xfId="41044" xr:uid="{00000000-0005-0000-0000-000059A00000}"/>
    <cellStyle name="Style 27 3 5 2 6" xfId="41045" xr:uid="{00000000-0005-0000-0000-00005AA00000}"/>
    <cellStyle name="Style 27 3 5 3" xfId="41046" xr:uid="{00000000-0005-0000-0000-00005BA00000}"/>
    <cellStyle name="Style 27 3 5 3 2" xfId="41047" xr:uid="{00000000-0005-0000-0000-00005CA00000}"/>
    <cellStyle name="Style 27 3 5 3 3" xfId="41048" xr:uid="{00000000-0005-0000-0000-00005DA00000}"/>
    <cellStyle name="Style 27 3 5 4" xfId="41049" xr:uid="{00000000-0005-0000-0000-00005EA00000}"/>
    <cellStyle name="Style 27 3 5 4 2" xfId="41050" xr:uid="{00000000-0005-0000-0000-00005FA00000}"/>
    <cellStyle name="Style 27 3 5 4 3" xfId="41051" xr:uid="{00000000-0005-0000-0000-000060A00000}"/>
    <cellStyle name="Style 27 3 5 5" xfId="41052" xr:uid="{00000000-0005-0000-0000-000061A00000}"/>
    <cellStyle name="Style 27 3 5 5 2" xfId="41053" xr:uid="{00000000-0005-0000-0000-000062A00000}"/>
    <cellStyle name="Style 27 3 5 5 3" xfId="41054" xr:uid="{00000000-0005-0000-0000-000063A00000}"/>
    <cellStyle name="Style 27 3 5 6" xfId="41055" xr:uid="{00000000-0005-0000-0000-000064A00000}"/>
    <cellStyle name="Style 27 3 5 7" xfId="41056" xr:uid="{00000000-0005-0000-0000-000065A00000}"/>
    <cellStyle name="Style 27 3 5 8" xfId="41057" xr:uid="{00000000-0005-0000-0000-000066A00000}"/>
    <cellStyle name="Style 27 3 6" xfId="41058" xr:uid="{00000000-0005-0000-0000-000067A00000}"/>
    <cellStyle name="Style 27 3 6 2" xfId="41059" xr:uid="{00000000-0005-0000-0000-000068A00000}"/>
    <cellStyle name="Style 27 3 6 2 2" xfId="41060" xr:uid="{00000000-0005-0000-0000-000069A00000}"/>
    <cellStyle name="Style 27 3 6 2 3" xfId="41061" xr:uid="{00000000-0005-0000-0000-00006AA00000}"/>
    <cellStyle name="Style 27 3 6 3" xfId="41062" xr:uid="{00000000-0005-0000-0000-00006BA00000}"/>
    <cellStyle name="Style 27 3 6 3 2" xfId="41063" xr:uid="{00000000-0005-0000-0000-00006CA00000}"/>
    <cellStyle name="Style 27 3 6 3 3" xfId="41064" xr:uid="{00000000-0005-0000-0000-00006DA00000}"/>
    <cellStyle name="Style 27 3 6 4" xfId="41065" xr:uid="{00000000-0005-0000-0000-00006EA00000}"/>
    <cellStyle name="Style 27 3 6 5" xfId="41066" xr:uid="{00000000-0005-0000-0000-00006FA00000}"/>
    <cellStyle name="Style 27 3 6 6" xfId="41067" xr:uid="{00000000-0005-0000-0000-000070A00000}"/>
    <cellStyle name="Style 27 3 7" xfId="41068" xr:uid="{00000000-0005-0000-0000-000071A00000}"/>
    <cellStyle name="Style 27 3 7 2" xfId="41069" xr:uid="{00000000-0005-0000-0000-000072A00000}"/>
    <cellStyle name="Style 27 3 7 3" xfId="41070" xr:uid="{00000000-0005-0000-0000-000073A00000}"/>
    <cellStyle name="Style 27 3 8" xfId="41071" xr:uid="{00000000-0005-0000-0000-000074A00000}"/>
    <cellStyle name="Style 27 3 8 2" xfId="41072" xr:uid="{00000000-0005-0000-0000-000075A00000}"/>
    <cellStyle name="Style 27 3 8 3" xfId="41073" xr:uid="{00000000-0005-0000-0000-000076A00000}"/>
    <cellStyle name="Style 27 3 9" xfId="41074" xr:uid="{00000000-0005-0000-0000-000077A00000}"/>
    <cellStyle name="Style 27 3 9 2" xfId="41075" xr:uid="{00000000-0005-0000-0000-000078A00000}"/>
    <cellStyle name="Style 27 3 9 3" xfId="41076" xr:uid="{00000000-0005-0000-0000-000079A00000}"/>
    <cellStyle name="Style 27 4" xfId="41077" xr:uid="{00000000-0005-0000-0000-00007AA00000}"/>
    <cellStyle name="Style 27 4 10" xfId="41078" xr:uid="{00000000-0005-0000-0000-00007BA00000}"/>
    <cellStyle name="Style 27 4 11" xfId="41079" xr:uid="{00000000-0005-0000-0000-00007CA00000}"/>
    <cellStyle name="Style 27 4 12" xfId="41080" xr:uid="{00000000-0005-0000-0000-00007DA00000}"/>
    <cellStyle name="Style 27 4 2" xfId="41081" xr:uid="{00000000-0005-0000-0000-00007EA00000}"/>
    <cellStyle name="Style 27 4 2 10" xfId="41082" xr:uid="{00000000-0005-0000-0000-00007FA00000}"/>
    <cellStyle name="Style 27 4 2 2" xfId="41083" xr:uid="{00000000-0005-0000-0000-000080A00000}"/>
    <cellStyle name="Style 27 4 2 2 2" xfId="41084" xr:uid="{00000000-0005-0000-0000-000081A00000}"/>
    <cellStyle name="Style 27 4 2 2 2 2" xfId="41085" xr:uid="{00000000-0005-0000-0000-000082A00000}"/>
    <cellStyle name="Style 27 4 2 2 2 2 2" xfId="41086" xr:uid="{00000000-0005-0000-0000-000083A00000}"/>
    <cellStyle name="Style 27 4 2 2 2 2 3" xfId="41087" xr:uid="{00000000-0005-0000-0000-000084A00000}"/>
    <cellStyle name="Style 27 4 2 2 2 3" xfId="41088" xr:uid="{00000000-0005-0000-0000-000085A00000}"/>
    <cellStyle name="Style 27 4 2 2 2 3 2" xfId="41089" xr:uid="{00000000-0005-0000-0000-000086A00000}"/>
    <cellStyle name="Style 27 4 2 2 2 3 3" xfId="41090" xr:uid="{00000000-0005-0000-0000-000087A00000}"/>
    <cellStyle name="Style 27 4 2 2 2 4" xfId="41091" xr:uid="{00000000-0005-0000-0000-000088A00000}"/>
    <cellStyle name="Style 27 4 2 2 2 5" xfId="41092" xr:uid="{00000000-0005-0000-0000-000089A00000}"/>
    <cellStyle name="Style 27 4 2 2 2 6" xfId="41093" xr:uid="{00000000-0005-0000-0000-00008AA00000}"/>
    <cellStyle name="Style 27 4 2 2 3" xfId="41094" xr:uid="{00000000-0005-0000-0000-00008BA00000}"/>
    <cellStyle name="Style 27 4 2 2 3 2" xfId="41095" xr:uid="{00000000-0005-0000-0000-00008CA00000}"/>
    <cellStyle name="Style 27 4 2 2 3 3" xfId="41096" xr:uid="{00000000-0005-0000-0000-00008DA00000}"/>
    <cellStyle name="Style 27 4 2 2 4" xfId="41097" xr:uid="{00000000-0005-0000-0000-00008EA00000}"/>
    <cellStyle name="Style 27 4 2 2 4 2" xfId="41098" xr:uid="{00000000-0005-0000-0000-00008FA00000}"/>
    <cellStyle name="Style 27 4 2 2 4 3" xfId="41099" xr:uid="{00000000-0005-0000-0000-000090A00000}"/>
    <cellStyle name="Style 27 4 2 2 5" xfId="41100" xr:uid="{00000000-0005-0000-0000-000091A00000}"/>
    <cellStyle name="Style 27 4 2 2 5 2" xfId="41101" xr:uid="{00000000-0005-0000-0000-000092A00000}"/>
    <cellStyle name="Style 27 4 2 2 5 3" xfId="41102" xr:uid="{00000000-0005-0000-0000-000093A00000}"/>
    <cellStyle name="Style 27 4 2 2 6" xfId="41103" xr:uid="{00000000-0005-0000-0000-000094A00000}"/>
    <cellStyle name="Style 27 4 2 2 7" xfId="41104" xr:uid="{00000000-0005-0000-0000-000095A00000}"/>
    <cellStyle name="Style 27 4 2 2 8" xfId="41105" xr:uid="{00000000-0005-0000-0000-000096A00000}"/>
    <cellStyle name="Style 27 4 2 3" xfId="41106" xr:uid="{00000000-0005-0000-0000-000097A00000}"/>
    <cellStyle name="Style 27 4 2 3 2" xfId="41107" xr:uid="{00000000-0005-0000-0000-000098A00000}"/>
    <cellStyle name="Style 27 4 2 3 2 2" xfId="41108" xr:uid="{00000000-0005-0000-0000-000099A00000}"/>
    <cellStyle name="Style 27 4 2 3 2 2 2" xfId="41109" xr:uid="{00000000-0005-0000-0000-00009AA00000}"/>
    <cellStyle name="Style 27 4 2 3 2 2 3" xfId="41110" xr:uid="{00000000-0005-0000-0000-00009BA00000}"/>
    <cellStyle name="Style 27 4 2 3 2 3" xfId="41111" xr:uid="{00000000-0005-0000-0000-00009CA00000}"/>
    <cellStyle name="Style 27 4 2 3 2 3 2" xfId="41112" xr:uid="{00000000-0005-0000-0000-00009DA00000}"/>
    <cellStyle name="Style 27 4 2 3 2 3 3" xfId="41113" xr:uid="{00000000-0005-0000-0000-00009EA00000}"/>
    <cellStyle name="Style 27 4 2 3 2 4" xfId="41114" xr:uid="{00000000-0005-0000-0000-00009FA00000}"/>
    <cellStyle name="Style 27 4 2 3 2 5" xfId="41115" xr:uid="{00000000-0005-0000-0000-0000A0A00000}"/>
    <cellStyle name="Style 27 4 2 3 2 6" xfId="41116" xr:uid="{00000000-0005-0000-0000-0000A1A00000}"/>
    <cellStyle name="Style 27 4 2 3 3" xfId="41117" xr:uid="{00000000-0005-0000-0000-0000A2A00000}"/>
    <cellStyle name="Style 27 4 2 3 3 2" xfId="41118" xr:uid="{00000000-0005-0000-0000-0000A3A00000}"/>
    <cellStyle name="Style 27 4 2 3 3 3" xfId="41119" xr:uid="{00000000-0005-0000-0000-0000A4A00000}"/>
    <cellStyle name="Style 27 4 2 3 4" xfId="41120" xr:uid="{00000000-0005-0000-0000-0000A5A00000}"/>
    <cellStyle name="Style 27 4 2 3 4 2" xfId="41121" xr:uid="{00000000-0005-0000-0000-0000A6A00000}"/>
    <cellStyle name="Style 27 4 2 3 4 3" xfId="41122" xr:uid="{00000000-0005-0000-0000-0000A7A00000}"/>
    <cellStyle name="Style 27 4 2 3 5" xfId="41123" xr:uid="{00000000-0005-0000-0000-0000A8A00000}"/>
    <cellStyle name="Style 27 4 2 3 5 2" xfId="41124" xr:uid="{00000000-0005-0000-0000-0000A9A00000}"/>
    <cellStyle name="Style 27 4 2 3 5 3" xfId="41125" xr:uid="{00000000-0005-0000-0000-0000AAA00000}"/>
    <cellStyle name="Style 27 4 2 3 6" xfId="41126" xr:uid="{00000000-0005-0000-0000-0000ABA00000}"/>
    <cellStyle name="Style 27 4 2 3 7" xfId="41127" xr:uid="{00000000-0005-0000-0000-0000ACA00000}"/>
    <cellStyle name="Style 27 4 2 3 8" xfId="41128" xr:uid="{00000000-0005-0000-0000-0000ADA00000}"/>
    <cellStyle name="Style 27 4 2 4" xfId="41129" xr:uid="{00000000-0005-0000-0000-0000AEA00000}"/>
    <cellStyle name="Style 27 4 2 4 2" xfId="41130" xr:uid="{00000000-0005-0000-0000-0000AFA00000}"/>
    <cellStyle name="Style 27 4 2 4 2 2" xfId="41131" xr:uid="{00000000-0005-0000-0000-0000B0A00000}"/>
    <cellStyle name="Style 27 4 2 4 2 3" xfId="41132" xr:uid="{00000000-0005-0000-0000-0000B1A00000}"/>
    <cellStyle name="Style 27 4 2 4 3" xfId="41133" xr:uid="{00000000-0005-0000-0000-0000B2A00000}"/>
    <cellStyle name="Style 27 4 2 4 3 2" xfId="41134" xr:uid="{00000000-0005-0000-0000-0000B3A00000}"/>
    <cellStyle name="Style 27 4 2 4 3 3" xfId="41135" xr:uid="{00000000-0005-0000-0000-0000B4A00000}"/>
    <cellStyle name="Style 27 4 2 4 4" xfId="41136" xr:uid="{00000000-0005-0000-0000-0000B5A00000}"/>
    <cellStyle name="Style 27 4 2 4 5" xfId="41137" xr:uid="{00000000-0005-0000-0000-0000B6A00000}"/>
    <cellStyle name="Style 27 4 2 4 6" xfId="41138" xr:uid="{00000000-0005-0000-0000-0000B7A00000}"/>
    <cellStyle name="Style 27 4 2 5" xfId="41139" xr:uid="{00000000-0005-0000-0000-0000B8A00000}"/>
    <cellStyle name="Style 27 4 2 5 2" xfId="41140" xr:uid="{00000000-0005-0000-0000-0000B9A00000}"/>
    <cellStyle name="Style 27 4 2 5 3" xfId="41141" xr:uid="{00000000-0005-0000-0000-0000BAA00000}"/>
    <cellStyle name="Style 27 4 2 6" xfId="41142" xr:uid="{00000000-0005-0000-0000-0000BBA00000}"/>
    <cellStyle name="Style 27 4 2 6 2" xfId="41143" xr:uid="{00000000-0005-0000-0000-0000BCA00000}"/>
    <cellStyle name="Style 27 4 2 6 3" xfId="41144" xr:uid="{00000000-0005-0000-0000-0000BDA00000}"/>
    <cellStyle name="Style 27 4 2 7" xfId="41145" xr:uid="{00000000-0005-0000-0000-0000BEA00000}"/>
    <cellStyle name="Style 27 4 2 7 2" xfId="41146" xr:uid="{00000000-0005-0000-0000-0000BFA00000}"/>
    <cellStyle name="Style 27 4 2 7 3" xfId="41147" xr:uid="{00000000-0005-0000-0000-0000C0A00000}"/>
    <cellStyle name="Style 27 4 2 8" xfId="41148" xr:uid="{00000000-0005-0000-0000-0000C1A00000}"/>
    <cellStyle name="Style 27 4 2 9" xfId="41149" xr:uid="{00000000-0005-0000-0000-0000C2A00000}"/>
    <cellStyle name="Style 27 4 3" xfId="41150" xr:uid="{00000000-0005-0000-0000-0000C3A00000}"/>
    <cellStyle name="Style 27 4 3 2" xfId="41151" xr:uid="{00000000-0005-0000-0000-0000C4A00000}"/>
    <cellStyle name="Style 27 4 3 2 2" xfId="41152" xr:uid="{00000000-0005-0000-0000-0000C5A00000}"/>
    <cellStyle name="Style 27 4 3 2 2 2" xfId="41153" xr:uid="{00000000-0005-0000-0000-0000C6A00000}"/>
    <cellStyle name="Style 27 4 3 2 2 3" xfId="41154" xr:uid="{00000000-0005-0000-0000-0000C7A00000}"/>
    <cellStyle name="Style 27 4 3 2 3" xfId="41155" xr:uid="{00000000-0005-0000-0000-0000C8A00000}"/>
    <cellStyle name="Style 27 4 3 2 3 2" xfId="41156" xr:uid="{00000000-0005-0000-0000-0000C9A00000}"/>
    <cellStyle name="Style 27 4 3 2 3 3" xfId="41157" xr:uid="{00000000-0005-0000-0000-0000CAA00000}"/>
    <cellStyle name="Style 27 4 3 2 4" xfId="41158" xr:uid="{00000000-0005-0000-0000-0000CBA00000}"/>
    <cellStyle name="Style 27 4 3 2 5" xfId="41159" xr:uid="{00000000-0005-0000-0000-0000CCA00000}"/>
    <cellStyle name="Style 27 4 3 2 6" xfId="41160" xr:uid="{00000000-0005-0000-0000-0000CDA00000}"/>
    <cellStyle name="Style 27 4 3 3" xfId="41161" xr:uid="{00000000-0005-0000-0000-0000CEA00000}"/>
    <cellStyle name="Style 27 4 3 3 2" xfId="41162" xr:uid="{00000000-0005-0000-0000-0000CFA00000}"/>
    <cellStyle name="Style 27 4 3 3 3" xfId="41163" xr:uid="{00000000-0005-0000-0000-0000D0A00000}"/>
    <cellStyle name="Style 27 4 3 4" xfId="41164" xr:uid="{00000000-0005-0000-0000-0000D1A00000}"/>
    <cellStyle name="Style 27 4 3 4 2" xfId="41165" xr:uid="{00000000-0005-0000-0000-0000D2A00000}"/>
    <cellStyle name="Style 27 4 3 4 3" xfId="41166" xr:uid="{00000000-0005-0000-0000-0000D3A00000}"/>
    <cellStyle name="Style 27 4 3 5" xfId="41167" xr:uid="{00000000-0005-0000-0000-0000D4A00000}"/>
    <cellStyle name="Style 27 4 3 5 2" xfId="41168" xr:uid="{00000000-0005-0000-0000-0000D5A00000}"/>
    <cellStyle name="Style 27 4 3 5 3" xfId="41169" xr:uid="{00000000-0005-0000-0000-0000D6A00000}"/>
    <cellStyle name="Style 27 4 3 6" xfId="41170" xr:uid="{00000000-0005-0000-0000-0000D7A00000}"/>
    <cellStyle name="Style 27 4 3 7" xfId="41171" xr:uid="{00000000-0005-0000-0000-0000D8A00000}"/>
    <cellStyle name="Style 27 4 3 8" xfId="41172" xr:uid="{00000000-0005-0000-0000-0000D9A00000}"/>
    <cellStyle name="Style 27 4 4" xfId="41173" xr:uid="{00000000-0005-0000-0000-0000DAA00000}"/>
    <cellStyle name="Style 27 4 4 2" xfId="41174" xr:uid="{00000000-0005-0000-0000-0000DBA00000}"/>
    <cellStyle name="Style 27 4 4 2 2" xfId="41175" xr:uid="{00000000-0005-0000-0000-0000DCA00000}"/>
    <cellStyle name="Style 27 4 4 2 2 2" xfId="41176" xr:uid="{00000000-0005-0000-0000-0000DDA00000}"/>
    <cellStyle name="Style 27 4 4 2 2 3" xfId="41177" xr:uid="{00000000-0005-0000-0000-0000DEA00000}"/>
    <cellStyle name="Style 27 4 4 2 3" xfId="41178" xr:uid="{00000000-0005-0000-0000-0000DFA00000}"/>
    <cellStyle name="Style 27 4 4 2 3 2" xfId="41179" xr:uid="{00000000-0005-0000-0000-0000E0A00000}"/>
    <cellStyle name="Style 27 4 4 2 3 3" xfId="41180" xr:uid="{00000000-0005-0000-0000-0000E1A00000}"/>
    <cellStyle name="Style 27 4 4 2 4" xfId="41181" xr:uid="{00000000-0005-0000-0000-0000E2A00000}"/>
    <cellStyle name="Style 27 4 4 2 5" xfId="41182" xr:uid="{00000000-0005-0000-0000-0000E3A00000}"/>
    <cellStyle name="Style 27 4 4 2 6" xfId="41183" xr:uid="{00000000-0005-0000-0000-0000E4A00000}"/>
    <cellStyle name="Style 27 4 4 3" xfId="41184" xr:uid="{00000000-0005-0000-0000-0000E5A00000}"/>
    <cellStyle name="Style 27 4 4 3 2" xfId="41185" xr:uid="{00000000-0005-0000-0000-0000E6A00000}"/>
    <cellStyle name="Style 27 4 4 3 3" xfId="41186" xr:uid="{00000000-0005-0000-0000-0000E7A00000}"/>
    <cellStyle name="Style 27 4 4 4" xfId="41187" xr:uid="{00000000-0005-0000-0000-0000E8A00000}"/>
    <cellStyle name="Style 27 4 4 4 2" xfId="41188" xr:uid="{00000000-0005-0000-0000-0000E9A00000}"/>
    <cellStyle name="Style 27 4 4 4 3" xfId="41189" xr:uid="{00000000-0005-0000-0000-0000EAA00000}"/>
    <cellStyle name="Style 27 4 4 5" xfId="41190" xr:uid="{00000000-0005-0000-0000-0000EBA00000}"/>
    <cellStyle name="Style 27 4 4 5 2" xfId="41191" xr:uid="{00000000-0005-0000-0000-0000ECA00000}"/>
    <cellStyle name="Style 27 4 4 5 3" xfId="41192" xr:uid="{00000000-0005-0000-0000-0000EDA00000}"/>
    <cellStyle name="Style 27 4 4 6" xfId="41193" xr:uid="{00000000-0005-0000-0000-0000EEA00000}"/>
    <cellStyle name="Style 27 4 4 7" xfId="41194" xr:uid="{00000000-0005-0000-0000-0000EFA00000}"/>
    <cellStyle name="Style 27 4 4 8" xfId="41195" xr:uid="{00000000-0005-0000-0000-0000F0A00000}"/>
    <cellStyle name="Style 27 4 5" xfId="41196" xr:uid="{00000000-0005-0000-0000-0000F1A00000}"/>
    <cellStyle name="Style 27 4 5 2" xfId="41197" xr:uid="{00000000-0005-0000-0000-0000F2A00000}"/>
    <cellStyle name="Style 27 4 5 2 2" xfId="41198" xr:uid="{00000000-0005-0000-0000-0000F3A00000}"/>
    <cellStyle name="Style 27 4 5 2 2 2" xfId="41199" xr:uid="{00000000-0005-0000-0000-0000F4A00000}"/>
    <cellStyle name="Style 27 4 5 2 2 3" xfId="41200" xr:uid="{00000000-0005-0000-0000-0000F5A00000}"/>
    <cellStyle name="Style 27 4 5 2 3" xfId="41201" xr:uid="{00000000-0005-0000-0000-0000F6A00000}"/>
    <cellStyle name="Style 27 4 5 2 3 2" xfId="41202" xr:uid="{00000000-0005-0000-0000-0000F7A00000}"/>
    <cellStyle name="Style 27 4 5 2 3 3" xfId="41203" xr:uid="{00000000-0005-0000-0000-0000F8A00000}"/>
    <cellStyle name="Style 27 4 5 2 4" xfId="41204" xr:uid="{00000000-0005-0000-0000-0000F9A00000}"/>
    <cellStyle name="Style 27 4 5 2 5" xfId="41205" xr:uid="{00000000-0005-0000-0000-0000FAA00000}"/>
    <cellStyle name="Style 27 4 5 2 6" xfId="41206" xr:uid="{00000000-0005-0000-0000-0000FBA00000}"/>
    <cellStyle name="Style 27 4 5 3" xfId="41207" xr:uid="{00000000-0005-0000-0000-0000FCA00000}"/>
    <cellStyle name="Style 27 4 5 3 2" xfId="41208" xr:uid="{00000000-0005-0000-0000-0000FDA00000}"/>
    <cellStyle name="Style 27 4 5 3 3" xfId="41209" xr:uid="{00000000-0005-0000-0000-0000FEA00000}"/>
    <cellStyle name="Style 27 4 5 4" xfId="41210" xr:uid="{00000000-0005-0000-0000-0000FFA00000}"/>
    <cellStyle name="Style 27 4 5 4 2" xfId="41211" xr:uid="{00000000-0005-0000-0000-000000A10000}"/>
    <cellStyle name="Style 27 4 5 4 3" xfId="41212" xr:uid="{00000000-0005-0000-0000-000001A10000}"/>
    <cellStyle name="Style 27 4 5 5" xfId="41213" xr:uid="{00000000-0005-0000-0000-000002A10000}"/>
    <cellStyle name="Style 27 4 5 5 2" xfId="41214" xr:uid="{00000000-0005-0000-0000-000003A10000}"/>
    <cellStyle name="Style 27 4 5 5 3" xfId="41215" xr:uid="{00000000-0005-0000-0000-000004A10000}"/>
    <cellStyle name="Style 27 4 5 6" xfId="41216" xr:uid="{00000000-0005-0000-0000-000005A10000}"/>
    <cellStyle name="Style 27 4 5 7" xfId="41217" xr:uid="{00000000-0005-0000-0000-000006A10000}"/>
    <cellStyle name="Style 27 4 5 8" xfId="41218" xr:uid="{00000000-0005-0000-0000-000007A10000}"/>
    <cellStyle name="Style 27 4 6" xfId="41219" xr:uid="{00000000-0005-0000-0000-000008A10000}"/>
    <cellStyle name="Style 27 4 6 2" xfId="41220" xr:uid="{00000000-0005-0000-0000-000009A10000}"/>
    <cellStyle name="Style 27 4 6 2 2" xfId="41221" xr:uid="{00000000-0005-0000-0000-00000AA10000}"/>
    <cellStyle name="Style 27 4 6 2 3" xfId="41222" xr:uid="{00000000-0005-0000-0000-00000BA10000}"/>
    <cellStyle name="Style 27 4 6 3" xfId="41223" xr:uid="{00000000-0005-0000-0000-00000CA10000}"/>
    <cellStyle name="Style 27 4 6 3 2" xfId="41224" xr:uid="{00000000-0005-0000-0000-00000DA10000}"/>
    <cellStyle name="Style 27 4 6 3 3" xfId="41225" xr:uid="{00000000-0005-0000-0000-00000EA10000}"/>
    <cellStyle name="Style 27 4 6 4" xfId="41226" xr:uid="{00000000-0005-0000-0000-00000FA10000}"/>
    <cellStyle name="Style 27 4 6 5" xfId="41227" xr:uid="{00000000-0005-0000-0000-000010A10000}"/>
    <cellStyle name="Style 27 4 6 6" xfId="41228" xr:uid="{00000000-0005-0000-0000-000011A10000}"/>
    <cellStyle name="Style 27 4 7" xfId="41229" xr:uid="{00000000-0005-0000-0000-000012A10000}"/>
    <cellStyle name="Style 27 4 7 2" xfId="41230" xr:uid="{00000000-0005-0000-0000-000013A10000}"/>
    <cellStyle name="Style 27 4 7 3" xfId="41231" xr:uid="{00000000-0005-0000-0000-000014A10000}"/>
    <cellStyle name="Style 27 4 8" xfId="41232" xr:uid="{00000000-0005-0000-0000-000015A10000}"/>
    <cellStyle name="Style 27 4 8 2" xfId="41233" xr:uid="{00000000-0005-0000-0000-000016A10000}"/>
    <cellStyle name="Style 27 4 8 3" xfId="41234" xr:uid="{00000000-0005-0000-0000-000017A10000}"/>
    <cellStyle name="Style 27 4 9" xfId="41235" xr:uid="{00000000-0005-0000-0000-000018A10000}"/>
    <cellStyle name="Style 27 4 9 2" xfId="41236" xr:uid="{00000000-0005-0000-0000-000019A10000}"/>
    <cellStyle name="Style 27 4 9 3" xfId="41237" xr:uid="{00000000-0005-0000-0000-00001AA10000}"/>
    <cellStyle name="Style 27 5" xfId="41238" xr:uid="{00000000-0005-0000-0000-00001BA10000}"/>
    <cellStyle name="Style 27 5 10" xfId="41239" xr:uid="{00000000-0005-0000-0000-00001CA10000}"/>
    <cellStyle name="Style 27 5 11" xfId="41240" xr:uid="{00000000-0005-0000-0000-00001DA10000}"/>
    <cellStyle name="Style 27 5 12" xfId="41241" xr:uid="{00000000-0005-0000-0000-00001EA10000}"/>
    <cellStyle name="Style 27 5 2" xfId="41242" xr:uid="{00000000-0005-0000-0000-00001FA10000}"/>
    <cellStyle name="Style 27 5 2 10" xfId="41243" xr:uid="{00000000-0005-0000-0000-000020A10000}"/>
    <cellStyle name="Style 27 5 2 2" xfId="41244" xr:uid="{00000000-0005-0000-0000-000021A10000}"/>
    <cellStyle name="Style 27 5 2 2 2" xfId="41245" xr:uid="{00000000-0005-0000-0000-000022A10000}"/>
    <cellStyle name="Style 27 5 2 2 2 2" xfId="41246" xr:uid="{00000000-0005-0000-0000-000023A10000}"/>
    <cellStyle name="Style 27 5 2 2 2 2 2" xfId="41247" xr:uid="{00000000-0005-0000-0000-000024A10000}"/>
    <cellStyle name="Style 27 5 2 2 2 2 3" xfId="41248" xr:uid="{00000000-0005-0000-0000-000025A10000}"/>
    <cellStyle name="Style 27 5 2 2 2 3" xfId="41249" xr:uid="{00000000-0005-0000-0000-000026A10000}"/>
    <cellStyle name="Style 27 5 2 2 2 3 2" xfId="41250" xr:uid="{00000000-0005-0000-0000-000027A10000}"/>
    <cellStyle name="Style 27 5 2 2 2 3 3" xfId="41251" xr:uid="{00000000-0005-0000-0000-000028A10000}"/>
    <cellStyle name="Style 27 5 2 2 2 4" xfId="41252" xr:uid="{00000000-0005-0000-0000-000029A10000}"/>
    <cellStyle name="Style 27 5 2 2 2 5" xfId="41253" xr:uid="{00000000-0005-0000-0000-00002AA10000}"/>
    <cellStyle name="Style 27 5 2 2 2 6" xfId="41254" xr:uid="{00000000-0005-0000-0000-00002BA10000}"/>
    <cellStyle name="Style 27 5 2 2 3" xfId="41255" xr:uid="{00000000-0005-0000-0000-00002CA10000}"/>
    <cellStyle name="Style 27 5 2 2 3 2" xfId="41256" xr:uid="{00000000-0005-0000-0000-00002DA10000}"/>
    <cellStyle name="Style 27 5 2 2 3 3" xfId="41257" xr:uid="{00000000-0005-0000-0000-00002EA10000}"/>
    <cellStyle name="Style 27 5 2 2 4" xfId="41258" xr:uid="{00000000-0005-0000-0000-00002FA10000}"/>
    <cellStyle name="Style 27 5 2 2 4 2" xfId="41259" xr:uid="{00000000-0005-0000-0000-000030A10000}"/>
    <cellStyle name="Style 27 5 2 2 4 3" xfId="41260" xr:uid="{00000000-0005-0000-0000-000031A10000}"/>
    <cellStyle name="Style 27 5 2 2 5" xfId="41261" xr:uid="{00000000-0005-0000-0000-000032A10000}"/>
    <cellStyle name="Style 27 5 2 2 5 2" xfId="41262" xr:uid="{00000000-0005-0000-0000-000033A10000}"/>
    <cellStyle name="Style 27 5 2 2 5 3" xfId="41263" xr:uid="{00000000-0005-0000-0000-000034A10000}"/>
    <cellStyle name="Style 27 5 2 2 6" xfId="41264" xr:uid="{00000000-0005-0000-0000-000035A10000}"/>
    <cellStyle name="Style 27 5 2 2 7" xfId="41265" xr:uid="{00000000-0005-0000-0000-000036A10000}"/>
    <cellStyle name="Style 27 5 2 2 8" xfId="41266" xr:uid="{00000000-0005-0000-0000-000037A10000}"/>
    <cellStyle name="Style 27 5 2 3" xfId="41267" xr:uid="{00000000-0005-0000-0000-000038A10000}"/>
    <cellStyle name="Style 27 5 2 3 2" xfId="41268" xr:uid="{00000000-0005-0000-0000-000039A10000}"/>
    <cellStyle name="Style 27 5 2 3 2 2" xfId="41269" xr:uid="{00000000-0005-0000-0000-00003AA10000}"/>
    <cellStyle name="Style 27 5 2 3 2 2 2" xfId="41270" xr:uid="{00000000-0005-0000-0000-00003BA10000}"/>
    <cellStyle name="Style 27 5 2 3 2 2 3" xfId="41271" xr:uid="{00000000-0005-0000-0000-00003CA10000}"/>
    <cellStyle name="Style 27 5 2 3 2 3" xfId="41272" xr:uid="{00000000-0005-0000-0000-00003DA10000}"/>
    <cellStyle name="Style 27 5 2 3 2 3 2" xfId="41273" xr:uid="{00000000-0005-0000-0000-00003EA10000}"/>
    <cellStyle name="Style 27 5 2 3 2 3 3" xfId="41274" xr:uid="{00000000-0005-0000-0000-00003FA10000}"/>
    <cellStyle name="Style 27 5 2 3 2 4" xfId="41275" xr:uid="{00000000-0005-0000-0000-000040A10000}"/>
    <cellStyle name="Style 27 5 2 3 2 5" xfId="41276" xr:uid="{00000000-0005-0000-0000-000041A10000}"/>
    <cellStyle name="Style 27 5 2 3 2 6" xfId="41277" xr:uid="{00000000-0005-0000-0000-000042A10000}"/>
    <cellStyle name="Style 27 5 2 3 3" xfId="41278" xr:uid="{00000000-0005-0000-0000-000043A10000}"/>
    <cellStyle name="Style 27 5 2 3 3 2" xfId="41279" xr:uid="{00000000-0005-0000-0000-000044A10000}"/>
    <cellStyle name="Style 27 5 2 3 3 3" xfId="41280" xr:uid="{00000000-0005-0000-0000-000045A10000}"/>
    <cellStyle name="Style 27 5 2 3 4" xfId="41281" xr:uid="{00000000-0005-0000-0000-000046A10000}"/>
    <cellStyle name="Style 27 5 2 3 4 2" xfId="41282" xr:uid="{00000000-0005-0000-0000-000047A10000}"/>
    <cellStyle name="Style 27 5 2 3 4 3" xfId="41283" xr:uid="{00000000-0005-0000-0000-000048A10000}"/>
    <cellStyle name="Style 27 5 2 3 5" xfId="41284" xr:uid="{00000000-0005-0000-0000-000049A10000}"/>
    <cellStyle name="Style 27 5 2 3 5 2" xfId="41285" xr:uid="{00000000-0005-0000-0000-00004AA10000}"/>
    <cellStyle name="Style 27 5 2 3 5 3" xfId="41286" xr:uid="{00000000-0005-0000-0000-00004BA10000}"/>
    <cellStyle name="Style 27 5 2 3 6" xfId="41287" xr:uid="{00000000-0005-0000-0000-00004CA10000}"/>
    <cellStyle name="Style 27 5 2 3 7" xfId="41288" xr:uid="{00000000-0005-0000-0000-00004DA10000}"/>
    <cellStyle name="Style 27 5 2 3 8" xfId="41289" xr:uid="{00000000-0005-0000-0000-00004EA10000}"/>
    <cellStyle name="Style 27 5 2 4" xfId="41290" xr:uid="{00000000-0005-0000-0000-00004FA10000}"/>
    <cellStyle name="Style 27 5 2 4 2" xfId="41291" xr:uid="{00000000-0005-0000-0000-000050A10000}"/>
    <cellStyle name="Style 27 5 2 4 2 2" xfId="41292" xr:uid="{00000000-0005-0000-0000-000051A10000}"/>
    <cellStyle name="Style 27 5 2 4 2 3" xfId="41293" xr:uid="{00000000-0005-0000-0000-000052A10000}"/>
    <cellStyle name="Style 27 5 2 4 3" xfId="41294" xr:uid="{00000000-0005-0000-0000-000053A10000}"/>
    <cellStyle name="Style 27 5 2 4 3 2" xfId="41295" xr:uid="{00000000-0005-0000-0000-000054A10000}"/>
    <cellStyle name="Style 27 5 2 4 3 3" xfId="41296" xr:uid="{00000000-0005-0000-0000-000055A10000}"/>
    <cellStyle name="Style 27 5 2 4 4" xfId="41297" xr:uid="{00000000-0005-0000-0000-000056A10000}"/>
    <cellStyle name="Style 27 5 2 4 5" xfId="41298" xr:uid="{00000000-0005-0000-0000-000057A10000}"/>
    <cellStyle name="Style 27 5 2 4 6" xfId="41299" xr:uid="{00000000-0005-0000-0000-000058A10000}"/>
    <cellStyle name="Style 27 5 2 5" xfId="41300" xr:uid="{00000000-0005-0000-0000-000059A10000}"/>
    <cellStyle name="Style 27 5 2 5 2" xfId="41301" xr:uid="{00000000-0005-0000-0000-00005AA10000}"/>
    <cellStyle name="Style 27 5 2 5 3" xfId="41302" xr:uid="{00000000-0005-0000-0000-00005BA10000}"/>
    <cellStyle name="Style 27 5 2 6" xfId="41303" xr:uid="{00000000-0005-0000-0000-00005CA10000}"/>
    <cellStyle name="Style 27 5 2 6 2" xfId="41304" xr:uid="{00000000-0005-0000-0000-00005DA10000}"/>
    <cellStyle name="Style 27 5 2 6 3" xfId="41305" xr:uid="{00000000-0005-0000-0000-00005EA10000}"/>
    <cellStyle name="Style 27 5 2 7" xfId="41306" xr:uid="{00000000-0005-0000-0000-00005FA10000}"/>
    <cellStyle name="Style 27 5 2 7 2" xfId="41307" xr:uid="{00000000-0005-0000-0000-000060A10000}"/>
    <cellStyle name="Style 27 5 2 7 3" xfId="41308" xr:uid="{00000000-0005-0000-0000-000061A10000}"/>
    <cellStyle name="Style 27 5 2 8" xfId="41309" xr:uid="{00000000-0005-0000-0000-000062A10000}"/>
    <cellStyle name="Style 27 5 2 9" xfId="41310" xr:uid="{00000000-0005-0000-0000-000063A10000}"/>
    <cellStyle name="Style 27 5 3" xfId="41311" xr:uid="{00000000-0005-0000-0000-000064A10000}"/>
    <cellStyle name="Style 27 5 3 2" xfId="41312" xr:uid="{00000000-0005-0000-0000-000065A10000}"/>
    <cellStyle name="Style 27 5 3 2 2" xfId="41313" xr:uid="{00000000-0005-0000-0000-000066A10000}"/>
    <cellStyle name="Style 27 5 3 2 2 2" xfId="41314" xr:uid="{00000000-0005-0000-0000-000067A10000}"/>
    <cellStyle name="Style 27 5 3 2 2 3" xfId="41315" xr:uid="{00000000-0005-0000-0000-000068A10000}"/>
    <cellStyle name="Style 27 5 3 2 3" xfId="41316" xr:uid="{00000000-0005-0000-0000-000069A10000}"/>
    <cellStyle name="Style 27 5 3 2 3 2" xfId="41317" xr:uid="{00000000-0005-0000-0000-00006AA10000}"/>
    <cellStyle name="Style 27 5 3 2 3 3" xfId="41318" xr:uid="{00000000-0005-0000-0000-00006BA10000}"/>
    <cellStyle name="Style 27 5 3 2 4" xfId="41319" xr:uid="{00000000-0005-0000-0000-00006CA10000}"/>
    <cellStyle name="Style 27 5 3 2 5" xfId="41320" xr:uid="{00000000-0005-0000-0000-00006DA10000}"/>
    <cellStyle name="Style 27 5 3 2 6" xfId="41321" xr:uid="{00000000-0005-0000-0000-00006EA10000}"/>
    <cellStyle name="Style 27 5 3 3" xfId="41322" xr:uid="{00000000-0005-0000-0000-00006FA10000}"/>
    <cellStyle name="Style 27 5 3 3 2" xfId="41323" xr:uid="{00000000-0005-0000-0000-000070A10000}"/>
    <cellStyle name="Style 27 5 3 3 3" xfId="41324" xr:uid="{00000000-0005-0000-0000-000071A10000}"/>
    <cellStyle name="Style 27 5 3 4" xfId="41325" xr:uid="{00000000-0005-0000-0000-000072A10000}"/>
    <cellStyle name="Style 27 5 3 4 2" xfId="41326" xr:uid="{00000000-0005-0000-0000-000073A10000}"/>
    <cellStyle name="Style 27 5 3 4 3" xfId="41327" xr:uid="{00000000-0005-0000-0000-000074A10000}"/>
    <cellStyle name="Style 27 5 3 5" xfId="41328" xr:uid="{00000000-0005-0000-0000-000075A10000}"/>
    <cellStyle name="Style 27 5 3 5 2" xfId="41329" xr:uid="{00000000-0005-0000-0000-000076A10000}"/>
    <cellStyle name="Style 27 5 3 5 3" xfId="41330" xr:uid="{00000000-0005-0000-0000-000077A10000}"/>
    <cellStyle name="Style 27 5 3 6" xfId="41331" xr:uid="{00000000-0005-0000-0000-000078A10000}"/>
    <cellStyle name="Style 27 5 3 7" xfId="41332" xr:uid="{00000000-0005-0000-0000-000079A10000}"/>
    <cellStyle name="Style 27 5 3 8" xfId="41333" xr:uid="{00000000-0005-0000-0000-00007AA10000}"/>
    <cellStyle name="Style 27 5 4" xfId="41334" xr:uid="{00000000-0005-0000-0000-00007BA10000}"/>
    <cellStyle name="Style 27 5 4 2" xfId="41335" xr:uid="{00000000-0005-0000-0000-00007CA10000}"/>
    <cellStyle name="Style 27 5 4 2 2" xfId="41336" xr:uid="{00000000-0005-0000-0000-00007DA10000}"/>
    <cellStyle name="Style 27 5 4 2 2 2" xfId="41337" xr:uid="{00000000-0005-0000-0000-00007EA10000}"/>
    <cellStyle name="Style 27 5 4 2 2 3" xfId="41338" xr:uid="{00000000-0005-0000-0000-00007FA10000}"/>
    <cellStyle name="Style 27 5 4 2 3" xfId="41339" xr:uid="{00000000-0005-0000-0000-000080A10000}"/>
    <cellStyle name="Style 27 5 4 2 3 2" xfId="41340" xr:uid="{00000000-0005-0000-0000-000081A10000}"/>
    <cellStyle name="Style 27 5 4 2 3 3" xfId="41341" xr:uid="{00000000-0005-0000-0000-000082A10000}"/>
    <cellStyle name="Style 27 5 4 2 4" xfId="41342" xr:uid="{00000000-0005-0000-0000-000083A10000}"/>
    <cellStyle name="Style 27 5 4 2 5" xfId="41343" xr:uid="{00000000-0005-0000-0000-000084A10000}"/>
    <cellStyle name="Style 27 5 4 2 6" xfId="41344" xr:uid="{00000000-0005-0000-0000-000085A10000}"/>
    <cellStyle name="Style 27 5 4 3" xfId="41345" xr:uid="{00000000-0005-0000-0000-000086A10000}"/>
    <cellStyle name="Style 27 5 4 3 2" xfId="41346" xr:uid="{00000000-0005-0000-0000-000087A10000}"/>
    <cellStyle name="Style 27 5 4 3 3" xfId="41347" xr:uid="{00000000-0005-0000-0000-000088A10000}"/>
    <cellStyle name="Style 27 5 4 4" xfId="41348" xr:uid="{00000000-0005-0000-0000-000089A10000}"/>
    <cellStyle name="Style 27 5 4 4 2" xfId="41349" xr:uid="{00000000-0005-0000-0000-00008AA10000}"/>
    <cellStyle name="Style 27 5 4 4 3" xfId="41350" xr:uid="{00000000-0005-0000-0000-00008BA10000}"/>
    <cellStyle name="Style 27 5 4 5" xfId="41351" xr:uid="{00000000-0005-0000-0000-00008CA10000}"/>
    <cellStyle name="Style 27 5 4 5 2" xfId="41352" xr:uid="{00000000-0005-0000-0000-00008DA10000}"/>
    <cellStyle name="Style 27 5 4 5 3" xfId="41353" xr:uid="{00000000-0005-0000-0000-00008EA10000}"/>
    <cellStyle name="Style 27 5 4 6" xfId="41354" xr:uid="{00000000-0005-0000-0000-00008FA10000}"/>
    <cellStyle name="Style 27 5 4 7" xfId="41355" xr:uid="{00000000-0005-0000-0000-000090A10000}"/>
    <cellStyle name="Style 27 5 4 8" xfId="41356" xr:uid="{00000000-0005-0000-0000-000091A10000}"/>
    <cellStyle name="Style 27 5 5" xfId="41357" xr:uid="{00000000-0005-0000-0000-000092A10000}"/>
    <cellStyle name="Style 27 5 5 2" xfId="41358" xr:uid="{00000000-0005-0000-0000-000093A10000}"/>
    <cellStyle name="Style 27 5 5 2 2" xfId="41359" xr:uid="{00000000-0005-0000-0000-000094A10000}"/>
    <cellStyle name="Style 27 5 5 2 2 2" xfId="41360" xr:uid="{00000000-0005-0000-0000-000095A10000}"/>
    <cellStyle name="Style 27 5 5 2 2 3" xfId="41361" xr:uid="{00000000-0005-0000-0000-000096A10000}"/>
    <cellStyle name="Style 27 5 5 2 3" xfId="41362" xr:uid="{00000000-0005-0000-0000-000097A10000}"/>
    <cellStyle name="Style 27 5 5 2 3 2" xfId="41363" xr:uid="{00000000-0005-0000-0000-000098A10000}"/>
    <cellStyle name="Style 27 5 5 2 3 3" xfId="41364" xr:uid="{00000000-0005-0000-0000-000099A10000}"/>
    <cellStyle name="Style 27 5 5 2 4" xfId="41365" xr:uid="{00000000-0005-0000-0000-00009AA10000}"/>
    <cellStyle name="Style 27 5 5 2 5" xfId="41366" xr:uid="{00000000-0005-0000-0000-00009BA10000}"/>
    <cellStyle name="Style 27 5 5 2 6" xfId="41367" xr:uid="{00000000-0005-0000-0000-00009CA10000}"/>
    <cellStyle name="Style 27 5 5 3" xfId="41368" xr:uid="{00000000-0005-0000-0000-00009DA10000}"/>
    <cellStyle name="Style 27 5 5 3 2" xfId="41369" xr:uid="{00000000-0005-0000-0000-00009EA10000}"/>
    <cellStyle name="Style 27 5 5 3 3" xfId="41370" xr:uid="{00000000-0005-0000-0000-00009FA10000}"/>
    <cellStyle name="Style 27 5 5 4" xfId="41371" xr:uid="{00000000-0005-0000-0000-0000A0A10000}"/>
    <cellStyle name="Style 27 5 5 4 2" xfId="41372" xr:uid="{00000000-0005-0000-0000-0000A1A10000}"/>
    <cellStyle name="Style 27 5 5 4 3" xfId="41373" xr:uid="{00000000-0005-0000-0000-0000A2A10000}"/>
    <cellStyle name="Style 27 5 5 5" xfId="41374" xr:uid="{00000000-0005-0000-0000-0000A3A10000}"/>
    <cellStyle name="Style 27 5 5 5 2" xfId="41375" xr:uid="{00000000-0005-0000-0000-0000A4A10000}"/>
    <cellStyle name="Style 27 5 5 5 3" xfId="41376" xr:uid="{00000000-0005-0000-0000-0000A5A10000}"/>
    <cellStyle name="Style 27 5 5 6" xfId="41377" xr:uid="{00000000-0005-0000-0000-0000A6A10000}"/>
    <cellStyle name="Style 27 5 5 7" xfId="41378" xr:uid="{00000000-0005-0000-0000-0000A7A10000}"/>
    <cellStyle name="Style 27 5 5 8" xfId="41379" xr:uid="{00000000-0005-0000-0000-0000A8A10000}"/>
    <cellStyle name="Style 27 5 6" xfId="41380" xr:uid="{00000000-0005-0000-0000-0000A9A10000}"/>
    <cellStyle name="Style 27 5 6 2" xfId="41381" xr:uid="{00000000-0005-0000-0000-0000AAA10000}"/>
    <cellStyle name="Style 27 5 6 2 2" xfId="41382" xr:uid="{00000000-0005-0000-0000-0000ABA10000}"/>
    <cellStyle name="Style 27 5 6 2 3" xfId="41383" xr:uid="{00000000-0005-0000-0000-0000ACA10000}"/>
    <cellStyle name="Style 27 5 6 3" xfId="41384" xr:uid="{00000000-0005-0000-0000-0000ADA10000}"/>
    <cellStyle name="Style 27 5 6 3 2" xfId="41385" xr:uid="{00000000-0005-0000-0000-0000AEA10000}"/>
    <cellStyle name="Style 27 5 6 3 3" xfId="41386" xr:uid="{00000000-0005-0000-0000-0000AFA10000}"/>
    <cellStyle name="Style 27 5 6 4" xfId="41387" xr:uid="{00000000-0005-0000-0000-0000B0A10000}"/>
    <cellStyle name="Style 27 5 6 5" xfId="41388" xr:uid="{00000000-0005-0000-0000-0000B1A10000}"/>
    <cellStyle name="Style 27 5 6 6" xfId="41389" xr:uid="{00000000-0005-0000-0000-0000B2A10000}"/>
    <cellStyle name="Style 27 5 7" xfId="41390" xr:uid="{00000000-0005-0000-0000-0000B3A10000}"/>
    <cellStyle name="Style 27 5 7 2" xfId="41391" xr:uid="{00000000-0005-0000-0000-0000B4A10000}"/>
    <cellStyle name="Style 27 5 7 3" xfId="41392" xr:uid="{00000000-0005-0000-0000-0000B5A10000}"/>
    <cellStyle name="Style 27 5 8" xfId="41393" xr:uid="{00000000-0005-0000-0000-0000B6A10000}"/>
    <cellStyle name="Style 27 5 8 2" xfId="41394" xr:uid="{00000000-0005-0000-0000-0000B7A10000}"/>
    <cellStyle name="Style 27 5 8 3" xfId="41395" xr:uid="{00000000-0005-0000-0000-0000B8A10000}"/>
    <cellStyle name="Style 27 5 9" xfId="41396" xr:uid="{00000000-0005-0000-0000-0000B9A10000}"/>
    <cellStyle name="Style 27 5 9 2" xfId="41397" xr:uid="{00000000-0005-0000-0000-0000BAA10000}"/>
    <cellStyle name="Style 27 5 9 3" xfId="41398" xr:uid="{00000000-0005-0000-0000-0000BBA10000}"/>
    <cellStyle name="Style 27 6" xfId="41399" xr:uid="{00000000-0005-0000-0000-0000BCA10000}"/>
    <cellStyle name="Style 27 6 10" xfId="41400" xr:uid="{00000000-0005-0000-0000-0000BDA10000}"/>
    <cellStyle name="Style 27 6 11" xfId="41401" xr:uid="{00000000-0005-0000-0000-0000BEA10000}"/>
    <cellStyle name="Style 27 6 12" xfId="41402" xr:uid="{00000000-0005-0000-0000-0000BFA10000}"/>
    <cellStyle name="Style 27 6 2" xfId="41403" xr:uid="{00000000-0005-0000-0000-0000C0A10000}"/>
    <cellStyle name="Style 27 6 2 10" xfId="41404" xr:uid="{00000000-0005-0000-0000-0000C1A10000}"/>
    <cellStyle name="Style 27 6 2 2" xfId="41405" xr:uid="{00000000-0005-0000-0000-0000C2A10000}"/>
    <cellStyle name="Style 27 6 2 2 2" xfId="41406" xr:uid="{00000000-0005-0000-0000-0000C3A10000}"/>
    <cellStyle name="Style 27 6 2 2 2 2" xfId="41407" xr:uid="{00000000-0005-0000-0000-0000C4A10000}"/>
    <cellStyle name="Style 27 6 2 2 2 2 2" xfId="41408" xr:uid="{00000000-0005-0000-0000-0000C5A10000}"/>
    <cellStyle name="Style 27 6 2 2 2 2 3" xfId="41409" xr:uid="{00000000-0005-0000-0000-0000C6A10000}"/>
    <cellStyle name="Style 27 6 2 2 2 3" xfId="41410" xr:uid="{00000000-0005-0000-0000-0000C7A10000}"/>
    <cellStyle name="Style 27 6 2 2 2 3 2" xfId="41411" xr:uid="{00000000-0005-0000-0000-0000C8A10000}"/>
    <cellStyle name="Style 27 6 2 2 2 3 3" xfId="41412" xr:uid="{00000000-0005-0000-0000-0000C9A10000}"/>
    <cellStyle name="Style 27 6 2 2 2 4" xfId="41413" xr:uid="{00000000-0005-0000-0000-0000CAA10000}"/>
    <cellStyle name="Style 27 6 2 2 2 5" xfId="41414" xr:uid="{00000000-0005-0000-0000-0000CBA10000}"/>
    <cellStyle name="Style 27 6 2 2 2 6" xfId="41415" xr:uid="{00000000-0005-0000-0000-0000CCA10000}"/>
    <cellStyle name="Style 27 6 2 2 3" xfId="41416" xr:uid="{00000000-0005-0000-0000-0000CDA10000}"/>
    <cellStyle name="Style 27 6 2 2 3 2" xfId="41417" xr:uid="{00000000-0005-0000-0000-0000CEA10000}"/>
    <cellStyle name="Style 27 6 2 2 3 3" xfId="41418" xr:uid="{00000000-0005-0000-0000-0000CFA10000}"/>
    <cellStyle name="Style 27 6 2 2 4" xfId="41419" xr:uid="{00000000-0005-0000-0000-0000D0A10000}"/>
    <cellStyle name="Style 27 6 2 2 4 2" xfId="41420" xr:uid="{00000000-0005-0000-0000-0000D1A10000}"/>
    <cellStyle name="Style 27 6 2 2 4 3" xfId="41421" xr:uid="{00000000-0005-0000-0000-0000D2A10000}"/>
    <cellStyle name="Style 27 6 2 2 5" xfId="41422" xr:uid="{00000000-0005-0000-0000-0000D3A10000}"/>
    <cellStyle name="Style 27 6 2 2 5 2" xfId="41423" xr:uid="{00000000-0005-0000-0000-0000D4A10000}"/>
    <cellStyle name="Style 27 6 2 2 5 3" xfId="41424" xr:uid="{00000000-0005-0000-0000-0000D5A10000}"/>
    <cellStyle name="Style 27 6 2 2 6" xfId="41425" xr:uid="{00000000-0005-0000-0000-0000D6A10000}"/>
    <cellStyle name="Style 27 6 2 2 7" xfId="41426" xr:uid="{00000000-0005-0000-0000-0000D7A10000}"/>
    <cellStyle name="Style 27 6 2 2 8" xfId="41427" xr:uid="{00000000-0005-0000-0000-0000D8A10000}"/>
    <cellStyle name="Style 27 6 2 3" xfId="41428" xr:uid="{00000000-0005-0000-0000-0000D9A10000}"/>
    <cellStyle name="Style 27 6 2 3 2" xfId="41429" xr:uid="{00000000-0005-0000-0000-0000DAA10000}"/>
    <cellStyle name="Style 27 6 2 3 2 2" xfId="41430" xr:uid="{00000000-0005-0000-0000-0000DBA10000}"/>
    <cellStyle name="Style 27 6 2 3 2 2 2" xfId="41431" xr:uid="{00000000-0005-0000-0000-0000DCA10000}"/>
    <cellStyle name="Style 27 6 2 3 2 2 3" xfId="41432" xr:uid="{00000000-0005-0000-0000-0000DDA10000}"/>
    <cellStyle name="Style 27 6 2 3 2 3" xfId="41433" xr:uid="{00000000-0005-0000-0000-0000DEA10000}"/>
    <cellStyle name="Style 27 6 2 3 2 3 2" xfId="41434" xr:uid="{00000000-0005-0000-0000-0000DFA10000}"/>
    <cellStyle name="Style 27 6 2 3 2 3 3" xfId="41435" xr:uid="{00000000-0005-0000-0000-0000E0A10000}"/>
    <cellStyle name="Style 27 6 2 3 2 4" xfId="41436" xr:uid="{00000000-0005-0000-0000-0000E1A10000}"/>
    <cellStyle name="Style 27 6 2 3 2 5" xfId="41437" xr:uid="{00000000-0005-0000-0000-0000E2A10000}"/>
    <cellStyle name="Style 27 6 2 3 2 6" xfId="41438" xr:uid="{00000000-0005-0000-0000-0000E3A10000}"/>
    <cellStyle name="Style 27 6 2 3 3" xfId="41439" xr:uid="{00000000-0005-0000-0000-0000E4A10000}"/>
    <cellStyle name="Style 27 6 2 3 3 2" xfId="41440" xr:uid="{00000000-0005-0000-0000-0000E5A10000}"/>
    <cellStyle name="Style 27 6 2 3 3 3" xfId="41441" xr:uid="{00000000-0005-0000-0000-0000E6A10000}"/>
    <cellStyle name="Style 27 6 2 3 4" xfId="41442" xr:uid="{00000000-0005-0000-0000-0000E7A10000}"/>
    <cellStyle name="Style 27 6 2 3 4 2" xfId="41443" xr:uid="{00000000-0005-0000-0000-0000E8A10000}"/>
    <cellStyle name="Style 27 6 2 3 4 3" xfId="41444" xr:uid="{00000000-0005-0000-0000-0000E9A10000}"/>
    <cellStyle name="Style 27 6 2 3 5" xfId="41445" xr:uid="{00000000-0005-0000-0000-0000EAA10000}"/>
    <cellStyle name="Style 27 6 2 3 5 2" xfId="41446" xr:uid="{00000000-0005-0000-0000-0000EBA10000}"/>
    <cellStyle name="Style 27 6 2 3 5 3" xfId="41447" xr:uid="{00000000-0005-0000-0000-0000ECA10000}"/>
    <cellStyle name="Style 27 6 2 3 6" xfId="41448" xr:uid="{00000000-0005-0000-0000-0000EDA10000}"/>
    <cellStyle name="Style 27 6 2 3 7" xfId="41449" xr:uid="{00000000-0005-0000-0000-0000EEA10000}"/>
    <cellStyle name="Style 27 6 2 3 8" xfId="41450" xr:uid="{00000000-0005-0000-0000-0000EFA10000}"/>
    <cellStyle name="Style 27 6 2 4" xfId="41451" xr:uid="{00000000-0005-0000-0000-0000F0A10000}"/>
    <cellStyle name="Style 27 6 2 4 2" xfId="41452" xr:uid="{00000000-0005-0000-0000-0000F1A10000}"/>
    <cellStyle name="Style 27 6 2 4 2 2" xfId="41453" xr:uid="{00000000-0005-0000-0000-0000F2A10000}"/>
    <cellStyle name="Style 27 6 2 4 2 3" xfId="41454" xr:uid="{00000000-0005-0000-0000-0000F3A10000}"/>
    <cellStyle name="Style 27 6 2 4 3" xfId="41455" xr:uid="{00000000-0005-0000-0000-0000F4A10000}"/>
    <cellStyle name="Style 27 6 2 4 3 2" xfId="41456" xr:uid="{00000000-0005-0000-0000-0000F5A10000}"/>
    <cellStyle name="Style 27 6 2 4 3 3" xfId="41457" xr:uid="{00000000-0005-0000-0000-0000F6A10000}"/>
    <cellStyle name="Style 27 6 2 4 4" xfId="41458" xr:uid="{00000000-0005-0000-0000-0000F7A10000}"/>
    <cellStyle name="Style 27 6 2 4 5" xfId="41459" xr:uid="{00000000-0005-0000-0000-0000F8A10000}"/>
    <cellStyle name="Style 27 6 2 4 6" xfId="41460" xr:uid="{00000000-0005-0000-0000-0000F9A10000}"/>
    <cellStyle name="Style 27 6 2 5" xfId="41461" xr:uid="{00000000-0005-0000-0000-0000FAA10000}"/>
    <cellStyle name="Style 27 6 2 5 2" xfId="41462" xr:uid="{00000000-0005-0000-0000-0000FBA10000}"/>
    <cellStyle name="Style 27 6 2 5 3" xfId="41463" xr:uid="{00000000-0005-0000-0000-0000FCA10000}"/>
    <cellStyle name="Style 27 6 2 6" xfId="41464" xr:uid="{00000000-0005-0000-0000-0000FDA10000}"/>
    <cellStyle name="Style 27 6 2 6 2" xfId="41465" xr:uid="{00000000-0005-0000-0000-0000FEA10000}"/>
    <cellStyle name="Style 27 6 2 6 3" xfId="41466" xr:uid="{00000000-0005-0000-0000-0000FFA10000}"/>
    <cellStyle name="Style 27 6 2 7" xfId="41467" xr:uid="{00000000-0005-0000-0000-000000A20000}"/>
    <cellStyle name="Style 27 6 2 7 2" xfId="41468" xr:uid="{00000000-0005-0000-0000-000001A20000}"/>
    <cellStyle name="Style 27 6 2 7 3" xfId="41469" xr:uid="{00000000-0005-0000-0000-000002A20000}"/>
    <cellStyle name="Style 27 6 2 8" xfId="41470" xr:uid="{00000000-0005-0000-0000-000003A20000}"/>
    <cellStyle name="Style 27 6 2 9" xfId="41471" xr:uid="{00000000-0005-0000-0000-000004A20000}"/>
    <cellStyle name="Style 27 6 3" xfId="41472" xr:uid="{00000000-0005-0000-0000-000005A20000}"/>
    <cellStyle name="Style 27 6 3 2" xfId="41473" xr:uid="{00000000-0005-0000-0000-000006A20000}"/>
    <cellStyle name="Style 27 6 3 2 2" xfId="41474" xr:uid="{00000000-0005-0000-0000-000007A20000}"/>
    <cellStyle name="Style 27 6 3 2 2 2" xfId="41475" xr:uid="{00000000-0005-0000-0000-000008A20000}"/>
    <cellStyle name="Style 27 6 3 2 2 3" xfId="41476" xr:uid="{00000000-0005-0000-0000-000009A20000}"/>
    <cellStyle name="Style 27 6 3 2 3" xfId="41477" xr:uid="{00000000-0005-0000-0000-00000AA20000}"/>
    <cellStyle name="Style 27 6 3 2 3 2" xfId="41478" xr:uid="{00000000-0005-0000-0000-00000BA20000}"/>
    <cellStyle name="Style 27 6 3 2 3 3" xfId="41479" xr:uid="{00000000-0005-0000-0000-00000CA20000}"/>
    <cellStyle name="Style 27 6 3 2 4" xfId="41480" xr:uid="{00000000-0005-0000-0000-00000DA20000}"/>
    <cellStyle name="Style 27 6 3 2 5" xfId="41481" xr:uid="{00000000-0005-0000-0000-00000EA20000}"/>
    <cellStyle name="Style 27 6 3 2 6" xfId="41482" xr:uid="{00000000-0005-0000-0000-00000FA20000}"/>
    <cellStyle name="Style 27 6 3 3" xfId="41483" xr:uid="{00000000-0005-0000-0000-000010A20000}"/>
    <cellStyle name="Style 27 6 3 3 2" xfId="41484" xr:uid="{00000000-0005-0000-0000-000011A20000}"/>
    <cellStyle name="Style 27 6 3 3 3" xfId="41485" xr:uid="{00000000-0005-0000-0000-000012A20000}"/>
    <cellStyle name="Style 27 6 3 4" xfId="41486" xr:uid="{00000000-0005-0000-0000-000013A20000}"/>
    <cellStyle name="Style 27 6 3 4 2" xfId="41487" xr:uid="{00000000-0005-0000-0000-000014A20000}"/>
    <cellStyle name="Style 27 6 3 4 3" xfId="41488" xr:uid="{00000000-0005-0000-0000-000015A20000}"/>
    <cellStyle name="Style 27 6 3 5" xfId="41489" xr:uid="{00000000-0005-0000-0000-000016A20000}"/>
    <cellStyle name="Style 27 6 3 5 2" xfId="41490" xr:uid="{00000000-0005-0000-0000-000017A20000}"/>
    <cellStyle name="Style 27 6 3 5 3" xfId="41491" xr:uid="{00000000-0005-0000-0000-000018A20000}"/>
    <cellStyle name="Style 27 6 3 6" xfId="41492" xr:uid="{00000000-0005-0000-0000-000019A20000}"/>
    <cellStyle name="Style 27 6 3 7" xfId="41493" xr:uid="{00000000-0005-0000-0000-00001AA20000}"/>
    <cellStyle name="Style 27 6 3 8" xfId="41494" xr:uid="{00000000-0005-0000-0000-00001BA20000}"/>
    <cellStyle name="Style 27 6 4" xfId="41495" xr:uid="{00000000-0005-0000-0000-00001CA20000}"/>
    <cellStyle name="Style 27 6 4 2" xfId="41496" xr:uid="{00000000-0005-0000-0000-00001DA20000}"/>
    <cellStyle name="Style 27 6 4 2 2" xfId="41497" xr:uid="{00000000-0005-0000-0000-00001EA20000}"/>
    <cellStyle name="Style 27 6 4 2 2 2" xfId="41498" xr:uid="{00000000-0005-0000-0000-00001FA20000}"/>
    <cellStyle name="Style 27 6 4 2 2 3" xfId="41499" xr:uid="{00000000-0005-0000-0000-000020A20000}"/>
    <cellStyle name="Style 27 6 4 2 3" xfId="41500" xr:uid="{00000000-0005-0000-0000-000021A20000}"/>
    <cellStyle name="Style 27 6 4 2 3 2" xfId="41501" xr:uid="{00000000-0005-0000-0000-000022A20000}"/>
    <cellStyle name="Style 27 6 4 2 3 3" xfId="41502" xr:uid="{00000000-0005-0000-0000-000023A20000}"/>
    <cellStyle name="Style 27 6 4 2 4" xfId="41503" xr:uid="{00000000-0005-0000-0000-000024A20000}"/>
    <cellStyle name="Style 27 6 4 2 5" xfId="41504" xr:uid="{00000000-0005-0000-0000-000025A20000}"/>
    <cellStyle name="Style 27 6 4 2 6" xfId="41505" xr:uid="{00000000-0005-0000-0000-000026A20000}"/>
    <cellStyle name="Style 27 6 4 3" xfId="41506" xr:uid="{00000000-0005-0000-0000-000027A20000}"/>
    <cellStyle name="Style 27 6 4 3 2" xfId="41507" xr:uid="{00000000-0005-0000-0000-000028A20000}"/>
    <cellStyle name="Style 27 6 4 3 3" xfId="41508" xr:uid="{00000000-0005-0000-0000-000029A20000}"/>
    <cellStyle name="Style 27 6 4 4" xfId="41509" xr:uid="{00000000-0005-0000-0000-00002AA20000}"/>
    <cellStyle name="Style 27 6 4 4 2" xfId="41510" xr:uid="{00000000-0005-0000-0000-00002BA20000}"/>
    <cellStyle name="Style 27 6 4 4 3" xfId="41511" xr:uid="{00000000-0005-0000-0000-00002CA20000}"/>
    <cellStyle name="Style 27 6 4 5" xfId="41512" xr:uid="{00000000-0005-0000-0000-00002DA20000}"/>
    <cellStyle name="Style 27 6 4 5 2" xfId="41513" xr:uid="{00000000-0005-0000-0000-00002EA20000}"/>
    <cellStyle name="Style 27 6 4 5 3" xfId="41514" xr:uid="{00000000-0005-0000-0000-00002FA20000}"/>
    <cellStyle name="Style 27 6 4 6" xfId="41515" xr:uid="{00000000-0005-0000-0000-000030A20000}"/>
    <cellStyle name="Style 27 6 4 7" xfId="41516" xr:uid="{00000000-0005-0000-0000-000031A20000}"/>
    <cellStyle name="Style 27 6 4 8" xfId="41517" xr:uid="{00000000-0005-0000-0000-000032A20000}"/>
    <cellStyle name="Style 27 6 5" xfId="41518" xr:uid="{00000000-0005-0000-0000-000033A20000}"/>
    <cellStyle name="Style 27 6 5 2" xfId="41519" xr:uid="{00000000-0005-0000-0000-000034A20000}"/>
    <cellStyle name="Style 27 6 5 2 2" xfId="41520" xr:uid="{00000000-0005-0000-0000-000035A20000}"/>
    <cellStyle name="Style 27 6 5 2 2 2" xfId="41521" xr:uid="{00000000-0005-0000-0000-000036A20000}"/>
    <cellStyle name="Style 27 6 5 2 2 3" xfId="41522" xr:uid="{00000000-0005-0000-0000-000037A20000}"/>
    <cellStyle name="Style 27 6 5 2 3" xfId="41523" xr:uid="{00000000-0005-0000-0000-000038A20000}"/>
    <cellStyle name="Style 27 6 5 2 3 2" xfId="41524" xr:uid="{00000000-0005-0000-0000-000039A20000}"/>
    <cellStyle name="Style 27 6 5 2 3 3" xfId="41525" xr:uid="{00000000-0005-0000-0000-00003AA20000}"/>
    <cellStyle name="Style 27 6 5 2 4" xfId="41526" xr:uid="{00000000-0005-0000-0000-00003BA20000}"/>
    <cellStyle name="Style 27 6 5 2 5" xfId="41527" xr:uid="{00000000-0005-0000-0000-00003CA20000}"/>
    <cellStyle name="Style 27 6 5 2 6" xfId="41528" xr:uid="{00000000-0005-0000-0000-00003DA20000}"/>
    <cellStyle name="Style 27 6 5 3" xfId="41529" xr:uid="{00000000-0005-0000-0000-00003EA20000}"/>
    <cellStyle name="Style 27 6 5 3 2" xfId="41530" xr:uid="{00000000-0005-0000-0000-00003FA20000}"/>
    <cellStyle name="Style 27 6 5 3 3" xfId="41531" xr:uid="{00000000-0005-0000-0000-000040A20000}"/>
    <cellStyle name="Style 27 6 5 4" xfId="41532" xr:uid="{00000000-0005-0000-0000-000041A20000}"/>
    <cellStyle name="Style 27 6 5 4 2" xfId="41533" xr:uid="{00000000-0005-0000-0000-000042A20000}"/>
    <cellStyle name="Style 27 6 5 4 3" xfId="41534" xr:uid="{00000000-0005-0000-0000-000043A20000}"/>
    <cellStyle name="Style 27 6 5 5" xfId="41535" xr:uid="{00000000-0005-0000-0000-000044A20000}"/>
    <cellStyle name="Style 27 6 5 5 2" xfId="41536" xr:uid="{00000000-0005-0000-0000-000045A20000}"/>
    <cellStyle name="Style 27 6 5 5 3" xfId="41537" xr:uid="{00000000-0005-0000-0000-000046A20000}"/>
    <cellStyle name="Style 27 6 5 6" xfId="41538" xr:uid="{00000000-0005-0000-0000-000047A20000}"/>
    <cellStyle name="Style 27 6 5 7" xfId="41539" xr:uid="{00000000-0005-0000-0000-000048A20000}"/>
    <cellStyle name="Style 27 6 5 8" xfId="41540" xr:uid="{00000000-0005-0000-0000-000049A20000}"/>
    <cellStyle name="Style 27 6 6" xfId="41541" xr:uid="{00000000-0005-0000-0000-00004AA20000}"/>
    <cellStyle name="Style 27 6 6 2" xfId="41542" xr:uid="{00000000-0005-0000-0000-00004BA20000}"/>
    <cellStyle name="Style 27 6 6 2 2" xfId="41543" xr:uid="{00000000-0005-0000-0000-00004CA20000}"/>
    <cellStyle name="Style 27 6 6 2 3" xfId="41544" xr:uid="{00000000-0005-0000-0000-00004DA20000}"/>
    <cellStyle name="Style 27 6 6 3" xfId="41545" xr:uid="{00000000-0005-0000-0000-00004EA20000}"/>
    <cellStyle name="Style 27 6 6 3 2" xfId="41546" xr:uid="{00000000-0005-0000-0000-00004FA20000}"/>
    <cellStyle name="Style 27 6 6 3 3" xfId="41547" xr:uid="{00000000-0005-0000-0000-000050A20000}"/>
    <cellStyle name="Style 27 6 6 4" xfId="41548" xr:uid="{00000000-0005-0000-0000-000051A20000}"/>
    <cellStyle name="Style 27 6 6 5" xfId="41549" xr:uid="{00000000-0005-0000-0000-000052A20000}"/>
    <cellStyle name="Style 27 6 6 6" xfId="41550" xr:uid="{00000000-0005-0000-0000-000053A20000}"/>
    <cellStyle name="Style 27 6 7" xfId="41551" xr:uid="{00000000-0005-0000-0000-000054A20000}"/>
    <cellStyle name="Style 27 6 7 2" xfId="41552" xr:uid="{00000000-0005-0000-0000-000055A20000}"/>
    <cellStyle name="Style 27 6 7 3" xfId="41553" xr:uid="{00000000-0005-0000-0000-000056A20000}"/>
    <cellStyle name="Style 27 6 8" xfId="41554" xr:uid="{00000000-0005-0000-0000-000057A20000}"/>
    <cellStyle name="Style 27 6 8 2" xfId="41555" xr:uid="{00000000-0005-0000-0000-000058A20000}"/>
    <cellStyle name="Style 27 6 8 3" xfId="41556" xr:uid="{00000000-0005-0000-0000-000059A20000}"/>
    <cellStyle name="Style 27 6 9" xfId="41557" xr:uid="{00000000-0005-0000-0000-00005AA20000}"/>
    <cellStyle name="Style 27 6 9 2" xfId="41558" xr:uid="{00000000-0005-0000-0000-00005BA20000}"/>
    <cellStyle name="Style 27 6 9 3" xfId="41559" xr:uid="{00000000-0005-0000-0000-00005CA20000}"/>
    <cellStyle name="Style 27 7" xfId="41560" xr:uid="{00000000-0005-0000-0000-00005DA20000}"/>
    <cellStyle name="Style 27 7 10" xfId="41561" xr:uid="{00000000-0005-0000-0000-00005EA20000}"/>
    <cellStyle name="Style 27 7 11" xfId="41562" xr:uid="{00000000-0005-0000-0000-00005FA20000}"/>
    <cellStyle name="Style 27 7 12" xfId="41563" xr:uid="{00000000-0005-0000-0000-000060A20000}"/>
    <cellStyle name="Style 27 7 2" xfId="41564" xr:uid="{00000000-0005-0000-0000-000061A20000}"/>
    <cellStyle name="Style 27 7 2 10" xfId="41565" xr:uid="{00000000-0005-0000-0000-000062A20000}"/>
    <cellStyle name="Style 27 7 2 2" xfId="41566" xr:uid="{00000000-0005-0000-0000-000063A20000}"/>
    <cellStyle name="Style 27 7 2 2 2" xfId="41567" xr:uid="{00000000-0005-0000-0000-000064A20000}"/>
    <cellStyle name="Style 27 7 2 2 2 2" xfId="41568" xr:uid="{00000000-0005-0000-0000-000065A20000}"/>
    <cellStyle name="Style 27 7 2 2 2 2 2" xfId="41569" xr:uid="{00000000-0005-0000-0000-000066A20000}"/>
    <cellStyle name="Style 27 7 2 2 2 2 3" xfId="41570" xr:uid="{00000000-0005-0000-0000-000067A20000}"/>
    <cellStyle name="Style 27 7 2 2 2 3" xfId="41571" xr:uid="{00000000-0005-0000-0000-000068A20000}"/>
    <cellStyle name="Style 27 7 2 2 2 3 2" xfId="41572" xr:uid="{00000000-0005-0000-0000-000069A20000}"/>
    <cellStyle name="Style 27 7 2 2 2 3 3" xfId="41573" xr:uid="{00000000-0005-0000-0000-00006AA20000}"/>
    <cellStyle name="Style 27 7 2 2 2 4" xfId="41574" xr:uid="{00000000-0005-0000-0000-00006BA20000}"/>
    <cellStyle name="Style 27 7 2 2 2 5" xfId="41575" xr:uid="{00000000-0005-0000-0000-00006CA20000}"/>
    <cellStyle name="Style 27 7 2 2 2 6" xfId="41576" xr:uid="{00000000-0005-0000-0000-00006DA20000}"/>
    <cellStyle name="Style 27 7 2 2 3" xfId="41577" xr:uid="{00000000-0005-0000-0000-00006EA20000}"/>
    <cellStyle name="Style 27 7 2 2 3 2" xfId="41578" xr:uid="{00000000-0005-0000-0000-00006FA20000}"/>
    <cellStyle name="Style 27 7 2 2 3 3" xfId="41579" xr:uid="{00000000-0005-0000-0000-000070A20000}"/>
    <cellStyle name="Style 27 7 2 2 4" xfId="41580" xr:uid="{00000000-0005-0000-0000-000071A20000}"/>
    <cellStyle name="Style 27 7 2 2 4 2" xfId="41581" xr:uid="{00000000-0005-0000-0000-000072A20000}"/>
    <cellStyle name="Style 27 7 2 2 4 3" xfId="41582" xr:uid="{00000000-0005-0000-0000-000073A20000}"/>
    <cellStyle name="Style 27 7 2 2 5" xfId="41583" xr:uid="{00000000-0005-0000-0000-000074A20000}"/>
    <cellStyle name="Style 27 7 2 2 5 2" xfId="41584" xr:uid="{00000000-0005-0000-0000-000075A20000}"/>
    <cellStyle name="Style 27 7 2 2 5 3" xfId="41585" xr:uid="{00000000-0005-0000-0000-000076A20000}"/>
    <cellStyle name="Style 27 7 2 2 6" xfId="41586" xr:uid="{00000000-0005-0000-0000-000077A20000}"/>
    <cellStyle name="Style 27 7 2 2 7" xfId="41587" xr:uid="{00000000-0005-0000-0000-000078A20000}"/>
    <cellStyle name="Style 27 7 2 2 8" xfId="41588" xr:uid="{00000000-0005-0000-0000-000079A20000}"/>
    <cellStyle name="Style 27 7 2 3" xfId="41589" xr:uid="{00000000-0005-0000-0000-00007AA20000}"/>
    <cellStyle name="Style 27 7 2 3 2" xfId="41590" xr:uid="{00000000-0005-0000-0000-00007BA20000}"/>
    <cellStyle name="Style 27 7 2 3 2 2" xfId="41591" xr:uid="{00000000-0005-0000-0000-00007CA20000}"/>
    <cellStyle name="Style 27 7 2 3 2 2 2" xfId="41592" xr:uid="{00000000-0005-0000-0000-00007DA20000}"/>
    <cellStyle name="Style 27 7 2 3 2 2 3" xfId="41593" xr:uid="{00000000-0005-0000-0000-00007EA20000}"/>
    <cellStyle name="Style 27 7 2 3 2 3" xfId="41594" xr:uid="{00000000-0005-0000-0000-00007FA20000}"/>
    <cellStyle name="Style 27 7 2 3 2 3 2" xfId="41595" xr:uid="{00000000-0005-0000-0000-000080A20000}"/>
    <cellStyle name="Style 27 7 2 3 2 3 3" xfId="41596" xr:uid="{00000000-0005-0000-0000-000081A20000}"/>
    <cellStyle name="Style 27 7 2 3 2 4" xfId="41597" xr:uid="{00000000-0005-0000-0000-000082A20000}"/>
    <cellStyle name="Style 27 7 2 3 2 5" xfId="41598" xr:uid="{00000000-0005-0000-0000-000083A20000}"/>
    <cellStyle name="Style 27 7 2 3 2 6" xfId="41599" xr:uid="{00000000-0005-0000-0000-000084A20000}"/>
    <cellStyle name="Style 27 7 2 3 3" xfId="41600" xr:uid="{00000000-0005-0000-0000-000085A20000}"/>
    <cellStyle name="Style 27 7 2 3 3 2" xfId="41601" xr:uid="{00000000-0005-0000-0000-000086A20000}"/>
    <cellStyle name="Style 27 7 2 3 3 3" xfId="41602" xr:uid="{00000000-0005-0000-0000-000087A20000}"/>
    <cellStyle name="Style 27 7 2 3 4" xfId="41603" xr:uid="{00000000-0005-0000-0000-000088A20000}"/>
    <cellStyle name="Style 27 7 2 3 4 2" xfId="41604" xr:uid="{00000000-0005-0000-0000-000089A20000}"/>
    <cellStyle name="Style 27 7 2 3 4 3" xfId="41605" xr:uid="{00000000-0005-0000-0000-00008AA20000}"/>
    <cellStyle name="Style 27 7 2 3 5" xfId="41606" xr:uid="{00000000-0005-0000-0000-00008BA20000}"/>
    <cellStyle name="Style 27 7 2 3 5 2" xfId="41607" xr:uid="{00000000-0005-0000-0000-00008CA20000}"/>
    <cellStyle name="Style 27 7 2 3 5 3" xfId="41608" xr:uid="{00000000-0005-0000-0000-00008DA20000}"/>
    <cellStyle name="Style 27 7 2 3 6" xfId="41609" xr:uid="{00000000-0005-0000-0000-00008EA20000}"/>
    <cellStyle name="Style 27 7 2 3 7" xfId="41610" xr:uid="{00000000-0005-0000-0000-00008FA20000}"/>
    <cellStyle name="Style 27 7 2 3 8" xfId="41611" xr:uid="{00000000-0005-0000-0000-000090A20000}"/>
    <cellStyle name="Style 27 7 2 4" xfId="41612" xr:uid="{00000000-0005-0000-0000-000091A20000}"/>
    <cellStyle name="Style 27 7 2 4 2" xfId="41613" xr:uid="{00000000-0005-0000-0000-000092A20000}"/>
    <cellStyle name="Style 27 7 2 4 2 2" xfId="41614" xr:uid="{00000000-0005-0000-0000-000093A20000}"/>
    <cellStyle name="Style 27 7 2 4 2 3" xfId="41615" xr:uid="{00000000-0005-0000-0000-000094A20000}"/>
    <cellStyle name="Style 27 7 2 4 3" xfId="41616" xr:uid="{00000000-0005-0000-0000-000095A20000}"/>
    <cellStyle name="Style 27 7 2 4 3 2" xfId="41617" xr:uid="{00000000-0005-0000-0000-000096A20000}"/>
    <cellStyle name="Style 27 7 2 4 3 3" xfId="41618" xr:uid="{00000000-0005-0000-0000-000097A20000}"/>
    <cellStyle name="Style 27 7 2 4 4" xfId="41619" xr:uid="{00000000-0005-0000-0000-000098A20000}"/>
    <cellStyle name="Style 27 7 2 4 5" xfId="41620" xr:uid="{00000000-0005-0000-0000-000099A20000}"/>
    <cellStyle name="Style 27 7 2 4 6" xfId="41621" xr:uid="{00000000-0005-0000-0000-00009AA20000}"/>
    <cellStyle name="Style 27 7 2 5" xfId="41622" xr:uid="{00000000-0005-0000-0000-00009BA20000}"/>
    <cellStyle name="Style 27 7 2 5 2" xfId="41623" xr:uid="{00000000-0005-0000-0000-00009CA20000}"/>
    <cellStyle name="Style 27 7 2 5 3" xfId="41624" xr:uid="{00000000-0005-0000-0000-00009DA20000}"/>
    <cellStyle name="Style 27 7 2 6" xfId="41625" xr:uid="{00000000-0005-0000-0000-00009EA20000}"/>
    <cellStyle name="Style 27 7 2 6 2" xfId="41626" xr:uid="{00000000-0005-0000-0000-00009FA20000}"/>
    <cellStyle name="Style 27 7 2 6 3" xfId="41627" xr:uid="{00000000-0005-0000-0000-0000A0A20000}"/>
    <cellStyle name="Style 27 7 2 7" xfId="41628" xr:uid="{00000000-0005-0000-0000-0000A1A20000}"/>
    <cellStyle name="Style 27 7 2 7 2" xfId="41629" xr:uid="{00000000-0005-0000-0000-0000A2A20000}"/>
    <cellStyle name="Style 27 7 2 7 3" xfId="41630" xr:uid="{00000000-0005-0000-0000-0000A3A20000}"/>
    <cellStyle name="Style 27 7 2 8" xfId="41631" xr:uid="{00000000-0005-0000-0000-0000A4A20000}"/>
    <cellStyle name="Style 27 7 2 9" xfId="41632" xr:uid="{00000000-0005-0000-0000-0000A5A20000}"/>
    <cellStyle name="Style 27 7 3" xfId="41633" xr:uid="{00000000-0005-0000-0000-0000A6A20000}"/>
    <cellStyle name="Style 27 7 3 2" xfId="41634" xr:uid="{00000000-0005-0000-0000-0000A7A20000}"/>
    <cellStyle name="Style 27 7 3 2 2" xfId="41635" xr:uid="{00000000-0005-0000-0000-0000A8A20000}"/>
    <cellStyle name="Style 27 7 3 2 2 2" xfId="41636" xr:uid="{00000000-0005-0000-0000-0000A9A20000}"/>
    <cellStyle name="Style 27 7 3 2 2 3" xfId="41637" xr:uid="{00000000-0005-0000-0000-0000AAA20000}"/>
    <cellStyle name="Style 27 7 3 2 3" xfId="41638" xr:uid="{00000000-0005-0000-0000-0000ABA20000}"/>
    <cellStyle name="Style 27 7 3 2 3 2" xfId="41639" xr:uid="{00000000-0005-0000-0000-0000ACA20000}"/>
    <cellStyle name="Style 27 7 3 2 3 3" xfId="41640" xr:uid="{00000000-0005-0000-0000-0000ADA20000}"/>
    <cellStyle name="Style 27 7 3 2 4" xfId="41641" xr:uid="{00000000-0005-0000-0000-0000AEA20000}"/>
    <cellStyle name="Style 27 7 3 2 5" xfId="41642" xr:uid="{00000000-0005-0000-0000-0000AFA20000}"/>
    <cellStyle name="Style 27 7 3 2 6" xfId="41643" xr:uid="{00000000-0005-0000-0000-0000B0A20000}"/>
    <cellStyle name="Style 27 7 3 3" xfId="41644" xr:uid="{00000000-0005-0000-0000-0000B1A20000}"/>
    <cellStyle name="Style 27 7 3 3 2" xfId="41645" xr:uid="{00000000-0005-0000-0000-0000B2A20000}"/>
    <cellStyle name="Style 27 7 3 3 3" xfId="41646" xr:uid="{00000000-0005-0000-0000-0000B3A20000}"/>
    <cellStyle name="Style 27 7 3 4" xfId="41647" xr:uid="{00000000-0005-0000-0000-0000B4A20000}"/>
    <cellStyle name="Style 27 7 3 4 2" xfId="41648" xr:uid="{00000000-0005-0000-0000-0000B5A20000}"/>
    <cellStyle name="Style 27 7 3 4 3" xfId="41649" xr:uid="{00000000-0005-0000-0000-0000B6A20000}"/>
    <cellStyle name="Style 27 7 3 5" xfId="41650" xr:uid="{00000000-0005-0000-0000-0000B7A20000}"/>
    <cellStyle name="Style 27 7 3 5 2" xfId="41651" xr:uid="{00000000-0005-0000-0000-0000B8A20000}"/>
    <cellStyle name="Style 27 7 3 5 3" xfId="41652" xr:uid="{00000000-0005-0000-0000-0000B9A20000}"/>
    <cellStyle name="Style 27 7 3 6" xfId="41653" xr:uid="{00000000-0005-0000-0000-0000BAA20000}"/>
    <cellStyle name="Style 27 7 3 7" xfId="41654" xr:uid="{00000000-0005-0000-0000-0000BBA20000}"/>
    <cellStyle name="Style 27 7 3 8" xfId="41655" xr:uid="{00000000-0005-0000-0000-0000BCA20000}"/>
    <cellStyle name="Style 27 7 4" xfId="41656" xr:uid="{00000000-0005-0000-0000-0000BDA20000}"/>
    <cellStyle name="Style 27 7 4 2" xfId="41657" xr:uid="{00000000-0005-0000-0000-0000BEA20000}"/>
    <cellStyle name="Style 27 7 4 2 2" xfId="41658" xr:uid="{00000000-0005-0000-0000-0000BFA20000}"/>
    <cellStyle name="Style 27 7 4 2 2 2" xfId="41659" xr:uid="{00000000-0005-0000-0000-0000C0A20000}"/>
    <cellStyle name="Style 27 7 4 2 2 3" xfId="41660" xr:uid="{00000000-0005-0000-0000-0000C1A20000}"/>
    <cellStyle name="Style 27 7 4 2 3" xfId="41661" xr:uid="{00000000-0005-0000-0000-0000C2A20000}"/>
    <cellStyle name="Style 27 7 4 2 3 2" xfId="41662" xr:uid="{00000000-0005-0000-0000-0000C3A20000}"/>
    <cellStyle name="Style 27 7 4 2 3 3" xfId="41663" xr:uid="{00000000-0005-0000-0000-0000C4A20000}"/>
    <cellStyle name="Style 27 7 4 2 4" xfId="41664" xr:uid="{00000000-0005-0000-0000-0000C5A20000}"/>
    <cellStyle name="Style 27 7 4 2 5" xfId="41665" xr:uid="{00000000-0005-0000-0000-0000C6A20000}"/>
    <cellStyle name="Style 27 7 4 2 6" xfId="41666" xr:uid="{00000000-0005-0000-0000-0000C7A20000}"/>
    <cellStyle name="Style 27 7 4 3" xfId="41667" xr:uid="{00000000-0005-0000-0000-0000C8A20000}"/>
    <cellStyle name="Style 27 7 4 3 2" xfId="41668" xr:uid="{00000000-0005-0000-0000-0000C9A20000}"/>
    <cellStyle name="Style 27 7 4 3 3" xfId="41669" xr:uid="{00000000-0005-0000-0000-0000CAA20000}"/>
    <cellStyle name="Style 27 7 4 4" xfId="41670" xr:uid="{00000000-0005-0000-0000-0000CBA20000}"/>
    <cellStyle name="Style 27 7 4 4 2" xfId="41671" xr:uid="{00000000-0005-0000-0000-0000CCA20000}"/>
    <cellStyle name="Style 27 7 4 4 3" xfId="41672" xr:uid="{00000000-0005-0000-0000-0000CDA20000}"/>
    <cellStyle name="Style 27 7 4 5" xfId="41673" xr:uid="{00000000-0005-0000-0000-0000CEA20000}"/>
    <cellStyle name="Style 27 7 4 5 2" xfId="41674" xr:uid="{00000000-0005-0000-0000-0000CFA20000}"/>
    <cellStyle name="Style 27 7 4 5 3" xfId="41675" xr:uid="{00000000-0005-0000-0000-0000D0A20000}"/>
    <cellStyle name="Style 27 7 4 6" xfId="41676" xr:uid="{00000000-0005-0000-0000-0000D1A20000}"/>
    <cellStyle name="Style 27 7 4 7" xfId="41677" xr:uid="{00000000-0005-0000-0000-0000D2A20000}"/>
    <cellStyle name="Style 27 7 4 8" xfId="41678" xr:uid="{00000000-0005-0000-0000-0000D3A20000}"/>
    <cellStyle name="Style 27 7 5" xfId="41679" xr:uid="{00000000-0005-0000-0000-0000D4A20000}"/>
    <cellStyle name="Style 27 7 5 2" xfId="41680" xr:uid="{00000000-0005-0000-0000-0000D5A20000}"/>
    <cellStyle name="Style 27 7 5 2 2" xfId="41681" xr:uid="{00000000-0005-0000-0000-0000D6A20000}"/>
    <cellStyle name="Style 27 7 5 2 2 2" xfId="41682" xr:uid="{00000000-0005-0000-0000-0000D7A20000}"/>
    <cellStyle name="Style 27 7 5 2 2 3" xfId="41683" xr:uid="{00000000-0005-0000-0000-0000D8A20000}"/>
    <cellStyle name="Style 27 7 5 2 3" xfId="41684" xr:uid="{00000000-0005-0000-0000-0000D9A20000}"/>
    <cellStyle name="Style 27 7 5 2 3 2" xfId="41685" xr:uid="{00000000-0005-0000-0000-0000DAA20000}"/>
    <cellStyle name="Style 27 7 5 2 3 3" xfId="41686" xr:uid="{00000000-0005-0000-0000-0000DBA20000}"/>
    <cellStyle name="Style 27 7 5 2 4" xfId="41687" xr:uid="{00000000-0005-0000-0000-0000DCA20000}"/>
    <cellStyle name="Style 27 7 5 2 5" xfId="41688" xr:uid="{00000000-0005-0000-0000-0000DDA20000}"/>
    <cellStyle name="Style 27 7 5 2 6" xfId="41689" xr:uid="{00000000-0005-0000-0000-0000DEA20000}"/>
    <cellStyle name="Style 27 7 5 3" xfId="41690" xr:uid="{00000000-0005-0000-0000-0000DFA20000}"/>
    <cellStyle name="Style 27 7 5 3 2" xfId="41691" xr:uid="{00000000-0005-0000-0000-0000E0A20000}"/>
    <cellStyle name="Style 27 7 5 3 3" xfId="41692" xr:uid="{00000000-0005-0000-0000-0000E1A20000}"/>
    <cellStyle name="Style 27 7 5 4" xfId="41693" xr:uid="{00000000-0005-0000-0000-0000E2A20000}"/>
    <cellStyle name="Style 27 7 5 4 2" xfId="41694" xr:uid="{00000000-0005-0000-0000-0000E3A20000}"/>
    <cellStyle name="Style 27 7 5 4 3" xfId="41695" xr:uid="{00000000-0005-0000-0000-0000E4A20000}"/>
    <cellStyle name="Style 27 7 5 5" xfId="41696" xr:uid="{00000000-0005-0000-0000-0000E5A20000}"/>
    <cellStyle name="Style 27 7 5 5 2" xfId="41697" xr:uid="{00000000-0005-0000-0000-0000E6A20000}"/>
    <cellStyle name="Style 27 7 5 5 3" xfId="41698" xr:uid="{00000000-0005-0000-0000-0000E7A20000}"/>
    <cellStyle name="Style 27 7 5 6" xfId="41699" xr:uid="{00000000-0005-0000-0000-0000E8A20000}"/>
    <cellStyle name="Style 27 7 5 7" xfId="41700" xr:uid="{00000000-0005-0000-0000-0000E9A20000}"/>
    <cellStyle name="Style 27 7 5 8" xfId="41701" xr:uid="{00000000-0005-0000-0000-0000EAA20000}"/>
    <cellStyle name="Style 27 7 6" xfId="41702" xr:uid="{00000000-0005-0000-0000-0000EBA20000}"/>
    <cellStyle name="Style 27 7 6 2" xfId="41703" xr:uid="{00000000-0005-0000-0000-0000ECA20000}"/>
    <cellStyle name="Style 27 7 6 2 2" xfId="41704" xr:uid="{00000000-0005-0000-0000-0000EDA20000}"/>
    <cellStyle name="Style 27 7 6 2 3" xfId="41705" xr:uid="{00000000-0005-0000-0000-0000EEA20000}"/>
    <cellStyle name="Style 27 7 6 3" xfId="41706" xr:uid="{00000000-0005-0000-0000-0000EFA20000}"/>
    <cellStyle name="Style 27 7 6 3 2" xfId="41707" xr:uid="{00000000-0005-0000-0000-0000F0A20000}"/>
    <cellStyle name="Style 27 7 6 3 3" xfId="41708" xr:uid="{00000000-0005-0000-0000-0000F1A20000}"/>
    <cellStyle name="Style 27 7 6 4" xfId="41709" xr:uid="{00000000-0005-0000-0000-0000F2A20000}"/>
    <cellStyle name="Style 27 7 6 5" xfId="41710" xr:uid="{00000000-0005-0000-0000-0000F3A20000}"/>
    <cellStyle name="Style 27 7 6 6" xfId="41711" xr:uid="{00000000-0005-0000-0000-0000F4A20000}"/>
    <cellStyle name="Style 27 7 7" xfId="41712" xr:uid="{00000000-0005-0000-0000-0000F5A20000}"/>
    <cellStyle name="Style 27 7 7 2" xfId="41713" xr:uid="{00000000-0005-0000-0000-0000F6A20000}"/>
    <cellStyle name="Style 27 7 7 3" xfId="41714" xr:uid="{00000000-0005-0000-0000-0000F7A20000}"/>
    <cellStyle name="Style 27 7 8" xfId="41715" xr:uid="{00000000-0005-0000-0000-0000F8A20000}"/>
    <cellStyle name="Style 27 7 8 2" xfId="41716" xr:uid="{00000000-0005-0000-0000-0000F9A20000}"/>
    <cellStyle name="Style 27 7 8 3" xfId="41717" xr:uid="{00000000-0005-0000-0000-0000FAA20000}"/>
    <cellStyle name="Style 27 7 9" xfId="41718" xr:uid="{00000000-0005-0000-0000-0000FBA20000}"/>
    <cellStyle name="Style 27 7 9 2" xfId="41719" xr:uid="{00000000-0005-0000-0000-0000FCA20000}"/>
    <cellStyle name="Style 27 7 9 3" xfId="41720" xr:uid="{00000000-0005-0000-0000-0000FDA20000}"/>
    <cellStyle name="Style 27 8" xfId="41721" xr:uid="{00000000-0005-0000-0000-0000FEA20000}"/>
    <cellStyle name="Style 27 8 10" xfId="41722" xr:uid="{00000000-0005-0000-0000-0000FFA20000}"/>
    <cellStyle name="Style 27 8 11" xfId="41723" xr:uid="{00000000-0005-0000-0000-000000A30000}"/>
    <cellStyle name="Style 27 8 12" xfId="41724" xr:uid="{00000000-0005-0000-0000-000001A30000}"/>
    <cellStyle name="Style 27 8 2" xfId="41725" xr:uid="{00000000-0005-0000-0000-000002A30000}"/>
    <cellStyle name="Style 27 8 2 10" xfId="41726" xr:uid="{00000000-0005-0000-0000-000003A30000}"/>
    <cellStyle name="Style 27 8 2 2" xfId="41727" xr:uid="{00000000-0005-0000-0000-000004A30000}"/>
    <cellStyle name="Style 27 8 2 2 2" xfId="41728" xr:uid="{00000000-0005-0000-0000-000005A30000}"/>
    <cellStyle name="Style 27 8 2 2 2 2" xfId="41729" xr:uid="{00000000-0005-0000-0000-000006A30000}"/>
    <cellStyle name="Style 27 8 2 2 2 2 2" xfId="41730" xr:uid="{00000000-0005-0000-0000-000007A30000}"/>
    <cellStyle name="Style 27 8 2 2 2 2 3" xfId="41731" xr:uid="{00000000-0005-0000-0000-000008A30000}"/>
    <cellStyle name="Style 27 8 2 2 2 3" xfId="41732" xr:uid="{00000000-0005-0000-0000-000009A30000}"/>
    <cellStyle name="Style 27 8 2 2 2 3 2" xfId="41733" xr:uid="{00000000-0005-0000-0000-00000AA30000}"/>
    <cellStyle name="Style 27 8 2 2 2 3 3" xfId="41734" xr:uid="{00000000-0005-0000-0000-00000BA30000}"/>
    <cellStyle name="Style 27 8 2 2 2 4" xfId="41735" xr:uid="{00000000-0005-0000-0000-00000CA30000}"/>
    <cellStyle name="Style 27 8 2 2 2 5" xfId="41736" xr:uid="{00000000-0005-0000-0000-00000DA30000}"/>
    <cellStyle name="Style 27 8 2 2 2 6" xfId="41737" xr:uid="{00000000-0005-0000-0000-00000EA30000}"/>
    <cellStyle name="Style 27 8 2 2 3" xfId="41738" xr:uid="{00000000-0005-0000-0000-00000FA30000}"/>
    <cellStyle name="Style 27 8 2 2 3 2" xfId="41739" xr:uid="{00000000-0005-0000-0000-000010A30000}"/>
    <cellStyle name="Style 27 8 2 2 3 3" xfId="41740" xr:uid="{00000000-0005-0000-0000-000011A30000}"/>
    <cellStyle name="Style 27 8 2 2 4" xfId="41741" xr:uid="{00000000-0005-0000-0000-000012A30000}"/>
    <cellStyle name="Style 27 8 2 2 4 2" xfId="41742" xr:uid="{00000000-0005-0000-0000-000013A30000}"/>
    <cellStyle name="Style 27 8 2 2 4 3" xfId="41743" xr:uid="{00000000-0005-0000-0000-000014A30000}"/>
    <cellStyle name="Style 27 8 2 2 5" xfId="41744" xr:uid="{00000000-0005-0000-0000-000015A30000}"/>
    <cellStyle name="Style 27 8 2 2 5 2" xfId="41745" xr:uid="{00000000-0005-0000-0000-000016A30000}"/>
    <cellStyle name="Style 27 8 2 2 5 3" xfId="41746" xr:uid="{00000000-0005-0000-0000-000017A30000}"/>
    <cellStyle name="Style 27 8 2 2 6" xfId="41747" xr:uid="{00000000-0005-0000-0000-000018A30000}"/>
    <cellStyle name="Style 27 8 2 2 7" xfId="41748" xr:uid="{00000000-0005-0000-0000-000019A30000}"/>
    <cellStyle name="Style 27 8 2 2 8" xfId="41749" xr:uid="{00000000-0005-0000-0000-00001AA30000}"/>
    <cellStyle name="Style 27 8 2 3" xfId="41750" xr:uid="{00000000-0005-0000-0000-00001BA30000}"/>
    <cellStyle name="Style 27 8 2 3 2" xfId="41751" xr:uid="{00000000-0005-0000-0000-00001CA30000}"/>
    <cellStyle name="Style 27 8 2 3 2 2" xfId="41752" xr:uid="{00000000-0005-0000-0000-00001DA30000}"/>
    <cellStyle name="Style 27 8 2 3 2 2 2" xfId="41753" xr:uid="{00000000-0005-0000-0000-00001EA30000}"/>
    <cellStyle name="Style 27 8 2 3 2 2 3" xfId="41754" xr:uid="{00000000-0005-0000-0000-00001FA30000}"/>
    <cellStyle name="Style 27 8 2 3 2 3" xfId="41755" xr:uid="{00000000-0005-0000-0000-000020A30000}"/>
    <cellStyle name="Style 27 8 2 3 2 3 2" xfId="41756" xr:uid="{00000000-0005-0000-0000-000021A30000}"/>
    <cellStyle name="Style 27 8 2 3 2 3 3" xfId="41757" xr:uid="{00000000-0005-0000-0000-000022A30000}"/>
    <cellStyle name="Style 27 8 2 3 2 4" xfId="41758" xr:uid="{00000000-0005-0000-0000-000023A30000}"/>
    <cellStyle name="Style 27 8 2 3 2 5" xfId="41759" xr:uid="{00000000-0005-0000-0000-000024A30000}"/>
    <cellStyle name="Style 27 8 2 3 2 6" xfId="41760" xr:uid="{00000000-0005-0000-0000-000025A30000}"/>
    <cellStyle name="Style 27 8 2 3 3" xfId="41761" xr:uid="{00000000-0005-0000-0000-000026A30000}"/>
    <cellStyle name="Style 27 8 2 3 3 2" xfId="41762" xr:uid="{00000000-0005-0000-0000-000027A30000}"/>
    <cellStyle name="Style 27 8 2 3 3 3" xfId="41763" xr:uid="{00000000-0005-0000-0000-000028A30000}"/>
    <cellStyle name="Style 27 8 2 3 4" xfId="41764" xr:uid="{00000000-0005-0000-0000-000029A30000}"/>
    <cellStyle name="Style 27 8 2 3 4 2" xfId="41765" xr:uid="{00000000-0005-0000-0000-00002AA30000}"/>
    <cellStyle name="Style 27 8 2 3 4 3" xfId="41766" xr:uid="{00000000-0005-0000-0000-00002BA30000}"/>
    <cellStyle name="Style 27 8 2 3 5" xfId="41767" xr:uid="{00000000-0005-0000-0000-00002CA30000}"/>
    <cellStyle name="Style 27 8 2 3 5 2" xfId="41768" xr:uid="{00000000-0005-0000-0000-00002DA30000}"/>
    <cellStyle name="Style 27 8 2 3 5 3" xfId="41769" xr:uid="{00000000-0005-0000-0000-00002EA30000}"/>
    <cellStyle name="Style 27 8 2 3 6" xfId="41770" xr:uid="{00000000-0005-0000-0000-00002FA30000}"/>
    <cellStyle name="Style 27 8 2 3 7" xfId="41771" xr:uid="{00000000-0005-0000-0000-000030A30000}"/>
    <cellStyle name="Style 27 8 2 3 8" xfId="41772" xr:uid="{00000000-0005-0000-0000-000031A30000}"/>
    <cellStyle name="Style 27 8 2 4" xfId="41773" xr:uid="{00000000-0005-0000-0000-000032A30000}"/>
    <cellStyle name="Style 27 8 2 4 2" xfId="41774" xr:uid="{00000000-0005-0000-0000-000033A30000}"/>
    <cellStyle name="Style 27 8 2 4 2 2" xfId="41775" xr:uid="{00000000-0005-0000-0000-000034A30000}"/>
    <cellStyle name="Style 27 8 2 4 2 3" xfId="41776" xr:uid="{00000000-0005-0000-0000-000035A30000}"/>
    <cellStyle name="Style 27 8 2 4 3" xfId="41777" xr:uid="{00000000-0005-0000-0000-000036A30000}"/>
    <cellStyle name="Style 27 8 2 4 3 2" xfId="41778" xr:uid="{00000000-0005-0000-0000-000037A30000}"/>
    <cellStyle name="Style 27 8 2 4 3 3" xfId="41779" xr:uid="{00000000-0005-0000-0000-000038A30000}"/>
    <cellStyle name="Style 27 8 2 4 4" xfId="41780" xr:uid="{00000000-0005-0000-0000-000039A30000}"/>
    <cellStyle name="Style 27 8 2 4 5" xfId="41781" xr:uid="{00000000-0005-0000-0000-00003AA30000}"/>
    <cellStyle name="Style 27 8 2 4 6" xfId="41782" xr:uid="{00000000-0005-0000-0000-00003BA30000}"/>
    <cellStyle name="Style 27 8 2 5" xfId="41783" xr:uid="{00000000-0005-0000-0000-00003CA30000}"/>
    <cellStyle name="Style 27 8 2 5 2" xfId="41784" xr:uid="{00000000-0005-0000-0000-00003DA30000}"/>
    <cellStyle name="Style 27 8 2 5 3" xfId="41785" xr:uid="{00000000-0005-0000-0000-00003EA30000}"/>
    <cellStyle name="Style 27 8 2 6" xfId="41786" xr:uid="{00000000-0005-0000-0000-00003FA30000}"/>
    <cellStyle name="Style 27 8 2 6 2" xfId="41787" xr:uid="{00000000-0005-0000-0000-000040A30000}"/>
    <cellStyle name="Style 27 8 2 6 3" xfId="41788" xr:uid="{00000000-0005-0000-0000-000041A30000}"/>
    <cellStyle name="Style 27 8 2 7" xfId="41789" xr:uid="{00000000-0005-0000-0000-000042A30000}"/>
    <cellStyle name="Style 27 8 2 7 2" xfId="41790" xr:uid="{00000000-0005-0000-0000-000043A30000}"/>
    <cellStyle name="Style 27 8 2 7 3" xfId="41791" xr:uid="{00000000-0005-0000-0000-000044A30000}"/>
    <cellStyle name="Style 27 8 2 8" xfId="41792" xr:uid="{00000000-0005-0000-0000-000045A30000}"/>
    <cellStyle name="Style 27 8 2 9" xfId="41793" xr:uid="{00000000-0005-0000-0000-000046A30000}"/>
    <cellStyle name="Style 27 8 3" xfId="41794" xr:uid="{00000000-0005-0000-0000-000047A30000}"/>
    <cellStyle name="Style 27 8 3 2" xfId="41795" xr:uid="{00000000-0005-0000-0000-000048A30000}"/>
    <cellStyle name="Style 27 8 3 2 2" xfId="41796" xr:uid="{00000000-0005-0000-0000-000049A30000}"/>
    <cellStyle name="Style 27 8 3 2 2 2" xfId="41797" xr:uid="{00000000-0005-0000-0000-00004AA30000}"/>
    <cellStyle name="Style 27 8 3 2 2 3" xfId="41798" xr:uid="{00000000-0005-0000-0000-00004BA30000}"/>
    <cellStyle name="Style 27 8 3 2 3" xfId="41799" xr:uid="{00000000-0005-0000-0000-00004CA30000}"/>
    <cellStyle name="Style 27 8 3 2 3 2" xfId="41800" xr:uid="{00000000-0005-0000-0000-00004DA30000}"/>
    <cellStyle name="Style 27 8 3 2 3 3" xfId="41801" xr:uid="{00000000-0005-0000-0000-00004EA30000}"/>
    <cellStyle name="Style 27 8 3 2 4" xfId="41802" xr:uid="{00000000-0005-0000-0000-00004FA30000}"/>
    <cellStyle name="Style 27 8 3 2 5" xfId="41803" xr:uid="{00000000-0005-0000-0000-000050A30000}"/>
    <cellStyle name="Style 27 8 3 2 6" xfId="41804" xr:uid="{00000000-0005-0000-0000-000051A30000}"/>
    <cellStyle name="Style 27 8 3 3" xfId="41805" xr:uid="{00000000-0005-0000-0000-000052A30000}"/>
    <cellStyle name="Style 27 8 3 3 2" xfId="41806" xr:uid="{00000000-0005-0000-0000-000053A30000}"/>
    <cellStyle name="Style 27 8 3 3 3" xfId="41807" xr:uid="{00000000-0005-0000-0000-000054A30000}"/>
    <cellStyle name="Style 27 8 3 4" xfId="41808" xr:uid="{00000000-0005-0000-0000-000055A30000}"/>
    <cellStyle name="Style 27 8 3 4 2" xfId="41809" xr:uid="{00000000-0005-0000-0000-000056A30000}"/>
    <cellStyle name="Style 27 8 3 4 3" xfId="41810" xr:uid="{00000000-0005-0000-0000-000057A30000}"/>
    <cellStyle name="Style 27 8 3 5" xfId="41811" xr:uid="{00000000-0005-0000-0000-000058A30000}"/>
    <cellStyle name="Style 27 8 3 5 2" xfId="41812" xr:uid="{00000000-0005-0000-0000-000059A30000}"/>
    <cellStyle name="Style 27 8 3 5 3" xfId="41813" xr:uid="{00000000-0005-0000-0000-00005AA30000}"/>
    <cellStyle name="Style 27 8 3 6" xfId="41814" xr:uid="{00000000-0005-0000-0000-00005BA30000}"/>
    <cellStyle name="Style 27 8 3 7" xfId="41815" xr:uid="{00000000-0005-0000-0000-00005CA30000}"/>
    <cellStyle name="Style 27 8 3 8" xfId="41816" xr:uid="{00000000-0005-0000-0000-00005DA30000}"/>
    <cellStyle name="Style 27 8 4" xfId="41817" xr:uid="{00000000-0005-0000-0000-00005EA30000}"/>
    <cellStyle name="Style 27 8 4 2" xfId="41818" xr:uid="{00000000-0005-0000-0000-00005FA30000}"/>
    <cellStyle name="Style 27 8 4 2 2" xfId="41819" xr:uid="{00000000-0005-0000-0000-000060A30000}"/>
    <cellStyle name="Style 27 8 4 2 2 2" xfId="41820" xr:uid="{00000000-0005-0000-0000-000061A30000}"/>
    <cellStyle name="Style 27 8 4 2 2 3" xfId="41821" xr:uid="{00000000-0005-0000-0000-000062A30000}"/>
    <cellStyle name="Style 27 8 4 2 3" xfId="41822" xr:uid="{00000000-0005-0000-0000-000063A30000}"/>
    <cellStyle name="Style 27 8 4 2 3 2" xfId="41823" xr:uid="{00000000-0005-0000-0000-000064A30000}"/>
    <cellStyle name="Style 27 8 4 2 3 3" xfId="41824" xr:uid="{00000000-0005-0000-0000-000065A30000}"/>
    <cellStyle name="Style 27 8 4 2 4" xfId="41825" xr:uid="{00000000-0005-0000-0000-000066A30000}"/>
    <cellStyle name="Style 27 8 4 2 5" xfId="41826" xr:uid="{00000000-0005-0000-0000-000067A30000}"/>
    <cellStyle name="Style 27 8 4 2 6" xfId="41827" xr:uid="{00000000-0005-0000-0000-000068A30000}"/>
    <cellStyle name="Style 27 8 4 3" xfId="41828" xr:uid="{00000000-0005-0000-0000-000069A30000}"/>
    <cellStyle name="Style 27 8 4 3 2" xfId="41829" xr:uid="{00000000-0005-0000-0000-00006AA30000}"/>
    <cellStyle name="Style 27 8 4 3 3" xfId="41830" xr:uid="{00000000-0005-0000-0000-00006BA30000}"/>
    <cellStyle name="Style 27 8 4 4" xfId="41831" xr:uid="{00000000-0005-0000-0000-00006CA30000}"/>
    <cellStyle name="Style 27 8 4 4 2" xfId="41832" xr:uid="{00000000-0005-0000-0000-00006DA30000}"/>
    <cellStyle name="Style 27 8 4 4 3" xfId="41833" xr:uid="{00000000-0005-0000-0000-00006EA30000}"/>
    <cellStyle name="Style 27 8 4 5" xfId="41834" xr:uid="{00000000-0005-0000-0000-00006FA30000}"/>
    <cellStyle name="Style 27 8 4 5 2" xfId="41835" xr:uid="{00000000-0005-0000-0000-000070A30000}"/>
    <cellStyle name="Style 27 8 4 5 3" xfId="41836" xr:uid="{00000000-0005-0000-0000-000071A30000}"/>
    <cellStyle name="Style 27 8 4 6" xfId="41837" xr:uid="{00000000-0005-0000-0000-000072A30000}"/>
    <cellStyle name="Style 27 8 4 7" xfId="41838" xr:uid="{00000000-0005-0000-0000-000073A30000}"/>
    <cellStyle name="Style 27 8 4 8" xfId="41839" xr:uid="{00000000-0005-0000-0000-000074A30000}"/>
    <cellStyle name="Style 27 8 5" xfId="41840" xr:uid="{00000000-0005-0000-0000-000075A30000}"/>
    <cellStyle name="Style 27 8 5 2" xfId="41841" xr:uid="{00000000-0005-0000-0000-000076A30000}"/>
    <cellStyle name="Style 27 8 5 2 2" xfId="41842" xr:uid="{00000000-0005-0000-0000-000077A30000}"/>
    <cellStyle name="Style 27 8 5 2 2 2" xfId="41843" xr:uid="{00000000-0005-0000-0000-000078A30000}"/>
    <cellStyle name="Style 27 8 5 2 2 3" xfId="41844" xr:uid="{00000000-0005-0000-0000-000079A30000}"/>
    <cellStyle name="Style 27 8 5 2 3" xfId="41845" xr:uid="{00000000-0005-0000-0000-00007AA30000}"/>
    <cellStyle name="Style 27 8 5 2 3 2" xfId="41846" xr:uid="{00000000-0005-0000-0000-00007BA30000}"/>
    <cellStyle name="Style 27 8 5 2 3 3" xfId="41847" xr:uid="{00000000-0005-0000-0000-00007CA30000}"/>
    <cellStyle name="Style 27 8 5 2 4" xfId="41848" xr:uid="{00000000-0005-0000-0000-00007DA30000}"/>
    <cellStyle name="Style 27 8 5 2 5" xfId="41849" xr:uid="{00000000-0005-0000-0000-00007EA30000}"/>
    <cellStyle name="Style 27 8 5 2 6" xfId="41850" xr:uid="{00000000-0005-0000-0000-00007FA30000}"/>
    <cellStyle name="Style 27 8 5 3" xfId="41851" xr:uid="{00000000-0005-0000-0000-000080A30000}"/>
    <cellStyle name="Style 27 8 5 3 2" xfId="41852" xr:uid="{00000000-0005-0000-0000-000081A30000}"/>
    <cellStyle name="Style 27 8 5 3 3" xfId="41853" xr:uid="{00000000-0005-0000-0000-000082A30000}"/>
    <cellStyle name="Style 27 8 5 4" xfId="41854" xr:uid="{00000000-0005-0000-0000-000083A30000}"/>
    <cellStyle name="Style 27 8 5 4 2" xfId="41855" xr:uid="{00000000-0005-0000-0000-000084A30000}"/>
    <cellStyle name="Style 27 8 5 4 3" xfId="41856" xr:uid="{00000000-0005-0000-0000-000085A30000}"/>
    <cellStyle name="Style 27 8 5 5" xfId="41857" xr:uid="{00000000-0005-0000-0000-000086A30000}"/>
    <cellStyle name="Style 27 8 5 5 2" xfId="41858" xr:uid="{00000000-0005-0000-0000-000087A30000}"/>
    <cellStyle name="Style 27 8 5 5 3" xfId="41859" xr:uid="{00000000-0005-0000-0000-000088A30000}"/>
    <cellStyle name="Style 27 8 5 6" xfId="41860" xr:uid="{00000000-0005-0000-0000-000089A30000}"/>
    <cellStyle name="Style 27 8 5 7" xfId="41861" xr:uid="{00000000-0005-0000-0000-00008AA30000}"/>
    <cellStyle name="Style 27 8 5 8" xfId="41862" xr:uid="{00000000-0005-0000-0000-00008BA30000}"/>
    <cellStyle name="Style 27 8 6" xfId="41863" xr:uid="{00000000-0005-0000-0000-00008CA30000}"/>
    <cellStyle name="Style 27 8 6 2" xfId="41864" xr:uid="{00000000-0005-0000-0000-00008DA30000}"/>
    <cellStyle name="Style 27 8 6 2 2" xfId="41865" xr:uid="{00000000-0005-0000-0000-00008EA30000}"/>
    <cellStyle name="Style 27 8 6 2 3" xfId="41866" xr:uid="{00000000-0005-0000-0000-00008FA30000}"/>
    <cellStyle name="Style 27 8 6 3" xfId="41867" xr:uid="{00000000-0005-0000-0000-000090A30000}"/>
    <cellStyle name="Style 27 8 6 3 2" xfId="41868" xr:uid="{00000000-0005-0000-0000-000091A30000}"/>
    <cellStyle name="Style 27 8 6 3 3" xfId="41869" xr:uid="{00000000-0005-0000-0000-000092A30000}"/>
    <cellStyle name="Style 27 8 6 4" xfId="41870" xr:uid="{00000000-0005-0000-0000-000093A30000}"/>
    <cellStyle name="Style 27 8 6 5" xfId="41871" xr:uid="{00000000-0005-0000-0000-000094A30000}"/>
    <cellStyle name="Style 27 8 6 6" xfId="41872" xr:uid="{00000000-0005-0000-0000-000095A30000}"/>
    <cellStyle name="Style 27 8 7" xfId="41873" xr:uid="{00000000-0005-0000-0000-000096A30000}"/>
    <cellStyle name="Style 27 8 7 2" xfId="41874" xr:uid="{00000000-0005-0000-0000-000097A30000}"/>
    <cellStyle name="Style 27 8 7 3" xfId="41875" xr:uid="{00000000-0005-0000-0000-000098A30000}"/>
    <cellStyle name="Style 27 8 8" xfId="41876" xr:uid="{00000000-0005-0000-0000-000099A30000}"/>
    <cellStyle name="Style 27 8 8 2" xfId="41877" xr:uid="{00000000-0005-0000-0000-00009AA30000}"/>
    <cellStyle name="Style 27 8 8 3" xfId="41878" xr:uid="{00000000-0005-0000-0000-00009BA30000}"/>
    <cellStyle name="Style 27 8 9" xfId="41879" xr:uid="{00000000-0005-0000-0000-00009CA30000}"/>
    <cellStyle name="Style 27 8 9 2" xfId="41880" xr:uid="{00000000-0005-0000-0000-00009DA30000}"/>
    <cellStyle name="Style 27 8 9 3" xfId="41881" xr:uid="{00000000-0005-0000-0000-00009EA30000}"/>
    <cellStyle name="Style 27 9" xfId="41882" xr:uid="{00000000-0005-0000-0000-00009FA30000}"/>
    <cellStyle name="Style 27 9 10" xfId="41883" xr:uid="{00000000-0005-0000-0000-0000A0A30000}"/>
    <cellStyle name="Style 27 9 11" xfId="41884" xr:uid="{00000000-0005-0000-0000-0000A1A30000}"/>
    <cellStyle name="Style 27 9 12" xfId="41885" xr:uid="{00000000-0005-0000-0000-0000A2A30000}"/>
    <cellStyle name="Style 27 9 2" xfId="41886" xr:uid="{00000000-0005-0000-0000-0000A3A30000}"/>
    <cellStyle name="Style 27 9 2 10" xfId="41887" xr:uid="{00000000-0005-0000-0000-0000A4A30000}"/>
    <cellStyle name="Style 27 9 2 2" xfId="41888" xr:uid="{00000000-0005-0000-0000-0000A5A30000}"/>
    <cellStyle name="Style 27 9 2 2 2" xfId="41889" xr:uid="{00000000-0005-0000-0000-0000A6A30000}"/>
    <cellStyle name="Style 27 9 2 2 2 2" xfId="41890" xr:uid="{00000000-0005-0000-0000-0000A7A30000}"/>
    <cellStyle name="Style 27 9 2 2 2 2 2" xfId="41891" xr:uid="{00000000-0005-0000-0000-0000A8A30000}"/>
    <cellStyle name="Style 27 9 2 2 2 2 3" xfId="41892" xr:uid="{00000000-0005-0000-0000-0000A9A30000}"/>
    <cellStyle name="Style 27 9 2 2 2 3" xfId="41893" xr:uid="{00000000-0005-0000-0000-0000AAA30000}"/>
    <cellStyle name="Style 27 9 2 2 2 3 2" xfId="41894" xr:uid="{00000000-0005-0000-0000-0000ABA30000}"/>
    <cellStyle name="Style 27 9 2 2 2 3 3" xfId="41895" xr:uid="{00000000-0005-0000-0000-0000ACA30000}"/>
    <cellStyle name="Style 27 9 2 2 2 4" xfId="41896" xr:uid="{00000000-0005-0000-0000-0000ADA30000}"/>
    <cellStyle name="Style 27 9 2 2 2 5" xfId="41897" xr:uid="{00000000-0005-0000-0000-0000AEA30000}"/>
    <cellStyle name="Style 27 9 2 2 2 6" xfId="41898" xr:uid="{00000000-0005-0000-0000-0000AFA30000}"/>
    <cellStyle name="Style 27 9 2 2 3" xfId="41899" xr:uid="{00000000-0005-0000-0000-0000B0A30000}"/>
    <cellStyle name="Style 27 9 2 2 3 2" xfId="41900" xr:uid="{00000000-0005-0000-0000-0000B1A30000}"/>
    <cellStyle name="Style 27 9 2 2 3 3" xfId="41901" xr:uid="{00000000-0005-0000-0000-0000B2A30000}"/>
    <cellStyle name="Style 27 9 2 2 4" xfId="41902" xr:uid="{00000000-0005-0000-0000-0000B3A30000}"/>
    <cellStyle name="Style 27 9 2 2 4 2" xfId="41903" xr:uid="{00000000-0005-0000-0000-0000B4A30000}"/>
    <cellStyle name="Style 27 9 2 2 4 3" xfId="41904" xr:uid="{00000000-0005-0000-0000-0000B5A30000}"/>
    <cellStyle name="Style 27 9 2 2 5" xfId="41905" xr:uid="{00000000-0005-0000-0000-0000B6A30000}"/>
    <cellStyle name="Style 27 9 2 2 5 2" xfId="41906" xr:uid="{00000000-0005-0000-0000-0000B7A30000}"/>
    <cellStyle name="Style 27 9 2 2 5 3" xfId="41907" xr:uid="{00000000-0005-0000-0000-0000B8A30000}"/>
    <cellStyle name="Style 27 9 2 2 6" xfId="41908" xr:uid="{00000000-0005-0000-0000-0000B9A30000}"/>
    <cellStyle name="Style 27 9 2 2 7" xfId="41909" xr:uid="{00000000-0005-0000-0000-0000BAA30000}"/>
    <cellStyle name="Style 27 9 2 2 8" xfId="41910" xr:uid="{00000000-0005-0000-0000-0000BBA30000}"/>
    <cellStyle name="Style 27 9 2 3" xfId="41911" xr:uid="{00000000-0005-0000-0000-0000BCA30000}"/>
    <cellStyle name="Style 27 9 2 3 2" xfId="41912" xr:uid="{00000000-0005-0000-0000-0000BDA30000}"/>
    <cellStyle name="Style 27 9 2 3 2 2" xfId="41913" xr:uid="{00000000-0005-0000-0000-0000BEA30000}"/>
    <cellStyle name="Style 27 9 2 3 2 2 2" xfId="41914" xr:uid="{00000000-0005-0000-0000-0000BFA30000}"/>
    <cellStyle name="Style 27 9 2 3 2 2 3" xfId="41915" xr:uid="{00000000-0005-0000-0000-0000C0A30000}"/>
    <cellStyle name="Style 27 9 2 3 2 3" xfId="41916" xr:uid="{00000000-0005-0000-0000-0000C1A30000}"/>
    <cellStyle name="Style 27 9 2 3 2 3 2" xfId="41917" xr:uid="{00000000-0005-0000-0000-0000C2A30000}"/>
    <cellStyle name="Style 27 9 2 3 2 3 3" xfId="41918" xr:uid="{00000000-0005-0000-0000-0000C3A30000}"/>
    <cellStyle name="Style 27 9 2 3 2 4" xfId="41919" xr:uid="{00000000-0005-0000-0000-0000C4A30000}"/>
    <cellStyle name="Style 27 9 2 3 2 5" xfId="41920" xr:uid="{00000000-0005-0000-0000-0000C5A30000}"/>
    <cellStyle name="Style 27 9 2 3 2 6" xfId="41921" xr:uid="{00000000-0005-0000-0000-0000C6A30000}"/>
    <cellStyle name="Style 27 9 2 3 3" xfId="41922" xr:uid="{00000000-0005-0000-0000-0000C7A30000}"/>
    <cellStyle name="Style 27 9 2 3 3 2" xfId="41923" xr:uid="{00000000-0005-0000-0000-0000C8A30000}"/>
    <cellStyle name="Style 27 9 2 3 3 3" xfId="41924" xr:uid="{00000000-0005-0000-0000-0000C9A30000}"/>
    <cellStyle name="Style 27 9 2 3 4" xfId="41925" xr:uid="{00000000-0005-0000-0000-0000CAA30000}"/>
    <cellStyle name="Style 27 9 2 3 4 2" xfId="41926" xr:uid="{00000000-0005-0000-0000-0000CBA30000}"/>
    <cellStyle name="Style 27 9 2 3 4 3" xfId="41927" xr:uid="{00000000-0005-0000-0000-0000CCA30000}"/>
    <cellStyle name="Style 27 9 2 3 5" xfId="41928" xr:uid="{00000000-0005-0000-0000-0000CDA30000}"/>
    <cellStyle name="Style 27 9 2 3 5 2" xfId="41929" xr:uid="{00000000-0005-0000-0000-0000CEA30000}"/>
    <cellStyle name="Style 27 9 2 3 5 3" xfId="41930" xr:uid="{00000000-0005-0000-0000-0000CFA30000}"/>
    <cellStyle name="Style 27 9 2 3 6" xfId="41931" xr:uid="{00000000-0005-0000-0000-0000D0A30000}"/>
    <cellStyle name="Style 27 9 2 3 7" xfId="41932" xr:uid="{00000000-0005-0000-0000-0000D1A30000}"/>
    <cellStyle name="Style 27 9 2 3 8" xfId="41933" xr:uid="{00000000-0005-0000-0000-0000D2A30000}"/>
    <cellStyle name="Style 27 9 2 4" xfId="41934" xr:uid="{00000000-0005-0000-0000-0000D3A30000}"/>
    <cellStyle name="Style 27 9 2 4 2" xfId="41935" xr:uid="{00000000-0005-0000-0000-0000D4A30000}"/>
    <cellStyle name="Style 27 9 2 4 2 2" xfId="41936" xr:uid="{00000000-0005-0000-0000-0000D5A30000}"/>
    <cellStyle name="Style 27 9 2 4 2 3" xfId="41937" xr:uid="{00000000-0005-0000-0000-0000D6A30000}"/>
    <cellStyle name="Style 27 9 2 4 3" xfId="41938" xr:uid="{00000000-0005-0000-0000-0000D7A30000}"/>
    <cellStyle name="Style 27 9 2 4 3 2" xfId="41939" xr:uid="{00000000-0005-0000-0000-0000D8A30000}"/>
    <cellStyle name="Style 27 9 2 4 3 3" xfId="41940" xr:uid="{00000000-0005-0000-0000-0000D9A30000}"/>
    <cellStyle name="Style 27 9 2 4 4" xfId="41941" xr:uid="{00000000-0005-0000-0000-0000DAA30000}"/>
    <cellStyle name="Style 27 9 2 4 5" xfId="41942" xr:uid="{00000000-0005-0000-0000-0000DBA30000}"/>
    <cellStyle name="Style 27 9 2 4 6" xfId="41943" xr:uid="{00000000-0005-0000-0000-0000DCA30000}"/>
    <cellStyle name="Style 27 9 2 5" xfId="41944" xr:uid="{00000000-0005-0000-0000-0000DDA30000}"/>
    <cellStyle name="Style 27 9 2 5 2" xfId="41945" xr:uid="{00000000-0005-0000-0000-0000DEA30000}"/>
    <cellStyle name="Style 27 9 2 5 3" xfId="41946" xr:uid="{00000000-0005-0000-0000-0000DFA30000}"/>
    <cellStyle name="Style 27 9 2 6" xfId="41947" xr:uid="{00000000-0005-0000-0000-0000E0A30000}"/>
    <cellStyle name="Style 27 9 2 6 2" xfId="41948" xr:uid="{00000000-0005-0000-0000-0000E1A30000}"/>
    <cellStyle name="Style 27 9 2 6 3" xfId="41949" xr:uid="{00000000-0005-0000-0000-0000E2A30000}"/>
    <cellStyle name="Style 27 9 2 7" xfId="41950" xr:uid="{00000000-0005-0000-0000-0000E3A30000}"/>
    <cellStyle name="Style 27 9 2 7 2" xfId="41951" xr:uid="{00000000-0005-0000-0000-0000E4A30000}"/>
    <cellStyle name="Style 27 9 2 7 3" xfId="41952" xr:uid="{00000000-0005-0000-0000-0000E5A30000}"/>
    <cellStyle name="Style 27 9 2 8" xfId="41953" xr:uid="{00000000-0005-0000-0000-0000E6A30000}"/>
    <cellStyle name="Style 27 9 2 9" xfId="41954" xr:uid="{00000000-0005-0000-0000-0000E7A30000}"/>
    <cellStyle name="Style 27 9 3" xfId="41955" xr:uid="{00000000-0005-0000-0000-0000E8A30000}"/>
    <cellStyle name="Style 27 9 3 2" xfId="41956" xr:uid="{00000000-0005-0000-0000-0000E9A30000}"/>
    <cellStyle name="Style 27 9 3 2 2" xfId="41957" xr:uid="{00000000-0005-0000-0000-0000EAA30000}"/>
    <cellStyle name="Style 27 9 3 2 2 2" xfId="41958" xr:uid="{00000000-0005-0000-0000-0000EBA30000}"/>
    <cellStyle name="Style 27 9 3 2 2 3" xfId="41959" xr:uid="{00000000-0005-0000-0000-0000ECA30000}"/>
    <cellStyle name="Style 27 9 3 2 3" xfId="41960" xr:uid="{00000000-0005-0000-0000-0000EDA30000}"/>
    <cellStyle name="Style 27 9 3 2 3 2" xfId="41961" xr:uid="{00000000-0005-0000-0000-0000EEA30000}"/>
    <cellStyle name="Style 27 9 3 2 3 3" xfId="41962" xr:uid="{00000000-0005-0000-0000-0000EFA30000}"/>
    <cellStyle name="Style 27 9 3 2 4" xfId="41963" xr:uid="{00000000-0005-0000-0000-0000F0A30000}"/>
    <cellStyle name="Style 27 9 3 2 5" xfId="41964" xr:uid="{00000000-0005-0000-0000-0000F1A30000}"/>
    <cellStyle name="Style 27 9 3 2 6" xfId="41965" xr:uid="{00000000-0005-0000-0000-0000F2A30000}"/>
    <cellStyle name="Style 27 9 3 3" xfId="41966" xr:uid="{00000000-0005-0000-0000-0000F3A30000}"/>
    <cellStyle name="Style 27 9 3 3 2" xfId="41967" xr:uid="{00000000-0005-0000-0000-0000F4A30000}"/>
    <cellStyle name="Style 27 9 3 3 3" xfId="41968" xr:uid="{00000000-0005-0000-0000-0000F5A30000}"/>
    <cellStyle name="Style 27 9 3 4" xfId="41969" xr:uid="{00000000-0005-0000-0000-0000F6A30000}"/>
    <cellStyle name="Style 27 9 3 4 2" xfId="41970" xr:uid="{00000000-0005-0000-0000-0000F7A30000}"/>
    <cellStyle name="Style 27 9 3 4 3" xfId="41971" xr:uid="{00000000-0005-0000-0000-0000F8A30000}"/>
    <cellStyle name="Style 27 9 3 5" xfId="41972" xr:uid="{00000000-0005-0000-0000-0000F9A30000}"/>
    <cellStyle name="Style 27 9 3 5 2" xfId="41973" xr:uid="{00000000-0005-0000-0000-0000FAA30000}"/>
    <cellStyle name="Style 27 9 3 5 3" xfId="41974" xr:uid="{00000000-0005-0000-0000-0000FBA30000}"/>
    <cellStyle name="Style 27 9 3 6" xfId="41975" xr:uid="{00000000-0005-0000-0000-0000FCA30000}"/>
    <cellStyle name="Style 27 9 3 7" xfId="41976" xr:uid="{00000000-0005-0000-0000-0000FDA30000}"/>
    <cellStyle name="Style 27 9 3 8" xfId="41977" xr:uid="{00000000-0005-0000-0000-0000FEA30000}"/>
    <cellStyle name="Style 27 9 4" xfId="41978" xr:uid="{00000000-0005-0000-0000-0000FFA30000}"/>
    <cellStyle name="Style 27 9 4 2" xfId="41979" xr:uid="{00000000-0005-0000-0000-000000A40000}"/>
    <cellStyle name="Style 27 9 4 2 2" xfId="41980" xr:uid="{00000000-0005-0000-0000-000001A40000}"/>
    <cellStyle name="Style 27 9 4 2 2 2" xfId="41981" xr:uid="{00000000-0005-0000-0000-000002A40000}"/>
    <cellStyle name="Style 27 9 4 2 2 3" xfId="41982" xr:uid="{00000000-0005-0000-0000-000003A40000}"/>
    <cellStyle name="Style 27 9 4 2 3" xfId="41983" xr:uid="{00000000-0005-0000-0000-000004A40000}"/>
    <cellStyle name="Style 27 9 4 2 3 2" xfId="41984" xr:uid="{00000000-0005-0000-0000-000005A40000}"/>
    <cellStyle name="Style 27 9 4 2 3 3" xfId="41985" xr:uid="{00000000-0005-0000-0000-000006A40000}"/>
    <cellStyle name="Style 27 9 4 2 4" xfId="41986" xr:uid="{00000000-0005-0000-0000-000007A40000}"/>
    <cellStyle name="Style 27 9 4 2 5" xfId="41987" xr:uid="{00000000-0005-0000-0000-000008A40000}"/>
    <cellStyle name="Style 27 9 4 2 6" xfId="41988" xr:uid="{00000000-0005-0000-0000-000009A40000}"/>
    <cellStyle name="Style 27 9 4 3" xfId="41989" xr:uid="{00000000-0005-0000-0000-00000AA40000}"/>
    <cellStyle name="Style 27 9 4 3 2" xfId="41990" xr:uid="{00000000-0005-0000-0000-00000BA40000}"/>
    <cellStyle name="Style 27 9 4 3 3" xfId="41991" xr:uid="{00000000-0005-0000-0000-00000CA40000}"/>
    <cellStyle name="Style 27 9 4 4" xfId="41992" xr:uid="{00000000-0005-0000-0000-00000DA40000}"/>
    <cellStyle name="Style 27 9 4 4 2" xfId="41993" xr:uid="{00000000-0005-0000-0000-00000EA40000}"/>
    <cellStyle name="Style 27 9 4 4 3" xfId="41994" xr:uid="{00000000-0005-0000-0000-00000FA40000}"/>
    <cellStyle name="Style 27 9 4 5" xfId="41995" xr:uid="{00000000-0005-0000-0000-000010A40000}"/>
    <cellStyle name="Style 27 9 4 5 2" xfId="41996" xr:uid="{00000000-0005-0000-0000-000011A40000}"/>
    <cellStyle name="Style 27 9 4 5 3" xfId="41997" xr:uid="{00000000-0005-0000-0000-000012A40000}"/>
    <cellStyle name="Style 27 9 4 6" xfId="41998" xr:uid="{00000000-0005-0000-0000-000013A40000}"/>
    <cellStyle name="Style 27 9 4 7" xfId="41999" xr:uid="{00000000-0005-0000-0000-000014A40000}"/>
    <cellStyle name="Style 27 9 4 8" xfId="42000" xr:uid="{00000000-0005-0000-0000-000015A40000}"/>
    <cellStyle name="Style 27 9 5" xfId="42001" xr:uid="{00000000-0005-0000-0000-000016A40000}"/>
    <cellStyle name="Style 27 9 5 2" xfId="42002" xr:uid="{00000000-0005-0000-0000-000017A40000}"/>
    <cellStyle name="Style 27 9 5 2 2" xfId="42003" xr:uid="{00000000-0005-0000-0000-000018A40000}"/>
    <cellStyle name="Style 27 9 5 2 2 2" xfId="42004" xr:uid="{00000000-0005-0000-0000-000019A40000}"/>
    <cellStyle name="Style 27 9 5 2 2 3" xfId="42005" xr:uid="{00000000-0005-0000-0000-00001AA40000}"/>
    <cellStyle name="Style 27 9 5 2 3" xfId="42006" xr:uid="{00000000-0005-0000-0000-00001BA40000}"/>
    <cellStyle name="Style 27 9 5 2 3 2" xfId="42007" xr:uid="{00000000-0005-0000-0000-00001CA40000}"/>
    <cellStyle name="Style 27 9 5 2 3 3" xfId="42008" xr:uid="{00000000-0005-0000-0000-00001DA40000}"/>
    <cellStyle name="Style 27 9 5 2 4" xfId="42009" xr:uid="{00000000-0005-0000-0000-00001EA40000}"/>
    <cellStyle name="Style 27 9 5 2 5" xfId="42010" xr:uid="{00000000-0005-0000-0000-00001FA40000}"/>
    <cellStyle name="Style 27 9 5 2 6" xfId="42011" xr:uid="{00000000-0005-0000-0000-000020A40000}"/>
    <cellStyle name="Style 27 9 5 3" xfId="42012" xr:uid="{00000000-0005-0000-0000-000021A40000}"/>
    <cellStyle name="Style 27 9 5 3 2" xfId="42013" xr:uid="{00000000-0005-0000-0000-000022A40000}"/>
    <cellStyle name="Style 27 9 5 3 3" xfId="42014" xr:uid="{00000000-0005-0000-0000-000023A40000}"/>
    <cellStyle name="Style 27 9 5 4" xfId="42015" xr:uid="{00000000-0005-0000-0000-000024A40000}"/>
    <cellStyle name="Style 27 9 5 4 2" xfId="42016" xr:uid="{00000000-0005-0000-0000-000025A40000}"/>
    <cellStyle name="Style 27 9 5 4 3" xfId="42017" xr:uid="{00000000-0005-0000-0000-000026A40000}"/>
    <cellStyle name="Style 27 9 5 5" xfId="42018" xr:uid="{00000000-0005-0000-0000-000027A40000}"/>
    <cellStyle name="Style 27 9 5 5 2" xfId="42019" xr:uid="{00000000-0005-0000-0000-000028A40000}"/>
    <cellStyle name="Style 27 9 5 5 3" xfId="42020" xr:uid="{00000000-0005-0000-0000-000029A40000}"/>
    <cellStyle name="Style 27 9 5 6" xfId="42021" xr:uid="{00000000-0005-0000-0000-00002AA40000}"/>
    <cellStyle name="Style 27 9 5 7" xfId="42022" xr:uid="{00000000-0005-0000-0000-00002BA40000}"/>
    <cellStyle name="Style 27 9 5 8" xfId="42023" xr:uid="{00000000-0005-0000-0000-00002CA40000}"/>
    <cellStyle name="Style 27 9 6" xfId="42024" xr:uid="{00000000-0005-0000-0000-00002DA40000}"/>
    <cellStyle name="Style 27 9 6 2" xfId="42025" xr:uid="{00000000-0005-0000-0000-00002EA40000}"/>
    <cellStyle name="Style 27 9 6 2 2" xfId="42026" xr:uid="{00000000-0005-0000-0000-00002FA40000}"/>
    <cellStyle name="Style 27 9 6 2 3" xfId="42027" xr:uid="{00000000-0005-0000-0000-000030A40000}"/>
    <cellStyle name="Style 27 9 6 3" xfId="42028" xr:uid="{00000000-0005-0000-0000-000031A40000}"/>
    <cellStyle name="Style 27 9 6 3 2" xfId="42029" xr:uid="{00000000-0005-0000-0000-000032A40000}"/>
    <cellStyle name="Style 27 9 6 3 3" xfId="42030" xr:uid="{00000000-0005-0000-0000-000033A40000}"/>
    <cellStyle name="Style 27 9 6 4" xfId="42031" xr:uid="{00000000-0005-0000-0000-000034A40000}"/>
    <cellStyle name="Style 27 9 6 5" xfId="42032" xr:uid="{00000000-0005-0000-0000-000035A40000}"/>
    <cellStyle name="Style 27 9 6 6" xfId="42033" xr:uid="{00000000-0005-0000-0000-000036A40000}"/>
    <cellStyle name="Style 27 9 7" xfId="42034" xr:uid="{00000000-0005-0000-0000-000037A40000}"/>
    <cellStyle name="Style 27 9 7 2" xfId="42035" xr:uid="{00000000-0005-0000-0000-000038A40000}"/>
    <cellStyle name="Style 27 9 7 3" xfId="42036" xr:uid="{00000000-0005-0000-0000-000039A40000}"/>
    <cellStyle name="Style 27 9 8" xfId="42037" xr:uid="{00000000-0005-0000-0000-00003AA40000}"/>
    <cellStyle name="Style 27 9 8 2" xfId="42038" xr:uid="{00000000-0005-0000-0000-00003BA40000}"/>
    <cellStyle name="Style 27 9 8 3" xfId="42039" xr:uid="{00000000-0005-0000-0000-00003CA40000}"/>
    <cellStyle name="Style 27 9 9" xfId="42040" xr:uid="{00000000-0005-0000-0000-00003DA40000}"/>
    <cellStyle name="Style 27 9 9 2" xfId="42041" xr:uid="{00000000-0005-0000-0000-00003EA40000}"/>
    <cellStyle name="Style 27 9 9 3" xfId="42042" xr:uid="{00000000-0005-0000-0000-00003FA40000}"/>
    <cellStyle name="Style 28" xfId="42043" xr:uid="{00000000-0005-0000-0000-000040A40000}"/>
    <cellStyle name="Style 28 10" xfId="42044" xr:uid="{00000000-0005-0000-0000-000041A40000}"/>
    <cellStyle name="Style 28 10 10" xfId="42045" xr:uid="{00000000-0005-0000-0000-000042A40000}"/>
    <cellStyle name="Style 28 10 11" xfId="42046" xr:uid="{00000000-0005-0000-0000-000043A40000}"/>
    <cellStyle name="Style 28 10 12" xfId="42047" xr:uid="{00000000-0005-0000-0000-000044A40000}"/>
    <cellStyle name="Style 28 10 2" xfId="42048" xr:uid="{00000000-0005-0000-0000-000045A40000}"/>
    <cellStyle name="Style 28 10 2 10" xfId="42049" xr:uid="{00000000-0005-0000-0000-000046A40000}"/>
    <cellStyle name="Style 28 10 2 2" xfId="42050" xr:uid="{00000000-0005-0000-0000-000047A40000}"/>
    <cellStyle name="Style 28 10 2 2 2" xfId="42051" xr:uid="{00000000-0005-0000-0000-000048A40000}"/>
    <cellStyle name="Style 28 10 2 2 2 2" xfId="42052" xr:uid="{00000000-0005-0000-0000-000049A40000}"/>
    <cellStyle name="Style 28 10 2 2 2 2 2" xfId="42053" xr:uid="{00000000-0005-0000-0000-00004AA40000}"/>
    <cellStyle name="Style 28 10 2 2 2 2 3" xfId="42054" xr:uid="{00000000-0005-0000-0000-00004BA40000}"/>
    <cellStyle name="Style 28 10 2 2 2 3" xfId="42055" xr:uid="{00000000-0005-0000-0000-00004CA40000}"/>
    <cellStyle name="Style 28 10 2 2 2 3 2" xfId="42056" xr:uid="{00000000-0005-0000-0000-00004DA40000}"/>
    <cellStyle name="Style 28 10 2 2 2 3 3" xfId="42057" xr:uid="{00000000-0005-0000-0000-00004EA40000}"/>
    <cellStyle name="Style 28 10 2 2 2 4" xfId="42058" xr:uid="{00000000-0005-0000-0000-00004FA40000}"/>
    <cellStyle name="Style 28 10 2 2 2 5" xfId="42059" xr:uid="{00000000-0005-0000-0000-000050A40000}"/>
    <cellStyle name="Style 28 10 2 2 2 6" xfId="42060" xr:uid="{00000000-0005-0000-0000-000051A40000}"/>
    <cellStyle name="Style 28 10 2 2 3" xfId="42061" xr:uid="{00000000-0005-0000-0000-000052A40000}"/>
    <cellStyle name="Style 28 10 2 2 3 2" xfId="42062" xr:uid="{00000000-0005-0000-0000-000053A40000}"/>
    <cellStyle name="Style 28 10 2 2 3 3" xfId="42063" xr:uid="{00000000-0005-0000-0000-000054A40000}"/>
    <cellStyle name="Style 28 10 2 2 4" xfId="42064" xr:uid="{00000000-0005-0000-0000-000055A40000}"/>
    <cellStyle name="Style 28 10 2 2 4 2" xfId="42065" xr:uid="{00000000-0005-0000-0000-000056A40000}"/>
    <cellStyle name="Style 28 10 2 2 4 3" xfId="42066" xr:uid="{00000000-0005-0000-0000-000057A40000}"/>
    <cellStyle name="Style 28 10 2 2 5" xfId="42067" xr:uid="{00000000-0005-0000-0000-000058A40000}"/>
    <cellStyle name="Style 28 10 2 2 5 2" xfId="42068" xr:uid="{00000000-0005-0000-0000-000059A40000}"/>
    <cellStyle name="Style 28 10 2 2 5 3" xfId="42069" xr:uid="{00000000-0005-0000-0000-00005AA40000}"/>
    <cellStyle name="Style 28 10 2 2 6" xfId="42070" xr:uid="{00000000-0005-0000-0000-00005BA40000}"/>
    <cellStyle name="Style 28 10 2 2 7" xfId="42071" xr:uid="{00000000-0005-0000-0000-00005CA40000}"/>
    <cellStyle name="Style 28 10 2 2 8" xfId="42072" xr:uid="{00000000-0005-0000-0000-00005DA40000}"/>
    <cellStyle name="Style 28 10 2 3" xfId="42073" xr:uid="{00000000-0005-0000-0000-00005EA40000}"/>
    <cellStyle name="Style 28 10 2 3 2" xfId="42074" xr:uid="{00000000-0005-0000-0000-00005FA40000}"/>
    <cellStyle name="Style 28 10 2 3 2 2" xfId="42075" xr:uid="{00000000-0005-0000-0000-000060A40000}"/>
    <cellStyle name="Style 28 10 2 3 2 2 2" xfId="42076" xr:uid="{00000000-0005-0000-0000-000061A40000}"/>
    <cellStyle name="Style 28 10 2 3 2 2 3" xfId="42077" xr:uid="{00000000-0005-0000-0000-000062A40000}"/>
    <cellStyle name="Style 28 10 2 3 2 3" xfId="42078" xr:uid="{00000000-0005-0000-0000-000063A40000}"/>
    <cellStyle name="Style 28 10 2 3 2 3 2" xfId="42079" xr:uid="{00000000-0005-0000-0000-000064A40000}"/>
    <cellStyle name="Style 28 10 2 3 2 3 3" xfId="42080" xr:uid="{00000000-0005-0000-0000-000065A40000}"/>
    <cellStyle name="Style 28 10 2 3 2 4" xfId="42081" xr:uid="{00000000-0005-0000-0000-000066A40000}"/>
    <cellStyle name="Style 28 10 2 3 2 5" xfId="42082" xr:uid="{00000000-0005-0000-0000-000067A40000}"/>
    <cellStyle name="Style 28 10 2 3 2 6" xfId="42083" xr:uid="{00000000-0005-0000-0000-000068A40000}"/>
    <cellStyle name="Style 28 10 2 3 3" xfId="42084" xr:uid="{00000000-0005-0000-0000-000069A40000}"/>
    <cellStyle name="Style 28 10 2 3 3 2" xfId="42085" xr:uid="{00000000-0005-0000-0000-00006AA40000}"/>
    <cellStyle name="Style 28 10 2 3 3 3" xfId="42086" xr:uid="{00000000-0005-0000-0000-00006BA40000}"/>
    <cellStyle name="Style 28 10 2 3 4" xfId="42087" xr:uid="{00000000-0005-0000-0000-00006CA40000}"/>
    <cellStyle name="Style 28 10 2 3 4 2" xfId="42088" xr:uid="{00000000-0005-0000-0000-00006DA40000}"/>
    <cellStyle name="Style 28 10 2 3 4 3" xfId="42089" xr:uid="{00000000-0005-0000-0000-00006EA40000}"/>
    <cellStyle name="Style 28 10 2 3 5" xfId="42090" xr:uid="{00000000-0005-0000-0000-00006FA40000}"/>
    <cellStyle name="Style 28 10 2 3 5 2" xfId="42091" xr:uid="{00000000-0005-0000-0000-000070A40000}"/>
    <cellStyle name="Style 28 10 2 3 5 3" xfId="42092" xr:uid="{00000000-0005-0000-0000-000071A40000}"/>
    <cellStyle name="Style 28 10 2 3 6" xfId="42093" xr:uid="{00000000-0005-0000-0000-000072A40000}"/>
    <cellStyle name="Style 28 10 2 3 7" xfId="42094" xr:uid="{00000000-0005-0000-0000-000073A40000}"/>
    <cellStyle name="Style 28 10 2 3 8" xfId="42095" xr:uid="{00000000-0005-0000-0000-000074A40000}"/>
    <cellStyle name="Style 28 10 2 4" xfId="42096" xr:uid="{00000000-0005-0000-0000-000075A40000}"/>
    <cellStyle name="Style 28 10 2 4 2" xfId="42097" xr:uid="{00000000-0005-0000-0000-000076A40000}"/>
    <cellStyle name="Style 28 10 2 4 2 2" xfId="42098" xr:uid="{00000000-0005-0000-0000-000077A40000}"/>
    <cellStyle name="Style 28 10 2 4 2 3" xfId="42099" xr:uid="{00000000-0005-0000-0000-000078A40000}"/>
    <cellStyle name="Style 28 10 2 4 3" xfId="42100" xr:uid="{00000000-0005-0000-0000-000079A40000}"/>
    <cellStyle name="Style 28 10 2 4 3 2" xfId="42101" xr:uid="{00000000-0005-0000-0000-00007AA40000}"/>
    <cellStyle name="Style 28 10 2 4 3 3" xfId="42102" xr:uid="{00000000-0005-0000-0000-00007BA40000}"/>
    <cellStyle name="Style 28 10 2 4 4" xfId="42103" xr:uid="{00000000-0005-0000-0000-00007CA40000}"/>
    <cellStyle name="Style 28 10 2 4 5" xfId="42104" xr:uid="{00000000-0005-0000-0000-00007DA40000}"/>
    <cellStyle name="Style 28 10 2 4 6" xfId="42105" xr:uid="{00000000-0005-0000-0000-00007EA40000}"/>
    <cellStyle name="Style 28 10 2 5" xfId="42106" xr:uid="{00000000-0005-0000-0000-00007FA40000}"/>
    <cellStyle name="Style 28 10 2 5 2" xfId="42107" xr:uid="{00000000-0005-0000-0000-000080A40000}"/>
    <cellStyle name="Style 28 10 2 5 3" xfId="42108" xr:uid="{00000000-0005-0000-0000-000081A40000}"/>
    <cellStyle name="Style 28 10 2 6" xfId="42109" xr:uid="{00000000-0005-0000-0000-000082A40000}"/>
    <cellStyle name="Style 28 10 2 6 2" xfId="42110" xr:uid="{00000000-0005-0000-0000-000083A40000}"/>
    <cellStyle name="Style 28 10 2 6 3" xfId="42111" xr:uid="{00000000-0005-0000-0000-000084A40000}"/>
    <cellStyle name="Style 28 10 2 7" xfId="42112" xr:uid="{00000000-0005-0000-0000-000085A40000}"/>
    <cellStyle name="Style 28 10 2 7 2" xfId="42113" xr:uid="{00000000-0005-0000-0000-000086A40000}"/>
    <cellStyle name="Style 28 10 2 7 3" xfId="42114" xr:uid="{00000000-0005-0000-0000-000087A40000}"/>
    <cellStyle name="Style 28 10 2 8" xfId="42115" xr:uid="{00000000-0005-0000-0000-000088A40000}"/>
    <cellStyle name="Style 28 10 2 9" xfId="42116" xr:uid="{00000000-0005-0000-0000-000089A40000}"/>
    <cellStyle name="Style 28 10 3" xfId="42117" xr:uid="{00000000-0005-0000-0000-00008AA40000}"/>
    <cellStyle name="Style 28 10 3 2" xfId="42118" xr:uid="{00000000-0005-0000-0000-00008BA40000}"/>
    <cellStyle name="Style 28 10 3 2 2" xfId="42119" xr:uid="{00000000-0005-0000-0000-00008CA40000}"/>
    <cellStyle name="Style 28 10 3 2 2 2" xfId="42120" xr:uid="{00000000-0005-0000-0000-00008DA40000}"/>
    <cellStyle name="Style 28 10 3 2 2 3" xfId="42121" xr:uid="{00000000-0005-0000-0000-00008EA40000}"/>
    <cellStyle name="Style 28 10 3 2 3" xfId="42122" xr:uid="{00000000-0005-0000-0000-00008FA40000}"/>
    <cellStyle name="Style 28 10 3 2 3 2" xfId="42123" xr:uid="{00000000-0005-0000-0000-000090A40000}"/>
    <cellStyle name="Style 28 10 3 2 3 3" xfId="42124" xr:uid="{00000000-0005-0000-0000-000091A40000}"/>
    <cellStyle name="Style 28 10 3 2 4" xfId="42125" xr:uid="{00000000-0005-0000-0000-000092A40000}"/>
    <cellStyle name="Style 28 10 3 2 5" xfId="42126" xr:uid="{00000000-0005-0000-0000-000093A40000}"/>
    <cellStyle name="Style 28 10 3 2 6" xfId="42127" xr:uid="{00000000-0005-0000-0000-000094A40000}"/>
    <cellStyle name="Style 28 10 3 3" xfId="42128" xr:uid="{00000000-0005-0000-0000-000095A40000}"/>
    <cellStyle name="Style 28 10 3 3 2" xfId="42129" xr:uid="{00000000-0005-0000-0000-000096A40000}"/>
    <cellStyle name="Style 28 10 3 3 3" xfId="42130" xr:uid="{00000000-0005-0000-0000-000097A40000}"/>
    <cellStyle name="Style 28 10 3 4" xfId="42131" xr:uid="{00000000-0005-0000-0000-000098A40000}"/>
    <cellStyle name="Style 28 10 3 4 2" xfId="42132" xr:uid="{00000000-0005-0000-0000-000099A40000}"/>
    <cellStyle name="Style 28 10 3 4 3" xfId="42133" xr:uid="{00000000-0005-0000-0000-00009AA40000}"/>
    <cellStyle name="Style 28 10 3 5" xfId="42134" xr:uid="{00000000-0005-0000-0000-00009BA40000}"/>
    <cellStyle name="Style 28 10 3 5 2" xfId="42135" xr:uid="{00000000-0005-0000-0000-00009CA40000}"/>
    <cellStyle name="Style 28 10 3 5 3" xfId="42136" xr:uid="{00000000-0005-0000-0000-00009DA40000}"/>
    <cellStyle name="Style 28 10 3 6" xfId="42137" xr:uid="{00000000-0005-0000-0000-00009EA40000}"/>
    <cellStyle name="Style 28 10 3 7" xfId="42138" xr:uid="{00000000-0005-0000-0000-00009FA40000}"/>
    <cellStyle name="Style 28 10 3 8" xfId="42139" xr:uid="{00000000-0005-0000-0000-0000A0A40000}"/>
    <cellStyle name="Style 28 10 4" xfId="42140" xr:uid="{00000000-0005-0000-0000-0000A1A40000}"/>
    <cellStyle name="Style 28 10 4 2" xfId="42141" xr:uid="{00000000-0005-0000-0000-0000A2A40000}"/>
    <cellStyle name="Style 28 10 4 2 2" xfId="42142" xr:uid="{00000000-0005-0000-0000-0000A3A40000}"/>
    <cellStyle name="Style 28 10 4 2 2 2" xfId="42143" xr:uid="{00000000-0005-0000-0000-0000A4A40000}"/>
    <cellStyle name="Style 28 10 4 2 2 3" xfId="42144" xr:uid="{00000000-0005-0000-0000-0000A5A40000}"/>
    <cellStyle name="Style 28 10 4 2 3" xfId="42145" xr:uid="{00000000-0005-0000-0000-0000A6A40000}"/>
    <cellStyle name="Style 28 10 4 2 3 2" xfId="42146" xr:uid="{00000000-0005-0000-0000-0000A7A40000}"/>
    <cellStyle name="Style 28 10 4 2 3 3" xfId="42147" xr:uid="{00000000-0005-0000-0000-0000A8A40000}"/>
    <cellStyle name="Style 28 10 4 2 4" xfId="42148" xr:uid="{00000000-0005-0000-0000-0000A9A40000}"/>
    <cellStyle name="Style 28 10 4 2 5" xfId="42149" xr:uid="{00000000-0005-0000-0000-0000AAA40000}"/>
    <cellStyle name="Style 28 10 4 2 6" xfId="42150" xr:uid="{00000000-0005-0000-0000-0000ABA40000}"/>
    <cellStyle name="Style 28 10 4 3" xfId="42151" xr:uid="{00000000-0005-0000-0000-0000ACA40000}"/>
    <cellStyle name="Style 28 10 4 3 2" xfId="42152" xr:uid="{00000000-0005-0000-0000-0000ADA40000}"/>
    <cellStyle name="Style 28 10 4 3 3" xfId="42153" xr:uid="{00000000-0005-0000-0000-0000AEA40000}"/>
    <cellStyle name="Style 28 10 4 4" xfId="42154" xr:uid="{00000000-0005-0000-0000-0000AFA40000}"/>
    <cellStyle name="Style 28 10 4 4 2" xfId="42155" xr:uid="{00000000-0005-0000-0000-0000B0A40000}"/>
    <cellStyle name="Style 28 10 4 4 3" xfId="42156" xr:uid="{00000000-0005-0000-0000-0000B1A40000}"/>
    <cellStyle name="Style 28 10 4 5" xfId="42157" xr:uid="{00000000-0005-0000-0000-0000B2A40000}"/>
    <cellStyle name="Style 28 10 4 5 2" xfId="42158" xr:uid="{00000000-0005-0000-0000-0000B3A40000}"/>
    <cellStyle name="Style 28 10 4 5 3" xfId="42159" xr:uid="{00000000-0005-0000-0000-0000B4A40000}"/>
    <cellStyle name="Style 28 10 4 6" xfId="42160" xr:uid="{00000000-0005-0000-0000-0000B5A40000}"/>
    <cellStyle name="Style 28 10 4 7" xfId="42161" xr:uid="{00000000-0005-0000-0000-0000B6A40000}"/>
    <cellStyle name="Style 28 10 4 8" xfId="42162" xr:uid="{00000000-0005-0000-0000-0000B7A40000}"/>
    <cellStyle name="Style 28 10 5" xfId="42163" xr:uid="{00000000-0005-0000-0000-0000B8A40000}"/>
    <cellStyle name="Style 28 10 5 2" xfId="42164" xr:uid="{00000000-0005-0000-0000-0000B9A40000}"/>
    <cellStyle name="Style 28 10 5 2 2" xfId="42165" xr:uid="{00000000-0005-0000-0000-0000BAA40000}"/>
    <cellStyle name="Style 28 10 5 2 2 2" xfId="42166" xr:uid="{00000000-0005-0000-0000-0000BBA40000}"/>
    <cellStyle name="Style 28 10 5 2 2 3" xfId="42167" xr:uid="{00000000-0005-0000-0000-0000BCA40000}"/>
    <cellStyle name="Style 28 10 5 2 3" xfId="42168" xr:uid="{00000000-0005-0000-0000-0000BDA40000}"/>
    <cellStyle name="Style 28 10 5 2 3 2" xfId="42169" xr:uid="{00000000-0005-0000-0000-0000BEA40000}"/>
    <cellStyle name="Style 28 10 5 2 3 3" xfId="42170" xr:uid="{00000000-0005-0000-0000-0000BFA40000}"/>
    <cellStyle name="Style 28 10 5 2 4" xfId="42171" xr:uid="{00000000-0005-0000-0000-0000C0A40000}"/>
    <cellStyle name="Style 28 10 5 2 5" xfId="42172" xr:uid="{00000000-0005-0000-0000-0000C1A40000}"/>
    <cellStyle name="Style 28 10 5 2 6" xfId="42173" xr:uid="{00000000-0005-0000-0000-0000C2A40000}"/>
    <cellStyle name="Style 28 10 5 3" xfId="42174" xr:uid="{00000000-0005-0000-0000-0000C3A40000}"/>
    <cellStyle name="Style 28 10 5 3 2" xfId="42175" xr:uid="{00000000-0005-0000-0000-0000C4A40000}"/>
    <cellStyle name="Style 28 10 5 3 3" xfId="42176" xr:uid="{00000000-0005-0000-0000-0000C5A40000}"/>
    <cellStyle name="Style 28 10 5 4" xfId="42177" xr:uid="{00000000-0005-0000-0000-0000C6A40000}"/>
    <cellStyle name="Style 28 10 5 4 2" xfId="42178" xr:uid="{00000000-0005-0000-0000-0000C7A40000}"/>
    <cellStyle name="Style 28 10 5 4 3" xfId="42179" xr:uid="{00000000-0005-0000-0000-0000C8A40000}"/>
    <cellStyle name="Style 28 10 5 5" xfId="42180" xr:uid="{00000000-0005-0000-0000-0000C9A40000}"/>
    <cellStyle name="Style 28 10 5 5 2" xfId="42181" xr:uid="{00000000-0005-0000-0000-0000CAA40000}"/>
    <cellStyle name="Style 28 10 5 5 3" xfId="42182" xr:uid="{00000000-0005-0000-0000-0000CBA40000}"/>
    <cellStyle name="Style 28 10 5 6" xfId="42183" xr:uid="{00000000-0005-0000-0000-0000CCA40000}"/>
    <cellStyle name="Style 28 10 5 7" xfId="42184" xr:uid="{00000000-0005-0000-0000-0000CDA40000}"/>
    <cellStyle name="Style 28 10 5 8" xfId="42185" xr:uid="{00000000-0005-0000-0000-0000CEA40000}"/>
    <cellStyle name="Style 28 10 6" xfId="42186" xr:uid="{00000000-0005-0000-0000-0000CFA40000}"/>
    <cellStyle name="Style 28 10 6 2" xfId="42187" xr:uid="{00000000-0005-0000-0000-0000D0A40000}"/>
    <cellStyle name="Style 28 10 6 2 2" xfId="42188" xr:uid="{00000000-0005-0000-0000-0000D1A40000}"/>
    <cellStyle name="Style 28 10 6 2 3" xfId="42189" xr:uid="{00000000-0005-0000-0000-0000D2A40000}"/>
    <cellStyle name="Style 28 10 6 3" xfId="42190" xr:uid="{00000000-0005-0000-0000-0000D3A40000}"/>
    <cellStyle name="Style 28 10 6 3 2" xfId="42191" xr:uid="{00000000-0005-0000-0000-0000D4A40000}"/>
    <cellStyle name="Style 28 10 6 3 3" xfId="42192" xr:uid="{00000000-0005-0000-0000-0000D5A40000}"/>
    <cellStyle name="Style 28 10 6 4" xfId="42193" xr:uid="{00000000-0005-0000-0000-0000D6A40000}"/>
    <cellStyle name="Style 28 10 6 5" xfId="42194" xr:uid="{00000000-0005-0000-0000-0000D7A40000}"/>
    <cellStyle name="Style 28 10 6 6" xfId="42195" xr:uid="{00000000-0005-0000-0000-0000D8A40000}"/>
    <cellStyle name="Style 28 10 7" xfId="42196" xr:uid="{00000000-0005-0000-0000-0000D9A40000}"/>
    <cellStyle name="Style 28 10 7 2" xfId="42197" xr:uid="{00000000-0005-0000-0000-0000DAA40000}"/>
    <cellStyle name="Style 28 10 7 3" xfId="42198" xr:uid="{00000000-0005-0000-0000-0000DBA40000}"/>
    <cellStyle name="Style 28 10 8" xfId="42199" xr:uid="{00000000-0005-0000-0000-0000DCA40000}"/>
    <cellStyle name="Style 28 10 8 2" xfId="42200" xr:uid="{00000000-0005-0000-0000-0000DDA40000}"/>
    <cellStyle name="Style 28 10 8 3" xfId="42201" xr:uid="{00000000-0005-0000-0000-0000DEA40000}"/>
    <cellStyle name="Style 28 10 9" xfId="42202" xr:uid="{00000000-0005-0000-0000-0000DFA40000}"/>
    <cellStyle name="Style 28 10 9 2" xfId="42203" xr:uid="{00000000-0005-0000-0000-0000E0A40000}"/>
    <cellStyle name="Style 28 10 9 3" xfId="42204" xr:uid="{00000000-0005-0000-0000-0000E1A40000}"/>
    <cellStyle name="Style 28 11" xfId="42205" xr:uid="{00000000-0005-0000-0000-0000E2A40000}"/>
    <cellStyle name="Style 28 11 10" xfId="42206" xr:uid="{00000000-0005-0000-0000-0000E3A40000}"/>
    <cellStyle name="Style 28 11 11" xfId="42207" xr:uid="{00000000-0005-0000-0000-0000E4A40000}"/>
    <cellStyle name="Style 28 11 12" xfId="42208" xr:uid="{00000000-0005-0000-0000-0000E5A40000}"/>
    <cellStyle name="Style 28 11 2" xfId="42209" xr:uid="{00000000-0005-0000-0000-0000E6A40000}"/>
    <cellStyle name="Style 28 11 2 10" xfId="42210" xr:uid="{00000000-0005-0000-0000-0000E7A40000}"/>
    <cellStyle name="Style 28 11 2 2" xfId="42211" xr:uid="{00000000-0005-0000-0000-0000E8A40000}"/>
    <cellStyle name="Style 28 11 2 2 2" xfId="42212" xr:uid="{00000000-0005-0000-0000-0000E9A40000}"/>
    <cellStyle name="Style 28 11 2 2 2 2" xfId="42213" xr:uid="{00000000-0005-0000-0000-0000EAA40000}"/>
    <cellStyle name="Style 28 11 2 2 2 2 2" xfId="42214" xr:uid="{00000000-0005-0000-0000-0000EBA40000}"/>
    <cellStyle name="Style 28 11 2 2 2 2 3" xfId="42215" xr:uid="{00000000-0005-0000-0000-0000ECA40000}"/>
    <cellStyle name="Style 28 11 2 2 2 3" xfId="42216" xr:uid="{00000000-0005-0000-0000-0000EDA40000}"/>
    <cellStyle name="Style 28 11 2 2 2 3 2" xfId="42217" xr:uid="{00000000-0005-0000-0000-0000EEA40000}"/>
    <cellStyle name="Style 28 11 2 2 2 3 3" xfId="42218" xr:uid="{00000000-0005-0000-0000-0000EFA40000}"/>
    <cellStyle name="Style 28 11 2 2 2 4" xfId="42219" xr:uid="{00000000-0005-0000-0000-0000F0A40000}"/>
    <cellStyle name="Style 28 11 2 2 2 5" xfId="42220" xr:uid="{00000000-0005-0000-0000-0000F1A40000}"/>
    <cellStyle name="Style 28 11 2 2 2 6" xfId="42221" xr:uid="{00000000-0005-0000-0000-0000F2A40000}"/>
    <cellStyle name="Style 28 11 2 2 3" xfId="42222" xr:uid="{00000000-0005-0000-0000-0000F3A40000}"/>
    <cellStyle name="Style 28 11 2 2 3 2" xfId="42223" xr:uid="{00000000-0005-0000-0000-0000F4A40000}"/>
    <cellStyle name="Style 28 11 2 2 3 3" xfId="42224" xr:uid="{00000000-0005-0000-0000-0000F5A40000}"/>
    <cellStyle name="Style 28 11 2 2 4" xfId="42225" xr:uid="{00000000-0005-0000-0000-0000F6A40000}"/>
    <cellStyle name="Style 28 11 2 2 4 2" xfId="42226" xr:uid="{00000000-0005-0000-0000-0000F7A40000}"/>
    <cellStyle name="Style 28 11 2 2 4 3" xfId="42227" xr:uid="{00000000-0005-0000-0000-0000F8A40000}"/>
    <cellStyle name="Style 28 11 2 2 5" xfId="42228" xr:uid="{00000000-0005-0000-0000-0000F9A40000}"/>
    <cellStyle name="Style 28 11 2 2 5 2" xfId="42229" xr:uid="{00000000-0005-0000-0000-0000FAA40000}"/>
    <cellStyle name="Style 28 11 2 2 5 3" xfId="42230" xr:uid="{00000000-0005-0000-0000-0000FBA40000}"/>
    <cellStyle name="Style 28 11 2 2 6" xfId="42231" xr:uid="{00000000-0005-0000-0000-0000FCA40000}"/>
    <cellStyle name="Style 28 11 2 2 7" xfId="42232" xr:uid="{00000000-0005-0000-0000-0000FDA40000}"/>
    <cellStyle name="Style 28 11 2 2 8" xfId="42233" xr:uid="{00000000-0005-0000-0000-0000FEA40000}"/>
    <cellStyle name="Style 28 11 2 3" xfId="42234" xr:uid="{00000000-0005-0000-0000-0000FFA40000}"/>
    <cellStyle name="Style 28 11 2 3 2" xfId="42235" xr:uid="{00000000-0005-0000-0000-000000A50000}"/>
    <cellStyle name="Style 28 11 2 3 2 2" xfId="42236" xr:uid="{00000000-0005-0000-0000-000001A50000}"/>
    <cellStyle name="Style 28 11 2 3 2 2 2" xfId="42237" xr:uid="{00000000-0005-0000-0000-000002A50000}"/>
    <cellStyle name="Style 28 11 2 3 2 2 3" xfId="42238" xr:uid="{00000000-0005-0000-0000-000003A50000}"/>
    <cellStyle name="Style 28 11 2 3 2 3" xfId="42239" xr:uid="{00000000-0005-0000-0000-000004A50000}"/>
    <cellStyle name="Style 28 11 2 3 2 3 2" xfId="42240" xr:uid="{00000000-0005-0000-0000-000005A50000}"/>
    <cellStyle name="Style 28 11 2 3 2 3 3" xfId="42241" xr:uid="{00000000-0005-0000-0000-000006A50000}"/>
    <cellStyle name="Style 28 11 2 3 2 4" xfId="42242" xr:uid="{00000000-0005-0000-0000-000007A50000}"/>
    <cellStyle name="Style 28 11 2 3 2 5" xfId="42243" xr:uid="{00000000-0005-0000-0000-000008A50000}"/>
    <cellStyle name="Style 28 11 2 3 2 6" xfId="42244" xr:uid="{00000000-0005-0000-0000-000009A50000}"/>
    <cellStyle name="Style 28 11 2 3 3" xfId="42245" xr:uid="{00000000-0005-0000-0000-00000AA50000}"/>
    <cellStyle name="Style 28 11 2 3 3 2" xfId="42246" xr:uid="{00000000-0005-0000-0000-00000BA50000}"/>
    <cellStyle name="Style 28 11 2 3 3 3" xfId="42247" xr:uid="{00000000-0005-0000-0000-00000CA50000}"/>
    <cellStyle name="Style 28 11 2 3 4" xfId="42248" xr:uid="{00000000-0005-0000-0000-00000DA50000}"/>
    <cellStyle name="Style 28 11 2 3 4 2" xfId="42249" xr:uid="{00000000-0005-0000-0000-00000EA50000}"/>
    <cellStyle name="Style 28 11 2 3 4 3" xfId="42250" xr:uid="{00000000-0005-0000-0000-00000FA50000}"/>
    <cellStyle name="Style 28 11 2 3 5" xfId="42251" xr:uid="{00000000-0005-0000-0000-000010A50000}"/>
    <cellStyle name="Style 28 11 2 3 5 2" xfId="42252" xr:uid="{00000000-0005-0000-0000-000011A50000}"/>
    <cellStyle name="Style 28 11 2 3 5 3" xfId="42253" xr:uid="{00000000-0005-0000-0000-000012A50000}"/>
    <cellStyle name="Style 28 11 2 3 6" xfId="42254" xr:uid="{00000000-0005-0000-0000-000013A50000}"/>
    <cellStyle name="Style 28 11 2 3 7" xfId="42255" xr:uid="{00000000-0005-0000-0000-000014A50000}"/>
    <cellStyle name="Style 28 11 2 3 8" xfId="42256" xr:uid="{00000000-0005-0000-0000-000015A50000}"/>
    <cellStyle name="Style 28 11 2 4" xfId="42257" xr:uid="{00000000-0005-0000-0000-000016A50000}"/>
    <cellStyle name="Style 28 11 2 4 2" xfId="42258" xr:uid="{00000000-0005-0000-0000-000017A50000}"/>
    <cellStyle name="Style 28 11 2 4 2 2" xfId="42259" xr:uid="{00000000-0005-0000-0000-000018A50000}"/>
    <cellStyle name="Style 28 11 2 4 2 3" xfId="42260" xr:uid="{00000000-0005-0000-0000-000019A50000}"/>
    <cellStyle name="Style 28 11 2 4 3" xfId="42261" xr:uid="{00000000-0005-0000-0000-00001AA50000}"/>
    <cellStyle name="Style 28 11 2 4 3 2" xfId="42262" xr:uid="{00000000-0005-0000-0000-00001BA50000}"/>
    <cellStyle name="Style 28 11 2 4 3 3" xfId="42263" xr:uid="{00000000-0005-0000-0000-00001CA50000}"/>
    <cellStyle name="Style 28 11 2 4 4" xfId="42264" xr:uid="{00000000-0005-0000-0000-00001DA50000}"/>
    <cellStyle name="Style 28 11 2 4 5" xfId="42265" xr:uid="{00000000-0005-0000-0000-00001EA50000}"/>
    <cellStyle name="Style 28 11 2 4 6" xfId="42266" xr:uid="{00000000-0005-0000-0000-00001FA50000}"/>
    <cellStyle name="Style 28 11 2 5" xfId="42267" xr:uid="{00000000-0005-0000-0000-000020A50000}"/>
    <cellStyle name="Style 28 11 2 5 2" xfId="42268" xr:uid="{00000000-0005-0000-0000-000021A50000}"/>
    <cellStyle name="Style 28 11 2 5 3" xfId="42269" xr:uid="{00000000-0005-0000-0000-000022A50000}"/>
    <cellStyle name="Style 28 11 2 6" xfId="42270" xr:uid="{00000000-0005-0000-0000-000023A50000}"/>
    <cellStyle name="Style 28 11 2 6 2" xfId="42271" xr:uid="{00000000-0005-0000-0000-000024A50000}"/>
    <cellStyle name="Style 28 11 2 6 3" xfId="42272" xr:uid="{00000000-0005-0000-0000-000025A50000}"/>
    <cellStyle name="Style 28 11 2 7" xfId="42273" xr:uid="{00000000-0005-0000-0000-000026A50000}"/>
    <cellStyle name="Style 28 11 2 7 2" xfId="42274" xr:uid="{00000000-0005-0000-0000-000027A50000}"/>
    <cellStyle name="Style 28 11 2 7 3" xfId="42275" xr:uid="{00000000-0005-0000-0000-000028A50000}"/>
    <cellStyle name="Style 28 11 2 8" xfId="42276" xr:uid="{00000000-0005-0000-0000-000029A50000}"/>
    <cellStyle name="Style 28 11 2 9" xfId="42277" xr:uid="{00000000-0005-0000-0000-00002AA50000}"/>
    <cellStyle name="Style 28 11 3" xfId="42278" xr:uid="{00000000-0005-0000-0000-00002BA50000}"/>
    <cellStyle name="Style 28 11 3 2" xfId="42279" xr:uid="{00000000-0005-0000-0000-00002CA50000}"/>
    <cellStyle name="Style 28 11 3 2 2" xfId="42280" xr:uid="{00000000-0005-0000-0000-00002DA50000}"/>
    <cellStyle name="Style 28 11 3 2 2 2" xfId="42281" xr:uid="{00000000-0005-0000-0000-00002EA50000}"/>
    <cellStyle name="Style 28 11 3 2 2 3" xfId="42282" xr:uid="{00000000-0005-0000-0000-00002FA50000}"/>
    <cellStyle name="Style 28 11 3 2 3" xfId="42283" xr:uid="{00000000-0005-0000-0000-000030A50000}"/>
    <cellStyle name="Style 28 11 3 2 3 2" xfId="42284" xr:uid="{00000000-0005-0000-0000-000031A50000}"/>
    <cellStyle name="Style 28 11 3 2 3 3" xfId="42285" xr:uid="{00000000-0005-0000-0000-000032A50000}"/>
    <cellStyle name="Style 28 11 3 2 4" xfId="42286" xr:uid="{00000000-0005-0000-0000-000033A50000}"/>
    <cellStyle name="Style 28 11 3 2 5" xfId="42287" xr:uid="{00000000-0005-0000-0000-000034A50000}"/>
    <cellStyle name="Style 28 11 3 2 6" xfId="42288" xr:uid="{00000000-0005-0000-0000-000035A50000}"/>
    <cellStyle name="Style 28 11 3 3" xfId="42289" xr:uid="{00000000-0005-0000-0000-000036A50000}"/>
    <cellStyle name="Style 28 11 3 3 2" xfId="42290" xr:uid="{00000000-0005-0000-0000-000037A50000}"/>
    <cellStyle name="Style 28 11 3 3 3" xfId="42291" xr:uid="{00000000-0005-0000-0000-000038A50000}"/>
    <cellStyle name="Style 28 11 3 4" xfId="42292" xr:uid="{00000000-0005-0000-0000-000039A50000}"/>
    <cellStyle name="Style 28 11 3 4 2" xfId="42293" xr:uid="{00000000-0005-0000-0000-00003AA50000}"/>
    <cellStyle name="Style 28 11 3 4 3" xfId="42294" xr:uid="{00000000-0005-0000-0000-00003BA50000}"/>
    <cellStyle name="Style 28 11 3 5" xfId="42295" xr:uid="{00000000-0005-0000-0000-00003CA50000}"/>
    <cellStyle name="Style 28 11 3 5 2" xfId="42296" xr:uid="{00000000-0005-0000-0000-00003DA50000}"/>
    <cellStyle name="Style 28 11 3 5 3" xfId="42297" xr:uid="{00000000-0005-0000-0000-00003EA50000}"/>
    <cellStyle name="Style 28 11 3 6" xfId="42298" xr:uid="{00000000-0005-0000-0000-00003FA50000}"/>
    <cellStyle name="Style 28 11 3 7" xfId="42299" xr:uid="{00000000-0005-0000-0000-000040A50000}"/>
    <cellStyle name="Style 28 11 3 8" xfId="42300" xr:uid="{00000000-0005-0000-0000-000041A50000}"/>
    <cellStyle name="Style 28 11 4" xfId="42301" xr:uid="{00000000-0005-0000-0000-000042A50000}"/>
    <cellStyle name="Style 28 11 4 2" xfId="42302" xr:uid="{00000000-0005-0000-0000-000043A50000}"/>
    <cellStyle name="Style 28 11 4 2 2" xfId="42303" xr:uid="{00000000-0005-0000-0000-000044A50000}"/>
    <cellStyle name="Style 28 11 4 2 2 2" xfId="42304" xr:uid="{00000000-0005-0000-0000-000045A50000}"/>
    <cellStyle name="Style 28 11 4 2 2 3" xfId="42305" xr:uid="{00000000-0005-0000-0000-000046A50000}"/>
    <cellStyle name="Style 28 11 4 2 3" xfId="42306" xr:uid="{00000000-0005-0000-0000-000047A50000}"/>
    <cellStyle name="Style 28 11 4 2 3 2" xfId="42307" xr:uid="{00000000-0005-0000-0000-000048A50000}"/>
    <cellStyle name="Style 28 11 4 2 3 3" xfId="42308" xr:uid="{00000000-0005-0000-0000-000049A50000}"/>
    <cellStyle name="Style 28 11 4 2 4" xfId="42309" xr:uid="{00000000-0005-0000-0000-00004AA50000}"/>
    <cellStyle name="Style 28 11 4 2 5" xfId="42310" xr:uid="{00000000-0005-0000-0000-00004BA50000}"/>
    <cellStyle name="Style 28 11 4 2 6" xfId="42311" xr:uid="{00000000-0005-0000-0000-00004CA50000}"/>
    <cellStyle name="Style 28 11 4 3" xfId="42312" xr:uid="{00000000-0005-0000-0000-00004DA50000}"/>
    <cellStyle name="Style 28 11 4 3 2" xfId="42313" xr:uid="{00000000-0005-0000-0000-00004EA50000}"/>
    <cellStyle name="Style 28 11 4 3 3" xfId="42314" xr:uid="{00000000-0005-0000-0000-00004FA50000}"/>
    <cellStyle name="Style 28 11 4 4" xfId="42315" xr:uid="{00000000-0005-0000-0000-000050A50000}"/>
    <cellStyle name="Style 28 11 4 4 2" xfId="42316" xr:uid="{00000000-0005-0000-0000-000051A50000}"/>
    <cellStyle name="Style 28 11 4 4 3" xfId="42317" xr:uid="{00000000-0005-0000-0000-000052A50000}"/>
    <cellStyle name="Style 28 11 4 5" xfId="42318" xr:uid="{00000000-0005-0000-0000-000053A50000}"/>
    <cellStyle name="Style 28 11 4 5 2" xfId="42319" xr:uid="{00000000-0005-0000-0000-000054A50000}"/>
    <cellStyle name="Style 28 11 4 5 3" xfId="42320" xr:uid="{00000000-0005-0000-0000-000055A50000}"/>
    <cellStyle name="Style 28 11 4 6" xfId="42321" xr:uid="{00000000-0005-0000-0000-000056A50000}"/>
    <cellStyle name="Style 28 11 4 7" xfId="42322" xr:uid="{00000000-0005-0000-0000-000057A50000}"/>
    <cellStyle name="Style 28 11 4 8" xfId="42323" xr:uid="{00000000-0005-0000-0000-000058A50000}"/>
    <cellStyle name="Style 28 11 5" xfId="42324" xr:uid="{00000000-0005-0000-0000-000059A50000}"/>
    <cellStyle name="Style 28 11 5 2" xfId="42325" xr:uid="{00000000-0005-0000-0000-00005AA50000}"/>
    <cellStyle name="Style 28 11 5 2 2" xfId="42326" xr:uid="{00000000-0005-0000-0000-00005BA50000}"/>
    <cellStyle name="Style 28 11 5 2 2 2" xfId="42327" xr:uid="{00000000-0005-0000-0000-00005CA50000}"/>
    <cellStyle name="Style 28 11 5 2 2 3" xfId="42328" xr:uid="{00000000-0005-0000-0000-00005DA50000}"/>
    <cellStyle name="Style 28 11 5 2 3" xfId="42329" xr:uid="{00000000-0005-0000-0000-00005EA50000}"/>
    <cellStyle name="Style 28 11 5 2 3 2" xfId="42330" xr:uid="{00000000-0005-0000-0000-00005FA50000}"/>
    <cellStyle name="Style 28 11 5 2 3 3" xfId="42331" xr:uid="{00000000-0005-0000-0000-000060A50000}"/>
    <cellStyle name="Style 28 11 5 2 4" xfId="42332" xr:uid="{00000000-0005-0000-0000-000061A50000}"/>
    <cellStyle name="Style 28 11 5 2 5" xfId="42333" xr:uid="{00000000-0005-0000-0000-000062A50000}"/>
    <cellStyle name="Style 28 11 5 2 6" xfId="42334" xr:uid="{00000000-0005-0000-0000-000063A50000}"/>
    <cellStyle name="Style 28 11 5 3" xfId="42335" xr:uid="{00000000-0005-0000-0000-000064A50000}"/>
    <cellStyle name="Style 28 11 5 3 2" xfId="42336" xr:uid="{00000000-0005-0000-0000-000065A50000}"/>
    <cellStyle name="Style 28 11 5 3 3" xfId="42337" xr:uid="{00000000-0005-0000-0000-000066A50000}"/>
    <cellStyle name="Style 28 11 5 4" xfId="42338" xr:uid="{00000000-0005-0000-0000-000067A50000}"/>
    <cellStyle name="Style 28 11 5 4 2" xfId="42339" xr:uid="{00000000-0005-0000-0000-000068A50000}"/>
    <cellStyle name="Style 28 11 5 4 3" xfId="42340" xr:uid="{00000000-0005-0000-0000-000069A50000}"/>
    <cellStyle name="Style 28 11 5 5" xfId="42341" xr:uid="{00000000-0005-0000-0000-00006AA50000}"/>
    <cellStyle name="Style 28 11 5 5 2" xfId="42342" xr:uid="{00000000-0005-0000-0000-00006BA50000}"/>
    <cellStyle name="Style 28 11 5 5 3" xfId="42343" xr:uid="{00000000-0005-0000-0000-00006CA50000}"/>
    <cellStyle name="Style 28 11 5 6" xfId="42344" xr:uid="{00000000-0005-0000-0000-00006DA50000}"/>
    <cellStyle name="Style 28 11 5 7" xfId="42345" xr:uid="{00000000-0005-0000-0000-00006EA50000}"/>
    <cellStyle name="Style 28 11 5 8" xfId="42346" xr:uid="{00000000-0005-0000-0000-00006FA50000}"/>
    <cellStyle name="Style 28 11 6" xfId="42347" xr:uid="{00000000-0005-0000-0000-000070A50000}"/>
    <cellStyle name="Style 28 11 6 2" xfId="42348" xr:uid="{00000000-0005-0000-0000-000071A50000}"/>
    <cellStyle name="Style 28 11 6 2 2" xfId="42349" xr:uid="{00000000-0005-0000-0000-000072A50000}"/>
    <cellStyle name="Style 28 11 6 2 3" xfId="42350" xr:uid="{00000000-0005-0000-0000-000073A50000}"/>
    <cellStyle name="Style 28 11 6 3" xfId="42351" xr:uid="{00000000-0005-0000-0000-000074A50000}"/>
    <cellStyle name="Style 28 11 6 3 2" xfId="42352" xr:uid="{00000000-0005-0000-0000-000075A50000}"/>
    <cellStyle name="Style 28 11 6 3 3" xfId="42353" xr:uid="{00000000-0005-0000-0000-000076A50000}"/>
    <cellStyle name="Style 28 11 6 4" xfId="42354" xr:uid="{00000000-0005-0000-0000-000077A50000}"/>
    <cellStyle name="Style 28 11 6 5" xfId="42355" xr:uid="{00000000-0005-0000-0000-000078A50000}"/>
    <cellStyle name="Style 28 11 6 6" xfId="42356" xr:uid="{00000000-0005-0000-0000-000079A50000}"/>
    <cellStyle name="Style 28 11 7" xfId="42357" xr:uid="{00000000-0005-0000-0000-00007AA50000}"/>
    <cellStyle name="Style 28 11 7 2" xfId="42358" xr:uid="{00000000-0005-0000-0000-00007BA50000}"/>
    <cellStyle name="Style 28 11 7 3" xfId="42359" xr:uid="{00000000-0005-0000-0000-00007CA50000}"/>
    <cellStyle name="Style 28 11 8" xfId="42360" xr:uid="{00000000-0005-0000-0000-00007DA50000}"/>
    <cellStyle name="Style 28 11 8 2" xfId="42361" xr:uid="{00000000-0005-0000-0000-00007EA50000}"/>
    <cellStyle name="Style 28 11 8 3" xfId="42362" xr:uid="{00000000-0005-0000-0000-00007FA50000}"/>
    <cellStyle name="Style 28 11 9" xfId="42363" xr:uid="{00000000-0005-0000-0000-000080A50000}"/>
    <cellStyle name="Style 28 11 9 2" xfId="42364" xr:uid="{00000000-0005-0000-0000-000081A50000}"/>
    <cellStyle name="Style 28 11 9 3" xfId="42365" xr:uid="{00000000-0005-0000-0000-000082A50000}"/>
    <cellStyle name="Style 28 12" xfId="42366" xr:uid="{00000000-0005-0000-0000-000083A50000}"/>
    <cellStyle name="Style 28 12 10" xfId="42367" xr:uid="{00000000-0005-0000-0000-000084A50000}"/>
    <cellStyle name="Style 28 12 2" xfId="42368" xr:uid="{00000000-0005-0000-0000-000085A50000}"/>
    <cellStyle name="Style 28 12 2 2" xfId="42369" xr:uid="{00000000-0005-0000-0000-000086A50000}"/>
    <cellStyle name="Style 28 12 2 2 2" xfId="42370" xr:uid="{00000000-0005-0000-0000-000087A50000}"/>
    <cellStyle name="Style 28 12 2 2 2 2" xfId="42371" xr:uid="{00000000-0005-0000-0000-000088A50000}"/>
    <cellStyle name="Style 28 12 2 2 2 3" xfId="42372" xr:uid="{00000000-0005-0000-0000-000089A50000}"/>
    <cellStyle name="Style 28 12 2 2 3" xfId="42373" xr:uid="{00000000-0005-0000-0000-00008AA50000}"/>
    <cellStyle name="Style 28 12 2 2 3 2" xfId="42374" xr:uid="{00000000-0005-0000-0000-00008BA50000}"/>
    <cellStyle name="Style 28 12 2 2 3 3" xfId="42375" xr:uid="{00000000-0005-0000-0000-00008CA50000}"/>
    <cellStyle name="Style 28 12 2 2 4" xfId="42376" xr:uid="{00000000-0005-0000-0000-00008DA50000}"/>
    <cellStyle name="Style 28 12 2 2 5" xfId="42377" xr:uid="{00000000-0005-0000-0000-00008EA50000}"/>
    <cellStyle name="Style 28 12 2 2 6" xfId="42378" xr:uid="{00000000-0005-0000-0000-00008FA50000}"/>
    <cellStyle name="Style 28 12 2 3" xfId="42379" xr:uid="{00000000-0005-0000-0000-000090A50000}"/>
    <cellStyle name="Style 28 12 2 3 2" xfId="42380" xr:uid="{00000000-0005-0000-0000-000091A50000}"/>
    <cellStyle name="Style 28 12 2 3 3" xfId="42381" xr:uid="{00000000-0005-0000-0000-000092A50000}"/>
    <cellStyle name="Style 28 12 2 4" xfId="42382" xr:uid="{00000000-0005-0000-0000-000093A50000}"/>
    <cellStyle name="Style 28 12 2 4 2" xfId="42383" xr:uid="{00000000-0005-0000-0000-000094A50000}"/>
    <cellStyle name="Style 28 12 2 4 3" xfId="42384" xr:uid="{00000000-0005-0000-0000-000095A50000}"/>
    <cellStyle name="Style 28 12 2 5" xfId="42385" xr:uid="{00000000-0005-0000-0000-000096A50000}"/>
    <cellStyle name="Style 28 12 2 5 2" xfId="42386" xr:uid="{00000000-0005-0000-0000-000097A50000}"/>
    <cellStyle name="Style 28 12 2 5 3" xfId="42387" xr:uid="{00000000-0005-0000-0000-000098A50000}"/>
    <cellStyle name="Style 28 12 2 6" xfId="42388" xr:uid="{00000000-0005-0000-0000-000099A50000}"/>
    <cellStyle name="Style 28 12 2 7" xfId="42389" xr:uid="{00000000-0005-0000-0000-00009AA50000}"/>
    <cellStyle name="Style 28 12 2 8" xfId="42390" xr:uid="{00000000-0005-0000-0000-00009BA50000}"/>
    <cellStyle name="Style 28 12 3" xfId="42391" xr:uid="{00000000-0005-0000-0000-00009CA50000}"/>
    <cellStyle name="Style 28 12 3 2" xfId="42392" xr:uid="{00000000-0005-0000-0000-00009DA50000}"/>
    <cellStyle name="Style 28 12 3 2 2" xfId="42393" xr:uid="{00000000-0005-0000-0000-00009EA50000}"/>
    <cellStyle name="Style 28 12 3 2 2 2" xfId="42394" xr:uid="{00000000-0005-0000-0000-00009FA50000}"/>
    <cellStyle name="Style 28 12 3 2 2 3" xfId="42395" xr:uid="{00000000-0005-0000-0000-0000A0A50000}"/>
    <cellStyle name="Style 28 12 3 2 3" xfId="42396" xr:uid="{00000000-0005-0000-0000-0000A1A50000}"/>
    <cellStyle name="Style 28 12 3 2 3 2" xfId="42397" xr:uid="{00000000-0005-0000-0000-0000A2A50000}"/>
    <cellStyle name="Style 28 12 3 2 3 3" xfId="42398" xr:uid="{00000000-0005-0000-0000-0000A3A50000}"/>
    <cellStyle name="Style 28 12 3 2 4" xfId="42399" xr:uid="{00000000-0005-0000-0000-0000A4A50000}"/>
    <cellStyle name="Style 28 12 3 2 5" xfId="42400" xr:uid="{00000000-0005-0000-0000-0000A5A50000}"/>
    <cellStyle name="Style 28 12 3 2 6" xfId="42401" xr:uid="{00000000-0005-0000-0000-0000A6A50000}"/>
    <cellStyle name="Style 28 12 3 3" xfId="42402" xr:uid="{00000000-0005-0000-0000-0000A7A50000}"/>
    <cellStyle name="Style 28 12 3 3 2" xfId="42403" xr:uid="{00000000-0005-0000-0000-0000A8A50000}"/>
    <cellStyle name="Style 28 12 3 3 3" xfId="42404" xr:uid="{00000000-0005-0000-0000-0000A9A50000}"/>
    <cellStyle name="Style 28 12 3 4" xfId="42405" xr:uid="{00000000-0005-0000-0000-0000AAA50000}"/>
    <cellStyle name="Style 28 12 3 4 2" xfId="42406" xr:uid="{00000000-0005-0000-0000-0000ABA50000}"/>
    <cellStyle name="Style 28 12 3 4 3" xfId="42407" xr:uid="{00000000-0005-0000-0000-0000ACA50000}"/>
    <cellStyle name="Style 28 12 3 5" xfId="42408" xr:uid="{00000000-0005-0000-0000-0000ADA50000}"/>
    <cellStyle name="Style 28 12 3 5 2" xfId="42409" xr:uid="{00000000-0005-0000-0000-0000AEA50000}"/>
    <cellStyle name="Style 28 12 3 5 3" xfId="42410" xr:uid="{00000000-0005-0000-0000-0000AFA50000}"/>
    <cellStyle name="Style 28 12 3 6" xfId="42411" xr:uid="{00000000-0005-0000-0000-0000B0A50000}"/>
    <cellStyle name="Style 28 12 3 7" xfId="42412" xr:uid="{00000000-0005-0000-0000-0000B1A50000}"/>
    <cellStyle name="Style 28 12 3 8" xfId="42413" xr:uid="{00000000-0005-0000-0000-0000B2A50000}"/>
    <cellStyle name="Style 28 12 4" xfId="42414" xr:uid="{00000000-0005-0000-0000-0000B3A50000}"/>
    <cellStyle name="Style 28 12 4 2" xfId="42415" xr:uid="{00000000-0005-0000-0000-0000B4A50000}"/>
    <cellStyle name="Style 28 12 4 2 2" xfId="42416" xr:uid="{00000000-0005-0000-0000-0000B5A50000}"/>
    <cellStyle name="Style 28 12 4 2 3" xfId="42417" xr:uid="{00000000-0005-0000-0000-0000B6A50000}"/>
    <cellStyle name="Style 28 12 4 3" xfId="42418" xr:uid="{00000000-0005-0000-0000-0000B7A50000}"/>
    <cellStyle name="Style 28 12 4 3 2" xfId="42419" xr:uid="{00000000-0005-0000-0000-0000B8A50000}"/>
    <cellStyle name="Style 28 12 4 3 3" xfId="42420" xr:uid="{00000000-0005-0000-0000-0000B9A50000}"/>
    <cellStyle name="Style 28 12 4 4" xfId="42421" xr:uid="{00000000-0005-0000-0000-0000BAA50000}"/>
    <cellStyle name="Style 28 12 4 5" xfId="42422" xr:uid="{00000000-0005-0000-0000-0000BBA50000}"/>
    <cellStyle name="Style 28 12 4 6" xfId="42423" xr:uid="{00000000-0005-0000-0000-0000BCA50000}"/>
    <cellStyle name="Style 28 12 5" xfId="42424" xr:uid="{00000000-0005-0000-0000-0000BDA50000}"/>
    <cellStyle name="Style 28 12 5 2" xfId="42425" xr:uid="{00000000-0005-0000-0000-0000BEA50000}"/>
    <cellStyle name="Style 28 12 5 3" xfId="42426" xr:uid="{00000000-0005-0000-0000-0000BFA50000}"/>
    <cellStyle name="Style 28 12 6" xfId="42427" xr:uid="{00000000-0005-0000-0000-0000C0A50000}"/>
    <cellStyle name="Style 28 12 6 2" xfId="42428" xr:uid="{00000000-0005-0000-0000-0000C1A50000}"/>
    <cellStyle name="Style 28 12 6 3" xfId="42429" xr:uid="{00000000-0005-0000-0000-0000C2A50000}"/>
    <cellStyle name="Style 28 12 7" xfId="42430" xr:uid="{00000000-0005-0000-0000-0000C3A50000}"/>
    <cellStyle name="Style 28 12 7 2" xfId="42431" xr:uid="{00000000-0005-0000-0000-0000C4A50000}"/>
    <cellStyle name="Style 28 12 7 3" xfId="42432" xr:uid="{00000000-0005-0000-0000-0000C5A50000}"/>
    <cellStyle name="Style 28 12 8" xfId="42433" xr:uid="{00000000-0005-0000-0000-0000C6A50000}"/>
    <cellStyle name="Style 28 12 9" xfId="42434" xr:uid="{00000000-0005-0000-0000-0000C7A50000}"/>
    <cellStyle name="Style 28 13" xfId="42435" xr:uid="{00000000-0005-0000-0000-0000C8A50000}"/>
    <cellStyle name="Style 28 13 2" xfId="42436" xr:uid="{00000000-0005-0000-0000-0000C9A50000}"/>
    <cellStyle name="Style 28 13 2 2" xfId="42437" xr:uid="{00000000-0005-0000-0000-0000CAA50000}"/>
    <cellStyle name="Style 28 13 2 2 2" xfId="42438" xr:uid="{00000000-0005-0000-0000-0000CBA50000}"/>
    <cellStyle name="Style 28 13 2 2 3" xfId="42439" xr:uid="{00000000-0005-0000-0000-0000CCA50000}"/>
    <cellStyle name="Style 28 13 2 3" xfId="42440" xr:uid="{00000000-0005-0000-0000-0000CDA50000}"/>
    <cellStyle name="Style 28 13 2 3 2" xfId="42441" xr:uid="{00000000-0005-0000-0000-0000CEA50000}"/>
    <cellStyle name="Style 28 13 2 3 3" xfId="42442" xr:uid="{00000000-0005-0000-0000-0000CFA50000}"/>
    <cellStyle name="Style 28 13 2 4" xfId="42443" xr:uid="{00000000-0005-0000-0000-0000D0A50000}"/>
    <cellStyle name="Style 28 13 2 5" xfId="42444" xr:uid="{00000000-0005-0000-0000-0000D1A50000}"/>
    <cellStyle name="Style 28 13 2 6" xfId="42445" xr:uid="{00000000-0005-0000-0000-0000D2A50000}"/>
    <cellStyle name="Style 28 13 3" xfId="42446" xr:uid="{00000000-0005-0000-0000-0000D3A50000}"/>
    <cellStyle name="Style 28 13 3 2" xfId="42447" xr:uid="{00000000-0005-0000-0000-0000D4A50000}"/>
    <cellStyle name="Style 28 13 3 3" xfId="42448" xr:uid="{00000000-0005-0000-0000-0000D5A50000}"/>
    <cellStyle name="Style 28 13 4" xfId="42449" xr:uid="{00000000-0005-0000-0000-0000D6A50000}"/>
    <cellStyle name="Style 28 13 4 2" xfId="42450" xr:uid="{00000000-0005-0000-0000-0000D7A50000}"/>
    <cellStyle name="Style 28 13 4 3" xfId="42451" xr:uid="{00000000-0005-0000-0000-0000D8A50000}"/>
    <cellStyle name="Style 28 13 5" xfId="42452" xr:uid="{00000000-0005-0000-0000-0000D9A50000}"/>
    <cellStyle name="Style 28 13 5 2" xfId="42453" xr:uid="{00000000-0005-0000-0000-0000DAA50000}"/>
    <cellStyle name="Style 28 13 5 3" xfId="42454" xr:uid="{00000000-0005-0000-0000-0000DBA50000}"/>
    <cellStyle name="Style 28 13 6" xfId="42455" xr:uid="{00000000-0005-0000-0000-0000DCA50000}"/>
    <cellStyle name="Style 28 13 7" xfId="42456" xr:uid="{00000000-0005-0000-0000-0000DDA50000}"/>
    <cellStyle name="Style 28 13 8" xfId="42457" xr:uid="{00000000-0005-0000-0000-0000DEA50000}"/>
    <cellStyle name="Style 28 14" xfId="42458" xr:uid="{00000000-0005-0000-0000-0000DFA50000}"/>
    <cellStyle name="Style 28 14 2" xfId="42459" xr:uid="{00000000-0005-0000-0000-0000E0A50000}"/>
    <cellStyle name="Style 28 14 2 2" xfId="42460" xr:uid="{00000000-0005-0000-0000-0000E1A50000}"/>
    <cellStyle name="Style 28 14 2 2 2" xfId="42461" xr:uid="{00000000-0005-0000-0000-0000E2A50000}"/>
    <cellStyle name="Style 28 14 2 2 3" xfId="42462" xr:uid="{00000000-0005-0000-0000-0000E3A50000}"/>
    <cellStyle name="Style 28 14 2 3" xfId="42463" xr:uid="{00000000-0005-0000-0000-0000E4A50000}"/>
    <cellStyle name="Style 28 14 2 3 2" xfId="42464" xr:uid="{00000000-0005-0000-0000-0000E5A50000}"/>
    <cellStyle name="Style 28 14 2 3 3" xfId="42465" xr:uid="{00000000-0005-0000-0000-0000E6A50000}"/>
    <cellStyle name="Style 28 14 2 4" xfId="42466" xr:uid="{00000000-0005-0000-0000-0000E7A50000}"/>
    <cellStyle name="Style 28 14 2 5" xfId="42467" xr:uid="{00000000-0005-0000-0000-0000E8A50000}"/>
    <cellStyle name="Style 28 14 2 6" xfId="42468" xr:uid="{00000000-0005-0000-0000-0000E9A50000}"/>
    <cellStyle name="Style 28 14 3" xfId="42469" xr:uid="{00000000-0005-0000-0000-0000EAA50000}"/>
    <cellStyle name="Style 28 14 3 2" xfId="42470" xr:uid="{00000000-0005-0000-0000-0000EBA50000}"/>
    <cellStyle name="Style 28 14 3 3" xfId="42471" xr:uid="{00000000-0005-0000-0000-0000ECA50000}"/>
    <cellStyle name="Style 28 14 4" xfId="42472" xr:uid="{00000000-0005-0000-0000-0000EDA50000}"/>
    <cellStyle name="Style 28 14 4 2" xfId="42473" xr:uid="{00000000-0005-0000-0000-0000EEA50000}"/>
    <cellStyle name="Style 28 14 4 3" xfId="42474" xr:uid="{00000000-0005-0000-0000-0000EFA50000}"/>
    <cellStyle name="Style 28 14 5" xfId="42475" xr:uid="{00000000-0005-0000-0000-0000F0A50000}"/>
    <cellStyle name="Style 28 14 5 2" xfId="42476" xr:uid="{00000000-0005-0000-0000-0000F1A50000}"/>
    <cellStyle name="Style 28 14 5 3" xfId="42477" xr:uid="{00000000-0005-0000-0000-0000F2A50000}"/>
    <cellStyle name="Style 28 14 6" xfId="42478" xr:uid="{00000000-0005-0000-0000-0000F3A50000}"/>
    <cellStyle name="Style 28 14 7" xfId="42479" xr:uid="{00000000-0005-0000-0000-0000F4A50000}"/>
    <cellStyle name="Style 28 14 8" xfId="42480" xr:uid="{00000000-0005-0000-0000-0000F5A50000}"/>
    <cellStyle name="Style 28 15" xfId="42481" xr:uid="{00000000-0005-0000-0000-0000F6A50000}"/>
    <cellStyle name="Style 28 15 2" xfId="42482" xr:uid="{00000000-0005-0000-0000-0000F7A50000}"/>
    <cellStyle name="Style 28 15 2 2" xfId="42483" xr:uid="{00000000-0005-0000-0000-0000F8A50000}"/>
    <cellStyle name="Style 28 15 2 2 2" xfId="42484" xr:uid="{00000000-0005-0000-0000-0000F9A50000}"/>
    <cellStyle name="Style 28 15 2 2 3" xfId="42485" xr:uid="{00000000-0005-0000-0000-0000FAA50000}"/>
    <cellStyle name="Style 28 15 2 3" xfId="42486" xr:uid="{00000000-0005-0000-0000-0000FBA50000}"/>
    <cellStyle name="Style 28 15 2 3 2" xfId="42487" xr:uid="{00000000-0005-0000-0000-0000FCA50000}"/>
    <cellStyle name="Style 28 15 2 3 3" xfId="42488" xr:uid="{00000000-0005-0000-0000-0000FDA50000}"/>
    <cellStyle name="Style 28 15 2 4" xfId="42489" xr:uid="{00000000-0005-0000-0000-0000FEA50000}"/>
    <cellStyle name="Style 28 15 2 5" xfId="42490" xr:uid="{00000000-0005-0000-0000-0000FFA50000}"/>
    <cellStyle name="Style 28 15 2 6" xfId="42491" xr:uid="{00000000-0005-0000-0000-000000A60000}"/>
    <cellStyle name="Style 28 15 3" xfId="42492" xr:uid="{00000000-0005-0000-0000-000001A60000}"/>
    <cellStyle name="Style 28 15 3 2" xfId="42493" xr:uid="{00000000-0005-0000-0000-000002A60000}"/>
    <cellStyle name="Style 28 15 3 3" xfId="42494" xr:uid="{00000000-0005-0000-0000-000003A60000}"/>
    <cellStyle name="Style 28 15 4" xfId="42495" xr:uid="{00000000-0005-0000-0000-000004A60000}"/>
    <cellStyle name="Style 28 15 4 2" xfId="42496" xr:uid="{00000000-0005-0000-0000-000005A60000}"/>
    <cellStyle name="Style 28 15 4 3" xfId="42497" xr:uid="{00000000-0005-0000-0000-000006A60000}"/>
    <cellStyle name="Style 28 15 5" xfId="42498" xr:uid="{00000000-0005-0000-0000-000007A60000}"/>
    <cellStyle name="Style 28 15 5 2" xfId="42499" xr:uid="{00000000-0005-0000-0000-000008A60000}"/>
    <cellStyle name="Style 28 15 5 3" xfId="42500" xr:uid="{00000000-0005-0000-0000-000009A60000}"/>
    <cellStyle name="Style 28 15 6" xfId="42501" xr:uid="{00000000-0005-0000-0000-00000AA60000}"/>
    <cellStyle name="Style 28 15 7" xfId="42502" xr:uid="{00000000-0005-0000-0000-00000BA60000}"/>
    <cellStyle name="Style 28 15 8" xfId="42503" xr:uid="{00000000-0005-0000-0000-00000CA60000}"/>
    <cellStyle name="Style 28 16" xfId="42504" xr:uid="{00000000-0005-0000-0000-00000DA60000}"/>
    <cellStyle name="Style 28 16 2" xfId="42505" xr:uid="{00000000-0005-0000-0000-00000EA60000}"/>
    <cellStyle name="Style 28 16 2 2" xfId="42506" xr:uid="{00000000-0005-0000-0000-00000FA60000}"/>
    <cellStyle name="Style 28 16 2 3" xfId="42507" xr:uid="{00000000-0005-0000-0000-000010A60000}"/>
    <cellStyle name="Style 28 16 3" xfId="42508" xr:uid="{00000000-0005-0000-0000-000011A60000}"/>
    <cellStyle name="Style 28 16 3 2" xfId="42509" xr:uid="{00000000-0005-0000-0000-000012A60000}"/>
    <cellStyle name="Style 28 16 3 3" xfId="42510" xr:uid="{00000000-0005-0000-0000-000013A60000}"/>
    <cellStyle name="Style 28 16 4" xfId="42511" xr:uid="{00000000-0005-0000-0000-000014A60000}"/>
    <cellStyle name="Style 28 16 5" xfId="42512" xr:uid="{00000000-0005-0000-0000-000015A60000}"/>
    <cellStyle name="Style 28 16 6" xfId="42513" xr:uid="{00000000-0005-0000-0000-000016A60000}"/>
    <cellStyle name="Style 28 17" xfId="42514" xr:uid="{00000000-0005-0000-0000-000017A60000}"/>
    <cellStyle name="Style 28 17 2" xfId="42515" xr:uid="{00000000-0005-0000-0000-000018A60000}"/>
    <cellStyle name="Style 28 17 3" xfId="42516" xr:uid="{00000000-0005-0000-0000-000019A60000}"/>
    <cellStyle name="Style 28 18" xfId="42517" xr:uid="{00000000-0005-0000-0000-00001AA60000}"/>
    <cellStyle name="Style 28 18 2" xfId="42518" xr:uid="{00000000-0005-0000-0000-00001BA60000}"/>
    <cellStyle name="Style 28 18 3" xfId="42519" xr:uid="{00000000-0005-0000-0000-00001CA60000}"/>
    <cellStyle name="Style 28 19" xfId="42520" xr:uid="{00000000-0005-0000-0000-00001DA60000}"/>
    <cellStyle name="Style 28 19 2" xfId="42521" xr:uid="{00000000-0005-0000-0000-00001EA60000}"/>
    <cellStyle name="Style 28 19 3" xfId="42522" xr:uid="{00000000-0005-0000-0000-00001FA60000}"/>
    <cellStyle name="Style 28 2" xfId="42523" xr:uid="{00000000-0005-0000-0000-000020A60000}"/>
    <cellStyle name="Style 28 2 10" xfId="42524" xr:uid="{00000000-0005-0000-0000-000021A60000}"/>
    <cellStyle name="Style 28 2 11" xfId="42525" xr:uid="{00000000-0005-0000-0000-000022A60000}"/>
    <cellStyle name="Style 28 2 12" xfId="42526" xr:uid="{00000000-0005-0000-0000-000023A60000}"/>
    <cellStyle name="Style 28 2 2" xfId="42527" xr:uid="{00000000-0005-0000-0000-000024A60000}"/>
    <cellStyle name="Style 28 2 2 10" xfId="42528" xr:uid="{00000000-0005-0000-0000-000025A60000}"/>
    <cellStyle name="Style 28 2 2 2" xfId="42529" xr:uid="{00000000-0005-0000-0000-000026A60000}"/>
    <cellStyle name="Style 28 2 2 2 2" xfId="42530" xr:uid="{00000000-0005-0000-0000-000027A60000}"/>
    <cellStyle name="Style 28 2 2 2 2 2" xfId="42531" xr:uid="{00000000-0005-0000-0000-000028A60000}"/>
    <cellStyle name="Style 28 2 2 2 2 2 2" xfId="42532" xr:uid="{00000000-0005-0000-0000-000029A60000}"/>
    <cellStyle name="Style 28 2 2 2 2 2 3" xfId="42533" xr:uid="{00000000-0005-0000-0000-00002AA60000}"/>
    <cellStyle name="Style 28 2 2 2 2 3" xfId="42534" xr:uid="{00000000-0005-0000-0000-00002BA60000}"/>
    <cellStyle name="Style 28 2 2 2 2 3 2" xfId="42535" xr:uid="{00000000-0005-0000-0000-00002CA60000}"/>
    <cellStyle name="Style 28 2 2 2 2 3 3" xfId="42536" xr:uid="{00000000-0005-0000-0000-00002DA60000}"/>
    <cellStyle name="Style 28 2 2 2 2 4" xfId="42537" xr:uid="{00000000-0005-0000-0000-00002EA60000}"/>
    <cellStyle name="Style 28 2 2 2 2 5" xfId="42538" xr:uid="{00000000-0005-0000-0000-00002FA60000}"/>
    <cellStyle name="Style 28 2 2 2 2 6" xfId="42539" xr:uid="{00000000-0005-0000-0000-000030A60000}"/>
    <cellStyle name="Style 28 2 2 2 3" xfId="42540" xr:uid="{00000000-0005-0000-0000-000031A60000}"/>
    <cellStyle name="Style 28 2 2 2 3 2" xfId="42541" xr:uid="{00000000-0005-0000-0000-000032A60000}"/>
    <cellStyle name="Style 28 2 2 2 3 3" xfId="42542" xr:uid="{00000000-0005-0000-0000-000033A60000}"/>
    <cellStyle name="Style 28 2 2 2 4" xfId="42543" xr:uid="{00000000-0005-0000-0000-000034A60000}"/>
    <cellStyle name="Style 28 2 2 2 4 2" xfId="42544" xr:uid="{00000000-0005-0000-0000-000035A60000}"/>
    <cellStyle name="Style 28 2 2 2 4 3" xfId="42545" xr:uid="{00000000-0005-0000-0000-000036A60000}"/>
    <cellStyle name="Style 28 2 2 2 5" xfId="42546" xr:uid="{00000000-0005-0000-0000-000037A60000}"/>
    <cellStyle name="Style 28 2 2 2 5 2" xfId="42547" xr:uid="{00000000-0005-0000-0000-000038A60000}"/>
    <cellStyle name="Style 28 2 2 2 5 3" xfId="42548" xr:uid="{00000000-0005-0000-0000-000039A60000}"/>
    <cellStyle name="Style 28 2 2 2 6" xfId="42549" xr:uid="{00000000-0005-0000-0000-00003AA60000}"/>
    <cellStyle name="Style 28 2 2 2 7" xfId="42550" xr:uid="{00000000-0005-0000-0000-00003BA60000}"/>
    <cellStyle name="Style 28 2 2 2 8" xfId="42551" xr:uid="{00000000-0005-0000-0000-00003CA60000}"/>
    <cellStyle name="Style 28 2 2 3" xfId="42552" xr:uid="{00000000-0005-0000-0000-00003DA60000}"/>
    <cellStyle name="Style 28 2 2 3 2" xfId="42553" xr:uid="{00000000-0005-0000-0000-00003EA60000}"/>
    <cellStyle name="Style 28 2 2 3 2 2" xfId="42554" xr:uid="{00000000-0005-0000-0000-00003FA60000}"/>
    <cellStyle name="Style 28 2 2 3 2 2 2" xfId="42555" xr:uid="{00000000-0005-0000-0000-000040A60000}"/>
    <cellStyle name="Style 28 2 2 3 2 2 3" xfId="42556" xr:uid="{00000000-0005-0000-0000-000041A60000}"/>
    <cellStyle name="Style 28 2 2 3 2 3" xfId="42557" xr:uid="{00000000-0005-0000-0000-000042A60000}"/>
    <cellStyle name="Style 28 2 2 3 2 3 2" xfId="42558" xr:uid="{00000000-0005-0000-0000-000043A60000}"/>
    <cellStyle name="Style 28 2 2 3 2 3 3" xfId="42559" xr:uid="{00000000-0005-0000-0000-000044A60000}"/>
    <cellStyle name="Style 28 2 2 3 2 4" xfId="42560" xr:uid="{00000000-0005-0000-0000-000045A60000}"/>
    <cellStyle name="Style 28 2 2 3 2 5" xfId="42561" xr:uid="{00000000-0005-0000-0000-000046A60000}"/>
    <cellStyle name="Style 28 2 2 3 2 6" xfId="42562" xr:uid="{00000000-0005-0000-0000-000047A60000}"/>
    <cellStyle name="Style 28 2 2 3 3" xfId="42563" xr:uid="{00000000-0005-0000-0000-000048A60000}"/>
    <cellStyle name="Style 28 2 2 3 3 2" xfId="42564" xr:uid="{00000000-0005-0000-0000-000049A60000}"/>
    <cellStyle name="Style 28 2 2 3 3 3" xfId="42565" xr:uid="{00000000-0005-0000-0000-00004AA60000}"/>
    <cellStyle name="Style 28 2 2 3 4" xfId="42566" xr:uid="{00000000-0005-0000-0000-00004BA60000}"/>
    <cellStyle name="Style 28 2 2 3 4 2" xfId="42567" xr:uid="{00000000-0005-0000-0000-00004CA60000}"/>
    <cellStyle name="Style 28 2 2 3 4 3" xfId="42568" xr:uid="{00000000-0005-0000-0000-00004DA60000}"/>
    <cellStyle name="Style 28 2 2 3 5" xfId="42569" xr:uid="{00000000-0005-0000-0000-00004EA60000}"/>
    <cellStyle name="Style 28 2 2 3 5 2" xfId="42570" xr:uid="{00000000-0005-0000-0000-00004FA60000}"/>
    <cellStyle name="Style 28 2 2 3 5 3" xfId="42571" xr:uid="{00000000-0005-0000-0000-000050A60000}"/>
    <cellStyle name="Style 28 2 2 3 6" xfId="42572" xr:uid="{00000000-0005-0000-0000-000051A60000}"/>
    <cellStyle name="Style 28 2 2 3 7" xfId="42573" xr:uid="{00000000-0005-0000-0000-000052A60000}"/>
    <cellStyle name="Style 28 2 2 3 8" xfId="42574" xr:uid="{00000000-0005-0000-0000-000053A60000}"/>
    <cellStyle name="Style 28 2 2 4" xfId="42575" xr:uid="{00000000-0005-0000-0000-000054A60000}"/>
    <cellStyle name="Style 28 2 2 4 2" xfId="42576" xr:uid="{00000000-0005-0000-0000-000055A60000}"/>
    <cellStyle name="Style 28 2 2 4 2 2" xfId="42577" xr:uid="{00000000-0005-0000-0000-000056A60000}"/>
    <cellStyle name="Style 28 2 2 4 2 3" xfId="42578" xr:uid="{00000000-0005-0000-0000-000057A60000}"/>
    <cellStyle name="Style 28 2 2 4 3" xfId="42579" xr:uid="{00000000-0005-0000-0000-000058A60000}"/>
    <cellStyle name="Style 28 2 2 4 3 2" xfId="42580" xr:uid="{00000000-0005-0000-0000-000059A60000}"/>
    <cellStyle name="Style 28 2 2 4 3 3" xfId="42581" xr:uid="{00000000-0005-0000-0000-00005AA60000}"/>
    <cellStyle name="Style 28 2 2 4 4" xfId="42582" xr:uid="{00000000-0005-0000-0000-00005BA60000}"/>
    <cellStyle name="Style 28 2 2 4 5" xfId="42583" xr:uid="{00000000-0005-0000-0000-00005CA60000}"/>
    <cellStyle name="Style 28 2 2 4 6" xfId="42584" xr:uid="{00000000-0005-0000-0000-00005DA60000}"/>
    <cellStyle name="Style 28 2 2 5" xfId="42585" xr:uid="{00000000-0005-0000-0000-00005EA60000}"/>
    <cellStyle name="Style 28 2 2 5 2" xfId="42586" xr:uid="{00000000-0005-0000-0000-00005FA60000}"/>
    <cellStyle name="Style 28 2 2 5 3" xfId="42587" xr:uid="{00000000-0005-0000-0000-000060A60000}"/>
    <cellStyle name="Style 28 2 2 6" xfId="42588" xr:uid="{00000000-0005-0000-0000-000061A60000}"/>
    <cellStyle name="Style 28 2 2 6 2" xfId="42589" xr:uid="{00000000-0005-0000-0000-000062A60000}"/>
    <cellStyle name="Style 28 2 2 6 3" xfId="42590" xr:uid="{00000000-0005-0000-0000-000063A60000}"/>
    <cellStyle name="Style 28 2 2 7" xfId="42591" xr:uid="{00000000-0005-0000-0000-000064A60000}"/>
    <cellStyle name="Style 28 2 2 7 2" xfId="42592" xr:uid="{00000000-0005-0000-0000-000065A60000}"/>
    <cellStyle name="Style 28 2 2 7 3" xfId="42593" xr:uid="{00000000-0005-0000-0000-000066A60000}"/>
    <cellStyle name="Style 28 2 2 8" xfId="42594" xr:uid="{00000000-0005-0000-0000-000067A60000}"/>
    <cellStyle name="Style 28 2 2 9" xfId="42595" xr:uid="{00000000-0005-0000-0000-000068A60000}"/>
    <cellStyle name="Style 28 2 3" xfId="42596" xr:uid="{00000000-0005-0000-0000-000069A60000}"/>
    <cellStyle name="Style 28 2 3 2" xfId="42597" xr:uid="{00000000-0005-0000-0000-00006AA60000}"/>
    <cellStyle name="Style 28 2 3 2 2" xfId="42598" xr:uid="{00000000-0005-0000-0000-00006BA60000}"/>
    <cellStyle name="Style 28 2 3 2 2 2" xfId="42599" xr:uid="{00000000-0005-0000-0000-00006CA60000}"/>
    <cellStyle name="Style 28 2 3 2 2 3" xfId="42600" xr:uid="{00000000-0005-0000-0000-00006DA60000}"/>
    <cellStyle name="Style 28 2 3 2 3" xfId="42601" xr:uid="{00000000-0005-0000-0000-00006EA60000}"/>
    <cellStyle name="Style 28 2 3 2 3 2" xfId="42602" xr:uid="{00000000-0005-0000-0000-00006FA60000}"/>
    <cellStyle name="Style 28 2 3 2 3 3" xfId="42603" xr:uid="{00000000-0005-0000-0000-000070A60000}"/>
    <cellStyle name="Style 28 2 3 2 4" xfId="42604" xr:uid="{00000000-0005-0000-0000-000071A60000}"/>
    <cellStyle name="Style 28 2 3 2 5" xfId="42605" xr:uid="{00000000-0005-0000-0000-000072A60000}"/>
    <cellStyle name="Style 28 2 3 2 6" xfId="42606" xr:uid="{00000000-0005-0000-0000-000073A60000}"/>
    <cellStyle name="Style 28 2 3 3" xfId="42607" xr:uid="{00000000-0005-0000-0000-000074A60000}"/>
    <cellStyle name="Style 28 2 3 3 2" xfId="42608" xr:uid="{00000000-0005-0000-0000-000075A60000}"/>
    <cellStyle name="Style 28 2 3 3 3" xfId="42609" xr:uid="{00000000-0005-0000-0000-000076A60000}"/>
    <cellStyle name="Style 28 2 3 4" xfId="42610" xr:uid="{00000000-0005-0000-0000-000077A60000}"/>
    <cellStyle name="Style 28 2 3 4 2" xfId="42611" xr:uid="{00000000-0005-0000-0000-000078A60000}"/>
    <cellStyle name="Style 28 2 3 4 3" xfId="42612" xr:uid="{00000000-0005-0000-0000-000079A60000}"/>
    <cellStyle name="Style 28 2 3 5" xfId="42613" xr:uid="{00000000-0005-0000-0000-00007AA60000}"/>
    <cellStyle name="Style 28 2 3 5 2" xfId="42614" xr:uid="{00000000-0005-0000-0000-00007BA60000}"/>
    <cellStyle name="Style 28 2 3 5 3" xfId="42615" xr:uid="{00000000-0005-0000-0000-00007CA60000}"/>
    <cellStyle name="Style 28 2 3 6" xfId="42616" xr:uid="{00000000-0005-0000-0000-00007DA60000}"/>
    <cellStyle name="Style 28 2 3 7" xfId="42617" xr:uid="{00000000-0005-0000-0000-00007EA60000}"/>
    <cellStyle name="Style 28 2 3 8" xfId="42618" xr:uid="{00000000-0005-0000-0000-00007FA60000}"/>
    <cellStyle name="Style 28 2 4" xfId="42619" xr:uid="{00000000-0005-0000-0000-000080A60000}"/>
    <cellStyle name="Style 28 2 4 2" xfId="42620" xr:uid="{00000000-0005-0000-0000-000081A60000}"/>
    <cellStyle name="Style 28 2 4 2 2" xfId="42621" xr:uid="{00000000-0005-0000-0000-000082A60000}"/>
    <cellStyle name="Style 28 2 4 2 2 2" xfId="42622" xr:uid="{00000000-0005-0000-0000-000083A60000}"/>
    <cellStyle name="Style 28 2 4 2 2 3" xfId="42623" xr:uid="{00000000-0005-0000-0000-000084A60000}"/>
    <cellStyle name="Style 28 2 4 2 3" xfId="42624" xr:uid="{00000000-0005-0000-0000-000085A60000}"/>
    <cellStyle name="Style 28 2 4 2 3 2" xfId="42625" xr:uid="{00000000-0005-0000-0000-000086A60000}"/>
    <cellStyle name="Style 28 2 4 2 3 3" xfId="42626" xr:uid="{00000000-0005-0000-0000-000087A60000}"/>
    <cellStyle name="Style 28 2 4 2 4" xfId="42627" xr:uid="{00000000-0005-0000-0000-000088A60000}"/>
    <cellStyle name="Style 28 2 4 2 5" xfId="42628" xr:uid="{00000000-0005-0000-0000-000089A60000}"/>
    <cellStyle name="Style 28 2 4 2 6" xfId="42629" xr:uid="{00000000-0005-0000-0000-00008AA60000}"/>
    <cellStyle name="Style 28 2 4 3" xfId="42630" xr:uid="{00000000-0005-0000-0000-00008BA60000}"/>
    <cellStyle name="Style 28 2 4 3 2" xfId="42631" xr:uid="{00000000-0005-0000-0000-00008CA60000}"/>
    <cellStyle name="Style 28 2 4 3 3" xfId="42632" xr:uid="{00000000-0005-0000-0000-00008DA60000}"/>
    <cellStyle name="Style 28 2 4 4" xfId="42633" xr:uid="{00000000-0005-0000-0000-00008EA60000}"/>
    <cellStyle name="Style 28 2 4 4 2" xfId="42634" xr:uid="{00000000-0005-0000-0000-00008FA60000}"/>
    <cellStyle name="Style 28 2 4 4 3" xfId="42635" xr:uid="{00000000-0005-0000-0000-000090A60000}"/>
    <cellStyle name="Style 28 2 4 5" xfId="42636" xr:uid="{00000000-0005-0000-0000-000091A60000}"/>
    <cellStyle name="Style 28 2 4 5 2" xfId="42637" xr:uid="{00000000-0005-0000-0000-000092A60000}"/>
    <cellStyle name="Style 28 2 4 5 3" xfId="42638" xr:uid="{00000000-0005-0000-0000-000093A60000}"/>
    <cellStyle name="Style 28 2 4 6" xfId="42639" xr:uid="{00000000-0005-0000-0000-000094A60000}"/>
    <cellStyle name="Style 28 2 4 7" xfId="42640" xr:uid="{00000000-0005-0000-0000-000095A60000}"/>
    <cellStyle name="Style 28 2 4 8" xfId="42641" xr:uid="{00000000-0005-0000-0000-000096A60000}"/>
    <cellStyle name="Style 28 2 5" xfId="42642" xr:uid="{00000000-0005-0000-0000-000097A60000}"/>
    <cellStyle name="Style 28 2 5 2" xfId="42643" xr:uid="{00000000-0005-0000-0000-000098A60000}"/>
    <cellStyle name="Style 28 2 5 2 2" xfId="42644" xr:uid="{00000000-0005-0000-0000-000099A60000}"/>
    <cellStyle name="Style 28 2 5 2 2 2" xfId="42645" xr:uid="{00000000-0005-0000-0000-00009AA60000}"/>
    <cellStyle name="Style 28 2 5 2 2 3" xfId="42646" xr:uid="{00000000-0005-0000-0000-00009BA60000}"/>
    <cellStyle name="Style 28 2 5 2 3" xfId="42647" xr:uid="{00000000-0005-0000-0000-00009CA60000}"/>
    <cellStyle name="Style 28 2 5 2 3 2" xfId="42648" xr:uid="{00000000-0005-0000-0000-00009DA60000}"/>
    <cellStyle name="Style 28 2 5 2 3 3" xfId="42649" xr:uid="{00000000-0005-0000-0000-00009EA60000}"/>
    <cellStyle name="Style 28 2 5 2 4" xfId="42650" xr:uid="{00000000-0005-0000-0000-00009FA60000}"/>
    <cellStyle name="Style 28 2 5 2 5" xfId="42651" xr:uid="{00000000-0005-0000-0000-0000A0A60000}"/>
    <cellStyle name="Style 28 2 5 2 6" xfId="42652" xr:uid="{00000000-0005-0000-0000-0000A1A60000}"/>
    <cellStyle name="Style 28 2 5 3" xfId="42653" xr:uid="{00000000-0005-0000-0000-0000A2A60000}"/>
    <cellStyle name="Style 28 2 5 3 2" xfId="42654" xr:uid="{00000000-0005-0000-0000-0000A3A60000}"/>
    <cellStyle name="Style 28 2 5 3 3" xfId="42655" xr:uid="{00000000-0005-0000-0000-0000A4A60000}"/>
    <cellStyle name="Style 28 2 5 4" xfId="42656" xr:uid="{00000000-0005-0000-0000-0000A5A60000}"/>
    <cellStyle name="Style 28 2 5 4 2" xfId="42657" xr:uid="{00000000-0005-0000-0000-0000A6A60000}"/>
    <cellStyle name="Style 28 2 5 4 3" xfId="42658" xr:uid="{00000000-0005-0000-0000-0000A7A60000}"/>
    <cellStyle name="Style 28 2 5 5" xfId="42659" xr:uid="{00000000-0005-0000-0000-0000A8A60000}"/>
    <cellStyle name="Style 28 2 5 5 2" xfId="42660" xr:uid="{00000000-0005-0000-0000-0000A9A60000}"/>
    <cellStyle name="Style 28 2 5 5 3" xfId="42661" xr:uid="{00000000-0005-0000-0000-0000AAA60000}"/>
    <cellStyle name="Style 28 2 5 6" xfId="42662" xr:uid="{00000000-0005-0000-0000-0000ABA60000}"/>
    <cellStyle name="Style 28 2 5 7" xfId="42663" xr:uid="{00000000-0005-0000-0000-0000ACA60000}"/>
    <cellStyle name="Style 28 2 5 8" xfId="42664" xr:uid="{00000000-0005-0000-0000-0000ADA60000}"/>
    <cellStyle name="Style 28 2 6" xfId="42665" xr:uid="{00000000-0005-0000-0000-0000AEA60000}"/>
    <cellStyle name="Style 28 2 6 2" xfId="42666" xr:uid="{00000000-0005-0000-0000-0000AFA60000}"/>
    <cellStyle name="Style 28 2 6 2 2" xfId="42667" xr:uid="{00000000-0005-0000-0000-0000B0A60000}"/>
    <cellStyle name="Style 28 2 6 2 3" xfId="42668" xr:uid="{00000000-0005-0000-0000-0000B1A60000}"/>
    <cellStyle name="Style 28 2 6 3" xfId="42669" xr:uid="{00000000-0005-0000-0000-0000B2A60000}"/>
    <cellStyle name="Style 28 2 6 3 2" xfId="42670" xr:uid="{00000000-0005-0000-0000-0000B3A60000}"/>
    <cellStyle name="Style 28 2 6 3 3" xfId="42671" xr:uid="{00000000-0005-0000-0000-0000B4A60000}"/>
    <cellStyle name="Style 28 2 6 4" xfId="42672" xr:uid="{00000000-0005-0000-0000-0000B5A60000}"/>
    <cellStyle name="Style 28 2 6 5" xfId="42673" xr:uid="{00000000-0005-0000-0000-0000B6A60000}"/>
    <cellStyle name="Style 28 2 6 6" xfId="42674" xr:uid="{00000000-0005-0000-0000-0000B7A60000}"/>
    <cellStyle name="Style 28 2 7" xfId="42675" xr:uid="{00000000-0005-0000-0000-0000B8A60000}"/>
    <cellStyle name="Style 28 2 7 2" xfId="42676" xr:uid="{00000000-0005-0000-0000-0000B9A60000}"/>
    <cellStyle name="Style 28 2 7 3" xfId="42677" xr:uid="{00000000-0005-0000-0000-0000BAA60000}"/>
    <cellStyle name="Style 28 2 8" xfId="42678" xr:uid="{00000000-0005-0000-0000-0000BBA60000}"/>
    <cellStyle name="Style 28 2 8 2" xfId="42679" xr:uid="{00000000-0005-0000-0000-0000BCA60000}"/>
    <cellStyle name="Style 28 2 8 3" xfId="42680" xr:uid="{00000000-0005-0000-0000-0000BDA60000}"/>
    <cellStyle name="Style 28 2 9" xfId="42681" xr:uid="{00000000-0005-0000-0000-0000BEA60000}"/>
    <cellStyle name="Style 28 2 9 2" xfId="42682" xr:uid="{00000000-0005-0000-0000-0000BFA60000}"/>
    <cellStyle name="Style 28 2 9 3" xfId="42683" xr:uid="{00000000-0005-0000-0000-0000C0A60000}"/>
    <cellStyle name="Style 28 20" xfId="42684" xr:uid="{00000000-0005-0000-0000-0000C1A60000}"/>
    <cellStyle name="Style 28 21" xfId="42685" xr:uid="{00000000-0005-0000-0000-0000C2A60000}"/>
    <cellStyle name="Style 28 22" xfId="42686" xr:uid="{00000000-0005-0000-0000-0000C3A60000}"/>
    <cellStyle name="Style 28 3" xfId="42687" xr:uid="{00000000-0005-0000-0000-0000C4A60000}"/>
    <cellStyle name="Style 28 3 10" xfId="42688" xr:uid="{00000000-0005-0000-0000-0000C5A60000}"/>
    <cellStyle name="Style 28 3 11" xfId="42689" xr:uid="{00000000-0005-0000-0000-0000C6A60000}"/>
    <cellStyle name="Style 28 3 12" xfId="42690" xr:uid="{00000000-0005-0000-0000-0000C7A60000}"/>
    <cellStyle name="Style 28 3 2" xfId="42691" xr:uid="{00000000-0005-0000-0000-0000C8A60000}"/>
    <cellStyle name="Style 28 3 2 10" xfId="42692" xr:uid="{00000000-0005-0000-0000-0000C9A60000}"/>
    <cellStyle name="Style 28 3 2 2" xfId="42693" xr:uid="{00000000-0005-0000-0000-0000CAA60000}"/>
    <cellStyle name="Style 28 3 2 2 2" xfId="42694" xr:uid="{00000000-0005-0000-0000-0000CBA60000}"/>
    <cellStyle name="Style 28 3 2 2 2 2" xfId="42695" xr:uid="{00000000-0005-0000-0000-0000CCA60000}"/>
    <cellStyle name="Style 28 3 2 2 2 2 2" xfId="42696" xr:uid="{00000000-0005-0000-0000-0000CDA60000}"/>
    <cellStyle name="Style 28 3 2 2 2 2 3" xfId="42697" xr:uid="{00000000-0005-0000-0000-0000CEA60000}"/>
    <cellStyle name="Style 28 3 2 2 2 3" xfId="42698" xr:uid="{00000000-0005-0000-0000-0000CFA60000}"/>
    <cellStyle name="Style 28 3 2 2 2 3 2" xfId="42699" xr:uid="{00000000-0005-0000-0000-0000D0A60000}"/>
    <cellStyle name="Style 28 3 2 2 2 3 3" xfId="42700" xr:uid="{00000000-0005-0000-0000-0000D1A60000}"/>
    <cellStyle name="Style 28 3 2 2 2 4" xfId="42701" xr:uid="{00000000-0005-0000-0000-0000D2A60000}"/>
    <cellStyle name="Style 28 3 2 2 2 5" xfId="42702" xr:uid="{00000000-0005-0000-0000-0000D3A60000}"/>
    <cellStyle name="Style 28 3 2 2 2 6" xfId="42703" xr:uid="{00000000-0005-0000-0000-0000D4A60000}"/>
    <cellStyle name="Style 28 3 2 2 3" xfId="42704" xr:uid="{00000000-0005-0000-0000-0000D5A60000}"/>
    <cellStyle name="Style 28 3 2 2 3 2" xfId="42705" xr:uid="{00000000-0005-0000-0000-0000D6A60000}"/>
    <cellStyle name="Style 28 3 2 2 3 3" xfId="42706" xr:uid="{00000000-0005-0000-0000-0000D7A60000}"/>
    <cellStyle name="Style 28 3 2 2 4" xfId="42707" xr:uid="{00000000-0005-0000-0000-0000D8A60000}"/>
    <cellStyle name="Style 28 3 2 2 4 2" xfId="42708" xr:uid="{00000000-0005-0000-0000-0000D9A60000}"/>
    <cellStyle name="Style 28 3 2 2 4 3" xfId="42709" xr:uid="{00000000-0005-0000-0000-0000DAA60000}"/>
    <cellStyle name="Style 28 3 2 2 5" xfId="42710" xr:uid="{00000000-0005-0000-0000-0000DBA60000}"/>
    <cellStyle name="Style 28 3 2 2 5 2" xfId="42711" xr:uid="{00000000-0005-0000-0000-0000DCA60000}"/>
    <cellStyle name="Style 28 3 2 2 5 3" xfId="42712" xr:uid="{00000000-0005-0000-0000-0000DDA60000}"/>
    <cellStyle name="Style 28 3 2 2 6" xfId="42713" xr:uid="{00000000-0005-0000-0000-0000DEA60000}"/>
    <cellStyle name="Style 28 3 2 2 7" xfId="42714" xr:uid="{00000000-0005-0000-0000-0000DFA60000}"/>
    <cellStyle name="Style 28 3 2 2 8" xfId="42715" xr:uid="{00000000-0005-0000-0000-0000E0A60000}"/>
    <cellStyle name="Style 28 3 2 3" xfId="42716" xr:uid="{00000000-0005-0000-0000-0000E1A60000}"/>
    <cellStyle name="Style 28 3 2 3 2" xfId="42717" xr:uid="{00000000-0005-0000-0000-0000E2A60000}"/>
    <cellStyle name="Style 28 3 2 3 2 2" xfId="42718" xr:uid="{00000000-0005-0000-0000-0000E3A60000}"/>
    <cellStyle name="Style 28 3 2 3 2 2 2" xfId="42719" xr:uid="{00000000-0005-0000-0000-0000E4A60000}"/>
    <cellStyle name="Style 28 3 2 3 2 2 3" xfId="42720" xr:uid="{00000000-0005-0000-0000-0000E5A60000}"/>
    <cellStyle name="Style 28 3 2 3 2 3" xfId="42721" xr:uid="{00000000-0005-0000-0000-0000E6A60000}"/>
    <cellStyle name="Style 28 3 2 3 2 3 2" xfId="42722" xr:uid="{00000000-0005-0000-0000-0000E7A60000}"/>
    <cellStyle name="Style 28 3 2 3 2 3 3" xfId="42723" xr:uid="{00000000-0005-0000-0000-0000E8A60000}"/>
    <cellStyle name="Style 28 3 2 3 2 4" xfId="42724" xr:uid="{00000000-0005-0000-0000-0000E9A60000}"/>
    <cellStyle name="Style 28 3 2 3 2 5" xfId="42725" xr:uid="{00000000-0005-0000-0000-0000EAA60000}"/>
    <cellStyle name="Style 28 3 2 3 2 6" xfId="42726" xr:uid="{00000000-0005-0000-0000-0000EBA60000}"/>
    <cellStyle name="Style 28 3 2 3 3" xfId="42727" xr:uid="{00000000-0005-0000-0000-0000ECA60000}"/>
    <cellStyle name="Style 28 3 2 3 3 2" xfId="42728" xr:uid="{00000000-0005-0000-0000-0000EDA60000}"/>
    <cellStyle name="Style 28 3 2 3 3 3" xfId="42729" xr:uid="{00000000-0005-0000-0000-0000EEA60000}"/>
    <cellStyle name="Style 28 3 2 3 4" xfId="42730" xr:uid="{00000000-0005-0000-0000-0000EFA60000}"/>
    <cellStyle name="Style 28 3 2 3 4 2" xfId="42731" xr:uid="{00000000-0005-0000-0000-0000F0A60000}"/>
    <cellStyle name="Style 28 3 2 3 4 3" xfId="42732" xr:uid="{00000000-0005-0000-0000-0000F1A60000}"/>
    <cellStyle name="Style 28 3 2 3 5" xfId="42733" xr:uid="{00000000-0005-0000-0000-0000F2A60000}"/>
    <cellStyle name="Style 28 3 2 3 5 2" xfId="42734" xr:uid="{00000000-0005-0000-0000-0000F3A60000}"/>
    <cellStyle name="Style 28 3 2 3 5 3" xfId="42735" xr:uid="{00000000-0005-0000-0000-0000F4A60000}"/>
    <cellStyle name="Style 28 3 2 3 6" xfId="42736" xr:uid="{00000000-0005-0000-0000-0000F5A60000}"/>
    <cellStyle name="Style 28 3 2 3 7" xfId="42737" xr:uid="{00000000-0005-0000-0000-0000F6A60000}"/>
    <cellStyle name="Style 28 3 2 3 8" xfId="42738" xr:uid="{00000000-0005-0000-0000-0000F7A60000}"/>
    <cellStyle name="Style 28 3 2 4" xfId="42739" xr:uid="{00000000-0005-0000-0000-0000F8A60000}"/>
    <cellStyle name="Style 28 3 2 4 2" xfId="42740" xr:uid="{00000000-0005-0000-0000-0000F9A60000}"/>
    <cellStyle name="Style 28 3 2 4 2 2" xfId="42741" xr:uid="{00000000-0005-0000-0000-0000FAA60000}"/>
    <cellStyle name="Style 28 3 2 4 2 3" xfId="42742" xr:uid="{00000000-0005-0000-0000-0000FBA60000}"/>
    <cellStyle name="Style 28 3 2 4 3" xfId="42743" xr:uid="{00000000-0005-0000-0000-0000FCA60000}"/>
    <cellStyle name="Style 28 3 2 4 3 2" xfId="42744" xr:uid="{00000000-0005-0000-0000-0000FDA60000}"/>
    <cellStyle name="Style 28 3 2 4 3 3" xfId="42745" xr:uid="{00000000-0005-0000-0000-0000FEA60000}"/>
    <cellStyle name="Style 28 3 2 4 4" xfId="42746" xr:uid="{00000000-0005-0000-0000-0000FFA60000}"/>
    <cellStyle name="Style 28 3 2 4 5" xfId="42747" xr:uid="{00000000-0005-0000-0000-000000A70000}"/>
    <cellStyle name="Style 28 3 2 4 6" xfId="42748" xr:uid="{00000000-0005-0000-0000-000001A70000}"/>
    <cellStyle name="Style 28 3 2 5" xfId="42749" xr:uid="{00000000-0005-0000-0000-000002A70000}"/>
    <cellStyle name="Style 28 3 2 5 2" xfId="42750" xr:uid="{00000000-0005-0000-0000-000003A70000}"/>
    <cellStyle name="Style 28 3 2 5 3" xfId="42751" xr:uid="{00000000-0005-0000-0000-000004A70000}"/>
    <cellStyle name="Style 28 3 2 6" xfId="42752" xr:uid="{00000000-0005-0000-0000-000005A70000}"/>
    <cellStyle name="Style 28 3 2 6 2" xfId="42753" xr:uid="{00000000-0005-0000-0000-000006A70000}"/>
    <cellStyle name="Style 28 3 2 6 3" xfId="42754" xr:uid="{00000000-0005-0000-0000-000007A70000}"/>
    <cellStyle name="Style 28 3 2 7" xfId="42755" xr:uid="{00000000-0005-0000-0000-000008A70000}"/>
    <cellStyle name="Style 28 3 2 7 2" xfId="42756" xr:uid="{00000000-0005-0000-0000-000009A70000}"/>
    <cellStyle name="Style 28 3 2 7 3" xfId="42757" xr:uid="{00000000-0005-0000-0000-00000AA70000}"/>
    <cellStyle name="Style 28 3 2 8" xfId="42758" xr:uid="{00000000-0005-0000-0000-00000BA70000}"/>
    <cellStyle name="Style 28 3 2 9" xfId="42759" xr:uid="{00000000-0005-0000-0000-00000CA70000}"/>
    <cellStyle name="Style 28 3 3" xfId="42760" xr:uid="{00000000-0005-0000-0000-00000DA70000}"/>
    <cellStyle name="Style 28 3 3 2" xfId="42761" xr:uid="{00000000-0005-0000-0000-00000EA70000}"/>
    <cellStyle name="Style 28 3 3 2 2" xfId="42762" xr:uid="{00000000-0005-0000-0000-00000FA70000}"/>
    <cellStyle name="Style 28 3 3 2 2 2" xfId="42763" xr:uid="{00000000-0005-0000-0000-000010A70000}"/>
    <cellStyle name="Style 28 3 3 2 2 3" xfId="42764" xr:uid="{00000000-0005-0000-0000-000011A70000}"/>
    <cellStyle name="Style 28 3 3 2 3" xfId="42765" xr:uid="{00000000-0005-0000-0000-000012A70000}"/>
    <cellStyle name="Style 28 3 3 2 3 2" xfId="42766" xr:uid="{00000000-0005-0000-0000-000013A70000}"/>
    <cellStyle name="Style 28 3 3 2 3 3" xfId="42767" xr:uid="{00000000-0005-0000-0000-000014A70000}"/>
    <cellStyle name="Style 28 3 3 2 4" xfId="42768" xr:uid="{00000000-0005-0000-0000-000015A70000}"/>
    <cellStyle name="Style 28 3 3 2 5" xfId="42769" xr:uid="{00000000-0005-0000-0000-000016A70000}"/>
    <cellStyle name="Style 28 3 3 2 6" xfId="42770" xr:uid="{00000000-0005-0000-0000-000017A70000}"/>
    <cellStyle name="Style 28 3 3 3" xfId="42771" xr:uid="{00000000-0005-0000-0000-000018A70000}"/>
    <cellStyle name="Style 28 3 3 3 2" xfId="42772" xr:uid="{00000000-0005-0000-0000-000019A70000}"/>
    <cellStyle name="Style 28 3 3 3 3" xfId="42773" xr:uid="{00000000-0005-0000-0000-00001AA70000}"/>
    <cellStyle name="Style 28 3 3 4" xfId="42774" xr:uid="{00000000-0005-0000-0000-00001BA70000}"/>
    <cellStyle name="Style 28 3 3 4 2" xfId="42775" xr:uid="{00000000-0005-0000-0000-00001CA70000}"/>
    <cellStyle name="Style 28 3 3 4 3" xfId="42776" xr:uid="{00000000-0005-0000-0000-00001DA70000}"/>
    <cellStyle name="Style 28 3 3 5" xfId="42777" xr:uid="{00000000-0005-0000-0000-00001EA70000}"/>
    <cellStyle name="Style 28 3 3 5 2" xfId="42778" xr:uid="{00000000-0005-0000-0000-00001FA70000}"/>
    <cellStyle name="Style 28 3 3 5 3" xfId="42779" xr:uid="{00000000-0005-0000-0000-000020A70000}"/>
    <cellStyle name="Style 28 3 3 6" xfId="42780" xr:uid="{00000000-0005-0000-0000-000021A70000}"/>
    <cellStyle name="Style 28 3 3 7" xfId="42781" xr:uid="{00000000-0005-0000-0000-000022A70000}"/>
    <cellStyle name="Style 28 3 3 8" xfId="42782" xr:uid="{00000000-0005-0000-0000-000023A70000}"/>
    <cellStyle name="Style 28 3 4" xfId="42783" xr:uid="{00000000-0005-0000-0000-000024A70000}"/>
    <cellStyle name="Style 28 3 4 2" xfId="42784" xr:uid="{00000000-0005-0000-0000-000025A70000}"/>
    <cellStyle name="Style 28 3 4 2 2" xfId="42785" xr:uid="{00000000-0005-0000-0000-000026A70000}"/>
    <cellStyle name="Style 28 3 4 2 2 2" xfId="42786" xr:uid="{00000000-0005-0000-0000-000027A70000}"/>
    <cellStyle name="Style 28 3 4 2 2 3" xfId="42787" xr:uid="{00000000-0005-0000-0000-000028A70000}"/>
    <cellStyle name="Style 28 3 4 2 3" xfId="42788" xr:uid="{00000000-0005-0000-0000-000029A70000}"/>
    <cellStyle name="Style 28 3 4 2 3 2" xfId="42789" xr:uid="{00000000-0005-0000-0000-00002AA70000}"/>
    <cellStyle name="Style 28 3 4 2 3 3" xfId="42790" xr:uid="{00000000-0005-0000-0000-00002BA70000}"/>
    <cellStyle name="Style 28 3 4 2 4" xfId="42791" xr:uid="{00000000-0005-0000-0000-00002CA70000}"/>
    <cellStyle name="Style 28 3 4 2 5" xfId="42792" xr:uid="{00000000-0005-0000-0000-00002DA70000}"/>
    <cellStyle name="Style 28 3 4 2 6" xfId="42793" xr:uid="{00000000-0005-0000-0000-00002EA70000}"/>
    <cellStyle name="Style 28 3 4 3" xfId="42794" xr:uid="{00000000-0005-0000-0000-00002FA70000}"/>
    <cellStyle name="Style 28 3 4 3 2" xfId="42795" xr:uid="{00000000-0005-0000-0000-000030A70000}"/>
    <cellStyle name="Style 28 3 4 3 3" xfId="42796" xr:uid="{00000000-0005-0000-0000-000031A70000}"/>
    <cellStyle name="Style 28 3 4 4" xfId="42797" xr:uid="{00000000-0005-0000-0000-000032A70000}"/>
    <cellStyle name="Style 28 3 4 4 2" xfId="42798" xr:uid="{00000000-0005-0000-0000-000033A70000}"/>
    <cellStyle name="Style 28 3 4 4 3" xfId="42799" xr:uid="{00000000-0005-0000-0000-000034A70000}"/>
    <cellStyle name="Style 28 3 4 5" xfId="42800" xr:uid="{00000000-0005-0000-0000-000035A70000}"/>
    <cellStyle name="Style 28 3 4 5 2" xfId="42801" xr:uid="{00000000-0005-0000-0000-000036A70000}"/>
    <cellStyle name="Style 28 3 4 5 3" xfId="42802" xr:uid="{00000000-0005-0000-0000-000037A70000}"/>
    <cellStyle name="Style 28 3 4 6" xfId="42803" xr:uid="{00000000-0005-0000-0000-000038A70000}"/>
    <cellStyle name="Style 28 3 4 7" xfId="42804" xr:uid="{00000000-0005-0000-0000-000039A70000}"/>
    <cellStyle name="Style 28 3 4 8" xfId="42805" xr:uid="{00000000-0005-0000-0000-00003AA70000}"/>
    <cellStyle name="Style 28 3 5" xfId="42806" xr:uid="{00000000-0005-0000-0000-00003BA70000}"/>
    <cellStyle name="Style 28 3 5 2" xfId="42807" xr:uid="{00000000-0005-0000-0000-00003CA70000}"/>
    <cellStyle name="Style 28 3 5 2 2" xfId="42808" xr:uid="{00000000-0005-0000-0000-00003DA70000}"/>
    <cellStyle name="Style 28 3 5 2 2 2" xfId="42809" xr:uid="{00000000-0005-0000-0000-00003EA70000}"/>
    <cellStyle name="Style 28 3 5 2 2 3" xfId="42810" xr:uid="{00000000-0005-0000-0000-00003FA70000}"/>
    <cellStyle name="Style 28 3 5 2 3" xfId="42811" xr:uid="{00000000-0005-0000-0000-000040A70000}"/>
    <cellStyle name="Style 28 3 5 2 3 2" xfId="42812" xr:uid="{00000000-0005-0000-0000-000041A70000}"/>
    <cellStyle name="Style 28 3 5 2 3 3" xfId="42813" xr:uid="{00000000-0005-0000-0000-000042A70000}"/>
    <cellStyle name="Style 28 3 5 2 4" xfId="42814" xr:uid="{00000000-0005-0000-0000-000043A70000}"/>
    <cellStyle name="Style 28 3 5 2 5" xfId="42815" xr:uid="{00000000-0005-0000-0000-000044A70000}"/>
    <cellStyle name="Style 28 3 5 2 6" xfId="42816" xr:uid="{00000000-0005-0000-0000-000045A70000}"/>
    <cellStyle name="Style 28 3 5 3" xfId="42817" xr:uid="{00000000-0005-0000-0000-000046A70000}"/>
    <cellStyle name="Style 28 3 5 3 2" xfId="42818" xr:uid="{00000000-0005-0000-0000-000047A70000}"/>
    <cellStyle name="Style 28 3 5 3 3" xfId="42819" xr:uid="{00000000-0005-0000-0000-000048A70000}"/>
    <cellStyle name="Style 28 3 5 4" xfId="42820" xr:uid="{00000000-0005-0000-0000-000049A70000}"/>
    <cellStyle name="Style 28 3 5 4 2" xfId="42821" xr:uid="{00000000-0005-0000-0000-00004AA70000}"/>
    <cellStyle name="Style 28 3 5 4 3" xfId="42822" xr:uid="{00000000-0005-0000-0000-00004BA70000}"/>
    <cellStyle name="Style 28 3 5 5" xfId="42823" xr:uid="{00000000-0005-0000-0000-00004CA70000}"/>
    <cellStyle name="Style 28 3 5 5 2" xfId="42824" xr:uid="{00000000-0005-0000-0000-00004DA70000}"/>
    <cellStyle name="Style 28 3 5 5 3" xfId="42825" xr:uid="{00000000-0005-0000-0000-00004EA70000}"/>
    <cellStyle name="Style 28 3 5 6" xfId="42826" xr:uid="{00000000-0005-0000-0000-00004FA70000}"/>
    <cellStyle name="Style 28 3 5 7" xfId="42827" xr:uid="{00000000-0005-0000-0000-000050A70000}"/>
    <cellStyle name="Style 28 3 5 8" xfId="42828" xr:uid="{00000000-0005-0000-0000-000051A70000}"/>
    <cellStyle name="Style 28 3 6" xfId="42829" xr:uid="{00000000-0005-0000-0000-000052A70000}"/>
    <cellStyle name="Style 28 3 6 2" xfId="42830" xr:uid="{00000000-0005-0000-0000-000053A70000}"/>
    <cellStyle name="Style 28 3 6 2 2" xfId="42831" xr:uid="{00000000-0005-0000-0000-000054A70000}"/>
    <cellStyle name="Style 28 3 6 2 3" xfId="42832" xr:uid="{00000000-0005-0000-0000-000055A70000}"/>
    <cellStyle name="Style 28 3 6 3" xfId="42833" xr:uid="{00000000-0005-0000-0000-000056A70000}"/>
    <cellStyle name="Style 28 3 6 3 2" xfId="42834" xr:uid="{00000000-0005-0000-0000-000057A70000}"/>
    <cellStyle name="Style 28 3 6 3 3" xfId="42835" xr:uid="{00000000-0005-0000-0000-000058A70000}"/>
    <cellStyle name="Style 28 3 6 4" xfId="42836" xr:uid="{00000000-0005-0000-0000-000059A70000}"/>
    <cellStyle name="Style 28 3 6 5" xfId="42837" xr:uid="{00000000-0005-0000-0000-00005AA70000}"/>
    <cellStyle name="Style 28 3 6 6" xfId="42838" xr:uid="{00000000-0005-0000-0000-00005BA70000}"/>
    <cellStyle name="Style 28 3 7" xfId="42839" xr:uid="{00000000-0005-0000-0000-00005CA70000}"/>
    <cellStyle name="Style 28 3 7 2" xfId="42840" xr:uid="{00000000-0005-0000-0000-00005DA70000}"/>
    <cellStyle name="Style 28 3 7 3" xfId="42841" xr:uid="{00000000-0005-0000-0000-00005EA70000}"/>
    <cellStyle name="Style 28 3 8" xfId="42842" xr:uid="{00000000-0005-0000-0000-00005FA70000}"/>
    <cellStyle name="Style 28 3 8 2" xfId="42843" xr:uid="{00000000-0005-0000-0000-000060A70000}"/>
    <cellStyle name="Style 28 3 8 3" xfId="42844" xr:uid="{00000000-0005-0000-0000-000061A70000}"/>
    <cellStyle name="Style 28 3 9" xfId="42845" xr:uid="{00000000-0005-0000-0000-000062A70000}"/>
    <cellStyle name="Style 28 3 9 2" xfId="42846" xr:uid="{00000000-0005-0000-0000-000063A70000}"/>
    <cellStyle name="Style 28 3 9 3" xfId="42847" xr:uid="{00000000-0005-0000-0000-000064A70000}"/>
    <cellStyle name="Style 28 4" xfId="42848" xr:uid="{00000000-0005-0000-0000-000065A70000}"/>
    <cellStyle name="Style 28 4 10" xfId="42849" xr:uid="{00000000-0005-0000-0000-000066A70000}"/>
    <cellStyle name="Style 28 4 11" xfId="42850" xr:uid="{00000000-0005-0000-0000-000067A70000}"/>
    <cellStyle name="Style 28 4 12" xfId="42851" xr:uid="{00000000-0005-0000-0000-000068A70000}"/>
    <cellStyle name="Style 28 4 2" xfId="42852" xr:uid="{00000000-0005-0000-0000-000069A70000}"/>
    <cellStyle name="Style 28 4 2 10" xfId="42853" xr:uid="{00000000-0005-0000-0000-00006AA70000}"/>
    <cellStyle name="Style 28 4 2 2" xfId="42854" xr:uid="{00000000-0005-0000-0000-00006BA70000}"/>
    <cellStyle name="Style 28 4 2 2 2" xfId="42855" xr:uid="{00000000-0005-0000-0000-00006CA70000}"/>
    <cellStyle name="Style 28 4 2 2 2 2" xfId="42856" xr:uid="{00000000-0005-0000-0000-00006DA70000}"/>
    <cellStyle name="Style 28 4 2 2 2 2 2" xfId="42857" xr:uid="{00000000-0005-0000-0000-00006EA70000}"/>
    <cellStyle name="Style 28 4 2 2 2 2 3" xfId="42858" xr:uid="{00000000-0005-0000-0000-00006FA70000}"/>
    <cellStyle name="Style 28 4 2 2 2 3" xfId="42859" xr:uid="{00000000-0005-0000-0000-000070A70000}"/>
    <cellStyle name="Style 28 4 2 2 2 3 2" xfId="42860" xr:uid="{00000000-0005-0000-0000-000071A70000}"/>
    <cellStyle name="Style 28 4 2 2 2 3 3" xfId="42861" xr:uid="{00000000-0005-0000-0000-000072A70000}"/>
    <cellStyle name="Style 28 4 2 2 2 4" xfId="42862" xr:uid="{00000000-0005-0000-0000-000073A70000}"/>
    <cellStyle name="Style 28 4 2 2 2 5" xfId="42863" xr:uid="{00000000-0005-0000-0000-000074A70000}"/>
    <cellStyle name="Style 28 4 2 2 2 6" xfId="42864" xr:uid="{00000000-0005-0000-0000-000075A70000}"/>
    <cellStyle name="Style 28 4 2 2 3" xfId="42865" xr:uid="{00000000-0005-0000-0000-000076A70000}"/>
    <cellStyle name="Style 28 4 2 2 3 2" xfId="42866" xr:uid="{00000000-0005-0000-0000-000077A70000}"/>
    <cellStyle name="Style 28 4 2 2 3 3" xfId="42867" xr:uid="{00000000-0005-0000-0000-000078A70000}"/>
    <cellStyle name="Style 28 4 2 2 4" xfId="42868" xr:uid="{00000000-0005-0000-0000-000079A70000}"/>
    <cellStyle name="Style 28 4 2 2 4 2" xfId="42869" xr:uid="{00000000-0005-0000-0000-00007AA70000}"/>
    <cellStyle name="Style 28 4 2 2 4 3" xfId="42870" xr:uid="{00000000-0005-0000-0000-00007BA70000}"/>
    <cellStyle name="Style 28 4 2 2 5" xfId="42871" xr:uid="{00000000-0005-0000-0000-00007CA70000}"/>
    <cellStyle name="Style 28 4 2 2 5 2" xfId="42872" xr:uid="{00000000-0005-0000-0000-00007DA70000}"/>
    <cellStyle name="Style 28 4 2 2 5 3" xfId="42873" xr:uid="{00000000-0005-0000-0000-00007EA70000}"/>
    <cellStyle name="Style 28 4 2 2 6" xfId="42874" xr:uid="{00000000-0005-0000-0000-00007FA70000}"/>
    <cellStyle name="Style 28 4 2 2 7" xfId="42875" xr:uid="{00000000-0005-0000-0000-000080A70000}"/>
    <cellStyle name="Style 28 4 2 2 8" xfId="42876" xr:uid="{00000000-0005-0000-0000-000081A70000}"/>
    <cellStyle name="Style 28 4 2 3" xfId="42877" xr:uid="{00000000-0005-0000-0000-000082A70000}"/>
    <cellStyle name="Style 28 4 2 3 2" xfId="42878" xr:uid="{00000000-0005-0000-0000-000083A70000}"/>
    <cellStyle name="Style 28 4 2 3 2 2" xfId="42879" xr:uid="{00000000-0005-0000-0000-000084A70000}"/>
    <cellStyle name="Style 28 4 2 3 2 2 2" xfId="42880" xr:uid="{00000000-0005-0000-0000-000085A70000}"/>
    <cellStyle name="Style 28 4 2 3 2 2 3" xfId="42881" xr:uid="{00000000-0005-0000-0000-000086A70000}"/>
    <cellStyle name="Style 28 4 2 3 2 3" xfId="42882" xr:uid="{00000000-0005-0000-0000-000087A70000}"/>
    <cellStyle name="Style 28 4 2 3 2 3 2" xfId="42883" xr:uid="{00000000-0005-0000-0000-000088A70000}"/>
    <cellStyle name="Style 28 4 2 3 2 3 3" xfId="42884" xr:uid="{00000000-0005-0000-0000-000089A70000}"/>
    <cellStyle name="Style 28 4 2 3 2 4" xfId="42885" xr:uid="{00000000-0005-0000-0000-00008AA70000}"/>
    <cellStyle name="Style 28 4 2 3 2 5" xfId="42886" xr:uid="{00000000-0005-0000-0000-00008BA70000}"/>
    <cellStyle name="Style 28 4 2 3 2 6" xfId="42887" xr:uid="{00000000-0005-0000-0000-00008CA70000}"/>
    <cellStyle name="Style 28 4 2 3 3" xfId="42888" xr:uid="{00000000-0005-0000-0000-00008DA70000}"/>
    <cellStyle name="Style 28 4 2 3 3 2" xfId="42889" xr:uid="{00000000-0005-0000-0000-00008EA70000}"/>
    <cellStyle name="Style 28 4 2 3 3 3" xfId="42890" xr:uid="{00000000-0005-0000-0000-00008FA70000}"/>
    <cellStyle name="Style 28 4 2 3 4" xfId="42891" xr:uid="{00000000-0005-0000-0000-000090A70000}"/>
    <cellStyle name="Style 28 4 2 3 4 2" xfId="42892" xr:uid="{00000000-0005-0000-0000-000091A70000}"/>
    <cellStyle name="Style 28 4 2 3 4 3" xfId="42893" xr:uid="{00000000-0005-0000-0000-000092A70000}"/>
    <cellStyle name="Style 28 4 2 3 5" xfId="42894" xr:uid="{00000000-0005-0000-0000-000093A70000}"/>
    <cellStyle name="Style 28 4 2 3 5 2" xfId="42895" xr:uid="{00000000-0005-0000-0000-000094A70000}"/>
    <cellStyle name="Style 28 4 2 3 5 3" xfId="42896" xr:uid="{00000000-0005-0000-0000-000095A70000}"/>
    <cellStyle name="Style 28 4 2 3 6" xfId="42897" xr:uid="{00000000-0005-0000-0000-000096A70000}"/>
    <cellStyle name="Style 28 4 2 3 7" xfId="42898" xr:uid="{00000000-0005-0000-0000-000097A70000}"/>
    <cellStyle name="Style 28 4 2 3 8" xfId="42899" xr:uid="{00000000-0005-0000-0000-000098A70000}"/>
    <cellStyle name="Style 28 4 2 4" xfId="42900" xr:uid="{00000000-0005-0000-0000-000099A70000}"/>
    <cellStyle name="Style 28 4 2 4 2" xfId="42901" xr:uid="{00000000-0005-0000-0000-00009AA70000}"/>
    <cellStyle name="Style 28 4 2 4 2 2" xfId="42902" xr:uid="{00000000-0005-0000-0000-00009BA70000}"/>
    <cellStyle name="Style 28 4 2 4 2 3" xfId="42903" xr:uid="{00000000-0005-0000-0000-00009CA70000}"/>
    <cellStyle name="Style 28 4 2 4 3" xfId="42904" xr:uid="{00000000-0005-0000-0000-00009DA70000}"/>
    <cellStyle name="Style 28 4 2 4 3 2" xfId="42905" xr:uid="{00000000-0005-0000-0000-00009EA70000}"/>
    <cellStyle name="Style 28 4 2 4 3 3" xfId="42906" xr:uid="{00000000-0005-0000-0000-00009FA70000}"/>
    <cellStyle name="Style 28 4 2 4 4" xfId="42907" xr:uid="{00000000-0005-0000-0000-0000A0A70000}"/>
    <cellStyle name="Style 28 4 2 4 5" xfId="42908" xr:uid="{00000000-0005-0000-0000-0000A1A70000}"/>
    <cellStyle name="Style 28 4 2 4 6" xfId="42909" xr:uid="{00000000-0005-0000-0000-0000A2A70000}"/>
    <cellStyle name="Style 28 4 2 5" xfId="42910" xr:uid="{00000000-0005-0000-0000-0000A3A70000}"/>
    <cellStyle name="Style 28 4 2 5 2" xfId="42911" xr:uid="{00000000-0005-0000-0000-0000A4A70000}"/>
    <cellStyle name="Style 28 4 2 5 3" xfId="42912" xr:uid="{00000000-0005-0000-0000-0000A5A70000}"/>
    <cellStyle name="Style 28 4 2 6" xfId="42913" xr:uid="{00000000-0005-0000-0000-0000A6A70000}"/>
    <cellStyle name="Style 28 4 2 6 2" xfId="42914" xr:uid="{00000000-0005-0000-0000-0000A7A70000}"/>
    <cellStyle name="Style 28 4 2 6 3" xfId="42915" xr:uid="{00000000-0005-0000-0000-0000A8A70000}"/>
    <cellStyle name="Style 28 4 2 7" xfId="42916" xr:uid="{00000000-0005-0000-0000-0000A9A70000}"/>
    <cellStyle name="Style 28 4 2 7 2" xfId="42917" xr:uid="{00000000-0005-0000-0000-0000AAA70000}"/>
    <cellStyle name="Style 28 4 2 7 3" xfId="42918" xr:uid="{00000000-0005-0000-0000-0000ABA70000}"/>
    <cellStyle name="Style 28 4 2 8" xfId="42919" xr:uid="{00000000-0005-0000-0000-0000ACA70000}"/>
    <cellStyle name="Style 28 4 2 9" xfId="42920" xr:uid="{00000000-0005-0000-0000-0000ADA70000}"/>
    <cellStyle name="Style 28 4 3" xfId="42921" xr:uid="{00000000-0005-0000-0000-0000AEA70000}"/>
    <cellStyle name="Style 28 4 3 2" xfId="42922" xr:uid="{00000000-0005-0000-0000-0000AFA70000}"/>
    <cellStyle name="Style 28 4 3 2 2" xfId="42923" xr:uid="{00000000-0005-0000-0000-0000B0A70000}"/>
    <cellStyle name="Style 28 4 3 2 2 2" xfId="42924" xr:uid="{00000000-0005-0000-0000-0000B1A70000}"/>
    <cellStyle name="Style 28 4 3 2 2 3" xfId="42925" xr:uid="{00000000-0005-0000-0000-0000B2A70000}"/>
    <cellStyle name="Style 28 4 3 2 3" xfId="42926" xr:uid="{00000000-0005-0000-0000-0000B3A70000}"/>
    <cellStyle name="Style 28 4 3 2 3 2" xfId="42927" xr:uid="{00000000-0005-0000-0000-0000B4A70000}"/>
    <cellStyle name="Style 28 4 3 2 3 3" xfId="42928" xr:uid="{00000000-0005-0000-0000-0000B5A70000}"/>
    <cellStyle name="Style 28 4 3 2 4" xfId="42929" xr:uid="{00000000-0005-0000-0000-0000B6A70000}"/>
    <cellStyle name="Style 28 4 3 2 5" xfId="42930" xr:uid="{00000000-0005-0000-0000-0000B7A70000}"/>
    <cellStyle name="Style 28 4 3 2 6" xfId="42931" xr:uid="{00000000-0005-0000-0000-0000B8A70000}"/>
    <cellStyle name="Style 28 4 3 3" xfId="42932" xr:uid="{00000000-0005-0000-0000-0000B9A70000}"/>
    <cellStyle name="Style 28 4 3 3 2" xfId="42933" xr:uid="{00000000-0005-0000-0000-0000BAA70000}"/>
    <cellStyle name="Style 28 4 3 3 3" xfId="42934" xr:uid="{00000000-0005-0000-0000-0000BBA70000}"/>
    <cellStyle name="Style 28 4 3 4" xfId="42935" xr:uid="{00000000-0005-0000-0000-0000BCA70000}"/>
    <cellStyle name="Style 28 4 3 4 2" xfId="42936" xr:uid="{00000000-0005-0000-0000-0000BDA70000}"/>
    <cellStyle name="Style 28 4 3 4 3" xfId="42937" xr:uid="{00000000-0005-0000-0000-0000BEA70000}"/>
    <cellStyle name="Style 28 4 3 5" xfId="42938" xr:uid="{00000000-0005-0000-0000-0000BFA70000}"/>
    <cellStyle name="Style 28 4 3 5 2" xfId="42939" xr:uid="{00000000-0005-0000-0000-0000C0A70000}"/>
    <cellStyle name="Style 28 4 3 5 3" xfId="42940" xr:uid="{00000000-0005-0000-0000-0000C1A70000}"/>
    <cellStyle name="Style 28 4 3 6" xfId="42941" xr:uid="{00000000-0005-0000-0000-0000C2A70000}"/>
    <cellStyle name="Style 28 4 3 7" xfId="42942" xr:uid="{00000000-0005-0000-0000-0000C3A70000}"/>
    <cellStyle name="Style 28 4 3 8" xfId="42943" xr:uid="{00000000-0005-0000-0000-0000C4A70000}"/>
    <cellStyle name="Style 28 4 4" xfId="42944" xr:uid="{00000000-0005-0000-0000-0000C5A70000}"/>
    <cellStyle name="Style 28 4 4 2" xfId="42945" xr:uid="{00000000-0005-0000-0000-0000C6A70000}"/>
    <cellStyle name="Style 28 4 4 2 2" xfId="42946" xr:uid="{00000000-0005-0000-0000-0000C7A70000}"/>
    <cellStyle name="Style 28 4 4 2 2 2" xfId="42947" xr:uid="{00000000-0005-0000-0000-0000C8A70000}"/>
    <cellStyle name="Style 28 4 4 2 2 3" xfId="42948" xr:uid="{00000000-0005-0000-0000-0000C9A70000}"/>
    <cellStyle name="Style 28 4 4 2 3" xfId="42949" xr:uid="{00000000-0005-0000-0000-0000CAA70000}"/>
    <cellStyle name="Style 28 4 4 2 3 2" xfId="42950" xr:uid="{00000000-0005-0000-0000-0000CBA70000}"/>
    <cellStyle name="Style 28 4 4 2 3 3" xfId="42951" xr:uid="{00000000-0005-0000-0000-0000CCA70000}"/>
    <cellStyle name="Style 28 4 4 2 4" xfId="42952" xr:uid="{00000000-0005-0000-0000-0000CDA70000}"/>
    <cellStyle name="Style 28 4 4 2 5" xfId="42953" xr:uid="{00000000-0005-0000-0000-0000CEA70000}"/>
    <cellStyle name="Style 28 4 4 2 6" xfId="42954" xr:uid="{00000000-0005-0000-0000-0000CFA70000}"/>
    <cellStyle name="Style 28 4 4 3" xfId="42955" xr:uid="{00000000-0005-0000-0000-0000D0A70000}"/>
    <cellStyle name="Style 28 4 4 3 2" xfId="42956" xr:uid="{00000000-0005-0000-0000-0000D1A70000}"/>
    <cellStyle name="Style 28 4 4 3 3" xfId="42957" xr:uid="{00000000-0005-0000-0000-0000D2A70000}"/>
    <cellStyle name="Style 28 4 4 4" xfId="42958" xr:uid="{00000000-0005-0000-0000-0000D3A70000}"/>
    <cellStyle name="Style 28 4 4 4 2" xfId="42959" xr:uid="{00000000-0005-0000-0000-0000D4A70000}"/>
    <cellStyle name="Style 28 4 4 4 3" xfId="42960" xr:uid="{00000000-0005-0000-0000-0000D5A70000}"/>
    <cellStyle name="Style 28 4 4 5" xfId="42961" xr:uid="{00000000-0005-0000-0000-0000D6A70000}"/>
    <cellStyle name="Style 28 4 4 5 2" xfId="42962" xr:uid="{00000000-0005-0000-0000-0000D7A70000}"/>
    <cellStyle name="Style 28 4 4 5 3" xfId="42963" xr:uid="{00000000-0005-0000-0000-0000D8A70000}"/>
    <cellStyle name="Style 28 4 4 6" xfId="42964" xr:uid="{00000000-0005-0000-0000-0000D9A70000}"/>
    <cellStyle name="Style 28 4 4 7" xfId="42965" xr:uid="{00000000-0005-0000-0000-0000DAA70000}"/>
    <cellStyle name="Style 28 4 4 8" xfId="42966" xr:uid="{00000000-0005-0000-0000-0000DBA70000}"/>
    <cellStyle name="Style 28 4 5" xfId="42967" xr:uid="{00000000-0005-0000-0000-0000DCA70000}"/>
    <cellStyle name="Style 28 4 5 2" xfId="42968" xr:uid="{00000000-0005-0000-0000-0000DDA70000}"/>
    <cellStyle name="Style 28 4 5 2 2" xfId="42969" xr:uid="{00000000-0005-0000-0000-0000DEA70000}"/>
    <cellStyle name="Style 28 4 5 2 2 2" xfId="42970" xr:uid="{00000000-0005-0000-0000-0000DFA70000}"/>
    <cellStyle name="Style 28 4 5 2 2 3" xfId="42971" xr:uid="{00000000-0005-0000-0000-0000E0A70000}"/>
    <cellStyle name="Style 28 4 5 2 3" xfId="42972" xr:uid="{00000000-0005-0000-0000-0000E1A70000}"/>
    <cellStyle name="Style 28 4 5 2 3 2" xfId="42973" xr:uid="{00000000-0005-0000-0000-0000E2A70000}"/>
    <cellStyle name="Style 28 4 5 2 3 3" xfId="42974" xr:uid="{00000000-0005-0000-0000-0000E3A70000}"/>
    <cellStyle name="Style 28 4 5 2 4" xfId="42975" xr:uid="{00000000-0005-0000-0000-0000E4A70000}"/>
    <cellStyle name="Style 28 4 5 2 5" xfId="42976" xr:uid="{00000000-0005-0000-0000-0000E5A70000}"/>
    <cellStyle name="Style 28 4 5 2 6" xfId="42977" xr:uid="{00000000-0005-0000-0000-0000E6A70000}"/>
    <cellStyle name="Style 28 4 5 3" xfId="42978" xr:uid="{00000000-0005-0000-0000-0000E7A70000}"/>
    <cellStyle name="Style 28 4 5 3 2" xfId="42979" xr:uid="{00000000-0005-0000-0000-0000E8A70000}"/>
    <cellStyle name="Style 28 4 5 3 3" xfId="42980" xr:uid="{00000000-0005-0000-0000-0000E9A70000}"/>
    <cellStyle name="Style 28 4 5 4" xfId="42981" xr:uid="{00000000-0005-0000-0000-0000EAA70000}"/>
    <cellStyle name="Style 28 4 5 4 2" xfId="42982" xr:uid="{00000000-0005-0000-0000-0000EBA70000}"/>
    <cellStyle name="Style 28 4 5 4 3" xfId="42983" xr:uid="{00000000-0005-0000-0000-0000ECA70000}"/>
    <cellStyle name="Style 28 4 5 5" xfId="42984" xr:uid="{00000000-0005-0000-0000-0000EDA70000}"/>
    <cellStyle name="Style 28 4 5 5 2" xfId="42985" xr:uid="{00000000-0005-0000-0000-0000EEA70000}"/>
    <cellStyle name="Style 28 4 5 5 3" xfId="42986" xr:uid="{00000000-0005-0000-0000-0000EFA70000}"/>
    <cellStyle name="Style 28 4 5 6" xfId="42987" xr:uid="{00000000-0005-0000-0000-0000F0A70000}"/>
    <cellStyle name="Style 28 4 5 7" xfId="42988" xr:uid="{00000000-0005-0000-0000-0000F1A70000}"/>
    <cellStyle name="Style 28 4 5 8" xfId="42989" xr:uid="{00000000-0005-0000-0000-0000F2A70000}"/>
    <cellStyle name="Style 28 4 6" xfId="42990" xr:uid="{00000000-0005-0000-0000-0000F3A70000}"/>
    <cellStyle name="Style 28 4 6 2" xfId="42991" xr:uid="{00000000-0005-0000-0000-0000F4A70000}"/>
    <cellStyle name="Style 28 4 6 2 2" xfId="42992" xr:uid="{00000000-0005-0000-0000-0000F5A70000}"/>
    <cellStyle name="Style 28 4 6 2 3" xfId="42993" xr:uid="{00000000-0005-0000-0000-0000F6A70000}"/>
    <cellStyle name="Style 28 4 6 3" xfId="42994" xr:uid="{00000000-0005-0000-0000-0000F7A70000}"/>
    <cellStyle name="Style 28 4 6 3 2" xfId="42995" xr:uid="{00000000-0005-0000-0000-0000F8A70000}"/>
    <cellStyle name="Style 28 4 6 3 3" xfId="42996" xr:uid="{00000000-0005-0000-0000-0000F9A70000}"/>
    <cellStyle name="Style 28 4 6 4" xfId="42997" xr:uid="{00000000-0005-0000-0000-0000FAA70000}"/>
    <cellStyle name="Style 28 4 6 5" xfId="42998" xr:uid="{00000000-0005-0000-0000-0000FBA70000}"/>
    <cellStyle name="Style 28 4 6 6" xfId="42999" xr:uid="{00000000-0005-0000-0000-0000FCA70000}"/>
    <cellStyle name="Style 28 4 7" xfId="43000" xr:uid="{00000000-0005-0000-0000-0000FDA70000}"/>
    <cellStyle name="Style 28 4 7 2" xfId="43001" xr:uid="{00000000-0005-0000-0000-0000FEA70000}"/>
    <cellStyle name="Style 28 4 7 3" xfId="43002" xr:uid="{00000000-0005-0000-0000-0000FFA70000}"/>
    <cellStyle name="Style 28 4 8" xfId="43003" xr:uid="{00000000-0005-0000-0000-000000A80000}"/>
    <cellStyle name="Style 28 4 8 2" xfId="43004" xr:uid="{00000000-0005-0000-0000-000001A80000}"/>
    <cellStyle name="Style 28 4 8 3" xfId="43005" xr:uid="{00000000-0005-0000-0000-000002A80000}"/>
    <cellStyle name="Style 28 4 9" xfId="43006" xr:uid="{00000000-0005-0000-0000-000003A80000}"/>
    <cellStyle name="Style 28 4 9 2" xfId="43007" xr:uid="{00000000-0005-0000-0000-000004A80000}"/>
    <cellStyle name="Style 28 4 9 3" xfId="43008" xr:uid="{00000000-0005-0000-0000-000005A80000}"/>
    <cellStyle name="Style 28 5" xfId="43009" xr:uid="{00000000-0005-0000-0000-000006A80000}"/>
    <cellStyle name="Style 28 5 10" xfId="43010" xr:uid="{00000000-0005-0000-0000-000007A80000}"/>
    <cellStyle name="Style 28 5 11" xfId="43011" xr:uid="{00000000-0005-0000-0000-000008A80000}"/>
    <cellStyle name="Style 28 5 12" xfId="43012" xr:uid="{00000000-0005-0000-0000-000009A80000}"/>
    <cellStyle name="Style 28 5 2" xfId="43013" xr:uid="{00000000-0005-0000-0000-00000AA80000}"/>
    <cellStyle name="Style 28 5 2 10" xfId="43014" xr:uid="{00000000-0005-0000-0000-00000BA80000}"/>
    <cellStyle name="Style 28 5 2 2" xfId="43015" xr:uid="{00000000-0005-0000-0000-00000CA80000}"/>
    <cellStyle name="Style 28 5 2 2 2" xfId="43016" xr:uid="{00000000-0005-0000-0000-00000DA80000}"/>
    <cellStyle name="Style 28 5 2 2 2 2" xfId="43017" xr:uid="{00000000-0005-0000-0000-00000EA80000}"/>
    <cellStyle name="Style 28 5 2 2 2 2 2" xfId="43018" xr:uid="{00000000-0005-0000-0000-00000FA80000}"/>
    <cellStyle name="Style 28 5 2 2 2 2 3" xfId="43019" xr:uid="{00000000-0005-0000-0000-000010A80000}"/>
    <cellStyle name="Style 28 5 2 2 2 3" xfId="43020" xr:uid="{00000000-0005-0000-0000-000011A80000}"/>
    <cellStyle name="Style 28 5 2 2 2 3 2" xfId="43021" xr:uid="{00000000-0005-0000-0000-000012A80000}"/>
    <cellStyle name="Style 28 5 2 2 2 3 3" xfId="43022" xr:uid="{00000000-0005-0000-0000-000013A80000}"/>
    <cellStyle name="Style 28 5 2 2 2 4" xfId="43023" xr:uid="{00000000-0005-0000-0000-000014A80000}"/>
    <cellStyle name="Style 28 5 2 2 2 5" xfId="43024" xr:uid="{00000000-0005-0000-0000-000015A80000}"/>
    <cellStyle name="Style 28 5 2 2 2 6" xfId="43025" xr:uid="{00000000-0005-0000-0000-000016A80000}"/>
    <cellStyle name="Style 28 5 2 2 3" xfId="43026" xr:uid="{00000000-0005-0000-0000-000017A80000}"/>
    <cellStyle name="Style 28 5 2 2 3 2" xfId="43027" xr:uid="{00000000-0005-0000-0000-000018A80000}"/>
    <cellStyle name="Style 28 5 2 2 3 3" xfId="43028" xr:uid="{00000000-0005-0000-0000-000019A80000}"/>
    <cellStyle name="Style 28 5 2 2 4" xfId="43029" xr:uid="{00000000-0005-0000-0000-00001AA80000}"/>
    <cellStyle name="Style 28 5 2 2 4 2" xfId="43030" xr:uid="{00000000-0005-0000-0000-00001BA80000}"/>
    <cellStyle name="Style 28 5 2 2 4 3" xfId="43031" xr:uid="{00000000-0005-0000-0000-00001CA80000}"/>
    <cellStyle name="Style 28 5 2 2 5" xfId="43032" xr:uid="{00000000-0005-0000-0000-00001DA80000}"/>
    <cellStyle name="Style 28 5 2 2 5 2" xfId="43033" xr:uid="{00000000-0005-0000-0000-00001EA80000}"/>
    <cellStyle name="Style 28 5 2 2 5 3" xfId="43034" xr:uid="{00000000-0005-0000-0000-00001FA80000}"/>
    <cellStyle name="Style 28 5 2 2 6" xfId="43035" xr:uid="{00000000-0005-0000-0000-000020A80000}"/>
    <cellStyle name="Style 28 5 2 2 7" xfId="43036" xr:uid="{00000000-0005-0000-0000-000021A80000}"/>
    <cellStyle name="Style 28 5 2 2 8" xfId="43037" xr:uid="{00000000-0005-0000-0000-000022A80000}"/>
    <cellStyle name="Style 28 5 2 3" xfId="43038" xr:uid="{00000000-0005-0000-0000-000023A80000}"/>
    <cellStyle name="Style 28 5 2 3 2" xfId="43039" xr:uid="{00000000-0005-0000-0000-000024A80000}"/>
    <cellStyle name="Style 28 5 2 3 2 2" xfId="43040" xr:uid="{00000000-0005-0000-0000-000025A80000}"/>
    <cellStyle name="Style 28 5 2 3 2 2 2" xfId="43041" xr:uid="{00000000-0005-0000-0000-000026A80000}"/>
    <cellStyle name="Style 28 5 2 3 2 2 3" xfId="43042" xr:uid="{00000000-0005-0000-0000-000027A80000}"/>
    <cellStyle name="Style 28 5 2 3 2 3" xfId="43043" xr:uid="{00000000-0005-0000-0000-000028A80000}"/>
    <cellStyle name="Style 28 5 2 3 2 3 2" xfId="43044" xr:uid="{00000000-0005-0000-0000-000029A80000}"/>
    <cellStyle name="Style 28 5 2 3 2 3 3" xfId="43045" xr:uid="{00000000-0005-0000-0000-00002AA80000}"/>
    <cellStyle name="Style 28 5 2 3 2 4" xfId="43046" xr:uid="{00000000-0005-0000-0000-00002BA80000}"/>
    <cellStyle name="Style 28 5 2 3 2 5" xfId="43047" xr:uid="{00000000-0005-0000-0000-00002CA80000}"/>
    <cellStyle name="Style 28 5 2 3 2 6" xfId="43048" xr:uid="{00000000-0005-0000-0000-00002DA80000}"/>
    <cellStyle name="Style 28 5 2 3 3" xfId="43049" xr:uid="{00000000-0005-0000-0000-00002EA80000}"/>
    <cellStyle name="Style 28 5 2 3 3 2" xfId="43050" xr:uid="{00000000-0005-0000-0000-00002FA80000}"/>
    <cellStyle name="Style 28 5 2 3 3 3" xfId="43051" xr:uid="{00000000-0005-0000-0000-000030A80000}"/>
    <cellStyle name="Style 28 5 2 3 4" xfId="43052" xr:uid="{00000000-0005-0000-0000-000031A80000}"/>
    <cellStyle name="Style 28 5 2 3 4 2" xfId="43053" xr:uid="{00000000-0005-0000-0000-000032A80000}"/>
    <cellStyle name="Style 28 5 2 3 4 3" xfId="43054" xr:uid="{00000000-0005-0000-0000-000033A80000}"/>
    <cellStyle name="Style 28 5 2 3 5" xfId="43055" xr:uid="{00000000-0005-0000-0000-000034A80000}"/>
    <cellStyle name="Style 28 5 2 3 5 2" xfId="43056" xr:uid="{00000000-0005-0000-0000-000035A80000}"/>
    <cellStyle name="Style 28 5 2 3 5 3" xfId="43057" xr:uid="{00000000-0005-0000-0000-000036A80000}"/>
    <cellStyle name="Style 28 5 2 3 6" xfId="43058" xr:uid="{00000000-0005-0000-0000-000037A80000}"/>
    <cellStyle name="Style 28 5 2 3 7" xfId="43059" xr:uid="{00000000-0005-0000-0000-000038A80000}"/>
    <cellStyle name="Style 28 5 2 3 8" xfId="43060" xr:uid="{00000000-0005-0000-0000-000039A80000}"/>
    <cellStyle name="Style 28 5 2 4" xfId="43061" xr:uid="{00000000-0005-0000-0000-00003AA80000}"/>
    <cellStyle name="Style 28 5 2 4 2" xfId="43062" xr:uid="{00000000-0005-0000-0000-00003BA80000}"/>
    <cellStyle name="Style 28 5 2 4 2 2" xfId="43063" xr:uid="{00000000-0005-0000-0000-00003CA80000}"/>
    <cellStyle name="Style 28 5 2 4 2 3" xfId="43064" xr:uid="{00000000-0005-0000-0000-00003DA80000}"/>
    <cellStyle name="Style 28 5 2 4 3" xfId="43065" xr:uid="{00000000-0005-0000-0000-00003EA80000}"/>
    <cellStyle name="Style 28 5 2 4 3 2" xfId="43066" xr:uid="{00000000-0005-0000-0000-00003FA80000}"/>
    <cellStyle name="Style 28 5 2 4 3 3" xfId="43067" xr:uid="{00000000-0005-0000-0000-000040A80000}"/>
    <cellStyle name="Style 28 5 2 4 4" xfId="43068" xr:uid="{00000000-0005-0000-0000-000041A80000}"/>
    <cellStyle name="Style 28 5 2 4 5" xfId="43069" xr:uid="{00000000-0005-0000-0000-000042A80000}"/>
    <cellStyle name="Style 28 5 2 4 6" xfId="43070" xr:uid="{00000000-0005-0000-0000-000043A80000}"/>
    <cellStyle name="Style 28 5 2 5" xfId="43071" xr:uid="{00000000-0005-0000-0000-000044A80000}"/>
    <cellStyle name="Style 28 5 2 5 2" xfId="43072" xr:uid="{00000000-0005-0000-0000-000045A80000}"/>
    <cellStyle name="Style 28 5 2 5 3" xfId="43073" xr:uid="{00000000-0005-0000-0000-000046A80000}"/>
    <cellStyle name="Style 28 5 2 6" xfId="43074" xr:uid="{00000000-0005-0000-0000-000047A80000}"/>
    <cellStyle name="Style 28 5 2 6 2" xfId="43075" xr:uid="{00000000-0005-0000-0000-000048A80000}"/>
    <cellStyle name="Style 28 5 2 6 3" xfId="43076" xr:uid="{00000000-0005-0000-0000-000049A80000}"/>
    <cellStyle name="Style 28 5 2 7" xfId="43077" xr:uid="{00000000-0005-0000-0000-00004AA80000}"/>
    <cellStyle name="Style 28 5 2 7 2" xfId="43078" xr:uid="{00000000-0005-0000-0000-00004BA80000}"/>
    <cellStyle name="Style 28 5 2 7 3" xfId="43079" xr:uid="{00000000-0005-0000-0000-00004CA80000}"/>
    <cellStyle name="Style 28 5 2 8" xfId="43080" xr:uid="{00000000-0005-0000-0000-00004DA80000}"/>
    <cellStyle name="Style 28 5 2 9" xfId="43081" xr:uid="{00000000-0005-0000-0000-00004EA80000}"/>
    <cellStyle name="Style 28 5 3" xfId="43082" xr:uid="{00000000-0005-0000-0000-00004FA80000}"/>
    <cellStyle name="Style 28 5 3 2" xfId="43083" xr:uid="{00000000-0005-0000-0000-000050A80000}"/>
    <cellStyle name="Style 28 5 3 2 2" xfId="43084" xr:uid="{00000000-0005-0000-0000-000051A80000}"/>
    <cellStyle name="Style 28 5 3 2 2 2" xfId="43085" xr:uid="{00000000-0005-0000-0000-000052A80000}"/>
    <cellStyle name="Style 28 5 3 2 2 3" xfId="43086" xr:uid="{00000000-0005-0000-0000-000053A80000}"/>
    <cellStyle name="Style 28 5 3 2 3" xfId="43087" xr:uid="{00000000-0005-0000-0000-000054A80000}"/>
    <cellStyle name="Style 28 5 3 2 3 2" xfId="43088" xr:uid="{00000000-0005-0000-0000-000055A80000}"/>
    <cellStyle name="Style 28 5 3 2 3 3" xfId="43089" xr:uid="{00000000-0005-0000-0000-000056A80000}"/>
    <cellStyle name="Style 28 5 3 2 4" xfId="43090" xr:uid="{00000000-0005-0000-0000-000057A80000}"/>
    <cellStyle name="Style 28 5 3 2 5" xfId="43091" xr:uid="{00000000-0005-0000-0000-000058A80000}"/>
    <cellStyle name="Style 28 5 3 2 6" xfId="43092" xr:uid="{00000000-0005-0000-0000-000059A80000}"/>
    <cellStyle name="Style 28 5 3 3" xfId="43093" xr:uid="{00000000-0005-0000-0000-00005AA80000}"/>
    <cellStyle name="Style 28 5 3 3 2" xfId="43094" xr:uid="{00000000-0005-0000-0000-00005BA80000}"/>
    <cellStyle name="Style 28 5 3 3 3" xfId="43095" xr:uid="{00000000-0005-0000-0000-00005CA80000}"/>
    <cellStyle name="Style 28 5 3 4" xfId="43096" xr:uid="{00000000-0005-0000-0000-00005DA80000}"/>
    <cellStyle name="Style 28 5 3 4 2" xfId="43097" xr:uid="{00000000-0005-0000-0000-00005EA80000}"/>
    <cellStyle name="Style 28 5 3 4 3" xfId="43098" xr:uid="{00000000-0005-0000-0000-00005FA80000}"/>
    <cellStyle name="Style 28 5 3 5" xfId="43099" xr:uid="{00000000-0005-0000-0000-000060A80000}"/>
    <cellStyle name="Style 28 5 3 5 2" xfId="43100" xr:uid="{00000000-0005-0000-0000-000061A80000}"/>
    <cellStyle name="Style 28 5 3 5 3" xfId="43101" xr:uid="{00000000-0005-0000-0000-000062A80000}"/>
    <cellStyle name="Style 28 5 3 6" xfId="43102" xr:uid="{00000000-0005-0000-0000-000063A80000}"/>
    <cellStyle name="Style 28 5 3 7" xfId="43103" xr:uid="{00000000-0005-0000-0000-000064A80000}"/>
    <cellStyle name="Style 28 5 3 8" xfId="43104" xr:uid="{00000000-0005-0000-0000-000065A80000}"/>
    <cellStyle name="Style 28 5 4" xfId="43105" xr:uid="{00000000-0005-0000-0000-000066A80000}"/>
    <cellStyle name="Style 28 5 4 2" xfId="43106" xr:uid="{00000000-0005-0000-0000-000067A80000}"/>
    <cellStyle name="Style 28 5 4 2 2" xfId="43107" xr:uid="{00000000-0005-0000-0000-000068A80000}"/>
    <cellStyle name="Style 28 5 4 2 2 2" xfId="43108" xr:uid="{00000000-0005-0000-0000-000069A80000}"/>
    <cellStyle name="Style 28 5 4 2 2 3" xfId="43109" xr:uid="{00000000-0005-0000-0000-00006AA80000}"/>
    <cellStyle name="Style 28 5 4 2 3" xfId="43110" xr:uid="{00000000-0005-0000-0000-00006BA80000}"/>
    <cellStyle name="Style 28 5 4 2 3 2" xfId="43111" xr:uid="{00000000-0005-0000-0000-00006CA80000}"/>
    <cellStyle name="Style 28 5 4 2 3 3" xfId="43112" xr:uid="{00000000-0005-0000-0000-00006DA80000}"/>
    <cellStyle name="Style 28 5 4 2 4" xfId="43113" xr:uid="{00000000-0005-0000-0000-00006EA80000}"/>
    <cellStyle name="Style 28 5 4 2 5" xfId="43114" xr:uid="{00000000-0005-0000-0000-00006FA80000}"/>
    <cellStyle name="Style 28 5 4 2 6" xfId="43115" xr:uid="{00000000-0005-0000-0000-000070A80000}"/>
    <cellStyle name="Style 28 5 4 3" xfId="43116" xr:uid="{00000000-0005-0000-0000-000071A80000}"/>
    <cellStyle name="Style 28 5 4 3 2" xfId="43117" xr:uid="{00000000-0005-0000-0000-000072A80000}"/>
    <cellStyle name="Style 28 5 4 3 3" xfId="43118" xr:uid="{00000000-0005-0000-0000-000073A80000}"/>
    <cellStyle name="Style 28 5 4 4" xfId="43119" xr:uid="{00000000-0005-0000-0000-000074A80000}"/>
    <cellStyle name="Style 28 5 4 4 2" xfId="43120" xr:uid="{00000000-0005-0000-0000-000075A80000}"/>
    <cellStyle name="Style 28 5 4 4 3" xfId="43121" xr:uid="{00000000-0005-0000-0000-000076A80000}"/>
    <cellStyle name="Style 28 5 4 5" xfId="43122" xr:uid="{00000000-0005-0000-0000-000077A80000}"/>
    <cellStyle name="Style 28 5 4 5 2" xfId="43123" xr:uid="{00000000-0005-0000-0000-000078A80000}"/>
    <cellStyle name="Style 28 5 4 5 3" xfId="43124" xr:uid="{00000000-0005-0000-0000-000079A80000}"/>
    <cellStyle name="Style 28 5 4 6" xfId="43125" xr:uid="{00000000-0005-0000-0000-00007AA80000}"/>
    <cellStyle name="Style 28 5 4 7" xfId="43126" xr:uid="{00000000-0005-0000-0000-00007BA80000}"/>
    <cellStyle name="Style 28 5 4 8" xfId="43127" xr:uid="{00000000-0005-0000-0000-00007CA80000}"/>
    <cellStyle name="Style 28 5 5" xfId="43128" xr:uid="{00000000-0005-0000-0000-00007DA80000}"/>
    <cellStyle name="Style 28 5 5 2" xfId="43129" xr:uid="{00000000-0005-0000-0000-00007EA80000}"/>
    <cellStyle name="Style 28 5 5 2 2" xfId="43130" xr:uid="{00000000-0005-0000-0000-00007FA80000}"/>
    <cellStyle name="Style 28 5 5 2 2 2" xfId="43131" xr:uid="{00000000-0005-0000-0000-000080A80000}"/>
    <cellStyle name="Style 28 5 5 2 2 3" xfId="43132" xr:uid="{00000000-0005-0000-0000-000081A80000}"/>
    <cellStyle name="Style 28 5 5 2 3" xfId="43133" xr:uid="{00000000-0005-0000-0000-000082A80000}"/>
    <cellStyle name="Style 28 5 5 2 3 2" xfId="43134" xr:uid="{00000000-0005-0000-0000-000083A80000}"/>
    <cellStyle name="Style 28 5 5 2 3 3" xfId="43135" xr:uid="{00000000-0005-0000-0000-000084A80000}"/>
    <cellStyle name="Style 28 5 5 2 4" xfId="43136" xr:uid="{00000000-0005-0000-0000-000085A80000}"/>
    <cellStyle name="Style 28 5 5 2 5" xfId="43137" xr:uid="{00000000-0005-0000-0000-000086A80000}"/>
    <cellStyle name="Style 28 5 5 2 6" xfId="43138" xr:uid="{00000000-0005-0000-0000-000087A80000}"/>
    <cellStyle name="Style 28 5 5 3" xfId="43139" xr:uid="{00000000-0005-0000-0000-000088A80000}"/>
    <cellStyle name="Style 28 5 5 3 2" xfId="43140" xr:uid="{00000000-0005-0000-0000-000089A80000}"/>
    <cellStyle name="Style 28 5 5 3 3" xfId="43141" xr:uid="{00000000-0005-0000-0000-00008AA80000}"/>
    <cellStyle name="Style 28 5 5 4" xfId="43142" xr:uid="{00000000-0005-0000-0000-00008BA80000}"/>
    <cellStyle name="Style 28 5 5 4 2" xfId="43143" xr:uid="{00000000-0005-0000-0000-00008CA80000}"/>
    <cellStyle name="Style 28 5 5 4 3" xfId="43144" xr:uid="{00000000-0005-0000-0000-00008DA80000}"/>
    <cellStyle name="Style 28 5 5 5" xfId="43145" xr:uid="{00000000-0005-0000-0000-00008EA80000}"/>
    <cellStyle name="Style 28 5 5 5 2" xfId="43146" xr:uid="{00000000-0005-0000-0000-00008FA80000}"/>
    <cellStyle name="Style 28 5 5 5 3" xfId="43147" xr:uid="{00000000-0005-0000-0000-000090A80000}"/>
    <cellStyle name="Style 28 5 5 6" xfId="43148" xr:uid="{00000000-0005-0000-0000-000091A80000}"/>
    <cellStyle name="Style 28 5 5 7" xfId="43149" xr:uid="{00000000-0005-0000-0000-000092A80000}"/>
    <cellStyle name="Style 28 5 5 8" xfId="43150" xr:uid="{00000000-0005-0000-0000-000093A80000}"/>
    <cellStyle name="Style 28 5 6" xfId="43151" xr:uid="{00000000-0005-0000-0000-000094A80000}"/>
    <cellStyle name="Style 28 5 6 2" xfId="43152" xr:uid="{00000000-0005-0000-0000-000095A80000}"/>
    <cellStyle name="Style 28 5 6 2 2" xfId="43153" xr:uid="{00000000-0005-0000-0000-000096A80000}"/>
    <cellStyle name="Style 28 5 6 2 3" xfId="43154" xr:uid="{00000000-0005-0000-0000-000097A80000}"/>
    <cellStyle name="Style 28 5 6 3" xfId="43155" xr:uid="{00000000-0005-0000-0000-000098A80000}"/>
    <cellStyle name="Style 28 5 6 3 2" xfId="43156" xr:uid="{00000000-0005-0000-0000-000099A80000}"/>
    <cellStyle name="Style 28 5 6 3 3" xfId="43157" xr:uid="{00000000-0005-0000-0000-00009AA80000}"/>
    <cellStyle name="Style 28 5 6 4" xfId="43158" xr:uid="{00000000-0005-0000-0000-00009BA80000}"/>
    <cellStyle name="Style 28 5 6 5" xfId="43159" xr:uid="{00000000-0005-0000-0000-00009CA80000}"/>
    <cellStyle name="Style 28 5 6 6" xfId="43160" xr:uid="{00000000-0005-0000-0000-00009DA80000}"/>
    <cellStyle name="Style 28 5 7" xfId="43161" xr:uid="{00000000-0005-0000-0000-00009EA80000}"/>
    <cellStyle name="Style 28 5 7 2" xfId="43162" xr:uid="{00000000-0005-0000-0000-00009FA80000}"/>
    <cellStyle name="Style 28 5 7 3" xfId="43163" xr:uid="{00000000-0005-0000-0000-0000A0A80000}"/>
    <cellStyle name="Style 28 5 8" xfId="43164" xr:uid="{00000000-0005-0000-0000-0000A1A80000}"/>
    <cellStyle name="Style 28 5 8 2" xfId="43165" xr:uid="{00000000-0005-0000-0000-0000A2A80000}"/>
    <cellStyle name="Style 28 5 8 3" xfId="43166" xr:uid="{00000000-0005-0000-0000-0000A3A80000}"/>
    <cellStyle name="Style 28 5 9" xfId="43167" xr:uid="{00000000-0005-0000-0000-0000A4A80000}"/>
    <cellStyle name="Style 28 5 9 2" xfId="43168" xr:uid="{00000000-0005-0000-0000-0000A5A80000}"/>
    <cellStyle name="Style 28 5 9 3" xfId="43169" xr:uid="{00000000-0005-0000-0000-0000A6A80000}"/>
    <cellStyle name="Style 28 6" xfId="43170" xr:uid="{00000000-0005-0000-0000-0000A7A80000}"/>
    <cellStyle name="Style 28 6 10" xfId="43171" xr:uid="{00000000-0005-0000-0000-0000A8A80000}"/>
    <cellStyle name="Style 28 6 11" xfId="43172" xr:uid="{00000000-0005-0000-0000-0000A9A80000}"/>
    <cellStyle name="Style 28 6 12" xfId="43173" xr:uid="{00000000-0005-0000-0000-0000AAA80000}"/>
    <cellStyle name="Style 28 6 2" xfId="43174" xr:uid="{00000000-0005-0000-0000-0000ABA80000}"/>
    <cellStyle name="Style 28 6 2 10" xfId="43175" xr:uid="{00000000-0005-0000-0000-0000ACA80000}"/>
    <cellStyle name="Style 28 6 2 2" xfId="43176" xr:uid="{00000000-0005-0000-0000-0000ADA80000}"/>
    <cellStyle name="Style 28 6 2 2 2" xfId="43177" xr:uid="{00000000-0005-0000-0000-0000AEA80000}"/>
    <cellStyle name="Style 28 6 2 2 2 2" xfId="43178" xr:uid="{00000000-0005-0000-0000-0000AFA80000}"/>
    <cellStyle name="Style 28 6 2 2 2 2 2" xfId="43179" xr:uid="{00000000-0005-0000-0000-0000B0A80000}"/>
    <cellStyle name="Style 28 6 2 2 2 2 3" xfId="43180" xr:uid="{00000000-0005-0000-0000-0000B1A80000}"/>
    <cellStyle name="Style 28 6 2 2 2 3" xfId="43181" xr:uid="{00000000-0005-0000-0000-0000B2A80000}"/>
    <cellStyle name="Style 28 6 2 2 2 3 2" xfId="43182" xr:uid="{00000000-0005-0000-0000-0000B3A80000}"/>
    <cellStyle name="Style 28 6 2 2 2 3 3" xfId="43183" xr:uid="{00000000-0005-0000-0000-0000B4A80000}"/>
    <cellStyle name="Style 28 6 2 2 2 4" xfId="43184" xr:uid="{00000000-0005-0000-0000-0000B5A80000}"/>
    <cellStyle name="Style 28 6 2 2 2 5" xfId="43185" xr:uid="{00000000-0005-0000-0000-0000B6A80000}"/>
    <cellStyle name="Style 28 6 2 2 2 6" xfId="43186" xr:uid="{00000000-0005-0000-0000-0000B7A80000}"/>
    <cellStyle name="Style 28 6 2 2 3" xfId="43187" xr:uid="{00000000-0005-0000-0000-0000B8A80000}"/>
    <cellStyle name="Style 28 6 2 2 3 2" xfId="43188" xr:uid="{00000000-0005-0000-0000-0000B9A80000}"/>
    <cellStyle name="Style 28 6 2 2 3 3" xfId="43189" xr:uid="{00000000-0005-0000-0000-0000BAA80000}"/>
    <cellStyle name="Style 28 6 2 2 4" xfId="43190" xr:uid="{00000000-0005-0000-0000-0000BBA80000}"/>
    <cellStyle name="Style 28 6 2 2 4 2" xfId="43191" xr:uid="{00000000-0005-0000-0000-0000BCA80000}"/>
    <cellStyle name="Style 28 6 2 2 4 3" xfId="43192" xr:uid="{00000000-0005-0000-0000-0000BDA80000}"/>
    <cellStyle name="Style 28 6 2 2 5" xfId="43193" xr:uid="{00000000-0005-0000-0000-0000BEA80000}"/>
    <cellStyle name="Style 28 6 2 2 5 2" xfId="43194" xr:uid="{00000000-0005-0000-0000-0000BFA80000}"/>
    <cellStyle name="Style 28 6 2 2 5 3" xfId="43195" xr:uid="{00000000-0005-0000-0000-0000C0A80000}"/>
    <cellStyle name="Style 28 6 2 2 6" xfId="43196" xr:uid="{00000000-0005-0000-0000-0000C1A80000}"/>
    <cellStyle name="Style 28 6 2 2 7" xfId="43197" xr:uid="{00000000-0005-0000-0000-0000C2A80000}"/>
    <cellStyle name="Style 28 6 2 2 8" xfId="43198" xr:uid="{00000000-0005-0000-0000-0000C3A80000}"/>
    <cellStyle name="Style 28 6 2 3" xfId="43199" xr:uid="{00000000-0005-0000-0000-0000C4A80000}"/>
    <cellStyle name="Style 28 6 2 3 2" xfId="43200" xr:uid="{00000000-0005-0000-0000-0000C5A80000}"/>
    <cellStyle name="Style 28 6 2 3 2 2" xfId="43201" xr:uid="{00000000-0005-0000-0000-0000C6A80000}"/>
    <cellStyle name="Style 28 6 2 3 2 2 2" xfId="43202" xr:uid="{00000000-0005-0000-0000-0000C7A80000}"/>
    <cellStyle name="Style 28 6 2 3 2 2 3" xfId="43203" xr:uid="{00000000-0005-0000-0000-0000C8A80000}"/>
    <cellStyle name="Style 28 6 2 3 2 3" xfId="43204" xr:uid="{00000000-0005-0000-0000-0000C9A80000}"/>
    <cellStyle name="Style 28 6 2 3 2 3 2" xfId="43205" xr:uid="{00000000-0005-0000-0000-0000CAA80000}"/>
    <cellStyle name="Style 28 6 2 3 2 3 3" xfId="43206" xr:uid="{00000000-0005-0000-0000-0000CBA80000}"/>
    <cellStyle name="Style 28 6 2 3 2 4" xfId="43207" xr:uid="{00000000-0005-0000-0000-0000CCA80000}"/>
    <cellStyle name="Style 28 6 2 3 2 5" xfId="43208" xr:uid="{00000000-0005-0000-0000-0000CDA80000}"/>
    <cellStyle name="Style 28 6 2 3 2 6" xfId="43209" xr:uid="{00000000-0005-0000-0000-0000CEA80000}"/>
    <cellStyle name="Style 28 6 2 3 3" xfId="43210" xr:uid="{00000000-0005-0000-0000-0000CFA80000}"/>
    <cellStyle name="Style 28 6 2 3 3 2" xfId="43211" xr:uid="{00000000-0005-0000-0000-0000D0A80000}"/>
    <cellStyle name="Style 28 6 2 3 3 3" xfId="43212" xr:uid="{00000000-0005-0000-0000-0000D1A80000}"/>
    <cellStyle name="Style 28 6 2 3 4" xfId="43213" xr:uid="{00000000-0005-0000-0000-0000D2A80000}"/>
    <cellStyle name="Style 28 6 2 3 4 2" xfId="43214" xr:uid="{00000000-0005-0000-0000-0000D3A80000}"/>
    <cellStyle name="Style 28 6 2 3 4 3" xfId="43215" xr:uid="{00000000-0005-0000-0000-0000D4A80000}"/>
    <cellStyle name="Style 28 6 2 3 5" xfId="43216" xr:uid="{00000000-0005-0000-0000-0000D5A80000}"/>
    <cellStyle name="Style 28 6 2 3 5 2" xfId="43217" xr:uid="{00000000-0005-0000-0000-0000D6A80000}"/>
    <cellStyle name="Style 28 6 2 3 5 3" xfId="43218" xr:uid="{00000000-0005-0000-0000-0000D7A80000}"/>
    <cellStyle name="Style 28 6 2 3 6" xfId="43219" xr:uid="{00000000-0005-0000-0000-0000D8A80000}"/>
    <cellStyle name="Style 28 6 2 3 7" xfId="43220" xr:uid="{00000000-0005-0000-0000-0000D9A80000}"/>
    <cellStyle name="Style 28 6 2 3 8" xfId="43221" xr:uid="{00000000-0005-0000-0000-0000DAA80000}"/>
    <cellStyle name="Style 28 6 2 4" xfId="43222" xr:uid="{00000000-0005-0000-0000-0000DBA80000}"/>
    <cellStyle name="Style 28 6 2 4 2" xfId="43223" xr:uid="{00000000-0005-0000-0000-0000DCA80000}"/>
    <cellStyle name="Style 28 6 2 4 2 2" xfId="43224" xr:uid="{00000000-0005-0000-0000-0000DDA80000}"/>
    <cellStyle name="Style 28 6 2 4 2 3" xfId="43225" xr:uid="{00000000-0005-0000-0000-0000DEA80000}"/>
    <cellStyle name="Style 28 6 2 4 3" xfId="43226" xr:uid="{00000000-0005-0000-0000-0000DFA80000}"/>
    <cellStyle name="Style 28 6 2 4 3 2" xfId="43227" xr:uid="{00000000-0005-0000-0000-0000E0A80000}"/>
    <cellStyle name="Style 28 6 2 4 3 3" xfId="43228" xr:uid="{00000000-0005-0000-0000-0000E1A80000}"/>
    <cellStyle name="Style 28 6 2 4 4" xfId="43229" xr:uid="{00000000-0005-0000-0000-0000E2A80000}"/>
    <cellStyle name="Style 28 6 2 4 5" xfId="43230" xr:uid="{00000000-0005-0000-0000-0000E3A80000}"/>
    <cellStyle name="Style 28 6 2 4 6" xfId="43231" xr:uid="{00000000-0005-0000-0000-0000E4A80000}"/>
    <cellStyle name="Style 28 6 2 5" xfId="43232" xr:uid="{00000000-0005-0000-0000-0000E5A80000}"/>
    <cellStyle name="Style 28 6 2 5 2" xfId="43233" xr:uid="{00000000-0005-0000-0000-0000E6A80000}"/>
    <cellStyle name="Style 28 6 2 5 3" xfId="43234" xr:uid="{00000000-0005-0000-0000-0000E7A80000}"/>
    <cellStyle name="Style 28 6 2 6" xfId="43235" xr:uid="{00000000-0005-0000-0000-0000E8A80000}"/>
    <cellStyle name="Style 28 6 2 6 2" xfId="43236" xr:uid="{00000000-0005-0000-0000-0000E9A80000}"/>
    <cellStyle name="Style 28 6 2 6 3" xfId="43237" xr:uid="{00000000-0005-0000-0000-0000EAA80000}"/>
    <cellStyle name="Style 28 6 2 7" xfId="43238" xr:uid="{00000000-0005-0000-0000-0000EBA80000}"/>
    <cellStyle name="Style 28 6 2 7 2" xfId="43239" xr:uid="{00000000-0005-0000-0000-0000ECA80000}"/>
    <cellStyle name="Style 28 6 2 7 3" xfId="43240" xr:uid="{00000000-0005-0000-0000-0000EDA80000}"/>
    <cellStyle name="Style 28 6 2 8" xfId="43241" xr:uid="{00000000-0005-0000-0000-0000EEA80000}"/>
    <cellStyle name="Style 28 6 2 9" xfId="43242" xr:uid="{00000000-0005-0000-0000-0000EFA80000}"/>
    <cellStyle name="Style 28 6 3" xfId="43243" xr:uid="{00000000-0005-0000-0000-0000F0A80000}"/>
    <cellStyle name="Style 28 6 3 2" xfId="43244" xr:uid="{00000000-0005-0000-0000-0000F1A80000}"/>
    <cellStyle name="Style 28 6 3 2 2" xfId="43245" xr:uid="{00000000-0005-0000-0000-0000F2A80000}"/>
    <cellStyle name="Style 28 6 3 2 2 2" xfId="43246" xr:uid="{00000000-0005-0000-0000-0000F3A80000}"/>
    <cellStyle name="Style 28 6 3 2 2 3" xfId="43247" xr:uid="{00000000-0005-0000-0000-0000F4A80000}"/>
    <cellStyle name="Style 28 6 3 2 3" xfId="43248" xr:uid="{00000000-0005-0000-0000-0000F5A80000}"/>
    <cellStyle name="Style 28 6 3 2 3 2" xfId="43249" xr:uid="{00000000-0005-0000-0000-0000F6A80000}"/>
    <cellStyle name="Style 28 6 3 2 3 3" xfId="43250" xr:uid="{00000000-0005-0000-0000-0000F7A80000}"/>
    <cellStyle name="Style 28 6 3 2 4" xfId="43251" xr:uid="{00000000-0005-0000-0000-0000F8A80000}"/>
    <cellStyle name="Style 28 6 3 2 5" xfId="43252" xr:uid="{00000000-0005-0000-0000-0000F9A80000}"/>
    <cellStyle name="Style 28 6 3 2 6" xfId="43253" xr:uid="{00000000-0005-0000-0000-0000FAA80000}"/>
    <cellStyle name="Style 28 6 3 3" xfId="43254" xr:uid="{00000000-0005-0000-0000-0000FBA80000}"/>
    <cellStyle name="Style 28 6 3 3 2" xfId="43255" xr:uid="{00000000-0005-0000-0000-0000FCA80000}"/>
    <cellStyle name="Style 28 6 3 3 3" xfId="43256" xr:uid="{00000000-0005-0000-0000-0000FDA80000}"/>
    <cellStyle name="Style 28 6 3 4" xfId="43257" xr:uid="{00000000-0005-0000-0000-0000FEA80000}"/>
    <cellStyle name="Style 28 6 3 4 2" xfId="43258" xr:uid="{00000000-0005-0000-0000-0000FFA80000}"/>
    <cellStyle name="Style 28 6 3 4 3" xfId="43259" xr:uid="{00000000-0005-0000-0000-000000A90000}"/>
    <cellStyle name="Style 28 6 3 5" xfId="43260" xr:uid="{00000000-0005-0000-0000-000001A90000}"/>
    <cellStyle name="Style 28 6 3 5 2" xfId="43261" xr:uid="{00000000-0005-0000-0000-000002A90000}"/>
    <cellStyle name="Style 28 6 3 5 3" xfId="43262" xr:uid="{00000000-0005-0000-0000-000003A90000}"/>
    <cellStyle name="Style 28 6 3 6" xfId="43263" xr:uid="{00000000-0005-0000-0000-000004A90000}"/>
    <cellStyle name="Style 28 6 3 7" xfId="43264" xr:uid="{00000000-0005-0000-0000-000005A90000}"/>
    <cellStyle name="Style 28 6 3 8" xfId="43265" xr:uid="{00000000-0005-0000-0000-000006A90000}"/>
    <cellStyle name="Style 28 6 4" xfId="43266" xr:uid="{00000000-0005-0000-0000-000007A90000}"/>
    <cellStyle name="Style 28 6 4 2" xfId="43267" xr:uid="{00000000-0005-0000-0000-000008A90000}"/>
    <cellStyle name="Style 28 6 4 2 2" xfId="43268" xr:uid="{00000000-0005-0000-0000-000009A90000}"/>
    <cellStyle name="Style 28 6 4 2 2 2" xfId="43269" xr:uid="{00000000-0005-0000-0000-00000AA90000}"/>
    <cellStyle name="Style 28 6 4 2 2 3" xfId="43270" xr:uid="{00000000-0005-0000-0000-00000BA90000}"/>
    <cellStyle name="Style 28 6 4 2 3" xfId="43271" xr:uid="{00000000-0005-0000-0000-00000CA90000}"/>
    <cellStyle name="Style 28 6 4 2 3 2" xfId="43272" xr:uid="{00000000-0005-0000-0000-00000DA90000}"/>
    <cellStyle name="Style 28 6 4 2 3 3" xfId="43273" xr:uid="{00000000-0005-0000-0000-00000EA90000}"/>
    <cellStyle name="Style 28 6 4 2 4" xfId="43274" xr:uid="{00000000-0005-0000-0000-00000FA90000}"/>
    <cellStyle name="Style 28 6 4 2 5" xfId="43275" xr:uid="{00000000-0005-0000-0000-000010A90000}"/>
    <cellStyle name="Style 28 6 4 2 6" xfId="43276" xr:uid="{00000000-0005-0000-0000-000011A90000}"/>
    <cellStyle name="Style 28 6 4 3" xfId="43277" xr:uid="{00000000-0005-0000-0000-000012A90000}"/>
    <cellStyle name="Style 28 6 4 3 2" xfId="43278" xr:uid="{00000000-0005-0000-0000-000013A90000}"/>
    <cellStyle name="Style 28 6 4 3 3" xfId="43279" xr:uid="{00000000-0005-0000-0000-000014A90000}"/>
    <cellStyle name="Style 28 6 4 4" xfId="43280" xr:uid="{00000000-0005-0000-0000-000015A90000}"/>
    <cellStyle name="Style 28 6 4 4 2" xfId="43281" xr:uid="{00000000-0005-0000-0000-000016A90000}"/>
    <cellStyle name="Style 28 6 4 4 3" xfId="43282" xr:uid="{00000000-0005-0000-0000-000017A90000}"/>
    <cellStyle name="Style 28 6 4 5" xfId="43283" xr:uid="{00000000-0005-0000-0000-000018A90000}"/>
    <cellStyle name="Style 28 6 4 5 2" xfId="43284" xr:uid="{00000000-0005-0000-0000-000019A90000}"/>
    <cellStyle name="Style 28 6 4 5 3" xfId="43285" xr:uid="{00000000-0005-0000-0000-00001AA90000}"/>
    <cellStyle name="Style 28 6 4 6" xfId="43286" xr:uid="{00000000-0005-0000-0000-00001BA90000}"/>
    <cellStyle name="Style 28 6 4 7" xfId="43287" xr:uid="{00000000-0005-0000-0000-00001CA90000}"/>
    <cellStyle name="Style 28 6 4 8" xfId="43288" xr:uid="{00000000-0005-0000-0000-00001DA90000}"/>
    <cellStyle name="Style 28 6 5" xfId="43289" xr:uid="{00000000-0005-0000-0000-00001EA90000}"/>
    <cellStyle name="Style 28 6 5 2" xfId="43290" xr:uid="{00000000-0005-0000-0000-00001FA90000}"/>
    <cellStyle name="Style 28 6 5 2 2" xfId="43291" xr:uid="{00000000-0005-0000-0000-000020A90000}"/>
    <cellStyle name="Style 28 6 5 2 2 2" xfId="43292" xr:uid="{00000000-0005-0000-0000-000021A90000}"/>
    <cellStyle name="Style 28 6 5 2 2 3" xfId="43293" xr:uid="{00000000-0005-0000-0000-000022A90000}"/>
    <cellStyle name="Style 28 6 5 2 3" xfId="43294" xr:uid="{00000000-0005-0000-0000-000023A90000}"/>
    <cellStyle name="Style 28 6 5 2 3 2" xfId="43295" xr:uid="{00000000-0005-0000-0000-000024A90000}"/>
    <cellStyle name="Style 28 6 5 2 3 3" xfId="43296" xr:uid="{00000000-0005-0000-0000-000025A90000}"/>
    <cellStyle name="Style 28 6 5 2 4" xfId="43297" xr:uid="{00000000-0005-0000-0000-000026A90000}"/>
    <cellStyle name="Style 28 6 5 2 5" xfId="43298" xr:uid="{00000000-0005-0000-0000-000027A90000}"/>
    <cellStyle name="Style 28 6 5 2 6" xfId="43299" xr:uid="{00000000-0005-0000-0000-000028A90000}"/>
    <cellStyle name="Style 28 6 5 3" xfId="43300" xr:uid="{00000000-0005-0000-0000-000029A90000}"/>
    <cellStyle name="Style 28 6 5 3 2" xfId="43301" xr:uid="{00000000-0005-0000-0000-00002AA90000}"/>
    <cellStyle name="Style 28 6 5 3 3" xfId="43302" xr:uid="{00000000-0005-0000-0000-00002BA90000}"/>
    <cellStyle name="Style 28 6 5 4" xfId="43303" xr:uid="{00000000-0005-0000-0000-00002CA90000}"/>
    <cellStyle name="Style 28 6 5 4 2" xfId="43304" xr:uid="{00000000-0005-0000-0000-00002DA90000}"/>
    <cellStyle name="Style 28 6 5 4 3" xfId="43305" xr:uid="{00000000-0005-0000-0000-00002EA90000}"/>
    <cellStyle name="Style 28 6 5 5" xfId="43306" xr:uid="{00000000-0005-0000-0000-00002FA90000}"/>
    <cellStyle name="Style 28 6 5 5 2" xfId="43307" xr:uid="{00000000-0005-0000-0000-000030A90000}"/>
    <cellStyle name="Style 28 6 5 5 3" xfId="43308" xr:uid="{00000000-0005-0000-0000-000031A90000}"/>
    <cellStyle name="Style 28 6 5 6" xfId="43309" xr:uid="{00000000-0005-0000-0000-000032A90000}"/>
    <cellStyle name="Style 28 6 5 7" xfId="43310" xr:uid="{00000000-0005-0000-0000-000033A90000}"/>
    <cellStyle name="Style 28 6 5 8" xfId="43311" xr:uid="{00000000-0005-0000-0000-000034A90000}"/>
    <cellStyle name="Style 28 6 6" xfId="43312" xr:uid="{00000000-0005-0000-0000-000035A90000}"/>
    <cellStyle name="Style 28 6 6 2" xfId="43313" xr:uid="{00000000-0005-0000-0000-000036A90000}"/>
    <cellStyle name="Style 28 6 6 2 2" xfId="43314" xr:uid="{00000000-0005-0000-0000-000037A90000}"/>
    <cellStyle name="Style 28 6 6 2 3" xfId="43315" xr:uid="{00000000-0005-0000-0000-000038A90000}"/>
    <cellStyle name="Style 28 6 6 3" xfId="43316" xr:uid="{00000000-0005-0000-0000-000039A90000}"/>
    <cellStyle name="Style 28 6 6 3 2" xfId="43317" xr:uid="{00000000-0005-0000-0000-00003AA90000}"/>
    <cellStyle name="Style 28 6 6 3 3" xfId="43318" xr:uid="{00000000-0005-0000-0000-00003BA90000}"/>
    <cellStyle name="Style 28 6 6 4" xfId="43319" xr:uid="{00000000-0005-0000-0000-00003CA90000}"/>
    <cellStyle name="Style 28 6 6 5" xfId="43320" xr:uid="{00000000-0005-0000-0000-00003DA90000}"/>
    <cellStyle name="Style 28 6 6 6" xfId="43321" xr:uid="{00000000-0005-0000-0000-00003EA90000}"/>
    <cellStyle name="Style 28 6 7" xfId="43322" xr:uid="{00000000-0005-0000-0000-00003FA90000}"/>
    <cellStyle name="Style 28 6 7 2" xfId="43323" xr:uid="{00000000-0005-0000-0000-000040A90000}"/>
    <cellStyle name="Style 28 6 7 3" xfId="43324" xr:uid="{00000000-0005-0000-0000-000041A90000}"/>
    <cellStyle name="Style 28 6 8" xfId="43325" xr:uid="{00000000-0005-0000-0000-000042A90000}"/>
    <cellStyle name="Style 28 6 8 2" xfId="43326" xr:uid="{00000000-0005-0000-0000-000043A90000}"/>
    <cellStyle name="Style 28 6 8 3" xfId="43327" xr:uid="{00000000-0005-0000-0000-000044A90000}"/>
    <cellStyle name="Style 28 6 9" xfId="43328" xr:uid="{00000000-0005-0000-0000-000045A90000}"/>
    <cellStyle name="Style 28 6 9 2" xfId="43329" xr:uid="{00000000-0005-0000-0000-000046A90000}"/>
    <cellStyle name="Style 28 6 9 3" xfId="43330" xr:uid="{00000000-0005-0000-0000-000047A90000}"/>
    <cellStyle name="Style 28 7" xfId="43331" xr:uid="{00000000-0005-0000-0000-000048A90000}"/>
    <cellStyle name="Style 28 7 10" xfId="43332" xr:uid="{00000000-0005-0000-0000-000049A90000}"/>
    <cellStyle name="Style 28 7 11" xfId="43333" xr:uid="{00000000-0005-0000-0000-00004AA90000}"/>
    <cellStyle name="Style 28 7 12" xfId="43334" xr:uid="{00000000-0005-0000-0000-00004BA90000}"/>
    <cellStyle name="Style 28 7 2" xfId="43335" xr:uid="{00000000-0005-0000-0000-00004CA90000}"/>
    <cellStyle name="Style 28 7 2 10" xfId="43336" xr:uid="{00000000-0005-0000-0000-00004DA90000}"/>
    <cellStyle name="Style 28 7 2 2" xfId="43337" xr:uid="{00000000-0005-0000-0000-00004EA90000}"/>
    <cellStyle name="Style 28 7 2 2 2" xfId="43338" xr:uid="{00000000-0005-0000-0000-00004FA90000}"/>
    <cellStyle name="Style 28 7 2 2 2 2" xfId="43339" xr:uid="{00000000-0005-0000-0000-000050A90000}"/>
    <cellStyle name="Style 28 7 2 2 2 2 2" xfId="43340" xr:uid="{00000000-0005-0000-0000-000051A90000}"/>
    <cellStyle name="Style 28 7 2 2 2 2 3" xfId="43341" xr:uid="{00000000-0005-0000-0000-000052A90000}"/>
    <cellStyle name="Style 28 7 2 2 2 3" xfId="43342" xr:uid="{00000000-0005-0000-0000-000053A90000}"/>
    <cellStyle name="Style 28 7 2 2 2 3 2" xfId="43343" xr:uid="{00000000-0005-0000-0000-000054A90000}"/>
    <cellStyle name="Style 28 7 2 2 2 3 3" xfId="43344" xr:uid="{00000000-0005-0000-0000-000055A90000}"/>
    <cellStyle name="Style 28 7 2 2 2 4" xfId="43345" xr:uid="{00000000-0005-0000-0000-000056A90000}"/>
    <cellStyle name="Style 28 7 2 2 2 5" xfId="43346" xr:uid="{00000000-0005-0000-0000-000057A90000}"/>
    <cellStyle name="Style 28 7 2 2 2 6" xfId="43347" xr:uid="{00000000-0005-0000-0000-000058A90000}"/>
    <cellStyle name="Style 28 7 2 2 3" xfId="43348" xr:uid="{00000000-0005-0000-0000-000059A90000}"/>
    <cellStyle name="Style 28 7 2 2 3 2" xfId="43349" xr:uid="{00000000-0005-0000-0000-00005AA90000}"/>
    <cellStyle name="Style 28 7 2 2 3 3" xfId="43350" xr:uid="{00000000-0005-0000-0000-00005BA90000}"/>
    <cellStyle name="Style 28 7 2 2 4" xfId="43351" xr:uid="{00000000-0005-0000-0000-00005CA90000}"/>
    <cellStyle name="Style 28 7 2 2 4 2" xfId="43352" xr:uid="{00000000-0005-0000-0000-00005DA90000}"/>
    <cellStyle name="Style 28 7 2 2 4 3" xfId="43353" xr:uid="{00000000-0005-0000-0000-00005EA90000}"/>
    <cellStyle name="Style 28 7 2 2 5" xfId="43354" xr:uid="{00000000-0005-0000-0000-00005FA90000}"/>
    <cellStyle name="Style 28 7 2 2 5 2" xfId="43355" xr:uid="{00000000-0005-0000-0000-000060A90000}"/>
    <cellStyle name="Style 28 7 2 2 5 3" xfId="43356" xr:uid="{00000000-0005-0000-0000-000061A90000}"/>
    <cellStyle name="Style 28 7 2 2 6" xfId="43357" xr:uid="{00000000-0005-0000-0000-000062A90000}"/>
    <cellStyle name="Style 28 7 2 2 7" xfId="43358" xr:uid="{00000000-0005-0000-0000-000063A90000}"/>
    <cellStyle name="Style 28 7 2 2 8" xfId="43359" xr:uid="{00000000-0005-0000-0000-000064A90000}"/>
    <cellStyle name="Style 28 7 2 3" xfId="43360" xr:uid="{00000000-0005-0000-0000-000065A90000}"/>
    <cellStyle name="Style 28 7 2 3 2" xfId="43361" xr:uid="{00000000-0005-0000-0000-000066A90000}"/>
    <cellStyle name="Style 28 7 2 3 2 2" xfId="43362" xr:uid="{00000000-0005-0000-0000-000067A90000}"/>
    <cellStyle name="Style 28 7 2 3 2 2 2" xfId="43363" xr:uid="{00000000-0005-0000-0000-000068A90000}"/>
    <cellStyle name="Style 28 7 2 3 2 2 3" xfId="43364" xr:uid="{00000000-0005-0000-0000-000069A90000}"/>
    <cellStyle name="Style 28 7 2 3 2 3" xfId="43365" xr:uid="{00000000-0005-0000-0000-00006AA90000}"/>
    <cellStyle name="Style 28 7 2 3 2 3 2" xfId="43366" xr:uid="{00000000-0005-0000-0000-00006BA90000}"/>
    <cellStyle name="Style 28 7 2 3 2 3 3" xfId="43367" xr:uid="{00000000-0005-0000-0000-00006CA90000}"/>
    <cellStyle name="Style 28 7 2 3 2 4" xfId="43368" xr:uid="{00000000-0005-0000-0000-00006DA90000}"/>
    <cellStyle name="Style 28 7 2 3 2 5" xfId="43369" xr:uid="{00000000-0005-0000-0000-00006EA90000}"/>
    <cellStyle name="Style 28 7 2 3 2 6" xfId="43370" xr:uid="{00000000-0005-0000-0000-00006FA90000}"/>
    <cellStyle name="Style 28 7 2 3 3" xfId="43371" xr:uid="{00000000-0005-0000-0000-000070A90000}"/>
    <cellStyle name="Style 28 7 2 3 3 2" xfId="43372" xr:uid="{00000000-0005-0000-0000-000071A90000}"/>
    <cellStyle name="Style 28 7 2 3 3 3" xfId="43373" xr:uid="{00000000-0005-0000-0000-000072A90000}"/>
    <cellStyle name="Style 28 7 2 3 4" xfId="43374" xr:uid="{00000000-0005-0000-0000-000073A90000}"/>
    <cellStyle name="Style 28 7 2 3 4 2" xfId="43375" xr:uid="{00000000-0005-0000-0000-000074A90000}"/>
    <cellStyle name="Style 28 7 2 3 4 3" xfId="43376" xr:uid="{00000000-0005-0000-0000-000075A90000}"/>
    <cellStyle name="Style 28 7 2 3 5" xfId="43377" xr:uid="{00000000-0005-0000-0000-000076A90000}"/>
    <cellStyle name="Style 28 7 2 3 5 2" xfId="43378" xr:uid="{00000000-0005-0000-0000-000077A90000}"/>
    <cellStyle name="Style 28 7 2 3 5 3" xfId="43379" xr:uid="{00000000-0005-0000-0000-000078A90000}"/>
    <cellStyle name="Style 28 7 2 3 6" xfId="43380" xr:uid="{00000000-0005-0000-0000-000079A90000}"/>
    <cellStyle name="Style 28 7 2 3 7" xfId="43381" xr:uid="{00000000-0005-0000-0000-00007AA90000}"/>
    <cellStyle name="Style 28 7 2 3 8" xfId="43382" xr:uid="{00000000-0005-0000-0000-00007BA90000}"/>
    <cellStyle name="Style 28 7 2 4" xfId="43383" xr:uid="{00000000-0005-0000-0000-00007CA90000}"/>
    <cellStyle name="Style 28 7 2 4 2" xfId="43384" xr:uid="{00000000-0005-0000-0000-00007DA90000}"/>
    <cellStyle name="Style 28 7 2 4 2 2" xfId="43385" xr:uid="{00000000-0005-0000-0000-00007EA90000}"/>
    <cellStyle name="Style 28 7 2 4 2 3" xfId="43386" xr:uid="{00000000-0005-0000-0000-00007FA90000}"/>
    <cellStyle name="Style 28 7 2 4 3" xfId="43387" xr:uid="{00000000-0005-0000-0000-000080A90000}"/>
    <cellStyle name="Style 28 7 2 4 3 2" xfId="43388" xr:uid="{00000000-0005-0000-0000-000081A90000}"/>
    <cellStyle name="Style 28 7 2 4 3 3" xfId="43389" xr:uid="{00000000-0005-0000-0000-000082A90000}"/>
    <cellStyle name="Style 28 7 2 4 4" xfId="43390" xr:uid="{00000000-0005-0000-0000-000083A90000}"/>
    <cellStyle name="Style 28 7 2 4 5" xfId="43391" xr:uid="{00000000-0005-0000-0000-000084A90000}"/>
    <cellStyle name="Style 28 7 2 4 6" xfId="43392" xr:uid="{00000000-0005-0000-0000-000085A90000}"/>
    <cellStyle name="Style 28 7 2 5" xfId="43393" xr:uid="{00000000-0005-0000-0000-000086A90000}"/>
    <cellStyle name="Style 28 7 2 5 2" xfId="43394" xr:uid="{00000000-0005-0000-0000-000087A90000}"/>
    <cellStyle name="Style 28 7 2 5 3" xfId="43395" xr:uid="{00000000-0005-0000-0000-000088A90000}"/>
    <cellStyle name="Style 28 7 2 6" xfId="43396" xr:uid="{00000000-0005-0000-0000-000089A90000}"/>
    <cellStyle name="Style 28 7 2 6 2" xfId="43397" xr:uid="{00000000-0005-0000-0000-00008AA90000}"/>
    <cellStyle name="Style 28 7 2 6 3" xfId="43398" xr:uid="{00000000-0005-0000-0000-00008BA90000}"/>
    <cellStyle name="Style 28 7 2 7" xfId="43399" xr:uid="{00000000-0005-0000-0000-00008CA90000}"/>
    <cellStyle name="Style 28 7 2 7 2" xfId="43400" xr:uid="{00000000-0005-0000-0000-00008DA90000}"/>
    <cellStyle name="Style 28 7 2 7 3" xfId="43401" xr:uid="{00000000-0005-0000-0000-00008EA90000}"/>
    <cellStyle name="Style 28 7 2 8" xfId="43402" xr:uid="{00000000-0005-0000-0000-00008FA90000}"/>
    <cellStyle name="Style 28 7 2 9" xfId="43403" xr:uid="{00000000-0005-0000-0000-000090A90000}"/>
    <cellStyle name="Style 28 7 3" xfId="43404" xr:uid="{00000000-0005-0000-0000-000091A90000}"/>
    <cellStyle name="Style 28 7 3 2" xfId="43405" xr:uid="{00000000-0005-0000-0000-000092A90000}"/>
    <cellStyle name="Style 28 7 3 2 2" xfId="43406" xr:uid="{00000000-0005-0000-0000-000093A90000}"/>
    <cellStyle name="Style 28 7 3 2 2 2" xfId="43407" xr:uid="{00000000-0005-0000-0000-000094A90000}"/>
    <cellStyle name="Style 28 7 3 2 2 3" xfId="43408" xr:uid="{00000000-0005-0000-0000-000095A90000}"/>
    <cellStyle name="Style 28 7 3 2 3" xfId="43409" xr:uid="{00000000-0005-0000-0000-000096A90000}"/>
    <cellStyle name="Style 28 7 3 2 3 2" xfId="43410" xr:uid="{00000000-0005-0000-0000-000097A90000}"/>
    <cellStyle name="Style 28 7 3 2 3 3" xfId="43411" xr:uid="{00000000-0005-0000-0000-000098A90000}"/>
    <cellStyle name="Style 28 7 3 2 4" xfId="43412" xr:uid="{00000000-0005-0000-0000-000099A90000}"/>
    <cellStyle name="Style 28 7 3 2 5" xfId="43413" xr:uid="{00000000-0005-0000-0000-00009AA90000}"/>
    <cellStyle name="Style 28 7 3 2 6" xfId="43414" xr:uid="{00000000-0005-0000-0000-00009BA90000}"/>
    <cellStyle name="Style 28 7 3 3" xfId="43415" xr:uid="{00000000-0005-0000-0000-00009CA90000}"/>
    <cellStyle name="Style 28 7 3 3 2" xfId="43416" xr:uid="{00000000-0005-0000-0000-00009DA90000}"/>
    <cellStyle name="Style 28 7 3 3 3" xfId="43417" xr:uid="{00000000-0005-0000-0000-00009EA90000}"/>
    <cellStyle name="Style 28 7 3 4" xfId="43418" xr:uid="{00000000-0005-0000-0000-00009FA90000}"/>
    <cellStyle name="Style 28 7 3 4 2" xfId="43419" xr:uid="{00000000-0005-0000-0000-0000A0A90000}"/>
    <cellStyle name="Style 28 7 3 4 3" xfId="43420" xr:uid="{00000000-0005-0000-0000-0000A1A90000}"/>
    <cellStyle name="Style 28 7 3 5" xfId="43421" xr:uid="{00000000-0005-0000-0000-0000A2A90000}"/>
    <cellStyle name="Style 28 7 3 5 2" xfId="43422" xr:uid="{00000000-0005-0000-0000-0000A3A90000}"/>
    <cellStyle name="Style 28 7 3 5 3" xfId="43423" xr:uid="{00000000-0005-0000-0000-0000A4A90000}"/>
    <cellStyle name="Style 28 7 3 6" xfId="43424" xr:uid="{00000000-0005-0000-0000-0000A5A90000}"/>
    <cellStyle name="Style 28 7 3 7" xfId="43425" xr:uid="{00000000-0005-0000-0000-0000A6A90000}"/>
    <cellStyle name="Style 28 7 3 8" xfId="43426" xr:uid="{00000000-0005-0000-0000-0000A7A90000}"/>
    <cellStyle name="Style 28 7 4" xfId="43427" xr:uid="{00000000-0005-0000-0000-0000A8A90000}"/>
    <cellStyle name="Style 28 7 4 2" xfId="43428" xr:uid="{00000000-0005-0000-0000-0000A9A90000}"/>
    <cellStyle name="Style 28 7 4 2 2" xfId="43429" xr:uid="{00000000-0005-0000-0000-0000AAA90000}"/>
    <cellStyle name="Style 28 7 4 2 2 2" xfId="43430" xr:uid="{00000000-0005-0000-0000-0000ABA90000}"/>
    <cellStyle name="Style 28 7 4 2 2 3" xfId="43431" xr:uid="{00000000-0005-0000-0000-0000ACA90000}"/>
    <cellStyle name="Style 28 7 4 2 3" xfId="43432" xr:uid="{00000000-0005-0000-0000-0000ADA90000}"/>
    <cellStyle name="Style 28 7 4 2 3 2" xfId="43433" xr:uid="{00000000-0005-0000-0000-0000AEA90000}"/>
    <cellStyle name="Style 28 7 4 2 3 3" xfId="43434" xr:uid="{00000000-0005-0000-0000-0000AFA90000}"/>
    <cellStyle name="Style 28 7 4 2 4" xfId="43435" xr:uid="{00000000-0005-0000-0000-0000B0A90000}"/>
    <cellStyle name="Style 28 7 4 2 5" xfId="43436" xr:uid="{00000000-0005-0000-0000-0000B1A90000}"/>
    <cellStyle name="Style 28 7 4 2 6" xfId="43437" xr:uid="{00000000-0005-0000-0000-0000B2A90000}"/>
    <cellStyle name="Style 28 7 4 3" xfId="43438" xr:uid="{00000000-0005-0000-0000-0000B3A90000}"/>
    <cellStyle name="Style 28 7 4 3 2" xfId="43439" xr:uid="{00000000-0005-0000-0000-0000B4A90000}"/>
    <cellStyle name="Style 28 7 4 3 3" xfId="43440" xr:uid="{00000000-0005-0000-0000-0000B5A90000}"/>
    <cellStyle name="Style 28 7 4 4" xfId="43441" xr:uid="{00000000-0005-0000-0000-0000B6A90000}"/>
    <cellStyle name="Style 28 7 4 4 2" xfId="43442" xr:uid="{00000000-0005-0000-0000-0000B7A90000}"/>
    <cellStyle name="Style 28 7 4 4 3" xfId="43443" xr:uid="{00000000-0005-0000-0000-0000B8A90000}"/>
    <cellStyle name="Style 28 7 4 5" xfId="43444" xr:uid="{00000000-0005-0000-0000-0000B9A90000}"/>
    <cellStyle name="Style 28 7 4 5 2" xfId="43445" xr:uid="{00000000-0005-0000-0000-0000BAA90000}"/>
    <cellStyle name="Style 28 7 4 5 3" xfId="43446" xr:uid="{00000000-0005-0000-0000-0000BBA90000}"/>
    <cellStyle name="Style 28 7 4 6" xfId="43447" xr:uid="{00000000-0005-0000-0000-0000BCA90000}"/>
    <cellStyle name="Style 28 7 4 7" xfId="43448" xr:uid="{00000000-0005-0000-0000-0000BDA90000}"/>
    <cellStyle name="Style 28 7 4 8" xfId="43449" xr:uid="{00000000-0005-0000-0000-0000BEA90000}"/>
    <cellStyle name="Style 28 7 5" xfId="43450" xr:uid="{00000000-0005-0000-0000-0000BFA90000}"/>
    <cellStyle name="Style 28 7 5 2" xfId="43451" xr:uid="{00000000-0005-0000-0000-0000C0A90000}"/>
    <cellStyle name="Style 28 7 5 2 2" xfId="43452" xr:uid="{00000000-0005-0000-0000-0000C1A90000}"/>
    <cellStyle name="Style 28 7 5 2 2 2" xfId="43453" xr:uid="{00000000-0005-0000-0000-0000C2A90000}"/>
    <cellStyle name="Style 28 7 5 2 2 3" xfId="43454" xr:uid="{00000000-0005-0000-0000-0000C3A90000}"/>
    <cellStyle name="Style 28 7 5 2 3" xfId="43455" xr:uid="{00000000-0005-0000-0000-0000C4A90000}"/>
    <cellStyle name="Style 28 7 5 2 3 2" xfId="43456" xr:uid="{00000000-0005-0000-0000-0000C5A90000}"/>
    <cellStyle name="Style 28 7 5 2 3 3" xfId="43457" xr:uid="{00000000-0005-0000-0000-0000C6A90000}"/>
    <cellStyle name="Style 28 7 5 2 4" xfId="43458" xr:uid="{00000000-0005-0000-0000-0000C7A90000}"/>
    <cellStyle name="Style 28 7 5 2 5" xfId="43459" xr:uid="{00000000-0005-0000-0000-0000C8A90000}"/>
    <cellStyle name="Style 28 7 5 2 6" xfId="43460" xr:uid="{00000000-0005-0000-0000-0000C9A90000}"/>
    <cellStyle name="Style 28 7 5 3" xfId="43461" xr:uid="{00000000-0005-0000-0000-0000CAA90000}"/>
    <cellStyle name="Style 28 7 5 3 2" xfId="43462" xr:uid="{00000000-0005-0000-0000-0000CBA90000}"/>
    <cellStyle name="Style 28 7 5 3 3" xfId="43463" xr:uid="{00000000-0005-0000-0000-0000CCA90000}"/>
    <cellStyle name="Style 28 7 5 4" xfId="43464" xr:uid="{00000000-0005-0000-0000-0000CDA90000}"/>
    <cellStyle name="Style 28 7 5 4 2" xfId="43465" xr:uid="{00000000-0005-0000-0000-0000CEA90000}"/>
    <cellStyle name="Style 28 7 5 4 3" xfId="43466" xr:uid="{00000000-0005-0000-0000-0000CFA90000}"/>
    <cellStyle name="Style 28 7 5 5" xfId="43467" xr:uid="{00000000-0005-0000-0000-0000D0A90000}"/>
    <cellStyle name="Style 28 7 5 5 2" xfId="43468" xr:uid="{00000000-0005-0000-0000-0000D1A90000}"/>
    <cellStyle name="Style 28 7 5 5 3" xfId="43469" xr:uid="{00000000-0005-0000-0000-0000D2A90000}"/>
    <cellStyle name="Style 28 7 5 6" xfId="43470" xr:uid="{00000000-0005-0000-0000-0000D3A90000}"/>
    <cellStyle name="Style 28 7 5 7" xfId="43471" xr:uid="{00000000-0005-0000-0000-0000D4A90000}"/>
    <cellStyle name="Style 28 7 5 8" xfId="43472" xr:uid="{00000000-0005-0000-0000-0000D5A90000}"/>
    <cellStyle name="Style 28 7 6" xfId="43473" xr:uid="{00000000-0005-0000-0000-0000D6A90000}"/>
    <cellStyle name="Style 28 7 6 2" xfId="43474" xr:uid="{00000000-0005-0000-0000-0000D7A90000}"/>
    <cellStyle name="Style 28 7 6 2 2" xfId="43475" xr:uid="{00000000-0005-0000-0000-0000D8A90000}"/>
    <cellStyle name="Style 28 7 6 2 3" xfId="43476" xr:uid="{00000000-0005-0000-0000-0000D9A90000}"/>
    <cellStyle name="Style 28 7 6 3" xfId="43477" xr:uid="{00000000-0005-0000-0000-0000DAA90000}"/>
    <cellStyle name="Style 28 7 6 3 2" xfId="43478" xr:uid="{00000000-0005-0000-0000-0000DBA90000}"/>
    <cellStyle name="Style 28 7 6 3 3" xfId="43479" xr:uid="{00000000-0005-0000-0000-0000DCA90000}"/>
    <cellStyle name="Style 28 7 6 4" xfId="43480" xr:uid="{00000000-0005-0000-0000-0000DDA90000}"/>
    <cellStyle name="Style 28 7 6 5" xfId="43481" xr:uid="{00000000-0005-0000-0000-0000DEA90000}"/>
    <cellStyle name="Style 28 7 6 6" xfId="43482" xr:uid="{00000000-0005-0000-0000-0000DFA90000}"/>
    <cellStyle name="Style 28 7 7" xfId="43483" xr:uid="{00000000-0005-0000-0000-0000E0A90000}"/>
    <cellStyle name="Style 28 7 7 2" xfId="43484" xr:uid="{00000000-0005-0000-0000-0000E1A90000}"/>
    <cellStyle name="Style 28 7 7 3" xfId="43485" xr:uid="{00000000-0005-0000-0000-0000E2A90000}"/>
    <cellStyle name="Style 28 7 8" xfId="43486" xr:uid="{00000000-0005-0000-0000-0000E3A90000}"/>
    <cellStyle name="Style 28 7 8 2" xfId="43487" xr:uid="{00000000-0005-0000-0000-0000E4A90000}"/>
    <cellStyle name="Style 28 7 8 3" xfId="43488" xr:uid="{00000000-0005-0000-0000-0000E5A90000}"/>
    <cellStyle name="Style 28 7 9" xfId="43489" xr:uid="{00000000-0005-0000-0000-0000E6A90000}"/>
    <cellStyle name="Style 28 7 9 2" xfId="43490" xr:uid="{00000000-0005-0000-0000-0000E7A90000}"/>
    <cellStyle name="Style 28 7 9 3" xfId="43491" xr:uid="{00000000-0005-0000-0000-0000E8A90000}"/>
    <cellStyle name="Style 28 8" xfId="43492" xr:uid="{00000000-0005-0000-0000-0000E9A90000}"/>
    <cellStyle name="Style 28 8 10" xfId="43493" xr:uid="{00000000-0005-0000-0000-0000EAA90000}"/>
    <cellStyle name="Style 28 8 11" xfId="43494" xr:uid="{00000000-0005-0000-0000-0000EBA90000}"/>
    <cellStyle name="Style 28 8 12" xfId="43495" xr:uid="{00000000-0005-0000-0000-0000ECA90000}"/>
    <cellStyle name="Style 28 8 2" xfId="43496" xr:uid="{00000000-0005-0000-0000-0000EDA90000}"/>
    <cellStyle name="Style 28 8 2 10" xfId="43497" xr:uid="{00000000-0005-0000-0000-0000EEA90000}"/>
    <cellStyle name="Style 28 8 2 2" xfId="43498" xr:uid="{00000000-0005-0000-0000-0000EFA90000}"/>
    <cellStyle name="Style 28 8 2 2 2" xfId="43499" xr:uid="{00000000-0005-0000-0000-0000F0A90000}"/>
    <cellStyle name="Style 28 8 2 2 2 2" xfId="43500" xr:uid="{00000000-0005-0000-0000-0000F1A90000}"/>
    <cellStyle name="Style 28 8 2 2 2 2 2" xfId="43501" xr:uid="{00000000-0005-0000-0000-0000F2A90000}"/>
    <cellStyle name="Style 28 8 2 2 2 2 3" xfId="43502" xr:uid="{00000000-0005-0000-0000-0000F3A90000}"/>
    <cellStyle name="Style 28 8 2 2 2 3" xfId="43503" xr:uid="{00000000-0005-0000-0000-0000F4A90000}"/>
    <cellStyle name="Style 28 8 2 2 2 3 2" xfId="43504" xr:uid="{00000000-0005-0000-0000-0000F5A90000}"/>
    <cellStyle name="Style 28 8 2 2 2 3 3" xfId="43505" xr:uid="{00000000-0005-0000-0000-0000F6A90000}"/>
    <cellStyle name="Style 28 8 2 2 2 4" xfId="43506" xr:uid="{00000000-0005-0000-0000-0000F7A90000}"/>
    <cellStyle name="Style 28 8 2 2 2 5" xfId="43507" xr:uid="{00000000-0005-0000-0000-0000F8A90000}"/>
    <cellStyle name="Style 28 8 2 2 2 6" xfId="43508" xr:uid="{00000000-0005-0000-0000-0000F9A90000}"/>
    <cellStyle name="Style 28 8 2 2 3" xfId="43509" xr:uid="{00000000-0005-0000-0000-0000FAA90000}"/>
    <cellStyle name="Style 28 8 2 2 3 2" xfId="43510" xr:uid="{00000000-0005-0000-0000-0000FBA90000}"/>
    <cellStyle name="Style 28 8 2 2 3 3" xfId="43511" xr:uid="{00000000-0005-0000-0000-0000FCA90000}"/>
    <cellStyle name="Style 28 8 2 2 4" xfId="43512" xr:uid="{00000000-0005-0000-0000-0000FDA90000}"/>
    <cellStyle name="Style 28 8 2 2 4 2" xfId="43513" xr:uid="{00000000-0005-0000-0000-0000FEA90000}"/>
    <cellStyle name="Style 28 8 2 2 4 3" xfId="43514" xr:uid="{00000000-0005-0000-0000-0000FFA90000}"/>
    <cellStyle name="Style 28 8 2 2 5" xfId="43515" xr:uid="{00000000-0005-0000-0000-000000AA0000}"/>
    <cellStyle name="Style 28 8 2 2 5 2" xfId="43516" xr:uid="{00000000-0005-0000-0000-000001AA0000}"/>
    <cellStyle name="Style 28 8 2 2 5 3" xfId="43517" xr:uid="{00000000-0005-0000-0000-000002AA0000}"/>
    <cellStyle name="Style 28 8 2 2 6" xfId="43518" xr:uid="{00000000-0005-0000-0000-000003AA0000}"/>
    <cellStyle name="Style 28 8 2 2 7" xfId="43519" xr:uid="{00000000-0005-0000-0000-000004AA0000}"/>
    <cellStyle name="Style 28 8 2 2 8" xfId="43520" xr:uid="{00000000-0005-0000-0000-000005AA0000}"/>
    <cellStyle name="Style 28 8 2 3" xfId="43521" xr:uid="{00000000-0005-0000-0000-000006AA0000}"/>
    <cellStyle name="Style 28 8 2 3 2" xfId="43522" xr:uid="{00000000-0005-0000-0000-000007AA0000}"/>
    <cellStyle name="Style 28 8 2 3 2 2" xfId="43523" xr:uid="{00000000-0005-0000-0000-000008AA0000}"/>
    <cellStyle name="Style 28 8 2 3 2 2 2" xfId="43524" xr:uid="{00000000-0005-0000-0000-000009AA0000}"/>
    <cellStyle name="Style 28 8 2 3 2 2 3" xfId="43525" xr:uid="{00000000-0005-0000-0000-00000AAA0000}"/>
    <cellStyle name="Style 28 8 2 3 2 3" xfId="43526" xr:uid="{00000000-0005-0000-0000-00000BAA0000}"/>
    <cellStyle name="Style 28 8 2 3 2 3 2" xfId="43527" xr:uid="{00000000-0005-0000-0000-00000CAA0000}"/>
    <cellStyle name="Style 28 8 2 3 2 3 3" xfId="43528" xr:uid="{00000000-0005-0000-0000-00000DAA0000}"/>
    <cellStyle name="Style 28 8 2 3 2 4" xfId="43529" xr:uid="{00000000-0005-0000-0000-00000EAA0000}"/>
    <cellStyle name="Style 28 8 2 3 2 5" xfId="43530" xr:uid="{00000000-0005-0000-0000-00000FAA0000}"/>
    <cellStyle name="Style 28 8 2 3 2 6" xfId="43531" xr:uid="{00000000-0005-0000-0000-000010AA0000}"/>
    <cellStyle name="Style 28 8 2 3 3" xfId="43532" xr:uid="{00000000-0005-0000-0000-000011AA0000}"/>
    <cellStyle name="Style 28 8 2 3 3 2" xfId="43533" xr:uid="{00000000-0005-0000-0000-000012AA0000}"/>
    <cellStyle name="Style 28 8 2 3 3 3" xfId="43534" xr:uid="{00000000-0005-0000-0000-000013AA0000}"/>
    <cellStyle name="Style 28 8 2 3 4" xfId="43535" xr:uid="{00000000-0005-0000-0000-000014AA0000}"/>
    <cellStyle name="Style 28 8 2 3 4 2" xfId="43536" xr:uid="{00000000-0005-0000-0000-000015AA0000}"/>
    <cellStyle name="Style 28 8 2 3 4 3" xfId="43537" xr:uid="{00000000-0005-0000-0000-000016AA0000}"/>
    <cellStyle name="Style 28 8 2 3 5" xfId="43538" xr:uid="{00000000-0005-0000-0000-000017AA0000}"/>
    <cellStyle name="Style 28 8 2 3 5 2" xfId="43539" xr:uid="{00000000-0005-0000-0000-000018AA0000}"/>
    <cellStyle name="Style 28 8 2 3 5 3" xfId="43540" xr:uid="{00000000-0005-0000-0000-000019AA0000}"/>
    <cellStyle name="Style 28 8 2 3 6" xfId="43541" xr:uid="{00000000-0005-0000-0000-00001AAA0000}"/>
    <cellStyle name="Style 28 8 2 3 7" xfId="43542" xr:uid="{00000000-0005-0000-0000-00001BAA0000}"/>
    <cellStyle name="Style 28 8 2 3 8" xfId="43543" xr:uid="{00000000-0005-0000-0000-00001CAA0000}"/>
    <cellStyle name="Style 28 8 2 4" xfId="43544" xr:uid="{00000000-0005-0000-0000-00001DAA0000}"/>
    <cellStyle name="Style 28 8 2 4 2" xfId="43545" xr:uid="{00000000-0005-0000-0000-00001EAA0000}"/>
    <cellStyle name="Style 28 8 2 4 2 2" xfId="43546" xr:uid="{00000000-0005-0000-0000-00001FAA0000}"/>
    <cellStyle name="Style 28 8 2 4 2 3" xfId="43547" xr:uid="{00000000-0005-0000-0000-000020AA0000}"/>
    <cellStyle name="Style 28 8 2 4 3" xfId="43548" xr:uid="{00000000-0005-0000-0000-000021AA0000}"/>
    <cellStyle name="Style 28 8 2 4 3 2" xfId="43549" xr:uid="{00000000-0005-0000-0000-000022AA0000}"/>
    <cellStyle name="Style 28 8 2 4 3 3" xfId="43550" xr:uid="{00000000-0005-0000-0000-000023AA0000}"/>
    <cellStyle name="Style 28 8 2 4 4" xfId="43551" xr:uid="{00000000-0005-0000-0000-000024AA0000}"/>
    <cellStyle name="Style 28 8 2 4 5" xfId="43552" xr:uid="{00000000-0005-0000-0000-000025AA0000}"/>
    <cellStyle name="Style 28 8 2 4 6" xfId="43553" xr:uid="{00000000-0005-0000-0000-000026AA0000}"/>
    <cellStyle name="Style 28 8 2 5" xfId="43554" xr:uid="{00000000-0005-0000-0000-000027AA0000}"/>
    <cellStyle name="Style 28 8 2 5 2" xfId="43555" xr:uid="{00000000-0005-0000-0000-000028AA0000}"/>
    <cellStyle name="Style 28 8 2 5 3" xfId="43556" xr:uid="{00000000-0005-0000-0000-000029AA0000}"/>
    <cellStyle name="Style 28 8 2 6" xfId="43557" xr:uid="{00000000-0005-0000-0000-00002AAA0000}"/>
    <cellStyle name="Style 28 8 2 6 2" xfId="43558" xr:uid="{00000000-0005-0000-0000-00002BAA0000}"/>
    <cellStyle name="Style 28 8 2 6 3" xfId="43559" xr:uid="{00000000-0005-0000-0000-00002CAA0000}"/>
    <cellStyle name="Style 28 8 2 7" xfId="43560" xr:uid="{00000000-0005-0000-0000-00002DAA0000}"/>
    <cellStyle name="Style 28 8 2 7 2" xfId="43561" xr:uid="{00000000-0005-0000-0000-00002EAA0000}"/>
    <cellStyle name="Style 28 8 2 7 3" xfId="43562" xr:uid="{00000000-0005-0000-0000-00002FAA0000}"/>
    <cellStyle name="Style 28 8 2 8" xfId="43563" xr:uid="{00000000-0005-0000-0000-000030AA0000}"/>
    <cellStyle name="Style 28 8 2 9" xfId="43564" xr:uid="{00000000-0005-0000-0000-000031AA0000}"/>
    <cellStyle name="Style 28 8 3" xfId="43565" xr:uid="{00000000-0005-0000-0000-000032AA0000}"/>
    <cellStyle name="Style 28 8 3 2" xfId="43566" xr:uid="{00000000-0005-0000-0000-000033AA0000}"/>
    <cellStyle name="Style 28 8 3 2 2" xfId="43567" xr:uid="{00000000-0005-0000-0000-000034AA0000}"/>
    <cellStyle name="Style 28 8 3 2 2 2" xfId="43568" xr:uid="{00000000-0005-0000-0000-000035AA0000}"/>
    <cellStyle name="Style 28 8 3 2 2 3" xfId="43569" xr:uid="{00000000-0005-0000-0000-000036AA0000}"/>
    <cellStyle name="Style 28 8 3 2 3" xfId="43570" xr:uid="{00000000-0005-0000-0000-000037AA0000}"/>
    <cellStyle name="Style 28 8 3 2 3 2" xfId="43571" xr:uid="{00000000-0005-0000-0000-000038AA0000}"/>
    <cellStyle name="Style 28 8 3 2 3 3" xfId="43572" xr:uid="{00000000-0005-0000-0000-000039AA0000}"/>
    <cellStyle name="Style 28 8 3 2 4" xfId="43573" xr:uid="{00000000-0005-0000-0000-00003AAA0000}"/>
    <cellStyle name="Style 28 8 3 2 5" xfId="43574" xr:uid="{00000000-0005-0000-0000-00003BAA0000}"/>
    <cellStyle name="Style 28 8 3 2 6" xfId="43575" xr:uid="{00000000-0005-0000-0000-00003CAA0000}"/>
    <cellStyle name="Style 28 8 3 3" xfId="43576" xr:uid="{00000000-0005-0000-0000-00003DAA0000}"/>
    <cellStyle name="Style 28 8 3 3 2" xfId="43577" xr:uid="{00000000-0005-0000-0000-00003EAA0000}"/>
    <cellStyle name="Style 28 8 3 3 3" xfId="43578" xr:uid="{00000000-0005-0000-0000-00003FAA0000}"/>
    <cellStyle name="Style 28 8 3 4" xfId="43579" xr:uid="{00000000-0005-0000-0000-000040AA0000}"/>
    <cellStyle name="Style 28 8 3 4 2" xfId="43580" xr:uid="{00000000-0005-0000-0000-000041AA0000}"/>
    <cellStyle name="Style 28 8 3 4 3" xfId="43581" xr:uid="{00000000-0005-0000-0000-000042AA0000}"/>
    <cellStyle name="Style 28 8 3 5" xfId="43582" xr:uid="{00000000-0005-0000-0000-000043AA0000}"/>
    <cellStyle name="Style 28 8 3 5 2" xfId="43583" xr:uid="{00000000-0005-0000-0000-000044AA0000}"/>
    <cellStyle name="Style 28 8 3 5 3" xfId="43584" xr:uid="{00000000-0005-0000-0000-000045AA0000}"/>
    <cellStyle name="Style 28 8 3 6" xfId="43585" xr:uid="{00000000-0005-0000-0000-000046AA0000}"/>
    <cellStyle name="Style 28 8 3 7" xfId="43586" xr:uid="{00000000-0005-0000-0000-000047AA0000}"/>
    <cellStyle name="Style 28 8 3 8" xfId="43587" xr:uid="{00000000-0005-0000-0000-000048AA0000}"/>
    <cellStyle name="Style 28 8 4" xfId="43588" xr:uid="{00000000-0005-0000-0000-000049AA0000}"/>
    <cellStyle name="Style 28 8 4 2" xfId="43589" xr:uid="{00000000-0005-0000-0000-00004AAA0000}"/>
    <cellStyle name="Style 28 8 4 2 2" xfId="43590" xr:uid="{00000000-0005-0000-0000-00004BAA0000}"/>
    <cellStyle name="Style 28 8 4 2 2 2" xfId="43591" xr:uid="{00000000-0005-0000-0000-00004CAA0000}"/>
    <cellStyle name="Style 28 8 4 2 2 3" xfId="43592" xr:uid="{00000000-0005-0000-0000-00004DAA0000}"/>
    <cellStyle name="Style 28 8 4 2 3" xfId="43593" xr:uid="{00000000-0005-0000-0000-00004EAA0000}"/>
    <cellStyle name="Style 28 8 4 2 3 2" xfId="43594" xr:uid="{00000000-0005-0000-0000-00004FAA0000}"/>
    <cellStyle name="Style 28 8 4 2 3 3" xfId="43595" xr:uid="{00000000-0005-0000-0000-000050AA0000}"/>
    <cellStyle name="Style 28 8 4 2 4" xfId="43596" xr:uid="{00000000-0005-0000-0000-000051AA0000}"/>
    <cellStyle name="Style 28 8 4 2 5" xfId="43597" xr:uid="{00000000-0005-0000-0000-000052AA0000}"/>
    <cellStyle name="Style 28 8 4 2 6" xfId="43598" xr:uid="{00000000-0005-0000-0000-000053AA0000}"/>
    <cellStyle name="Style 28 8 4 3" xfId="43599" xr:uid="{00000000-0005-0000-0000-000054AA0000}"/>
    <cellStyle name="Style 28 8 4 3 2" xfId="43600" xr:uid="{00000000-0005-0000-0000-000055AA0000}"/>
    <cellStyle name="Style 28 8 4 3 3" xfId="43601" xr:uid="{00000000-0005-0000-0000-000056AA0000}"/>
    <cellStyle name="Style 28 8 4 4" xfId="43602" xr:uid="{00000000-0005-0000-0000-000057AA0000}"/>
    <cellStyle name="Style 28 8 4 4 2" xfId="43603" xr:uid="{00000000-0005-0000-0000-000058AA0000}"/>
    <cellStyle name="Style 28 8 4 4 3" xfId="43604" xr:uid="{00000000-0005-0000-0000-000059AA0000}"/>
    <cellStyle name="Style 28 8 4 5" xfId="43605" xr:uid="{00000000-0005-0000-0000-00005AAA0000}"/>
    <cellStyle name="Style 28 8 4 5 2" xfId="43606" xr:uid="{00000000-0005-0000-0000-00005BAA0000}"/>
    <cellStyle name="Style 28 8 4 5 3" xfId="43607" xr:uid="{00000000-0005-0000-0000-00005CAA0000}"/>
    <cellStyle name="Style 28 8 4 6" xfId="43608" xr:uid="{00000000-0005-0000-0000-00005DAA0000}"/>
    <cellStyle name="Style 28 8 4 7" xfId="43609" xr:uid="{00000000-0005-0000-0000-00005EAA0000}"/>
    <cellStyle name="Style 28 8 4 8" xfId="43610" xr:uid="{00000000-0005-0000-0000-00005FAA0000}"/>
    <cellStyle name="Style 28 8 5" xfId="43611" xr:uid="{00000000-0005-0000-0000-000060AA0000}"/>
    <cellStyle name="Style 28 8 5 2" xfId="43612" xr:uid="{00000000-0005-0000-0000-000061AA0000}"/>
    <cellStyle name="Style 28 8 5 2 2" xfId="43613" xr:uid="{00000000-0005-0000-0000-000062AA0000}"/>
    <cellStyle name="Style 28 8 5 2 2 2" xfId="43614" xr:uid="{00000000-0005-0000-0000-000063AA0000}"/>
    <cellStyle name="Style 28 8 5 2 2 3" xfId="43615" xr:uid="{00000000-0005-0000-0000-000064AA0000}"/>
    <cellStyle name="Style 28 8 5 2 3" xfId="43616" xr:uid="{00000000-0005-0000-0000-000065AA0000}"/>
    <cellStyle name="Style 28 8 5 2 3 2" xfId="43617" xr:uid="{00000000-0005-0000-0000-000066AA0000}"/>
    <cellStyle name="Style 28 8 5 2 3 3" xfId="43618" xr:uid="{00000000-0005-0000-0000-000067AA0000}"/>
    <cellStyle name="Style 28 8 5 2 4" xfId="43619" xr:uid="{00000000-0005-0000-0000-000068AA0000}"/>
    <cellStyle name="Style 28 8 5 2 5" xfId="43620" xr:uid="{00000000-0005-0000-0000-000069AA0000}"/>
    <cellStyle name="Style 28 8 5 2 6" xfId="43621" xr:uid="{00000000-0005-0000-0000-00006AAA0000}"/>
    <cellStyle name="Style 28 8 5 3" xfId="43622" xr:uid="{00000000-0005-0000-0000-00006BAA0000}"/>
    <cellStyle name="Style 28 8 5 3 2" xfId="43623" xr:uid="{00000000-0005-0000-0000-00006CAA0000}"/>
    <cellStyle name="Style 28 8 5 3 3" xfId="43624" xr:uid="{00000000-0005-0000-0000-00006DAA0000}"/>
    <cellStyle name="Style 28 8 5 4" xfId="43625" xr:uid="{00000000-0005-0000-0000-00006EAA0000}"/>
    <cellStyle name="Style 28 8 5 4 2" xfId="43626" xr:uid="{00000000-0005-0000-0000-00006FAA0000}"/>
    <cellStyle name="Style 28 8 5 4 3" xfId="43627" xr:uid="{00000000-0005-0000-0000-000070AA0000}"/>
    <cellStyle name="Style 28 8 5 5" xfId="43628" xr:uid="{00000000-0005-0000-0000-000071AA0000}"/>
    <cellStyle name="Style 28 8 5 5 2" xfId="43629" xr:uid="{00000000-0005-0000-0000-000072AA0000}"/>
    <cellStyle name="Style 28 8 5 5 3" xfId="43630" xr:uid="{00000000-0005-0000-0000-000073AA0000}"/>
    <cellStyle name="Style 28 8 5 6" xfId="43631" xr:uid="{00000000-0005-0000-0000-000074AA0000}"/>
    <cellStyle name="Style 28 8 5 7" xfId="43632" xr:uid="{00000000-0005-0000-0000-000075AA0000}"/>
    <cellStyle name="Style 28 8 5 8" xfId="43633" xr:uid="{00000000-0005-0000-0000-000076AA0000}"/>
    <cellStyle name="Style 28 8 6" xfId="43634" xr:uid="{00000000-0005-0000-0000-000077AA0000}"/>
    <cellStyle name="Style 28 8 6 2" xfId="43635" xr:uid="{00000000-0005-0000-0000-000078AA0000}"/>
    <cellStyle name="Style 28 8 6 2 2" xfId="43636" xr:uid="{00000000-0005-0000-0000-000079AA0000}"/>
    <cellStyle name="Style 28 8 6 2 3" xfId="43637" xr:uid="{00000000-0005-0000-0000-00007AAA0000}"/>
    <cellStyle name="Style 28 8 6 3" xfId="43638" xr:uid="{00000000-0005-0000-0000-00007BAA0000}"/>
    <cellStyle name="Style 28 8 6 3 2" xfId="43639" xr:uid="{00000000-0005-0000-0000-00007CAA0000}"/>
    <cellStyle name="Style 28 8 6 3 3" xfId="43640" xr:uid="{00000000-0005-0000-0000-00007DAA0000}"/>
    <cellStyle name="Style 28 8 6 4" xfId="43641" xr:uid="{00000000-0005-0000-0000-00007EAA0000}"/>
    <cellStyle name="Style 28 8 6 5" xfId="43642" xr:uid="{00000000-0005-0000-0000-00007FAA0000}"/>
    <cellStyle name="Style 28 8 6 6" xfId="43643" xr:uid="{00000000-0005-0000-0000-000080AA0000}"/>
    <cellStyle name="Style 28 8 7" xfId="43644" xr:uid="{00000000-0005-0000-0000-000081AA0000}"/>
    <cellStyle name="Style 28 8 7 2" xfId="43645" xr:uid="{00000000-0005-0000-0000-000082AA0000}"/>
    <cellStyle name="Style 28 8 7 3" xfId="43646" xr:uid="{00000000-0005-0000-0000-000083AA0000}"/>
    <cellStyle name="Style 28 8 8" xfId="43647" xr:uid="{00000000-0005-0000-0000-000084AA0000}"/>
    <cellStyle name="Style 28 8 8 2" xfId="43648" xr:uid="{00000000-0005-0000-0000-000085AA0000}"/>
    <cellStyle name="Style 28 8 8 3" xfId="43649" xr:uid="{00000000-0005-0000-0000-000086AA0000}"/>
    <cellStyle name="Style 28 8 9" xfId="43650" xr:uid="{00000000-0005-0000-0000-000087AA0000}"/>
    <cellStyle name="Style 28 8 9 2" xfId="43651" xr:uid="{00000000-0005-0000-0000-000088AA0000}"/>
    <cellStyle name="Style 28 8 9 3" xfId="43652" xr:uid="{00000000-0005-0000-0000-000089AA0000}"/>
    <cellStyle name="Style 28 9" xfId="43653" xr:uid="{00000000-0005-0000-0000-00008AAA0000}"/>
    <cellStyle name="Style 28 9 10" xfId="43654" xr:uid="{00000000-0005-0000-0000-00008BAA0000}"/>
    <cellStyle name="Style 28 9 11" xfId="43655" xr:uid="{00000000-0005-0000-0000-00008CAA0000}"/>
    <cellStyle name="Style 28 9 12" xfId="43656" xr:uid="{00000000-0005-0000-0000-00008DAA0000}"/>
    <cellStyle name="Style 28 9 2" xfId="43657" xr:uid="{00000000-0005-0000-0000-00008EAA0000}"/>
    <cellStyle name="Style 28 9 2 10" xfId="43658" xr:uid="{00000000-0005-0000-0000-00008FAA0000}"/>
    <cellStyle name="Style 28 9 2 2" xfId="43659" xr:uid="{00000000-0005-0000-0000-000090AA0000}"/>
    <cellStyle name="Style 28 9 2 2 2" xfId="43660" xr:uid="{00000000-0005-0000-0000-000091AA0000}"/>
    <cellStyle name="Style 28 9 2 2 2 2" xfId="43661" xr:uid="{00000000-0005-0000-0000-000092AA0000}"/>
    <cellStyle name="Style 28 9 2 2 2 2 2" xfId="43662" xr:uid="{00000000-0005-0000-0000-000093AA0000}"/>
    <cellStyle name="Style 28 9 2 2 2 2 3" xfId="43663" xr:uid="{00000000-0005-0000-0000-000094AA0000}"/>
    <cellStyle name="Style 28 9 2 2 2 3" xfId="43664" xr:uid="{00000000-0005-0000-0000-000095AA0000}"/>
    <cellStyle name="Style 28 9 2 2 2 3 2" xfId="43665" xr:uid="{00000000-0005-0000-0000-000096AA0000}"/>
    <cellStyle name="Style 28 9 2 2 2 3 3" xfId="43666" xr:uid="{00000000-0005-0000-0000-000097AA0000}"/>
    <cellStyle name="Style 28 9 2 2 2 4" xfId="43667" xr:uid="{00000000-0005-0000-0000-000098AA0000}"/>
    <cellStyle name="Style 28 9 2 2 2 5" xfId="43668" xr:uid="{00000000-0005-0000-0000-000099AA0000}"/>
    <cellStyle name="Style 28 9 2 2 2 6" xfId="43669" xr:uid="{00000000-0005-0000-0000-00009AAA0000}"/>
    <cellStyle name="Style 28 9 2 2 3" xfId="43670" xr:uid="{00000000-0005-0000-0000-00009BAA0000}"/>
    <cellStyle name="Style 28 9 2 2 3 2" xfId="43671" xr:uid="{00000000-0005-0000-0000-00009CAA0000}"/>
    <cellStyle name="Style 28 9 2 2 3 3" xfId="43672" xr:uid="{00000000-0005-0000-0000-00009DAA0000}"/>
    <cellStyle name="Style 28 9 2 2 4" xfId="43673" xr:uid="{00000000-0005-0000-0000-00009EAA0000}"/>
    <cellStyle name="Style 28 9 2 2 4 2" xfId="43674" xr:uid="{00000000-0005-0000-0000-00009FAA0000}"/>
    <cellStyle name="Style 28 9 2 2 4 3" xfId="43675" xr:uid="{00000000-0005-0000-0000-0000A0AA0000}"/>
    <cellStyle name="Style 28 9 2 2 5" xfId="43676" xr:uid="{00000000-0005-0000-0000-0000A1AA0000}"/>
    <cellStyle name="Style 28 9 2 2 5 2" xfId="43677" xr:uid="{00000000-0005-0000-0000-0000A2AA0000}"/>
    <cellStyle name="Style 28 9 2 2 5 3" xfId="43678" xr:uid="{00000000-0005-0000-0000-0000A3AA0000}"/>
    <cellStyle name="Style 28 9 2 2 6" xfId="43679" xr:uid="{00000000-0005-0000-0000-0000A4AA0000}"/>
    <cellStyle name="Style 28 9 2 2 7" xfId="43680" xr:uid="{00000000-0005-0000-0000-0000A5AA0000}"/>
    <cellStyle name="Style 28 9 2 2 8" xfId="43681" xr:uid="{00000000-0005-0000-0000-0000A6AA0000}"/>
    <cellStyle name="Style 28 9 2 3" xfId="43682" xr:uid="{00000000-0005-0000-0000-0000A7AA0000}"/>
    <cellStyle name="Style 28 9 2 3 2" xfId="43683" xr:uid="{00000000-0005-0000-0000-0000A8AA0000}"/>
    <cellStyle name="Style 28 9 2 3 2 2" xfId="43684" xr:uid="{00000000-0005-0000-0000-0000A9AA0000}"/>
    <cellStyle name="Style 28 9 2 3 2 2 2" xfId="43685" xr:uid="{00000000-0005-0000-0000-0000AAAA0000}"/>
    <cellStyle name="Style 28 9 2 3 2 2 3" xfId="43686" xr:uid="{00000000-0005-0000-0000-0000ABAA0000}"/>
    <cellStyle name="Style 28 9 2 3 2 3" xfId="43687" xr:uid="{00000000-0005-0000-0000-0000ACAA0000}"/>
    <cellStyle name="Style 28 9 2 3 2 3 2" xfId="43688" xr:uid="{00000000-0005-0000-0000-0000ADAA0000}"/>
    <cellStyle name="Style 28 9 2 3 2 3 3" xfId="43689" xr:uid="{00000000-0005-0000-0000-0000AEAA0000}"/>
    <cellStyle name="Style 28 9 2 3 2 4" xfId="43690" xr:uid="{00000000-0005-0000-0000-0000AFAA0000}"/>
    <cellStyle name="Style 28 9 2 3 2 5" xfId="43691" xr:uid="{00000000-0005-0000-0000-0000B0AA0000}"/>
    <cellStyle name="Style 28 9 2 3 2 6" xfId="43692" xr:uid="{00000000-0005-0000-0000-0000B1AA0000}"/>
    <cellStyle name="Style 28 9 2 3 3" xfId="43693" xr:uid="{00000000-0005-0000-0000-0000B2AA0000}"/>
    <cellStyle name="Style 28 9 2 3 3 2" xfId="43694" xr:uid="{00000000-0005-0000-0000-0000B3AA0000}"/>
    <cellStyle name="Style 28 9 2 3 3 3" xfId="43695" xr:uid="{00000000-0005-0000-0000-0000B4AA0000}"/>
    <cellStyle name="Style 28 9 2 3 4" xfId="43696" xr:uid="{00000000-0005-0000-0000-0000B5AA0000}"/>
    <cellStyle name="Style 28 9 2 3 4 2" xfId="43697" xr:uid="{00000000-0005-0000-0000-0000B6AA0000}"/>
    <cellStyle name="Style 28 9 2 3 4 3" xfId="43698" xr:uid="{00000000-0005-0000-0000-0000B7AA0000}"/>
    <cellStyle name="Style 28 9 2 3 5" xfId="43699" xr:uid="{00000000-0005-0000-0000-0000B8AA0000}"/>
    <cellStyle name="Style 28 9 2 3 5 2" xfId="43700" xr:uid="{00000000-0005-0000-0000-0000B9AA0000}"/>
    <cellStyle name="Style 28 9 2 3 5 3" xfId="43701" xr:uid="{00000000-0005-0000-0000-0000BAAA0000}"/>
    <cellStyle name="Style 28 9 2 3 6" xfId="43702" xr:uid="{00000000-0005-0000-0000-0000BBAA0000}"/>
    <cellStyle name="Style 28 9 2 3 7" xfId="43703" xr:uid="{00000000-0005-0000-0000-0000BCAA0000}"/>
    <cellStyle name="Style 28 9 2 3 8" xfId="43704" xr:uid="{00000000-0005-0000-0000-0000BDAA0000}"/>
    <cellStyle name="Style 28 9 2 4" xfId="43705" xr:uid="{00000000-0005-0000-0000-0000BEAA0000}"/>
    <cellStyle name="Style 28 9 2 4 2" xfId="43706" xr:uid="{00000000-0005-0000-0000-0000BFAA0000}"/>
    <cellStyle name="Style 28 9 2 4 2 2" xfId="43707" xr:uid="{00000000-0005-0000-0000-0000C0AA0000}"/>
    <cellStyle name="Style 28 9 2 4 2 3" xfId="43708" xr:uid="{00000000-0005-0000-0000-0000C1AA0000}"/>
    <cellStyle name="Style 28 9 2 4 3" xfId="43709" xr:uid="{00000000-0005-0000-0000-0000C2AA0000}"/>
    <cellStyle name="Style 28 9 2 4 3 2" xfId="43710" xr:uid="{00000000-0005-0000-0000-0000C3AA0000}"/>
    <cellStyle name="Style 28 9 2 4 3 3" xfId="43711" xr:uid="{00000000-0005-0000-0000-0000C4AA0000}"/>
    <cellStyle name="Style 28 9 2 4 4" xfId="43712" xr:uid="{00000000-0005-0000-0000-0000C5AA0000}"/>
    <cellStyle name="Style 28 9 2 4 5" xfId="43713" xr:uid="{00000000-0005-0000-0000-0000C6AA0000}"/>
    <cellStyle name="Style 28 9 2 4 6" xfId="43714" xr:uid="{00000000-0005-0000-0000-0000C7AA0000}"/>
    <cellStyle name="Style 28 9 2 5" xfId="43715" xr:uid="{00000000-0005-0000-0000-0000C8AA0000}"/>
    <cellStyle name="Style 28 9 2 5 2" xfId="43716" xr:uid="{00000000-0005-0000-0000-0000C9AA0000}"/>
    <cellStyle name="Style 28 9 2 5 3" xfId="43717" xr:uid="{00000000-0005-0000-0000-0000CAAA0000}"/>
    <cellStyle name="Style 28 9 2 6" xfId="43718" xr:uid="{00000000-0005-0000-0000-0000CBAA0000}"/>
    <cellStyle name="Style 28 9 2 6 2" xfId="43719" xr:uid="{00000000-0005-0000-0000-0000CCAA0000}"/>
    <cellStyle name="Style 28 9 2 6 3" xfId="43720" xr:uid="{00000000-0005-0000-0000-0000CDAA0000}"/>
    <cellStyle name="Style 28 9 2 7" xfId="43721" xr:uid="{00000000-0005-0000-0000-0000CEAA0000}"/>
    <cellStyle name="Style 28 9 2 7 2" xfId="43722" xr:uid="{00000000-0005-0000-0000-0000CFAA0000}"/>
    <cellStyle name="Style 28 9 2 7 3" xfId="43723" xr:uid="{00000000-0005-0000-0000-0000D0AA0000}"/>
    <cellStyle name="Style 28 9 2 8" xfId="43724" xr:uid="{00000000-0005-0000-0000-0000D1AA0000}"/>
    <cellStyle name="Style 28 9 2 9" xfId="43725" xr:uid="{00000000-0005-0000-0000-0000D2AA0000}"/>
    <cellStyle name="Style 28 9 3" xfId="43726" xr:uid="{00000000-0005-0000-0000-0000D3AA0000}"/>
    <cellStyle name="Style 28 9 3 2" xfId="43727" xr:uid="{00000000-0005-0000-0000-0000D4AA0000}"/>
    <cellStyle name="Style 28 9 3 2 2" xfId="43728" xr:uid="{00000000-0005-0000-0000-0000D5AA0000}"/>
    <cellStyle name="Style 28 9 3 2 2 2" xfId="43729" xr:uid="{00000000-0005-0000-0000-0000D6AA0000}"/>
    <cellStyle name="Style 28 9 3 2 2 3" xfId="43730" xr:uid="{00000000-0005-0000-0000-0000D7AA0000}"/>
    <cellStyle name="Style 28 9 3 2 3" xfId="43731" xr:uid="{00000000-0005-0000-0000-0000D8AA0000}"/>
    <cellStyle name="Style 28 9 3 2 3 2" xfId="43732" xr:uid="{00000000-0005-0000-0000-0000D9AA0000}"/>
    <cellStyle name="Style 28 9 3 2 3 3" xfId="43733" xr:uid="{00000000-0005-0000-0000-0000DAAA0000}"/>
    <cellStyle name="Style 28 9 3 2 4" xfId="43734" xr:uid="{00000000-0005-0000-0000-0000DBAA0000}"/>
    <cellStyle name="Style 28 9 3 2 5" xfId="43735" xr:uid="{00000000-0005-0000-0000-0000DCAA0000}"/>
    <cellStyle name="Style 28 9 3 2 6" xfId="43736" xr:uid="{00000000-0005-0000-0000-0000DDAA0000}"/>
    <cellStyle name="Style 28 9 3 3" xfId="43737" xr:uid="{00000000-0005-0000-0000-0000DEAA0000}"/>
    <cellStyle name="Style 28 9 3 3 2" xfId="43738" xr:uid="{00000000-0005-0000-0000-0000DFAA0000}"/>
    <cellStyle name="Style 28 9 3 3 3" xfId="43739" xr:uid="{00000000-0005-0000-0000-0000E0AA0000}"/>
    <cellStyle name="Style 28 9 3 4" xfId="43740" xr:uid="{00000000-0005-0000-0000-0000E1AA0000}"/>
    <cellStyle name="Style 28 9 3 4 2" xfId="43741" xr:uid="{00000000-0005-0000-0000-0000E2AA0000}"/>
    <cellStyle name="Style 28 9 3 4 3" xfId="43742" xr:uid="{00000000-0005-0000-0000-0000E3AA0000}"/>
    <cellStyle name="Style 28 9 3 5" xfId="43743" xr:uid="{00000000-0005-0000-0000-0000E4AA0000}"/>
    <cellStyle name="Style 28 9 3 5 2" xfId="43744" xr:uid="{00000000-0005-0000-0000-0000E5AA0000}"/>
    <cellStyle name="Style 28 9 3 5 3" xfId="43745" xr:uid="{00000000-0005-0000-0000-0000E6AA0000}"/>
    <cellStyle name="Style 28 9 3 6" xfId="43746" xr:uid="{00000000-0005-0000-0000-0000E7AA0000}"/>
    <cellStyle name="Style 28 9 3 7" xfId="43747" xr:uid="{00000000-0005-0000-0000-0000E8AA0000}"/>
    <cellStyle name="Style 28 9 3 8" xfId="43748" xr:uid="{00000000-0005-0000-0000-0000E9AA0000}"/>
    <cellStyle name="Style 28 9 4" xfId="43749" xr:uid="{00000000-0005-0000-0000-0000EAAA0000}"/>
    <cellStyle name="Style 28 9 4 2" xfId="43750" xr:uid="{00000000-0005-0000-0000-0000EBAA0000}"/>
    <cellStyle name="Style 28 9 4 2 2" xfId="43751" xr:uid="{00000000-0005-0000-0000-0000ECAA0000}"/>
    <cellStyle name="Style 28 9 4 2 2 2" xfId="43752" xr:uid="{00000000-0005-0000-0000-0000EDAA0000}"/>
    <cellStyle name="Style 28 9 4 2 2 3" xfId="43753" xr:uid="{00000000-0005-0000-0000-0000EEAA0000}"/>
    <cellStyle name="Style 28 9 4 2 3" xfId="43754" xr:uid="{00000000-0005-0000-0000-0000EFAA0000}"/>
    <cellStyle name="Style 28 9 4 2 3 2" xfId="43755" xr:uid="{00000000-0005-0000-0000-0000F0AA0000}"/>
    <cellStyle name="Style 28 9 4 2 3 3" xfId="43756" xr:uid="{00000000-0005-0000-0000-0000F1AA0000}"/>
    <cellStyle name="Style 28 9 4 2 4" xfId="43757" xr:uid="{00000000-0005-0000-0000-0000F2AA0000}"/>
    <cellStyle name="Style 28 9 4 2 5" xfId="43758" xr:uid="{00000000-0005-0000-0000-0000F3AA0000}"/>
    <cellStyle name="Style 28 9 4 2 6" xfId="43759" xr:uid="{00000000-0005-0000-0000-0000F4AA0000}"/>
    <cellStyle name="Style 28 9 4 3" xfId="43760" xr:uid="{00000000-0005-0000-0000-0000F5AA0000}"/>
    <cellStyle name="Style 28 9 4 3 2" xfId="43761" xr:uid="{00000000-0005-0000-0000-0000F6AA0000}"/>
    <cellStyle name="Style 28 9 4 3 3" xfId="43762" xr:uid="{00000000-0005-0000-0000-0000F7AA0000}"/>
    <cellStyle name="Style 28 9 4 4" xfId="43763" xr:uid="{00000000-0005-0000-0000-0000F8AA0000}"/>
    <cellStyle name="Style 28 9 4 4 2" xfId="43764" xr:uid="{00000000-0005-0000-0000-0000F9AA0000}"/>
    <cellStyle name="Style 28 9 4 4 3" xfId="43765" xr:uid="{00000000-0005-0000-0000-0000FAAA0000}"/>
    <cellStyle name="Style 28 9 4 5" xfId="43766" xr:uid="{00000000-0005-0000-0000-0000FBAA0000}"/>
    <cellStyle name="Style 28 9 4 5 2" xfId="43767" xr:uid="{00000000-0005-0000-0000-0000FCAA0000}"/>
    <cellStyle name="Style 28 9 4 5 3" xfId="43768" xr:uid="{00000000-0005-0000-0000-0000FDAA0000}"/>
    <cellStyle name="Style 28 9 4 6" xfId="43769" xr:uid="{00000000-0005-0000-0000-0000FEAA0000}"/>
    <cellStyle name="Style 28 9 4 7" xfId="43770" xr:uid="{00000000-0005-0000-0000-0000FFAA0000}"/>
    <cellStyle name="Style 28 9 4 8" xfId="43771" xr:uid="{00000000-0005-0000-0000-000000AB0000}"/>
    <cellStyle name="Style 28 9 5" xfId="43772" xr:uid="{00000000-0005-0000-0000-000001AB0000}"/>
    <cellStyle name="Style 28 9 5 2" xfId="43773" xr:uid="{00000000-0005-0000-0000-000002AB0000}"/>
    <cellStyle name="Style 28 9 5 2 2" xfId="43774" xr:uid="{00000000-0005-0000-0000-000003AB0000}"/>
    <cellStyle name="Style 28 9 5 2 2 2" xfId="43775" xr:uid="{00000000-0005-0000-0000-000004AB0000}"/>
    <cellStyle name="Style 28 9 5 2 2 3" xfId="43776" xr:uid="{00000000-0005-0000-0000-000005AB0000}"/>
    <cellStyle name="Style 28 9 5 2 3" xfId="43777" xr:uid="{00000000-0005-0000-0000-000006AB0000}"/>
    <cellStyle name="Style 28 9 5 2 3 2" xfId="43778" xr:uid="{00000000-0005-0000-0000-000007AB0000}"/>
    <cellStyle name="Style 28 9 5 2 3 3" xfId="43779" xr:uid="{00000000-0005-0000-0000-000008AB0000}"/>
    <cellStyle name="Style 28 9 5 2 4" xfId="43780" xr:uid="{00000000-0005-0000-0000-000009AB0000}"/>
    <cellStyle name="Style 28 9 5 2 5" xfId="43781" xr:uid="{00000000-0005-0000-0000-00000AAB0000}"/>
    <cellStyle name="Style 28 9 5 2 6" xfId="43782" xr:uid="{00000000-0005-0000-0000-00000BAB0000}"/>
    <cellStyle name="Style 28 9 5 3" xfId="43783" xr:uid="{00000000-0005-0000-0000-00000CAB0000}"/>
    <cellStyle name="Style 28 9 5 3 2" xfId="43784" xr:uid="{00000000-0005-0000-0000-00000DAB0000}"/>
    <cellStyle name="Style 28 9 5 3 3" xfId="43785" xr:uid="{00000000-0005-0000-0000-00000EAB0000}"/>
    <cellStyle name="Style 28 9 5 4" xfId="43786" xr:uid="{00000000-0005-0000-0000-00000FAB0000}"/>
    <cellStyle name="Style 28 9 5 4 2" xfId="43787" xr:uid="{00000000-0005-0000-0000-000010AB0000}"/>
    <cellStyle name="Style 28 9 5 4 3" xfId="43788" xr:uid="{00000000-0005-0000-0000-000011AB0000}"/>
    <cellStyle name="Style 28 9 5 5" xfId="43789" xr:uid="{00000000-0005-0000-0000-000012AB0000}"/>
    <cellStyle name="Style 28 9 5 5 2" xfId="43790" xr:uid="{00000000-0005-0000-0000-000013AB0000}"/>
    <cellStyle name="Style 28 9 5 5 3" xfId="43791" xr:uid="{00000000-0005-0000-0000-000014AB0000}"/>
    <cellStyle name="Style 28 9 5 6" xfId="43792" xr:uid="{00000000-0005-0000-0000-000015AB0000}"/>
    <cellStyle name="Style 28 9 5 7" xfId="43793" xr:uid="{00000000-0005-0000-0000-000016AB0000}"/>
    <cellStyle name="Style 28 9 5 8" xfId="43794" xr:uid="{00000000-0005-0000-0000-000017AB0000}"/>
    <cellStyle name="Style 28 9 6" xfId="43795" xr:uid="{00000000-0005-0000-0000-000018AB0000}"/>
    <cellStyle name="Style 28 9 6 2" xfId="43796" xr:uid="{00000000-0005-0000-0000-000019AB0000}"/>
    <cellStyle name="Style 28 9 6 2 2" xfId="43797" xr:uid="{00000000-0005-0000-0000-00001AAB0000}"/>
    <cellStyle name="Style 28 9 6 2 3" xfId="43798" xr:uid="{00000000-0005-0000-0000-00001BAB0000}"/>
    <cellStyle name="Style 28 9 6 3" xfId="43799" xr:uid="{00000000-0005-0000-0000-00001CAB0000}"/>
    <cellStyle name="Style 28 9 6 3 2" xfId="43800" xr:uid="{00000000-0005-0000-0000-00001DAB0000}"/>
    <cellStyle name="Style 28 9 6 3 3" xfId="43801" xr:uid="{00000000-0005-0000-0000-00001EAB0000}"/>
    <cellStyle name="Style 28 9 6 4" xfId="43802" xr:uid="{00000000-0005-0000-0000-00001FAB0000}"/>
    <cellStyle name="Style 28 9 6 5" xfId="43803" xr:uid="{00000000-0005-0000-0000-000020AB0000}"/>
    <cellStyle name="Style 28 9 6 6" xfId="43804" xr:uid="{00000000-0005-0000-0000-000021AB0000}"/>
    <cellStyle name="Style 28 9 7" xfId="43805" xr:uid="{00000000-0005-0000-0000-000022AB0000}"/>
    <cellStyle name="Style 28 9 7 2" xfId="43806" xr:uid="{00000000-0005-0000-0000-000023AB0000}"/>
    <cellStyle name="Style 28 9 7 3" xfId="43807" xr:uid="{00000000-0005-0000-0000-000024AB0000}"/>
    <cellStyle name="Style 28 9 8" xfId="43808" xr:uid="{00000000-0005-0000-0000-000025AB0000}"/>
    <cellStyle name="Style 28 9 8 2" xfId="43809" xr:uid="{00000000-0005-0000-0000-000026AB0000}"/>
    <cellStyle name="Style 28 9 8 3" xfId="43810" xr:uid="{00000000-0005-0000-0000-000027AB0000}"/>
    <cellStyle name="Style 28 9 9" xfId="43811" xr:uid="{00000000-0005-0000-0000-000028AB0000}"/>
    <cellStyle name="Style 28 9 9 2" xfId="43812" xr:uid="{00000000-0005-0000-0000-000029AB0000}"/>
    <cellStyle name="Style 28 9 9 3" xfId="43813" xr:uid="{00000000-0005-0000-0000-00002AAB0000}"/>
    <cellStyle name="Style 29" xfId="43814" xr:uid="{00000000-0005-0000-0000-00002BAB0000}"/>
    <cellStyle name="Style 29 10" xfId="43815" xr:uid="{00000000-0005-0000-0000-00002CAB0000}"/>
    <cellStyle name="Style 29 10 10" xfId="43816" xr:uid="{00000000-0005-0000-0000-00002DAB0000}"/>
    <cellStyle name="Style 29 10 11" xfId="43817" xr:uid="{00000000-0005-0000-0000-00002EAB0000}"/>
    <cellStyle name="Style 29 10 12" xfId="43818" xr:uid="{00000000-0005-0000-0000-00002FAB0000}"/>
    <cellStyle name="Style 29 10 2" xfId="43819" xr:uid="{00000000-0005-0000-0000-000030AB0000}"/>
    <cellStyle name="Style 29 10 2 10" xfId="43820" xr:uid="{00000000-0005-0000-0000-000031AB0000}"/>
    <cellStyle name="Style 29 10 2 2" xfId="43821" xr:uid="{00000000-0005-0000-0000-000032AB0000}"/>
    <cellStyle name="Style 29 10 2 2 2" xfId="43822" xr:uid="{00000000-0005-0000-0000-000033AB0000}"/>
    <cellStyle name="Style 29 10 2 2 2 2" xfId="43823" xr:uid="{00000000-0005-0000-0000-000034AB0000}"/>
    <cellStyle name="Style 29 10 2 2 2 2 2" xfId="43824" xr:uid="{00000000-0005-0000-0000-000035AB0000}"/>
    <cellStyle name="Style 29 10 2 2 2 2 3" xfId="43825" xr:uid="{00000000-0005-0000-0000-000036AB0000}"/>
    <cellStyle name="Style 29 10 2 2 2 3" xfId="43826" xr:uid="{00000000-0005-0000-0000-000037AB0000}"/>
    <cellStyle name="Style 29 10 2 2 2 3 2" xfId="43827" xr:uid="{00000000-0005-0000-0000-000038AB0000}"/>
    <cellStyle name="Style 29 10 2 2 2 3 3" xfId="43828" xr:uid="{00000000-0005-0000-0000-000039AB0000}"/>
    <cellStyle name="Style 29 10 2 2 2 4" xfId="43829" xr:uid="{00000000-0005-0000-0000-00003AAB0000}"/>
    <cellStyle name="Style 29 10 2 2 2 5" xfId="43830" xr:uid="{00000000-0005-0000-0000-00003BAB0000}"/>
    <cellStyle name="Style 29 10 2 2 2 6" xfId="43831" xr:uid="{00000000-0005-0000-0000-00003CAB0000}"/>
    <cellStyle name="Style 29 10 2 2 3" xfId="43832" xr:uid="{00000000-0005-0000-0000-00003DAB0000}"/>
    <cellStyle name="Style 29 10 2 2 3 2" xfId="43833" xr:uid="{00000000-0005-0000-0000-00003EAB0000}"/>
    <cellStyle name="Style 29 10 2 2 3 3" xfId="43834" xr:uid="{00000000-0005-0000-0000-00003FAB0000}"/>
    <cellStyle name="Style 29 10 2 2 4" xfId="43835" xr:uid="{00000000-0005-0000-0000-000040AB0000}"/>
    <cellStyle name="Style 29 10 2 2 4 2" xfId="43836" xr:uid="{00000000-0005-0000-0000-000041AB0000}"/>
    <cellStyle name="Style 29 10 2 2 4 3" xfId="43837" xr:uid="{00000000-0005-0000-0000-000042AB0000}"/>
    <cellStyle name="Style 29 10 2 2 5" xfId="43838" xr:uid="{00000000-0005-0000-0000-000043AB0000}"/>
    <cellStyle name="Style 29 10 2 2 5 2" xfId="43839" xr:uid="{00000000-0005-0000-0000-000044AB0000}"/>
    <cellStyle name="Style 29 10 2 2 5 3" xfId="43840" xr:uid="{00000000-0005-0000-0000-000045AB0000}"/>
    <cellStyle name="Style 29 10 2 2 6" xfId="43841" xr:uid="{00000000-0005-0000-0000-000046AB0000}"/>
    <cellStyle name="Style 29 10 2 2 7" xfId="43842" xr:uid="{00000000-0005-0000-0000-000047AB0000}"/>
    <cellStyle name="Style 29 10 2 2 8" xfId="43843" xr:uid="{00000000-0005-0000-0000-000048AB0000}"/>
    <cellStyle name="Style 29 10 2 3" xfId="43844" xr:uid="{00000000-0005-0000-0000-000049AB0000}"/>
    <cellStyle name="Style 29 10 2 3 2" xfId="43845" xr:uid="{00000000-0005-0000-0000-00004AAB0000}"/>
    <cellStyle name="Style 29 10 2 3 2 2" xfId="43846" xr:uid="{00000000-0005-0000-0000-00004BAB0000}"/>
    <cellStyle name="Style 29 10 2 3 2 2 2" xfId="43847" xr:uid="{00000000-0005-0000-0000-00004CAB0000}"/>
    <cellStyle name="Style 29 10 2 3 2 2 3" xfId="43848" xr:uid="{00000000-0005-0000-0000-00004DAB0000}"/>
    <cellStyle name="Style 29 10 2 3 2 3" xfId="43849" xr:uid="{00000000-0005-0000-0000-00004EAB0000}"/>
    <cellStyle name="Style 29 10 2 3 2 3 2" xfId="43850" xr:uid="{00000000-0005-0000-0000-00004FAB0000}"/>
    <cellStyle name="Style 29 10 2 3 2 3 3" xfId="43851" xr:uid="{00000000-0005-0000-0000-000050AB0000}"/>
    <cellStyle name="Style 29 10 2 3 2 4" xfId="43852" xr:uid="{00000000-0005-0000-0000-000051AB0000}"/>
    <cellStyle name="Style 29 10 2 3 2 5" xfId="43853" xr:uid="{00000000-0005-0000-0000-000052AB0000}"/>
    <cellStyle name="Style 29 10 2 3 2 6" xfId="43854" xr:uid="{00000000-0005-0000-0000-000053AB0000}"/>
    <cellStyle name="Style 29 10 2 3 3" xfId="43855" xr:uid="{00000000-0005-0000-0000-000054AB0000}"/>
    <cellStyle name="Style 29 10 2 3 3 2" xfId="43856" xr:uid="{00000000-0005-0000-0000-000055AB0000}"/>
    <cellStyle name="Style 29 10 2 3 3 3" xfId="43857" xr:uid="{00000000-0005-0000-0000-000056AB0000}"/>
    <cellStyle name="Style 29 10 2 3 4" xfId="43858" xr:uid="{00000000-0005-0000-0000-000057AB0000}"/>
    <cellStyle name="Style 29 10 2 3 4 2" xfId="43859" xr:uid="{00000000-0005-0000-0000-000058AB0000}"/>
    <cellStyle name="Style 29 10 2 3 4 3" xfId="43860" xr:uid="{00000000-0005-0000-0000-000059AB0000}"/>
    <cellStyle name="Style 29 10 2 3 5" xfId="43861" xr:uid="{00000000-0005-0000-0000-00005AAB0000}"/>
    <cellStyle name="Style 29 10 2 3 5 2" xfId="43862" xr:uid="{00000000-0005-0000-0000-00005BAB0000}"/>
    <cellStyle name="Style 29 10 2 3 5 3" xfId="43863" xr:uid="{00000000-0005-0000-0000-00005CAB0000}"/>
    <cellStyle name="Style 29 10 2 3 6" xfId="43864" xr:uid="{00000000-0005-0000-0000-00005DAB0000}"/>
    <cellStyle name="Style 29 10 2 3 7" xfId="43865" xr:uid="{00000000-0005-0000-0000-00005EAB0000}"/>
    <cellStyle name="Style 29 10 2 3 8" xfId="43866" xr:uid="{00000000-0005-0000-0000-00005FAB0000}"/>
    <cellStyle name="Style 29 10 2 4" xfId="43867" xr:uid="{00000000-0005-0000-0000-000060AB0000}"/>
    <cellStyle name="Style 29 10 2 4 2" xfId="43868" xr:uid="{00000000-0005-0000-0000-000061AB0000}"/>
    <cellStyle name="Style 29 10 2 4 2 2" xfId="43869" xr:uid="{00000000-0005-0000-0000-000062AB0000}"/>
    <cellStyle name="Style 29 10 2 4 2 3" xfId="43870" xr:uid="{00000000-0005-0000-0000-000063AB0000}"/>
    <cellStyle name="Style 29 10 2 4 3" xfId="43871" xr:uid="{00000000-0005-0000-0000-000064AB0000}"/>
    <cellStyle name="Style 29 10 2 4 3 2" xfId="43872" xr:uid="{00000000-0005-0000-0000-000065AB0000}"/>
    <cellStyle name="Style 29 10 2 4 3 3" xfId="43873" xr:uid="{00000000-0005-0000-0000-000066AB0000}"/>
    <cellStyle name="Style 29 10 2 4 4" xfId="43874" xr:uid="{00000000-0005-0000-0000-000067AB0000}"/>
    <cellStyle name="Style 29 10 2 4 5" xfId="43875" xr:uid="{00000000-0005-0000-0000-000068AB0000}"/>
    <cellStyle name="Style 29 10 2 4 6" xfId="43876" xr:uid="{00000000-0005-0000-0000-000069AB0000}"/>
    <cellStyle name="Style 29 10 2 5" xfId="43877" xr:uid="{00000000-0005-0000-0000-00006AAB0000}"/>
    <cellStyle name="Style 29 10 2 5 2" xfId="43878" xr:uid="{00000000-0005-0000-0000-00006BAB0000}"/>
    <cellStyle name="Style 29 10 2 5 3" xfId="43879" xr:uid="{00000000-0005-0000-0000-00006CAB0000}"/>
    <cellStyle name="Style 29 10 2 6" xfId="43880" xr:uid="{00000000-0005-0000-0000-00006DAB0000}"/>
    <cellStyle name="Style 29 10 2 6 2" xfId="43881" xr:uid="{00000000-0005-0000-0000-00006EAB0000}"/>
    <cellStyle name="Style 29 10 2 6 3" xfId="43882" xr:uid="{00000000-0005-0000-0000-00006FAB0000}"/>
    <cellStyle name="Style 29 10 2 7" xfId="43883" xr:uid="{00000000-0005-0000-0000-000070AB0000}"/>
    <cellStyle name="Style 29 10 2 7 2" xfId="43884" xr:uid="{00000000-0005-0000-0000-000071AB0000}"/>
    <cellStyle name="Style 29 10 2 7 3" xfId="43885" xr:uid="{00000000-0005-0000-0000-000072AB0000}"/>
    <cellStyle name="Style 29 10 2 8" xfId="43886" xr:uid="{00000000-0005-0000-0000-000073AB0000}"/>
    <cellStyle name="Style 29 10 2 9" xfId="43887" xr:uid="{00000000-0005-0000-0000-000074AB0000}"/>
    <cellStyle name="Style 29 10 3" xfId="43888" xr:uid="{00000000-0005-0000-0000-000075AB0000}"/>
    <cellStyle name="Style 29 10 3 2" xfId="43889" xr:uid="{00000000-0005-0000-0000-000076AB0000}"/>
    <cellStyle name="Style 29 10 3 2 2" xfId="43890" xr:uid="{00000000-0005-0000-0000-000077AB0000}"/>
    <cellStyle name="Style 29 10 3 2 2 2" xfId="43891" xr:uid="{00000000-0005-0000-0000-000078AB0000}"/>
    <cellStyle name="Style 29 10 3 2 2 3" xfId="43892" xr:uid="{00000000-0005-0000-0000-000079AB0000}"/>
    <cellStyle name="Style 29 10 3 2 3" xfId="43893" xr:uid="{00000000-0005-0000-0000-00007AAB0000}"/>
    <cellStyle name="Style 29 10 3 2 3 2" xfId="43894" xr:uid="{00000000-0005-0000-0000-00007BAB0000}"/>
    <cellStyle name="Style 29 10 3 2 3 3" xfId="43895" xr:uid="{00000000-0005-0000-0000-00007CAB0000}"/>
    <cellStyle name="Style 29 10 3 2 4" xfId="43896" xr:uid="{00000000-0005-0000-0000-00007DAB0000}"/>
    <cellStyle name="Style 29 10 3 2 5" xfId="43897" xr:uid="{00000000-0005-0000-0000-00007EAB0000}"/>
    <cellStyle name="Style 29 10 3 2 6" xfId="43898" xr:uid="{00000000-0005-0000-0000-00007FAB0000}"/>
    <cellStyle name="Style 29 10 3 3" xfId="43899" xr:uid="{00000000-0005-0000-0000-000080AB0000}"/>
    <cellStyle name="Style 29 10 3 3 2" xfId="43900" xr:uid="{00000000-0005-0000-0000-000081AB0000}"/>
    <cellStyle name="Style 29 10 3 3 3" xfId="43901" xr:uid="{00000000-0005-0000-0000-000082AB0000}"/>
    <cellStyle name="Style 29 10 3 4" xfId="43902" xr:uid="{00000000-0005-0000-0000-000083AB0000}"/>
    <cellStyle name="Style 29 10 3 4 2" xfId="43903" xr:uid="{00000000-0005-0000-0000-000084AB0000}"/>
    <cellStyle name="Style 29 10 3 4 3" xfId="43904" xr:uid="{00000000-0005-0000-0000-000085AB0000}"/>
    <cellStyle name="Style 29 10 3 5" xfId="43905" xr:uid="{00000000-0005-0000-0000-000086AB0000}"/>
    <cellStyle name="Style 29 10 3 5 2" xfId="43906" xr:uid="{00000000-0005-0000-0000-000087AB0000}"/>
    <cellStyle name="Style 29 10 3 5 3" xfId="43907" xr:uid="{00000000-0005-0000-0000-000088AB0000}"/>
    <cellStyle name="Style 29 10 3 6" xfId="43908" xr:uid="{00000000-0005-0000-0000-000089AB0000}"/>
    <cellStyle name="Style 29 10 3 7" xfId="43909" xr:uid="{00000000-0005-0000-0000-00008AAB0000}"/>
    <cellStyle name="Style 29 10 3 8" xfId="43910" xr:uid="{00000000-0005-0000-0000-00008BAB0000}"/>
    <cellStyle name="Style 29 10 4" xfId="43911" xr:uid="{00000000-0005-0000-0000-00008CAB0000}"/>
    <cellStyle name="Style 29 10 4 2" xfId="43912" xr:uid="{00000000-0005-0000-0000-00008DAB0000}"/>
    <cellStyle name="Style 29 10 4 2 2" xfId="43913" xr:uid="{00000000-0005-0000-0000-00008EAB0000}"/>
    <cellStyle name="Style 29 10 4 2 2 2" xfId="43914" xr:uid="{00000000-0005-0000-0000-00008FAB0000}"/>
    <cellStyle name="Style 29 10 4 2 2 3" xfId="43915" xr:uid="{00000000-0005-0000-0000-000090AB0000}"/>
    <cellStyle name="Style 29 10 4 2 3" xfId="43916" xr:uid="{00000000-0005-0000-0000-000091AB0000}"/>
    <cellStyle name="Style 29 10 4 2 3 2" xfId="43917" xr:uid="{00000000-0005-0000-0000-000092AB0000}"/>
    <cellStyle name="Style 29 10 4 2 3 3" xfId="43918" xr:uid="{00000000-0005-0000-0000-000093AB0000}"/>
    <cellStyle name="Style 29 10 4 2 4" xfId="43919" xr:uid="{00000000-0005-0000-0000-000094AB0000}"/>
    <cellStyle name="Style 29 10 4 2 5" xfId="43920" xr:uid="{00000000-0005-0000-0000-000095AB0000}"/>
    <cellStyle name="Style 29 10 4 2 6" xfId="43921" xr:uid="{00000000-0005-0000-0000-000096AB0000}"/>
    <cellStyle name="Style 29 10 4 3" xfId="43922" xr:uid="{00000000-0005-0000-0000-000097AB0000}"/>
    <cellStyle name="Style 29 10 4 3 2" xfId="43923" xr:uid="{00000000-0005-0000-0000-000098AB0000}"/>
    <cellStyle name="Style 29 10 4 3 3" xfId="43924" xr:uid="{00000000-0005-0000-0000-000099AB0000}"/>
    <cellStyle name="Style 29 10 4 4" xfId="43925" xr:uid="{00000000-0005-0000-0000-00009AAB0000}"/>
    <cellStyle name="Style 29 10 4 4 2" xfId="43926" xr:uid="{00000000-0005-0000-0000-00009BAB0000}"/>
    <cellStyle name="Style 29 10 4 4 3" xfId="43927" xr:uid="{00000000-0005-0000-0000-00009CAB0000}"/>
    <cellStyle name="Style 29 10 4 5" xfId="43928" xr:uid="{00000000-0005-0000-0000-00009DAB0000}"/>
    <cellStyle name="Style 29 10 4 5 2" xfId="43929" xr:uid="{00000000-0005-0000-0000-00009EAB0000}"/>
    <cellStyle name="Style 29 10 4 5 3" xfId="43930" xr:uid="{00000000-0005-0000-0000-00009FAB0000}"/>
    <cellStyle name="Style 29 10 4 6" xfId="43931" xr:uid="{00000000-0005-0000-0000-0000A0AB0000}"/>
    <cellStyle name="Style 29 10 4 7" xfId="43932" xr:uid="{00000000-0005-0000-0000-0000A1AB0000}"/>
    <cellStyle name="Style 29 10 4 8" xfId="43933" xr:uid="{00000000-0005-0000-0000-0000A2AB0000}"/>
    <cellStyle name="Style 29 10 5" xfId="43934" xr:uid="{00000000-0005-0000-0000-0000A3AB0000}"/>
    <cellStyle name="Style 29 10 5 2" xfId="43935" xr:uid="{00000000-0005-0000-0000-0000A4AB0000}"/>
    <cellStyle name="Style 29 10 5 2 2" xfId="43936" xr:uid="{00000000-0005-0000-0000-0000A5AB0000}"/>
    <cellStyle name="Style 29 10 5 2 2 2" xfId="43937" xr:uid="{00000000-0005-0000-0000-0000A6AB0000}"/>
    <cellStyle name="Style 29 10 5 2 2 3" xfId="43938" xr:uid="{00000000-0005-0000-0000-0000A7AB0000}"/>
    <cellStyle name="Style 29 10 5 2 3" xfId="43939" xr:uid="{00000000-0005-0000-0000-0000A8AB0000}"/>
    <cellStyle name="Style 29 10 5 2 3 2" xfId="43940" xr:uid="{00000000-0005-0000-0000-0000A9AB0000}"/>
    <cellStyle name="Style 29 10 5 2 3 3" xfId="43941" xr:uid="{00000000-0005-0000-0000-0000AAAB0000}"/>
    <cellStyle name="Style 29 10 5 2 4" xfId="43942" xr:uid="{00000000-0005-0000-0000-0000ABAB0000}"/>
    <cellStyle name="Style 29 10 5 2 5" xfId="43943" xr:uid="{00000000-0005-0000-0000-0000ACAB0000}"/>
    <cellStyle name="Style 29 10 5 2 6" xfId="43944" xr:uid="{00000000-0005-0000-0000-0000ADAB0000}"/>
    <cellStyle name="Style 29 10 5 3" xfId="43945" xr:uid="{00000000-0005-0000-0000-0000AEAB0000}"/>
    <cellStyle name="Style 29 10 5 3 2" xfId="43946" xr:uid="{00000000-0005-0000-0000-0000AFAB0000}"/>
    <cellStyle name="Style 29 10 5 3 3" xfId="43947" xr:uid="{00000000-0005-0000-0000-0000B0AB0000}"/>
    <cellStyle name="Style 29 10 5 4" xfId="43948" xr:uid="{00000000-0005-0000-0000-0000B1AB0000}"/>
    <cellStyle name="Style 29 10 5 4 2" xfId="43949" xr:uid="{00000000-0005-0000-0000-0000B2AB0000}"/>
    <cellStyle name="Style 29 10 5 4 3" xfId="43950" xr:uid="{00000000-0005-0000-0000-0000B3AB0000}"/>
    <cellStyle name="Style 29 10 5 5" xfId="43951" xr:uid="{00000000-0005-0000-0000-0000B4AB0000}"/>
    <cellStyle name="Style 29 10 5 5 2" xfId="43952" xr:uid="{00000000-0005-0000-0000-0000B5AB0000}"/>
    <cellStyle name="Style 29 10 5 5 3" xfId="43953" xr:uid="{00000000-0005-0000-0000-0000B6AB0000}"/>
    <cellStyle name="Style 29 10 5 6" xfId="43954" xr:uid="{00000000-0005-0000-0000-0000B7AB0000}"/>
    <cellStyle name="Style 29 10 5 7" xfId="43955" xr:uid="{00000000-0005-0000-0000-0000B8AB0000}"/>
    <cellStyle name="Style 29 10 5 8" xfId="43956" xr:uid="{00000000-0005-0000-0000-0000B9AB0000}"/>
    <cellStyle name="Style 29 10 6" xfId="43957" xr:uid="{00000000-0005-0000-0000-0000BAAB0000}"/>
    <cellStyle name="Style 29 10 6 2" xfId="43958" xr:uid="{00000000-0005-0000-0000-0000BBAB0000}"/>
    <cellStyle name="Style 29 10 6 2 2" xfId="43959" xr:uid="{00000000-0005-0000-0000-0000BCAB0000}"/>
    <cellStyle name="Style 29 10 6 2 3" xfId="43960" xr:uid="{00000000-0005-0000-0000-0000BDAB0000}"/>
    <cellStyle name="Style 29 10 6 3" xfId="43961" xr:uid="{00000000-0005-0000-0000-0000BEAB0000}"/>
    <cellStyle name="Style 29 10 6 3 2" xfId="43962" xr:uid="{00000000-0005-0000-0000-0000BFAB0000}"/>
    <cellStyle name="Style 29 10 6 3 3" xfId="43963" xr:uid="{00000000-0005-0000-0000-0000C0AB0000}"/>
    <cellStyle name="Style 29 10 6 4" xfId="43964" xr:uid="{00000000-0005-0000-0000-0000C1AB0000}"/>
    <cellStyle name="Style 29 10 6 5" xfId="43965" xr:uid="{00000000-0005-0000-0000-0000C2AB0000}"/>
    <cellStyle name="Style 29 10 6 6" xfId="43966" xr:uid="{00000000-0005-0000-0000-0000C3AB0000}"/>
    <cellStyle name="Style 29 10 7" xfId="43967" xr:uid="{00000000-0005-0000-0000-0000C4AB0000}"/>
    <cellStyle name="Style 29 10 7 2" xfId="43968" xr:uid="{00000000-0005-0000-0000-0000C5AB0000}"/>
    <cellStyle name="Style 29 10 7 3" xfId="43969" xr:uid="{00000000-0005-0000-0000-0000C6AB0000}"/>
    <cellStyle name="Style 29 10 8" xfId="43970" xr:uid="{00000000-0005-0000-0000-0000C7AB0000}"/>
    <cellStyle name="Style 29 10 8 2" xfId="43971" xr:uid="{00000000-0005-0000-0000-0000C8AB0000}"/>
    <cellStyle name="Style 29 10 8 3" xfId="43972" xr:uid="{00000000-0005-0000-0000-0000C9AB0000}"/>
    <cellStyle name="Style 29 10 9" xfId="43973" xr:uid="{00000000-0005-0000-0000-0000CAAB0000}"/>
    <cellStyle name="Style 29 10 9 2" xfId="43974" xr:uid="{00000000-0005-0000-0000-0000CBAB0000}"/>
    <cellStyle name="Style 29 10 9 3" xfId="43975" xr:uid="{00000000-0005-0000-0000-0000CCAB0000}"/>
    <cellStyle name="Style 29 11" xfId="43976" xr:uid="{00000000-0005-0000-0000-0000CDAB0000}"/>
    <cellStyle name="Style 29 11 10" xfId="43977" xr:uid="{00000000-0005-0000-0000-0000CEAB0000}"/>
    <cellStyle name="Style 29 11 11" xfId="43978" xr:uid="{00000000-0005-0000-0000-0000CFAB0000}"/>
    <cellStyle name="Style 29 11 12" xfId="43979" xr:uid="{00000000-0005-0000-0000-0000D0AB0000}"/>
    <cellStyle name="Style 29 11 2" xfId="43980" xr:uid="{00000000-0005-0000-0000-0000D1AB0000}"/>
    <cellStyle name="Style 29 11 2 10" xfId="43981" xr:uid="{00000000-0005-0000-0000-0000D2AB0000}"/>
    <cellStyle name="Style 29 11 2 2" xfId="43982" xr:uid="{00000000-0005-0000-0000-0000D3AB0000}"/>
    <cellStyle name="Style 29 11 2 2 2" xfId="43983" xr:uid="{00000000-0005-0000-0000-0000D4AB0000}"/>
    <cellStyle name="Style 29 11 2 2 2 2" xfId="43984" xr:uid="{00000000-0005-0000-0000-0000D5AB0000}"/>
    <cellStyle name="Style 29 11 2 2 2 2 2" xfId="43985" xr:uid="{00000000-0005-0000-0000-0000D6AB0000}"/>
    <cellStyle name="Style 29 11 2 2 2 2 3" xfId="43986" xr:uid="{00000000-0005-0000-0000-0000D7AB0000}"/>
    <cellStyle name="Style 29 11 2 2 2 3" xfId="43987" xr:uid="{00000000-0005-0000-0000-0000D8AB0000}"/>
    <cellStyle name="Style 29 11 2 2 2 3 2" xfId="43988" xr:uid="{00000000-0005-0000-0000-0000D9AB0000}"/>
    <cellStyle name="Style 29 11 2 2 2 3 3" xfId="43989" xr:uid="{00000000-0005-0000-0000-0000DAAB0000}"/>
    <cellStyle name="Style 29 11 2 2 2 4" xfId="43990" xr:uid="{00000000-0005-0000-0000-0000DBAB0000}"/>
    <cellStyle name="Style 29 11 2 2 2 5" xfId="43991" xr:uid="{00000000-0005-0000-0000-0000DCAB0000}"/>
    <cellStyle name="Style 29 11 2 2 2 6" xfId="43992" xr:uid="{00000000-0005-0000-0000-0000DDAB0000}"/>
    <cellStyle name="Style 29 11 2 2 3" xfId="43993" xr:uid="{00000000-0005-0000-0000-0000DEAB0000}"/>
    <cellStyle name="Style 29 11 2 2 3 2" xfId="43994" xr:uid="{00000000-0005-0000-0000-0000DFAB0000}"/>
    <cellStyle name="Style 29 11 2 2 3 3" xfId="43995" xr:uid="{00000000-0005-0000-0000-0000E0AB0000}"/>
    <cellStyle name="Style 29 11 2 2 4" xfId="43996" xr:uid="{00000000-0005-0000-0000-0000E1AB0000}"/>
    <cellStyle name="Style 29 11 2 2 4 2" xfId="43997" xr:uid="{00000000-0005-0000-0000-0000E2AB0000}"/>
    <cellStyle name="Style 29 11 2 2 4 3" xfId="43998" xr:uid="{00000000-0005-0000-0000-0000E3AB0000}"/>
    <cellStyle name="Style 29 11 2 2 5" xfId="43999" xr:uid="{00000000-0005-0000-0000-0000E4AB0000}"/>
    <cellStyle name="Style 29 11 2 2 5 2" xfId="44000" xr:uid="{00000000-0005-0000-0000-0000E5AB0000}"/>
    <cellStyle name="Style 29 11 2 2 5 3" xfId="44001" xr:uid="{00000000-0005-0000-0000-0000E6AB0000}"/>
    <cellStyle name="Style 29 11 2 2 6" xfId="44002" xr:uid="{00000000-0005-0000-0000-0000E7AB0000}"/>
    <cellStyle name="Style 29 11 2 2 7" xfId="44003" xr:uid="{00000000-0005-0000-0000-0000E8AB0000}"/>
    <cellStyle name="Style 29 11 2 2 8" xfId="44004" xr:uid="{00000000-0005-0000-0000-0000E9AB0000}"/>
    <cellStyle name="Style 29 11 2 3" xfId="44005" xr:uid="{00000000-0005-0000-0000-0000EAAB0000}"/>
    <cellStyle name="Style 29 11 2 3 2" xfId="44006" xr:uid="{00000000-0005-0000-0000-0000EBAB0000}"/>
    <cellStyle name="Style 29 11 2 3 2 2" xfId="44007" xr:uid="{00000000-0005-0000-0000-0000ECAB0000}"/>
    <cellStyle name="Style 29 11 2 3 2 2 2" xfId="44008" xr:uid="{00000000-0005-0000-0000-0000EDAB0000}"/>
    <cellStyle name="Style 29 11 2 3 2 2 3" xfId="44009" xr:uid="{00000000-0005-0000-0000-0000EEAB0000}"/>
    <cellStyle name="Style 29 11 2 3 2 3" xfId="44010" xr:uid="{00000000-0005-0000-0000-0000EFAB0000}"/>
    <cellStyle name="Style 29 11 2 3 2 3 2" xfId="44011" xr:uid="{00000000-0005-0000-0000-0000F0AB0000}"/>
    <cellStyle name="Style 29 11 2 3 2 3 3" xfId="44012" xr:uid="{00000000-0005-0000-0000-0000F1AB0000}"/>
    <cellStyle name="Style 29 11 2 3 2 4" xfId="44013" xr:uid="{00000000-0005-0000-0000-0000F2AB0000}"/>
    <cellStyle name="Style 29 11 2 3 2 5" xfId="44014" xr:uid="{00000000-0005-0000-0000-0000F3AB0000}"/>
    <cellStyle name="Style 29 11 2 3 2 6" xfId="44015" xr:uid="{00000000-0005-0000-0000-0000F4AB0000}"/>
    <cellStyle name="Style 29 11 2 3 3" xfId="44016" xr:uid="{00000000-0005-0000-0000-0000F5AB0000}"/>
    <cellStyle name="Style 29 11 2 3 3 2" xfId="44017" xr:uid="{00000000-0005-0000-0000-0000F6AB0000}"/>
    <cellStyle name="Style 29 11 2 3 3 3" xfId="44018" xr:uid="{00000000-0005-0000-0000-0000F7AB0000}"/>
    <cellStyle name="Style 29 11 2 3 4" xfId="44019" xr:uid="{00000000-0005-0000-0000-0000F8AB0000}"/>
    <cellStyle name="Style 29 11 2 3 4 2" xfId="44020" xr:uid="{00000000-0005-0000-0000-0000F9AB0000}"/>
    <cellStyle name="Style 29 11 2 3 4 3" xfId="44021" xr:uid="{00000000-0005-0000-0000-0000FAAB0000}"/>
    <cellStyle name="Style 29 11 2 3 5" xfId="44022" xr:uid="{00000000-0005-0000-0000-0000FBAB0000}"/>
    <cellStyle name="Style 29 11 2 3 5 2" xfId="44023" xr:uid="{00000000-0005-0000-0000-0000FCAB0000}"/>
    <cellStyle name="Style 29 11 2 3 5 3" xfId="44024" xr:uid="{00000000-0005-0000-0000-0000FDAB0000}"/>
    <cellStyle name="Style 29 11 2 3 6" xfId="44025" xr:uid="{00000000-0005-0000-0000-0000FEAB0000}"/>
    <cellStyle name="Style 29 11 2 3 7" xfId="44026" xr:uid="{00000000-0005-0000-0000-0000FFAB0000}"/>
    <cellStyle name="Style 29 11 2 3 8" xfId="44027" xr:uid="{00000000-0005-0000-0000-000000AC0000}"/>
    <cellStyle name="Style 29 11 2 4" xfId="44028" xr:uid="{00000000-0005-0000-0000-000001AC0000}"/>
    <cellStyle name="Style 29 11 2 4 2" xfId="44029" xr:uid="{00000000-0005-0000-0000-000002AC0000}"/>
    <cellStyle name="Style 29 11 2 4 2 2" xfId="44030" xr:uid="{00000000-0005-0000-0000-000003AC0000}"/>
    <cellStyle name="Style 29 11 2 4 2 3" xfId="44031" xr:uid="{00000000-0005-0000-0000-000004AC0000}"/>
    <cellStyle name="Style 29 11 2 4 3" xfId="44032" xr:uid="{00000000-0005-0000-0000-000005AC0000}"/>
    <cellStyle name="Style 29 11 2 4 3 2" xfId="44033" xr:uid="{00000000-0005-0000-0000-000006AC0000}"/>
    <cellStyle name="Style 29 11 2 4 3 3" xfId="44034" xr:uid="{00000000-0005-0000-0000-000007AC0000}"/>
    <cellStyle name="Style 29 11 2 4 4" xfId="44035" xr:uid="{00000000-0005-0000-0000-000008AC0000}"/>
    <cellStyle name="Style 29 11 2 4 5" xfId="44036" xr:uid="{00000000-0005-0000-0000-000009AC0000}"/>
    <cellStyle name="Style 29 11 2 4 6" xfId="44037" xr:uid="{00000000-0005-0000-0000-00000AAC0000}"/>
    <cellStyle name="Style 29 11 2 5" xfId="44038" xr:uid="{00000000-0005-0000-0000-00000BAC0000}"/>
    <cellStyle name="Style 29 11 2 5 2" xfId="44039" xr:uid="{00000000-0005-0000-0000-00000CAC0000}"/>
    <cellStyle name="Style 29 11 2 5 3" xfId="44040" xr:uid="{00000000-0005-0000-0000-00000DAC0000}"/>
    <cellStyle name="Style 29 11 2 6" xfId="44041" xr:uid="{00000000-0005-0000-0000-00000EAC0000}"/>
    <cellStyle name="Style 29 11 2 6 2" xfId="44042" xr:uid="{00000000-0005-0000-0000-00000FAC0000}"/>
    <cellStyle name="Style 29 11 2 6 3" xfId="44043" xr:uid="{00000000-0005-0000-0000-000010AC0000}"/>
    <cellStyle name="Style 29 11 2 7" xfId="44044" xr:uid="{00000000-0005-0000-0000-000011AC0000}"/>
    <cellStyle name="Style 29 11 2 7 2" xfId="44045" xr:uid="{00000000-0005-0000-0000-000012AC0000}"/>
    <cellStyle name="Style 29 11 2 7 3" xfId="44046" xr:uid="{00000000-0005-0000-0000-000013AC0000}"/>
    <cellStyle name="Style 29 11 2 8" xfId="44047" xr:uid="{00000000-0005-0000-0000-000014AC0000}"/>
    <cellStyle name="Style 29 11 2 9" xfId="44048" xr:uid="{00000000-0005-0000-0000-000015AC0000}"/>
    <cellStyle name="Style 29 11 3" xfId="44049" xr:uid="{00000000-0005-0000-0000-000016AC0000}"/>
    <cellStyle name="Style 29 11 3 2" xfId="44050" xr:uid="{00000000-0005-0000-0000-000017AC0000}"/>
    <cellStyle name="Style 29 11 3 2 2" xfId="44051" xr:uid="{00000000-0005-0000-0000-000018AC0000}"/>
    <cellStyle name="Style 29 11 3 2 2 2" xfId="44052" xr:uid="{00000000-0005-0000-0000-000019AC0000}"/>
    <cellStyle name="Style 29 11 3 2 2 3" xfId="44053" xr:uid="{00000000-0005-0000-0000-00001AAC0000}"/>
    <cellStyle name="Style 29 11 3 2 3" xfId="44054" xr:uid="{00000000-0005-0000-0000-00001BAC0000}"/>
    <cellStyle name="Style 29 11 3 2 3 2" xfId="44055" xr:uid="{00000000-0005-0000-0000-00001CAC0000}"/>
    <cellStyle name="Style 29 11 3 2 3 3" xfId="44056" xr:uid="{00000000-0005-0000-0000-00001DAC0000}"/>
    <cellStyle name="Style 29 11 3 2 4" xfId="44057" xr:uid="{00000000-0005-0000-0000-00001EAC0000}"/>
    <cellStyle name="Style 29 11 3 2 5" xfId="44058" xr:uid="{00000000-0005-0000-0000-00001FAC0000}"/>
    <cellStyle name="Style 29 11 3 2 6" xfId="44059" xr:uid="{00000000-0005-0000-0000-000020AC0000}"/>
    <cellStyle name="Style 29 11 3 3" xfId="44060" xr:uid="{00000000-0005-0000-0000-000021AC0000}"/>
    <cellStyle name="Style 29 11 3 3 2" xfId="44061" xr:uid="{00000000-0005-0000-0000-000022AC0000}"/>
    <cellStyle name="Style 29 11 3 3 3" xfId="44062" xr:uid="{00000000-0005-0000-0000-000023AC0000}"/>
    <cellStyle name="Style 29 11 3 4" xfId="44063" xr:uid="{00000000-0005-0000-0000-000024AC0000}"/>
    <cellStyle name="Style 29 11 3 4 2" xfId="44064" xr:uid="{00000000-0005-0000-0000-000025AC0000}"/>
    <cellStyle name="Style 29 11 3 4 3" xfId="44065" xr:uid="{00000000-0005-0000-0000-000026AC0000}"/>
    <cellStyle name="Style 29 11 3 5" xfId="44066" xr:uid="{00000000-0005-0000-0000-000027AC0000}"/>
    <cellStyle name="Style 29 11 3 5 2" xfId="44067" xr:uid="{00000000-0005-0000-0000-000028AC0000}"/>
    <cellStyle name="Style 29 11 3 5 3" xfId="44068" xr:uid="{00000000-0005-0000-0000-000029AC0000}"/>
    <cellStyle name="Style 29 11 3 6" xfId="44069" xr:uid="{00000000-0005-0000-0000-00002AAC0000}"/>
    <cellStyle name="Style 29 11 3 7" xfId="44070" xr:uid="{00000000-0005-0000-0000-00002BAC0000}"/>
    <cellStyle name="Style 29 11 3 8" xfId="44071" xr:uid="{00000000-0005-0000-0000-00002CAC0000}"/>
    <cellStyle name="Style 29 11 4" xfId="44072" xr:uid="{00000000-0005-0000-0000-00002DAC0000}"/>
    <cellStyle name="Style 29 11 4 2" xfId="44073" xr:uid="{00000000-0005-0000-0000-00002EAC0000}"/>
    <cellStyle name="Style 29 11 4 2 2" xfId="44074" xr:uid="{00000000-0005-0000-0000-00002FAC0000}"/>
    <cellStyle name="Style 29 11 4 2 2 2" xfId="44075" xr:uid="{00000000-0005-0000-0000-000030AC0000}"/>
    <cellStyle name="Style 29 11 4 2 2 3" xfId="44076" xr:uid="{00000000-0005-0000-0000-000031AC0000}"/>
    <cellStyle name="Style 29 11 4 2 3" xfId="44077" xr:uid="{00000000-0005-0000-0000-000032AC0000}"/>
    <cellStyle name="Style 29 11 4 2 3 2" xfId="44078" xr:uid="{00000000-0005-0000-0000-000033AC0000}"/>
    <cellStyle name="Style 29 11 4 2 3 3" xfId="44079" xr:uid="{00000000-0005-0000-0000-000034AC0000}"/>
    <cellStyle name="Style 29 11 4 2 4" xfId="44080" xr:uid="{00000000-0005-0000-0000-000035AC0000}"/>
    <cellStyle name="Style 29 11 4 2 5" xfId="44081" xr:uid="{00000000-0005-0000-0000-000036AC0000}"/>
    <cellStyle name="Style 29 11 4 2 6" xfId="44082" xr:uid="{00000000-0005-0000-0000-000037AC0000}"/>
    <cellStyle name="Style 29 11 4 3" xfId="44083" xr:uid="{00000000-0005-0000-0000-000038AC0000}"/>
    <cellStyle name="Style 29 11 4 3 2" xfId="44084" xr:uid="{00000000-0005-0000-0000-000039AC0000}"/>
    <cellStyle name="Style 29 11 4 3 3" xfId="44085" xr:uid="{00000000-0005-0000-0000-00003AAC0000}"/>
    <cellStyle name="Style 29 11 4 4" xfId="44086" xr:uid="{00000000-0005-0000-0000-00003BAC0000}"/>
    <cellStyle name="Style 29 11 4 4 2" xfId="44087" xr:uid="{00000000-0005-0000-0000-00003CAC0000}"/>
    <cellStyle name="Style 29 11 4 4 3" xfId="44088" xr:uid="{00000000-0005-0000-0000-00003DAC0000}"/>
    <cellStyle name="Style 29 11 4 5" xfId="44089" xr:uid="{00000000-0005-0000-0000-00003EAC0000}"/>
    <cellStyle name="Style 29 11 4 5 2" xfId="44090" xr:uid="{00000000-0005-0000-0000-00003FAC0000}"/>
    <cellStyle name="Style 29 11 4 5 3" xfId="44091" xr:uid="{00000000-0005-0000-0000-000040AC0000}"/>
    <cellStyle name="Style 29 11 4 6" xfId="44092" xr:uid="{00000000-0005-0000-0000-000041AC0000}"/>
    <cellStyle name="Style 29 11 4 7" xfId="44093" xr:uid="{00000000-0005-0000-0000-000042AC0000}"/>
    <cellStyle name="Style 29 11 4 8" xfId="44094" xr:uid="{00000000-0005-0000-0000-000043AC0000}"/>
    <cellStyle name="Style 29 11 5" xfId="44095" xr:uid="{00000000-0005-0000-0000-000044AC0000}"/>
    <cellStyle name="Style 29 11 5 2" xfId="44096" xr:uid="{00000000-0005-0000-0000-000045AC0000}"/>
    <cellStyle name="Style 29 11 5 2 2" xfId="44097" xr:uid="{00000000-0005-0000-0000-000046AC0000}"/>
    <cellStyle name="Style 29 11 5 2 2 2" xfId="44098" xr:uid="{00000000-0005-0000-0000-000047AC0000}"/>
    <cellStyle name="Style 29 11 5 2 2 3" xfId="44099" xr:uid="{00000000-0005-0000-0000-000048AC0000}"/>
    <cellStyle name="Style 29 11 5 2 3" xfId="44100" xr:uid="{00000000-0005-0000-0000-000049AC0000}"/>
    <cellStyle name="Style 29 11 5 2 3 2" xfId="44101" xr:uid="{00000000-0005-0000-0000-00004AAC0000}"/>
    <cellStyle name="Style 29 11 5 2 3 3" xfId="44102" xr:uid="{00000000-0005-0000-0000-00004BAC0000}"/>
    <cellStyle name="Style 29 11 5 2 4" xfId="44103" xr:uid="{00000000-0005-0000-0000-00004CAC0000}"/>
    <cellStyle name="Style 29 11 5 2 5" xfId="44104" xr:uid="{00000000-0005-0000-0000-00004DAC0000}"/>
    <cellStyle name="Style 29 11 5 2 6" xfId="44105" xr:uid="{00000000-0005-0000-0000-00004EAC0000}"/>
    <cellStyle name="Style 29 11 5 3" xfId="44106" xr:uid="{00000000-0005-0000-0000-00004FAC0000}"/>
    <cellStyle name="Style 29 11 5 3 2" xfId="44107" xr:uid="{00000000-0005-0000-0000-000050AC0000}"/>
    <cellStyle name="Style 29 11 5 3 3" xfId="44108" xr:uid="{00000000-0005-0000-0000-000051AC0000}"/>
    <cellStyle name="Style 29 11 5 4" xfId="44109" xr:uid="{00000000-0005-0000-0000-000052AC0000}"/>
    <cellStyle name="Style 29 11 5 4 2" xfId="44110" xr:uid="{00000000-0005-0000-0000-000053AC0000}"/>
    <cellStyle name="Style 29 11 5 4 3" xfId="44111" xr:uid="{00000000-0005-0000-0000-000054AC0000}"/>
    <cellStyle name="Style 29 11 5 5" xfId="44112" xr:uid="{00000000-0005-0000-0000-000055AC0000}"/>
    <cellStyle name="Style 29 11 5 5 2" xfId="44113" xr:uid="{00000000-0005-0000-0000-000056AC0000}"/>
    <cellStyle name="Style 29 11 5 5 3" xfId="44114" xr:uid="{00000000-0005-0000-0000-000057AC0000}"/>
    <cellStyle name="Style 29 11 5 6" xfId="44115" xr:uid="{00000000-0005-0000-0000-000058AC0000}"/>
    <cellStyle name="Style 29 11 5 7" xfId="44116" xr:uid="{00000000-0005-0000-0000-000059AC0000}"/>
    <cellStyle name="Style 29 11 5 8" xfId="44117" xr:uid="{00000000-0005-0000-0000-00005AAC0000}"/>
    <cellStyle name="Style 29 11 6" xfId="44118" xr:uid="{00000000-0005-0000-0000-00005BAC0000}"/>
    <cellStyle name="Style 29 11 6 2" xfId="44119" xr:uid="{00000000-0005-0000-0000-00005CAC0000}"/>
    <cellStyle name="Style 29 11 6 2 2" xfId="44120" xr:uid="{00000000-0005-0000-0000-00005DAC0000}"/>
    <cellStyle name="Style 29 11 6 2 3" xfId="44121" xr:uid="{00000000-0005-0000-0000-00005EAC0000}"/>
    <cellStyle name="Style 29 11 6 3" xfId="44122" xr:uid="{00000000-0005-0000-0000-00005FAC0000}"/>
    <cellStyle name="Style 29 11 6 3 2" xfId="44123" xr:uid="{00000000-0005-0000-0000-000060AC0000}"/>
    <cellStyle name="Style 29 11 6 3 3" xfId="44124" xr:uid="{00000000-0005-0000-0000-000061AC0000}"/>
    <cellStyle name="Style 29 11 6 4" xfId="44125" xr:uid="{00000000-0005-0000-0000-000062AC0000}"/>
    <cellStyle name="Style 29 11 6 5" xfId="44126" xr:uid="{00000000-0005-0000-0000-000063AC0000}"/>
    <cellStyle name="Style 29 11 6 6" xfId="44127" xr:uid="{00000000-0005-0000-0000-000064AC0000}"/>
    <cellStyle name="Style 29 11 7" xfId="44128" xr:uid="{00000000-0005-0000-0000-000065AC0000}"/>
    <cellStyle name="Style 29 11 7 2" xfId="44129" xr:uid="{00000000-0005-0000-0000-000066AC0000}"/>
    <cellStyle name="Style 29 11 7 3" xfId="44130" xr:uid="{00000000-0005-0000-0000-000067AC0000}"/>
    <cellStyle name="Style 29 11 8" xfId="44131" xr:uid="{00000000-0005-0000-0000-000068AC0000}"/>
    <cellStyle name="Style 29 11 8 2" xfId="44132" xr:uid="{00000000-0005-0000-0000-000069AC0000}"/>
    <cellStyle name="Style 29 11 8 3" xfId="44133" xr:uid="{00000000-0005-0000-0000-00006AAC0000}"/>
    <cellStyle name="Style 29 11 9" xfId="44134" xr:uid="{00000000-0005-0000-0000-00006BAC0000}"/>
    <cellStyle name="Style 29 11 9 2" xfId="44135" xr:uid="{00000000-0005-0000-0000-00006CAC0000}"/>
    <cellStyle name="Style 29 11 9 3" xfId="44136" xr:uid="{00000000-0005-0000-0000-00006DAC0000}"/>
    <cellStyle name="Style 29 12" xfId="44137" xr:uid="{00000000-0005-0000-0000-00006EAC0000}"/>
    <cellStyle name="Style 29 12 10" xfId="44138" xr:uid="{00000000-0005-0000-0000-00006FAC0000}"/>
    <cellStyle name="Style 29 12 2" xfId="44139" xr:uid="{00000000-0005-0000-0000-000070AC0000}"/>
    <cellStyle name="Style 29 12 2 2" xfId="44140" xr:uid="{00000000-0005-0000-0000-000071AC0000}"/>
    <cellStyle name="Style 29 12 2 2 2" xfId="44141" xr:uid="{00000000-0005-0000-0000-000072AC0000}"/>
    <cellStyle name="Style 29 12 2 2 2 2" xfId="44142" xr:uid="{00000000-0005-0000-0000-000073AC0000}"/>
    <cellStyle name="Style 29 12 2 2 2 3" xfId="44143" xr:uid="{00000000-0005-0000-0000-000074AC0000}"/>
    <cellStyle name="Style 29 12 2 2 3" xfId="44144" xr:uid="{00000000-0005-0000-0000-000075AC0000}"/>
    <cellStyle name="Style 29 12 2 2 3 2" xfId="44145" xr:uid="{00000000-0005-0000-0000-000076AC0000}"/>
    <cellStyle name="Style 29 12 2 2 3 3" xfId="44146" xr:uid="{00000000-0005-0000-0000-000077AC0000}"/>
    <cellStyle name="Style 29 12 2 2 4" xfId="44147" xr:uid="{00000000-0005-0000-0000-000078AC0000}"/>
    <cellStyle name="Style 29 12 2 2 5" xfId="44148" xr:uid="{00000000-0005-0000-0000-000079AC0000}"/>
    <cellStyle name="Style 29 12 2 2 6" xfId="44149" xr:uid="{00000000-0005-0000-0000-00007AAC0000}"/>
    <cellStyle name="Style 29 12 2 3" xfId="44150" xr:uid="{00000000-0005-0000-0000-00007BAC0000}"/>
    <cellStyle name="Style 29 12 2 3 2" xfId="44151" xr:uid="{00000000-0005-0000-0000-00007CAC0000}"/>
    <cellStyle name="Style 29 12 2 3 3" xfId="44152" xr:uid="{00000000-0005-0000-0000-00007DAC0000}"/>
    <cellStyle name="Style 29 12 2 4" xfId="44153" xr:uid="{00000000-0005-0000-0000-00007EAC0000}"/>
    <cellStyle name="Style 29 12 2 4 2" xfId="44154" xr:uid="{00000000-0005-0000-0000-00007FAC0000}"/>
    <cellStyle name="Style 29 12 2 4 3" xfId="44155" xr:uid="{00000000-0005-0000-0000-000080AC0000}"/>
    <cellStyle name="Style 29 12 2 5" xfId="44156" xr:uid="{00000000-0005-0000-0000-000081AC0000}"/>
    <cellStyle name="Style 29 12 2 5 2" xfId="44157" xr:uid="{00000000-0005-0000-0000-000082AC0000}"/>
    <cellStyle name="Style 29 12 2 5 3" xfId="44158" xr:uid="{00000000-0005-0000-0000-000083AC0000}"/>
    <cellStyle name="Style 29 12 2 6" xfId="44159" xr:uid="{00000000-0005-0000-0000-000084AC0000}"/>
    <cellStyle name="Style 29 12 2 7" xfId="44160" xr:uid="{00000000-0005-0000-0000-000085AC0000}"/>
    <cellStyle name="Style 29 12 2 8" xfId="44161" xr:uid="{00000000-0005-0000-0000-000086AC0000}"/>
    <cellStyle name="Style 29 12 3" xfId="44162" xr:uid="{00000000-0005-0000-0000-000087AC0000}"/>
    <cellStyle name="Style 29 12 3 2" xfId="44163" xr:uid="{00000000-0005-0000-0000-000088AC0000}"/>
    <cellStyle name="Style 29 12 3 2 2" xfId="44164" xr:uid="{00000000-0005-0000-0000-000089AC0000}"/>
    <cellStyle name="Style 29 12 3 2 2 2" xfId="44165" xr:uid="{00000000-0005-0000-0000-00008AAC0000}"/>
    <cellStyle name="Style 29 12 3 2 2 3" xfId="44166" xr:uid="{00000000-0005-0000-0000-00008BAC0000}"/>
    <cellStyle name="Style 29 12 3 2 3" xfId="44167" xr:uid="{00000000-0005-0000-0000-00008CAC0000}"/>
    <cellStyle name="Style 29 12 3 2 3 2" xfId="44168" xr:uid="{00000000-0005-0000-0000-00008DAC0000}"/>
    <cellStyle name="Style 29 12 3 2 3 3" xfId="44169" xr:uid="{00000000-0005-0000-0000-00008EAC0000}"/>
    <cellStyle name="Style 29 12 3 2 4" xfId="44170" xr:uid="{00000000-0005-0000-0000-00008FAC0000}"/>
    <cellStyle name="Style 29 12 3 2 5" xfId="44171" xr:uid="{00000000-0005-0000-0000-000090AC0000}"/>
    <cellStyle name="Style 29 12 3 2 6" xfId="44172" xr:uid="{00000000-0005-0000-0000-000091AC0000}"/>
    <cellStyle name="Style 29 12 3 3" xfId="44173" xr:uid="{00000000-0005-0000-0000-000092AC0000}"/>
    <cellStyle name="Style 29 12 3 3 2" xfId="44174" xr:uid="{00000000-0005-0000-0000-000093AC0000}"/>
    <cellStyle name="Style 29 12 3 3 3" xfId="44175" xr:uid="{00000000-0005-0000-0000-000094AC0000}"/>
    <cellStyle name="Style 29 12 3 4" xfId="44176" xr:uid="{00000000-0005-0000-0000-000095AC0000}"/>
    <cellStyle name="Style 29 12 3 4 2" xfId="44177" xr:uid="{00000000-0005-0000-0000-000096AC0000}"/>
    <cellStyle name="Style 29 12 3 4 3" xfId="44178" xr:uid="{00000000-0005-0000-0000-000097AC0000}"/>
    <cellStyle name="Style 29 12 3 5" xfId="44179" xr:uid="{00000000-0005-0000-0000-000098AC0000}"/>
    <cellStyle name="Style 29 12 3 5 2" xfId="44180" xr:uid="{00000000-0005-0000-0000-000099AC0000}"/>
    <cellStyle name="Style 29 12 3 5 3" xfId="44181" xr:uid="{00000000-0005-0000-0000-00009AAC0000}"/>
    <cellStyle name="Style 29 12 3 6" xfId="44182" xr:uid="{00000000-0005-0000-0000-00009BAC0000}"/>
    <cellStyle name="Style 29 12 3 7" xfId="44183" xr:uid="{00000000-0005-0000-0000-00009CAC0000}"/>
    <cellStyle name="Style 29 12 3 8" xfId="44184" xr:uid="{00000000-0005-0000-0000-00009DAC0000}"/>
    <cellStyle name="Style 29 12 4" xfId="44185" xr:uid="{00000000-0005-0000-0000-00009EAC0000}"/>
    <cellStyle name="Style 29 12 4 2" xfId="44186" xr:uid="{00000000-0005-0000-0000-00009FAC0000}"/>
    <cellStyle name="Style 29 12 4 2 2" xfId="44187" xr:uid="{00000000-0005-0000-0000-0000A0AC0000}"/>
    <cellStyle name="Style 29 12 4 2 3" xfId="44188" xr:uid="{00000000-0005-0000-0000-0000A1AC0000}"/>
    <cellStyle name="Style 29 12 4 3" xfId="44189" xr:uid="{00000000-0005-0000-0000-0000A2AC0000}"/>
    <cellStyle name="Style 29 12 4 3 2" xfId="44190" xr:uid="{00000000-0005-0000-0000-0000A3AC0000}"/>
    <cellStyle name="Style 29 12 4 3 3" xfId="44191" xr:uid="{00000000-0005-0000-0000-0000A4AC0000}"/>
    <cellStyle name="Style 29 12 4 4" xfId="44192" xr:uid="{00000000-0005-0000-0000-0000A5AC0000}"/>
    <cellStyle name="Style 29 12 4 5" xfId="44193" xr:uid="{00000000-0005-0000-0000-0000A6AC0000}"/>
    <cellStyle name="Style 29 12 4 6" xfId="44194" xr:uid="{00000000-0005-0000-0000-0000A7AC0000}"/>
    <cellStyle name="Style 29 12 5" xfId="44195" xr:uid="{00000000-0005-0000-0000-0000A8AC0000}"/>
    <cellStyle name="Style 29 12 5 2" xfId="44196" xr:uid="{00000000-0005-0000-0000-0000A9AC0000}"/>
    <cellStyle name="Style 29 12 5 3" xfId="44197" xr:uid="{00000000-0005-0000-0000-0000AAAC0000}"/>
    <cellStyle name="Style 29 12 6" xfId="44198" xr:uid="{00000000-0005-0000-0000-0000ABAC0000}"/>
    <cellStyle name="Style 29 12 6 2" xfId="44199" xr:uid="{00000000-0005-0000-0000-0000ACAC0000}"/>
    <cellStyle name="Style 29 12 6 3" xfId="44200" xr:uid="{00000000-0005-0000-0000-0000ADAC0000}"/>
    <cellStyle name="Style 29 12 7" xfId="44201" xr:uid="{00000000-0005-0000-0000-0000AEAC0000}"/>
    <cellStyle name="Style 29 12 7 2" xfId="44202" xr:uid="{00000000-0005-0000-0000-0000AFAC0000}"/>
    <cellStyle name="Style 29 12 7 3" xfId="44203" xr:uid="{00000000-0005-0000-0000-0000B0AC0000}"/>
    <cellStyle name="Style 29 12 8" xfId="44204" xr:uid="{00000000-0005-0000-0000-0000B1AC0000}"/>
    <cellStyle name="Style 29 12 9" xfId="44205" xr:uid="{00000000-0005-0000-0000-0000B2AC0000}"/>
    <cellStyle name="Style 29 13" xfId="44206" xr:uid="{00000000-0005-0000-0000-0000B3AC0000}"/>
    <cellStyle name="Style 29 13 2" xfId="44207" xr:uid="{00000000-0005-0000-0000-0000B4AC0000}"/>
    <cellStyle name="Style 29 13 2 2" xfId="44208" xr:uid="{00000000-0005-0000-0000-0000B5AC0000}"/>
    <cellStyle name="Style 29 13 2 2 2" xfId="44209" xr:uid="{00000000-0005-0000-0000-0000B6AC0000}"/>
    <cellStyle name="Style 29 13 2 2 3" xfId="44210" xr:uid="{00000000-0005-0000-0000-0000B7AC0000}"/>
    <cellStyle name="Style 29 13 2 3" xfId="44211" xr:uid="{00000000-0005-0000-0000-0000B8AC0000}"/>
    <cellStyle name="Style 29 13 2 3 2" xfId="44212" xr:uid="{00000000-0005-0000-0000-0000B9AC0000}"/>
    <cellStyle name="Style 29 13 2 3 3" xfId="44213" xr:uid="{00000000-0005-0000-0000-0000BAAC0000}"/>
    <cellStyle name="Style 29 13 2 4" xfId="44214" xr:uid="{00000000-0005-0000-0000-0000BBAC0000}"/>
    <cellStyle name="Style 29 13 2 5" xfId="44215" xr:uid="{00000000-0005-0000-0000-0000BCAC0000}"/>
    <cellStyle name="Style 29 13 2 6" xfId="44216" xr:uid="{00000000-0005-0000-0000-0000BDAC0000}"/>
    <cellStyle name="Style 29 13 3" xfId="44217" xr:uid="{00000000-0005-0000-0000-0000BEAC0000}"/>
    <cellStyle name="Style 29 13 3 2" xfId="44218" xr:uid="{00000000-0005-0000-0000-0000BFAC0000}"/>
    <cellStyle name="Style 29 13 3 3" xfId="44219" xr:uid="{00000000-0005-0000-0000-0000C0AC0000}"/>
    <cellStyle name="Style 29 13 4" xfId="44220" xr:uid="{00000000-0005-0000-0000-0000C1AC0000}"/>
    <cellStyle name="Style 29 13 4 2" xfId="44221" xr:uid="{00000000-0005-0000-0000-0000C2AC0000}"/>
    <cellStyle name="Style 29 13 4 3" xfId="44222" xr:uid="{00000000-0005-0000-0000-0000C3AC0000}"/>
    <cellStyle name="Style 29 13 5" xfId="44223" xr:uid="{00000000-0005-0000-0000-0000C4AC0000}"/>
    <cellStyle name="Style 29 13 5 2" xfId="44224" xr:uid="{00000000-0005-0000-0000-0000C5AC0000}"/>
    <cellStyle name="Style 29 13 5 3" xfId="44225" xr:uid="{00000000-0005-0000-0000-0000C6AC0000}"/>
    <cellStyle name="Style 29 13 6" xfId="44226" xr:uid="{00000000-0005-0000-0000-0000C7AC0000}"/>
    <cellStyle name="Style 29 13 7" xfId="44227" xr:uid="{00000000-0005-0000-0000-0000C8AC0000}"/>
    <cellStyle name="Style 29 13 8" xfId="44228" xr:uid="{00000000-0005-0000-0000-0000C9AC0000}"/>
    <cellStyle name="Style 29 14" xfId="44229" xr:uid="{00000000-0005-0000-0000-0000CAAC0000}"/>
    <cellStyle name="Style 29 14 2" xfId="44230" xr:uid="{00000000-0005-0000-0000-0000CBAC0000}"/>
    <cellStyle name="Style 29 14 2 2" xfId="44231" xr:uid="{00000000-0005-0000-0000-0000CCAC0000}"/>
    <cellStyle name="Style 29 14 2 2 2" xfId="44232" xr:uid="{00000000-0005-0000-0000-0000CDAC0000}"/>
    <cellStyle name="Style 29 14 2 2 3" xfId="44233" xr:uid="{00000000-0005-0000-0000-0000CEAC0000}"/>
    <cellStyle name="Style 29 14 2 3" xfId="44234" xr:uid="{00000000-0005-0000-0000-0000CFAC0000}"/>
    <cellStyle name="Style 29 14 2 3 2" xfId="44235" xr:uid="{00000000-0005-0000-0000-0000D0AC0000}"/>
    <cellStyle name="Style 29 14 2 3 3" xfId="44236" xr:uid="{00000000-0005-0000-0000-0000D1AC0000}"/>
    <cellStyle name="Style 29 14 2 4" xfId="44237" xr:uid="{00000000-0005-0000-0000-0000D2AC0000}"/>
    <cellStyle name="Style 29 14 2 5" xfId="44238" xr:uid="{00000000-0005-0000-0000-0000D3AC0000}"/>
    <cellStyle name="Style 29 14 2 6" xfId="44239" xr:uid="{00000000-0005-0000-0000-0000D4AC0000}"/>
    <cellStyle name="Style 29 14 3" xfId="44240" xr:uid="{00000000-0005-0000-0000-0000D5AC0000}"/>
    <cellStyle name="Style 29 14 3 2" xfId="44241" xr:uid="{00000000-0005-0000-0000-0000D6AC0000}"/>
    <cellStyle name="Style 29 14 3 3" xfId="44242" xr:uid="{00000000-0005-0000-0000-0000D7AC0000}"/>
    <cellStyle name="Style 29 14 4" xfId="44243" xr:uid="{00000000-0005-0000-0000-0000D8AC0000}"/>
    <cellStyle name="Style 29 14 4 2" xfId="44244" xr:uid="{00000000-0005-0000-0000-0000D9AC0000}"/>
    <cellStyle name="Style 29 14 4 3" xfId="44245" xr:uid="{00000000-0005-0000-0000-0000DAAC0000}"/>
    <cellStyle name="Style 29 14 5" xfId="44246" xr:uid="{00000000-0005-0000-0000-0000DBAC0000}"/>
    <cellStyle name="Style 29 14 5 2" xfId="44247" xr:uid="{00000000-0005-0000-0000-0000DCAC0000}"/>
    <cellStyle name="Style 29 14 5 3" xfId="44248" xr:uid="{00000000-0005-0000-0000-0000DDAC0000}"/>
    <cellStyle name="Style 29 14 6" xfId="44249" xr:uid="{00000000-0005-0000-0000-0000DEAC0000}"/>
    <cellStyle name="Style 29 14 7" xfId="44250" xr:uid="{00000000-0005-0000-0000-0000DFAC0000}"/>
    <cellStyle name="Style 29 14 8" xfId="44251" xr:uid="{00000000-0005-0000-0000-0000E0AC0000}"/>
    <cellStyle name="Style 29 15" xfId="44252" xr:uid="{00000000-0005-0000-0000-0000E1AC0000}"/>
    <cellStyle name="Style 29 15 2" xfId="44253" xr:uid="{00000000-0005-0000-0000-0000E2AC0000}"/>
    <cellStyle name="Style 29 15 2 2" xfId="44254" xr:uid="{00000000-0005-0000-0000-0000E3AC0000}"/>
    <cellStyle name="Style 29 15 2 2 2" xfId="44255" xr:uid="{00000000-0005-0000-0000-0000E4AC0000}"/>
    <cellStyle name="Style 29 15 2 2 3" xfId="44256" xr:uid="{00000000-0005-0000-0000-0000E5AC0000}"/>
    <cellStyle name="Style 29 15 2 3" xfId="44257" xr:uid="{00000000-0005-0000-0000-0000E6AC0000}"/>
    <cellStyle name="Style 29 15 2 3 2" xfId="44258" xr:uid="{00000000-0005-0000-0000-0000E7AC0000}"/>
    <cellStyle name="Style 29 15 2 3 3" xfId="44259" xr:uid="{00000000-0005-0000-0000-0000E8AC0000}"/>
    <cellStyle name="Style 29 15 2 4" xfId="44260" xr:uid="{00000000-0005-0000-0000-0000E9AC0000}"/>
    <cellStyle name="Style 29 15 2 5" xfId="44261" xr:uid="{00000000-0005-0000-0000-0000EAAC0000}"/>
    <cellStyle name="Style 29 15 2 6" xfId="44262" xr:uid="{00000000-0005-0000-0000-0000EBAC0000}"/>
    <cellStyle name="Style 29 15 3" xfId="44263" xr:uid="{00000000-0005-0000-0000-0000ECAC0000}"/>
    <cellStyle name="Style 29 15 3 2" xfId="44264" xr:uid="{00000000-0005-0000-0000-0000EDAC0000}"/>
    <cellStyle name="Style 29 15 3 3" xfId="44265" xr:uid="{00000000-0005-0000-0000-0000EEAC0000}"/>
    <cellStyle name="Style 29 15 4" xfId="44266" xr:uid="{00000000-0005-0000-0000-0000EFAC0000}"/>
    <cellStyle name="Style 29 15 4 2" xfId="44267" xr:uid="{00000000-0005-0000-0000-0000F0AC0000}"/>
    <cellStyle name="Style 29 15 4 3" xfId="44268" xr:uid="{00000000-0005-0000-0000-0000F1AC0000}"/>
    <cellStyle name="Style 29 15 5" xfId="44269" xr:uid="{00000000-0005-0000-0000-0000F2AC0000}"/>
    <cellStyle name="Style 29 15 5 2" xfId="44270" xr:uid="{00000000-0005-0000-0000-0000F3AC0000}"/>
    <cellStyle name="Style 29 15 5 3" xfId="44271" xr:uid="{00000000-0005-0000-0000-0000F4AC0000}"/>
    <cellStyle name="Style 29 15 6" xfId="44272" xr:uid="{00000000-0005-0000-0000-0000F5AC0000}"/>
    <cellStyle name="Style 29 15 7" xfId="44273" xr:uid="{00000000-0005-0000-0000-0000F6AC0000}"/>
    <cellStyle name="Style 29 15 8" xfId="44274" xr:uid="{00000000-0005-0000-0000-0000F7AC0000}"/>
    <cellStyle name="Style 29 16" xfId="44275" xr:uid="{00000000-0005-0000-0000-0000F8AC0000}"/>
    <cellStyle name="Style 29 16 2" xfId="44276" xr:uid="{00000000-0005-0000-0000-0000F9AC0000}"/>
    <cellStyle name="Style 29 16 2 2" xfId="44277" xr:uid="{00000000-0005-0000-0000-0000FAAC0000}"/>
    <cellStyle name="Style 29 16 2 3" xfId="44278" xr:uid="{00000000-0005-0000-0000-0000FBAC0000}"/>
    <cellStyle name="Style 29 16 3" xfId="44279" xr:uid="{00000000-0005-0000-0000-0000FCAC0000}"/>
    <cellStyle name="Style 29 16 3 2" xfId="44280" xr:uid="{00000000-0005-0000-0000-0000FDAC0000}"/>
    <cellStyle name="Style 29 16 3 3" xfId="44281" xr:uid="{00000000-0005-0000-0000-0000FEAC0000}"/>
    <cellStyle name="Style 29 16 4" xfId="44282" xr:uid="{00000000-0005-0000-0000-0000FFAC0000}"/>
    <cellStyle name="Style 29 16 5" xfId="44283" xr:uid="{00000000-0005-0000-0000-000000AD0000}"/>
    <cellStyle name="Style 29 16 6" xfId="44284" xr:uid="{00000000-0005-0000-0000-000001AD0000}"/>
    <cellStyle name="Style 29 17" xfId="44285" xr:uid="{00000000-0005-0000-0000-000002AD0000}"/>
    <cellStyle name="Style 29 17 2" xfId="44286" xr:uid="{00000000-0005-0000-0000-000003AD0000}"/>
    <cellStyle name="Style 29 17 3" xfId="44287" xr:uid="{00000000-0005-0000-0000-000004AD0000}"/>
    <cellStyle name="Style 29 18" xfId="44288" xr:uid="{00000000-0005-0000-0000-000005AD0000}"/>
    <cellStyle name="Style 29 18 2" xfId="44289" xr:uid="{00000000-0005-0000-0000-000006AD0000}"/>
    <cellStyle name="Style 29 18 3" xfId="44290" xr:uid="{00000000-0005-0000-0000-000007AD0000}"/>
    <cellStyle name="Style 29 19" xfId="44291" xr:uid="{00000000-0005-0000-0000-000008AD0000}"/>
    <cellStyle name="Style 29 19 2" xfId="44292" xr:uid="{00000000-0005-0000-0000-000009AD0000}"/>
    <cellStyle name="Style 29 19 3" xfId="44293" xr:uid="{00000000-0005-0000-0000-00000AAD0000}"/>
    <cellStyle name="Style 29 2" xfId="44294" xr:uid="{00000000-0005-0000-0000-00000BAD0000}"/>
    <cellStyle name="Style 29 2 10" xfId="44295" xr:uid="{00000000-0005-0000-0000-00000CAD0000}"/>
    <cellStyle name="Style 29 2 11" xfId="44296" xr:uid="{00000000-0005-0000-0000-00000DAD0000}"/>
    <cellStyle name="Style 29 2 12" xfId="44297" xr:uid="{00000000-0005-0000-0000-00000EAD0000}"/>
    <cellStyle name="Style 29 2 2" xfId="44298" xr:uid="{00000000-0005-0000-0000-00000FAD0000}"/>
    <cellStyle name="Style 29 2 2 10" xfId="44299" xr:uid="{00000000-0005-0000-0000-000010AD0000}"/>
    <cellStyle name="Style 29 2 2 2" xfId="44300" xr:uid="{00000000-0005-0000-0000-000011AD0000}"/>
    <cellStyle name="Style 29 2 2 2 2" xfId="44301" xr:uid="{00000000-0005-0000-0000-000012AD0000}"/>
    <cellStyle name="Style 29 2 2 2 2 2" xfId="44302" xr:uid="{00000000-0005-0000-0000-000013AD0000}"/>
    <cellStyle name="Style 29 2 2 2 2 2 2" xfId="44303" xr:uid="{00000000-0005-0000-0000-000014AD0000}"/>
    <cellStyle name="Style 29 2 2 2 2 2 3" xfId="44304" xr:uid="{00000000-0005-0000-0000-000015AD0000}"/>
    <cellStyle name="Style 29 2 2 2 2 3" xfId="44305" xr:uid="{00000000-0005-0000-0000-000016AD0000}"/>
    <cellStyle name="Style 29 2 2 2 2 3 2" xfId="44306" xr:uid="{00000000-0005-0000-0000-000017AD0000}"/>
    <cellStyle name="Style 29 2 2 2 2 3 3" xfId="44307" xr:uid="{00000000-0005-0000-0000-000018AD0000}"/>
    <cellStyle name="Style 29 2 2 2 2 4" xfId="44308" xr:uid="{00000000-0005-0000-0000-000019AD0000}"/>
    <cellStyle name="Style 29 2 2 2 2 5" xfId="44309" xr:uid="{00000000-0005-0000-0000-00001AAD0000}"/>
    <cellStyle name="Style 29 2 2 2 2 6" xfId="44310" xr:uid="{00000000-0005-0000-0000-00001BAD0000}"/>
    <cellStyle name="Style 29 2 2 2 3" xfId="44311" xr:uid="{00000000-0005-0000-0000-00001CAD0000}"/>
    <cellStyle name="Style 29 2 2 2 3 2" xfId="44312" xr:uid="{00000000-0005-0000-0000-00001DAD0000}"/>
    <cellStyle name="Style 29 2 2 2 3 3" xfId="44313" xr:uid="{00000000-0005-0000-0000-00001EAD0000}"/>
    <cellStyle name="Style 29 2 2 2 4" xfId="44314" xr:uid="{00000000-0005-0000-0000-00001FAD0000}"/>
    <cellStyle name="Style 29 2 2 2 4 2" xfId="44315" xr:uid="{00000000-0005-0000-0000-000020AD0000}"/>
    <cellStyle name="Style 29 2 2 2 4 3" xfId="44316" xr:uid="{00000000-0005-0000-0000-000021AD0000}"/>
    <cellStyle name="Style 29 2 2 2 5" xfId="44317" xr:uid="{00000000-0005-0000-0000-000022AD0000}"/>
    <cellStyle name="Style 29 2 2 2 5 2" xfId="44318" xr:uid="{00000000-0005-0000-0000-000023AD0000}"/>
    <cellStyle name="Style 29 2 2 2 5 3" xfId="44319" xr:uid="{00000000-0005-0000-0000-000024AD0000}"/>
    <cellStyle name="Style 29 2 2 2 6" xfId="44320" xr:uid="{00000000-0005-0000-0000-000025AD0000}"/>
    <cellStyle name="Style 29 2 2 2 7" xfId="44321" xr:uid="{00000000-0005-0000-0000-000026AD0000}"/>
    <cellStyle name="Style 29 2 2 2 8" xfId="44322" xr:uid="{00000000-0005-0000-0000-000027AD0000}"/>
    <cellStyle name="Style 29 2 2 3" xfId="44323" xr:uid="{00000000-0005-0000-0000-000028AD0000}"/>
    <cellStyle name="Style 29 2 2 3 2" xfId="44324" xr:uid="{00000000-0005-0000-0000-000029AD0000}"/>
    <cellStyle name="Style 29 2 2 3 2 2" xfId="44325" xr:uid="{00000000-0005-0000-0000-00002AAD0000}"/>
    <cellStyle name="Style 29 2 2 3 2 2 2" xfId="44326" xr:uid="{00000000-0005-0000-0000-00002BAD0000}"/>
    <cellStyle name="Style 29 2 2 3 2 2 3" xfId="44327" xr:uid="{00000000-0005-0000-0000-00002CAD0000}"/>
    <cellStyle name="Style 29 2 2 3 2 3" xfId="44328" xr:uid="{00000000-0005-0000-0000-00002DAD0000}"/>
    <cellStyle name="Style 29 2 2 3 2 3 2" xfId="44329" xr:uid="{00000000-0005-0000-0000-00002EAD0000}"/>
    <cellStyle name="Style 29 2 2 3 2 3 3" xfId="44330" xr:uid="{00000000-0005-0000-0000-00002FAD0000}"/>
    <cellStyle name="Style 29 2 2 3 2 4" xfId="44331" xr:uid="{00000000-0005-0000-0000-000030AD0000}"/>
    <cellStyle name="Style 29 2 2 3 2 5" xfId="44332" xr:uid="{00000000-0005-0000-0000-000031AD0000}"/>
    <cellStyle name="Style 29 2 2 3 2 6" xfId="44333" xr:uid="{00000000-0005-0000-0000-000032AD0000}"/>
    <cellStyle name="Style 29 2 2 3 3" xfId="44334" xr:uid="{00000000-0005-0000-0000-000033AD0000}"/>
    <cellStyle name="Style 29 2 2 3 3 2" xfId="44335" xr:uid="{00000000-0005-0000-0000-000034AD0000}"/>
    <cellStyle name="Style 29 2 2 3 3 3" xfId="44336" xr:uid="{00000000-0005-0000-0000-000035AD0000}"/>
    <cellStyle name="Style 29 2 2 3 4" xfId="44337" xr:uid="{00000000-0005-0000-0000-000036AD0000}"/>
    <cellStyle name="Style 29 2 2 3 4 2" xfId="44338" xr:uid="{00000000-0005-0000-0000-000037AD0000}"/>
    <cellStyle name="Style 29 2 2 3 4 3" xfId="44339" xr:uid="{00000000-0005-0000-0000-000038AD0000}"/>
    <cellStyle name="Style 29 2 2 3 5" xfId="44340" xr:uid="{00000000-0005-0000-0000-000039AD0000}"/>
    <cellStyle name="Style 29 2 2 3 5 2" xfId="44341" xr:uid="{00000000-0005-0000-0000-00003AAD0000}"/>
    <cellStyle name="Style 29 2 2 3 5 3" xfId="44342" xr:uid="{00000000-0005-0000-0000-00003BAD0000}"/>
    <cellStyle name="Style 29 2 2 3 6" xfId="44343" xr:uid="{00000000-0005-0000-0000-00003CAD0000}"/>
    <cellStyle name="Style 29 2 2 3 7" xfId="44344" xr:uid="{00000000-0005-0000-0000-00003DAD0000}"/>
    <cellStyle name="Style 29 2 2 3 8" xfId="44345" xr:uid="{00000000-0005-0000-0000-00003EAD0000}"/>
    <cellStyle name="Style 29 2 2 4" xfId="44346" xr:uid="{00000000-0005-0000-0000-00003FAD0000}"/>
    <cellStyle name="Style 29 2 2 4 2" xfId="44347" xr:uid="{00000000-0005-0000-0000-000040AD0000}"/>
    <cellStyle name="Style 29 2 2 4 2 2" xfId="44348" xr:uid="{00000000-0005-0000-0000-000041AD0000}"/>
    <cellStyle name="Style 29 2 2 4 2 3" xfId="44349" xr:uid="{00000000-0005-0000-0000-000042AD0000}"/>
    <cellStyle name="Style 29 2 2 4 3" xfId="44350" xr:uid="{00000000-0005-0000-0000-000043AD0000}"/>
    <cellStyle name="Style 29 2 2 4 3 2" xfId="44351" xr:uid="{00000000-0005-0000-0000-000044AD0000}"/>
    <cellStyle name="Style 29 2 2 4 3 3" xfId="44352" xr:uid="{00000000-0005-0000-0000-000045AD0000}"/>
    <cellStyle name="Style 29 2 2 4 4" xfId="44353" xr:uid="{00000000-0005-0000-0000-000046AD0000}"/>
    <cellStyle name="Style 29 2 2 4 5" xfId="44354" xr:uid="{00000000-0005-0000-0000-000047AD0000}"/>
    <cellStyle name="Style 29 2 2 4 6" xfId="44355" xr:uid="{00000000-0005-0000-0000-000048AD0000}"/>
    <cellStyle name="Style 29 2 2 5" xfId="44356" xr:uid="{00000000-0005-0000-0000-000049AD0000}"/>
    <cellStyle name="Style 29 2 2 5 2" xfId="44357" xr:uid="{00000000-0005-0000-0000-00004AAD0000}"/>
    <cellStyle name="Style 29 2 2 5 3" xfId="44358" xr:uid="{00000000-0005-0000-0000-00004BAD0000}"/>
    <cellStyle name="Style 29 2 2 6" xfId="44359" xr:uid="{00000000-0005-0000-0000-00004CAD0000}"/>
    <cellStyle name="Style 29 2 2 6 2" xfId="44360" xr:uid="{00000000-0005-0000-0000-00004DAD0000}"/>
    <cellStyle name="Style 29 2 2 6 3" xfId="44361" xr:uid="{00000000-0005-0000-0000-00004EAD0000}"/>
    <cellStyle name="Style 29 2 2 7" xfId="44362" xr:uid="{00000000-0005-0000-0000-00004FAD0000}"/>
    <cellStyle name="Style 29 2 2 7 2" xfId="44363" xr:uid="{00000000-0005-0000-0000-000050AD0000}"/>
    <cellStyle name="Style 29 2 2 7 3" xfId="44364" xr:uid="{00000000-0005-0000-0000-000051AD0000}"/>
    <cellStyle name="Style 29 2 2 8" xfId="44365" xr:uid="{00000000-0005-0000-0000-000052AD0000}"/>
    <cellStyle name="Style 29 2 2 9" xfId="44366" xr:uid="{00000000-0005-0000-0000-000053AD0000}"/>
    <cellStyle name="Style 29 2 3" xfId="44367" xr:uid="{00000000-0005-0000-0000-000054AD0000}"/>
    <cellStyle name="Style 29 2 3 2" xfId="44368" xr:uid="{00000000-0005-0000-0000-000055AD0000}"/>
    <cellStyle name="Style 29 2 3 2 2" xfId="44369" xr:uid="{00000000-0005-0000-0000-000056AD0000}"/>
    <cellStyle name="Style 29 2 3 2 2 2" xfId="44370" xr:uid="{00000000-0005-0000-0000-000057AD0000}"/>
    <cellStyle name="Style 29 2 3 2 2 3" xfId="44371" xr:uid="{00000000-0005-0000-0000-000058AD0000}"/>
    <cellStyle name="Style 29 2 3 2 3" xfId="44372" xr:uid="{00000000-0005-0000-0000-000059AD0000}"/>
    <cellStyle name="Style 29 2 3 2 3 2" xfId="44373" xr:uid="{00000000-0005-0000-0000-00005AAD0000}"/>
    <cellStyle name="Style 29 2 3 2 3 3" xfId="44374" xr:uid="{00000000-0005-0000-0000-00005BAD0000}"/>
    <cellStyle name="Style 29 2 3 2 4" xfId="44375" xr:uid="{00000000-0005-0000-0000-00005CAD0000}"/>
    <cellStyle name="Style 29 2 3 2 5" xfId="44376" xr:uid="{00000000-0005-0000-0000-00005DAD0000}"/>
    <cellStyle name="Style 29 2 3 2 6" xfId="44377" xr:uid="{00000000-0005-0000-0000-00005EAD0000}"/>
    <cellStyle name="Style 29 2 3 3" xfId="44378" xr:uid="{00000000-0005-0000-0000-00005FAD0000}"/>
    <cellStyle name="Style 29 2 3 3 2" xfId="44379" xr:uid="{00000000-0005-0000-0000-000060AD0000}"/>
    <cellStyle name="Style 29 2 3 3 3" xfId="44380" xr:uid="{00000000-0005-0000-0000-000061AD0000}"/>
    <cellStyle name="Style 29 2 3 4" xfId="44381" xr:uid="{00000000-0005-0000-0000-000062AD0000}"/>
    <cellStyle name="Style 29 2 3 4 2" xfId="44382" xr:uid="{00000000-0005-0000-0000-000063AD0000}"/>
    <cellStyle name="Style 29 2 3 4 3" xfId="44383" xr:uid="{00000000-0005-0000-0000-000064AD0000}"/>
    <cellStyle name="Style 29 2 3 5" xfId="44384" xr:uid="{00000000-0005-0000-0000-000065AD0000}"/>
    <cellStyle name="Style 29 2 3 5 2" xfId="44385" xr:uid="{00000000-0005-0000-0000-000066AD0000}"/>
    <cellStyle name="Style 29 2 3 5 3" xfId="44386" xr:uid="{00000000-0005-0000-0000-000067AD0000}"/>
    <cellStyle name="Style 29 2 3 6" xfId="44387" xr:uid="{00000000-0005-0000-0000-000068AD0000}"/>
    <cellStyle name="Style 29 2 3 7" xfId="44388" xr:uid="{00000000-0005-0000-0000-000069AD0000}"/>
    <cellStyle name="Style 29 2 3 8" xfId="44389" xr:uid="{00000000-0005-0000-0000-00006AAD0000}"/>
    <cellStyle name="Style 29 2 4" xfId="44390" xr:uid="{00000000-0005-0000-0000-00006BAD0000}"/>
    <cellStyle name="Style 29 2 4 2" xfId="44391" xr:uid="{00000000-0005-0000-0000-00006CAD0000}"/>
    <cellStyle name="Style 29 2 4 2 2" xfId="44392" xr:uid="{00000000-0005-0000-0000-00006DAD0000}"/>
    <cellStyle name="Style 29 2 4 2 2 2" xfId="44393" xr:uid="{00000000-0005-0000-0000-00006EAD0000}"/>
    <cellStyle name="Style 29 2 4 2 2 3" xfId="44394" xr:uid="{00000000-0005-0000-0000-00006FAD0000}"/>
    <cellStyle name="Style 29 2 4 2 3" xfId="44395" xr:uid="{00000000-0005-0000-0000-000070AD0000}"/>
    <cellStyle name="Style 29 2 4 2 3 2" xfId="44396" xr:uid="{00000000-0005-0000-0000-000071AD0000}"/>
    <cellStyle name="Style 29 2 4 2 3 3" xfId="44397" xr:uid="{00000000-0005-0000-0000-000072AD0000}"/>
    <cellStyle name="Style 29 2 4 2 4" xfId="44398" xr:uid="{00000000-0005-0000-0000-000073AD0000}"/>
    <cellStyle name="Style 29 2 4 2 5" xfId="44399" xr:uid="{00000000-0005-0000-0000-000074AD0000}"/>
    <cellStyle name="Style 29 2 4 2 6" xfId="44400" xr:uid="{00000000-0005-0000-0000-000075AD0000}"/>
    <cellStyle name="Style 29 2 4 3" xfId="44401" xr:uid="{00000000-0005-0000-0000-000076AD0000}"/>
    <cellStyle name="Style 29 2 4 3 2" xfId="44402" xr:uid="{00000000-0005-0000-0000-000077AD0000}"/>
    <cellStyle name="Style 29 2 4 3 3" xfId="44403" xr:uid="{00000000-0005-0000-0000-000078AD0000}"/>
    <cellStyle name="Style 29 2 4 4" xfId="44404" xr:uid="{00000000-0005-0000-0000-000079AD0000}"/>
    <cellStyle name="Style 29 2 4 4 2" xfId="44405" xr:uid="{00000000-0005-0000-0000-00007AAD0000}"/>
    <cellStyle name="Style 29 2 4 4 3" xfId="44406" xr:uid="{00000000-0005-0000-0000-00007BAD0000}"/>
    <cellStyle name="Style 29 2 4 5" xfId="44407" xr:uid="{00000000-0005-0000-0000-00007CAD0000}"/>
    <cellStyle name="Style 29 2 4 5 2" xfId="44408" xr:uid="{00000000-0005-0000-0000-00007DAD0000}"/>
    <cellStyle name="Style 29 2 4 5 3" xfId="44409" xr:uid="{00000000-0005-0000-0000-00007EAD0000}"/>
    <cellStyle name="Style 29 2 4 6" xfId="44410" xr:uid="{00000000-0005-0000-0000-00007FAD0000}"/>
    <cellStyle name="Style 29 2 4 7" xfId="44411" xr:uid="{00000000-0005-0000-0000-000080AD0000}"/>
    <cellStyle name="Style 29 2 4 8" xfId="44412" xr:uid="{00000000-0005-0000-0000-000081AD0000}"/>
    <cellStyle name="Style 29 2 5" xfId="44413" xr:uid="{00000000-0005-0000-0000-000082AD0000}"/>
    <cellStyle name="Style 29 2 5 2" xfId="44414" xr:uid="{00000000-0005-0000-0000-000083AD0000}"/>
    <cellStyle name="Style 29 2 5 2 2" xfId="44415" xr:uid="{00000000-0005-0000-0000-000084AD0000}"/>
    <cellStyle name="Style 29 2 5 2 2 2" xfId="44416" xr:uid="{00000000-0005-0000-0000-000085AD0000}"/>
    <cellStyle name="Style 29 2 5 2 2 3" xfId="44417" xr:uid="{00000000-0005-0000-0000-000086AD0000}"/>
    <cellStyle name="Style 29 2 5 2 3" xfId="44418" xr:uid="{00000000-0005-0000-0000-000087AD0000}"/>
    <cellStyle name="Style 29 2 5 2 3 2" xfId="44419" xr:uid="{00000000-0005-0000-0000-000088AD0000}"/>
    <cellStyle name="Style 29 2 5 2 3 3" xfId="44420" xr:uid="{00000000-0005-0000-0000-000089AD0000}"/>
    <cellStyle name="Style 29 2 5 2 4" xfId="44421" xr:uid="{00000000-0005-0000-0000-00008AAD0000}"/>
    <cellStyle name="Style 29 2 5 2 5" xfId="44422" xr:uid="{00000000-0005-0000-0000-00008BAD0000}"/>
    <cellStyle name="Style 29 2 5 2 6" xfId="44423" xr:uid="{00000000-0005-0000-0000-00008CAD0000}"/>
    <cellStyle name="Style 29 2 5 3" xfId="44424" xr:uid="{00000000-0005-0000-0000-00008DAD0000}"/>
    <cellStyle name="Style 29 2 5 3 2" xfId="44425" xr:uid="{00000000-0005-0000-0000-00008EAD0000}"/>
    <cellStyle name="Style 29 2 5 3 3" xfId="44426" xr:uid="{00000000-0005-0000-0000-00008FAD0000}"/>
    <cellStyle name="Style 29 2 5 4" xfId="44427" xr:uid="{00000000-0005-0000-0000-000090AD0000}"/>
    <cellStyle name="Style 29 2 5 4 2" xfId="44428" xr:uid="{00000000-0005-0000-0000-000091AD0000}"/>
    <cellStyle name="Style 29 2 5 4 3" xfId="44429" xr:uid="{00000000-0005-0000-0000-000092AD0000}"/>
    <cellStyle name="Style 29 2 5 5" xfId="44430" xr:uid="{00000000-0005-0000-0000-000093AD0000}"/>
    <cellStyle name="Style 29 2 5 5 2" xfId="44431" xr:uid="{00000000-0005-0000-0000-000094AD0000}"/>
    <cellStyle name="Style 29 2 5 5 3" xfId="44432" xr:uid="{00000000-0005-0000-0000-000095AD0000}"/>
    <cellStyle name="Style 29 2 5 6" xfId="44433" xr:uid="{00000000-0005-0000-0000-000096AD0000}"/>
    <cellStyle name="Style 29 2 5 7" xfId="44434" xr:uid="{00000000-0005-0000-0000-000097AD0000}"/>
    <cellStyle name="Style 29 2 5 8" xfId="44435" xr:uid="{00000000-0005-0000-0000-000098AD0000}"/>
    <cellStyle name="Style 29 2 6" xfId="44436" xr:uid="{00000000-0005-0000-0000-000099AD0000}"/>
    <cellStyle name="Style 29 2 6 2" xfId="44437" xr:uid="{00000000-0005-0000-0000-00009AAD0000}"/>
    <cellStyle name="Style 29 2 6 2 2" xfId="44438" xr:uid="{00000000-0005-0000-0000-00009BAD0000}"/>
    <cellStyle name="Style 29 2 6 2 3" xfId="44439" xr:uid="{00000000-0005-0000-0000-00009CAD0000}"/>
    <cellStyle name="Style 29 2 6 3" xfId="44440" xr:uid="{00000000-0005-0000-0000-00009DAD0000}"/>
    <cellStyle name="Style 29 2 6 3 2" xfId="44441" xr:uid="{00000000-0005-0000-0000-00009EAD0000}"/>
    <cellStyle name="Style 29 2 6 3 3" xfId="44442" xr:uid="{00000000-0005-0000-0000-00009FAD0000}"/>
    <cellStyle name="Style 29 2 6 4" xfId="44443" xr:uid="{00000000-0005-0000-0000-0000A0AD0000}"/>
    <cellStyle name="Style 29 2 6 5" xfId="44444" xr:uid="{00000000-0005-0000-0000-0000A1AD0000}"/>
    <cellStyle name="Style 29 2 6 6" xfId="44445" xr:uid="{00000000-0005-0000-0000-0000A2AD0000}"/>
    <cellStyle name="Style 29 2 7" xfId="44446" xr:uid="{00000000-0005-0000-0000-0000A3AD0000}"/>
    <cellStyle name="Style 29 2 7 2" xfId="44447" xr:uid="{00000000-0005-0000-0000-0000A4AD0000}"/>
    <cellStyle name="Style 29 2 7 3" xfId="44448" xr:uid="{00000000-0005-0000-0000-0000A5AD0000}"/>
    <cellStyle name="Style 29 2 8" xfId="44449" xr:uid="{00000000-0005-0000-0000-0000A6AD0000}"/>
    <cellStyle name="Style 29 2 8 2" xfId="44450" xr:uid="{00000000-0005-0000-0000-0000A7AD0000}"/>
    <cellStyle name="Style 29 2 8 3" xfId="44451" xr:uid="{00000000-0005-0000-0000-0000A8AD0000}"/>
    <cellStyle name="Style 29 2 9" xfId="44452" xr:uid="{00000000-0005-0000-0000-0000A9AD0000}"/>
    <cellStyle name="Style 29 2 9 2" xfId="44453" xr:uid="{00000000-0005-0000-0000-0000AAAD0000}"/>
    <cellStyle name="Style 29 2 9 3" xfId="44454" xr:uid="{00000000-0005-0000-0000-0000ABAD0000}"/>
    <cellStyle name="Style 29 20" xfId="44455" xr:uid="{00000000-0005-0000-0000-0000ACAD0000}"/>
    <cellStyle name="Style 29 21" xfId="44456" xr:uid="{00000000-0005-0000-0000-0000ADAD0000}"/>
    <cellStyle name="Style 29 22" xfId="44457" xr:uid="{00000000-0005-0000-0000-0000AEAD0000}"/>
    <cellStyle name="Style 29 3" xfId="44458" xr:uid="{00000000-0005-0000-0000-0000AFAD0000}"/>
    <cellStyle name="Style 29 3 10" xfId="44459" xr:uid="{00000000-0005-0000-0000-0000B0AD0000}"/>
    <cellStyle name="Style 29 3 11" xfId="44460" xr:uid="{00000000-0005-0000-0000-0000B1AD0000}"/>
    <cellStyle name="Style 29 3 12" xfId="44461" xr:uid="{00000000-0005-0000-0000-0000B2AD0000}"/>
    <cellStyle name="Style 29 3 2" xfId="44462" xr:uid="{00000000-0005-0000-0000-0000B3AD0000}"/>
    <cellStyle name="Style 29 3 2 10" xfId="44463" xr:uid="{00000000-0005-0000-0000-0000B4AD0000}"/>
    <cellStyle name="Style 29 3 2 2" xfId="44464" xr:uid="{00000000-0005-0000-0000-0000B5AD0000}"/>
    <cellStyle name="Style 29 3 2 2 2" xfId="44465" xr:uid="{00000000-0005-0000-0000-0000B6AD0000}"/>
    <cellStyle name="Style 29 3 2 2 2 2" xfId="44466" xr:uid="{00000000-0005-0000-0000-0000B7AD0000}"/>
    <cellStyle name="Style 29 3 2 2 2 2 2" xfId="44467" xr:uid="{00000000-0005-0000-0000-0000B8AD0000}"/>
    <cellStyle name="Style 29 3 2 2 2 2 3" xfId="44468" xr:uid="{00000000-0005-0000-0000-0000B9AD0000}"/>
    <cellStyle name="Style 29 3 2 2 2 3" xfId="44469" xr:uid="{00000000-0005-0000-0000-0000BAAD0000}"/>
    <cellStyle name="Style 29 3 2 2 2 3 2" xfId="44470" xr:uid="{00000000-0005-0000-0000-0000BBAD0000}"/>
    <cellStyle name="Style 29 3 2 2 2 3 3" xfId="44471" xr:uid="{00000000-0005-0000-0000-0000BCAD0000}"/>
    <cellStyle name="Style 29 3 2 2 2 4" xfId="44472" xr:uid="{00000000-0005-0000-0000-0000BDAD0000}"/>
    <cellStyle name="Style 29 3 2 2 2 5" xfId="44473" xr:uid="{00000000-0005-0000-0000-0000BEAD0000}"/>
    <cellStyle name="Style 29 3 2 2 2 6" xfId="44474" xr:uid="{00000000-0005-0000-0000-0000BFAD0000}"/>
    <cellStyle name="Style 29 3 2 2 3" xfId="44475" xr:uid="{00000000-0005-0000-0000-0000C0AD0000}"/>
    <cellStyle name="Style 29 3 2 2 3 2" xfId="44476" xr:uid="{00000000-0005-0000-0000-0000C1AD0000}"/>
    <cellStyle name="Style 29 3 2 2 3 3" xfId="44477" xr:uid="{00000000-0005-0000-0000-0000C2AD0000}"/>
    <cellStyle name="Style 29 3 2 2 4" xfId="44478" xr:uid="{00000000-0005-0000-0000-0000C3AD0000}"/>
    <cellStyle name="Style 29 3 2 2 4 2" xfId="44479" xr:uid="{00000000-0005-0000-0000-0000C4AD0000}"/>
    <cellStyle name="Style 29 3 2 2 4 3" xfId="44480" xr:uid="{00000000-0005-0000-0000-0000C5AD0000}"/>
    <cellStyle name="Style 29 3 2 2 5" xfId="44481" xr:uid="{00000000-0005-0000-0000-0000C6AD0000}"/>
    <cellStyle name="Style 29 3 2 2 5 2" xfId="44482" xr:uid="{00000000-0005-0000-0000-0000C7AD0000}"/>
    <cellStyle name="Style 29 3 2 2 5 3" xfId="44483" xr:uid="{00000000-0005-0000-0000-0000C8AD0000}"/>
    <cellStyle name="Style 29 3 2 2 6" xfId="44484" xr:uid="{00000000-0005-0000-0000-0000C9AD0000}"/>
    <cellStyle name="Style 29 3 2 2 7" xfId="44485" xr:uid="{00000000-0005-0000-0000-0000CAAD0000}"/>
    <cellStyle name="Style 29 3 2 2 8" xfId="44486" xr:uid="{00000000-0005-0000-0000-0000CBAD0000}"/>
    <cellStyle name="Style 29 3 2 3" xfId="44487" xr:uid="{00000000-0005-0000-0000-0000CCAD0000}"/>
    <cellStyle name="Style 29 3 2 3 2" xfId="44488" xr:uid="{00000000-0005-0000-0000-0000CDAD0000}"/>
    <cellStyle name="Style 29 3 2 3 2 2" xfId="44489" xr:uid="{00000000-0005-0000-0000-0000CEAD0000}"/>
    <cellStyle name="Style 29 3 2 3 2 2 2" xfId="44490" xr:uid="{00000000-0005-0000-0000-0000CFAD0000}"/>
    <cellStyle name="Style 29 3 2 3 2 2 3" xfId="44491" xr:uid="{00000000-0005-0000-0000-0000D0AD0000}"/>
    <cellStyle name="Style 29 3 2 3 2 3" xfId="44492" xr:uid="{00000000-0005-0000-0000-0000D1AD0000}"/>
    <cellStyle name="Style 29 3 2 3 2 3 2" xfId="44493" xr:uid="{00000000-0005-0000-0000-0000D2AD0000}"/>
    <cellStyle name="Style 29 3 2 3 2 3 3" xfId="44494" xr:uid="{00000000-0005-0000-0000-0000D3AD0000}"/>
    <cellStyle name="Style 29 3 2 3 2 4" xfId="44495" xr:uid="{00000000-0005-0000-0000-0000D4AD0000}"/>
    <cellStyle name="Style 29 3 2 3 2 5" xfId="44496" xr:uid="{00000000-0005-0000-0000-0000D5AD0000}"/>
    <cellStyle name="Style 29 3 2 3 2 6" xfId="44497" xr:uid="{00000000-0005-0000-0000-0000D6AD0000}"/>
    <cellStyle name="Style 29 3 2 3 3" xfId="44498" xr:uid="{00000000-0005-0000-0000-0000D7AD0000}"/>
    <cellStyle name="Style 29 3 2 3 3 2" xfId="44499" xr:uid="{00000000-0005-0000-0000-0000D8AD0000}"/>
    <cellStyle name="Style 29 3 2 3 3 3" xfId="44500" xr:uid="{00000000-0005-0000-0000-0000D9AD0000}"/>
    <cellStyle name="Style 29 3 2 3 4" xfId="44501" xr:uid="{00000000-0005-0000-0000-0000DAAD0000}"/>
    <cellStyle name="Style 29 3 2 3 4 2" xfId="44502" xr:uid="{00000000-0005-0000-0000-0000DBAD0000}"/>
    <cellStyle name="Style 29 3 2 3 4 3" xfId="44503" xr:uid="{00000000-0005-0000-0000-0000DCAD0000}"/>
    <cellStyle name="Style 29 3 2 3 5" xfId="44504" xr:uid="{00000000-0005-0000-0000-0000DDAD0000}"/>
    <cellStyle name="Style 29 3 2 3 5 2" xfId="44505" xr:uid="{00000000-0005-0000-0000-0000DEAD0000}"/>
    <cellStyle name="Style 29 3 2 3 5 3" xfId="44506" xr:uid="{00000000-0005-0000-0000-0000DFAD0000}"/>
    <cellStyle name="Style 29 3 2 3 6" xfId="44507" xr:uid="{00000000-0005-0000-0000-0000E0AD0000}"/>
    <cellStyle name="Style 29 3 2 3 7" xfId="44508" xr:uid="{00000000-0005-0000-0000-0000E1AD0000}"/>
    <cellStyle name="Style 29 3 2 3 8" xfId="44509" xr:uid="{00000000-0005-0000-0000-0000E2AD0000}"/>
    <cellStyle name="Style 29 3 2 4" xfId="44510" xr:uid="{00000000-0005-0000-0000-0000E3AD0000}"/>
    <cellStyle name="Style 29 3 2 4 2" xfId="44511" xr:uid="{00000000-0005-0000-0000-0000E4AD0000}"/>
    <cellStyle name="Style 29 3 2 4 2 2" xfId="44512" xr:uid="{00000000-0005-0000-0000-0000E5AD0000}"/>
    <cellStyle name="Style 29 3 2 4 2 3" xfId="44513" xr:uid="{00000000-0005-0000-0000-0000E6AD0000}"/>
    <cellStyle name="Style 29 3 2 4 3" xfId="44514" xr:uid="{00000000-0005-0000-0000-0000E7AD0000}"/>
    <cellStyle name="Style 29 3 2 4 3 2" xfId="44515" xr:uid="{00000000-0005-0000-0000-0000E8AD0000}"/>
    <cellStyle name="Style 29 3 2 4 3 3" xfId="44516" xr:uid="{00000000-0005-0000-0000-0000E9AD0000}"/>
    <cellStyle name="Style 29 3 2 4 4" xfId="44517" xr:uid="{00000000-0005-0000-0000-0000EAAD0000}"/>
    <cellStyle name="Style 29 3 2 4 5" xfId="44518" xr:uid="{00000000-0005-0000-0000-0000EBAD0000}"/>
    <cellStyle name="Style 29 3 2 4 6" xfId="44519" xr:uid="{00000000-0005-0000-0000-0000ECAD0000}"/>
    <cellStyle name="Style 29 3 2 5" xfId="44520" xr:uid="{00000000-0005-0000-0000-0000EDAD0000}"/>
    <cellStyle name="Style 29 3 2 5 2" xfId="44521" xr:uid="{00000000-0005-0000-0000-0000EEAD0000}"/>
    <cellStyle name="Style 29 3 2 5 3" xfId="44522" xr:uid="{00000000-0005-0000-0000-0000EFAD0000}"/>
    <cellStyle name="Style 29 3 2 6" xfId="44523" xr:uid="{00000000-0005-0000-0000-0000F0AD0000}"/>
    <cellStyle name="Style 29 3 2 6 2" xfId="44524" xr:uid="{00000000-0005-0000-0000-0000F1AD0000}"/>
    <cellStyle name="Style 29 3 2 6 3" xfId="44525" xr:uid="{00000000-0005-0000-0000-0000F2AD0000}"/>
    <cellStyle name="Style 29 3 2 7" xfId="44526" xr:uid="{00000000-0005-0000-0000-0000F3AD0000}"/>
    <cellStyle name="Style 29 3 2 7 2" xfId="44527" xr:uid="{00000000-0005-0000-0000-0000F4AD0000}"/>
    <cellStyle name="Style 29 3 2 7 3" xfId="44528" xr:uid="{00000000-0005-0000-0000-0000F5AD0000}"/>
    <cellStyle name="Style 29 3 2 8" xfId="44529" xr:uid="{00000000-0005-0000-0000-0000F6AD0000}"/>
    <cellStyle name="Style 29 3 2 9" xfId="44530" xr:uid="{00000000-0005-0000-0000-0000F7AD0000}"/>
    <cellStyle name="Style 29 3 3" xfId="44531" xr:uid="{00000000-0005-0000-0000-0000F8AD0000}"/>
    <cellStyle name="Style 29 3 3 2" xfId="44532" xr:uid="{00000000-0005-0000-0000-0000F9AD0000}"/>
    <cellStyle name="Style 29 3 3 2 2" xfId="44533" xr:uid="{00000000-0005-0000-0000-0000FAAD0000}"/>
    <cellStyle name="Style 29 3 3 2 2 2" xfId="44534" xr:uid="{00000000-0005-0000-0000-0000FBAD0000}"/>
    <cellStyle name="Style 29 3 3 2 2 3" xfId="44535" xr:uid="{00000000-0005-0000-0000-0000FCAD0000}"/>
    <cellStyle name="Style 29 3 3 2 3" xfId="44536" xr:uid="{00000000-0005-0000-0000-0000FDAD0000}"/>
    <cellStyle name="Style 29 3 3 2 3 2" xfId="44537" xr:uid="{00000000-0005-0000-0000-0000FEAD0000}"/>
    <cellStyle name="Style 29 3 3 2 3 3" xfId="44538" xr:uid="{00000000-0005-0000-0000-0000FFAD0000}"/>
    <cellStyle name="Style 29 3 3 2 4" xfId="44539" xr:uid="{00000000-0005-0000-0000-000000AE0000}"/>
    <cellStyle name="Style 29 3 3 2 5" xfId="44540" xr:uid="{00000000-0005-0000-0000-000001AE0000}"/>
    <cellStyle name="Style 29 3 3 2 6" xfId="44541" xr:uid="{00000000-0005-0000-0000-000002AE0000}"/>
    <cellStyle name="Style 29 3 3 3" xfId="44542" xr:uid="{00000000-0005-0000-0000-000003AE0000}"/>
    <cellStyle name="Style 29 3 3 3 2" xfId="44543" xr:uid="{00000000-0005-0000-0000-000004AE0000}"/>
    <cellStyle name="Style 29 3 3 3 3" xfId="44544" xr:uid="{00000000-0005-0000-0000-000005AE0000}"/>
    <cellStyle name="Style 29 3 3 4" xfId="44545" xr:uid="{00000000-0005-0000-0000-000006AE0000}"/>
    <cellStyle name="Style 29 3 3 4 2" xfId="44546" xr:uid="{00000000-0005-0000-0000-000007AE0000}"/>
    <cellStyle name="Style 29 3 3 4 3" xfId="44547" xr:uid="{00000000-0005-0000-0000-000008AE0000}"/>
    <cellStyle name="Style 29 3 3 5" xfId="44548" xr:uid="{00000000-0005-0000-0000-000009AE0000}"/>
    <cellStyle name="Style 29 3 3 5 2" xfId="44549" xr:uid="{00000000-0005-0000-0000-00000AAE0000}"/>
    <cellStyle name="Style 29 3 3 5 3" xfId="44550" xr:uid="{00000000-0005-0000-0000-00000BAE0000}"/>
    <cellStyle name="Style 29 3 3 6" xfId="44551" xr:uid="{00000000-0005-0000-0000-00000CAE0000}"/>
    <cellStyle name="Style 29 3 3 7" xfId="44552" xr:uid="{00000000-0005-0000-0000-00000DAE0000}"/>
    <cellStyle name="Style 29 3 3 8" xfId="44553" xr:uid="{00000000-0005-0000-0000-00000EAE0000}"/>
    <cellStyle name="Style 29 3 4" xfId="44554" xr:uid="{00000000-0005-0000-0000-00000FAE0000}"/>
    <cellStyle name="Style 29 3 4 2" xfId="44555" xr:uid="{00000000-0005-0000-0000-000010AE0000}"/>
    <cellStyle name="Style 29 3 4 2 2" xfId="44556" xr:uid="{00000000-0005-0000-0000-000011AE0000}"/>
    <cellStyle name="Style 29 3 4 2 2 2" xfId="44557" xr:uid="{00000000-0005-0000-0000-000012AE0000}"/>
    <cellStyle name="Style 29 3 4 2 2 3" xfId="44558" xr:uid="{00000000-0005-0000-0000-000013AE0000}"/>
    <cellStyle name="Style 29 3 4 2 3" xfId="44559" xr:uid="{00000000-0005-0000-0000-000014AE0000}"/>
    <cellStyle name="Style 29 3 4 2 3 2" xfId="44560" xr:uid="{00000000-0005-0000-0000-000015AE0000}"/>
    <cellStyle name="Style 29 3 4 2 3 3" xfId="44561" xr:uid="{00000000-0005-0000-0000-000016AE0000}"/>
    <cellStyle name="Style 29 3 4 2 4" xfId="44562" xr:uid="{00000000-0005-0000-0000-000017AE0000}"/>
    <cellStyle name="Style 29 3 4 2 5" xfId="44563" xr:uid="{00000000-0005-0000-0000-000018AE0000}"/>
    <cellStyle name="Style 29 3 4 2 6" xfId="44564" xr:uid="{00000000-0005-0000-0000-000019AE0000}"/>
    <cellStyle name="Style 29 3 4 3" xfId="44565" xr:uid="{00000000-0005-0000-0000-00001AAE0000}"/>
    <cellStyle name="Style 29 3 4 3 2" xfId="44566" xr:uid="{00000000-0005-0000-0000-00001BAE0000}"/>
    <cellStyle name="Style 29 3 4 3 3" xfId="44567" xr:uid="{00000000-0005-0000-0000-00001CAE0000}"/>
    <cellStyle name="Style 29 3 4 4" xfId="44568" xr:uid="{00000000-0005-0000-0000-00001DAE0000}"/>
    <cellStyle name="Style 29 3 4 4 2" xfId="44569" xr:uid="{00000000-0005-0000-0000-00001EAE0000}"/>
    <cellStyle name="Style 29 3 4 4 3" xfId="44570" xr:uid="{00000000-0005-0000-0000-00001FAE0000}"/>
    <cellStyle name="Style 29 3 4 5" xfId="44571" xr:uid="{00000000-0005-0000-0000-000020AE0000}"/>
    <cellStyle name="Style 29 3 4 5 2" xfId="44572" xr:uid="{00000000-0005-0000-0000-000021AE0000}"/>
    <cellStyle name="Style 29 3 4 5 3" xfId="44573" xr:uid="{00000000-0005-0000-0000-000022AE0000}"/>
    <cellStyle name="Style 29 3 4 6" xfId="44574" xr:uid="{00000000-0005-0000-0000-000023AE0000}"/>
    <cellStyle name="Style 29 3 4 7" xfId="44575" xr:uid="{00000000-0005-0000-0000-000024AE0000}"/>
    <cellStyle name="Style 29 3 4 8" xfId="44576" xr:uid="{00000000-0005-0000-0000-000025AE0000}"/>
    <cellStyle name="Style 29 3 5" xfId="44577" xr:uid="{00000000-0005-0000-0000-000026AE0000}"/>
    <cellStyle name="Style 29 3 5 2" xfId="44578" xr:uid="{00000000-0005-0000-0000-000027AE0000}"/>
    <cellStyle name="Style 29 3 5 2 2" xfId="44579" xr:uid="{00000000-0005-0000-0000-000028AE0000}"/>
    <cellStyle name="Style 29 3 5 2 2 2" xfId="44580" xr:uid="{00000000-0005-0000-0000-000029AE0000}"/>
    <cellStyle name="Style 29 3 5 2 2 3" xfId="44581" xr:uid="{00000000-0005-0000-0000-00002AAE0000}"/>
    <cellStyle name="Style 29 3 5 2 3" xfId="44582" xr:uid="{00000000-0005-0000-0000-00002BAE0000}"/>
    <cellStyle name="Style 29 3 5 2 3 2" xfId="44583" xr:uid="{00000000-0005-0000-0000-00002CAE0000}"/>
    <cellStyle name="Style 29 3 5 2 3 3" xfId="44584" xr:uid="{00000000-0005-0000-0000-00002DAE0000}"/>
    <cellStyle name="Style 29 3 5 2 4" xfId="44585" xr:uid="{00000000-0005-0000-0000-00002EAE0000}"/>
    <cellStyle name="Style 29 3 5 2 5" xfId="44586" xr:uid="{00000000-0005-0000-0000-00002FAE0000}"/>
    <cellStyle name="Style 29 3 5 2 6" xfId="44587" xr:uid="{00000000-0005-0000-0000-000030AE0000}"/>
    <cellStyle name="Style 29 3 5 3" xfId="44588" xr:uid="{00000000-0005-0000-0000-000031AE0000}"/>
    <cellStyle name="Style 29 3 5 3 2" xfId="44589" xr:uid="{00000000-0005-0000-0000-000032AE0000}"/>
    <cellStyle name="Style 29 3 5 3 3" xfId="44590" xr:uid="{00000000-0005-0000-0000-000033AE0000}"/>
    <cellStyle name="Style 29 3 5 4" xfId="44591" xr:uid="{00000000-0005-0000-0000-000034AE0000}"/>
    <cellStyle name="Style 29 3 5 4 2" xfId="44592" xr:uid="{00000000-0005-0000-0000-000035AE0000}"/>
    <cellStyle name="Style 29 3 5 4 3" xfId="44593" xr:uid="{00000000-0005-0000-0000-000036AE0000}"/>
    <cellStyle name="Style 29 3 5 5" xfId="44594" xr:uid="{00000000-0005-0000-0000-000037AE0000}"/>
    <cellStyle name="Style 29 3 5 5 2" xfId="44595" xr:uid="{00000000-0005-0000-0000-000038AE0000}"/>
    <cellStyle name="Style 29 3 5 5 3" xfId="44596" xr:uid="{00000000-0005-0000-0000-000039AE0000}"/>
    <cellStyle name="Style 29 3 5 6" xfId="44597" xr:uid="{00000000-0005-0000-0000-00003AAE0000}"/>
    <cellStyle name="Style 29 3 5 7" xfId="44598" xr:uid="{00000000-0005-0000-0000-00003BAE0000}"/>
    <cellStyle name="Style 29 3 5 8" xfId="44599" xr:uid="{00000000-0005-0000-0000-00003CAE0000}"/>
    <cellStyle name="Style 29 3 6" xfId="44600" xr:uid="{00000000-0005-0000-0000-00003DAE0000}"/>
    <cellStyle name="Style 29 3 6 2" xfId="44601" xr:uid="{00000000-0005-0000-0000-00003EAE0000}"/>
    <cellStyle name="Style 29 3 6 2 2" xfId="44602" xr:uid="{00000000-0005-0000-0000-00003FAE0000}"/>
    <cellStyle name="Style 29 3 6 2 3" xfId="44603" xr:uid="{00000000-0005-0000-0000-000040AE0000}"/>
    <cellStyle name="Style 29 3 6 3" xfId="44604" xr:uid="{00000000-0005-0000-0000-000041AE0000}"/>
    <cellStyle name="Style 29 3 6 3 2" xfId="44605" xr:uid="{00000000-0005-0000-0000-000042AE0000}"/>
    <cellStyle name="Style 29 3 6 3 3" xfId="44606" xr:uid="{00000000-0005-0000-0000-000043AE0000}"/>
    <cellStyle name="Style 29 3 6 4" xfId="44607" xr:uid="{00000000-0005-0000-0000-000044AE0000}"/>
    <cellStyle name="Style 29 3 6 5" xfId="44608" xr:uid="{00000000-0005-0000-0000-000045AE0000}"/>
    <cellStyle name="Style 29 3 6 6" xfId="44609" xr:uid="{00000000-0005-0000-0000-000046AE0000}"/>
    <cellStyle name="Style 29 3 7" xfId="44610" xr:uid="{00000000-0005-0000-0000-000047AE0000}"/>
    <cellStyle name="Style 29 3 7 2" xfId="44611" xr:uid="{00000000-0005-0000-0000-000048AE0000}"/>
    <cellStyle name="Style 29 3 7 3" xfId="44612" xr:uid="{00000000-0005-0000-0000-000049AE0000}"/>
    <cellStyle name="Style 29 3 8" xfId="44613" xr:uid="{00000000-0005-0000-0000-00004AAE0000}"/>
    <cellStyle name="Style 29 3 8 2" xfId="44614" xr:uid="{00000000-0005-0000-0000-00004BAE0000}"/>
    <cellStyle name="Style 29 3 8 3" xfId="44615" xr:uid="{00000000-0005-0000-0000-00004CAE0000}"/>
    <cellStyle name="Style 29 3 9" xfId="44616" xr:uid="{00000000-0005-0000-0000-00004DAE0000}"/>
    <cellStyle name="Style 29 3 9 2" xfId="44617" xr:uid="{00000000-0005-0000-0000-00004EAE0000}"/>
    <cellStyle name="Style 29 3 9 3" xfId="44618" xr:uid="{00000000-0005-0000-0000-00004FAE0000}"/>
    <cellStyle name="Style 29 4" xfId="44619" xr:uid="{00000000-0005-0000-0000-000050AE0000}"/>
    <cellStyle name="Style 29 4 10" xfId="44620" xr:uid="{00000000-0005-0000-0000-000051AE0000}"/>
    <cellStyle name="Style 29 4 11" xfId="44621" xr:uid="{00000000-0005-0000-0000-000052AE0000}"/>
    <cellStyle name="Style 29 4 12" xfId="44622" xr:uid="{00000000-0005-0000-0000-000053AE0000}"/>
    <cellStyle name="Style 29 4 2" xfId="44623" xr:uid="{00000000-0005-0000-0000-000054AE0000}"/>
    <cellStyle name="Style 29 4 2 10" xfId="44624" xr:uid="{00000000-0005-0000-0000-000055AE0000}"/>
    <cellStyle name="Style 29 4 2 2" xfId="44625" xr:uid="{00000000-0005-0000-0000-000056AE0000}"/>
    <cellStyle name="Style 29 4 2 2 2" xfId="44626" xr:uid="{00000000-0005-0000-0000-000057AE0000}"/>
    <cellStyle name="Style 29 4 2 2 2 2" xfId="44627" xr:uid="{00000000-0005-0000-0000-000058AE0000}"/>
    <cellStyle name="Style 29 4 2 2 2 2 2" xfId="44628" xr:uid="{00000000-0005-0000-0000-000059AE0000}"/>
    <cellStyle name="Style 29 4 2 2 2 2 3" xfId="44629" xr:uid="{00000000-0005-0000-0000-00005AAE0000}"/>
    <cellStyle name="Style 29 4 2 2 2 3" xfId="44630" xr:uid="{00000000-0005-0000-0000-00005BAE0000}"/>
    <cellStyle name="Style 29 4 2 2 2 3 2" xfId="44631" xr:uid="{00000000-0005-0000-0000-00005CAE0000}"/>
    <cellStyle name="Style 29 4 2 2 2 3 3" xfId="44632" xr:uid="{00000000-0005-0000-0000-00005DAE0000}"/>
    <cellStyle name="Style 29 4 2 2 2 4" xfId="44633" xr:uid="{00000000-0005-0000-0000-00005EAE0000}"/>
    <cellStyle name="Style 29 4 2 2 2 5" xfId="44634" xr:uid="{00000000-0005-0000-0000-00005FAE0000}"/>
    <cellStyle name="Style 29 4 2 2 2 6" xfId="44635" xr:uid="{00000000-0005-0000-0000-000060AE0000}"/>
    <cellStyle name="Style 29 4 2 2 3" xfId="44636" xr:uid="{00000000-0005-0000-0000-000061AE0000}"/>
    <cellStyle name="Style 29 4 2 2 3 2" xfId="44637" xr:uid="{00000000-0005-0000-0000-000062AE0000}"/>
    <cellStyle name="Style 29 4 2 2 3 3" xfId="44638" xr:uid="{00000000-0005-0000-0000-000063AE0000}"/>
    <cellStyle name="Style 29 4 2 2 4" xfId="44639" xr:uid="{00000000-0005-0000-0000-000064AE0000}"/>
    <cellStyle name="Style 29 4 2 2 4 2" xfId="44640" xr:uid="{00000000-0005-0000-0000-000065AE0000}"/>
    <cellStyle name="Style 29 4 2 2 4 3" xfId="44641" xr:uid="{00000000-0005-0000-0000-000066AE0000}"/>
    <cellStyle name="Style 29 4 2 2 5" xfId="44642" xr:uid="{00000000-0005-0000-0000-000067AE0000}"/>
    <cellStyle name="Style 29 4 2 2 5 2" xfId="44643" xr:uid="{00000000-0005-0000-0000-000068AE0000}"/>
    <cellStyle name="Style 29 4 2 2 5 3" xfId="44644" xr:uid="{00000000-0005-0000-0000-000069AE0000}"/>
    <cellStyle name="Style 29 4 2 2 6" xfId="44645" xr:uid="{00000000-0005-0000-0000-00006AAE0000}"/>
    <cellStyle name="Style 29 4 2 2 7" xfId="44646" xr:uid="{00000000-0005-0000-0000-00006BAE0000}"/>
    <cellStyle name="Style 29 4 2 2 8" xfId="44647" xr:uid="{00000000-0005-0000-0000-00006CAE0000}"/>
    <cellStyle name="Style 29 4 2 3" xfId="44648" xr:uid="{00000000-0005-0000-0000-00006DAE0000}"/>
    <cellStyle name="Style 29 4 2 3 2" xfId="44649" xr:uid="{00000000-0005-0000-0000-00006EAE0000}"/>
    <cellStyle name="Style 29 4 2 3 2 2" xfId="44650" xr:uid="{00000000-0005-0000-0000-00006FAE0000}"/>
    <cellStyle name="Style 29 4 2 3 2 2 2" xfId="44651" xr:uid="{00000000-0005-0000-0000-000070AE0000}"/>
    <cellStyle name="Style 29 4 2 3 2 2 3" xfId="44652" xr:uid="{00000000-0005-0000-0000-000071AE0000}"/>
    <cellStyle name="Style 29 4 2 3 2 3" xfId="44653" xr:uid="{00000000-0005-0000-0000-000072AE0000}"/>
    <cellStyle name="Style 29 4 2 3 2 3 2" xfId="44654" xr:uid="{00000000-0005-0000-0000-000073AE0000}"/>
    <cellStyle name="Style 29 4 2 3 2 3 3" xfId="44655" xr:uid="{00000000-0005-0000-0000-000074AE0000}"/>
    <cellStyle name="Style 29 4 2 3 2 4" xfId="44656" xr:uid="{00000000-0005-0000-0000-000075AE0000}"/>
    <cellStyle name="Style 29 4 2 3 2 5" xfId="44657" xr:uid="{00000000-0005-0000-0000-000076AE0000}"/>
    <cellStyle name="Style 29 4 2 3 2 6" xfId="44658" xr:uid="{00000000-0005-0000-0000-000077AE0000}"/>
    <cellStyle name="Style 29 4 2 3 3" xfId="44659" xr:uid="{00000000-0005-0000-0000-000078AE0000}"/>
    <cellStyle name="Style 29 4 2 3 3 2" xfId="44660" xr:uid="{00000000-0005-0000-0000-000079AE0000}"/>
    <cellStyle name="Style 29 4 2 3 3 3" xfId="44661" xr:uid="{00000000-0005-0000-0000-00007AAE0000}"/>
    <cellStyle name="Style 29 4 2 3 4" xfId="44662" xr:uid="{00000000-0005-0000-0000-00007BAE0000}"/>
    <cellStyle name="Style 29 4 2 3 4 2" xfId="44663" xr:uid="{00000000-0005-0000-0000-00007CAE0000}"/>
    <cellStyle name="Style 29 4 2 3 4 3" xfId="44664" xr:uid="{00000000-0005-0000-0000-00007DAE0000}"/>
    <cellStyle name="Style 29 4 2 3 5" xfId="44665" xr:uid="{00000000-0005-0000-0000-00007EAE0000}"/>
    <cellStyle name="Style 29 4 2 3 5 2" xfId="44666" xr:uid="{00000000-0005-0000-0000-00007FAE0000}"/>
    <cellStyle name="Style 29 4 2 3 5 3" xfId="44667" xr:uid="{00000000-0005-0000-0000-000080AE0000}"/>
    <cellStyle name="Style 29 4 2 3 6" xfId="44668" xr:uid="{00000000-0005-0000-0000-000081AE0000}"/>
    <cellStyle name="Style 29 4 2 3 7" xfId="44669" xr:uid="{00000000-0005-0000-0000-000082AE0000}"/>
    <cellStyle name="Style 29 4 2 3 8" xfId="44670" xr:uid="{00000000-0005-0000-0000-000083AE0000}"/>
    <cellStyle name="Style 29 4 2 4" xfId="44671" xr:uid="{00000000-0005-0000-0000-000084AE0000}"/>
    <cellStyle name="Style 29 4 2 4 2" xfId="44672" xr:uid="{00000000-0005-0000-0000-000085AE0000}"/>
    <cellStyle name="Style 29 4 2 4 2 2" xfId="44673" xr:uid="{00000000-0005-0000-0000-000086AE0000}"/>
    <cellStyle name="Style 29 4 2 4 2 3" xfId="44674" xr:uid="{00000000-0005-0000-0000-000087AE0000}"/>
    <cellStyle name="Style 29 4 2 4 3" xfId="44675" xr:uid="{00000000-0005-0000-0000-000088AE0000}"/>
    <cellStyle name="Style 29 4 2 4 3 2" xfId="44676" xr:uid="{00000000-0005-0000-0000-000089AE0000}"/>
    <cellStyle name="Style 29 4 2 4 3 3" xfId="44677" xr:uid="{00000000-0005-0000-0000-00008AAE0000}"/>
    <cellStyle name="Style 29 4 2 4 4" xfId="44678" xr:uid="{00000000-0005-0000-0000-00008BAE0000}"/>
    <cellStyle name="Style 29 4 2 4 5" xfId="44679" xr:uid="{00000000-0005-0000-0000-00008CAE0000}"/>
    <cellStyle name="Style 29 4 2 4 6" xfId="44680" xr:uid="{00000000-0005-0000-0000-00008DAE0000}"/>
    <cellStyle name="Style 29 4 2 5" xfId="44681" xr:uid="{00000000-0005-0000-0000-00008EAE0000}"/>
    <cellStyle name="Style 29 4 2 5 2" xfId="44682" xr:uid="{00000000-0005-0000-0000-00008FAE0000}"/>
    <cellStyle name="Style 29 4 2 5 3" xfId="44683" xr:uid="{00000000-0005-0000-0000-000090AE0000}"/>
    <cellStyle name="Style 29 4 2 6" xfId="44684" xr:uid="{00000000-0005-0000-0000-000091AE0000}"/>
    <cellStyle name="Style 29 4 2 6 2" xfId="44685" xr:uid="{00000000-0005-0000-0000-000092AE0000}"/>
    <cellStyle name="Style 29 4 2 6 3" xfId="44686" xr:uid="{00000000-0005-0000-0000-000093AE0000}"/>
    <cellStyle name="Style 29 4 2 7" xfId="44687" xr:uid="{00000000-0005-0000-0000-000094AE0000}"/>
    <cellStyle name="Style 29 4 2 7 2" xfId="44688" xr:uid="{00000000-0005-0000-0000-000095AE0000}"/>
    <cellStyle name="Style 29 4 2 7 3" xfId="44689" xr:uid="{00000000-0005-0000-0000-000096AE0000}"/>
    <cellStyle name="Style 29 4 2 8" xfId="44690" xr:uid="{00000000-0005-0000-0000-000097AE0000}"/>
    <cellStyle name="Style 29 4 2 9" xfId="44691" xr:uid="{00000000-0005-0000-0000-000098AE0000}"/>
    <cellStyle name="Style 29 4 3" xfId="44692" xr:uid="{00000000-0005-0000-0000-000099AE0000}"/>
    <cellStyle name="Style 29 4 3 2" xfId="44693" xr:uid="{00000000-0005-0000-0000-00009AAE0000}"/>
    <cellStyle name="Style 29 4 3 2 2" xfId="44694" xr:uid="{00000000-0005-0000-0000-00009BAE0000}"/>
    <cellStyle name="Style 29 4 3 2 2 2" xfId="44695" xr:uid="{00000000-0005-0000-0000-00009CAE0000}"/>
    <cellStyle name="Style 29 4 3 2 2 3" xfId="44696" xr:uid="{00000000-0005-0000-0000-00009DAE0000}"/>
    <cellStyle name="Style 29 4 3 2 3" xfId="44697" xr:uid="{00000000-0005-0000-0000-00009EAE0000}"/>
    <cellStyle name="Style 29 4 3 2 3 2" xfId="44698" xr:uid="{00000000-0005-0000-0000-00009FAE0000}"/>
    <cellStyle name="Style 29 4 3 2 3 3" xfId="44699" xr:uid="{00000000-0005-0000-0000-0000A0AE0000}"/>
    <cellStyle name="Style 29 4 3 2 4" xfId="44700" xr:uid="{00000000-0005-0000-0000-0000A1AE0000}"/>
    <cellStyle name="Style 29 4 3 2 5" xfId="44701" xr:uid="{00000000-0005-0000-0000-0000A2AE0000}"/>
    <cellStyle name="Style 29 4 3 2 6" xfId="44702" xr:uid="{00000000-0005-0000-0000-0000A3AE0000}"/>
    <cellStyle name="Style 29 4 3 3" xfId="44703" xr:uid="{00000000-0005-0000-0000-0000A4AE0000}"/>
    <cellStyle name="Style 29 4 3 3 2" xfId="44704" xr:uid="{00000000-0005-0000-0000-0000A5AE0000}"/>
    <cellStyle name="Style 29 4 3 3 3" xfId="44705" xr:uid="{00000000-0005-0000-0000-0000A6AE0000}"/>
    <cellStyle name="Style 29 4 3 4" xfId="44706" xr:uid="{00000000-0005-0000-0000-0000A7AE0000}"/>
    <cellStyle name="Style 29 4 3 4 2" xfId="44707" xr:uid="{00000000-0005-0000-0000-0000A8AE0000}"/>
    <cellStyle name="Style 29 4 3 4 3" xfId="44708" xr:uid="{00000000-0005-0000-0000-0000A9AE0000}"/>
    <cellStyle name="Style 29 4 3 5" xfId="44709" xr:uid="{00000000-0005-0000-0000-0000AAAE0000}"/>
    <cellStyle name="Style 29 4 3 5 2" xfId="44710" xr:uid="{00000000-0005-0000-0000-0000ABAE0000}"/>
    <cellStyle name="Style 29 4 3 5 3" xfId="44711" xr:uid="{00000000-0005-0000-0000-0000ACAE0000}"/>
    <cellStyle name="Style 29 4 3 6" xfId="44712" xr:uid="{00000000-0005-0000-0000-0000ADAE0000}"/>
    <cellStyle name="Style 29 4 3 7" xfId="44713" xr:uid="{00000000-0005-0000-0000-0000AEAE0000}"/>
    <cellStyle name="Style 29 4 3 8" xfId="44714" xr:uid="{00000000-0005-0000-0000-0000AFAE0000}"/>
    <cellStyle name="Style 29 4 4" xfId="44715" xr:uid="{00000000-0005-0000-0000-0000B0AE0000}"/>
    <cellStyle name="Style 29 4 4 2" xfId="44716" xr:uid="{00000000-0005-0000-0000-0000B1AE0000}"/>
    <cellStyle name="Style 29 4 4 2 2" xfId="44717" xr:uid="{00000000-0005-0000-0000-0000B2AE0000}"/>
    <cellStyle name="Style 29 4 4 2 2 2" xfId="44718" xr:uid="{00000000-0005-0000-0000-0000B3AE0000}"/>
    <cellStyle name="Style 29 4 4 2 2 3" xfId="44719" xr:uid="{00000000-0005-0000-0000-0000B4AE0000}"/>
    <cellStyle name="Style 29 4 4 2 3" xfId="44720" xr:uid="{00000000-0005-0000-0000-0000B5AE0000}"/>
    <cellStyle name="Style 29 4 4 2 3 2" xfId="44721" xr:uid="{00000000-0005-0000-0000-0000B6AE0000}"/>
    <cellStyle name="Style 29 4 4 2 3 3" xfId="44722" xr:uid="{00000000-0005-0000-0000-0000B7AE0000}"/>
    <cellStyle name="Style 29 4 4 2 4" xfId="44723" xr:uid="{00000000-0005-0000-0000-0000B8AE0000}"/>
    <cellStyle name="Style 29 4 4 2 5" xfId="44724" xr:uid="{00000000-0005-0000-0000-0000B9AE0000}"/>
    <cellStyle name="Style 29 4 4 2 6" xfId="44725" xr:uid="{00000000-0005-0000-0000-0000BAAE0000}"/>
    <cellStyle name="Style 29 4 4 3" xfId="44726" xr:uid="{00000000-0005-0000-0000-0000BBAE0000}"/>
    <cellStyle name="Style 29 4 4 3 2" xfId="44727" xr:uid="{00000000-0005-0000-0000-0000BCAE0000}"/>
    <cellStyle name="Style 29 4 4 3 3" xfId="44728" xr:uid="{00000000-0005-0000-0000-0000BDAE0000}"/>
    <cellStyle name="Style 29 4 4 4" xfId="44729" xr:uid="{00000000-0005-0000-0000-0000BEAE0000}"/>
    <cellStyle name="Style 29 4 4 4 2" xfId="44730" xr:uid="{00000000-0005-0000-0000-0000BFAE0000}"/>
    <cellStyle name="Style 29 4 4 4 3" xfId="44731" xr:uid="{00000000-0005-0000-0000-0000C0AE0000}"/>
    <cellStyle name="Style 29 4 4 5" xfId="44732" xr:uid="{00000000-0005-0000-0000-0000C1AE0000}"/>
    <cellStyle name="Style 29 4 4 5 2" xfId="44733" xr:uid="{00000000-0005-0000-0000-0000C2AE0000}"/>
    <cellStyle name="Style 29 4 4 5 3" xfId="44734" xr:uid="{00000000-0005-0000-0000-0000C3AE0000}"/>
    <cellStyle name="Style 29 4 4 6" xfId="44735" xr:uid="{00000000-0005-0000-0000-0000C4AE0000}"/>
    <cellStyle name="Style 29 4 4 7" xfId="44736" xr:uid="{00000000-0005-0000-0000-0000C5AE0000}"/>
    <cellStyle name="Style 29 4 4 8" xfId="44737" xr:uid="{00000000-0005-0000-0000-0000C6AE0000}"/>
    <cellStyle name="Style 29 4 5" xfId="44738" xr:uid="{00000000-0005-0000-0000-0000C7AE0000}"/>
    <cellStyle name="Style 29 4 5 2" xfId="44739" xr:uid="{00000000-0005-0000-0000-0000C8AE0000}"/>
    <cellStyle name="Style 29 4 5 2 2" xfId="44740" xr:uid="{00000000-0005-0000-0000-0000C9AE0000}"/>
    <cellStyle name="Style 29 4 5 2 2 2" xfId="44741" xr:uid="{00000000-0005-0000-0000-0000CAAE0000}"/>
    <cellStyle name="Style 29 4 5 2 2 3" xfId="44742" xr:uid="{00000000-0005-0000-0000-0000CBAE0000}"/>
    <cellStyle name="Style 29 4 5 2 3" xfId="44743" xr:uid="{00000000-0005-0000-0000-0000CCAE0000}"/>
    <cellStyle name="Style 29 4 5 2 3 2" xfId="44744" xr:uid="{00000000-0005-0000-0000-0000CDAE0000}"/>
    <cellStyle name="Style 29 4 5 2 3 3" xfId="44745" xr:uid="{00000000-0005-0000-0000-0000CEAE0000}"/>
    <cellStyle name="Style 29 4 5 2 4" xfId="44746" xr:uid="{00000000-0005-0000-0000-0000CFAE0000}"/>
    <cellStyle name="Style 29 4 5 2 5" xfId="44747" xr:uid="{00000000-0005-0000-0000-0000D0AE0000}"/>
    <cellStyle name="Style 29 4 5 2 6" xfId="44748" xr:uid="{00000000-0005-0000-0000-0000D1AE0000}"/>
    <cellStyle name="Style 29 4 5 3" xfId="44749" xr:uid="{00000000-0005-0000-0000-0000D2AE0000}"/>
    <cellStyle name="Style 29 4 5 3 2" xfId="44750" xr:uid="{00000000-0005-0000-0000-0000D3AE0000}"/>
    <cellStyle name="Style 29 4 5 3 3" xfId="44751" xr:uid="{00000000-0005-0000-0000-0000D4AE0000}"/>
    <cellStyle name="Style 29 4 5 4" xfId="44752" xr:uid="{00000000-0005-0000-0000-0000D5AE0000}"/>
    <cellStyle name="Style 29 4 5 4 2" xfId="44753" xr:uid="{00000000-0005-0000-0000-0000D6AE0000}"/>
    <cellStyle name="Style 29 4 5 4 3" xfId="44754" xr:uid="{00000000-0005-0000-0000-0000D7AE0000}"/>
    <cellStyle name="Style 29 4 5 5" xfId="44755" xr:uid="{00000000-0005-0000-0000-0000D8AE0000}"/>
    <cellStyle name="Style 29 4 5 5 2" xfId="44756" xr:uid="{00000000-0005-0000-0000-0000D9AE0000}"/>
    <cellStyle name="Style 29 4 5 5 3" xfId="44757" xr:uid="{00000000-0005-0000-0000-0000DAAE0000}"/>
    <cellStyle name="Style 29 4 5 6" xfId="44758" xr:uid="{00000000-0005-0000-0000-0000DBAE0000}"/>
    <cellStyle name="Style 29 4 5 7" xfId="44759" xr:uid="{00000000-0005-0000-0000-0000DCAE0000}"/>
    <cellStyle name="Style 29 4 5 8" xfId="44760" xr:uid="{00000000-0005-0000-0000-0000DDAE0000}"/>
    <cellStyle name="Style 29 4 6" xfId="44761" xr:uid="{00000000-0005-0000-0000-0000DEAE0000}"/>
    <cellStyle name="Style 29 4 6 2" xfId="44762" xr:uid="{00000000-0005-0000-0000-0000DFAE0000}"/>
    <cellStyle name="Style 29 4 6 2 2" xfId="44763" xr:uid="{00000000-0005-0000-0000-0000E0AE0000}"/>
    <cellStyle name="Style 29 4 6 2 3" xfId="44764" xr:uid="{00000000-0005-0000-0000-0000E1AE0000}"/>
    <cellStyle name="Style 29 4 6 3" xfId="44765" xr:uid="{00000000-0005-0000-0000-0000E2AE0000}"/>
    <cellStyle name="Style 29 4 6 3 2" xfId="44766" xr:uid="{00000000-0005-0000-0000-0000E3AE0000}"/>
    <cellStyle name="Style 29 4 6 3 3" xfId="44767" xr:uid="{00000000-0005-0000-0000-0000E4AE0000}"/>
    <cellStyle name="Style 29 4 6 4" xfId="44768" xr:uid="{00000000-0005-0000-0000-0000E5AE0000}"/>
    <cellStyle name="Style 29 4 6 5" xfId="44769" xr:uid="{00000000-0005-0000-0000-0000E6AE0000}"/>
    <cellStyle name="Style 29 4 6 6" xfId="44770" xr:uid="{00000000-0005-0000-0000-0000E7AE0000}"/>
    <cellStyle name="Style 29 4 7" xfId="44771" xr:uid="{00000000-0005-0000-0000-0000E8AE0000}"/>
    <cellStyle name="Style 29 4 7 2" xfId="44772" xr:uid="{00000000-0005-0000-0000-0000E9AE0000}"/>
    <cellStyle name="Style 29 4 7 3" xfId="44773" xr:uid="{00000000-0005-0000-0000-0000EAAE0000}"/>
    <cellStyle name="Style 29 4 8" xfId="44774" xr:uid="{00000000-0005-0000-0000-0000EBAE0000}"/>
    <cellStyle name="Style 29 4 8 2" xfId="44775" xr:uid="{00000000-0005-0000-0000-0000ECAE0000}"/>
    <cellStyle name="Style 29 4 8 3" xfId="44776" xr:uid="{00000000-0005-0000-0000-0000EDAE0000}"/>
    <cellStyle name="Style 29 4 9" xfId="44777" xr:uid="{00000000-0005-0000-0000-0000EEAE0000}"/>
    <cellStyle name="Style 29 4 9 2" xfId="44778" xr:uid="{00000000-0005-0000-0000-0000EFAE0000}"/>
    <cellStyle name="Style 29 4 9 3" xfId="44779" xr:uid="{00000000-0005-0000-0000-0000F0AE0000}"/>
    <cellStyle name="Style 29 5" xfId="44780" xr:uid="{00000000-0005-0000-0000-0000F1AE0000}"/>
    <cellStyle name="Style 29 5 10" xfId="44781" xr:uid="{00000000-0005-0000-0000-0000F2AE0000}"/>
    <cellStyle name="Style 29 5 11" xfId="44782" xr:uid="{00000000-0005-0000-0000-0000F3AE0000}"/>
    <cellStyle name="Style 29 5 12" xfId="44783" xr:uid="{00000000-0005-0000-0000-0000F4AE0000}"/>
    <cellStyle name="Style 29 5 2" xfId="44784" xr:uid="{00000000-0005-0000-0000-0000F5AE0000}"/>
    <cellStyle name="Style 29 5 2 10" xfId="44785" xr:uid="{00000000-0005-0000-0000-0000F6AE0000}"/>
    <cellStyle name="Style 29 5 2 2" xfId="44786" xr:uid="{00000000-0005-0000-0000-0000F7AE0000}"/>
    <cellStyle name="Style 29 5 2 2 2" xfId="44787" xr:uid="{00000000-0005-0000-0000-0000F8AE0000}"/>
    <cellStyle name="Style 29 5 2 2 2 2" xfId="44788" xr:uid="{00000000-0005-0000-0000-0000F9AE0000}"/>
    <cellStyle name="Style 29 5 2 2 2 2 2" xfId="44789" xr:uid="{00000000-0005-0000-0000-0000FAAE0000}"/>
    <cellStyle name="Style 29 5 2 2 2 2 3" xfId="44790" xr:uid="{00000000-0005-0000-0000-0000FBAE0000}"/>
    <cellStyle name="Style 29 5 2 2 2 3" xfId="44791" xr:uid="{00000000-0005-0000-0000-0000FCAE0000}"/>
    <cellStyle name="Style 29 5 2 2 2 3 2" xfId="44792" xr:uid="{00000000-0005-0000-0000-0000FDAE0000}"/>
    <cellStyle name="Style 29 5 2 2 2 3 3" xfId="44793" xr:uid="{00000000-0005-0000-0000-0000FEAE0000}"/>
    <cellStyle name="Style 29 5 2 2 2 4" xfId="44794" xr:uid="{00000000-0005-0000-0000-0000FFAE0000}"/>
    <cellStyle name="Style 29 5 2 2 2 5" xfId="44795" xr:uid="{00000000-0005-0000-0000-000000AF0000}"/>
    <cellStyle name="Style 29 5 2 2 2 6" xfId="44796" xr:uid="{00000000-0005-0000-0000-000001AF0000}"/>
    <cellStyle name="Style 29 5 2 2 3" xfId="44797" xr:uid="{00000000-0005-0000-0000-000002AF0000}"/>
    <cellStyle name="Style 29 5 2 2 3 2" xfId="44798" xr:uid="{00000000-0005-0000-0000-000003AF0000}"/>
    <cellStyle name="Style 29 5 2 2 3 3" xfId="44799" xr:uid="{00000000-0005-0000-0000-000004AF0000}"/>
    <cellStyle name="Style 29 5 2 2 4" xfId="44800" xr:uid="{00000000-0005-0000-0000-000005AF0000}"/>
    <cellStyle name="Style 29 5 2 2 4 2" xfId="44801" xr:uid="{00000000-0005-0000-0000-000006AF0000}"/>
    <cellStyle name="Style 29 5 2 2 4 3" xfId="44802" xr:uid="{00000000-0005-0000-0000-000007AF0000}"/>
    <cellStyle name="Style 29 5 2 2 5" xfId="44803" xr:uid="{00000000-0005-0000-0000-000008AF0000}"/>
    <cellStyle name="Style 29 5 2 2 5 2" xfId="44804" xr:uid="{00000000-0005-0000-0000-000009AF0000}"/>
    <cellStyle name="Style 29 5 2 2 5 3" xfId="44805" xr:uid="{00000000-0005-0000-0000-00000AAF0000}"/>
    <cellStyle name="Style 29 5 2 2 6" xfId="44806" xr:uid="{00000000-0005-0000-0000-00000BAF0000}"/>
    <cellStyle name="Style 29 5 2 2 7" xfId="44807" xr:uid="{00000000-0005-0000-0000-00000CAF0000}"/>
    <cellStyle name="Style 29 5 2 2 8" xfId="44808" xr:uid="{00000000-0005-0000-0000-00000DAF0000}"/>
    <cellStyle name="Style 29 5 2 3" xfId="44809" xr:uid="{00000000-0005-0000-0000-00000EAF0000}"/>
    <cellStyle name="Style 29 5 2 3 2" xfId="44810" xr:uid="{00000000-0005-0000-0000-00000FAF0000}"/>
    <cellStyle name="Style 29 5 2 3 2 2" xfId="44811" xr:uid="{00000000-0005-0000-0000-000010AF0000}"/>
    <cellStyle name="Style 29 5 2 3 2 2 2" xfId="44812" xr:uid="{00000000-0005-0000-0000-000011AF0000}"/>
    <cellStyle name="Style 29 5 2 3 2 2 3" xfId="44813" xr:uid="{00000000-0005-0000-0000-000012AF0000}"/>
    <cellStyle name="Style 29 5 2 3 2 3" xfId="44814" xr:uid="{00000000-0005-0000-0000-000013AF0000}"/>
    <cellStyle name="Style 29 5 2 3 2 3 2" xfId="44815" xr:uid="{00000000-0005-0000-0000-000014AF0000}"/>
    <cellStyle name="Style 29 5 2 3 2 3 3" xfId="44816" xr:uid="{00000000-0005-0000-0000-000015AF0000}"/>
    <cellStyle name="Style 29 5 2 3 2 4" xfId="44817" xr:uid="{00000000-0005-0000-0000-000016AF0000}"/>
    <cellStyle name="Style 29 5 2 3 2 5" xfId="44818" xr:uid="{00000000-0005-0000-0000-000017AF0000}"/>
    <cellStyle name="Style 29 5 2 3 2 6" xfId="44819" xr:uid="{00000000-0005-0000-0000-000018AF0000}"/>
    <cellStyle name="Style 29 5 2 3 3" xfId="44820" xr:uid="{00000000-0005-0000-0000-000019AF0000}"/>
    <cellStyle name="Style 29 5 2 3 3 2" xfId="44821" xr:uid="{00000000-0005-0000-0000-00001AAF0000}"/>
    <cellStyle name="Style 29 5 2 3 3 3" xfId="44822" xr:uid="{00000000-0005-0000-0000-00001BAF0000}"/>
    <cellStyle name="Style 29 5 2 3 4" xfId="44823" xr:uid="{00000000-0005-0000-0000-00001CAF0000}"/>
    <cellStyle name="Style 29 5 2 3 4 2" xfId="44824" xr:uid="{00000000-0005-0000-0000-00001DAF0000}"/>
    <cellStyle name="Style 29 5 2 3 4 3" xfId="44825" xr:uid="{00000000-0005-0000-0000-00001EAF0000}"/>
    <cellStyle name="Style 29 5 2 3 5" xfId="44826" xr:uid="{00000000-0005-0000-0000-00001FAF0000}"/>
    <cellStyle name="Style 29 5 2 3 5 2" xfId="44827" xr:uid="{00000000-0005-0000-0000-000020AF0000}"/>
    <cellStyle name="Style 29 5 2 3 5 3" xfId="44828" xr:uid="{00000000-0005-0000-0000-000021AF0000}"/>
    <cellStyle name="Style 29 5 2 3 6" xfId="44829" xr:uid="{00000000-0005-0000-0000-000022AF0000}"/>
    <cellStyle name="Style 29 5 2 3 7" xfId="44830" xr:uid="{00000000-0005-0000-0000-000023AF0000}"/>
    <cellStyle name="Style 29 5 2 3 8" xfId="44831" xr:uid="{00000000-0005-0000-0000-000024AF0000}"/>
    <cellStyle name="Style 29 5 2 4" xfId="44832" xr:uid="{00000000-0005-0000-0000-000025AF0000}"/>
    <cellStyle name="Style 29 5 2 4 2" xfId="44833" xr:uid="{00000000-0005-0000-0000-000026AF0000}"/>
    <cellStyle name="Style 29 5 2 4 2 2" xfId="44834" xr:uid="{00000000-0005-0000-0000-000027AF0000}"/>
    <cellStyle name="Style 29 5 2 4 2 3" xfId="44835" xr:uid="{00000000-0005-0000-0000-000028AF0000}"/>
    <cellStyle name="Style 29 5 2 4 3" xfId="44836" xr:uid="{00000000-0005-0000-0000-000029AF0000}"/>
    <cellStyle name="Style 29 5 2 4 3 2" xfId="44837" xr:uid="{00000000-0005-0000-0000-00002AAF0000}"/>
    <cellStyle name="Style 29 5 2 4 3 3" xfId="44838" xr:uid="{00000000-0005-0000-0000-00002BAF0000}"/>
    <cellStyle name="Style 29 5 2 4 4" xfId="44839" xr:uid="{00000000-0005-0000-0000-00002CAF0000}"/>
    <cellStyle name="Style 29 5 2 4 5" xfId="44840" xr:uid="{00000000-0005-0000-0000-00002DAF0000}"/>
    <cellStyle name="Style 29 5 2 4 6" xfId="44841" xr:uid="{00000000-0005-0000-0000-00002EAF0000}"/>
    <cellStyle name="Style 29 5 2 5" xfId="44842" xr:uid="{00000000-0005-0000-0000-00002FAF0000}"/>
    <cellStyle name="Style 29 5 2 5 2" xfId="44843" xr:uid="{00000000-0005-0000-0000-000030AF0000}"/>
    <cellStyle name="Style 29 5 2 5 3" xfId="44844" xr:uid="{00000000-0005-0000-0000-000031AF0000}"/>
    <cellStyle name="Style 29 5 2 6" xfId="44845" xr:uid="{00000000-0005-0000-0000-000032AF0000}"/>
    <cellStyle name="Style 29 5 2 6 2" xfId="44846" xr:uid="{00000000-0005-0000-0000-000033AF0000}"/>
    <cellStyle name="Style 29 5 2 6 3" xfId="44847" xr:uid="{00000000-0005-0000-0000-000034AF0000}"/>
    <cellStyle name="Style 29 5 2 7" xfId="44848" xr:uid="{00000000-0005-0000-0000-000035AF0000}"/>
    <cellStyle name="Style 29 5 2 7 2" xfId="44849" xr:uid="{00000000-0005-0000-0000-000036AF0000}"/>
    <cellStyle name="Style 29 5 2 7 3" xfId="44850" xr:uid="{00000000-0005-0000-0000-000037AF0000}"/>
    <cellStyle name="Style 29 5 2 8" xfId="44851" xr:uid="{00000000-0005-0000-0000-000038AF0000}"/>
    <cellStyle name="Style 29 5 2 9" xfId="44852" xr:uid="{00000000-0005-0000-0000-000039AF0000}"/>
    <cellStyle name="Style 29 5 3" xfId="44853" xr:uid="{00000000-0005-0000-0000-00003AAF0000}"/>
    <cellStyle name="Style 29 5 3 2" xfId="44854" xr:uid="{00000000-0005-0000-0000-00003BAF0000}"/>
    <cellStyle name="Style 29 5 3 2 2" xfId="44855" xr:uid="{00000000-0005-0000-0000-00003CAF0000}"/>
    <cellStyle name="Style 29 5 3 2 2 2" xfId="44856" xr:uid="{00000000-0005-0000-0000-00003DAF0000}"/>
    <cellStyle name="Style 29 5 3 2 2 3" xfId="44857" xr:uid="{00000000-0005-0000-0000-00003EAF0000}"/>
    <cellStyle name="Style 29 5 3 2 3" xfId="44858" xr:uid="{00000000-0005-0000-0000-00003FAF0000}"/>
    <cellStyle name="Style 29 5 3 2 3 2" xfId="44859" xr:uid="{00000000-0005-0000-0000-000040AF0000}"/>
    <cellStyle name="Style 29 5 3 2 3 3" xfId="44860" xr:uid="{00000000-0005-0000-0000-000041AF0000}"/>
    <cellStyle name="Style 29 5 3 2 4" xfId="44861" xr:uid="{00000000-0005-0000-0000-000042AF0000}"/>
    <cellStyle name="Style 29 5 3 2 5" xfId="44862" xr:uid="{00000000-0005-0000-0000-000043AF0000}"/>
    <cellStyle name="Style 29 5 3 2 6" xfId="44863" xr:uid="{00000000-0005-0000-0000-000044AF0000}"/>
    <cellStyle name="Style 29 5 3 3" xfId="44864" xr:uid="{00000000-0005-0000-0000-000045AF0000}"/>
    <cellStyle name="Style 29 5 3 3 2" xfId="44865" xr:uid="{00000000-0005-0000-0000-000046AF0000}"/>
    <cellStyle name="Style 29 5 3 3 3" xfId="44866" xr:uid="{00000000-0005-0000-0000-000047AF0000}"/>
    <cellStyle name="Style 29 5 3 4" xfId="44867" xr:uid="{00000000-0005-0000-0000-000048AF0000}"/>
    <cellStyle name="Style 29 5 3 4 2" xfId="44868" xr:uid="{00000000-0005-0000-0000-000049AF0000}"/>
    <cellStyle name="Style 29 5 3 4 3" xfId="44869" xr:uid="{00000000-0005-0000-0000-00004AAF0000}"/>
    <cellStyle name="Style 29 5 3 5" xfId="44870" xr:uid="{00000000-0005-0000-0000-00004BAF0000}"/>
    <cellStyle name="Style 29 5 3 5 2" xfId="44871" xr:uid="{00000000-0005-0000-0000-00004CAF0000}"/>
    <cellStyle name="Style 29 5 3 5 3" xfId="44872" xr:uid="{00000000-0005-0000-0000-00004DAF0000}"/>
    <cellStyle name="Style 29 5 3 6" xfId="44873" xr:uid="{00000000-0005-0000-0000-00004EAF0000}"/>
    <cellStyle name="Style 29 5 3 7" xfId="44874" xr:uid="{00000000-0005-0000-0000-00004FAF0000}"/>
    <cellStyle name="Style 29 5 3 8" xfId="44875" xr:uid="{00000000-0005-0000-0000-000050AF0000}"/>
    <cellStyle name="Style 29 5 4" xfId="44876" xr:uid="{00000000-0005-0000-0000-000051AF0000}"/>
    <cellStyle name="Style 29 5 4 2" xfId="44877" xr:uid="{00000000-0005-0000-0000-000052AF0000}"/>
    <cellStyle name="Style 29 5 4 2 2" xfId="44878" xr:uid="{00000000-0005-0000-0000-000053AF0000}"/>
    <cellStyle name="Style 29 5 4 2 2 2" xfId="44879" xr:uid="{00000000-0005-0000-0000-000054AF0000}"/>
    <cellStyle name="Style 29 5 4 2 2 3" xfId="44880" xr:uid="{00000000-0005-0000-0000-000055AF0000}"/>
    <cellStyle name="Style 29 5 4 2 3" xfId="44881" xr:uid="{00000000-0005-0000-0000-000056AF0000}"/>
    <cellStyle name="Style 29 5 4 2 3 2" xfId="44882" xr:uid="{00000000-0005-0000-0000-000057AF0000}"/>
    <cellStyle name="Style 29 5 4 2 3 3" xfId="44883" xr:uid="{00000000-0005-0000-0000-000058AF0000}"/>
    <cellStyle name="Style 29 5 4 2 4" xfId="44884" xr:uid="{00000000-0005-0000-0000-000059AF0000}"/>
    <cellStyle name="Style 29 5 4 2 5" xfId="44885" xr:uid="{00000000-0005-0000-0000-00005AAF0000}"/>
    <cellStyle name="Style 29 5 4 2 6" xfId="44886" xr:uid="{00000000-0005-0000-0000-00005BAF0000}"/>
    <cellStyle name="Style 29 5 4 3" xfId="44887" xr:uid="{00000000-0005-0000-0000-00005CAF0000}"/>
    <cellStyle name="Style 29 5 4 3 2" xfId="44888" xr:uid="{00000000-0005-0000-0000-00005DAF0000}"/>
    <cellStyle name="Style 29 5 4 3 3" xfId="44889" xr:uid="{00000000-0005-0000-0000-00005EAF0000}"/>
    <cellStyle name="Style 29 5 4 4" xfId="44890" xr:uid="{00000000-0005-0000-0000-00005FAF0000}"/>
    <cellStyle name="Style 29 5 4 4 2" xfId="44891" xr:uid="{00000000-0005-0000-0000-000060AF0000}"/>
    <cellStyle name="Style 29 5 4 4 3" xfId="44892" xr:uid="{00000000-0005-0000-0000-000061AF0000}"/>
    <cellStyle name="Style 29 5 4 5" xfId="44893" xr:uid="{00000000-0005-0000-0000-000062AF0000}"/>
    <cellStyle name="Style 29 5 4 5 2" xfId="44894" xr:uid="{00000000-0005-0000-0000-000063AF0000}"/>
    <cellStyle name="Style 29 5 4 5 3" xfId="44895" xr:uid="{00000000-0005-0000-0000-000064AF0000}"/>
    <cellStyle name="Style 29 5 4 6" xfId="44896" xr:uid="{00000000-0005-0000-0000-000065AF0000}"/>
    <cellStyle name="Style 29 5 4 7" xfId="44897" xr:uid="{00000000-0005-0000-0000-000066AF0000}"/>
    <cellStyle name="Style 29 5 4 8" xfId="44898" xr:uid="{00000000-0005-0000-0000-000067AF0000}"/>
    <cellStyle name="Style 29 5 5" xfId="44899" xr:uid="{00000000-0005-0000-0000-000068AF0000}"/>
    <cellStyle name="Style 29 5 5 2" xfId="44900" xr:uid="{00000000-0005-0000-0000-000069AF0000}"/>
    <cellStyle name="Style 29 5 5 2 2" xfId="44901" xr:uid="{00000000-0005-0000-0000-00006AAF0000}"/>
    <cellStyle name="Style 29 5 5 2 2 2" xfId="44902" xr:uid="{00000000-0005-0000-0000-00006BAF0000}"/>
    <cellStyle name="Style 29 5 5 2 2 3" xfId="44903" xr:uid="{00000000-0005-0000-0000-00006CAF0000}"/>
    <cellStyle name="Style 29 5 5 2 3" xfId="44904" xr:uid="{00000000-0005-0000-0000-00006DAF0000}"/>
    <cellStyle name="Style 29 5 5 2 3 2" xfId="44905" xr:uid="{00000000-0005-0000-0000-00006EAF0000}"/>
    <cellStyle name="Style 29 5 5 2 3 3" xfId="44906" xr:uid="{00000000-0005-0000-0000-00006FAF0000}"/>
    <cellStyle name="Style 29 5 5 2 4" xfId="44907" xr:uid="{00000000-0005-0000-0000-000070AF0000}"/>
    <cellStyle name="Style 29 5 5 2 5" xfId="44908" xr:uid="{00000000-0005-0000-0000-000071AF0000}"/>
    <cellStyle name="Style 29 5 5 2 6" xfId="44909" xr:uid="{00000000-0005-0000-0000-000072AF0000}"/>
    <cellStyle name="Style 29 5 5 3" xfId="44910" xr:uid="{00000000-0005-0000-0000-000073AF0000}"/>
    <cellStyle name="Style 29 5 5 3 2" xfId="44911" xr:uid="{00000000-0005-0000-0000-000074AF0000}"/>
    <cellStyle name="Style 29 5 5 3 3" xfId="44912" xr:uid="{00000000-0005-0000-0000-000075AF0000}"/>
    <cellStyle name="Style 29 5 5 4" xfId="44913" xr:uid="{00000000-0005-0000-0000-000076AF0000}"/>
    <cellStyle name="Style 29 5 5 4 2" xfId="44914" xr:uid="{00000000-0005-0000-0000-000077AF0000}"/>
    <cellStyle name="Style 29 5 5 4 3" xfId="44915" xr:uid="{00000000-0005-0000-0000-000078AF0000}"/>
    <cellStyle name="Style 29 5 5 5" xfId="44916" xr:uid="{00000000-0005-0000-0000-000079AF0000}"/>
    <cellStyle name="Style 29 5 5 5 2" xfId="44917" xr:uid="{00000000-0005-0000-0000-00007AAF0000}"/>
    <cellStyle name="Style 29 5 5 5 3" xfId="44918" xr:uid="{00000000-0005-0000-0000-00007BAF0000}"/>
    <cellStyle name="Style 29 5 5 6" xfId="44919" xr:uid="{00000000-0005-0000-0000-00007CAF0000}"/>
    <cellStyle name="Style 29 5 5 7" xfId="44920" xr:uid="{00000000-0005-0000-0000-00007DAF0000}"/>
    <cellStyle name="Style 29 5 5 8" xfId="44921" xr:uid="{00000000-0005-0000-0000-00007EAF0000}"/>
    <cellStyle name="Style 29 5 6" xfId="44922" xr:uid="{00000000-0005-0000-0000-00007FAF0000}"/>
    <cellStyle name="Style 29 5 6 2" xfId="44923" xr:uid="{00000000-0005-0000-0000-000080AF0000}"/>
    <cellStyle name="Style 29 5 6 2 2" xfId="44924" xr:uid="{00000000-0005-0000-0000-000081AF0000}"/>
    <cellStyle name="Style 29 5 6 2 3" xfId="44925" xr:uid="{00000000-0005-0000-0000-000082AF0000}"/>
    <cellStyle name="Style 29 5 6 3" xfId="44926" xr:uid="{00000000-0005-0000-0000-000083AF0000}"/>
    <cellStyle name="Style 29 5 6 3 2" xfId="44927" xr:uid="{00000000-0005-0000-0000-000084AF0000}"/>
    <cellStyle name="Style 29 5 6 3 3" xfId="44928" xr:uid="{00000000-0005-0000-0000-000085AF0000}"/>
    <cellStyle name="Style 29 5 6 4" xfId="44929" xr:uid="{00000000-0005-0000-0000-000086AF0000}"/>
    <cellStyle name="Style 29 5 6 5" xfId="44930" xr:uid="{00000000-0005-0000-0000-000087AF0000}"/>
    <cellStyle name="Style 29 5 6 6" xfId="44931" xr:uid="{00000000-0005-0000-0000-000088AF0000}"/>
    <cellStyle name="Style 29 5 7" xfId="44932" xr:uid="{00000000-0005-0000-0000-000089AF0000}"/>
    <cellStyle name="Style 29 5 7 2" xfId="44933" xr:uid="{00000000-0005-0000-0000-00008AAF0000}"/>
    <cellStyle name="Style 29 5 7 3" xfId="44934" xr:uid="{00000000-0005-0000-0000-00008BAF0000}"/>
    <cellStyle name="Style 29 5 8" xfId="44935" xr:uid="{00000000-0005-0000-0000-00008CAF0000}"/>
    <cellStyle name="Style 29 5 8 2" xfId="44936" xr:uid="{00000000-0005-0000-0000-00008DAF0000}"/>
    <cellStyle name="Style 29 5 8 3" xfId="44937" xr:uid="{00000000-0005-0000-0000-00008EAF0000}"/>
    <cellStyle name="Style 29 5 9" xfId="44938" xr:uid="{00000000-0005-0000-0000-00008FAF0000}"/>
    <cellStyle name="Style 29 5 9 2" xfId="44939" xr:uid="{00000000-0005-0000-0000-000090AF0000}"/>
    <cellStyle name="Style 29 5 9 3" xfId="44940" xr:uid="{00000000-0005-0000-0000-000091AF0000}"/>
    <cellStyle name="Style 29 6" xfId="44941" xr:uid="{00000000-0005-0000-0000-000092AF0000}"/>
    <cellStyle name="Style 29 6 10" xfId="44942" xr:uid="{00000000-0005-0000-0000-000093AF0000}"/>
    <cellStyle name="Style 29 6 11" xfId="44943" xr:uid="{00000000-0005-0000-0000-000094AF0000}"/>
    <cellStyle name="Style 29 6 12" xfId="44944" xr:uid="{00000000-0005-0000-0000-000095AF0000}"/>
    <cellStyle name="Style 29 6 2" xfId="44945" xr:uid="{00000000-0005-0000-0000-000096AF0000}"/>
    <cellStyle name="Style 29 6 2 10" xfId="44946" xr:uid="{00000000-0005-0000-0000-000097AF0000}"/>
    <cellStyle name="Style 29 6 2 2" xfId="44947" xr:uid="{00000000-0005-0000-0000-000098AF0000}"/>
    <cellStyle name="Style 29 6 2 2 2" xfId="44948" xr:uid="{00000000-0005-0000-0000-000099AF0000}"/>
    <cellStyle name="Style 29 6 2 2 2 2" xfId="44949" xr:uid="{00000000-0005-0000-0000-00009AAF0000}"/>
    <cellStyle name="Style 29 6 2 2 2 2 2" xfId="44950" xr:uid="{00000000-0005-0000-0000-00009BAF0000}"/>
    <cellStyle name="Style 29 6 2 2 2 2 3" xfId="44951" xr:uid="{00000000-0005-0000-0000-00009CAF0000}"/>
    <cellStyle name="Style 29 6 2 2 2 3" xfId="44952" xr:uid="{00000000-0005-0000-0000-00009DAF0000}"/>
    <cellStyle name="Style 29 6 2 2 2 3 2" xfId="44953" xr:uid="{00000000-0005-0000-0000-00009EAF0000}"/>
    <cellStyle name="Style 29 6 2 2 2 3 3" xfId="44954" xr:uid="{00000000-0005-0000-0000-00009FAF0000}"/>
    <cellStyle name="Style 29 6 2 2 2 4" xfId="44955" xr:uid="{00000000-0005-0000-0000-0000A0AF0000}"/>
    <cellStyle name="Style 29 6 2 2 2 5" xfId="44956" xr:uid="{00000000-0005-0000-0000-0000A1AF0000}"/>
    <cellStyle name="Style 29 6 2 2 2 6" xfId="44957" xr:uid="{00000000-0005-0000-0000-0000A2AF0000}"/>
    <cellStyle name="Style 29 6 2 2 3" xfId="44958" xr:uid="{00000000-0005-0000-0000-0000A3AF0000}"/>
    <cellStyle name="Style 29 6 2 2 3 2" xfId="44959" xr:uid="{00000000-0005-0000-0000-0000A4AF0000}"/>
    <cellStyle name="Style 29 6 2 2 3 3" xfId="44960" xr:uid="{00000000-0005-0000-0000-0000A5AF0000}"/>
    <cellStyle name="Style 29 6 2 2 4" xfId="44961" xr:uid="{00000000-0005-0000-0000-0000A6AF0000}"/>
    <cellStyle name="Style 29 6 2 2 4 2" xfId="44962" xr:uid="{00000000-0005-0000-0000-0000A7AF0000}"/>
    <cellStyle name="Style 29 6 2 2 4 3" xfId="44963" xr:uid="{00000000-0005-0000-0000-0000A8AF0000}"/>
    <cellStyle name="Style 29 6 2 2 5" xfId="44964" xr:uid="{00000000-0005-0000-0000-0000A9AF0000}"/>
    <cellStyle name="Style 29 6 2 2 5 2" xfId="44965" xr:uid="{00000000-0005-0000-0000-0000AAAF0000}"/>
    <cellStyle name="Style 29 6 2 2 5 3" xfId="44966" xr:uid="{00000000-0005-0000-0000-0000ABAF0000}"/>
    <cellStyle name="Style 29 6 2 2 6" xfId="44967" xr:uid="{00000000-0005-0000-0000-0000ACAF0000}"/>
    <cellStyle name="Style 29 6 2 2 7" xfId="44968" xr:uid="{00000000-0005-0000-0000-0000ADAF0000}"/>
    <cellStyle name="Style 29 6 2 2 8" xfId="44969" xr:uid="{00000000-0005-0000-0000-0000AEAF0000}"/>
    <cellStyle name="Style 29 6 2 3" xfId="44970" xr:uid="{00000000-0005-0000-0000-0000AFAF0000}"/>
    <cellStyle name="Style 29 6 2 3 2" xfId="44971" xr:uid="{00000000-0005-0000-0000-0000B0AF0000}"/>
    <cellStyle name="Style 29 6 2 3 2 2" xfId="44972" xr:uid="{00000000-0005-0000-0000-0000B1AF0000}"/>
    <cellStyle name="Style 29 6 2 3 2 2 2" xfId="44973" xr:uid="{00000000-0005-0000-0000-0000B2AF0000}"/>
    <cellStyle name="Style 29 6 2 3 2 2 3" xfId="44974" xr:uid="{00000000-0005-0000-0000-0000B3AF0000}"/>
    <cellStyle name="Style 29 6 2 3 2 3" xfId="44975" xr:uid="{00000000-0005-0000-0000-0000B4AF0000}"/>
    <cellStyle name="Style 29 6 2 3 2 3 2" xfId="44976" xr:uid="{00000000-0005-0000-0000-0000B5AF0000}"/>
    <cellStyle name="Style 29 6 2 3 2 3 3" xfId="44977" xr:uid="{00000000-0005-0000-0000-0000B6AF0000}"/>
    <cellStyle name="Style 29 6 2 3 2 4" xfId="44978" xr:uid="{00000000-0005-0000-0000-0000B7AF0000}"/>
    <cellStyle name="Style 29 6 2 3 2 5" xfId="44979" xr:uid="{00000000-0005-0000-0000-0000B8AF0000}"/>
    <cellStyle name="Style 29 6 2 3 2 6" xfId="44980" xr:uid="{00000000-0005-0000-0000-0000B9AF0000}"/>
    <cellStyle name="Style 29 6 2 3 3" xfId="44981" xr:uid="{00000000-0005-0000-0000-0000BAAF0000}"/>
    <cellStyle name="Style 29 6 2 3 3 2" xfId="44982" xr:uid="{00000000-0005-0000-0000-0000BBAF0000}"/>
    <cellStyle name="Style 29 6 2 3 3 3" xfId="44983" xr:uid="{00000000-0005-0000-0000-0000BCAF0000}"/>
    <cellStyle name="Style 29 6 2 3 4" xfId="44984" xr:uid="{00000000-0005-0000-0000-0000BDAF0000}"/>
    <cellStyle name="Style 29 6 2 3 4 2" xfId="44985" xr:uid="{00000000-0005-0000-0000-0000BEAF0000}"/>
    <cellStyle name="Style 29 6 2 3 4 3" xfId="44986" xr:uid="{00000000-0005-0000-0000-0000BFAF0000}"/>
    <cellStyle name="Style 29 6 2 3 5" xfId="44987" xr:uid="{00000000-0005-0000-0000-0000C0AF0000}"/>
    <cellStyle name="Style 29 6 2 3 5 2" xfId="44988" xr:uid="{00000000-0005-0000-0000-0000C1AF0000}"/>
    <cellStyle name="Style 29 6 2 3 5 3" xfId="44989" xr:uid="{00000000-0005-0000-0000-0000C2AF0000}"/>
    <cellStyle name="Style 29 6 2 3 6" xfId="44990" xr:uid="{00000000-0005-0000-0000-0000C3AF0000}"/>
    <cellStyle name="Style 29 6 2 3 7" xfId="44991" xr:uid="{00000000-0005-0000-0000-0000C4AF0000}"/>
    <cellStyle name="Style 29 6 2 3 8" xfId="44992" xr:uid="{00000000-0005-0000-0000-0000C5AF0000}"/>
    <cellStyle name="Style 29 6 2 4" xfId="44993" xr:uid="{00000000-0005-0000-0000-0000C6AF0000}"/>
    <cellStyle name="Style 29 6 2 4 2" xfId="44994" xr:uid="{00000000-0005-0000-0000-0000C7AF0000}"/>
    <cellStyle name="Style 29 6 2 4 2 2" xfId="44995" xr:uid="{00000000-0005-0000-0000-0000C8AF0000}"/>
    <cellStyle name="Style 29 6 2 4 2 3" xfId="44996" xr:uid="{00000000-0005-0000-0000-0000C9AF0000}"/>
    <cellStyle name="Style 29 6 2 4 3" xfId="44997" xr:uid="{00000000-0005-0000-0000-0000CAAF0000}"/>
    <cellStyle name="Style 29 6 2 4 3 2" xfId="44998" xr:uid="{00000000-0005-0000-0000-0000CBAF0000}"/>
    <cellStyle name="Style 29 6 2 4 3 3" xfId="44999" xr:uid="{00000000-0005-0000-0000-0000CCAF0000}"/>
    <cellStyle name="Style 29 6 2 4 4" xfId="45000" xr:uid="{00000000-0005-0000-0000-0000CDAF0000}"/>
    <cellStyle name="Style 29 6 2 4 5" xfId="45001" xr:uid="{00000000-0005-0000-0000-0000CEAF0000}"/>
    <cellStyle name="Style 29 6 2 4 6" xfId="45002" xr:uid="{00000000-0005-0000-0000-0000CFAF0000}"/>
    <cellStyle name="Style 29 6 2 5" xfId="45003" xr:uid="{00000000-0005-0000-0000-0000D0AF0000}"/>
    <cellStyle name="Style 29 6 2 5 2" xfId="45004" xr:uid="{00000000-0005-0000-0000-0000D1AF0000}"/>
    <cellStyle name="Style 29 6 2 5 3" xfId="45005" xr:uid="{00000000-0005-0000-0000-0000D2AF0000}"/>
    <cellStyle name="Style 29 6 2 6" xfId="45006" xr:uid="{00000000-0005-0000-0000-0000D3AF0000}"/>
    <cellStyle name="Style 29 6 2 6 2" xfId="45007" xr:uid="{00000000-0005-0000-0000-0000D4AF0000}"/>
    <cellStyle name="Style 29 6 2 6 3" xfId="45008" xr:uid="{00000000-0005-0000-0000-0000D5AF0000}"/>
    <cellStyle name="Style 29 6 2 7" xfId="45009" xr:uid="{00000000-0005-0000-0000-0000D6AF0000}"/>
    <cellStyle name="Style 29 6 2 7 2" xfId="45010" xr:uid="{00000000-0005-0000-0000-0000D7AF0000}"/>
    <cellStyle name="Style 29 6 2 7 3" xfId="45011" xr:uid="{00000000-0005-0000-0000-0000D8AF0000}"/>
    <cellStyle name="Style 29 6 2 8" xfId="45012" xr:uid="{00000000-0005-0000-0000-0000D9AF0000}"/>
    <cellStyle name="Style 29 6 2 9" xfId="45013" xr:uid="{00000000-0005-0000-0000-0000DAAF0000}"/>
    <cellStyle name="Style 29 6 3" xfId="45014" xr:uid="{00000000-0005-0000-0000-0000DBAF0000}"/>
    <cellStyle name="Style 29 6 3 2" xfId="45015" xr:uid="{00000000-0005-0000-0000-0000DCAF0000}"/>
    <cellStyle name="Style 29 6 3 2 2" xfId="45016" xr:uid="{00000000-0005-0000-0000-0000DDAF0000}"/>
    <cellStyle name="Style 29 6 3 2 2 2" xfId="45017" xr:uid="{00000000-0005-0000-0000-0000DEAF0000}"/>
    <cellStyle name="Style 29 6 3 2 2 3" xfId="45018" xr:uid="{00000000-0005-0000-0000-0000DFAF0000}"/>
    <cellStyle name="Style 29 6 3 2 3" xfId="45019" xr:uid="{00000000-0005-0000-0000-0000E0AF0000}"/>
    <cellStyle name="Style 29 6 3 2 3 2" xfId="45020" xr:uid="{00000000-0005-0000-0000-0000E1AF0000}"/>
    <cellStyle name="Style 29 6 3 2 3 3" xfId="45021" xr:uid="{00000000-0005-0000-0000-0000E2AF0000}"/>
    <cellStyle name="Style 29 6 3 2 4" xfId="45022" xr:uid="{00000000-0005-0000-0000-0000E3AF0000}"/>
    <cellStyle name="Style 29 6 3 2 5" xfId="45023" xr:uid="{00000000-0005-0000-0000-0000E4AF0000}"/>
    <cellStyle name="Style 29 6 3 2 6" xfId="45024" xr:uid="{00000000-0005-0000-0000-0000E5AF0000}"/>
    <cellStyle name="Style 29 6 3 3" xfId="45025" xr:uid="{00000000-0005-0000-0000-0000E6AF0000}"/>
    <cellStyle name="Style 29 6 3 3 2" xfId="45026" xr:uid="{00000000-0005-0000-0000-0000E7AF0000}"/>
    <cellStyle name="Style 29 6 3 3 3" xfId="45027" xr:uid="{00000000-0005-0000-0000-0000E8AF0000}"/>
    <cellStyle name="Style 29 6 3 4" xfId="45028" xr:uid="{00000000-0005-0000-0000-0000E9AF0000}"/>
    <cellStyle name="Style 29 6 3 4 2" xfId="45029" xr:uid="{00000000-0005-0000-0000-0000EAAF0000}"/>
    <cellStyle name="Style 29 6 3 4 3" xfId="45030" xr:uid="{00000000-0005-0000-0000-0000EBAF0000}"/>
    <cellStyle name="Style 29 6 3 5" xfId="45031" xr:uid="{00000000-0005-0000-0000-0000ECAF0000}"/>
    <cellStyle name="Style 29 6 3 5 2" xfId="45032" xr:uid="{00000000-0005-0000-0000-0000EDAF0000}"/>
    <cellStyle name="Style 29 6 3 5 3" xfId="45033" xr:uid="{00000000-0005-0000-0000-0000EEAF0000}"/>
    <cellStyle name="Style 29 6 3 6" xfId="45034" xr:uid="{00000000-0005-0000-0000-0000EFAF0000}"/>
    <cellStyle name="Style 29 6 3 7" xfId="45035" xr:uid="{00000000-0005-0000-0000-0000F0AF0000}"/>
    <cellStyle name="Style 29 6 3 8" xfId="45036" xr:uid="{00000000-0005-0000-0000-0000F1AF0000}"/>
    <cellStyle name="Style 29 6 4" xfId="45037" xr:uid="{00000000-0005-0000-0000-0000F2AF0000}"/>
    <cellStyle name="Style 29 6 4 2" xfId="45038" xr:uid="{00000000-0005-0000-0000-0000F3AF0000}"/>
    <cellStyle name="Style 29 6 4 2 2" xfId="45039" xr:uid="{00000000-0005-0000-0000-0000F4AF0000}"/>
    <cellStyle name="Style 29 6 4 2 2 2" xfId="45040" xr:uid="{00000000-0005-0000-0000-0000F5AF0000}"/>
    <cellStyle name="Style 29 6 4 2 2 3" xfId="45041" xr:uid="{00000000-0005-0000-0000-0000F6AF0000}"/>
    <cellStyle name="Style 29 6 4 2 3" xfId="45042" xr:uid="{00000000-0005-0000-0000-0000F7AF0000}"/>
    <cellStyle name="Style 29 6 4 2 3 2" xfId="45043" xr:uid="{00000000-0005-0000-0000-0000F8AF0000}"/>
    <cellStyle name="Style 29 6 4 2 3 3" xfId="45044" xr:uid="{00000000-0005-0000-0000-0000F9AF0000}"/>
    <cellStyle name="Style 29 6 4 2 4" xfId="45045" xr:uid="{00000000-0005-0000-0000-0000FAAF0000}"/>
    <cellStyle name="Style 29 6 4 2 5" xfId="45046" xr:uid="{00000000-0005-0000-0000-0000FBAF0000}"/>
    <cellStyle name="Style 29 6 4 2 6" xfId="45047" xr:uid="{00000000-0005-0000-0000-0000FCAF0000}"/>
    <cellStyle name="Style 29 6 4 3" xfId="45048" xr:uid="{00000000-0005-0000-0000-0000FDAF0000}"/>
    <cellStyle name="Style 29 6 4 3 2" xfId="45049" xr:uid="{00000000-0005-0000-0000-0000FEAF0000}"/>
    <cellStyle name="Style 29 6 4 3 3" xfId="45050" xr:uid="{00000000-0005-0000-0000-0000FFAF0000}"/>
    <cellStyle name="Style 29 6 4 4" xfId="45051" xr:uid="{00000000-0005-0000-0000-000000B00000}"/>
    <cellStyle name="Style 29 6 4 4 2" xfId="45052" xr:uid="{00000000-0005-0000-0000-000001B00000}"/>
    <cellStyle name="Style 29 6 4 4 3" xfId="45053" xr:uid="{00000000-0005-0000-0000-000002B00000}"/>
    <cellStyle name="Style 29 6 4 5" xfId="45054" xr:uid="{00000000-0005-0000-0000-000003B00000}"/>
    <cellStyle name="Style 29 6 4 5 2" xfId="45055" xr:uid="{00000000-0005-0000-0000-000004B00000}"/>
    <cellStyle name="Style 29 6 4 5 3" xfId="45056" xr:uid="{00000000-0005-0000-0000-000005B00000}"/>
    <cellStyle name="Style 29 6 4 6" xfId="45057" xr:uid="{00000000-0005-0000-0000-000006B00000}"/>
    <cellStyle name="Style 29 6 4 7" xfId="45058" xr:uid="{00000000-0005-0000-0000-000007B00000}"/>
    <cellStyle name="Style 29 6 4 8" xfId="45059" xr:uid="{00000000-0005-0000-0000-000008B00000}"/>
    <cellStyle name="Style 29 6 5" xfId="45060" xr:uid="{00000000-0005-0000-0000-000009B00000}"/>
    <cellStyle name="Style 29 6 5 2" xfId="45061" xr:uid="{00000000-0005-0000-0000-00000AB00000}"/>
    <cellStyle name="Style 29 6 5 2 2" xfId="45062" xr:uid="{00000000-0005-0000-0000-00000BB00000}"/>
    <cellStyle name="Style 29 6 5 2 2 2" xfId="45063" xr:uid="{00000000-0005-0000-0000-00000CB00000}"/>
    <cellStyle name="Style 29 6 5 2 2 3" xfId="45064" xr:uid="{00000000-0005-0000-0000-00000DB00000}"/>
    <cellStyle name="Style 29 6 5 2 3" xfId="45065" xr:uid="{00000000-0005-0000-0000-00000EB00000}"/>
    <cellStyle name="Style 29 6 5 2 3 2" xfId="45066" xr:uid="{00000000-0005-0000-0000-00000FB00000}"/>
    <cellStyle name="Style 29 6 5 2 3 3" xfId="45067" xr:uid="{00000000-0005-0000-0000-000010B00000}"/>
    <cellStyle name="Style 29 6 5 2 4" xfId="45068" xr:uid="{00000000-0005-0000-0000-000011B00000}"/>
    <cellStyle name="Style 29 6 5 2 5" xfId="45069" xr:uid="{00000000-0005-0000-0000-000012B00000}"/>
    <cellStyle name="Style 29 6 5 2 6" xfId="45070" xr:uid="{00000000-0005-0000-0000-000013B00000}"/>
    <cellStyle name="Style 29 6 5 3" xfId="45071" xr:uid="{00000000-0005-0000-0000-000014B00000}"/>
    <cellStyle name="Style 29 6 5 3 2" xfId="45072" xr:uid="{00000000-0005-0000-0000-000015B00000}"/>
    <cellStyle name="Style 29 6 5 3 3" xfId="45073" xr:uid="{00000000-0005-0000-0000-000016B00000}"/>
    <cellStyle name="Style 29 6 5 4" xfId="45074" xr:uid="{00000000-0005-0000-0000-000017B00000}"/>
    <cellStyle name="Style 29 6 5 4 2" xfId="45075" xr:uid="{00000000-0005-0000-0000-000018B00000}"/>
    <cellStyle name="Style 29 6 5 4 3" xfId="45076" xr:uid="{00000000-0005-0000-0000-000019B00000}"/>
    <cellStyle name="Style 29 6 5 5" xfId="45077" xr:uid="{00000000-0005-0000-0000-00001AB00000}"/>
    <cellStyle name="Style 29 6 5 5 2" xfId="45078" xr:uid="{00000000-0005-0000-0000-00001BB00000}"/>
    <cellStyle name="Style 29 6 5 5 3" xfId="45079" xr:uid="{00000000-0005-0000-0000-00001CB00000}"/>
    <cellStyle name="Style 29 6 5 6" xfId="45080" xr:uid="{00000000-0005-0000-0000-00001DB00000}"/>
    <cellStyle name="Style 29 6 5 7" xfId="45081" xr:uid="{00000000-0005-0000-0000-00001EB00000}"/>
    <cellStyle name="Style 29 6 5 8" xfId="45082" xr:uid="{00000000-0005-0000-0000-00001FB00000}"/>
    <cellStyle name="Style 29 6 6" xfId="45083" xr:uid="{00000000-0005-0000-0000-000020B00000}"/>
    <cellStyle name="Style 29 6 6 2" xfId="45084" xr:uid="{00000000-0005-0000-0000-000021B00000}"/>
    <cellStyle name="Style 29 6 6 2 2" xfId="45085" xr:uid="{00000000-0005-0000-0000-000022B00000}"/>
    <cellStyle name="Style 29 6 6 2 3" xfId="45086" xr:uid="{00000000-0005-0000-0000-000023B00000}"/>
    <cellStyle name="Style 29 6 6 3" xfId="45087" xr:uid="{00000000-0005-0000-0000-000024B00000}"/>
    <cellStyle name="Style 29 6 6 3 2" xfId="45088" xr:uid="{00000000-0005-0000-0000-000025B00000}"/>
    <cellStyle name="Style 29 6 6 3 3" xfId="45089" xr:uid="{00000000-0005-0000-0000-000026B00000}"/>
    <cellStyle name="Style 29 6 6 4" xfId="45090" xr:uid="{00000000-0005-0000-0000-000027B00000}"/>
    <cellStyle name="Style 29 6 6 5" xfId="45091" xr:uid="{00000000-0005-0000-0000-000028B00000}"/>
    <cellStyle name="Style 29 6 6 6" xfId="45092" xr:uid="{00000000-0005-0000-0000-000029B00000}"/>
    <cellStyle name="Style 29 6 7" xfId="45093" xr:uid="{00000000-0005-0000-0000-00002AB00000}"/>
    <cellStyle name="Style 29 6 7 2" xfId="45094" xr:uid="{00000000-0005-0000-0000-00002BB00000}"/>
    <cellStyle name="Style 29 6 7 3" xfId="45095" xr:uid="{00000000-0005-0000-0000-00002CB00000}"/>
    <cellStyle name="Style 29 6 8" xfId="45096" xr:uid="{00000000-0005-0000-0000-00002DB00000}"/>
    <cellStyle name="Style 29 6 8 2" xfId="45097" xr:uid="{00000000-0005-0000-0000-00002EB00000}"/>
    <cellStyle name="Style 29 6 8 3" xfId="45098" xr:uid="{00000000-0005-0000-0000-00002FB00000}"/>
    <cellStyle name="Style 29 6 9" xfId="45099" xr:uid="{00000000-0005-0000-0000-000030B00000}"/>
    <cellStyle name="Style 29 6 9 2" xfId="45100" xr:uid="{00000000-0005-0000-0000-000031B00000}"/>
    <cellStyle name="Style 29 6 9 3" xfId="45101" xr:uid="{00000000-0005-0000-0000-000032B00000}"/>
    <cellStyle name="Style 29 7" xfId="45102" xr:uid="{00000000-0005-0000-0000-000033B00000}"/>
    <cellStyle name="Style 29 7 10" xfId="45103" xr:uid="{00000000-0005-0000-0000-000034B00000}"/>
    <cellStyle name="Style 29 7 11" xfId="45104" xr:uid="{00000000-0005-0000-0000-000035B00000}"/>
    <cellStyle name="Style 29 7 12" xfId="45105" xr:uid="{00000000-0005-0000-0000-000036B00000}"/>
    <cellStyle name="Style 29 7 2" xfId="45106" xr:uid="{00000000-0005-0000-0000-000037B00000}"/>
    <cellStyle name="Style 29 7 2 10" xfId="45107" xr:uid="{00000000-0005-0000-0000-000038B00000}"/>
    <cellStyle name="Style 29 7 2 2" xfId="45108" xr:uid="{00000000-0005-0000-0000-000039B00000}"/>
    <cellStyle name="Style 29 7 2 2 2" xfId="45109" xr:uid="{00000000-0005-0000-0000-00003AB00000}"/>
    <cellStyle name="Style 29 7 2 2 2 2" xfId="45110" xr:uid="{00000000-0005-0000-0000-00003BB00000}"/>
    <cellStyle name="Style 29 7 2 2 2 2 2" xfId="45111" xr:uid="{00000000-0005-0000-0000-00003CB00000}"/>
    <cellStyle name="Style 29 7 2 2 2 2 3" xfId="45112" xr:uid="{00000000-0005-0000-0000-00003DB00000}"/>
    <cellStyle name="Style 29 7 2 2 2 3" xfId="45113" xr:uid="{00000000-0005-0000-0000-00003EB00000}"/>
    <cellStyle name="Style 29 7 2 2 2 3 2" xfId="45114" xr:uid="{00000000-0005-0000-0000-00003FB00000}"/>
    <cellStyle name="Style 29 7 2 2 2 3 3" xfId="45115" xr:uid="{00000000-0005-0000-0000-000040B00000}"/>
    <cellStyle name="Style 29 7 2 2 2 4" xfId="45116" xr:uid="{00000000-0005-0000-0000-000041B00000}"/>
    <cellStyle name="Style 29 7 2 2 2 5" xfId="45117" xr:uid="{00000000-0005-0000-0000-000042B00000}"/>
    <cellStyle name="Style 29 7 2 2 2 6" xfId="45118" xr:uid="{00000000-0005-0000-0000-000043B00000}"/>
    <cellStyle name="Style 29 7 2 2 3" xfId="45119" xr:uid="{00000000-0005-0000-0000-000044B00000}"/>
    <cellStyle name="Style 29 7 2 2 3 2" xfId="45120" xr:uid="{00000000-0005-0000-0000-000045B00000}"/>
    <cellStyle name="Style 29 7 2 2 3 3" xfId="45121" xr:uid="{00000000-0005-0000-0000-000046B00000}"/>
    <cellStyle name="Style 29 7 2 2 4" xfId="45122" xr:uid="{00000000-0005-0000-0000-000047B00000}"/>
    <cellStyle name="Style 29 7 2 2 4 2" xfId="45123" xr:uid="{00000000-0005-0000-0000-000048B00000}"/>
    <cellStyle name="Style 29 7 2 2 4 3" xfId="45124" xr:uid="{00000000-0005-0000-0000-000049B00000}"/>
    <cellStyle name="Style 29 7 2 2 5" xfId="45125" xr:uid="{00000000-0005-0000-0000-00004AB00000}"/>
    <cellStyle name="Style 29 7 2 2 5 2" xfId="45126" xr:uid="{00000000-0005-0000-0000-00004BB00000}"/>
    <cellStyle name="Style 29 7 2 2 5 3" xfId="45127" xr:uid="{00000000-0005-0000-0000-00004CB00000}"/>
    <cellStyle name="Style 29 7 2 2 6" xfId="45128" xr:uid="{00000000-0005-0000-0000-00004DB00000}"/>
    <cellStyle name="Style 29 7 2 2 7" xfId="45129" xr:uid="{00000000-0005-0000-0000-00004EB00000}"/>
    <cellStyle name="Style 29 7 2 2 8" xfId="45130" xr:uid="{00000000-0005-0000-0000-00004FB00000}"/>
    <cellStyle name="Style 29 7 2 3" xfId="45131" xr:uid="{00000000-0005-0000-0000-000050B00000}"/>
    <cellStyle name="Style 29 7 2 3 2" xfId="45132" xr:uid="{00000000-0005-0000-0000-000051B00000}"/>
    <cellStyle name="Style 29 7 2 3 2 2" xfId="45133" xr:uid="{00000000-0005-0000-0000-000052B00000}"/>
    <cellStyle name="Style 29 7 2 3 2 2 2" xfId="45134" xr:uid="{00000000-0005-0000-0000-000053B00000}"/>
    <cellStyle name="Style 29 7 2 3 2 2 3" xfId="45135" xr:uid="{00000000-0005-0000-0000-000054B00000}"/>
    <cellStyle name="Style 29 7 2 3 2 3" xfId="45136" xr:uid="{00000000-0005-0000-0000-000055B00000}"/>
    <cellStyle name="Style 29 7 2 3 2 3 2" xfId="45137" xr:uid="{00000000-0005-0000-0000-000056B00000}"/>
    <cellStyle name="Style 29 7 2 3 2 3 3" xfId="45138" xr:uid="{00000000-0005-0000-0000-000057B00000}"/>
    <cellStyle name="Style 29 7 2 3 2 4" xfId="45139" xr:uid="{00000000-0005-0000-0000-000058B00000}"/>
    <cellStyle name="Style 29 7 2 3 2 5" xfId="45140" xr:uid="{00000000-0005-0000-0000-000059B00000}"/>
    <cellStyle name="Style 29 7 2 3 2 6" xfId="45141" xr:uid="{00000000-0005-0000-0000-00005AB00000}"/>
    <cellStyle name="Style 29 7 2 3 3" xfId="45142" xr:uid="{00000000-0005-0000-0000-00005BB00000}"/>
    <cellStyle name="Style 29 7 2 3 3 2" xfId="45143" xr:uid="{00000000-0005-0000-0000-00005CB00000}"/>
    <cellStyle name="Style 29 7 2 3 3 3" xfId="45144" xr:uid="{00000000-0005-0000-0000-00005DB00000}"/>
    <cellStyle name="Style 29 7 2 3 4" xfId="45145" xr:uid="{00000000-0005-0000-0000-00005EB00000}"/>
    <cellStyle name="Style 29 7 2 3 4 2" xfId="45146" xr:uid="{00000000-0005-0000-0000-00005FB00000}"/>
    <cellStyle name="Style 29 7 2 3 4 3" xfId="45147" xr:uid="{00000000-0005-0000-0000-000060B00000}"/>
    <cellStyle name="Style 29 7 2 3 5" xfId="45148" xr:uid="{00000000-0005-0000-0000-000061B00000}"/>
    <cellStyle name="Style 29 7 2 3 5 2" xfId="45149" xr:uid="{00000000-0005-0000-0000-000062B00000}"/>
    <cellStyle name="Style 29 7 2 3 5 3" xfId="45150" xr:uid="{00000000-0005-0000-0000-000063B00000}"/>
    <cellStyle name="Style 29 7 2 3 6" xfId="45151" xr:uid="{00000000-0005-0000-0000-000064B00000}"/>
    <cellStyle name="Style 29 7 2 3 7" xfId="45152" xr:uid="{00000000-0005-0000-0000-000065B00000}"/>
    <cellStyle name="Style 29 7 2 3 8" xfId="45153" xr:uid="{00000000-0005-0000-0000-000066B00000}"/>
    <cellStyle name="Style 29 7 2 4" xfId="45154" xr:uid="{00000000-0005-0000-0000-000067B00000}"/>
    <cellStyle name="Style 29 7 2 4 2" xfId="45155" xr:uid="{00000000-0005-0000-0000-000068B00000}"/>
    <cellStyle name="Style 29 7 2 4 2 2" xfId="45156" xr:uid="{00000000-0005-0000-0000-000069B00000}"/>
    <cellStyle name="Style 29 7 2 4 2 3" xfId="45157" xr:uid="{00000000-0005-0000-0000-00006AB00000}"/>
    <cellStyle name="Style 29 7 2 4 3" xfId="45158" xr:uid="{00000000-0005-0000-0000-00006BB00000}"/>
    <cellStyle name="Style 29 7 2 4 3 2" xfId="45159" xr:uid="{00000000-0005-0000-0000-00006CB00000}"/>
    <cellStyle name="Style 29 7 2 4 3 3" xfId="45160" xr:uid="{00000000-0005-0000-0000-00006DB00000}"/>
    <cellStyle name="Style 29 7 2 4 4" xfId="45161" xr:uid="{00000000-0005-0000-0000-00006EB00000}"/>
    <cellStyle name="Style 29 7 2 4 5" xfId="45162" xr:uid="{00000000-0005-0000-0000-00006FB00000}"/>
    <cellStyle name="Style 29 7 2 4 6" xfId="45163" xr:uid="{00000000-0005-0000-0000-000070B00000}"/>
    <cellStyle name="Style 29 7 2 5" xfId="45164" xr:uid="{00000000-0005-0000-0000-000071B00000}"/>
    <cellStyle name="Style 29 7 2 5 2" xfId="45165" xr:uid="{00000000-0005-0000-0000-000072B00000}"/>
    <cellStyle name="Style 29 7 2 5 3" xfId="45166" xr:uid="{00000000-0005-0000-0000-000073B00000}"/>
    <cellStyle name="Style 29 7 2 6" xfId="45167" xr:uid="{00000000-0005-0000-0000-000074B00000}"/>
    <cellStyle name="Style 29 7 2 6 2" xfId="45168" xr:uid="{00000000-0005-0000-0000-000075B00000}"/>
    <cellStyle name="Style 29 7 2 6 3" xfId="45169" xr:uid="{00000000-0005-0000-0000-000076B00000}"/>
    <cellStyle name="Style 29 7 2 7" xfId="45170" xr:uid="{00000000-0005-0000-0000-000077B00000}"/>
    <cellStyle name="Style 29 7 2 7 2" xfId="45171" xr:uid="{00000000-0005-0000-0000-000078B00000}"/>
    <cellStyle name="Style 29 7 2 7 3" xfId="45172" xr:uid="{00000000-0005-0000-0000-000079B00000}"/>
    <cellStyle name="Style 29 7 2 8" xfId="45173" xr:uid="{00000000-0005-0000-0000-00007AB00000}"/>
    <cellStyle name="Style 29 7 2 9" xfId="45174" xr:uid="{00000000-0005-0000-0000-00007BB00000}"/>
    <cellStyle name="Style 29 7 3" xfId="45175" xr:uid="{00000000-0005-0000-0000-00007CB00000}"/>
    <cellStyle name="Style 29 7 3 2" xfId="45176" xr:uid="{00000000-0005-0000-0000-00007DB00000}"/>
    <cellStyle name="Style 29 7 3 2 2" xfId="45177" xr:uid="{00000000-0005-0000-0000-00007EB00000}"/>
    <cellStyle name="Style 29 7 3 2 2 2" xfId="45178" xr:uid="{00000000-0005-0000-0000-00007FB00000}"/>
    <cellStyle name="Style 29 7 3 2 2 3" xfId="45179" xr:uid="{00000000-0005-0000-0000-000080B00000}"/>
    <cellStyle name="Style 29 7 3 2 3" xfId="45180" xr:uid="{00000000-0005-0000-0000-000081B00000}"/>
    <cellStyle name="Style 29 7 3 2 3 2" xfId="45181" xr:uid="{00000000-0005-0000-0000-000082B00000}"/>
    <cellStyle name="Style 29 7 3 2 3 3" xfId="45182" xr:uid="{00000000-0005-0000-0000-000083B00000}"/>
    <cellStyle name="Style 29 7 3 2 4" xfId="45183" xr:uid="{00000000-0005-0000-0000-000084B00000}"/>
    <cellStyle name="Style 29 7 3 2 5" xfId="45184" xr:uid="{00000000-0005-0000-0000-000085B00000}"/>
    <cellStyle name="Style 29 7 3 2 6" xfId="45185" xr:uid="{00000000-0005-0000-0000-000086B00000}"/>
    <cellStyle name="Style 29 7 3 3" xfId="45186" xr:uid="{00000000-0005-0000-0000-000087B00000}"/>
    <cellStyle name="Style 29 7 3 3 2" xfId="45187" xr:uid="{00000000-0005-0000-0000-000088B00000}"/>
    <cellStyle name="Style 29 7 3 3 3" xfId="45188" xr:uid="{00000000-0005-0000-0000-000089B00000}"/>
    <cellStyle name="Style 29 7 3 4" xfId="45189" xr:uid="{00000000-0005-0000-0000-00008AB00000}"/>
    <cellStyle name="Style 29 7 3 4 2" xfId="45190" xr:uid="{00000000-0005-0000-0000-00008BB00000}"/>
    <cellStyle name="Style 29 7 3 4 3" xfId="45191" xr:uid="{00000000-0005-0000-0000-00008CB00000}"/>
    <cellStyle name="Style 29 7 3 5" xfId="45192" xr:uid="{00000000-0005-0000-0000-00008DB00000}"/>
    <cellStyle name="Style 29 7 3 5 2" xfId="45193" xr:uid="{00000000-0005-0000-0000-00008EB00000}"/>
    <cellStyle name="Style 29 7 3 5 3" xfId="45194" xr:uid="{00000000-0005-0000-0000-00008FB00000}"/>
    <cellStyle name="Style 29 7 3 6" xfId="45195" xr:uid="{00000000-0005-0000-0000-000090B00000}"/>
    <cellStyle name="Style 29 7 3 7" xfId="45196" xr:uid="{00000000-0005-0000-0000-000091B00000}"/>
    <cellStyle name="Style 29 7 3 8" xfId="45197" xr:uid="{00000000-0005-0000-0000-000092B00000}"/>
    <cellStyle name="Style 29 7 4" xfId="45198" xr:uid="{00000000-0005-0000-0000-000093B00000}"/>
    <cellStyle name="Style 29 7 4 2" xfId="45199" xr:uid="{00000000-0005-0000-0000-000094B00000}"/>
    <cellStyle name="Style 29 7 4 2 2" xfId="45200" xr:uid="{00000000-0005-0000-0000-000095B00000}"/>
    <cellStyle name="Style 29 7 4 2 2 2" xfId="45201" xr:uid="{00000000-0005-0000-0000-000096B00000}"/>
    <cellStyle name="Style 29 7 4 2 2 3" xfId="45202" xr:uid="{00000000-0005-0000-0000-000097B00000}"/>
    <cellStyle name="Style 29 7 4 2 3" xfId="45203" xr:uid="{00000000-0005-0000-0000-000098B00000}"/>
    <cellStyle name="Style 29 7 4 2 3 2" xfId="45204" xr:uid="{00000000-0005-0000-0000-000099B00000}"/>
    <cellStyle name="Style 29 7 4 2 3 3" xfId="45205" xr:uid="{00000000-0005-0000-0000-00009AB00000}"/>
    <cellStyle name="Style 29 7 4 2 4" xfId="45206" xr:uid="{00000000-0005-0000-0000-00009BB00000}"/>
    <cellStyle name="Style 29 7 4 2 5" xfId="45207" xr:uid="{00000000-0005-0000-0000-00009CB00000}"/>
    <cellStyle name="Style 29 7 4 2 6" xfId="45208" xr:uid="{00000000-0005-0000-0000-00009DB00000}"/>
    <cellStyle name="Style 29 7 4 3" xfId="45209" xr:uid="{00000000-0005-0000-0000-00009EB00000}"/>
    <cellStyle name="Style 29 7 4 3 2" xfId="45210" xr:uid="{00000000-0005-0000-0000-00009FB00000}"/>
    <cellStyle name="Style 29 7 4 3 3" xfId="45211" xr:uid="{00000000-0005-0000-0000-0000A0B00000}"/>
    <cellStyle name="Style 29 7 4 4" xfId="45212" xr:uid="{00000000-0005-0000-0000-0000A1B00000}"/>
    <cellStyle name="Style 29 7 4 4 2" xfId="45213" xr:uid="{00000000-0005-0000-0000-0000A2B00000}"/>
    <cellStyle name="Style 29 7 4 4 3" xfId="45214" xr:uid="{00000000-0005-0000-0000-0000A3B00000}"/>
    <cellStyle name="Style 29 7 4 5" xfId="45215" xr:uid="{00000000-0005-0000-0000-0000A4B00000}"/>
    <cellStyle name="Style 29 7 4 5 2" xfId="45216" xr:uid="{00000000-0005-0000-0000-0000A5B00000}"/>
    <cellStyle name="Style 29 7 4 5 3" xfId="45217" xr:uid="{00000000-0005-0000-0000-0000A6B00000}"/>
    <cellStyle name="Style 29 7 4 6" xfId="45218" xr:uid="{00000000-0005-0000-0000-0000A7B00000}"/>
    <cellStyle name="Style 29 7 4 7" xfId="45219" xr:uid="{00000000-0005-0000-0000-0000A8B00000}"/>
    <cellStyle name="Style 29 7 4 8" xfId="45220" xr:uid="{00000000-0005-0000-0000-0000A9B00000}"/>
    <cellStyle name="Style 29 7 5" xfId="45221" xr:uid="{00000000-0005-0000-0000-0000AAB00000}"/>
    <cellStyle name="Style 29 7 5 2" xfId="45222" xr:uid="{00000000-0005-0000-0000-0000ABB00000}"/>
    <cellStyle name="Style 29 7 5 2 2" xfId="45223" xr:uid="{00000000-0005-0000-0000-0000ACB00000}"/>
    <cellStyle name="Style 29 7 5 2 2 2" xfId="45224" xr:uid="{00000000-0005-0000-0000-0000ADB00000}"/>
    <cellStyle name="Style 29 7 5 2 2 3" xfId="45225" xr:uid="{00000000-0005-0000-0000-0000AEB00000}"/>
    <cellStyle name="Style 29 7 5 2 3" xfId="45226" xr:uid="{00000000-0005-0000-0000-0000AFB00000}"/>
    <cellStyle name="Style 29 7 5 2 3 2" xfId="45227" xr:uid="{00000000-0005-0000-0000-0000B0B00000}"/>
    <cellStyle name="Style 29 7 5 2 3 3" xfId="45228" xr:uid="{00000000-0005-0000-0000-0000B1B00000}"/>
    <cellStyle name="Style 29 7 5 2 4" xfId="45229" xr:uid="{00000000-0005-0000-0000-0000B2B00000}"/>
    <cellStyle name="Style 29 7 5 2 5" xfId="45230" xr:uid="{00000000-0005-0000-0000-0000B3B00000}"/>
    <cellStyle name="Style 29 7 5 2 6" xfId="45231" xr:uid="{00000000-0005-0000-0000-0000B4B00000}"/>
    <cellStyle name="Style 29 7 5 3" xfId="45232" xr:uid="{00000000-0005-0000-0000-0000B5B00000}"/>
    <cellStyle name="Style 29 7 5 3 2" xfId="45233" xr:uid="{00000000-0005-0000-0000-0000B6B00000}"/>
    <cellStyle name="Style 29 7 5 3 3" xfId="45234" xr:uid="{00000000-0005-0000-0000-0000B7B00000}"/>
    <cellStyle name="Style 29 7 5 4" xfId="45235" xr:uid="{00000000-0005-0000-0000-0000B8B00000}"/>
    <cellStyle name="Style 29 7 5 4 2" xfId="45236" xr:uid="{00000000-0005-0000-0000-0000B9B00000}"/>
    <cellStyle name="Style 29 7 5 4 3" xfId="45237" xr:uid="{00000000-0005-0000-0000-0000BAB00000}"/>
    <cellStyle name="Style 29 7 5 5" xfId="45238" xr:uid="{00000000-0005-0000-0000-0000BBB00000}"/>
    <cellStyle name="Style 29 7 5 5 2" xfId="45239" xr:uid="{00000000-0005-0000-0000-0000BCB00000}"/>
    <cellStyle name="Style 29 7 5 5 3" xfId="45240" xr:uid="{00000000-0005-0000-0000-0000BDB00000}"/>
    <cellStyle name="Style 29 7 5 6" xfId="45241" xr:uid="{00000000-0005-0000-0000-0000BEB00000}"/>
    <cellStyle name="Style 29 7 5 7" xfId="45242" xr:uid="{00000000-0005-0000-0000-0000BFB00000}"/>
    <cellStyle name="Style 29 7 5 8" xfId="45243" xr:uid="{00000000-0005-0000-0000-0000C0B00000}"/>
    <cellStyle name="Style 29 7 6" xfId="45244" xr:uid="{00000000-0005-0000-0000-0000C1B00000}"/>
    <cellStyle name="Style 29 7 6 2" xfId="45245" xr:uid="{00000000-0005-0000-0000-0000C2B00000}"/>
    <cellStyle name="Style 29 7 6 2 2" xfId="45246" xr:uid="{00000000-0005-0000-0000-0000C3B00000}"/>
    <cellStyle name="Style 29 7 6 2 3" xfId="45247" xr:uid="{00000000-0005-0000-0000-0000C4B00000}"/>
    <cellStyle name="Style 29 7 6 3" xfId="45248" xr:uid="{00000000-0005-0000-0000-0000C5B00000}"/>
    <cellStyle name="Style 29 7 6 3 2" xfId="45249" xr:uid="{00000000-0005-0000-0000-0000C6B00000}"/>
    <cellStyle name="Style 29 7 6 3 3" xfId="45250" xr:uid="{00000000-0005-0000-0000-0000C7B00000}"/>
    <cellStyle name="Style 29 7 6 4" xfId="45251" xr:uid="{00000000-0005-0000-0000-0000C8B00000}"/>
    <cellStyle name="Style 29 7 6 5" xfId="45252" xr:uid="{00000000-0005-0000-0000-0000C9B00000}"/>
    <cellStyle name="Style 29 7 6 6" xfId="45253" xr:uid="{00000000-0005-0000-0000-0000CAB00000}"/>
    <cellStyle name="Style 29 7 7" xfId="45254" xr:uid="{00000000-0005-0000-0000-0000CBB00000}"/>
    <cellStyle name="Style 29 7 7 2" xfId="45255" xr:uid="{00000000-0005-0000-0000-0000CCB00000}"/>
    <cellStyle name="Style 29 7 7 3" xfId="45256" xr:uid="{00000000-0005-0000-0000-0000CDB00000}"/>
    <cellStyle name="Style 29 7 8" xfId="45257" xr:uid="{00000000-0005-0000-0000-0000CEB00000}"/>
    <cellStyle name="Style 29 7 8 2" xfId="45258" xr:uid="{00000000-0005-0000-0000-0000CFB00000}"/>
    <cellStyle name="Style 29 7 8 3" xfId="45259" xr:uid="{00000000-0005-0000-0000-0000D0B00000}"/>
    <cellStyle name="Style 29 7 9" xfId="45260" xr:uid="{00000000-0005-0000-0000-0000D1B00000}"/>
    <cellStyle name="Style 29 7 9 2" xfId="45261" xr:uid="{00000000-0005-0000-0000-0000D2B00000}"/>
    <cellStyle name="Style 29 7 9 3" xfId="45262" xr:uid="{00000000-0005-0000-0000-0000D3B00000}"/>
    <cellStyle name="Style 29 8" xfId="45263" xr:uid="{00000000-0005-0000-0000-0000D4B00000}"/>
    <cellStyle name="Style 29 8 10" xfId="45264" xr:uid="{00000000-0005-0000-0000-0000D5B00000}"/>
    <cellStyle name="Style 29 8 11" xfId="45265" xr:uid="{00000000-0005-0000-0000-0000D6B00000}"/>
    <cellStyle name="Style 29 8 12" xfId="45266" xr:uid="{00000000-0005-0000-0000-0000D7B00000}"/>
    <cellStyle name="Style 29 8 2" xfId="45267" xr:uid="{00000000-0005-0000-0000-0000D8B00000}"/>
    <cellStyle name="Style 29 8 2 10" xfId="45268" xr:uid="{00000000-0005-0000-0000-0000D9B00000}"/>
    <cellStyle name="Style 29 8 2 2" xfId="45269" xr:uid="{00000000-0005-0000-0000-0000DAB00000}"/>
    <cellStyle name="Style 29 8 2 2 2" xfId="45270" xr:uid="{00000000-0005-0000-0000-0000DBB00000}"/>
    <cellStyle name="Style 29 8 2 2 2 2" xfId="45271" xr:uid="{00000000-0005-0000-0000-0000DCB00000}"/>
    <cellStyle name="Style 29 8 2 2 2 2 2" xfId="45272" xr:uid="{00000000-0005-0000-0000-0000DDB00000}"/>
    <cellStyle name="Style 29 8 2 2 2 2 3" xfId="45273" xr:uid="{00000000-0005-0000-0000-0000DEB00000}"/>
    <cellStyle name="Style 29 8 2 2 2 3" xfId="45274" xr:uid="{00000000-0005-0000-0000-0000DFB00000}"/>
    <cellStyle name="Style 29 8 2 2 2 3 2" xfId="45275" xr:uid="{00000000-0005-0000-0000-0000E0B00000}"/>
    <cellStyle name="Style 29 8 2 2 2 3 3" xfId="45276" xr:uid="{00000000-0005-0000-0000-0000E1B00000}"/>
    <cellStyle name="Style 29 8 2 2 2 4" xfId="45277" xr:uid="{00000000-0005-0000-0000-0000E2B00000}"/>
    <cellStyle name="Style 29 8 2 2 2 5" xfId="45278" xr:uid="{00000000-0005-0000-0000-0000E3B00000}"/>
    <cellStyle name="Style 29 8 2 2 2 6" xfId="45279" xr:uid="{00000000-0005-0000-0000-0000E4B00000}"/>
    <cellStyle name="Style 29 8 2 2 3" xfId="45280" xr:uid="{00000000-0005-0000-0000-0000E5B00000}"/>
    <cellStyle name="Style 29 8 2 2 3 2" xfId="45281" xr:uid="{00000000-0005-0000-0000-0000E6B00000}"/>
    <cellStyle name="Style 29 8 2 2 3 3" xfId="45282" xr:uid="{00000000-0005-0000-0000-0000E7B00000}"/>
    <cellStyle name="Style 29 8 2 2 4" xfId="45283" xr:uid="{00000000-0005-0000-0000-0000E8B00000}"/>
    <cellStyle name="Style 29 8 2 2 4 2" xfId="45284" xr:uid="{00000000-0005-0000-0000-0000E9B00000}"/>
    <cellStyle name="Style 29 8 2 2 4 3" xfId="45285" xr:uid="{00000000-0005-0000-0000-0000EAB00000}"/>
    <cellStyle name="Style 29 8 2 2 5" xfId="45286" xr:uid="{00000000-0005-0000-0000-0000EBB00000}"/>
    <cellStyle name="Style 29 8 2 2 5 2" xfId="45287" xr:uid="{00000000-0005-0000-0000-0000ECB00000}"/>
    <cellStyle name="Style 29 8 2 2 5 3" xfId="45288" xr:uid="{00000000-0005-0000-0000-0000EDB00000}"/>
    <cellStyle name="Style 29 8 2 2 6" xfId="45289" xr:uid="{00000000-0005-0000-0000-0000EEB00000}"/>
    <cellStyle name="Style 29 8 2 2 7" xfId="45290" xr:uid="{00000000-0005-0000-0000-0000EFB00000}"/>
    <cellStyle name="Style 29 8 2 2 8" xfId="45291" xr:uid="{00000000-0005-0000-0000-0000F0B00000}"/>
    <cellStyle name="Style 29 8 2 3" xfId="45292" xr:uid="{00000000-0005-0000-0000-0000F1B00000}"/>
    <cellStyle name="Style 29 8 2 3 2" xfId="45293" xr:uid="{00000000-0005-0000-0000-0000F2B00000}"/>
    <cellStyle name="Style 29 8 2 3 2 2" xfId="45294" xr:uid="{00000000-0005-0000-0000-0000F3B00000}"/>
    <cellStyle name="Style 29 8 2 3 2 2 2" xfId="45295" xr:uid="{00000000-0005-0000-0000-0000F4B00000}"/>
    <cellStyle name="Style 29 8 2 3 2 2 3" xfId="45296" xr:uid="{00000000-0005-0000-0000-0000F5B00000}"/>
    <cellStyle name="Style 29 8 2 3 2 3" xfId="45297" xr:uid="{00000000-0005-0000-0000-0000F6B00000}"/>
    <cellStyle name="Style 29 8 2 3 2 3 2" xfId="45298" xr:uid="{00000000-0005-0000-0000-0000F7B00000}"/>
    <cellStyle name="Style 29 8 2 3 2 3 3" xfId="45299" xr:uid="{00000000-0005-0000-0000-0000F8B00000}"/>
    <cellStyle name="Style 29 8 2 3 2 4" xfId="45300" xr:uid="{00000000-0005-0000-0000-0000F9B00000}"/>
    <cellStyle name="Style 29 8 2 3 2 5" xfId="45301" xr:uid="{00000000-0005-0000-0000-0000FAB00000}"/>
    <cellStyle name="Style 29 8 2 3 2 6" xfId="45302" xr:uid="{00000000-0005-0000-0000-0000FBB00000}"/>
    <cellStyle name="Style 29 8 2 3 3" xfId="45303" xr:uid="{00000000-0005-0000-0000-0000FCB00000}"/>
    <cellStyle name="Style 29 8 2 3 3 2" xfId="45304" xr:uid="{00000000-0005-0000-0000-0000FDB00000}"/>
    <cellStyle name="Style 29 8 2 3 3 3" xfId="45305" xr:uid="{00000000-0005-0000-0000-0000FEB00000}"/>
    <cellStyle name="Style 29 8 2 3 4" xfId="45306" xr:uid="{00000000-0005-0000-0000-0000FFB00000}"/>
    <cellStyle name="Style 29 8 2 3 4 2" xfId="45307" xr:uid="{00000000-0005-0000-0000-000000B10000}"/>
    <cellStyle name="Style 29 8 2 3 4 3" xfId="45308" xr:uid="{00000000-0005-0000-0000-000001B10000}"/>
    <cellStyle name="Style 29 8 2 3 5" xfId="45309" xr:uid="{00000000-0005-0000-0000-000002B10000}"/>
    <cellStyle name="Style 29 8 2 3 5 2" xfId="45310" xr:uid="{00000000-0005-0000-0000-000003B10000}"/>
    <cellStyle name="Style 29 8 2 3 5 3" xfId="45311" xr:uid="{00000000-0005-0000-0000-000004B10000}"/>
    <cellStyle name="Style 29 8 2 3 6" xfId="45312" xr:uid="{00000000-0005-0000-0000-000005B10000}"/>
    <cellStyle name="Style 29 8 2 3 7" xfId="45313" xr:uid="{00000000-0005-0000-0000-000006B10000}"/>
    <cellStyle name="Style 29 8 2 3 8" xfId="45314" xr:uid="{00000000-0005-0000-0000-000007B10000}"/>
    <cellStyle name="Style 29 8 2 4" xfId="45315" xr:uid="{00000000-0005-0000-0000-000008B10000}"/>
    <cellStyle name="Style 29 8 2 4 2" xfId="45316" xr:uid="{00000000-0005-0000-0000-000009B10000}"/>
    <cellStyle name="Style 29 8 2 4 2 2" xfId="45317" xr:uid="{00000000-0005-0000-0000-00000AB10000}"/>
    <cellStyle name="Style 29 8 2 4 2 3" xfId="45318" xr:uid="{00000000-0005-0000-0000-00000BB10000}"/>
    <cellStyle name="Style 29 8 2 4 3" xfId="45319" xr:uid="{00000000-0005-0000-0000-00000CB10000}"/>
    <cellStyle name="Style 29 8 2 4 3 2" xfId="45320" xr:uid="{00000000-0005-0000-0000-00000DB10000}"/>
    <cellStyle name="Style 29 8 2 4 3 3" xfId="45321" xr:uid="{00000000-0005-0000-0000-00000EB10000}"/>
    <cellStyle name="Style 29 8 2 4 4" xfId="45322" xr:uid="{00000000-0005-0000-0000-00000FB10000}"/>
    <cellStyle name="Style 29 8 2 4 5" xfId="45323" xr:uid="{00000000-0005-0000-0000-000010B10000}"/>
    <cellStyle name="Style 29 8 2 4 6" xfId="45324" xr:uid="{00000000-0005-0000-0000-000011B10000}"/>
    <cellStyle name="Style 29 8 2 5" xfId="45325" xr:uid="{00000000-0005-0000-0000-000012B10000}"/>
    <cellStyle name="Style 29 8 2 5 2" xfId="45326" xr:uid="{00000000-0005-0000-0000-000013B10000}"/>
    <cellStyle name="Style 29 8 2 5 3" xfId="45327" xr:uid="{00000000-0005-0000-0000-000014B10000}"/>
    <cellStyle name="Style 29 8 2 6" xfId="45328" xr:uid="{00000000-0005-0000-0000-000015B10000}"/>
    <cellStyle name="Style 29 8 2 6 2" xfId="45329" xr:uid="{00000000-0005-0000-0000-000016B10000}"/>
    <cellStyle name="Style 29 8 2 6 3" xfId="45330" xr:uid="{00000000-0005-0000-0000-000017B10000}"/>
    <cellStyle name="Style 29 8 2 7" xfId="45331" xr:uid="{00000000-0005-0000-0000-000018B10000}"/>
    <cellStyle name="Style 29 8 2 7 2" xfId="45332" xr:uid="{00000000-0005-0000-0000-000019B10000}"/>
    <cellStyle name="Style 29 8 2 7 3" xfId="45333" xr:uid="{00000000-0005-0000-0000-00001AB10000}"/>
    <cellStyle name="Style 29 8 2 8" xfId="45334" xr:uid="{00000000-0005-0000-0000-00001BB10000}"/>
    <cellStyle name="Style 29 8 2 9" xfId="45335" xr:uid="{00000000-0005-0000-0000-00001CB10000}"/>
    <cellStyle name="Style 29 8 3" xfId="45336" xr:uid="{00000000-0005-0000-0000-00001DB10000}"/>
    <cellStyle name="Style 29 8 3 2" xfId="45337" xr:uid="{00000000-0005-0000-0000-00001EB10000}"/>
    <cellStyle name="Style 29 8 3 2 2" xfId="45338" xr:uid="{00000000-0005-0000-0000-00001FB10000}"/>
    <cellStyle name="Style 29 8 3 2 2 2" xfId="45339" xr:uid="{00000000-0005-0000-0000-000020B10000}"/>
    <cellStyle name="Style 29 8 3 2 2 3" xfId="45340" xr:uid="{00000000-0005-0000-0000-000021B10000}"/>
    <cellStyle name="Style 29 8 3 2 3" xfId="45341" xr:uid="{00000000-0005-0000-0000-000022B10000}"/>
    <cellStyle name="Style 29 8 3 2 3 2" xfId="45342" xr:uid="{00000000-0005-0000-0000-000023B10000}"/>
    <cellStyle name="Style 29 8 3 2 3 3" xfId="45343" xr:uid="{00000000-0005-0000-0000-000024B10000}"/>
    <cellStyle name="Style 29 8 3 2 4" xfId="45344" xr:uid="{00000000-0005-0000-0000-000025B10000}"/>
    <cellStyle name="Style 29 8 3 2 5" xfId="45345" xr:uid="{00000000-0005-0000-0000-000026B10000}"/>
    <cellStyle name="Style 29 8 3 2 6" xfId="45346" xr:uid="{00000000-0005-0000-0000-000027B10000}"/>
    <cellStyle name="Style 29 8 3 3" xfId="45347" xr:uid="{00000000-0005-0000-0000-000028B10000}"/>
    <cellStyle name="Style 29 8 3 3 2" xfId="45348" xr:uid="{00000000-0005-0000-0000-000029B10000}"/>
    <cellStyle name="Style 29 8 3 3 3" xfId="45349" xr:uid="{00000000-0005-0000-0000-00002AB10000}"/>
    <cellStyle name="Style 29 8 3 4" xfId="45350" xr:uid="{00000000-0005-0000-0000-00002BB10000}"/>
    <cellStyle name="Style 29 8 3 4 2" xfId="45351" xr:uid="{00000000-0005-0000-0000-00002CB10000}"/>
    <cellStyle name="Style 29 8 3 4 3" xfId="45352" xr:uid="{00000000-0005-0000-0000-00002DB10000}"/>
    <cellStyle name="Style 29 8 3 5" xfId="45353" xr:uid="{00000000-0005-0000-0000-00002EB10000}"/>
    <cellStyle name="Style 29 8 3 5 2" xfId="45354" xr:uid="{00000000-0005-0000-0000-00002FB10000}"/>
    <cellStyle name="Style 29 8 3 5 3" xfId="45355" xr:uid="{00000000-0005-0000-0000-000030B10000}"/>
    <cellStyle name="Style 29 8 3 6" xfId="45356" xr:uid="{00000000-0005-0000-0000-000031B10000}"/>
    <cellStyle name="Style 29 8 3 7" xfId="45357" xr:uid="{00000000-0005-0000-0000-000032B10000}"/>
    <cellStyle name="Style 29 8 3 8" xfId="45358" xr:uid="{00000000-0005-0000-0000-000033B10000}"/>
    <cellStyle name="Style 29 8 4" xfId="45359" xr:uid="{00000000-0005-0000-0000-000034B10000}"/>
    <cellStyle name="Style 29 8 4 2" xfId="45360" xr:uid="{00000000-0005-0000-0000-000035B10000}"/>
    <cellStyle name="Style 29 8 4 2 2" xfId="45361" xr:uid="{00000000-0005-0000-0000-000036B10000}"/>
    <cellStyle name="Style 29 8 4 2 2 2" xfId="45362" xr:uid="{00000000-0005-0000-0000-000037B10000}"/>
    <cellStyle name="Style 29 8 4 2 2 3" xfId="45363" xr:uid="{00000000-0005-0000-0000-000038B10000}"/>
    <cellStyle name="Style 29 8 4 2 3" xfId="45364" xr:uid="{00000000-0005-0000-0000-000039B10000}"/>
    <cellStyle name="Style 29 8 4 2 3 2" xfId="45365" xr:uid="{00000000-0005-0000-0000-00003AB10000}"/>
    <cellStyle name="Style 29 8 4 2 3 3" xfId="45366" xr:uid="{00000000-0005-0000-0000-00003BB10000}"/>
    <cellStyle name="Style 29 8 4 2 4" xfId="45367" xr:uid="{00000000-0005-0000-0000-00003CB10000}"/>
    <cellStyle name="Style 29 8 4 2 5" xfId="45368" xr:uid="{00000000-0005-0000-0000-00003DB10000}"/>
    <cellStyle name="Style 29 8 4 2 6" xfId="45369" xr:uid="{00000000-0005-0000-0000-00003EB10000}"/>
    <cellStyle name="Style 29 8 4 3" xfId="45370" xr:uid="{00000000-0005-0000-0000-00003FB10000}"/>
    <cellStyle name="Style 29 8 4 3 2" xfId="45371" xr:uid="{00000000-0005-0000-0000-000040B10000}"/>
    <cellStyle name="Style 29 8 4 3 3" xfId="45372" xr:uid="{00000000-0005-0000-0000-000041B10000}"/>
    <cellStyle name="Style 29 8 4 4" xfId="45373" xr:uid="{00000000-0005-0000-0000-000042B10000}"/>
    <cellStyle name="Style 29 8 4 4 2" xfId="45374" xr:uid="{00000000-0005-0000-0000-000043B10000}"/>
    <cellStyle name="Style 29 8 4 4 3" xfId="45375" xr:uid="{00000000-0005-0000-0000-000044B10000}"/>
    <cellStyle name="Style 29 8 4 5" xfId="45376" xr:uid="{00000000-0005-0000-0000-000045B10000}"/>
    <cellStyle name="Style 29 8 4 5 2" xfId="45377" xr:uid="{00000000-0005-0000-0000-000046B10000}"/>
    <cellStyle name="Style 29 8 4 5 3" xfId="45378" xr:uid="{00000000-0005-0000-0000-000047B10000}"/>
    <cellStyle name="Style 29 8 4 6" xfId="45379" xr:uid="{00000000-0005-0000-0000-000048B10000}"/>
    <cellStyle name="Style 29 8 4 7" xfId="45380" xr:uid="{00000000-0005-0000-0000-000049B10000}"/>
    <cellStyle name="Style 29 8 4 8" xfId="45381" xr:uid="{00000000-0005-0000-0000-00004AB10000}"/>
    <cellStyle name="Style 29 8 5" xfId="45382" xr:uid="{00000000-0005-0000-0000-00004BB10000}"/>
    <cellStyle name="Style 29 8 5 2" xfId="45383" xr:uid="{00000000-0005-0000-0000-00004CB10000}"/>
    <cellStyle name="Style 29 8 5 2 2" xfId="45384" xr:uid="{00000000-0005-0000-0000-00004DB10000}"/>
    <cellStyle name="Style 29 8 5 2 2 2" xfId="45385" xr:uid="{00000000-0005-0000-0000-00004EB10000}"/>
    <cellStyle name="Style 29 8 5 2 2 3" xfId="45386" xr:uid="{00000000-0005-0000-0000-00004FB10000}"/>
    <cellStyle name="Style 29 8 5 2 3" xfId="45387" xr:uid="{00000000-0005-0000-0000-000050B10000}"/>
    <cellStyle name="Style 29 8 5 2 3 2" xfId="45388" xr:uid="{00000000-0005-0000-0000-000051B10000}"/>
    <cellStyle name="Style 29 8 5 2 3 3" xfId="45389" xr:uid="{00000000-0005-0000-0000-000052B10000}"/>
    <cellStyle name="Style 29 8 5 2 4" xfId="45390" xr:uid="{00000000-0005-0000-0000-000053B10000}"/>
    <cellStyle name="Style 29 8 5 2 5" xfId="45391" xr:uid="{00000000-0005-0000-0000-000054B10000}"/>
    <cellStyle name="Style 29 8 5 2 6" xfId="45392" xr:uid="{00000000-0005-0000-0000-000055B10000}"/>
    <cellStyle name="Style 29 8 5 3" xfId="45393" xr:uid="{00000000-0005-0000-0000-000056B10000}"/>
    <cellStyle name="Style 29 8 5 3 2" xfId="45394" xr:uid="{00000000-0005-0000-0000-000057B10000}"/>
    <cellStyle name="Style 29 8 5 3 3" xfId="45395" xr:uid="{00000000-0005-0000-0000-000058B10000}"/>
    <cellStyle name="Style 29 8 5 4" xfId="45396" xr:uid="{00000000-0005-0000-0000-000059B10000}"/>
    <cellStyle name="Style 29 8 5 4 2" xfId="45397" xr:uid="{00000000-0005-0000-0000-00005AB10000}"/>
    <cellStyle name="Style 29 8 5 4 3" xfId="45398" xr:uid="{00000000-0005-0000-0000-00005BB10000}"/>
    <cellStyle name="Style 29 8 5 5" xfId="45399" xr:uid="{00000000-0005-0000-0000-00005CB10000}"/>
    <cellStyle name="Style 29 8 5 5 2" xfId="45400" xr:uid="{00000000-0005-0000-0000-00005DB10000}"/>
    <cellStyle name="Style 29 8 5 5 3" xfId="45401" xr:uid="{00000000-0005-0000-0000-00005EB10000}"/>
    <cellStyle name="Style 29 8 5 6" xfId="45402" xr:uid="{00000000-0005-0000-0000-00005FB10000}"/>
    <cellStyle name="Style 29 8 5 7" xfId="45403" xr:uid="{00000000-0005-0000-0000-000060B10000}"/>
    <cellStyle name="Style 29 8 5 8" xfId="45404" xr:uid="{00000000-0005-0000-0000-000061B10000}"/>
    <cellStyle name="Style 29 8 6" xfId="45405" xr:uid="{00000000-0005-0000-0000-000062B10000}"/>
    <cellStyle name="Style 29 8 6 2" xfId="45406" xr:uid="{00000000-0005-0000-0000-000063B10000}"/>
    <cellStyle name="Style 29 8 6 2 2" xfId="45407" xr:uid="{00000000-0005-0000-0000-000064B10000}"/>
    <cellStyle name="Style 29 8 6 2 3" xfId="45408" xr:uid="{00000000-0005-0000-0000-000065B10000}"/>
    <cellStyle name="Style 29 8 6 3" xfId="45409" xr:uid="{00000000-0005-0000-0000-000066B10000}"/>
    <cellStyle name="Style 29 8 6 3 2" xfId="45410" xr:uid="{00000000-0005-0000-0000-000067B10000}"/>
    <cellStyle name="Style 29 8 6 3 3" xfId="45411" xr:uid="{00000000-0005-0000-0000-000068B10000}"/>
    <cellStyle name="Style 29 8 6 4" xfId="45412" xr:uid="{00000000-0005-0000-0000-000069B10000}"/>
    <cellStyle name="Style 29 8 6 5" xfId="45413" xr:uid="{00000000-0005-0000-0000-00006AB10000}"/>
    <cellStyle name="Style 29 8 6 6" xfId="45414" xr:uid="{00000000-0005-0000-0000-00006BB10000}"/>
    <cellStyle name="Style 29 8 7" xfId="45415" xr:uid="{00000000-0005-0000-0000-00006CB10000}"/>
    <cellStyle name="Style 29 8 7 2" xfId="45416" xr:uid="{00000000-0005-0000-0000-00006DB10000}"/>
    <cellStyle name="Style 29 8 7 3" xfId="45417" xr:uid="{00000000-0005-0000-0000-00006EB10000}"/>
    <cellStyle name="Style 29 8 8" xfId="45418" xr:uid="{00000000-0005-0000-0000-00006FB10000}"/>
    <cellStyle name="Style 29 8 8 2" xfId="45419" xr:uid="{00000000-0005-0000-0000-000070B10000}"/>
    <cellStyle name="Style 29 8 8 3" xfId="45420" xr:uid="{00000000-0005-0000-0000-000071B10000}"/>
    <cellStyle name="Style 29 8 9" xfId="45421" xr:uid="{00000000-0005-0000-0000-000072B10000}"/>
    <cellStyle name="Style 29 8 9 2" xfId="45422" xr:uid="{00000000-0005-0000-0000-000073B10000}"/>
    <cellStyle name="Style 29 8 9 3" xfId="45423" xr:uid="{00000000-0005-0000-0000-000074B10000}"/>
    <cellStyle name="Style 29 9" xfId="45424" xr:uid="{00000000-0005-0000-0000-000075B10000}"/>
    <cellStyle name="Style 29 9 10" xfId="45425" xr:uid="{00000000-0005-0000-0000-000076B10000}"/>
    <cellStyle name="Style 29 9 11" xfId="45426" xr:uid="{00000000-0005-0000-0000-000077B10000}"/>
    <cellStyle name="Style 29 9 12" xfId="45427" xr:uid="{00000000-0005-0000-0000-000078B10000}"/>
    <cellStyle name="Style 29 9 2" xfId="45428" xr:uid="{00000000-0005-0000-0000-000079B10000}"/>
    <cellStyle name="Style 29 9 2 10" xfId="45429" xr:uid="{00000000-0005-0000-0000-00007AB10000}"/>
    <cellStyle name="Style 29 9 2 2" xfId="45430" xr:uid="{00000000-0005-0000-0000-00007BB10000}"/>
    <cellStyle name="Style 29 9 2 2 2" xfId="45431" xr:uid="{00000000-0005-0000-0000-00007CB10000}"/>
    <cellStyle name="Style 29 9 2 2 2 2" xfId="45432" xr:uid="{00000000-0005-0000-0000-00007DB10000}"/>
    <cellStyle name="Style 29 9 2 2 2 2 2" xfId="45433" xr:uid="{00000000-0005-0000-0000-00007EB10000}"/>
    <cellStyle name="Style 29 9 2 2 2 2 3" xfId="45434" xr:uid="{00000000-0005-0000-0000-00007FB10000}"/>
    <cellStyle name="Style 29 9 2 2 2 3" xfId="45435" xr:uid="{00000000-0005-0000-0000-000080B10000}"/>
    <cellStyle name="Style 29 9 2 2 2 3 2" xfId="45436" xr:uid="{00000000-0005-0000-0000-000081B10000}"/>
    <cellStyle name="Style 29 9 2 2 2 3 3" xfId="45437" xr:uid="{00000000-0005-0000-0000-000082B10000}"/>
    <cellStyle name="Style 29 9 2 2 2 4" xfId="45438" xr:uid="{00000000-0005-0000-0000-000083B10000}"/>
    <cellStyle name="Style 29 9 2 2 2 5" xfId="45439" xr:uid="{00000000-0005-0000-0000-000084B10000}"/>
    <cellStyle name="Style 29 9 2 2 2 6" xfId="45440" xr:uid="{00000000-0005-0000-0000-000085B10000}"/>
    <cellStyle name="Style 29 9 2 2 3" xfId="45441" xr:uid="{00000000-0005-0000-0000-000086B10000}"/>
    <cellStyle name="Style 29 9 2 2 3 2" xfId="45442" xr:uid="{00000000-0005-0000-0000-000087B10000}"/>
    <cellStyle name="Style 29 9 2 2 3 3" xfId="45443" xr:uid="{00000000-0005-0000-0000-000088B10000}"/>
    <cellStyle name="Style 29 9 2 2 4" xfId="45444" xr:uid="{00000000-0005-0000-0000-000089B10000}"/>
    <cellStyle name="Style 29 9 2 2 4 2" xfId="45445" xr:uid="{00000000-0005-0000-0000-00008AB10000}"/>
    <cellStyle name="Style 29 9 2 2 4 3" xfId="45446" xr:uid="{00000000-0005-0000-0000-00008BB10000}"/>
    <cellStyle name="Style 29 9 2 2 5" xfId="45447" xr:uid="{00000000-0005-0000-0000-00008CB10000}"/>
    <cellStyle name="Style 29 9 2 2 5 2" xfId="45448" xr:uid="{00000000-0005-0000-0000-00008DB10000}"/>
    <cellStyle name="Style 29 9 2 2 5 3" xfId="45449" xr:uid="{00000000-0005-0000-0000-00008EB10000}"/>
    <cellStyle name="Style 29 9 2 2 6" xfId="45450" xr:uid="{00000000-0005-0000-0000-00008FB10000}"/>
    <cellStyle name="Style 29 9 2 2 7" xfId="45451" xr:uid="{00000000-0005-0000-0000-000090B10000}"/>
    <cellStyle name="Style 29 9 2 2 8" xfId="45452" xr:uid="{00000000-0005-0000-0000-000091B10000}"/>
    <cellStyle name="Style 29 9 2 3" xfId="45453" xr:uid="{00000000-0005-0000-0000-000092B10000}"/>
    <cellStyle name="Style 29 9 2 3 2" xfId="45454" xr:uid="{00000000-0005-0000-0000-000093B10000}"/>
    <cellStyle name="Style 29 9 2 3 2 2" xfId="45455" xr:uid="{00000000-0005-0000-0000-000094B10000}"/>
    <cellStyle name="Style 29 9 2 3 2 2 2" xfId="45456" xr:uid="{00000000-0005-0000-0000-000095B10000}"/>
    <cellStyle name="Style 29 9 2 3 2 2 3" xfId="45457" xr:uid="{00000000-0005-0000-0000-000096B10000}"/>
    <cellStyle name="Style 29 9 2 3 2 3" xfId="45458" xr:uid="{00000000-0005-0000-0000-000097B10000}"/>
    <cellStyle name="Style 29 9 2 3 2 3 2" xfId="45459" xr:uid="{00000000-0005-0000-0000-000098B10000}"/>
    <cellStyle name="Style 29 9 2 3 2 3 3" xfId="45460" xr:uid="{00000000-0005-0000-0000-000099B10000}"/>
    <cellStyle name="Style 29 9 2 3 2 4" xfId="45461" xr:uid="{00000000-0005-0000-0000-00009AB10000}"/>
    <cellStyle name="Style 29 9 2 3 2 5" xfId="45462" xr:uid="{00000000-0005-0000-0000-00009BB10000}"/>
    <cellStyle name="Style 29 9 2 3 2 6" xfId="45463" xr:uid="{00000000-0005-0000-0000-00009CB10000}"/>
    <cellStyle name="Style 29 9 2 3 3" xfId="45464" xr:uid="{00000000-0005-0000-0000-00009DB10000}"/>
    <cellStyle name="Style 29 9 2 3 3 2" xfId="45465" xr:uid="{00000000-0005-0000-0000-00009EB10000}"/>
    <cellStyle name="Style 29 9 2 3 3 3" xfId="45466" xr:uid="{00000000-0005-0000-0000-00009FB10000}"/>
    <cellStyle name="Style 29 9 2 3 4" xfId="45467" xr:uid="{00000000-0005-0000-0000-0000A0B10000}"/>
    <cellStyle name="Style 29 9 2 3 4 2" xfId="45468" xr:uid="{00000000-0005-0000-0000-0000A1B10000}"/>
    <cellStyle name="Style 29 9 2 3 4 3" xfId="45469" xr:uid="{00000000-0005-0000-0000-0000A2B10000}"/>
    <cellStyle name="Style 29 9 2 3 5" xfId="45470" xr:uid="{00000000-0005-0000-0000-0000A3B10000}"/>
    <cellStyle name="Style 29 9 2 3 5 2" xfId="45471" xr:uid="{00000000-0005-0000-0000-0000A4B10000}"/>
    <cellStyle name="Style 29 9 2 3 5 3" xfId="45472" xr:uid="{00000000-0005-0000-0000-0000A5B10000}"/>
    <cellStyle name="Style 29 9 2 3 6" xfId="45473" xr:uid="{00000000-0005-0000-0000-0000A6B10000}"/>
    <cellStyle name="Style 29 9 2 3 7" xfId="45474" xr:uid="{00000000-0005-0000-0000-0000A7B10000}"/>
    <cellStyle name="Style 29 9 2 3 8" xfId="45475" xr:uid="{00000000-0005-0000-0000-0000A8B10000}"/>
    <cellStyle name="Style 29 9 2 4" xfId="45476" xr:uid="{00000000-0005-0000-0000-0000A9B10000}"/>
    <cellStyle name="Style 29 9 2 4 2" xfId="45477" xr:uid="{00000000-0005-0000-0000-0000AAB10000}"/>
    <cellStyle name="Style 29 9 2 4 2 2" xfId="45478" xr:uid="{00000000-0005-0000-0000-0000ABB10000}"/>
    <cellStyle name="Style 29 9 2 4 2 3" xfId="45479" xr:uid="{00000000-0005-0000-0000-0000ACB10000}"/>
    <cellStyle name="Style 29 9 2 4 3" xfId="45480" xr:uid="{00000000-0005-0000-0000-0000ADB10000}"/>
    <cellStyle name="Style 29 9 2 4 3 2" xfId="45481" xr:uid="{00000000-0005-0000-0000-0000AEB10000}"/>
    <cellStyle name="Style 29 9 2 4 3 3" xfId="45482" xr:uid="{00000000-0005-0000-0000-0000AFB10000}"/>
    <cellStyle name="Style 29 9 2 4 4" xfId="45483" xr:uid="{00000000-0005-0000-0000-0000B0B10000}"/>
    <cellStyle name="Style 29 9 2 4 5" xfId="45484" xr:uid="{00000000-0005-0000-0000-0000B1B10000}"/>
    <cellStyle name="Style 29 9 2 4 6" xfId="45485" xr:uid="{00000000-0005-0000-0000-0000B2B10000}"/>
    <cellStyle name="Style 29 9 2 5" xfId="45486" xr:uid="{00000000-0005-0000-0000-0000B3B10000}"/>
    <cellStyle name="Style 29 9 2 5 2" xfId="45487" xr:uid="{00000000-0005-0000-0000-0000B4B10000}"/>
    <cellStyle name="Style 29 9 2 5 3" xfId="45488" xr:uid="{00000000-0005-0000-0000-0000B5B10000}"/>
    <cellStyle name="Style 29 9 2 6" xfId="45489" xr:uid="{00000000-0005-0000-0000-0000B6B10000}"/>
    <cellStyle name="Style 29 9 2 6 2" xfId="45490" xr:uid="{00000000-0005-0000-0000-0000B7B10000}"/>
    <cellStyle name="Style 29 9 2 6 3" xfId="45491" xr:uid="{00000000-0005-0000-0000-0000B8B10000}"/>
    <cellStyle name="Style 29 9 2 7" xfId="45492" xr:uid="{00000000-0005-0000-0000-0000B9B10000}"/>
    <cellStyle name="Style 29 9 2 7 2" xfId="45493" xr:uid="{00000000-0005-0000-0000-0000BAB10000}"/>
    <cellStyle name="Style 29 9 2 7 3" xfId="45494" xr:uid="{00000000-0005-0000-0000-0000BBB10000}"/>
    <cellStyle name="Style 29 9 2 8" xfId="45495" xr:uid="{00000000-0005-0000-0000-0000BCB10000}"/>
    <cellStyle name="Style 29 9 2 9" xfId="45496" xr:uid="{00000000-0005-0000-0000-0000BDB10000}"/>
    <cellStyle name="Style 29 9 3" xfId="45497" xr:uid="{00000000-0005-0000-0000-0000BEB10000}"/>
    <cellStyle name="Style 29 9 3 2" xfId="45498" xr:uid="{00000000-0005-0000-0000-0000BFB10000}"/>
    <cellStyle name="Style 29 9 3 2 2" xfId="45499" xr:uid="{00000000-0005-0000-0000-0000C0B10000}"/>
    <cellStyle name="Style 29 9 3 2 2 2" xfId="45500" xr:uid="{00000000-0005-0000-0000-0000C1B10000}"/>
    <cellStyle name="Style 29 9 3 2 2 3" xfId="45501" xr:uid="{00000000-0005-0000-0000-0000C2B10000}"/>
    <cellStyle name="Style 29 9 3 2 3" xfId="45502" xr:uid="{00000000-0005-0000-0000-0000C3B10000}"/>
    <cellStyle name="Style 29 9 3 2 3 2" xfId="45503" xr:uid="{00000000-0005-0000-0000-0000C4B10000}"/>
    <cellStyle name="Style 29 9 3 2 3 3" xfId="45504" xr:uid="{00000000-0005-0000-0000-0000C5B10000}"/>
    <cellStyle name="Style 29 9 3 2 4" xfId="45505" xr:uid="{00000000-0005-0000-0000-0000C6B10000}"/>
    <cellStyle name="Style 29 9 3 2 5" xfId="45506" xr:uid="{00000000-0005-0000-0000-0000C7B10000}"/>
    <cellStyle name="Style 29 9 3 2 6" xfId="45507" xr:uid="{00000000-0005-0000-0000-0000C8B10000}"/>
    <cellStyle name="Style 29 9 3 3" xfId="45508" xr:uid="{00000000-0005-0000-0000-0000C9B10000}"/>
    <cellStyle name="Style 29 9 3 3 2" xfId="45509" xr:uid="{00000000-0005-0000-0000-0000CAB10000}"/>
    <cellStyle name="Style 29 9 3 3 3" xfId="45510" xr:uid="{00000000-0005-0000-0000-0000CBB10000}"/>
    <cellStyle name="Style 29 9 3 4" xfId="45511" xr:uid="{00000000-0005-0000-0000-0000CCB10000}"/>
    <cellStyle name="Style 29 9 3 4 2" xfId="45512" xr:uid="{00000000-0005-0000-0000-0000CDB10000}"/>
    <cellStyle name="Style 29 9 3 4 3" xfId="45513" xr:uid="{00000000-0005-0000-0000-0000CEB10000}"/>
    <cellStyle name="Style 29 9 3 5" xfId="45514" xr:uid="{00000000-0005-0000-0000-0000CFB10000}"/>
    <cellStyle name="Style 29 9 3 5 2" xfId="45515" xr:uid="{00000000-0005-0000-0000-0000D0B10000}"/>
    <cellStyle name="Style 29 9 3 5 3" xfId="45516" xr:uid="{00000000-0005-0000-0000-0000D1B10000}"/>
    <cellStyle name="Style 29 9 3 6" xfId="45517" xr:uid="{00000000-0005-0000-0000-0000D2B10000}"/>
    <cellStyle name="Style 29 9 3 7" xfId="45518" xr:uid="{00000000-0005-0000-0000-0000D3B10000}"/>
    <cellStyle name="Style 29 9 3 8" xfId="45519" xr:uid="{00000000-0005-0000-0000-0000D4B10000}"/>
    <cellStyle name="Style 29 9 4" xfId="45520" xr:uid="{00000000-0005-0000-0000-0000D5B10000}"/>
    <cellStyle name="Style 29 9 4 2" xfId="45521" xr:uid="{00000000-0005-0000-0000-0000D6B10000}"/>
    <cellStyle name="Style 29 9 4 2 2" xfId="45522" xr:uid="{00000000-0005-0000-0000-0000D7B10000}"/>
    <cellStyle name="Style 29 9 4 2 2 2" xfId="45523" xr:uid="{00000000-0005-0000-0000-0000D8B10000}"/>
    <cellStyle name="Style 29 9 4 2 2 3" xfId="45524" xr:uid="{00000000-0005-0000-0000-0000D9B10000}"/>
    <cellStyle name="Style 29 9 4 2 3" xfId="45525" xr:uid="{00000000-0005-0000-0000-0000DAB10000}"/>
    <cellStyle name="Style 29 9 4 2 3 2" xfId="45526" xr:uid="{00000000-0005-0000-0000-0000DBB10000}"/>
    <cellStyle name="Style 29 9 4 2 3 3" xfId="45527" xr:uid="{00000000-0005-0000-0000-0000DCB10000}"/>
    <cellStyle name="Style 29 9 4 2 4" xfId="45528" xr:uid="{00000000-0005-0000-0000-0000DDB10000}"/>
    <cellStyle name="Style 29 9 4 2 5" xfId="45529" xr:uid="{00000000-0005-0000-0000-0000DEB10000}"/>
    <cellStyle name="Style 29 9 4 2 6" xfId="45530" xr:uid="{00000000-0005-0000-0000-0000DFB10000}"/>
    <cellStyle name="Style 29 9 4 3" xfId="45531" xr:uid="{00000000-0005-0000-0000-0000E0B10000}"/>
    <cellStyle name="Style 29 9 4 3 2" xfId="45532" xr:uid="{00000000-0005-0000-0000-0000E1B10000}"/>
    <cellStyle name="Style 29 9 4 3 3" xfId="45533" xr:uid="{00000000-0005-0000-0000-0000E2B10000}"/>
    <cellStyle name="Style 29 9 4 4" xfId="45534" xr:uid="{00000000-0005-0000-0000-0000E3B10000}"/>
    <cellStyle name="Style 29 9 4 4 2" xfId="45535" xr:uid="{00000000-0005-0000-0000-0000E4B10000}"/>
    <cellStyle name="Style 29 9 4 4 3" xfId="45536" xr:uid="{00000000-0005-0000-0000-0000E5B10000}"/>
    <cellStyle name="Style 29 9 4 5" xfId="45537" xr:uid="{00000000-0005-0000-0000-0000E6B10000}"/>
    <cellStyle name="Style 29 9 4 5 2" xfId="45538" xr:uid="{00000000-0005-0000-0000-0000E7B10000}"/>
    <cellStyle name="Style 29 9 4 5 3" xfId="45539" xr:uid="{00000000-0005-0000-0000-0000E8B10000}"/>
    <cellStyle name="Style 29 9 4 6" xfId="45540" xr:uid="{00000000-0005-0000-0000-0000E9B10000}"/>
    <cellStyle name="Style 29 9 4 7" xfId="45541" xr:uid="{00000000-0005-0000-0000-0000EAB10000}"/>
    <cellStyle name="Style 29 9 4 8" xfId="45542" xr:uid="{00000000-0005-0000-0000-0000EBB10000}"/>
    <cellStyle name="Style 29 9 5" xfId="45543" xr:uid="{00000000-0005-0000-0000-0000ECB10000}"/>
    <cellStyle name="Style 29 9 5 2" xfId="45544" xr:uid="{00000000-0005-0000-0000-0000EDB10000}"/>
    <cellStyle name="Style 29 9 5 2 2" xfId="45545" xr:uid="{00000000-0005-0000-0000-0000EEB10000}"/>
    <cellStyle name="Style 29 9 5 2 2 2" xfId="45546" xr:uid="{00000000-0005-0000-0000-0000EFB10000}"/>
    <cellStyle name="Style 29 9 5 2 2 3" xfId="45547" xr:uid="{00000000-0005-0000-0000-0000F0B10000}"/>
    <cellStyle name="Style 29 9 5 2 3" xfId="45548" xr:uid="{00000000-0005-0000-0000-0000F1B10000}"/>
    <cellStyle name="Style 29 9 5 2 3 2" xfId="45549" xr:uid="{00000000-0005-0000-0000-0000F2B10000}"/>
    <cellStyle name="Style 29 9 5 2 3 3" xfId="45550" xr:uid="{00000000-0005-0000-0000-0000F3B10000}"/>
    <cellStyle name="Style 29 9 5 2 4" xfId="45551" xr:uid="{00000000-0005-0000-0000-0000F4B10000}"/>
    <cellStyle name="Style 29 9 5 2 5" xfId="45552" xr:uid="{00000000-0005-0000-0000-0000F5B10000}"/>
    <cellStyle name="Style 29 9 5 2 6" xfId="45553" xr:uid="{00000000-0005-0000-0000-0000F6B10000}"/>
    <cellStyle name="Style 29 9 5 3" xfId="45554" xr:uid="{00000000-0005-0000-0000-0000F7B10000}"/>
    <cellStyle name="Style 29 9 5 3 2" xfId="45555" xr:uid="{00000000-0005-0000-0000-0000F8B10000}"/>
    <cellStyle name="Style 29 9 5 3 3" xfId="45556" xr:uid="{00000000-0005-0000-0000-0000F9B10000}"/>
    <cellStyle name="Style 29 9 5 4" xfId="45557" xr:uid="{00000000-0005-0000-0000-0000FAB10000}"/>
    <cellStyle name="Style 29 9 5 4 2" xfId="45558" xr:uid="{00000000-0005-0000-0000-0000FBB10000}"/>
    <cellStyle name="Style 29 9 5 4 3" xfId="45559" xr:uid="{00000000-0005-0000-0000-0000FCB10000}"/>
    <cellStyle name="Style 29 9 5 5" xfId="45560" xr:uid="{00000000-0005-0000-0000-0000FDB10000}"/>
    <cellStyle name="Style 29 9 5 5 2" xfId="45561" xr:uid="{00000000-0005-0000-0000-0000FEB10000}"/>
    <cellStyle name="Style 29 9 5 5 3" xfId="45562" xr:uid="{00000000-0005-0000-0000-0000FFB10000}"/>
    <cellStyle name="Style 29 9 5 6" xfId="45563" xr:uid="{00000000-0005-0000-0000-000000B20000}"/>
    <cellStyle name="Style 29 9 5 7" xfId="45564" xr:uid="{00000000-0005-0000-0000-000001B20000}"/>
    <cellStyle name="Style 29 9 5 8" xfId="45565" xr:uid="{00000000-0005-0000-0000-000002B20000}"/>
    <cellStyle name="Style 29 9 6" xfId="45566" xr:uid="{00000000-0005-0000-0000-000003B20000}"/>
    <cellStyle name="Style 29 9 6 2" xfId="45567" xr:uid="{00000000-0005-0000-0000-000004B20000}"/>
    <cellStyle name="Style 29 9 6 2 2" xfId="45568" xr:uid="{00000000-0005-0000-0000-000005B20000}"/>
    <cellStyle name="Style 29 9 6 2 3" xfId="45569" xr:uid="{00000000-0005-0000-0000-000006B20000}"/>
    <cellStyle name="Style 29 9 6 3" xfId="45570" xr:uid="{00000000-0005-0000-0000-000007B20000}"/>
    <cellStyle name="Style 29 9 6 3 2" xfId="45571" xr:uid="{00000000-0005-0000-0000-000008B20000}"/>
    <cellStyle name="Style 29 9 6 3 3" xfId="45572" xr:uid="{00000000-0005-0000-0000-000009B20000}"/>
    <cellStyle name="Style 29 9 6 4" xfId="45573" xr:uid="{00000000-0005-0000-0000-00000AB20000}"/>
    <cellStyle name="Style 29 9 6 5" xfId="45574" xr:uid="{00000000-0005-0000-0000-00000BB20000}"/>
    <cellStyle name="Style 29 9 6 6" xfId="45575" xr:uid="{00000000-0005-0000-0000-00000CB20000}"/>
    <cellStyle name="Style 29 9 7" xfId="45576" xr:uid="{00000000-0005-0000-0000-00000DB20000}"/>
    <cellStyle name="Style 29 9 7 2" xfId="45577" xr:uid="{00000000-0005-0000-0000-00000EB20000}"/>
    <cellStyle name="Style 29 9 7 3" xfId="45578" xr:uid="{00000000-0005-0000-0000-00000FB20000}"/>
    <cellStyle name="Style 29 9 8" xfId="45579" xr:uid="{00000000-0005-0000-0000-000010B20000}"/>
    <cellStyle name="Style 29 9 8 2" xfId="45580" xr:uid="{00000000-0005-0000-0000-000011B20000}"/>
    <cellStyle name="Style 29 9 8 3" xfId="45581" xr:uid="{00000000-0005-0000-0000-000012B20000}"/>
    <cellStyle name="Style 29 9 9" xfId="45582" xr:uid="{00000000-0005-0000-0000-000013B20000}"/>
    <cellStyle name="Style 29 9 9 2" xfId="45583" xr:uid="{00000000-0005-0000-0000-000014B20000}"/>
    <cellStyle name="Style 29 9 9 3" xfId="45584" xr:uid="{00000000-0005-0000-0000-000015B20000}"/>
    <cellStyle name="Style 30" xfId="45585" xr:uid="{00000000-0005-0000-0000-000016B20000}"/>
    <cellStyle name="Style 30 10" xfId="45586" xr:uid="{00000000-0005-0000-0000-000017B20000}"/>
    <cellStyle name="Style 30 10 10" xfId="45587" xr:uid="{00000000-0005-0000-0000-000018B20000}"/>
    <cellStyle name="Style 30 10 11" xfId="45588" xr:uid="{00000000-0005-0000-0000-000019B20000}"/>
    <cellStyle name="Style 30 10 12" xfId="45589" xr:uid="{00000000-0005-0000-0000-00001AB20000}"/>
    <cellStyle name="Style 30 10 2" xfId="45590" xr:uid="{00000000-0005-0000-0000-00001BB20000}"/>
    <cellStyle name="Style 30 10 2 10" xfId="45591" xr:uid="{00000000-0005-0000-0000-00001CB20000}"/>
    <cellStyle name="Style 30 10 2 2" xfId="45592" xr:uid="{00000000-0005-0000-0000-00001DB20000}"/>
    <cellStyle name="Style 30 10 2 2 2" xfId="45593" xr:uid="{00000000-0005-0000-0000-00001EB20000}"/>
    <cellStyle name="Style 30 10 2 2 2 2" xfId="45594" xr:uid="{00000000-0005-0000-0000-00001FB20000}"/>
    <cellStyle name="Style 30 10 2 2 2 2 2" xfId="45595" xr:uid="{00000000-0005-0000-0000-000020B20000}"/>
    <cellStyle name="Style 30 10 2 2 2 2 3" xfId="45596" xr:uid="{00000000-0005-0000-0000-000021B20000}"/>
    <cellStyle name="Style 30 10 2 2 2 3" xfId="45597" xr:uid="{00000000-0005-0000-0000-000022B20000}"/>
    <cellStyle name="Style 30 10 2 2 2 3 2" xfId="45598" xr:uid="{00000000-0005-0000-0000-000023B20000}"/>
    <cellStyle name="Style 30 10 2 2 2 3 3" xfId="45599" xr:uid="{00000000-0005-0000-0000-000024B20000}"/>
    <cellStyle name="Style 30 10 2 2 2 4" xfId="45600" xr:uid="{00000000-0005-0000-0000-000025B20000}"/>
    <cellStyle name="Style 30 10 2 2 2 5" xfId="45601" xr:uid="{00000000-0005-0000-0000-000026B20000}"/>
    <cellStyle name="Style 30 10 2 2 2 6" xfId="45602" xr:uid="{00000000-0005-0000-0000-000027B20000}"/>
    <cellStyle name="Style 30 10 2 2 3" xfId="45603" xr:uid="{00000000-0005-0000-0000-000028B20000}"/>
    <cellStyle name="Style 30 10 2 2 3 2" xfId="45604" xr:uid="{00000000-0005-0000-0000-000029B20000}"/>
    <cellStyle name="Style 30 10 2 2 3 3" xfId="45605" xr:uid="{00000000-0005-0000-0000-00002AB20000}"/>
    <cellStyle name="Style 30 10 2 2 4" xfId="45606" xr:uid="{00000000-0005-0000-0000-00002BB20000}"/>
    <cellStyle name="Style 30 10 2 2 4 2" xfId="45607" xr:uid="{00000000-0005-0000-0000-00002CB20000}"/>
    <cellStyle name="Style 30 10 2 2 4 3" xfId="45608" xr:uid="{00000000-0005-0000-0000-00002DB20000}"/>
    <cellStyle name="Style 30 10 2 2 5" xfId="45609" xr:uid="{00000000-0005-0000-0000-00002EB20000}"/>
    <cellStyle name="Style 30 10 2 2 5 2" xfId="45610" xr:uid="{00000000-0005-0000-0000-00002FB20000}"/>
    <cellStyle name="Style 30 10 2 2 5 3" xfId="45611" xr:uid="{00000000-0005-0000-0000-000030B20000}"/>
    <cellStyle name="Style 30 10 2 2 6" xfId="45612" xr:uid="{00000000-0005-0000-0000-000031B20000}"/>
    <cellStyle name="Style 30 10 2 2 7" xfId="45613" xr:uid="{00000000-0005-0000-0000-000032B20000}"/>
    <cellStyle name="Style 30 10 2 2 8" xfId="45614" xr:uid="{00000000-0005-0000-0000-000033B20000}"/>
    <cellStyle name="Style 30 10 2 3" xfId="45615" xr:uid="{00000000-0005-0000-0000-000034B20000}"/>
    <cellStyle name="Style 30 10 2 3 2" xfId="45616" xr:uid="{00000000-0005-0000-0000-000035B20000}"/>
    <cellStyle name="Style 30 10 2 3 2 2" xfId="45617" xr:uid="{00000000-0005-0000-0000-000036B20000}"/>
    <cellStyle name="Style 30 10 2 3 2 2 2" xfId="45618" xr:uid="{00000000-0005-0000-0000-000037B20000}"/>
    <cellStyle name="Style 30 10 2 3 2 2 3" xfId="45619" xr:uid="{00000000-0005-0000-0000-000038B20000}"/>
    <cellStyle name="Style 30 10 2 3 2 3" xfId="45620" xr:uid="{00000000-0005-0000-0000-000039B20000}"/>
    <cellStyle name="Style 30 10 2 3 2 3 2" xfId="45621" xr:uid="{00000000-0005-0000-0000-00003AB20000}"/>
    <cellStyle name="Style 30 10 2 3 2 3 3" xfId="45622" xr:uid="{00000000-0005-0000-0000-00003BB20000}"/>
    <cellStyle name="Style 30 10 2 3 2 4" xfId="45623" xr:uid="{00000000-0005-0000-0000-00003CB20000}"/>
    <cellStyle name="Style 30 10 2 3 2 5" xfId="45624" xr:uid="{00000000-0005-0000-0000-00003DB20000}"/>
    <cellStyle name="Style 30 10 2 3 2 6" xfId="45625" xr:uid="{00000000-0005-0000-0000-00003EB20000}"/>
    <cellStyle name="Style 30 10 2 3 3" xfId="45626" xr:uid="{00000000-0005-0000-0000-00003FB20000}"/>
    <cellStyle name="Style 30 10 2 3 3 2" xfId="45627" xr:uid="{00000000-0005-0000-0000-000040B20000}"/>
    <cellStyle name="Style 30 10 2 3 3 3" xfId="45628" xr:uid="{00000000-0005-0000-0000-000041B20000}"/>
    <cellStyle name="Style 30 10 2 3 4" xfId="45629" xr:uid="{00000000-0005-0000-0000-000042B20000}"/>
    <cellStyle name="Style 30 10 2 3 4 2" xfId="45630" xr:uid="{00000000-0005-0000-0000-000043B20000}"/>
    <cellStyle name="Style 30 10 2 3 4 3" xfId="45631" xr:uid="{00000000-0005-0000-0000-000044B20000}"/>
    <cellStyle name="Style 30 10 2 3 5" xfId="45632" xr:uid="{00000000-0005-0000-0000-000045B20000}"/>
    <cellStyle name="Style 30 10 2 3 5 2" xfId="45633" xr:uid="{00000000-0005-0000-0000-000046B20000}"/>
    <cellStyle name="Style 30 10 2 3 5 3" xfId="45634" xr:uid="{00000000-0005-0000-0000-000047B20000}"/>
    <cellStyle name="Style 30 10 2 3 6" xfId="45635" xr:uid="{00000000-0005-0000-0000-000048B20000}"/>
    <cellStyle name="Style 30 10 2 3 7" xfId="45636" xr:uid="{00000000-0005-0000-0000-000049B20000}"/>
    <cellStyle name="Style 30 10 2 3 8" xfId="45637" xr:uid="{00000000-0005-0000-0000-00004AB20000}"/>
    <cellStyle name="Style 30 10 2 4" xfId="45638" xr:uid="{00000000-0005-0000-0000-00004BB20000}"/>
    <cellStyle name="Style 30 10 2 4 2" xfId="45639" xr:uid="{00000000-0005-0000-0000-00004CB20000}"/>
    <cellStyle name="Style 30 10 2 4 2 2" xfId="45640" xr:uid="{00000000-0005-0000-0000-00004DB20000}"/>
    <cellStyle name="Style 30 10 2 4 2 3" xfId="45641" xr:uid="{00000000-0005-0000-0000-00004EB20000}"/>
    <cellStyle name="Style 30 10 2 4 3" xfId="45642" xr:uid="{00000000-0005-0000-0000-00004FB20000}"/>
    <cellStyle name="Style 30 10 2 4 3 2" xfId="45643" xr:uid="{00000000-0005-0000-0000-000050B20000}"/>
    <cellStyle name="Style 30 10 2 4 3 3" xfId="45644" xr:uid="{00000000-0005-0000-0000-000051B20000}"/>
    <cellStyle name="Style 30 10 2 4 4" xfId="45645" xr:uid="{00000000-0005-0000-0000-000052B20000}"/>
    <cellStyle name="Style 30 10 2 4 5" xfId="45646" xr:uid="{00000000-0005-0000-0000-000053B20000}"/>
    <cellStyle name="Style 30 10 2 4 6" xfId="45647" xr:uid="{00000000-0005-0000-0000-000054B20000}"/>
    <cellStyle name="Style 30 10 2 5" xfId="45648" xr:uid="{00000000-0005-0000-0000-000055B20000}"/>
    <cellStyle name="Style 30 10 2 5 2" xfId="45649" xr:uid="{00000000-0005-0000-0000-000056B20000}"/>
    <cellStyle name="Style 30 10 2 5 3" xfId="45650" xr:uid="{00000000-0005-0000-0000-000057B20000}"/>
    <cellStyle name="Style 30 10 2 6" xfId="45651" xr:uid="{00000000-0005-0000-0000-000058B20000}"/>
    <cellStyle name="Style 30 10 2 6 2" xfId="45652" xr:uid="{00000000-0005-0000-0000-000059B20000}"/>
    <cellStyle name="Style 30 10 2 6 3" xfId="45653" xr:uid="{00000000-0005-0000-0000-00005AB20000}"/>
    <cellStyle name="Style 30 10 2 7" xfId="45654" xr:uid="{00000000-0005-0000-0000-00005BB20000}"/>
    <cellStyle name="Style 30 10 2 7 2" xfId="45655" xr:uid="{00000000-0005-0000-0000-00005CB20000}"/>
    <cellStyle name="Style 30 10 2 7 3" xfId="45656" xr:uid="{00000000-0005-0000-0000-00005DB20000}"/>
    <cellStyle name="Style 30 10 2 8" xfId="45657" xr:uid="{00000000-0005-0000-0000-00005EB20000}"/>
    <cellStyle name="Style 30 10 2 9" xfId="45658" xr:uid="{00000000-0005-0000-0000-00005FB20000}"/>
    <cellStyle name="Style 30 10 3" xfId="45659" xr:uid="{00000000-0005-0000-0000-000060B20000}"/>
    <cellStyle name="Style 30 10 3 2" xfId="45660" xr:uid="{00000000-0005-0000-0000-000061B20000}"/>
    <cellStyle name="Style 30 10 3 2 2" xfId="45661" xr:uid="{00000000-0005-0000-0000-000062B20000}"/>
    <cellStyle name="Style 30 10 3 2 2 2" xfId="45662" xr:uid="{00000000-0005-0000-0000-000063B20000}"/>
    <cellStyle name="Style 30 10 3 2 2 3" xfId="45663" xr:uid="{00000000-0005-0000-0000-000064B20000}"/>
    <cellStyle name="Style 30 10 3 2 3" xfId="45664" xr:uid="{00000000-0005-0000-0000-000065B20000}"/>
    <cellStyle name="Style 30 10 3 2 3 2" xfId="45665" xr:uid="{00000000-0005-0000-0000-000066B20000}"/>
    <cellStyle name="Style 30 10 3 2 3 3" xfId="45666" xr:uid="{00000000-0005-0000-0000-000067B20000}"/>
    <cellStyle name="Style 30 10 3 2 4" xfId="45667" xr:uid="{00000000-0005-0000-0000-000068B20000}"/>
    <cellStyle name="Style 30 10 3 2 5" xfId="45668" xr:uid="{00000000-0005-0000-0000-000069B20000}"/>
    <cellStyle name="Style 30 10 3 2 6" xfId="45669" xr:uid="{00000000-0005-0000-0000-00006AB20000}"/>
    <cellStyle name="Style 30 10 3 3" xfId="45670" xr:uid="{00000000-0005-0000-0000-00006BB20000}"/>
    <cellStyle name="Style 30 10 3 3 2" xfId="45671" xr:uid="{00000000-0005-0000-0000-00006CB20000}"/>
    <cellStyle name="Style 30 10 3 3 3" xfId="45672" xr:uid="{00000000-0005-0000-0000-00006DB20000}"/>
    <cellStyle name="Style 30 10 3 4" xfId="45673" xr:uid="{00000000-0005-0000-0000-00006EB20000}"/>
    <cellStyle name="Style 30 10 3 4 2" xfId="45674" xr:uid="{00000000-0005-0000-0000-00006FB20000}"/>
    <cellStyle name="Style 30 10 3 4 3" xfId="45675" xr:uid="{00000000-0005-0000-0000-000070B20000}"/>
    <cellStyle name="Style 30 10 3 5" xfId="45676" xr:uid="{00000000-0005-0000-0000-000071B20000}"/>
    <cellStyle name="Style 30 10 3 5 2" xfId="45677" xr:uid="{00000000-0005-0000-0000-000072B20000}"/>
    <cellStyle name="Style 30 10 3 5 3" xfId="45678" xr:uid="{00000000-0005-0000-0000-000073B20000}"/>
    <cellStyle name="Style 30 10 3 6" xfId="45679" xr:uid="{00000000-0005-0000-0000-000074B20000}"/>
    <cellStyle name="Style 30 10 3 7" xfId="45680" xr:uid="{00000000-0005-0000-0000-000075B20000}"/>
    <cellStyle name="Style 30 10 3 8" xfId="45681" xr:uid="{00000000-0005-0000-0000-000076B20000}"/>
    <cellStyle name="Style 30 10 4" xfId="45682" xr:uid="{00000000-0005-0000-0000-000077B20000}"/>
    <cellStyle name="Style 30 10 4 2" xfId="45683" xr:uid="{00000000-0005-0000-0000-000078B20000}"/>
    <cellStyle name="Style 30 10 4 2 2" xfId="45684" xr:uid="{00000000-0005-0000-0000-000079B20000}"/>
    <cellStyle name="Style 30 10 4 2 2 2" xfId="45685" xr:uid="{00000000-0005-0000-0000-00007AB20000}"/>
    <cellStyle name="Style 30 10 4 2 2 3" xfId="45686" xr:uid="{00000000-0005-0000-0000-00007BB20000}"/>
    <cellStyle name="Style 30 10 4 2 3" xfId="45687" xr:uid="{00000000-0005-0000-0000-00007CB20000}"/>
    <cellStyle name="Style 30 10 4 2 3 2" xfId="45688" xr:uid="{00000000-0005-0000-0000-00007DB20000}"/>
    <cellStyle name="Style 30 10 4 2 3 3" xfId="45689" xr:uid="{00000000-0005-0000-0000-00007EB20000}"/>
    <cellStyle name="Style 30 10 4 2 4" xfId="45690" xr:uid="{00000000-0005-0000-0000-00007FB20000}"/>
    <cellStyle name="Style 30 10 4 2 5" xfId="45691" xr:uid="{00000000-0005-0000-0000-000080B20000}"/>
    <cellStyle name="Style 30 10 4 2 6" xfId="45692" xr:uid="{00000000-0005-0000-0000-000081B20000}"/>
    <cellStyle name="Style 30 10 4 3" xfId="45693" xr:uid="{00000000-0005-0000-0000-000082B20000}"/>
    <cellStyle name="Style 30 10 4 3 2" xfId="45694" xr:uid="{00000000-0005-0000-0000-000083B20000}"/>
    <cellStyle name="Style 30 10 4 3 3" xfId="45695" xr:uid="{00000000-0005-0000-0000-000084B20000}"/>
    <cellStyle name="Style 30 10 4 4" xfId="45696" xr:uid="{00000000-0005-0000-0000-000085B20000}"/>
    <cellStyle name="Style 30 10 4 4 2" xfId="45697" xr:uid="{00000000-0005-0000-0000-000086B20000}"/>
    <cellStyle name="Style 30 10 4 4 3" xfId="45698" xr:uid="{00000000-0005-0000-0000-000087B20000}"/>
    <cellStyle name="Style 30 10 4 5" xfId="45699" xr:uid="{00000000-0005-0000-0000-000088B20000}"/>
    <cellStyle name="Style 30 10 4 5 2" xfId="45700" xr:uid="{00000000-0005-0000-0000-000089B20000}"/>
    <cellStyle name="Style 30 10 4 5 3" xfId="45701" xr:uid="{00000000-0005-0000-0000-00008AB20000}"/>
    <cellStyle name="Style 30 10 4 6" xfId="45702" xr:uid="{00000000-0005-0000-0000-00008BB20000}"/>
    <cellStyle name="Style 30 10 4 7" xfId="45703" xr:uid="{00000000-0005-0000-0000-00008CB20000}"/>
    <cellStyle name="Style 30 10 4 8" xfId="45704" xr:uid="{00000000-0005-0000-0000-00008DB20000}"/>
    <cellStyle name="Style 30 10 5" xfId="45705" xr:uid="{00000000-0005-0000-0000-00008EB20000}"/>
    <cellStyle name="Style 30 10 5 2" xfId="45706" xr:uid="{00000000-0005-0000-0000-00008FB20000}"/>
    <cellStyle name="Style 30 10 5 2 2" xfId="45707" xr:uid="{00000000-0005-0000-0000-000090B20000}"/>
    <cellStyle name="Style 30 10 5 2 2 2" xfId="45708" xr:uid="{00000000-0005-0000-0000-000091B20000}"/>
    <cellStyle name="Style 30 10 5 2 2 3" xfId="45709" xr:uid="{00000000-0005-0000-0000-000092B20000}"/>
    <cellStyle name="Style 30 10 5 2 3" xfId="45710" xr:uid="{00000000-0005-0000-0000-000093B20000}"/>
    <cellStyle name="Style 30 10 5 2 3 2" xfId="45711" xr:uid="{00000000-0005-0000-0000-000094B20000}"/>
    <cellStyle name="Style 30 10 5 2 3 3" xfId="45712" xr:uid="{00000000-0005-0000-0000-000095B20000}"/>
    <cellStyle name="Style 30 10 5 2 4" xfId="45713" xr:uid="{00000000-0005-0000-0000-000096B20000}"/>
    <cellStyle name="Style 30 10 5 2 5" xfId="45714" xr:uid="{00000000-0005-0000-0000-000097B20000}"/>
    <cellStyle name="Style 30 10 5 2 6" xfId="45715" xr:uid="{00000000-0005-0000-0000-000098B20000}"/>
    <cellStyle name="Style 30 10 5 3" xfId="45716" xr:uid="{00000000-0005-0000-0000-000099B20000}"/>
    <cellStyle name="Style 30 10 5 3 2" xfId="45717" xr:uid="{00000000-0005-0000-0000-00009AB20000}"/>
    <cellStyle name="Style 30 10 5 3 3" xfId="45718" xr:uid="{00000000-0005-0000-0000-00009BB20000}"/>
    <cellStyle name="Style 30 10 5 4" xfId="45719" xr:uid="{00000000-0005-0000-0000-00009CB20000}"/>
    <cellStyle name="Style 30 10 5 4 2" xfId="45720" xr:uid="{00000000-0005-0000-0000-00009DB20000}"/>
    <cellStyle name="Style 30 10 5 4 3" xfId="45721" xr:uid="{00000000-0005-0000-0000-00009EB20000}"/>
    <cellStyle name="Style 30 10 5 5" xfId="45722" xr:uid="{00000000-0005-0000-0000-00009FB20000}"/>
    <cellStyle name="Style 30 10 5 5 2" xfId="45723" xr:uid="{00000000-0005-0000-0000-0000A0B20000}"/>
    <cellStyle name="Style 30 10 5 5 3" xfId="45724" xr:uid="{00000000-0005-0000-0000-0000A1B20000}"/>
    <cellStyle name="Style 30 10 5 6" xfId="45725" xr:uid="{00000000-0005-0000-0000-0000A2B20000}"/>
    <cellStyle name="Style 30 10 5 7" xfId="45726" xr:uid="{00000000-0005-0000-0000-0000A3B20000}"/>
    <cellStyle name="Style 30 10 5 8" xfId="45727" xr:uid="{00000000-0005-0000-0000-0000A4B20000}"/>
    <cellStyle name="Style 30 10 6" xfId="45728" xr:uid="{00000000-0005-0000-0000-0000A5B20000}"/>
    <cellStyle name="Style 30 10 6 2" xfId="45729" xr:uid="{00000000-0005-0000-0000-0000A6B20000}"/>
    <cellStyle name="Style 30 10 6 2 2" xfId="45730" xr:uid="{00000000-0005-0000-0000-0000A7B20000}"/>
    <cellStyle name="Style 30 10 6 2 3" xfId="45731" xr:uid="{00000000-0005-0000-0000-0000A8B20000}"/>
    <cellStyle name="Style 30 10 6 3" xfId="45732" xr:uid="{00000000-0005-0000-0000-0000A9B20000}"/>
    <cellStyle name="Style 30 10 6 3 2" xfId="45733" xr:uid="{00000000-0005-0000-0000-0000AAB20000}"/>
    <cellStyle name="Style 30 10 6 3 3" xfId="45734" xr:uid="{00000000-0005-0000-0000-0000ABB20000}"/>
    <cellStyle name="Style 30 10 6 4" xfId="45735" xr:uid="{00000000-0005-0000-0000-0000ACB20000}"/>
    <cellStyle name="Style 30 10 6 5" xfId="45736" xr:uid="{00000000-0005-0000-0000-0000ADB20000}"/>
    <cellStyle name="Style 30 10 6 6" xfId="45737" xr:uid="{00000000-0005-0000-0000-0000AEB20000}"/>
    <cellStyle name="Style 30 10 7" xfId="45738" xr:uid="{00000000-0005-0000-0000-0000AFB20000}"/>
    <cellStyle name="Style 30 10 7 2" xfId="45739" xr:uid="{00000000-0005-0000-0000-0000B0B20000}"/>
    <cellStyle name="Style 30 10 7 3" xfId="45740" xr:uid="{00000000-0005-0000-0000-0000B1B20000}"/>
    <cellStyle name="Style 30 10 8" xfId="45741" xr:uid="{00000000-0005-0000-0000-0000B2B20000}"/>
    <cellStyle name="Style 30 10 8 2" xfId="45742" xr:uid="{00000000-0005-0000-0000-0000B3B20000}"/>
    <cellStyle name="Style 30 10 8 3" xfId="45743" xr:uid="{00000000-0005-0000-0000-0000B4B20000}"/>
    <cellStyle name="Style 30 10 9" xfId="45744" xr:uid="{00000000-0005-0000-0000-0000B5B20000}"/>
    <cellStyle name="Style 30 10 9 2" xfId="45745" xr:uid="{00000000-0005-0000-0000-0000B6B20000}"/>
    <cellStyle name="Style 30 10 9 3" xfId="45746" xr:uid="{00000000-0005-0000-0000-0000B7B20000}"/>
    <cellStyle name="Style 30 11" xfId="45747" xr:uid="{00000000-0005-0000-0000-0000B8B20000}"/>
    <cellStyle name="Style 30 11 10" xfId="45748" xr:uid="{00000000-0005-0000-0000-0000B9B20000}"/>
    <cellStyle name="Style 30 11 11" xfId="45749" xr:uid="{00000000-0005-0000-0000-0000BAB20000}"/>
    <cellStyle name="Style 30 11 12" xfId="45750" xr:uid="{00000000-0005-0000-0000-0000BBB20000}"/>
    <cellStyle name="Style 30 11 2" xfId="45751" xr:uid="{00000000-0005-0000-0000-0000BCB20000}"/>
    <cellStyle name="Style 30 11 2 10" xfId="45752" xr:uid="{00000000-0005-0000-0000-0000BDB20000}"/>
    <cellStyle name="Style 30 11 2 2" xfId="45753" xr:uid="{00000000-0005-0000-0000-0000BEB20000}"/>
    <cellStyle name="Style 30 11 2 2 2" xfId="45754" xr:uid="{00000000-0005-0000-0000-0000BFB20000}"/>
    <cellStyle name="Style 30 11 2 2 2 2" xfId="45755" xr:uid="{00000000-0005-0000-0000-0000C0B20000}"/>
    <cellStyle name="Style 30 11 2 2 2 2 2" xfId="45756" xr:uid="{00000000-0005-0000-0000-0000C1B20000}"/>
    <cellStyle name="Style 30 11 2 2 2 2 3" xfId="45757" xr:uid="{00000000-0005-0000-0000-0000C2B20000}"/>
    <cellStyle name="Style 30 11 2 2 2 3" xfId="45758" xr:uid="{00000000-0005-0000-0000-0000C3B20000}"/>
    <cellStyle name="Style 30 11 2 2 2 3 2" xfId="45759" xr:uid="{00000000-0005-0000-0000-0000C4B20000}"/>
    <cellStyle name="Style 30 11 2 2 2 3 3" xfId="45760" xr:uid="{00000000-0005-0000-0000-0000C5B20000}"/>
    <cellStyle name="Style 30 11 2 2 2 4" xfId="45761" xr:uid="{00000000-0005-0000-0000-0000C6B20000}"/>
    <cellStyle name="Style 30 11 2 2 2 5" xfId="45762" xr:uid="{00000000-0005-0000-0000-0000C7B20000}"/>
    <cellStyle name="Style 30 11 2 2 2 6" xfId="45763" xr:uid="{00000000-0005-0000-0000-0000C8B20000}"/>
    <cellStyle name="Style 30 11 2 2 3" xfId="45764" xr:uid="{00000000-0005-0000-0000-0000C9B20000}"/>
    <cellStyle name="Style 30 11 2 2 3 2" xfId="45765" xr:uid="{00000000-0005-0000-0000-0000CAB20000}"/>
    <cellStyle name="Style 30 11 2 2 3 3" xfId="45766" xr:uid="{00000000-0005-0000-0000-0000CBB20000}"/>
    <cellStyle name="Style 30 11 2 2 4" xfId="45767" xr:uid="{00000000-0005-0000-0000-0000CCB20000}"/>
    <cellStyle name="Style 30 11 2 2 4 2" xfId="45768" xr:uid="{00000000-0005-0000-0000-0000CDB20000}"/>
    <cellStyle name="Style 30 11 2 2 4 3" xfId="45769" xr:uid="{00000000-0005-0000-0000-0000CEB20000}"/>
    <cellStyle name="Style 30 11 2 2 5" xfId="45770" xr:uid="{00000000-0005-0000-0000-0000CFB20000}"/>
    <cellStyle name="Style 30 11 2 2 5 2" xfId="45771" xr:uid="{00000000-0005-0000-0000-0000D0B20000}"/>
    <cellStyle name="Style 30 11 2 2 5 3" xfId="45772" xr:uid="{00000000-0005-0000-0000-0000D1B20000}"/>
    <cellStyle name="Style 30 11 2 2 6" xfId="45773" xr:uid="{00000000-0005-0000-0000-0000D2B20000}"/>
    <cellStyle name="Style 30 11 2 2 7" xfId="45774" xr:uid="{00000000-0005-0000-0000-0000D3B20000}"/>
    <cellStyle name="Style 30 11 2 2 8" xfId="45775" xr:uid="{00000000-0005-0000-0000-0000D4B20000}"/>
    <cellStyle name="Style 30 11 2 3" xfId="45776" xr:uid="{00000000-0005-0000-0000-0000D5B20000}"/>
    <cellStyle name="Style 30 11 2 3 2" xfId="45777" xr:uid="{00000000-0005-0000-0000-0000D6B20000}"/>
    <cellStyle name="Style 30 11 2 3 2 2" xfId="45778" xr:uid="{00000000-0005-0000-0000-0000D7B20000}"/>
    <cellStyle name="Style 30 11 2 3 2 2 2" xfId="45779" xr:uid="{00000000-0005-0000-0000-0000D8B20000}"/>
    <cellStyle name="Style 30 11 2 3 2 2 3" xfId="45780" xr:uid="{00000000-0005-0000-0000-0000D9B20000}"/>
    <cellStyle name="Style 30 11 2 3 2 3" xfId="45781" xr:uid="{00000000-0005-0000-0000-0000DAB20000}"/>
    <cellStyle name="Style 30 11 2 3 2 3 2" xfId="45782" xr:uid="{00000000-0005-0000-0000-0000DBB20000}"/>
    <cellStyle name="Style 30 11 2 3 2 3 3" xfId="45783" xr:uid="{00000000-0005-0000-0000-0000DCB20000}"/>
    <cellStyle name="Style 30 11 2 3 2 4" xfId="45784" xr:uid="{00000000-0005-0000-0000-0000DDB20000}"/>
    <cellStyle name="Style 30 11 2 3 2 5" xfId="45785" xr:uid="{00000000-0005-0000-0000-0000DEB20000}"/>
    <cellStyle name="Style 30 11 2 3 2 6" xfId="45786" xr:uid="{00000000-0005-0000-0000-0000DFB20000}"/>
    <cellStyle name="Style 30 11 2 3 3" xfId="45787" xr:uid="{00000000-0005-0000-0000-0000E0B20000}"/>
    <cellStyle name="Style 30 11 2 3 3 2" xfId="45788" xr:uid="{00000000-0005-0000-0000-0000E1B20000}"/>
    <cellStyle name="Style 30 11 2 3 3 3" xfId="45789" xr:uid="{00000000-0005-0000-0000-0000E2B20000}"/>
    <cellStyle name="Style 30 11 2 3 4" xfId="45790" xr:uid="{00000000-0005-0000-0000-0000E3B20000}"/>
    <cellStyle name="Style 30 11 2 3 4 2" xfId="45791" xr:uid="{00000000-0005-0000-0000-0000E4B20000}"/>
    <cellStyle name="Style 30 11 2 3 4 3" xfId="45792" xr:uid="{00000000-0005-0000-0000-0000E5B20000}"/>
    <cellStyle name="Style 30 11 2 3 5" xfId="45793" xr:uid="{00000000-0005-0000-0000-0000E6B20000}"/>
    <cellStyle name="Style 30 11 2 3 5 2" xfId="45794" xr:uid="{00000000-0005-0000-0000-0000E7B20000}"/>
    <cellStyle name="Style 30 11 2 3 5 3" xfId="45795" xr:uid="{00000000-0005-0000-0000-0000E8B20000}"/>
    <cellStyle name="Style 30 11 2 3 6" xfId="45796" xr:uid="{00000000-0005-0000-0000-0000E9B20000}"/>
    <cellStyle name="Style 30 11 2 3 7" xfId="45797" xr:uid="{00000000-0005-0000-0000-0000EAB20000}"/>
    <cellStyle name="Style 30 11 2 3 8" xfId="45798" xr:uid="{00000000-0005-0000-0000-0000EBB20000}"/>
    <cellStyle name="Style 30 11 2 4" xfId="45799" xr:uid="{00000000-0005-0000-0000-0000ECB20000}"/>
    <cellStyle name="Style 30 11 2 4 2" xfId="45800" xr:uid="{00000000-0005-0000-0000-0000EDB20000}"/>
    <cellStyle name="Style 30 11 2 4 2 2" xfId="45801" xr:uid="{00000000-0005-0000-0000-0000EEB20000}"/>
    <cellStyle name="Style 30 11 2 4 2 3" xfId="45802" xr:uid="{00000000-0005-0000-0000-0000EFB20000}"/>
    <cellStyle name="Style 30 11 2 4 3" xfId="45803" xr:uid="{00000000-0005-0000-0000-0000F0B20000}"/>
    <cellStyle name="Style 30 11 2 4 3 2" xfId="45804" xr:uid="{00000000-0005-0000-0000-0000F1B20000}"/>
    <cellStyle name="Style 30 11 2 4 3 3" xfId="45805" xr:uid="{00000000-0005-0000-0000-0000F2B20000}"/>
    <cellStyle name="Style 30 11 2 4 4" xfId="45806" xr:uid="{00000000-0005-0000-0000-0000F3B20000}"/>
    <cellStyle name="Style 30 11 2 4 5" xfId="45807" xr:uid="{00000000-0005-0000-0000-0000F4B20000}"/>
    <cellStyle name="Style 30 11 2 4 6" xfId="45808" xr:uid="{00000000-0005-0000-0000-0000F5B20000}"/>
    <cellStyle name="Style 30 11 2 5" xfId="45809" xr:uid="{00000000-0005-0000-0000-0000F6B20000}"/>
    <cellStyle name="Style 30 11 2 5 2" xfId="45810" xr:uid="{00000000-0005-0000-0000-0000F7B20000}"/>
    <cellStyle name="Style 30 11 2 5 3" xfId="45811" xr:uid="{00000000-0005-0000-0000-0000F8B20000}"/>
    <cellStyle name="Style 30 11 2 6" xfId="45812" xr:uid="{00000000-0005-0000-0000-0000F9B20000}"/>
    <cellStyle name="Style 30 11 2 6 2" xfId="45813" xr:uid="{00000000-0005-0000-0000-0000FAB20000}"/>
    <cellStyle name="Style 30 11 2 6 3" xfId="45814" xr:uid="{00000000-0005-0000-0000-0000FBB20000}"/>
    <cellStyle name="Style 30 11 2 7" xfId="45815" xr:uid="{00000000-0005-0000-0000-0000FCB20000}"/>
    <cellStyle name="Style 30 11 2 7 2" xfId="45816" xr:uid="{00000000-0005-0000-0000-0000FDB20000}"/>
    <cellStyle name="Style 30 11 2 7 3" xfId="45817" xr:uid="{00000000-0005-0000-0000-0000FEB20000}"/>
    <cellStyle name="Style 30 11 2 8" xfId="45818" xr:uid="{00000000-0005-0000-0000-0000FFB20000}"/>
    <cellStyle name="Style 30 11 2 9" xfId="45819" xr:uid="{00000000-0005-0000-0000-000000B30000}"/>
    <cellStyle name="Style 30 11 3" xfId="45820" xr:uid="{00000000-0005-0000-0000-000001B30000}"/>
    <cellStyle name="Style 30 11 3 2" xfId="45821" xr:uid="{00000000-0005-0000-0000-000002B30000}"/>
    <cellStyle name="Style 30 11 3 2 2" xfId="45822" xr:uid="{00000000-0005-0000-0000-000003B30000}"/>
    <cellStyle name="Style 30 11 3 2 2 2" xfId="45823" xr:uid="{00000000-0005-0000-0000-000004B30000}"/>
    <cellStyle name="Style 30 11 3 2 2 3" xfId="45824" xr:uid="{00000000-0005-0000-0000-000005B30000}"/>
    <cellStyle name="Style 30 11 3 2 3" xfId="45825" xr:uid="{00000000-0005-0000-0000-000006B30000}"/>
    <cellStyle name="Style 30 11 3 2 3 2" xfId="45826" xr:uid="{00000000-0005-0000-0000-000007B30000}"/>
    <cellStyle name="Style 30 11 3 2 3 3" xfId="45827" xr:uid="{00000000-0005-0000-0000-000008B30000}"/>
    <cellStyle name="Style 30 11 3 2 4" xfId="45828" xr:uid="{00000000-0005-0000-0000-000009B30000}"/>
    <cellStyle name="Style 30 11 3 2 5" xfId="45829" xr:uid="{00000000-0005-0000-0000-00000AB30000}"/>
    <cellStyle name="Style 30 11 3 2 6" xfId="45830" xr:uid="{00000000-0005-0000-0000-00000BB30000}"/>
    <cellStyle name="Style 30 11 3 3" xfId="45831" xr:uid="{00000000-0005-0000-0000-00000CB30000}"/>
    <cellStyle name="Style 30 11 3 3 2" xfId="45832" xr:uid="{00000000-0005-0000-0000-00000DB30000}"/>
    <cellStyle name="Style 30 11 3 3 3" xfId="45833" xr:uid="{00000000-0005-0000-0000-00000EB30000}"/>
    <cellStyle name="Style 30 11 3 4" xfId="45834" xr:uid="{00000000-0005-0000-0000-00000FB30000}"/>
    <cellStyle name="Style 30 11 3 4 2" xfId="45835" xr:uid="{00000000-0005-0000-0000-000010B30000}"/>
    <cellStyle name="Style 30 11 3 4 3" xfId="45836" xr:uid="{00000000-0005-0000-0000-000011B30000}"/>
    <cellStyle name="Style 30 11 3 5" xfId="45837" xr:uid="{00000000-0005-0000-0000-000012B30000}"/>
    <cellStyle name="Style 30 11 3 5 2" xfId="45838" xr:uid="{00000000-0005-0000-0000-000013B30000}"/>
    <cellStyle name="Style 30 11 3 5 3" xfId="45839" xr:uid="{00000000-0005-0000-0000-000014B30000}"/>
    <cellStyle name="Style 30 11 3 6" xfId="45840" xr:uid="{00000000-0005-0000-0000-000015B30000}"/>
    <cellStyle name="Style 30 11 3 7" xfId="45841" xr:uid="{00000000-0005-0000-0000-000016B30000}"/>
    <cellStyle name="Style 30 11 3 8" xfId="45842" xr:uid="{00000000-0005-0000-0000-000017B30000}"/>
    <cellStyle name="Style 30 11 4" xfId="45843" xr:uid="{00000000-0005-0000-0000-000018B30000}"/>
    <cellStyle name="Style 30 11 4 2" xfId="45844" xr:uid="{00000000-0005-0000-0000-000019B30000}"/>
    <cellStyle name="Style 30 11 4 2 2" xfId="45845" xr:uid="{00000000-0005-0000-0000-00001AB30000}"/>
    <cellStyle name="Style 30 11 4 2 2 2" xfId="45846" xr:uid="{00000000-0005-0000-0000-00001BB30000}"/>
    <cellStyle name="Style 30 11 4 2 2 3" xfId="45847" xr:uid="{00000000-0005-0000-0000-00001CB30000}"/>
    <cellStyle name="Style 30 11 4 2 3" xfId="45848" xr:uid="{00000000-0005-0000-0000-00001DB30000}"/>
    <cellStyle name="Style 30 11 4 2 3 2" xfId="45849" xr:uid="{00000000-0005-0000-0000-00001EB30000}"/>
    <cellStyle name="Style 30 11 4 2 3 3" xfId="45850" xr:uid="{00000000-0005-0000-0000-00001FB30000}"/>
    <cellStyle name="Style 30 11 4 2 4" xfId="45851" xr:uid="{00000000-0005-0000-0000-000020B30000}"/>
    <cellStyle name="Style 30 11 4 2 5" xfId="45852" xr:uid="{00000000-0005-0000-0000-000021B30000}"/>
    <cellStyle name="Style 30 11 4 2 6" xfId="45853" xr:uid="{00000000-0005-0000-0000-000022B30000}"/>
    <cellStyle name="Style 30 11 4 3" xfId="45854" xr:uid="{00000000-0005-0000-0000-000023B30000}"/>
    <cellStyle name="Style 30 11 4 3 2" xfId="45855" xr:uid="{00000000-0005-0000-0000-000024B30000}"/>
    <cellStyle name="Style 30 11 4 3 3" xfId="45856" xr:uid="{00000000-0005-0000-0000-000025B30000}"/>
    <cellStyle name="Style 30 11 4 4" xfId="45857" xr:uid="{00000000-0005-0000-0000-000026B30000}"/>
    <cellStyle name="Style 30 11 4 4 2" xfId="45858" xr:uid="{00000000-0005-0000-0000-000027B30000}"/>
    <cellStyle name="Style 30 11 4 4 3" xfId="45859" xr:uid="{00000000-0005-0000-0000-000028B30000}"/>
    <cellStyle name="Style 30 11 4 5" xfId="45860" xr:uid="{00000000-0005-0000-0000-000029B30000}"/>
    <cellStyle name="Style 30 11 4 5 2" xfId="45861" xr:uid="{00000000-0005-0000-0000-00002AB30000}"/>
    <cellStyle name="Style 30 11 4 5 3" xfId="45862" xr:uid="{00000000-0005-0000-0000-00002BB30000}"/>
    <cellStyle name="Style 30 11 4 6" xfId="45863" xr:uid="{00000000-0005-0000-0000-00002CB30000}"/>
    <cellStyle name="Style 30 11 4 7" xfId="45864" xr:uid="{00000000-0005-0000-0000-00002DB30000}"/>
    <cellStyle name="Style 30 11 4 8" xfId="45865" xr:uid="{00000000-0005-0000-0000-00002EB30000}"/>
    <cellStyle name="Style 30 11 5" xfId="45866" xr:uid="{00000000-0005-0000-0000-00002FB30000}"/>
    <cellStyle name="Style 30 11 5 2" xfId="45867" xr:uid="{00000000-0005-0000-0000-000030B30000}"/>
    <cellStyle name="Style 30 11 5 2 2" xfId="45868" xr:uid="{00000000-0005-0000-0000-000031B30000}"/>
    <cellStyle name="Style 30 11 5 2 2 2" xfId="45869" xr:uid="{00000000-0005-0000-0000-000032B30000}"/>
    <cellStyle name="Style 30 11 5 2 2 3" xfId="45870" xr:uid="{00000000-0005-0000-0000-000033B30000}"/>
    <cellStyle name="Style 30 11 5 2 3" xfId="45871" xr:uid="{00000000-0005-0000-0000-000034B30000}"/>
    <cellStyle name="Style 30 11 5 2 3 2" xfId="45872" xr:uid="{00000000-0005-0000-0000-000035B30000}"/>
    <cellStyle name="Style 30 11 5 2 3 3" xfId="45873" xr:uid="{00000000-0005-0000-0000-000036B30000}"/>
    <cellStyle name="Style 30 11 5 2 4" xfId="45874" xr:uid="{00000000-0005-0000-0000-000037B30000}"/>
    <cellStyle name="Style 30 11 5 2 5" xfId="45875" xr:uid="{00000000-0005-0000-0000-000038B30000}"/>
    <cellStyle name="Style 30 11 5 2 6" xfId="45876" xr:uid="{00000000-0005-0000-0000-000039B30000}"/>
    <cellStyle name="Style 30 11 5 3" xfId="45877" xr:uid="{00000000-0005-0000-0000-00003AB30000}"/>
    <cellStyle name="Style 30 11 5 3 2" xfId="45878" xr:uid="{00000000-0005-0000-0000-00003BB30000}"/>
    <cellStyle name="Style 30 11 5 3 3" xfId="45879" xr:uid="{00000000-0005-0000-0000-00003CB30000}"/>
    <cellStyle name="Style 30 11 5 4" xfId="45880" xr:uid="{00000000-0005-0000-0000-00003DB30000}"/>
    <cellStyle name="Style 30 11 5 4 2" xfId="45881" xr:uid="{00000000-0005-0000-0000-00003EB30000}"/>
    <cellStyle name="Style 30 11 5 4 3" xfId="45882" xr:uid="{00000000-0005-0000-0000-00003FB30000}"/>
    <cellStyle name="Style 30 11 5 5" xfId="45883" xr:uid="{00000000-0005-0000-0000-000040B30000}"/>
    <cellStyle name="Style 30 11 5 5 2" xfId="45884" xr:uid="{00000000-0005-0000-0000-000041B30000}"/>
    <cellStyle name="Style 30 11 5 5 3" xfId="45885" xr:uid="{00000000-0005-0000-0000-000042B30000}"/>
    <cellStyle name="Style 30 11 5 6" xfId="45886" xr:uid="{00000000-0005-0000-0000-000043B30000}"/>
    <cellStyle name="Style 30 11 5 7" xfId="45887" xr:uid="{00000000-0005-0000-0000-000044B30000}"/>
    <cellStyle name="Style 30 11 5 8" xfId="45888" xr:uid="{00000000-0005-0000-0000-000045B30000}"/>
    <cellStyle name="Style 30 11 6" xfId="45889" xr:uid="{00000000-0005-0000-0000-000046B30000}"/>
    <cellStyle name="Style 30 11 6 2" xfId="45890" xr:uid="{00000000-0005-0000-0000-000047B30000}"/>
    <cellStyle name="Style 30 11 6 2 2" xfId="45891" xr:uid="{00000000-0005-0000-0000-000048B30000}"/>
    <cellStyle name="Style 30 11 6 2 3" xfId="45892" xr:uid="{00000000-0005-0000-0000-000049B30000}"/>
    <cellStyle name="Style 30 11 6 3" xfId="45893" xr:uid="{00000000-0005-0000-0000-00004AB30000}"/>
    <cellStyle name="Style 30 11 6 3 2" xfId="45894" xr:uid="{00000000-0005-0000-0000-00004BB30000}"/>
    <cellStyle name="Style 30 11 6 3 3" xfId="45895" xr:uid="{00000000-0005-0000-0000-00004CB30000}"/>
    <cellStyle name="Style 30 11 6 4" xfId="45896" xr:uid="{00000000-0005-0000-0000-00004DB30000}"/>
    <cellStyle name="Style 30 11 6 5" xfId="45897" xr:uid="{00000000-0005-0000-0000-00004EB30000}"/>
    <cellStyle name="Style 30 11 6 6" xfId="45898" xr:uid="{00000000-0005-0000-0000-00004FB30000}"/>
    <cellStyle name="Style 30 11 7" xfId="45899" xr:uid="{00000000-0005-0000-0000-000050B30000}"/>
    <cellStyle name="Style 30 11 7 2" xfId="45900" xr:uid="{00000000-0005-0000-0000-000051B30000}"/>
    <cellStyle name="Style 30 11 7 3" xfId="45901" xr:uid="{00000000-0005-0000-0000-000052B30000}"/>
    <cellStyle name="Style 30 11 8" xfId="45902" xr:uid="{00000000-0005-0000-0000-000053B30000}"/>
    <cellStyle name="Style 30 11 8 2" xfId="45903" xr:uid="{00000000-0005-0000-0000-000054B30000}"/>
    <cellStyle name="Style 30 11 8 3" xfId="45904" xr:uid="{00000000-0005-0000-0000-000055B30000}"/>
    <cellStyle name="Style 30 11 9" xfId="45905" xr:uid="{00000000-0005-0000-0000-000056B30000}"/>
    <cellStyle name="Style 30 11 9 2" xfId="45906" xr:uid="{00000000-0005-0000-0000-000057B30000}"/>
    <cellStyle name="Style 30 11 9 3" xfId="45907" xr:uid="{00000000-0005-0000-0000-000058B30000}"/>
    <cellStyle name="Style 30 12" xfId="45908" xr:uid="{00000000-0005-0000-0000-000059B30000}"/>
    <cellStyle name="Style 30 12 10" xfId="45909" xr:uid="{00000000-0005-0000-0000-00005AB30000}"/>
    <cellStyle name="Style 30 12 2" xfId="45910" xr:uid="{00000000-0005-0000-0000-00005BB30000}"/>
    <cellStyle name="Style 30 12 2 2" xfId="45911" xr:uid="{00000000-0005-0000-0000-00005CB30000}"/>
    <cellStyle name="Style 30 12 2 2 2" xfId="45912" xr:uid="{00000000-0005-0000-0000-00005DB30000}"/>
    <cellStyle name="Style 30 12 2 2 2 2" xfId="45913" xr:uid="{00000000-0005-0000-0000-00005EB30000}"/>
    <cellStyle name="Style 30 12 2 2 2 3" xfId="45914" xr:uid="{00000000-0005-0000-0000-00005FB30000}"/>
    <cellStyle name="Style 30 12 2 2 3" xfId="45915" xr:uid="{00000000-0005-0000-0000-000060B30000}"/>
    <cellStyle name="Style 30 12 2 2 3 2" xfId="45916" xr:uid="{00000000-0005-0000-0000-000061B30000}"/>
    <cellStyle name="Style 30 12 2 2 3 3" xfId="45917" xr:uid="{00000000-0005-0000-0000-000062B30000}"/>
    <cellStyle name="Style 30 12 2 2 4" xfId="45918" xr:uid="{00000000-0005-0000-0000-000063B30000}"/>
    <cellStyle name="Style 30 12 2 2 5" xfId="45919" xr:uid="{00000000-0005-0000-0000-000064B30000}"/>
    <cellStyle name="Style 30 12 2 2 6" xfId="45920" xr:uid="{00000000-0005-0000-0000-000065B30000}"/>
    <cellStyle name="Style 30 12 2 3" xfId="45921" xr:uid="{00000000-0005-0000-0000-000066B30000}"/>
    <cellStyle name="Style 30 12 2 3 2" xfId="45922" xr:uid="{00000000-0005-0000-0000-000067B30000}"/>
    <cellStyle name="Style 30 12 2 3 3" xfId="45923" xr:uid="{00000000-0005-0000-0000-000068B30000}"/>
    <cellStyle name="Style 30 12 2 4" xfId="45924" xr:uid="{00000000-0005-0000-0000-000069B30000}"/>
    <cellStyle name="Style 30 12 2 4 2" xfId="45925" xr:uid="{00000000-0005-0000-0000-00006AB30000}"/>
    <cellStyle name="Style 30 12 2 4 3" xfId="45926" xr:uid="{00000000-0005-0000-0000-00006BB30000}"/>
    <cellStyle name="Style 30 12 2 5" xfId="45927" xr:uid="{00000000-0005-0000-0000-00006CB30000}"/>
    <cellStyle name="Style 30 12 2 5 2" xfId="45928" xr:uid="{00000000-0005-0000-0000-00006DB30000}"/>
    <cellStyle name="Style 30 12 2 5 3" xfId="45929" xr:uid="{00000000-0005-0000-0000-00006EB30000}"/>
    <cellStyle name="Style 30 12 2 6" xfId="45930" xr:uid="{00000000-0005-0000-0000-00006FB30000}"/>
    <cellStyle name="Style 30 12 2 7" xfId="45931" xr:uid="{00000000-0005-0000-0000-000070B30000}"/>
    <cellStyle name="Style 30 12 2 8" xfId="45932" xr:uid="{00000000-0005-0000-0000-000071B30000}"/>
    <cellStyle name="Style 30 12 3" xfId="45933" xr:uid="{00000000-0005-0000-0000-000072B30000}"/>
    <cellStyle name="Style 30 12 3 2" xfId="45934" xr:uid="{00000000-0005-0000-0000-000073B30000}"/>
    <cellStyle name="Style 30 12 3 2 2" xfId="45935" xr:uid="{00000000-0005-0000-0000-000074B30000}"/>
    <cellStyle name="Style 30 12 3 2 2 2" xfId="45936" xr:uid="{00000000-0005-0000-0000-000075B30000}"/>
    <cellStyle name="Style 30 12 3 2 2 3" xfId="45937" xr:uid="{00000000-0005-0000-0000-000076B30000}"/>
    <cellStyle name="Style 30 12 3 2 3" xfId="45938" xr:uid="{00000000-0005-0000-0000-000077B30000}"/>
    <cellStyle name="Style 30 12 3 2 3 2" xfId="45939" xr:uid="{00000000-0005-0000-0000-000078B30000}"/>
    <cellStyle name="Style 30 12 3 2 3 3" xfId="45940" xr:uid="{00000000-0005-0000-0000-000079B30000}"/>
    <cellStyle name="Style 30 12 3 2 4" xfId="45941" xr:uid="{00000000-0005-0000-0000-00007AB30000}"/>
    <cellStyle name="Style 30 12 3 2 5" xfId="45942" xr:uid="{00000000-0005-0000-0000-00007BB30000}"/>
    <cellStyle name="Style 30 12 3 2 6" xfId="45943" xr:uid="{00000000-0005-0000-0000-00007CB30000}"/>
    <cellStyle name="Style 30 12 3 3" xfId="45944" xr:uid="{00000000-0005-0000-0000-00007DB30000}"/>
    <cellStyle name="Style 30 12 3 3 2" xfId="45945" xr:uid="{00000000-0005-0000-0000-00007EB30000}"/>
    <cellStyle name="Style 30 12 3 3 3" xfId="45946" xr:uid="{00000000-0005-0000-0000-00007FB30000}"/>
    <cellStyle name="Style 30 12 3 4" xfId="45947" xr:uid="{00000000-0005-0000-0000-000080B30000}"/>
    <cellStyle name="Style 30 12 3 4 2" xfId="45948" xr:uid="{00000000-0005-0000-0000-000081B30000}"/>
    <cellStyle name="Style 30 12 3 4 3" xfId="45949" xr:uid="{00000000-0005-0000-0000-000082B30000}"/>
    <cellStyle name="Style 30 12 3 5" xfId="45950" xr:uid="{00000000-0005-0000-0000-000083B30000}"/>
    <cellStyle name="Style 30 12 3 5 2" xfId="45951" xr:uid="{00000000-0005-0000-0000-000084B30000}"/>
    <cellStyle name="Style 30 12 3 5 3" xfId="45952" xr:uid="{00000000-0005-0000-0000-000085B30000}"/>
    <cellStyle name="Style 30 12 3 6" xfId="45953" xr:uid="{00000000-0005-0000-0000-000086B30000}"/>
    <cellStyle name="Style 30 12 3 7" xfId="45954" xr:uid="{00000000-0005-0000-0000-000087B30000}"/>
    <cellStyle name="Style 30 12 3 8" xfId="45955" xr:uid="{00000000-0005-0000-0000-000088B30000}"/>
    <cellStyle name="Style 30 12 4" xfId="45956" xr:uid="{00000000-0005-0000-0000-000089B30000}"/>
    <cellStyle name="Style 30 12 4 2" xfId="45957" xr:uid="{00000000-0005-0000-0000-00008AB30000}"/>
    <cellStyle name="Style 30 12 4 2 2" xfId="45958" xr:uid="{00000000-0005-0000-0000-00008BB30000}"/>
    <cellStyle name="Style 30 12 4 2 3" xfId="45959" xr:uid="{00000000-0005-0000-0000-00008CB30000}"/>
    <cellStyle name="Style 30 12 4 3" xfId="45960" xr:uid="{00000000-0005-0000-0000-00008DB30000}"/>
    <cellStyle name="Style 30 12 4 3 2" xfId="45961" xr:uid="{00000000-0005-0000-0000-00008EB30000}"/>
    <cellStyle name="Style 30 12 4 3 3" xfId="45962" xr:uid="{00000000-0005-0000-0000-00008FB30000}"/>
    <cellStyle name="Style 30 12 4 4" xfId="45963" xr:uid="{00000000-0005-0000-0000-000090B30000}"/>
    <cellStyle name="Style 30 12 4 5" xfId="45964" xr:uid="{00000000-0005-0000-0000-000091B30000}"/>
    <cellStyle name="Style 30 12 4 6" xfId="45965" xr:uid="{00000000-0005-0000-0000-000092B30000}"/>
    <cellStyle name="Style 30 12 5" xfId="45966" xr:uid="{00000000-0005-0000-0000-000093B30000}"/>
    <cellStyle name="Style 30 12 5 2" xfId="45967" xr:uid="{00000000-0005-0000-0000-000094B30000}"/>
    <cellStyle name="Style 30 12 5 3" xfId="45968" xr:uid="{00000000-0005-0000-0000-000095B30000}"/>
    <cellStyle name="Style 30 12 6" xfId="45969" xr:uid="{00000000-0005-0000-0000-000096B30000}"/>
    <cellStyle name="Style 30 12 6 2" xfId="45970" xr:uid="{00000000-0005-0000-0000-000097B30000}"/>
    <cellStyle name="Style 30 12 6 3" xfId="45971" xr:uid="{00000000-0005-0000-0000-000098B30000}"/>
    <cellStyle name="Style 30 12 7" xfId="45972" xr:uid="{00000000-0005-0000-0000-000099B30000}"/>
    <cellStyle name="Style 30 12 7 2" xfId="45973" xr:uid="{00000000-0005-0000-0000-00009AB30000}"/>
    <cellStyle name="Style 30 12 7 3" xfId="45974" xr:uid="{00000000-0005-0000-0000-00009BB30000}"/>
    <cellStyle name="Style 30 12 8" xfId="45975" xr:uid="{00000000-0005-0000-0000-00009CB30000}"/>
    <cellStyle name="Style 30 12 9" xfId="45976" xr:uid="{00000000-0005-0000-0000-00009DB30000}"/>
    <cellStyle name="Style 30 13" xfId="45977" xr:uid="{00000000-0005-0000-0000-00009EB30000}"/>
    <cellStyle name="Style 30 13 2" xfId="45978" xr:uid="{00000000-0005-0000-0000-00009FB30000}"/>
    <cellStyle name="Style 30 13 2 2" xfId="45979" xr:uid="{00000000-0005-0000-0000-0000A0B30000}"/>
    <cellStyle name="Style 30 13 2 2 2" xfId="45980" xr:uid="{00000000-0005-0000-0000-0000A1B30000}"/>
    <cellStyle name="Style 30 13 2 2 3" xfId="45981" xr:uid="{00000000-0005-0000-0000-0000A2B30000}"/>
    <cellStyle name="Style 30 13 2 3" xfId="45982" xr:uid="{00000000-0005-0000-0000-0000A3B30000}"/>
    <cellStyle name="Style 30 13 2 3 2" xfId="45983" xr:uid="{00000000-0005-0000-0000-0000A4B30000}"/>
    <cellStyle name="Style 30 13 2 3 3" xfId="45984" xr:uid="{00000000-0005-0000-0000-0000A5B30000}"/>
    <cellStyle name="Style 30 13 2 4" xfId="45985" xr:uid="{00000000-0005-0000-0000-0000A6B30000}"/>
    <cellStyle name="Style 30 13 2 5" xfId="45986" xr:uid="{00000000-0005-0000-0000-0000A7B30000}"/>
    <cellStyle name="Style 30 13 2 6" xfId="45987" xr:uid="{00000000-0005-0000-0000-0000A8B30000}"/>
    <cellStyle name="Style 30 13 3" xfId="45988" xr:uid="{00000000-0005-0000-0000-0000A9B30000}"/>
    <cellStyle name="Style 30 13 3 2" xfId="45989" xr:uid="{00000000-0005-0000-0000-0000AAB30000}"/>
    <cellStyle name="Style 30 13 3 3" xfId="45990" xr:uid="{00000000-0005-0000-0000-0000ABB30000}"/>
    <cellStyle name="Style 30 13 4" xfId="45991" xr:uid="{00000000-0005-0000-0000-0000ACB30000}"/>
    <cellStyle name="Style 30 13 4 2" xfId="45992" xr:uid="{00000000-0005-0000-0000-0000ADB30000}"/>
    <cellStyle name="Style 30 13 4 3" xfId="45993" xr:uid="{00000000-0005-0000-0000-0000AEB30000}"/>
    <cellStyle name="Style 30 13 5" xfId="45994" xr:uid="{00000000-0005-0000-0000-0000AFB30000}"/>
    <cellStyle name="Style 30 13 5 2" xfId="45995" xr:uid="{00000000-0005-0000-0000-0000B0B30000}"/>
    <cellStyle name="Style 30 13 5 3" xfId="45996" xr:uid="{00000000-0005-0000-0000-0000B1B30000}"/>
    <cellStyle name="Style 30 13 6" xfId="45997" xr:uid="{00000000-0005-0000-0000-0000B2B30000}"/>
    <cellStyle name="Style 30 13 7" xfId="45998" xr:uid="{00000000-0005-0000-0000-0000B3B30000}"/>
    <cellStyle name="Style 30 13 8" xfId="45999" xr:uid="{00000000-0005-0000-0000-0000B4B30000}"/>
    <cellStyle name="Style 30 14" xfId="46000" xr:uid="{00000000-0005-0000-0000-0000B5B30000}"/>
    <cellStyle name="Style 30 14 2" xfId="46001" xr:uid="{00000000-0005-0000-0000-0000B6B30000}"/>
    <cellStyle name="Style 30 14 2 2" xfId="46002" xr:uid="{00000000-0005-0000-0000-0000B7B30000}"/>
    <cellStyle name="Style 30 14 2 2 2" xfId="46003" xr:uid="{00000000-0005-0000-0000-0000B8B30000}"/>
    <cellStyle name="Style 30 14 2 2 3" xfId="46004" xr:uid="{00000000-0005-0000-0000-0000B9B30000}"/>
    <cellStyle name="Style 30 14 2 3" xfId="46005" xr:uid="{00000000-0005-0000-0000-0000BAB30000}"/>
    <cellStyle name="Style 30 14 2 3 2" xfId="46006" xr:uid="{00000000-0005-0000-0000-0000BBB30000}"/>
    <cellStyle name="Style 30 14 2 3 3" xfId="46007" xr:uid="{00000000-0005-0000-0000-0000BCB30000}"/>
    <cellStyle name="Style 30 14 2 4" xfId="46008" xr:uid="{00000000-0005-0000-0000-0000BDB30000}"/>
    <cellStyle name="Style 30 14 2 5" xfId="46009" xr:uid="{00000000-0005-0000-0000-0000BEB30000}"/>
    <cellStyle name="Style 30 14 2 6" xfId="46010" xr:uid="{00000000-0005-0000-0000-0000BFB30000}"/>
    <cellStyle name="Style 30 14 3" xfId="46011" xr:uid="{00000000-0005-0000-0000-0000C0B30000}"/>
    <cellStyle name="Style 30 14 3 2" xfId="46012" xr:uid="{00000000-0005-0000-0000-0000C1B30000}"/>
    <cellStyle name="Style 30 14 3 3" xfId="46013" xr:uid="{00000000-0005-0000-0000-0000C2B30000}"/>
    <cellStyle name="Style 30 14 4" xfId="46014" xr:uid="{00000000-0005-0000-0000-0000C3B30000}"/>
    <cellStyle name="Style 30 14 4 2" xfId="46015" xr:uid="{00000000-0005-0000-0000-0000C4B30000}"/>
    <cellStyle name="Style 30 14 4 3" xfId="46016" xr:uid="{00000000-0005-0000-0000-0000C5B30000}"/>
    <cellStyle name="Style 30 14 5" xfId="46017" xr:uid="{00000000-0005-0000-0000-0000C6B30000}"/>
    <cellStyle name="Style 30 14 5 2" xfId="46018" xr:uid="{00000000-0005-0000-0000-0000C7B30000}"/>
    <cellStyle name="Style 30 14 5 3" xfId="46019" xr:uid="{00000000-0005-0000-0000-0000C8B30000}"/>
    <cellStyle name="Style 30 14 6" xfId="46020" xr:uid="{00000000-0005-0000-0000-0000C9B30000}"/>
    <cellStyle name="Style 30 14 7" xfId="46021" xr:uid="{00000000-0005-0000-0000-0000CAB30000}"/>
    <cellStyle name="Style 30 14 8" xfId="46022" xr:uid="{00000000-0005-0000-0000-0000CBB30000}"/>
    <cellStyle name="Style 30 15" xfId="46023" xr:uid="{00000000-0005-0000-0000-0000CCB30000}"/>
    <cellStyle name="Style 30 15 2" xfId="46024" xr:uid="{00000000-0005-0000-0000-0000CDB30000}"/>
    <cellStyle name="Style 30 15 2 2" xfId="46025" xr:uid="{00000000-0005-0000-0000-0000CEB30000}"/>
    <cellStyle name="Style 30 15 2 2 2" xfId="46026" xr:uid="{00000000-0005-0000-0000-0000CFB30000}"/>
    <cellStyle name="Style 30 15 2 2 3" xfId="46027" xr:uid="{00000000-0005-0000-0000-0000D0B30000}"/>
    <cellStyle name="Style 30 15 2 3" xfId="46028" xr:uid="{00000000-0005-0000-0000-0000D1B30000}"/>
    <cellStyle name="Style 30 15 2 3 2" xfId="46029" xr:uid="{00000000-0005-0000-0000-0000D2B30000}"/>
    <cellStyle name="Style 30 15 2 3 3" xfId="46030" xr:uid="{00000000-0005-0000-0000-0000D3B30000}"/>
    <cellStyle name="Style 30 15 2 4" xfId="46031" xr:uid="{00000000-0005-0000-0000-0000D4B30000}"/>
    <cellStyle name="Style 30 15 2 5" xfId="46032" xr:uid="{00000000-0005-0000-0000-0000D5B30000}"/>
    <cellStyle name="Style 30 15 2 6" xfId="46033" xr:uid="{00000000-0005-0000-0000-0000D6B30000}"/>
    <cellStyle name="Style 30 15 3" xfId="46034" xr:uid="{00000000-0005-0000-0000-0000D7B30000}"/>
    <cellStyle name="Style 30 15 3 2" xfId="46035" xr:uid="{00000000-0005-0000-0000-0000D8B30000}"/>
    <cellStyle name="Style 30 15 3 3" xfId="46036" xr:uid="{00000000-0005-0000-0000-0000D9B30000}"/>
    <cellStyle name="Style 30 15 4" xfId="46037" xr:uid="{00000000-0005-0000-0000-0000DAB30000}"/>
    <cellStyle name="Style 30 15 4 2" xfId="46038" xr:uid="{00000000-0005-0000-0000-0000DBB30000}"/>
    <cellStyle name="Style 30 15 4 3" xfId="46039" xr:uid="{00000000-0005-0000-0000-0000DCB30000}"/>
    <cellStyle name="Style 30 15 5" xfId="46040" xr:uid="{00000000-0005-0000-0000-0000DDB30000}"/>
    <cellStyle name="Style 30 15 5 2" xfId="46041" xr:uid="{00000000-0005-0000-0000-0000DEB30000}"/>
    <cellStyle name="Style 30 15 5 3" xfId="46042" xr:uid="{00000000-0005-0000-0000-0000DFB30000}"/>
    <cellStyle name="Style 30 15 6" xfId="46043" xr:uid="{00000000-0005-0000-0000-0000E0B30000}"/>
    <cellStyle name="Style 30 15 7" xfId="46044" xr:uid="{00000000-0005-0000-0000-0000E1B30000}"/>
    <cellStyle name="Style 30 15 8" xfId="46045" xr:uid="{00000000-0005-0000-0000-0000E2B30000}"/>
    <cellStyle name="Style 30 16" xfId="46046" xr:uid="{00000000-0005-0000-0000-0000E3B30000}"/>
    <cellStyle name="Style 30 16 2" xfId="46047" xr:uid="{00000000-0005-0000-0000-0000E4B30000}"/>
    <cellStyle name="Style 30 16 2 2" xfId="46048" xr:uid="{00000000-0005-0000-0000-0000E5B30000}"/>
    <cellStyle name="Style 30 16 2 3" xfId="46049" xr:uid="{00000000-0005-0000-0000-0000E6B30000}"/>
    <cellStyle name="Style 30 16 3" xfId="46050" xr:uid="{00000000-0005-0000-0000-0000E7B30000}"/>
    <cellStyle name="Style 30 16 3 2" xfId="46051" xr:uid="{00000000-0005-0000-0000-0000E8B30000}"/>
    <cellStyle name="Style 30 16 3 3" xfId="46052" xr:uid="{00000000-0005-0000-0000-0000E9B30000}"/>
    <cellStyle name="Style 30 16 4" xfId="46053" xr:uid="{00000000-0005-0000-0000-0000EAB30000}"/>
    <cellStyle name="Style 30 16 5" xfId="46054" xr:uid="{00000000-0005-0000-0000-0000EBB30000}"/>
    <cellStyle name="Style 30 16 6" xfId="46055" xr:uid="{00000000-0005-0000-0000-0000ECB30000}"/>
    <cellStyle name="Style 30 17" xfId="46056" xr:uid="{00000000-0005-0000-0000-0000EDB30000}"/>
    <cellStyle name="Style 30 17 2" xfId="46057" xr:uid="{00000000-0005-0000-0000-0000EEB30000}"/>
    <cellStyle name="Style 30 17 3" xfId="46058" xr:uid="{00000000-0005-0000-0000-0000EFB30000}"/>
    <cellStyle name="Style 30 18" xfId="46059" xr:uid="{00000000-0005-0000-0000-0000F0B30000}"/>
    <cellStyle name="Style 30 18 2" xfId="46060" xr:uid="{00000000-0005-0000-0000-0000F1B30000}"/>
    <cellStyle name="Style 30 18 3" xfId="46061" xr:uid="{00000000-0005-0000-0000-0000F2B30000}"/>
    <cellStyle name="Style 30 19" xfId="46062" xr:uid="{00000000-0005-0000-0000-0000F3B30000}"/>
    <cellStyle name="Style 30 19 2" xfId="46063" xr:uid="{00000000-0005-0000-0000-0000F4B30000}"/>
    <cellStyle name="Style 30 19 3" xfId="46064" xr:uid="{00000000-0005-0000-0000-0000F5B30000}"/>
    <cellStyle name="Style 30 2" xfId="46065" xr:uid="{00000000-0005-0000-0000-0000F6B30000}"/>
    <cellStyle name="Style 30 2 10" xfId="46066" xr:uid="{00000000-0005-0000-0000-0000F7B30000}"/>
    <cellStyle name="Style 30 2 11" xfId="46067" xr:uid="{00000000-0005-0000-0000-0000F8B30000}"/>
    <cellStyle name="Style 30 2 12" xfId="46068" xr:uid="{00000000-0005-0000-0000-0000F9B30000}"/>
    <cellStyle name="Style 30 2 2" xfId="46069" xr:uid="{00000000-0005-0000-0000-0000FAB30000}"/>
    <cellStyle name="Style 30 2 2 10" xfId="46070" xr:uid="{00000000-0005-0000-0000-0000FBB30000}"/>
    <cellStyle name="Style 30 2 2 2" xfId="46071" xr:uid="{00000000-0005-0000-0000-0000FCB30000}"/>
    <cellStyle name="Style 30 2 2 2 2" xfId="46072" xr:uid="{00000000-0005-0000-0000-0000FDB30000}"/>
    <cellStyle name="Style 30 2 2 2 2 2" xfId="46073" xr:uid="{00000000-0005-0000-0000-0000FEB30000}"/>
    <cellStyle name="Style 30 2 2 2 2 2 2" xfId="46074" xr:uid="{00000000-0005-0000-0000-0000FFB30000}"/>
    <cellStyle name="Style 30 2 2 2 2 2 3" xfId="46075" xr:uid="{00000000-0005-0000-0000-000000B40000}"/>
    <cellStyle name="Style 30 2 2 2 2 3" xfId="46076" xr:uid="{00000000-0005-0000-0000-000001B40000}"/>
    <cellStyle name="Style 30 2 2 2 2 3 2" xfId="46077" xr:uid="{00000000-0005-0000-0000-000002B40000}"/>
    <cellStyle name="Style 30 2 2 2 2 3 3" xfId="46078" xr:uid="{00000000-0005-0000-0000-000003B40000}"/>
    <cellStyle name="Style 30 2 2 2 2 4" xfId="46079" xr:uid="{00000000-0005-0000-0000-000004B40000}"/>
    <cellStyle name="Style 30 2 2 2 2 5" xfId="46080" xr:uid="{00000000-0005-0000-0000-000005B40000}"/>
    <cellStyle name="Style 30 2 2 2 2 6" xfId="46081" xr:uid="{00000000-0005-0000-0000-000006B40000}"/>
    <cellStyle name="Style 30 2 2 2 3" xfId="46082" xr:uid="{00000000-0005-0000-0000-000007B40000}"/>
    <cellStyle name="Style 30 2 2 2 3 2" xfId="46083" xr:uid="{00000000-0005-0000-0000-000008B40000}"/>
    <cellStyle name="Style 30 2 2 2 3 3" xfId="46084" xr:uid="{00000000-0005-0000-0000-000009B40000}"/>
    <cellStyle name="Style 30 2 2 2 4" xfId="46085" xr:uid="{00000000-0005-0000-0000-00000AB40000}"/>
    <cellStyle name="Style 30 2 2 2 4 2" xfId="46086" xr:uid="{00000000-0005-0000-0000-00000BB40000}"/>
    <cellStyle name="Style 30 2 2 2 4 3" xfId="46087" xr:uid="{00000000-0005-0000-0000-00000CB40000}"/>
    <cellStyle name="Style 30 2 2 2 5" xfId="46088" xr:uid="{00000000-0005-0000-0000-00000DB40000}"/>
    <cellStyle name="Style 30 2 2 2 5 2" xfId="46089" xr:uid="{00000000-0005-0000-0000-00000EB40000}"/>
    <cellStyle name="Style 30 2 2 2 5 3" xfId="46090" xr:uid="{00000000-0005-0000-0000-00000FB40000}"/>
    <cellStyle name="Style 30 2 2 2 6" xfId="46091" xr:uid="{00000000-0005-0000-0000-000010B40000}"/>
    <cellStyle name="Style 30 2 2 2 7" xfId="46092" xr:uid="{00000000-0005-0000-0000-000011B40000}"/>
    <cellStyle name="Style 30 2 2 2 8" xfId="46093" xr:uid="{00000000-0005-0000-0000-000012B40000}"/>
    <cellStyle name="Style 30 2 2 3" xfId="46094" xr:uid="{00000000-0005-0000-0000-000013B40000}"/>
    <cellStyle name="Style 30 2 2 3 2" xfId="46095" xr:uid="{00000000-0005-0000-0000-000014B40000}"/>
    <cellStyle name="Style 30 2 2 3 2 2" xfId="46096" xr:uid="{00000000-0005-0000-0000-000015B40000}"/>
    <cellStyle name="Style 30 2 2 3 2 2 2" xfId="46097" xr:uid="{00000000-0005-0000-0000-000016B40000}"/>
    <cellStyle name="Style 30 2 2 3 2 2 3" xfId="46098" xr:uid="{00000000-0005-0000-0000-000017B40000}"/>
    <cellStyle name="Style 30 2 2 3 2 3" xfId="46099" xr:uid="{00000000-0005-0000-0000-000018B40000}"/>
    <cellStyle name="Style 30 2 2 3 2 3 2" xfId="46100" xr:uid="{00000000-0005-0000-0000-000019B40000}"/>
    <cellStyle name="Style 30 2 2 3 2 3 3" xfId="46101" xr:uid="{00000000-0005-0000-0000-00001AB40000}"/>
    <cellStyle name="Style 30 2 2 3 2 4" xfId="46102" xr:uid="{00000000-0005-0000-0000-00001BB40000}"/>
    <cellStyle name="Style 30 2 2 3 2 5" xfId="46103" xr:uid="{00000000-0005-0000-0000-00001CB40000}"/>
    <cellStyle name="Style 30 2 2 3 2 6" xfId="46104" xr:uid="{00000000-0005-0000-0000-00001DB40000}"/>
    <cellStyle name="Style 30 2 2 3 3" xfId="46105" xr:uid="{00000000-0005-0000-0000-00001EB40000}"/>
    <cellStyle name="Style 30 2 2 3 3 2" xfId="46106" xr:uid="{00000000-0005-0000-0000-00001FB40000}"/>
    <cellStyle name="Style 30 2 2 3 3 3" xfId="46107" xr:uid="{00000000-0005-0000-0000-000020B40000}"/>
    <cellStyle name="Style 30 2 2 3 4" xfId="46108" xr:uid="{00000000-0005-0000-0000-000021B40000}"/>
    <cellStyle name="Style 30 2 2 3 4 2" xfId="46109" xr:uid="{00000000-0005-0000-0000-000022B40000}"/>
    <cellStyle name="Style 30 2 2 3 4 3" xfId="46110" xr:uid="{00000000-0005-0000-0000-000023B40000}"/>
    <cellStyle name="Style 30 2 2 3 5" xfId="46111" xr:uid="{00000000-0005-0000-0000-000024B40000}"/>
    <cellStyle name="Style 30 2 2 3 5 2" xfId="46112" xr:uid="{00000000-0005-0000-0000-000025B40000}"/>
    <cellStyle name="Style 30 2 2 3 5 3" xfId="46113" xr:uid="{00000000-0005-0000-0000-000026B40000}"/>
    <cellStyle name="Style 30 2 2 3 6" xfId="46114" xr:uid="{00000000-0005-0000-0000-000027B40000}"/>
    <cellStyle name="Style 30 2 2 3 7" xfId="46115" xr:uid="{00000000-0005-0000-0000-000028B40000}"/>
    <cellStyle name="Style 30 2 2 3 8" xfId="46116" xr:uid="{00000000-0005-0000-0000-000029B40000}"/>
    <cellStyle name="Style 30 2 2 4" xfId="46117" xr:uid="{00000000-0005-0000-0000-00002AB40000}"/>
    <cellStyle name="Style 30 2 2 4 2" xfId="46118" xr:uid="{00000000-0005-0000-0000-00002BB40000}"/>
    <cellStyle name="Style 30 2 2 4 2 2" xfId="46119" xr:uid="{00000000-0005-0000-0000-00002CB40000}"/>
    <cellStyle name="Style 30 2 2 4 2 3" xfId="46120" xr:uid="{00000000-0005-0000-0000-00002DB40000}"/>
    <cellStyle name="Style 30 2 2 4 3" xfId="46121" xr:uid="{00000000-0005-0000-0000-00002EB40000}"/>
    <cellStyle name="Style 30 2 2 4 3 2" xfId="46122" xr:uid="{00000000-0005-0000-0000-00002FB40000}"/>
    <cellStyle name="Style 30 2 2 4 3 3" xfId="46123" xr:uid="{00000000-0005-0000-0000-000030B40000}"/>
    <cellStyle name="Style 30 2 2 4 4" xfId="46124" xr:uid="{00000000-0005-0000-0000-000031B40000}"/>
    <cellStyle name="Style 30 2 2 4 5" xfId="46125" xr:uid="{00000000-0005-0000-0000-000032B40000}"/>
    <cellStyle name="Style 30 2 2 4 6" xfId="46126" xr:uid="{00000000-0005-0000-0000-000033B40000}"/>
    <cellStyle name="Style 30 2 2 5" xfId="46127" xr:uid="{00000000-0005-0000-0000-000034B40000}"/>
    <cellStyle name="Style 30 2 2 5 2" xfId="46128" xr:uid="{00000000-0005-0000-0000-000035B40000}"/>
    <cellStyle name="Style 30 2 2 5 3" xfId="46129" xr:uid="{00000000-0005-0000-0000-000036B40000}"/>
    <cellStyle name="Style 30 2 2 6" xfId="46130" xr:uid="{00000000-0005-0000-0000-000037B40000}"/>
    <cellStyle name="Style 30 2 2 6 2" xfId="46131" xr:uid="{00000000-0005-0000-0000-000038B40000}"/>
    <cellStyle name="Style 30 2 2 6 3" xfId="46132" xr:uid="{00000000-0005-0000-0000-000039B40000}"/>
    <cellStyle name="Style 30 2 2 7" xfId="46133" xr:uid="{00000000-0005-0000-0000-00003AB40000}"/>
    <cellStyle name="Style 30 2 2 7 2" xfId="46134" xr:uid="{00000000-0005-0000-0000-00003BB40000}"/>
    <cellStyle name="Style 30 2 2 7 3" xfId="46135" xr:uid="{00000000-0005-0000-0000-00003CB40000}"/>
    <cellStyle name="Style 30 2 2 8" xfId="46136" xr:uid="{00000000-0005-0000-0000-00003DB40000}"/>
    <cellStyle name="Style 30 2 2 9" xfId="46137" xr:uid="{00000000-0005-0000-0000-00003EB40000}"/>
    <cellStyle name="Style 30 2 3" xfId="46138" xr:uid="{00000000-0005-0000-0000-00003FB40000}"/>
    <cellStyle name="Style 30 2 3 2" xfId="46139" xr:uid="{00000000-0005-0000-0000-000040B40000}"/>
    <cellStyle name="Style 30 2 3 2 2" xfId="46140" xr:uid="{00000000-0005-0000-0000-000041B40000}"/>
    <cellStyle name="Style 30 2 3 2 2 2" xfId="46141" xr:uid="{00000000-0005-0000-0000-000042B40000}"/>
    <cellStyle name="Style 30 2 3 2 2 3" xfId="46142" xr:uid="{00000000-0005-0000-0000-000043B40000}"/>
    <cellStyle name="Style 30 2 3 2 3" xfId="46143" xr:uid="{00000000-0005-0000-0000-000044B40000}"/>
    <cellStyle name="Style 30 2 3 2 3 2" xfId="46144" xr:uid="{00000000-0005-0000-0000-000045B40000}"/>
    <cellStyle name="Style 30 2 3 2 3 3" xfId="46145" xr:uid="{00000000-0005-0000-0000-000046B40000}"/>
    <cellStyle name="Style 30 2 3 2 4" xfId="46146" xr:uid="{00000000-0005-0000-0000-000047B40000}"/>
    <cellStyle name="Style 30 2 3 2 5" xfId="46147" xr:uid="{00000000-0005-0000-0000-000048B40000}"/>
    <cellStyle name="Style 30 2 3 2 6" xfId="46148" xr:uid="{00000000-0005-0000-0000-000049B40000}"/>
    <cellStyle name="Style 30 2 3 3" xfId="46149" xr:uid="{00000000-0005-0000-0000-00004AB40000}"/>
    <cellStyle name="Style 30 2 3 3 2" xfId="46150" xr:uid="{00000000-0005-0000-0000-00004BB40000}"/>
    <cellStyle name="Style 30 2 3 3 3" xfId="46151" xr:uid="{00000000-0005-0000-0000-00004CB40000}"/>
    <cellStyle name="Style 30 2 3 4" xfId="46152" xr:uid="{00000000-0005-0000-0000-00004DB40000}"/>
    <cellStyle name="Style 30 2 3 4 2" xfId="46153" xr:uid="{00000000-0005-0000-0000-00004EB40000}"/>
    <cellStyle name="Style 30 2 3 4 3" xfId="46154" xr:uid="{00000000-0005-0000-0000-00004FB40000}"/>
    <cellStyle name="Style 30 2 3 5" xfId="46155" xr:uid="{00000000-0005-0000-0000-000050B40000}"/>
    <cellStyle name="Style 30 2 3 5 2" xfId="46156" xr:uid="{00000000-0005-0000-0000-000051B40000}"/>
    <cellStyle name="Style 30 2 3 5 3" xfId="46157" xr:uid="{00000000-0005-0000-0000-000052B40000}"/>
    <cellStyle name="Style 30 2 3 6" xfId="46158" xr:uid="{00000000-0005-0000-0000-000053B40000}"/>
    <cellStyle name="Style 30 2 3 7" xfId="46159" xr:uid="{00000000-0005-0000-0000-000054B40000}"/>
    <cellStyle name="Style 30 2 3 8" xfId="46160" xr:uid="{00000000-0005-0000-0000-000055B40000}"/>
    <cellStyle name="Style 30 2 4" xfId="46161" xr:uid="{00000000-0005-0000-0000-000056B40000}"/>
    <cellStyle name="Style 30 2 4 2" xfId="46162" xr:uid="{00000000-0005-0000-0000-000057B40000}"/>
    <cellStyle name="Style 30 2 4 2 2" xfId="46163" xr:uid="{00000000-0005-0000-0000-000058B40000}"/>
    <cellStyle name="Style 30 2 4 2 2 2" xfId="46164" xr:uid="{00000000-0005-0000-0000-000059B40000}"/>
    <cellStyle name="Style 30 2 4 2 2 3" xfId="46165" xr:uid="{00000000-0005-0000-0000-00005AB40000}"/>
    <cellStyle name="Style 30 2 4 2 3" xfId="46166" xr:uid="{00000000-0005-0000-0000-00005BB40000}"/>
    <cellStyle name="Style 30 2 4 2 3 2" xfId="46167" xr:uid="{00000000-0005-0000-0000-00005CB40000}"/>
    <cellStyle name="Style 30 2 4 2 3 3" xfId="46168" xr:uid="{00000000-0005-0000-0000-00005DB40000}"/>
    <cellStyle name="Style 30 2 4 2 4" xfId="46169" xr:uid="{00000000-0005-0000-0000-00005EB40000}"/>
    <cellStyle name="Style 30 2 4 2 5" xfId="46170" xr:uid="{00000000-0005-0000-0000-00005FB40000}"/>
    <cellStyle name="Style 30 2 4 2 6" xfId="46171" xr:uid="{00000000-0005-0000-0000-000060B40000}"/>
    <cellStyle name="Style 30 2 4 3" xfId="46172" xr:uid="{00000000-0005-0000-0000-000061B40000}"/>
    <cellStyle name="Style 30 2 4 3 2" xfId="46173" xr:uid="{00000000-0005-0000-0000-000062B40000}"/>
    <cellStyle name="Style 30 2 4 3 3" xfId="46174" xr:uid="{00000000-0005-0000-0000-000063B40000}"/>
    <cellStyle name="Style 30 2 4 4" xfId="46175" xr:uid="{00000000-0005-0000-0000-000064B40000}"/>
    <cellStyle name="Style 30 2 4 4 2" xfId="46176" xr:uid="{00000000-0005-0000-0000-000065B40000}"/>
    <cellStyle name="Style 30 2 4 4 3" xfId="46177" xr:uid="{00000000-0005-0000-0000-000066B40000}"/>
    <cellStyle name="Style 30 2 4 5" xfId="46178" xr:uid="{00000000-0005-0000-0000-000067B40000}"/>
    <cellStyle name="Style 30 2 4 5 2" xfId="46179" xr:uid="{00000000-0005-0000-0000-000068B40000}"/>
    <cellStyle name="Style 30 2 4 5 3" xfId="46180" xr:uid="{00000000-0005-0000-0000-000069B40000}"/>
    <cellStyle name="Style 30 2 4 6" xfId="46181" xr:uid="{00000000-0005-0000-0000-00006AB40000}"/>
    <cellStyle name="Style 30 2 4 7" xfId="46182" xr:uid="{00000000-0005-0000-0000-00006BB40000}"/>
    <cellStyle name="Style 30 2 4 8" xfId="46183" xr:uid="{00000000-0005-0000-0000-00006CB40000}"/>
    <cellStyle name="Style 30 2 5" xfId="46184" xr:uid="{00000000-0005-0000-0000-00006DB40000}"/>
    <cellStyle name="Style 30 2 5 2" xfId="46185" xr:uid="{00000000-0005-0000-0000-00006EB40000}"/>
    <cellStyle name="Style 30 2 5 2 2" xfId="46186" xr:uid="{00000000-0005-0000-0000-00006FB40000}"/>
    <cellStyle name="Style 30 2 5 2 2 2" xfId="46187" xr:uid="{00000000-0005-0000-0000-000070B40000}"/>
    <cellStyle name="Style 30 2 5 2 2 3" xfId="46188" xr:uid="{00000000-0005-0000-0000-000071B40000}"/>
    <cellStyle name="Style 30 2 5 2 3" xfId="46189" xr:uid="{00000000-0005-0000-0000-000072B40000}"/>
    <cellStyle name="Style 30 2 5 2 3 2" xfId="46190" xr:uid="{00000000-0005-0000-0000-000073B40000}"/>
    <cellStyle name="Style 30 2 5 2 3 3" xfId="46191" xr:uid="{00000000-0005-0000-0000-000074B40000}"/>
    <cellStyle name="Style 30 2 5 2 4" xfId="46192" xr:uid="{00000000-0005-0000-0000-000075B40000}"/>
    <cellStyle name="Style 30 2 5 2 5" xfId="46193" xr:uid="{00000000-0005-0000-0000-000076B40000}"/>
    <cellStyle name="Style 30 2 5 2 6" xfId="46194" xr:uid="{00000000-0005-0000-0000-000077B40000}"/>
    <cellStyle name="Style 30 2 5 3" xfId="46195" xr:uid="{00000000-0005-0000-0000-000078B40000}"/>
    <cellStyle name="Style 30 2 5 3 2" xfId="46196" xr:uid="{00000000-0005-0000-0000-000079B40000}"/>
    <cellStyle name="Style 30 2 5 3 3" xfId="46197" xr:uid="{00000000-0005-0000-0000-00007AB40000}"/>
    <cellStyle name="Style 30 2 5 4" xfId="46198" xr:uid="{00000000-0005-0000-0000-00007BB40000}"/>
    <cellStyle name="Style 30 2 5 4 2" xfId="46199" xr:uid="{00000000-0005-0000-0000-00007CB40000}"/>
    <cellStyle name="Style 30 2 5 4 3" xfId="46200" xr:uid="{00000000-0005-0000-0000-00007DB40000}"/>
    <cellStyle name="Style 30 2 5 5" xfId="46201" xr:uid="{00000000-0005-0000-0000-00007EB40000}"/>
    <cellStyle name="Style 30 2 5 5 2" xfId="46202" xr:uid="{00000000-0005-0000-0000-00007FB40000}"/>
    <cellStyle name="Style 30 2 5 5 3" xfId="46203" xr:uid="{00000000-0005-0000-0000-000080B40000}"/>
    <cellStyle name="Style 30 2 5 6" xfId="46204" xr:uid="{00000000-0005-0000-0000-000081B40000}"/>
    <cellStyle name="Style 30 2 5 7" xfId="46205" xr:uid="{00000000-0005-0000-0000-000082B40000}"/>
    <cellStyle name="Style 30 2 5 8" xfId="46206" xr:uid="{00000000-0005-0000-0000-000083B40000}"/>
    <cellStyle name="Style 30 2 6" xfId="46207" xr:uid="{00000000-0005-0000-0000-000084B40000}"/>
    <cellStyle name="Style 30 2 6 2" xfId="46208" xr:uid="{00000000-0005-0000-0000-000085B40000}"/>
    <cellStyle name="Style 30 2 6 2 2" xfId="46209" xr:uid="{00000000-0005-0000-0000-000086B40000}"/>
    <cellStyle name="Style 30 2 6 2 3" xfId="46210" xr:uid="{00000000-0005-0000-0000-000087B40000}"/>
    <cellStyle name="Style 30 2 6 3" xfId="46211" xr:uid="{00000000-0005-0000-0000-000088B40000}"/>
    <cellStyle name="Style 30 2 6 3 2" xfId="46212" xr:uid="{00000000-0005-0000-0000-000089B40000}"/>
    <cellStyle name="Style 30 2 6 3 3" xfId="46213" xr:uid="{00000000-0005-0000-0000-00008AB40000}"/>
    <cellStyle name="Style 30 2 6 4" xfId="46214" xr:uid="{00000000-0005-0000-0000-00008BB40000}"/>
    <cellStyle name="Style 30 2 6 5" xfId="46215" xr:uid="{00000000-0005-0000-0000-00008CB40000}"/>
    <cellStyle name="Style 30 2 6 6" xfId="46216" xr:uid="{00000000-0005-0000-0000-00008DB40000}"/>
    <cellStyle name="Style 30 2 7" xfId="46217" xr:uid="{00000000-0005-0000-0000-00008EB40000}"/>
    <cellStyle name="Style 30 2 7 2" xfId="46218" xr:uid="{00000000-0005-0000-0000-00008FB40000}"/>
    <cellStyle name="Style 30 2 7 3" xfId="46219" xr:uid="{00000000-0005-0000-0000-000090B40000}"/>
    <cellStyle name="Style 30 2 8" xfId="46220" xr:uid="{00000000-0005-0000-0000-000091B40000}"/>
    <cellStyle name="Style 30 2 8 2" xfId="46221" xr:uid="{00000000-0005-0000-0000-000092B40000}"/>
    <cellStyle name="Style 30 2 8 3" xfId="46222" xr:uid="{00000000-0005-0000-0000-000093B40000}"/>
    <cellStyle name="Style 30 2 9" xfId="46223" xr:uid="{00000000-0005-0000-0000-000094B40000}"/>
    <cellStyle name="Style 30 2 9 2" xfId="46224" xr:uid="{00000000-0005-0000-0000-000095B40000}"/>
    <cellStyle name="Style 30 2 9 3" xfId="46225" xr:uid="{00000000-0005-0000-0000-000096B40000}"/>
    <cellStyle name="Style 30 20" xfId="46226" xr:uid="{00000000-0005-0000-0000-000097B40000}"/>
    <cellStyle name="Style 30 21" xfId="46227" xr:uid="{00000000-0005-0000-0000-000098B40000}"/>
    <cellStyle name="Style 30 22" xfId="46228" xr:uid="{00000000-0005-0000-0000-000099B40000}"/>
    <cellStyle name="Style 30 3" xfId="46229" xr:uid="{00000000-0005-0000-0000-00009AB40000}"/>
    <cellStyle name="Style 30 3 10" xfId="46230" xr:uid="{00000000-0005-0000-0000-00009BB40000}"/>
    <cellStyle name="Style 30 3 11" xfId="46231" xr:uid="{00000000-0005-0000-0000-00009CB40000}"/>
    <cellStyle name="Style 30 3 12" xfId="46232" xr:uid="{00000000-0005-0000-0000-00009DB40000}"/>
    <cellStyle name="Style 30 3 2" xfId="46233" xr:uid="{00000000-0005-0000-0000-00009EB40000}"/>
    <cellStyle name="Style 30 3 2 10" xfId="46234" xr:uid="{00000000-0005-0000-0000-00009FB40000}"/>
    <cellStyle name="Style 30 3 2 2" xfId="46235" xr:uid="{00000000-0005-0000-0000-0000A0B40000}"/>
    <cellStyle name="Style 30 3 2 2 2" xfId="46236" xr:uid="{00000000-0005-0000-0000-0000A1B40000}"/>
    <cellStyle name="Style 30 3 2 2 2 2" xfId="46237" xr:uid="{00000000-0005-0000-0000-0000A2B40000}"/>
    <cellStyle name="Style 30 3 2 2 2 2 2" xfId="46238" xr:uid="{00000000-0005-0000-0000-0000A3B40000}"/>
    <cellStyle name="Style 30 3 2 2 2 2 3" xfId="46239" xr:uid="{00000000-0005-0000-0000-0000A4B40000}"/>
    <cellStyle name="Style 30 3 2 2 2 3" xfId="46240" xr:uid="{00000000-0005-0000-0000-0000A5B40000}"/>
    <cellStyle name="Style 30 3 2 2 2 3 2" xfId="46241" xr:uid="{00000000-0005-0000-0000-0000A6B40000}"/>
    <cellStyle name="Style 30 3 2 2 2 3 3" xfId="46242" xr:uid="{00000000-0005-0000-0000-0000A7B40000}"/>
    <cellStyle name="Style 30 3 2 2 2 4" xfId="46243" xr:uid="{00000000-0005-0000-0000-0000A8B40000}"/>
    <cellStyle name="Style 30 3 2 2 2 5" xfId="46244" xr:uid="{00000000-0005-0000-0000-0000A9B40000}"/>
    <cellStyle name="Style 30 3 2 2 2 6" xfId="46245" xr:uid="{00000000-0005-0000-0000-0000AAB40000}"/>
    <cellStyle name="Style 30 3 2 2 3" xfId="46246" xr:uid="{00000000-0005-0000-0000-0000ABB40000}"/>
    <cellStyle name="Style 30 3 2 2 3 2" xfId="46247" xr:uid="{00000000-0005-0000-0000-0000ACB40000}"/>
    <cellStyle name="Style 30 3 2 2 3 3" xfId="46248" xr:uid="{00000000-0005-0000-0000-0000ADB40000}"/>
    <cellStyle name="Style 30 3 2 2 4" xfId="46249" xr:uid="{00000000-0005-0000-0000-0000AEB40000}"/>
    <cellStyle name="Style 30 3 2 2 4 2" xfId="46250" xr:uid="{00000000-0005-0000-0000-0000AFB40000}"/>
    <cellStyle name="Style 30 3 2 2 4 3" xfId="46251" xr:uid="{00000000-0005-0000-0000-0000B0B40000}"/>
    <cellStyle name="Style 30 3 2 2 5" xfId="46252" xr:uid="{00000000-0005-0000-0000-0000B1B40000}"/>
    <cellStyle name="Style 30 3 2 2 5 2" xfId="46253" xr:uid="{00000000-0005-0000-0000-0000B2B40000}"/>
    <cellStyle name="Style 30 3 2 2 5 3" xfId="46254" xr:uid="{00000000-0005-0000-0000-0000B3B40000}"/>
    <cellStyle name="Style 30 3 2 2 6" xfId="46255" xr:uid="{00000000-0005-0000-0000-0000B4B40000}"/>
    <cellStyle name="Style 30 3 2 2 7" xfId="46256" xr:uid="{00000000-0005-0000-0000-0000B5B40000}"/>
    <cellStyle name="Style 30 3 2 2 8" xfId="46257" xr:uid="{00000000-0005-0000-0000-0000B6B40000}"/>
    <cellStyle name="Style 30 3 2 3" xfId="46258" xr:uid="{00000000-0005-0000-0000-0000B7B40000}"/>
    <cellStyle name="Style 30 3 2 3 2" xfId="46259" xr:uid="{00000000-0005-0000-0000-0000B8B40000}"/>
    <cellStyle name="Style 30 3 2 3 2 2" xfId="46260" xr:uid="{00000000-0005-0000-0000-0000B9B40000}"/>
    <cellStyle name="Style 30 3 2 3 2 2 2" xfId="46261" xr:uid="{00000000-0005-0000-0000-0000BAB40000}"/>
    <cellStyle name="Style 30 3 2 3 2 2 3" xfId="46262" xr:uid="{00000000-0005-0000-0000-0000BBB40000}"/>
    <cellStyle name="Style 30 3 2 3 2 3" xfId="46263" xr:uid="{00000000-0005-0000-0000-0000BCB40000}"/>
    <cellStyle name="Style 30 3 2 3 2 3 2" xfId="46264" xr:uid="{00000000-0005-0000-0000-0000BDB40000}"/>
    <cellStyle name="Style 30 3 2 3 2 3 3" xfId="46265" xr:uid="{00000000-0005-0000-0000-0000BEB40000}"/>
    <cellStyle name="Style 30 3 2 3 2 4" xfId="46266" xr:uid="{00000000-0005-0000-0000-0000BFB40000}"/>
    <cellStyle name="Style 30 3 2 3 2 5" xfId="46267" xr:uid="{00000000-0005-0000-0000-0000C0B40000}"/>
    <cellStyle name="Style 30 3 2 3 2 6" xfId="46268" xr:uid="{00000000-0005-0000-0000-0000C1B40000}"/>
    <cellStyle name="Style 30 3 2 3 3" xfId="46269" xr:uid="{00000000-0005-0000-0000-0000C2B40000}"/>
    <cellStyle name="Style 30 3 2 3 3 2" xfId="46270" xr:uid="{00000000-0005-0000-0000-0000C3B40000}"/>
    <cellStyle name="Style 30 3 2 3 3 3" xfId="46271" xr:uid="{00000000-0005-0000-0000-0000C4B40000}"/>
    <cellStyle name="Style 30 3 2 3 4" xfId="46272" xr:uid="{00000000-0005-0000-0000-0000C5B40000}"/>
    <cellStyle name="Style 30 3 2 3 4 2" xfId="46273" xr:uid="{00000000-0005-0000-0000-0000C6B40000}"/>
    <cellStyle name="Style 30 3 2 3 4 3" xfId="46274" xr:uid="{00000000-0005-0000-0000-0000C7B40000}"/>
    <cellStyle name="Style 30 3 2 3 5" xfId="46275" xr:uid="{00000000-0005-0000-0000-0000C8B40000}"/>
    <cellStyle name="Style 30 3 2 3 5 2" xfId="46276" xr:uid="{00000000-0005-0000-0000-0000C9B40000}"/>
    <cellStyle name="Style 30 3 2 3 5 3" xfId="46277" xr:uid="{00000000-0005-0000-0000-0000CAB40000}"/>
    <cellStyle name="Style 30 3 2 3 6" xfId="46278" xr:uid="{00000000-0005-0000-0000-0000CBB40000}"/>
    <cellStyle name="Style 30 3 2 3 7" xfId="46279" xr:uid="{00000000-0005-0000-0000-0000CCB40000}"/>
    <cellStyle name="Style 30 3 2 3 8" xfId="46280" xr:uid="{00000000-0005-0000-0000-0000CDB40000}"/>
    <cellStyle name="Style 30 3 2 4" xfId="46281" xr:uid="{00000000-0005-0000-0000-0000CEB40000}"/>
    <cellStyle name="Style 30 3 2 4 2" xfId="46282" xr:uid="{00000000-0005-0000-0000-0000CFB40000}"/>
    <cellStyle name="Style 30 3 2 4 2 2" xfId="46283" xr:uid="{00000000-0005-0000-0000-0000D0B40000}"/>
    <cellStyle name="Style 30 3 2 4 2 3" xfId="46284" xr:uid="{00000000-0005-0000-0000-0000D1B40000}"/>
    <cellStyle name="Style 30 3 2 4 3" xfId="46285" xr:uid="{00000000-0005-0000-0000-0000D2B40000}"/>
    <cellStyle name="Style 30 3 2 4 3 2" xfId="46286" xr:uid="{00000000-0005-0000-0000-0000D3B40000}"/>
    <cellStyle name="Style 30 3 2 4 3 3" xfId="46287" xr:uid="{00000000-0005-0000-0000-0000D4B40000}"/>
    <cellStyle name="Style 30 3 2 4 4" xfId="46288" xr:uid="{00000000-0005-0000-0000-0000D5B40000}"/>
    <cellStyle name="Style 30 3 2 4 5" xfId="46289" xr:uid="{00000000-0005-0000-0000-0000D6B40000}"/>
    <cellStyle name="Style 30 3 2 4 6" xfId="46290" xr:uid="{00000000-0005-0000-0000-0000D7B40000}"/>
    <cellStyle name="Style 30 3 2 5" xfId="46291" xr:uid="{00000000-0005-0000-0000-0000D8B40000}"/>
    <cellStyle name="Style 30 3 2 5 2" xfId="46292" xr:uid="{00000000-0005-0000-0000-0000D9B40000}"/>
    <cellStyle name="Style 30 3 2 5 3" xfId="46293" xr:uid="{00000000-0005-0000-0000-0000DAB40000}"/>
    <cellStyle name="Style 30 3 2 6" xfId="46294" xr:uid="{00000000-0005-0000-0000-0000DBB40000}"/>
    <cellStyle name="Style 30 3 2 6 2" xfId="46295" xr:uid="{00000000-0005-0000-0000-0000DCB40000}"/>
    <cellStyle name="Style 30 3 2 6 3" xfId="46296" xr:uid="{00000000-0005-0000-0000-0000DDB40000}"/>
    <cellStyle name="Style 30 3 2 7" xfId="46297" xr:uid="{00000000-0005-0000-0000-0000DEB40000}"/>
    <cellStyle name="Style 30 3 2 7 2" xfId="46298" xr:uid="{00000000-0005-0000-0000-0000DFB40000}"/>
    <cellStyle name="Style 30 3 2 7 3" xfId="46299" xr:uid="{00000000-0005-0000-0000-0000E0B40000}"/>
    <cellStyle name="Style 30 3 2 8" xfId="46300" xr:uid="{00000000-0005-0000-0000-0000E1B40000}"/>
    <cellStyle name="Style 30 3 2 9" xfId="46301" xr:uid="{00000000-0005-0000-0000-0000E2B40000}"/>
    <cellStyle name="Style 30 3 3" xfId="46302" xr:uid="{00000000-0005-0000-0000-0000E3B40000}"/>
    <cellStyle name="Style 30 3 3 2" xfId="46303" xr:uid="{00000000-0005-0000-0000-0000E4B40000}"/>
    <cellStyle name="Style 30 3 3 2 2" xfId="46304" xr:uid="{00000000-0005-0000-0000-0000E5B40000}"/>
    <cellStyle name="Style 30 3 3 2 2 2" xfId="46305" xr:uid="{00000000-0005-0000-0000-0000E6B40000}"/>
    <cellStyle name="Style 30 3 3 2 2 3" xfId="46306" xr:uid="{00000000-0005-0000-0000-0000E7B40000}"/>
    <cellStyle name="Style 30 3 3 2 3" xfId="46307" xr:uid="{00000000-0005-0000-0000-0000E8B40000}"/>
    <cellStyle name="Style 30 3 3 2 3 2" xfId="46308" xr:uid="{00000000-0005-0000-0000-0000E9B40000}"/>
    <cellStyle name="Style 30 3 3 2 3 3" xfId="46309" xr:uid="{00000000-0005-0000-0000-0000EAB40000}"/>
    <cellStyle name="Style 30 3 3 2 4" xfId="46310" xr:uid="{00000000-0005-0000-0000-0000EBB40000}"/>
    <cellStyle name="Style 30 3 3 2 5" xfId="46311" xr:uid="{00000000-0005-0000-0000-0000ECB40000}"/>
    <cellStyle name="Style 30 3 3 2 6" xfId="46312" xr:uid="{00000000-0005-0000-0000-0000EDB40000}"/>
    <cellStyle name="Style 30 3 3 3" xfId="46313" xr:uid="{00000000-0005-0000-0000-0000EEB40000}"/>
    <cellStyle name="Style 30 3 3 3 2" xfId="46314" xr:uid="{00000000-0005-0000-0000-0000EFB40000}"/>
    <cellStyle name="Style 30 3 3 3 3" xfId="46315" xr:uid="{00000000-0005-0000-0000-0000F0B40000}"/>
    <cellStyle name="Style 30 3 3 4" xfId="46316" xr:uid="{00000000-0005-0000-0000-0000F1B40000}"/>
    <cellStyle name="Style 30 3 3 4 2" xfId="46317" xr:uid="{00000000-0005-0000-0000-0000F2B40000}"/>
    <cellStyle name="Style 30 3 3 4 3" xfId="46318" xr:uid="{00000000-0005-0000-0000-0000F3B40000}"/>
    <cellStyle name="Style 30 3 3 5" xfId="46319" xr:uid="{00000000-0005-0000-0000-0000F4B40000}"/>
    <cellStyle name="Style 30 3 3 5 2" xfId="46320" xr:uid="{00000000-0005-0000-0000-0000F5B40000}"/>
    <cellStyle name="Style 30 3 3 5 3" xfId="46321" xr:uid="{00000000-0005-0000-0000-0000F6B40000}"/>
    <cellStyle name="Style 30 3 3 6" xfId="46322" xr:uid="{00000000-0005-0000-0000-0000F7B40000}"/>
    <cellStyle name="Style 30 3 3 7" xfId="46323" xr:uid="{00000000-0005-0000-0000-0000F8B40000}"/>
    <cellStyle name="Style 30 3 3 8" xfId="46324" xr:uid="{00000000-0005-0000-0000-0000F9B40000}"/>
    <cellStyle name="Style 30 3 4" xfId="46325" xr:uid="{00000000-0005-0000-0000-0000FAB40000}"/>
    <cellStyle name="Style 30 3 4 2" xfId="46326" xr:uid="{00000000-0005-0000-0000-0000FBB40000}"/>
    <cellStyle name="Style 30 3 4 2 2" xfId="46327" xr:uid="{00000000-0005-0000-0000-0000FCB40000}"/>
    <cellStyle name="Style 30 3 4 2 2 2" xfId="46328" xr:uid="{00000000-0005-0000-0000-0000FDB40000}"/>
    <cellStyle name="Style 30 3 4 2 2 3" xfId="46329" xr:uid="{00000000-0005-0000-0000-0000FEB40000}"/>
    <cellStyle name="Style 30 3 4 2 3" xfId="46330" xr:uid="{00000000-0005-0000-0000-0000FFB40000}"/>
    <cellStyle name="Style 30 3 4 2 3 2" xfId="46331" xr:uid="{00000000-0005-0000-0000-000000B50000}"/>
    <cellStyle name="Style 30 3 4 2 3 3" xfId="46332" xr:uid="{00000000-0005-0000-0000-000001B50000}"/>
    <cellStyle name="Style 30 3 4 2 4" xfId="46333" xr:uid="{00000000-0005-0000-0000-000002B50000}"/>
    <cellStyle name="Style 30 3 4 2 5" xfId="46334" xr:uid="{00000000-0005-0000-0000-000003B50000}"/>
    <cellStyle name="Style 30 3 4 2 6" xfId="46335" xr:uid="{00000000-0005-0000-0000-000004B50000}"/>
    <cellStyle name="Style 30 3 4 3" xfId="46336" xr:uid="{00000000-0005-0000-0000-000005B50000}"/>
    <cellStyle name="Style 30 3 4 3 2" xfId="46337" xr:uid="{00000000-0005-0000-0000-000006B50000}"/>
    <cellStyle name="Style 30 3 4 3 3" xfId="46338" xr:uid="{00000000-0005-0000-0000-000007B50000}"/>
    <cellStyle name="Style 30 3 4 4" xfId="46339" xr:uid="{00000000-0005-0000-0000-000008B50000}"/>
    <cellStyle name="Style 30 3 4 4 2" xfId="46340" xr:uid="{00000000-0005-0000-0000-000009B50000}"/>
    <cellStyle name="Style 30 3 4 4 3" xfId="46341" xr:uid="{00000000-0005-0000-0000-00000AB50000}"/>
    <cellStyle name="Style 30 3 4 5" xfId="46342" xr:uid="{00000000-0005-0000-0000-00000BB50000}"/>
    <cellStyle name="Style 30 3 4 5 2" xfId="46343" xr:uid="{00000000-0005-0000-0000-00000CB50000}"/>
    <cellStyle name="Style 30 3 4 5 3" xfId="46344" xr:uid="{00000000-0005-0000-0000-00000DB50000}"/>
    <cellStyle name="Style 30 3 4 6" xfId="46345" xr:uid="{00000000-0005-0000-0000-00000EB50000}"/>
    <cellStyle name="Style 30 3 4 7" xfId="46346" xr:uid="{00000000-0005-0000-0000-00000FB50000}"/>
    <cellStyle name="Style 30 3 4 8" xfId="46347" xr:uid="{00000000-0005-0000-0000-000010B50000}"/>
    <cellStyle name="Style 30 3 5" xfId="46348" xr:uid="{00000000-0005-0000-0000-000011B50000}"/>
    <cellStyle name="Style 30 3 5 2" xfId="46349" xr:uid="{00000000-0005-0000-0000-000012B50000}"/>
    <cellStyle name="Style 30 3 5 2 2" xfId="46350" xr:uid="{00000000-0005-0000-0000-000013B50000}"/>
    <cellStyle name="Style 30 3 5 2 2 2" xfId="46351" xr:uid="{00000000-0005-0000-0000-000014B50000}"/>
    <cellStyle name="Style 30 3 5 2 2 3" xfId="46352" xr:uid="{00000000-0005-0000-0000-000015B50000}"/>
    <cellStyle name="Style 30 3 5 2 3" xfId="46353" xr:uid="{00000000-0005-0000-0000-000016B50000}"/>
    <cellStyle name="Style 30 3 5 2 3 2" xfId="46354" xr:uid="{00000000-0005-0000-0000-000017B50000}"/>
    <cellStyle name="Style 30 3 5 2 3 3" xfId="46355" xr:uid="{00000000-0005-0000-0000-000018B50000}"/>
    <cellStyle name="Style 30 3 5 2 4" xfId="46356" xr:uid="{00000000-0005-0000-0000-000019B50000}"/>
    <cellStyle name="Style 30 3 5 2 5" xfId="46357" xr:uid="{00000000-0005-0000-0000-00001AB50000}"/>
    <cellStyle name="Style 30 3 5 2 6" xfId="46358" xr:uid="{00000000-0005-0000-0000-00001BB50000}"/>
    <cellStyle name="Style 30 3 5 3" xfId="46359" xr:uid="{00000000-0005-0000-0000-00001CB50000}"/>
    <cellStyle name="Style 30 3 5 3 2" xfId="46360" xr:uid="{00000000-0005-0000-0000-00001DB50000}"/>
    <cellStyle name="Style 30 3 5 3 3" xfId="46361" xr:uid="{00000000-0005-0000-0000-00001EB50000}"/>
    <cellStyle name="Style 30 3 5 4" xfId="46362" xr:uid="{00000000-0005-0000-0000-00001FB50000}"/>
    <cellStyle name="Style 30 3 5 4 2" xfId="46363" xr:uid="{00000000-0005-0000-0000-000020B50000}"/>
    <cellStyle name="Style 30 3 5 4 3" xfId="46364" xr:uid="{00000000-0005-0000-0000-000021B50000}"/>
    <cellStyle name="Style 30 3 5 5" xfId="46365" xr:uid="{00000000-0005-0000-0000-000022B50000}"/>
    <cellStyle name="Style 30 3 5 5 2" xfId="46366" xr:uid="{00000000-0005-0000-0000-000023B50000}"/>
    <cellStyle name="Style 30 3 5 5 3" xfId="46367" xr:uid="{00000000-0005-0000-0000-000024B50000}"/>
    <cellStyle name="Style 30 3 5 6" xfId="46368" xr:uid="{00000000-0005-0000-0000-000025B50000}"/>
    <cellStyle name="Style 30 3 5 7" xfId="46369" xr:uid="{00000000-0005-0000-0000-000026B50000}"/>
    <cellStyle name="Style 30 3 5 8" xfId="46370" xr:uid="{00000000-0005-0000-0000-000027B50000}"/>
    <cellStyle name="Style 30 3 6" xfId="46371" xr:uid="{00000000-0005-0000-0000-000028B50000}"/>
    <cellStyle name="Style 30 3 6 2" xfId="46372" xr:uid="{00000000-0005-0000-0000-000029B50000}"/>
    <cellStyle name="Style 30 3 6 2 2" xfId="46373" xr:uid="{00000000-0005-0000-0000-00002AB50000}"/>
    <cellStyle name="Style 30 3 6 2 3" xfId="46374" xr:uid="{00000000-0005-0000-0000-00002BB50000}"/>
    <cellStyle name="Style 30 3 6 3" xfId="46375" xr:uid="{00000000-0005-0000-0000-00002CB50000}"/>
    <cellStyle name="Style 30 3 6 3 2" xfId="46376" xr:uid="{00000000-0005-0000-0000-00002DB50000}"/>
    <cellStyle name="Style 30 3 6 3 3" xfId="46377" xr:uid="{00000000-0005-0000-0000-00002EB50000}"/>
    <cellStyle name="Style 30 3 6 4" xfId="46378" xr:uid="{00000000-0005-0000-0000-00002FB50000}"/>
    <cellStyle name="Style 30 3 6 5" xfId="46379" xr:uid="{00000000-0005-0000-0000-000030B50000}"/>
    <cellStyle name="Style 30 3 6 6" xfId="46380" xr:uid="{00000000-0005-0000-0000-000031B50000}"/>
    <cellStyle name="Style 30 3 7" xfId="46381" xr:uid="{00000000-0005-0000-0000-000032B50000}"/>
    <cellStyle name="Style 30 3 7 2" xfId="46382" xr:uid="{00000000-0005-0000-0000-000033B50000}"/>
    <cellStyle name="Style 30 3 7 3" xfId="46383" xr:uid="{00000000-0005-0000-0000-000034B50000}"/>
    <cellStyle name="Style 30 3 8" xfId="46384" xr:uid="{00000000-0005-0000-0000-000035B50000}"/>
    <cellStyle name="Style 30 3 8 2" xfId="46385" xr:uid="{00000000-0005-0000-0000-000036B50000}"/>
    <cellStyle name="Style 30 3 8 3" xfId="46386" xr:uid="{00000000-0005-0000-0000-000037B50000}"/>
    <cellStyle name="Style 30 3 9" xfId="46387" xr:uid="{00000000-0005-0000-0000-000038B50000}"/>
    <cellStyle name="Style 30 3 9 2" xfId="46388" xr:uid="{00000000-0005-0000-0000-000039B50000}"/>
    <cellStyle name="Style 30 3 9 3" xfId="46389" xr:uid="{00000000-0005-0000-0000-00003AB50000}"/>
    <cellStyle name="Style 30 4" xfId="46390" xr:uid="{00000000-0005-0000-0000-00003BB50000}"/>
    <cellStyle name="Style 30 4 10" xfId="46391" xr:uid="{00000000-0005-0000-0000-00003CB50000}"/>
    <cellStyle name="Style 30 4 11" xfId="46392" xr:uid="{00000000-0005-0000-0000-00003DB50000}"/>
    <cellStyle name="Style 30 4 12" xfId="46393" xr:uid="{00000000-0005-0000-0000-00003EB50000}"/>
    <cellStyle name="Style 30 4 2" xfId="46394" xr:uid="{00000000-0005-0000-0000-00003FB50000}"/>
    <cellStyle name="Style 30 4 2 10" xfId="46395" xr:uid="{00000000-0005-0000-0000-000040B50000}"/>
    <cellStyle name="Style 30 4 2 2" xfId="46396" xr:uid="{00000000-0005-0000-0000-000041B50000}"/>
    <cellStyle name="Style 30 4 2 2 2" xfId="46397" xr:uid="{00000000-0005-0000-0000-000042B50000}"/>
    <cellStyle name="Style 30 4 2 2 2 2" xfId="46398" xr:uid="{00000000-0005-0000-0000-000043B50000}"/>
    <cellStyle name="Style 30 4 2 2 2 2 2" xfId="46399" xr:uid="{00000000-0005-0000-0000-000044B50000}"/>
    <cellStyle name="Style 30 4 2 2 2 2 3" xfId="46400" xr:uid="{00000000-0005-0000-0000-000045B50000}"/>
    <cellStyle name="Style 30 4 2 2 2 3" xfId="46401" xr:uid="{00000000-0005-0000-0000-000046B50000}"/>
    <cellStyle name="Style 30 4 2 2 2 3 2" xfId="46402" xr:uid="{00000000-0005-0000-0000-000047B50000}"/>
    <cellStyle name="Style 30 4 2 2 2 3 3" xfId="46403" xr:uid="{00000000-0005-0000-0000-000048B50000}"/>
    <cellStyle name="Style 30 4 2 2 2 4" xfId="46404" xr:uid="{00000000-0005-0000-0000-000049B50000}"/>
    <cellStyle name="Style 30 4 2 2 2 5" xfId="46405" xr:uid="{00000000-0005-0000-0000-00004AB50000}"/>
    <cellStyle name="Style 30 4 2 2 2 6" xfId="46406" xr:uid="{00000000-0005-0000-0000-00004BB50000}"/>
    <cellStyle name="Style 30 4 2 2 3" xfId="46407" xr:uid="{00000000-0005-0000-0000-00004CB50000}"/>
    <cellStyle name="Style 30 4 2 2 3 2" xfId="46408" xr:uid="{00000000-0005-0000-0000-00004DB50000}"/>
    <cellStyle name="Style 30 4 2 2 3 3" xfId="46409" xr:uid="{00000000-0005-0000-0000-00004EB50000}"/>
    <cellStyle name="Style 30 4 2 2 4" xfId="46410" xr:uid="{00000000-0005-0000-0000-00004FB50000}"/>
    <cellStyle name="Style 30 4 2 2 4 2" xfId="46411" xr:uid="{00000000-0005-0000-0000-000050B50000}"/>
    <cellStyle name="Style 30 4 2 2 4 3" xfId="46412" xr:uid="{00000000-0005-0000-0000-000051B50000}"/>
    <cellStyle name="Style 30 4 2 2 5" xfId="46413" xr:uid="{00000000-0005-0000-0000-000052B50000}"/>
    <cellStyle name="Style 30 4 2 2 5 2" xfId="46414" xr:uid="{00000000-0005-0000-0000-000053B50000}"/>
    <cellStyle name="Style 30 4 2 2 5 3" xfId="46415" xr:uid="{00000000-0005-0000-0000-000054B50000}"/>
    <cellStyle name="Style 30 4 2 2 6" xfId="46416" xr:uid="{00000000-0005-0000-0000-000055B50000}"/>
    <cellStyle name="Style 30 4 2 2 7" xfId="46417" xr:uid="{00000000-0005-0000-0000-000056B50000}"/>
    <cellStyle name="Style 30 4 2 2 8" xfId="46418" xr:uid="{00000000-0005-0000-0000-000057B50000}"/>
    <cellStyle name="Style 30 4 2 3" xfId="46419" xr:uid="{00000000-0005-0000-0000-000058B50000}"/>
    <cellStyle name="Style 30 4 2 3 2" xfId="46420" xr:uid="{00000000-0005-0000-0000-000059B50000}"/>
    <cellStyle name="Style 30 4 2 3 2 2" xfId="46421" xr:uid="{00000000-0005-0000-0000-00005AB50000}"/>
    <cellStyle name="Style 30 4 2 3 2 2 2" xfId="46422" xr:uid="{00000000-0005-0000-0000-00005BB50000}"/>
    <cellStyle name="Style 30 4 2 3 2 2 3" xfId="46423" xr:uid="{00000000-0005-0000-0000-00005CB50000}"/>
    <cellStyle name="Style 30 4 2 3 2 3" xfId="46424" xr:uid="{00000000-0005-0000-0000-00005DB50000}"/>
    <cellStyle name="Style 30 4 2 3 2 3 2" xfId="46425" xr:uid="{00000000-0005-0000-0000-00005EB50000}"/>
    <cellStyle name="Style 30 4 2 3 2 3 3" xfId="46426" xr:uid="{00000000-0005-0000-0000-00005FB50000}"/>
    <cellStyle name="Style 30 4 2 3 2 4" xfId="46427" xr:uid="{00000000-0005-0000-0000-000060B50000}"/>
    <cellStyle name="Style 30 4 2 3 2 5" xfId="46428" xr:uid="{00000000-0005-0000-0000-000061B50000}"/>
    <cellStyle name="Style 30 4 2 3 2 6" xfId="46429" xr:uid="{00000000-0005-0000-0000-000062B50000}"/>
    <cellStyle name="Style 30 4 2 3 3" xfId="46430" xr:uid="{00000000-0005-0000-0000-000063B50000}"/>
    <cellStyle name="Style 30 4 2 3 3 2" xfId="46431" xr:uid="{00000000-0005-0000-0000-000064B50000}"/>
    <cellStyle name="Style 30 4 2 3 3 3" xfId="46432" xr:uid="{00000000-0005-0000-0000-000065B50000}"/>
    <cellStyle name="Style 30 4 2 3 4" xfId="46433" xr:uid="{00000000-0005-0000-0000-000066B50000}"/>
    <cellStyle name="Style 30 4 2 3 4 2" xfId="46434" xr:uid="{00000000-0005-0000-0000-000067B50000}"/>
    <cellStyle name="Style 30 4 2 3 4 3" xfId="46435" xr:uid="{00000000-0005-0000-0000-000068B50000}"/>
    <cellStyle name="Style 30 4 2 3 5" xfId="46436" xr:uid="{00000000-0005-0000-0000-000069B50000}"/>
    <cellStyle name="Style 30 4 2 3 5 2" xfId="46437" xr:uid="{00000000-0005-0000-0000-00006AB50000}"/>
    <cellStyle name="Style 30 4 2 3 5 3" xfId="46438" xr:uid="{00000000-0005-0000-0000-00006BB50000}"/>
    <cellStyle name="Style 30 4 2 3 6" xfId="46439" xr:uid="{00000000-0005-0000-0000-00006CB50000}"/>
    <cellStyle name="Style 30 4 2 3 7" xfId="46440" xr:uid="{00000000-0005-0000-0000-00006DB50000}"/>
    <cellStyle name="Style 30 4 2 3 8" xfId="46441" xr:uid="{00000000-0005-0000-0000-00006EB50000}"/>
    <cellStyle name="Style 30 4 2 4" xfId="46442" xr:uid="{00000000-0005-0000-0000-00006FB50000}"/>
    <cellStyle name="Style 30 4 2 4 2" xfId="46443" xr:uid="{00000000-0005-0000-0000-000070B50000}"/>
    <cellStyle name="Style 30 4 2 4 2 2" xfId="46444" xr:uid="{00000000-0005-0000-0000-000071B50000}"/>
    <cellStyle name="Style 30 4 2 4 2 3" xfId="46445" xr:uid="{00000000-0005-0000-0000-000072B50000}"/>
    <cellStyle name="Style 30 4 2 4 3" xfId="46446" xr:uid="{00000000-0005-0000-0000-000073B50000}"/>
    <cellStyle name="Style 30 4 2 4 3 2" xfId="46447" xr:uid="{00000000-0005-0000-0000-000074B50000}"/>
    <cellStyle name="Style 30 4 2 4 3 3" xfId="46448" xr:uid="{00000000-0005-0000-0000-000075B50000}"/>
    <cellStyle name="Style 30 4 2 4 4" xfId="46449" xr:uid="{00000000-0005-0000-0000-000076B50000}"/>
    <cellStyle name="Style 30 4 2 4 5" xfId="46450" xr:uid="{00000000-0005-0000-0000-000077B50000}"/>
    <cellStyle name="Style 30 4 2 4 6" xfId="46451" xr:uid="{00000000-0005-0000-0000-000078B50000}"/>
    <cellStyle name="Style 30 4 2 5" xfId="46452" xr:uid="{00000000-0005-0000-0000-000079B50000}"/>
    <cellStyle name="Style 30 4 2 5 2" xfId="46453" xr:uid="{00000000-0005-0000-0000-00007AB50000}"/>
    <cellStyle name="Style 30 4 2 5 3" xfId="46454" xr:uid="{00000000-0005-0000-0000-00007BB50000}"/>
    <cellStyle name="Style 30 4 2 6" xfId="46455" xr:uid="{00000000-0005-0000-0000-00007CB50000}"/>
    <cellStyle name="Style 30 4 2 6 2" xfId="46456" xr:uid="{00000000-0005-0000-0000-00007DB50000}"/>
    <cellStyle name="Style 30 4 2 6 3" xfId="46457" xr:uid="{00000000-0005-0000-0000-00007EB50000}"/>
    <cellStyle name="Style 30 4 2 7" xfId="46458" xr:uid="{00000000-0005-0000-0000-00007FB50000}"/>
    <cellStyle name="Style 30 4 2 7 2" xfId="46459" xr:uid="{00000000-0005-0000-0000-000080B50000}"/>
    <cellStyle name="Style 30 4 2 7 3" xfId="46460" xr:uid="{00000000-0005-0000-0000-000081B50000}"/>
    <cellStyle name="Style 30 4 2 8" xfId="46461" xr:uid="{00000000-0005-0000-0000-000082B50000}"/>
    <cellStyle name="Style 30 4 2 9" xfId="46462" xr:uid="{00000000-0005-0000-0000-000083B50000}"/>
    <cellStyle name="Style 30 4 3" xfId="46463" xr:uid="{00000000-0005-0000-0000-000084B50000}"/>
    <cellStyle name="Style 30 4 3 2" xfId="46464" xr:uid="{00000000-0005-0000-0000-000085B50000}"/>
    <cellStyle name="Style 30 4 3 2 2" xfId="46465" xr:uid="{00000000-0005-0000-0000-000086B50000}"/>
    <cellStyle name="Style 30 4 3 2 2 2" xfId="46466" xr:uid="{00000000-0005-0000-0000-000087B50000}"/>
    <cellStyle name="Style 30 4 3 2 2 3" xfId="46467" xr:uid="{00000000-0005-0000-0000-000088B50000}"/>
    <cellStyle name="Style 30 4 3 2 3" xfId="46468" xr:uid="{00000000-0005-0000-0000-000089B50000}"/>
    <cellStyle name="Style 30 4 3 2 3 2" xfId="46469" xr:uid="{00000000-0005-0000-0000-00008AB50000}"/>
    <cellStyle name="Style 30 4 3 2 3 3" xfId="46470" xr:uid="{00000000-0005-0000-0000-00008BB50000}"/>
    <cellStyle name="Style 30 4 3 2 4" xfId="46471" xr:uid="{00000000-0005-0000-0000-00008CB50000}"/>
    <cellStyle name="Style 30 4 3 2 5" xfId="46472" xr:uid="{00000000-0005-0000-0000-00008DB50000}"/>
    <cellStyle name="Style 30 4 3 2 6" xfId="46473" xr:uid="{00000000-0005-0000-0000-00008EB50000}"/>
    <cellStyle name="Style 30 4 3 3" xfId="46474" xr:uid="{00000000-0005-0000-0000-00008FB50000}"/>
    <cellStyle name="Style 30 4 3 3 2" xfId="46475" xr:uid="{00000000-0005-0000-0000-000090B50000}"/>
    <cellStyle name="Style 30 4 3 3 3" xfId="46476" xr:uid="{00000000-0005-0000-0000-000091B50000}"/>
    <cellStyle name="Style 30 4 3 4" xfId="46477" xr:uid="{00000000-0005-0000-0000-000092B50000}"/>
    <cellStyle name="Style 30 4 3 4 2" xfId="46478" xr:uid="{00000000-0005-0000-0000-000093B50000}"/>
    <cellStyle name="Style 30 4 3 4 3" xfId="46479" xr:uid="{00000000-0005-0000-0000-000094B50000}"/>
    <cellStyle name="Style 30 4 3 5" xfId="46480" xr:uid="{00000000-0005-0000-0000-000095B50000}"/>
    <cellStyle name="Style 30 4 3 5 2" xfId="46481" xr:uid="{00000000-0005-0000-0000-000096B50000}"/>
    <cellStyle name="Style 30 4 3 5 3" xfId="46482" xr:uid="{00000000-0005-0000-0000-000097B50000}"/>
    <cellStyle name="Style 30 4 3 6" xfId="46483" xr:uid="{00000000-0005-0000-0000-000098B50000}"/>
    <cellStyle name="Style 30 4 3 7" xfId="46484" xr:uid="{00000000-0005-0000-0000-000099B50000}"/>
    <cellStyle name="Style 30 4 3 8" xfId="46485" xr:uid="{00000000-0005-0000-0000-00009AB50000}"/>
    <cellStyle name="Style 30 4 4" xfId="46486" xr:uid="{00000000-0005-0000-0000-00009BB50000}"/>
    <cellStyle name="Style 30 4 4 2" xfId="46487" xr:uid="{00000000-0005-0000-0000-00009CB50000}"/>
    <cellStyle name="Style 30 4 4 2 2" xfId="46488" xr:uid="{00000000-0005-0000-0000-00009DB50000}"/>
    <cellStyle name="Style 30 4 4 2 2 2" xfId="46489" xr:uid="{00000000-0005-0000-0000-00009EB50000}"/>
    <cellStyle name="Style 30 4 4 2 2 3" xfId="46490" xr:uid="{00000000-0005-0000-0000-00009FB50000}"/>
    <cellStyle name="Style 30 4 4 2 3" xfId="46491" xr:uid="{00000000-0005-0000-0000-0000A0B50000}"/>
    <cellStyle name="Style 30 4 4 2 3 2" xfId="46492" xr:uid="{00000000-0005-0000-0000-0000A1B50000}"/>
    <cellStyle name="Style 30 4 4 2 3 3" xfId="46493" xr:uid="{00000000-0005-0000-0000-0000A2B50000}"/>
    <cellStyle name="Style 30 4 4 2 4" xfId="46494" xr:uid="{00000000-0005-0000-0000-0000A3B50000}"/>
    <cellStyle name="Style 30 4 4 2 5" xfId="46495" xr:uid="{00000000-0005-0000-0000-0000A4B50000}"/>
    <cellStyle name="Style 30 4 4 2 6" xfId="46496" xr:uid="{00000000-0005-0000-0000-0000A5B50000}"/>
    <cellStyle name="Style 30 4 4 3" xfId="46497" xr:uid="{00000000-0005-0000-0000-0000A6B50000}"/>
    <cellStyle name="Style 30 4 4 3 2" xfId="46498" xr:uid="{00000000-0005-0000-0000-0000A7B50000}"/>
    <cellStyle name="Style 30 4 4 3 3" xfId="46499" xr:uid="{00000000-0005-0000-0000-0000A8B50000}"/>
    <cellStyle name="Style 30 4 4 4" xfId="46500" xr:uid="{00000000-0005-0000-0000-0000A9B50000}"/>
    <cellStyle name="Style 30 4 4 4 2" xfId="46501" xr:uid="{00000000-0005-0000-0000-0000AAB50000}"/>
    <cellStyle name="Style 30 4 4 4 3" xfId="46502" xr:uid="{00000000-0005-0000-0000-0000ABB50000}"/>
    <cellStyle name="Style 30 4 4 5" xfId="46503" xr:uid="{00000000-0005-0000-0000-0000ACB50000}"/>
    <cellStyle name="Style 30 4 4 5 2" xfId="46504" xr:uid="{00000000-0005-0000-0000-0000ADB50000}"/>
    <cellStyle name="Style 30 4 4 5 3" xfId="46505" xr:uid="{00000000-0005-0000-0000-0000AEB50000}"/>
    <cellStyle name="Style 30 4 4 6" xfId="46506" xr:uid="{00000000-0005-0000-0000-0000AFB50000}"/>
    <cellStyle name="Style 30 4 4 7" xfId="46507" xr:uid="{00000000-0005-0000-0000-0000B0B50000}"/>
    <cellStyle name="Style 30 4 4 8" xfId="46508" xr:uid="{00000000-0005-0000-0000-0000B1B50000}"/>
    <cellStyle name="Style 30 4 5" xfId="46509" xr:uid="{00000000-0005-0000-0000-0000B2B50000}"/>
    <cellStyle name="Style 30 4 5 2" xfId="46510" xr:uid="{00000000-0005-0000-0000-0000B3B50000}"/>
    <cellStyle name="Style 30 4 5 2 2" xfId="46511" xr:uid="{00000000-0005-0000-0000-0000B4B50000}"/>
    <cellStyle name="Style 30 4 5 2 2 2" xfId="46512" xr:uid="{00000000-0005-0000-0000-0000B5B50000}"/>
    <cellStyle name="Style 30 4 5 2 2 3" xfId="46513" xr:uid="{00000000-0005-0000-0000-0000B6B50000}"/>
    <cellStyle name="Style 30 4 5 2 3" xfId="46514" xr:uid="{00000000-0005-0000-0000-0000B7B50000}"/>
    <cellStyle name="Style 30 4 5 2 3 2" xfId="46515" xr:uid="{00000000-0005-0000-0000-0000B8B50000}"/>
    <cellStyle name="Style 30 4 5 2 3 3" xfId="46516" xr:uid="{00000000-0005-0000-0000-0000B9B50000}"/>
    <cellStyle name="Style 30 4 5 2 4" xfId="46517" xr:uid="{00000000-0005-0000-0000-0000BAB50000}"/>
    <cellStyle name="Style 30 4 5 2 5" xfId="46518" xr:uid="{00000000-0005-0000-0000-0000BBB50000}"/>
    <cellStyle name="Style 30 4 5 2 6" xfId="46519" xr:uid="{00000000-0005-0000-0000-0000BCB50000}"/>
    <cellStyle name="Style 30 4 5 3" xfId="46520" xr:uid="{00000000-0005-0000-0000-0000BDB50000}"/>
    <cellStyle name="Style 30 4 5 3 2" xfId="46521" xr:uid="{00000000-0005-0000-0000-0000BEB50000}"/>
    <cellStyle name="Style 30 4 5 3 3" xfId="46522" xr:uid="{00000000-0005-0000-0000-0000BFB50000}"/>
    <cellStyle name="Style 30 4 5 4" xfId="46523" xr:uid="{00000000-0005-0000-0000-0000C0B50000}"/>
    <cellStyle name="Style 30 4 5 4 2" xfId="46524" xr:uid="{00000000-0005-0000-0000-0000C1B50000}"/>
    <cellStyle name="Style 30 4 5 4 3" xfId="46525" xr:uid="{00000000-0005-0000-0000-0000C2B50000}"/>
    <cellStyle name="Style 30 4 5 5" xfId="46526" xr:uid="{00000000-0005-0000-0000-0000C3B50000}"/>
    <cellStyle name="Style 30 4 5 5 2" xfId="46527" xr:uid="{00000000-0005-0000-0000-0000C4B50000}"/>
    <cellStyle name="Style 30 4 5 5 3" xfId="46528" xr:uid="{00000000-0005-0000-0000-0000C5B50000}"/>
    <cellStyle name="Style 30 4 5 6" xfId="46529" xr:uid="{00000000-0005-0000-0000-0000C6B50000}"/>
    <cellStyle name="Style 30 4 5 7" xfId="46530" xr:uid="{00000000-0005-0000-0000-0000C7B50000}"/>
    <cellStyle name="Style 30 4 5 8" xfId="46531" xr:uid="{00000000-0005-0000-0000-0000C8B50000}"/>
    <cellStyle name="Style 30 4 6" xfId="46532" xr:uid="{00000000-0005-0000-0000-0000C9B50000}"/>
    <cellStyle name="Style 30 4 6 2" xfId="46533" xr:uid="{00000000-0005-0000-0000-0000CAB50000}"/>
    <cellStyle name="Style 30 4 6 2 2" xfId="46534" xr:uid="{00000000-0005-0000-0000-0000CBB50000}"/>
    <cellStyle name="Style 30 4 6 2 3" xfId="46535" xr:uid="{00000000-0005-0000-0000-0000CCB50000}"/>
    <cellStyle name="Style 30 4 6 3" xfId="46536" xr:uid="{00000000-0005-0000-0000-0000CDB50000}"/>
    <cellStyle name="Style 30 4 6 3 2" xfId="46537" xr:uid="{00000000-0005-0000-0000-0000CEB50000}"/>
    <cellStyle name="Style 30 4 6 3 3" xfId="46538" xr:uid="{00000000-0005-0000-0000-0000CFB50000}"/>
    <cellStyle name="Style 30 4 6 4" xfId="46539" xr:uid="{00000000-0005-0000-0000-0000D0B50000}"/>
    <cellStyle name="Style 30 4 6 5" xfId="46540" xr:uid="{00000000-0005-0000-0000-0000D1B50000}"/>
    <cellStyle name="Style 30 4 6 6" xfId="46541" xr:uid="{00000000-0005-0000-0000-0000D2B50000}"/>
    <cellStyle name="Style 30 4 7" xfId="46542" xr:uid="{00000000-0005-0000-0000-0000D3B50000}"/>
    <cellStyle name="Style 30 4 7 2" xfId="46543" xr:uid="{00000000-0005-0000-0000-0000D4B50000}"/>
    <cellStyle name="Style 30 4 7 3" xfId="46544" xr:uid="{00000000-0005-0000-0000-0000D5B50000}"/>
    <cellStyle name="Style 30 4 8" xfId="46545" xr:uid="{00000000-0005-0000-0000-0000D6B50000}"/>
    <cellStyle name="Style 30 4 8 2" xfId="46546" xr:uid="{00000000-0005-0000-0000-0000D7B50000}"/>
    <cellStyle name="Style 30 4 8 3" xfId="46547" xr:uid="{00000000-0005-0000-0000-0000D8B50000}"/>
    <cellStyle name="Style 30 4 9" xfId="46548" xr:uid="{00000000-0005-0000-0000-0000D9B50000}"/>
    <cellStyle name="Style 30 4 9 2" xfId="46549" xr:uid="{00000000-0005-0000-0000-0000DAB50000}"/>
    <cellStyle name="Style 30 4 9 3" xfId="46550" xr:uid="{00000000-0005-0000-0000-0000DBB50000}"/>
    <cellStyle name="Style 30 5" xfId="46551" xr:uid="{00000000-0005-0000-0000-0000DCB50000}"/>
    <cellStyle name="Style 30 5 10" xfId="46552" xr:uid="{00000000-0005-0000-0000-0000DDB50000}"/>
    <cellStyle name="Style 30 5 11" xfId="46553" xr:uid="{00000000-0005-0000-0000-0000DEB50000}"/>
    <cellStyle name="Style 30 5 12" xfId="46554" xr:uid="{00000000-0005-0000-0000-0000DFB50000}"/>
    <cellStyle name="Style 30 5 2" xfId="46555" xr:uid="{00000000-0005-0000-0000-0000E0B50000}"/>
    <cellStyle name="Style 30 5 2 10" xfId="46556" xr:uid="{00000000-0005-0000-0000-0000E1B50000}"/>
    <cellStyle name="Style 30 5 2 2" xfId="46557" xr:uid="{00000000-0005-0000-0000-0000E2B50000}"/>
    <cellStyle name="Style 30 5 2 2 2" xfId="46558" xr:uid="{00000000-0005-0000-0000-0000E3B50000}"/>
    <cellStyle name="Style 30 5 2 2 2 2" xfId="46559" xr:uid="{00000000-0005-0000-0000-0000E4B50000}"/>
    <cellStyle name="Style 30 5 2 2 2 2 2" xfId="46560" xr:uid="{00000000-0005-0000-0000-0000E5B50000}"/>
    <cellStyle name="Style 30 5 2 2 2 2 3" xfId="46561" xr:uid="{00000000-0005-0000-0000-0000E6B50000}"/>
    <cellStyle name="Style 30 5 2 2 2 3" xfId="46562" xr:uid="{00000000-0005-0000-0000-0000E7B50000}"/>
    <cellStyle name="Style 30 5 2 2 2 3 2" xfId="46563" xr:uid="{00000000-0005-0000-0000-0000E8B50000}"/>
    <cellStyle name="Style 30 5 2 2 2 3 3" xfId="46564" xr:uid="{00000000-0005-0000-0000-0000E9B50000}"/>
    <cellStyle name="Style 30 5 2 2 2 4" xfId="46565" xr:uid="{00000000-0005-0000-0000-0000EAB50000}"/>
    <cellStyle name="Style 30 5 2 2 2 5" xfId="46566" xr:uid="{00000000-0005-0000-0000-0000EBB50000}"/>
    <cellStyle name="Style 30 5 2 2 2 6" xfId="46567" xr:uid="{00000000-0005-0000-0000-0000ECB50000}"/>
    <cellStyle name="Style 30 5 2 2 3" xfId="46568" xr:uid="{00000000-0005-0000-0000-0000EDB50000}"/>
    <cellStyle name="Style 30 5 2 2 3 2" xfId="46569" xr:uid="{00000000-0005-0000-0000-0000EEB50000}"/>
    <cellStyle name="Style 30 5 2 2 3 3" xfId="46570" xr:uid="{00000000-0005-0000-0000-0000EFB50000}"/>
    <cellStyle name="Style 30 5 2 2 4" xfId="46571" xr:uid="{00000000-0005-0000-0000-0000F0B50000}"/>
    <cellStyle name="Style 30 5 2 2 4 2" xfId="46572" xr:uid="{00000000-0005-0000-0000-0000F1B50000}"/>
    <cellStyle name="Style 30 5 2 2 4 3" xfId="46573" xr:uid="{00000000-0005-0000-0000-0000F2B50000}"/>
    <cellStyle name="Style 30 5 2 2 5" xfId="46574" xr:uid="{00000000-0005-0000-0000-0000F3B50000}"/>
    <cellStyle name="Style 30 5 2 2 5 2" xfId="46575" xr:uid="{00000000-0005-0000-0000-0000F4B50000}"/>
    <cellStyle name="Style 30 5 2 2 5 3" xfId="46576" xr:uid="{00000000-0005-0000-0000-0000F5B50000}"/>
    <cellStyle name="Style 30 5 2 2 6" xfId="46577" xr:uid="{00000000-0005-0000-0000-0000F6B50000}"/>
    <cellStyle name="Style 30 5 2 2 7" xfId="46578" xr:uid="{00000000-0005-0000-0000-0000F7B50000}"/>
    <cellStyle name="Style 30 5 2 2 8" xfId="46579" xr:uid="{00000000-0005-0000-0000-0000F8B50000}"/>
    <cellStyle name="Style 30 5 2 3" xfId="46580" xr:uid="{00000000-0005-0000-0000-0000F9B50000}"/>
    <cellStyle name="Style 30 5 2 3 2" xfId="46581" xr:uid="{00000000-0005-0000-0000-0000FAB50000}"/>
    <cellStyle name="Style 30 5 2 3 2 2" xfId="46582" xr:uid="{00000000-0005-0000-0000-0000FBB50000}"/>
    <cellStyle name="Style 30 5 2 3 2 2 2" xfId="46583" xr:uid="{00000000-0005-0000-0000-0000FCB50000}"/>
    <cellStyle name="Style 30 5 2 3 2 2 3" xfId="46584" xr:uid="{00000000-0005-0000-0000-0000FDB50000}"/>
    <cellStyle name="Style 30 5 2 3 2 3" xfId="46585" xr:uid="{00000000-0005-0000-0000-0000FEB50000}"/>
    <cellStyle name="Style 30 5 2 3 2 3 2" xfId="46586" xr:uid="{00000000-0005-0000-0000-0000FFB50000}"/>
    <cellStyle name="Style 30 5 2 3 2 3 3" xfId="46587" xr:uid="{00000000-0005-0000-0000-000000B60000}"/>
    <cellStyle name="Style 30 5 2 3 2 4" xfId="46588" xr:uid="{00000000-0005-0000-0000-000001B60000}"/>
    <cellStyle name="Style 30 5 2 3 2 5" xfId="46589" xr:uid="{00000000-0005-0000-0000-000002B60000}"/>
    <cellStyle name="Style 30 5 2 3 2 6" xfId="46590" xr:uid="{00000000-0005-0000-0000-000003B60000}"/>
    <cellStyle name="Style 30 5 2 3 3" xfId="46591" xr:uid="{00000000-0005-0000-0000-000004B60000}"/>
    <cellStyle name="Style 30 5 2 3 3 2" xfId="46592" xr:uid="{00000000-0005-0000-0000-000005B60000}"/>
    <cellStyle name="Style 30 5 2 3 3 3" xfId="46593" xr:uid="{00000000-0005-0000-0000-000006B60000}"/>
    <cellStyle name="Style 30 5 2 3 4" xfId="46594" xr:uid="{00000000-0005-0000-0000-000007B60000}"/>
    <cellStyle name="Style 30 5 2 3 4 2" xfId="46595" xr:uid="{00000000-0005-0000-0000-000008B60000}"/>
    <cellStyle name="Style 30 5 2 3 4 3" xfId="46596" xr:uid="{00000000-0005-0000-0000-000009B60000}"/>
    <cellStyle name="Style 30 5 2 3 5" xfId="46597" xr:uid="{00000000-0005-0000-0000-00000AB60000}"/>
    <cellStyle name="Style 30 5 2 3 5 2" xfId="46598" xr:uid="{00000000-0005-0000-0000-00000BB60000}"/>
    <cellStyle name="Style 30 5 2 3 5 3" xfId="46599" xr:uid="{00000000-0005-0000-0000-00000CB60000}"/>
    <cellStyle name="Style 30 5 2 3 6" xfId="46600" xr:uid="{00000000-0005-0000-0000-00000DB60000}"/>
    <cellStyle name="Style 30 5 2 3 7" xfId="46601" xr:uid="{00000000-0005-0000-0000-00000EB60000}"/>
    <cellStyle name="Style 30 5 2 3 8" xfId="46602" xr:uid="{00000000-0005-0000-0000-00000FB60000}"/>
    <cellStyle name="Style 30 5 2 4" xfId="46603" xr:uid="{00000000-0005-0000-0000-000010B60000}"/>
    <cellStyle name="Style 30 5 2 4 2" xfId="46604" xr:uid="{00000000-0005-0000-0000-000011B60000}"/>
    <cellStyle name="Style 30 5 2 4 2 2" xfId="46605" xr:uid="{00000000-0005-0000-0000-000012B60000}"/>
    <cellStyle name="Style 30 5 2 4 2 3" xfId="46606" xr:uid="{00000000-0005-0000-0000-000013B60000}"/>
    <cellStyle name="Style 30 5 2 4 3" xfId="46607" xr:uid="{00000000-0005-0000-0000-000014B60000}"/>
    <cellStyle name="Style 30 5 2 4 3 2" xfId="46608" xr:uid="{00000000-0005-0000-0000-000015B60000}"/>
    <cellStyle name="Style 30 5 2 4 3 3" xfId="46609" xr:uid="{00000000-0005-0000-0000-000016B60000}"/>
    <cellStyle name="Style 30 5 2 4 4" xfId="46610" xr:uid="{00000000-0005-0000-0000-000017B60000}"/>
    <cellStyle name="Style 30 5 2 4 5" xfId="46611" xr:uid="{00000000-0005-0000-0000-000018B60000}"/>
    <cellStyle name="Style 30 5 2 4 6" xfId="46612" xr:uid="{00000000-0005-0000-0000-000019B60000}"/>
    <cellStyle name="Style 30 5 2 5" xfId="46613" xr:uid="{00000000-0005-0000-0000-00001AB60000}"/>
    <cellStyle name="Style 30 5 2 5 2" xfId="46614" xr:uid="{00000000-0005-0000-0000-00001BB60000}"/>
    <cellStyle name="Style 30 5 2 5 3" xfId="46615" xr:uid="{00000000-0005-0000-0000-00001CB60000}"/>
    <cellStyle name="Style 30 5 2 6" xfId="46616" xr:uid="{00000000-0005-0000-0000-00001DB60000}"/>
    <cellStyle name="Style 30 5 2 6 2" xfId="46617" xr:uid="{00000000-0005-0000-0000-00001EB60000}"/>
    <cellStyle name="Style 30 5 2 6 3" xfId="46618" xr:uid="{00000000-0005-0000-0000-00001FB60000}"/>
    <cellStyle name="Style 30 5 2 7" xfId="46619" xr:uid="{00000000-0005-0000-0000-000020B60000}"/>
    <cellStyle name="Style 30 5 2 7 2" xfId="46620" xr:uid="{00000000-0005-0000-0000-000021B60000}"/>
    <cellStyle name="Style 30 5 2 7 3" xfId="46621" xr:uid="{00000000-0005-0000-0000-000022B60000}"/>
    <cellStyle name="Style 30 5 2 8" xfId="46622" xr:uid="{00000000-0005-0000-0000-000023B60000}"/>
    <cellStyle name="Style 30 5 2 9" xfId="46623" xr:uid="{00000000-0005-0000-0000-000024B60000}"/>
    <cellStyle name="Style 30 5 3" xfId="46624" xr:uid="{00000000-0005-0000-0000-000025B60000}"/>
    <cellStyle name="Style 30 5 3 2" xfId="46625" xr:uid="{00000000-0005-0000-0000-000026B60000}"/>
    <cellStyle name="Style 30 5 3 2 2" xfId="46626" xr:uid="{00000000-0005-0000-0000-000027B60000}"/>
    <cellStyle name="Style 30 5 3 2 2 2" xfId="46627" xr:uid="{00000000-0005-0000-0000-000028B60000}"/>
    <cellStyle name="Style 30 5 3 2 2 3" xfId="46628" xr:uid="{00000000-0005-0000-0000-000029B60000}"/>
    <cellStyle name="Style 30 5 3 2 3" xfId="46629" xr:uid="{00000000-0005-0000-0000-00002AB60000}"/>
    <cellStyle name="Style 30 5 3 2 3 2" xfId="46630" xr:uid="{00000000-0005-0000-0000-00002BB60000}"/>
    <cellStyle name="Style 30 5 3 2 3 3" xfId="46631" xr:uid="{00000000-0005-0000-0000-00002CB60000}"/>
    <cellStyle name="Style 30 5 3 2 4" xfId="46632" xr:uid="{00000000-0005-0000-0000-00002DB60000}"/>
    <cellStyle name="Style 30 5 3 2 5" xfId="46633" xr:uid="{00000000-0005-0000-0000-00002EB60000}"/>
    <cellStyle name="Style 30 5 3 2 6" xfId="46634" xr:uid="{00000000-0005-0000-0000-00002FB60000}"/>
    <cellStyle name="Style 30 5 3 3" xfId="46635" xr:uid="{00000000-0005-0000-0000-000030B60000}"/>
    <cellStyle name="Style 30 5 3 3 2" xfId="46636" xr:uid="{00000000-0005-0000-0000-000031B60000}"/>
    <cellStyle name="Style 30 5 3 3 3" xfId="46637" xr:uid="{00000000-0005-0000-0000-000032B60000}"/>
    <cellStyle name="Style 30 5 3 4" xfId="46638" xr:uid="{00000000-0005-0000-0000-000033B60000}"/>
    <cellStyle name="Style 30 5 3 4 2" xfId="46639" xr:uid="{00000000-0005-0000-0000-000034B60000}"/>
    <cellStyle name="Style 30 5 3 4 3" xfId="46640" xr:uid="{00000000-0005-0000-0000-000035B60000}"/>
    <cellStyle name="Style 30 5 3 5" xfId="46641" xr:uid="{00000000-0005-0000-0000-000036B60000}"/>
    <cellStyle name="Style 30 5 3 5 2" xfId="46642" xr:uid="{00000000-0005-0000-0000-000037B60000}"/>
    <cellStyle name="Style 30 5 3 5 3" xfId="46643" xr:uid="{00000000-0005-0000-0000-000038B60000}"/>
    <cellStyle name="Style 30 5 3 6" xfId="46644" xr:uid="{00000000-0005-0000-0000-000039B60000}"/>
    <cellStyle name="Style 30 5 3 7" xfId="46645" xr:uid="{00000000-0005-0000-0000-00003AB60000}"/>
    <cellStyle name="Style 30 5 3 8" xfId="46646" xr:uid="{00000000-0005-0000-0000-00003BB60000}"/>
    <cellStyle name="Style 30 5 4" xfId="46647" xr:uid="{00000000-0005-0000-0000-00003CB60000}"/>
    <cellStyle name="Style 30 5 4 2" xfId="46648" xr:uid="{00000000-0005-0000-0000-00003DB60000}"/>
    <cellStyle name="Style 30 5 4 2 2" xfId="46649" xr:uid="{00000000-0005-0000-0000-00003EB60000}"/>
    <cellStyle name="Style 30 5 4 2 2 2" xfId="46650" xr:uid="{00000000-0005-0000-0000-00003FB60000}"/>
    <cellStyle name="Style 30 5 4 2 2 3" xfId="46651" xr:uid="{00000000-0005-0000-0000-000040B60000}"/>
    <cellStyle name="Style 30 5 4 2 3" xfId="46652" xr:uid="{00000000-0005-0000-0000-000041B60000}"/>
    <cellStyle name="Style 30 5 4 2 3 2" xfId="46653" xr:uid="{00000000-0005-0000-0000-000042B60000}"/>
    <cellStyle name="Style 30 5 4 2 3 3" xfId="46654" xr:uid="{00000000-0005-0000-0000-000043B60000}"/>
    <cellStyle name="Style 30 5 4 2 4" xfId="46655" xr:uid="{00000000-0005-0000-0000-000044B60000}"/>
    <cellStyle name="Style 30 5 4 2 5" xfId="46656" xr:uid="{00000000-0005-0000-0000-000045B60000}"/>
    <cellStyle name="Style 30 5 4 2 6" xfId="46657" xr:uid="{00000000-0005-0000-0000-000046B60000}"/>
    <cellStyle name="Style 30 5 4 3" xfId="46658" xr:uid="{00000000-0005-0000-0000-000047B60000}"/>
    <cellStyle name="Style 30 5 4 3 2" xfId="46659" xr:uid="{00000000-0005-0000-0000-000048B60000}"/>
    <cellStyle name="Style 30 5 4 3 3" xfId="46660" xr:uid="{00000000-0005-0000-0000-000049B60000}"/>
    <cellStyle name="Style 30 5 4 4" xfId="46661" xr:uid="{00000000-0005-0000-0000-00004AB60000}"/>
    <cellStyle name="Style 30 5 4 4 2" xfId="46662" xr:uid="{00000000-0005-0000-0000-00004BB60000}"/>
    <cellStyle name="Style 30 5 4 4 3" xfId="46663" xr:uid="{00000000-0005-0000-0000-00004CB60000}"/>
    <cellStyle name="Style 30 5 4 5" xfId="46664" xr:uid="{00000000-0005-0000-0000-00004DB60000}"/>
    <cellStyle name="Style 30 5 4 5 2" xfId="46665" xr:uid="{00000000-0005-0000-0000-00004EB60000}"/>
    <cellStyle name="Style 30 5 4 5 3" xfId="46666" xr:uid="{00000000-0005-0000-0000-00004FB60000}"/>
    <cellStyle name="Style 30 5 4 6" xfId="46667" xr:uid="{00000000-0005-0000-0000-000050B60000}"/>
    <cellStyle name="Style 30 5 4 7" xfId="46668" xr:uid="{00000000-0005-0000-0000-000051B60000}"/>
    <cellStyle name="Style 30 5 4 8" xfId="46669" xr:uid="{00000000-0005-0000-0000-000052B60000}"/>
    <cellStyle name="Style 30 5 5" xfId="46670" xr:uid="{00000000-0005-0000-0000-000053B60000}"/>
    <cellStyle name="Style 30 5 5 2" xfId="46671" xr:uid="{00000000-0005-0000-0000-000054B60000}"/>
    <cellStyle name="Style 30 5 5 2 2" xfId="46672" xr:uid="{00000000-0005-0000-0000-000055B60000}"/>
    <cellStyle name="Style 30 5 5 2 2 2" xfId="46673" xr:uid="{00000000-0005-0000-0000-000056B60000}"/>
    <cellStyle name="Style 30 5 5 2 2 3" xfId="46674" xr:uid="{00000000-0005-0000-0000-000057B60000}"/>
    <cellStyle name="Style 30 5 5 2 3" xfId="46675" xr:uid="{00000000-0005-0000-0000-000058B60000}"/>
    <cellStyle name="Style 30 5 5 2 3 2" xfId="46676" xr:uid="{00000000-0005-0000-0000-000059B60000}"/>
    <cellStyle name="Style 30 5 5 2 3 3" xfId="46677" xr:uid="{00000000-0005-0000-0000-00005AB60000}"/>
    <cellStyle name="Style 30 5 5 2 4" xfId="46678" xr:uid="{00000000-0005-0000-0000-00005BB60000}"/>
    <cellStyle name="Style 30 5 5 2 5" xfId="46679" xr:uid="{00000000-0005-0000-0000-00005CB60000}"/>
    <cellStyle name="Style 30 5 5 2 6" xfId="46680" xr:uid="{00000000-0005-0000-0000-00005DB60000}"/>
    <cellStyle name="Style 30 5 5 3" xfId="46681" xr:uid="{00000000-0005-0000-0000-00005EB60000}"/>
    <cellStyle name="Style 30 5 5 3 2" xfId="46682" xr:uid="{00000000-0005-0000-0000-00005FB60000}"/>
    <cellStyle name="Style 30 5 5 3 3" xfId="46683" xr:uid="{00000000-0005-0000-0000-000060B60000}"/>
    <cellStyle name="Style 30 5 5 4" xfId="46684" xr:uid="{00000000-0005-0000-0000-000061B60000}"/>
    <cellStyle name="Style 30 5 5 4 2" xfId="46685" xr:uid="{00000000-0005-0000-0000-000062B60000}"/>
    <cellStyle name="Style 30 5 5 4 3" xfId="46686" xr:uid="{00000000-0005-0000-0000-000063B60000}"/>
    <cellStyle name="Style 30 5 5 5" xfId="46687" xr:uid="{00000000-0005-0000-0000-000064B60000}"/>
    <cellStyle name="Style 30 5 5 5 2" xfId="46688" xr:uid="{00000000-0005-0000-0000-000065B60000}"/>
    <cellStyle name="Style 30 5 5 5 3" xfId="46689" xr:uid="{00000000-0005-0000-0000-000066B60000}"/>
    <cellStyle name="Style 30 5 5 6" xfId="46690" xr:uid="{00000000-0005-0000-0000-000067B60000}"/>
    <cellStyle name="Style 30 5 5 7" xfId="46691" xr:uid="{00000000-0005-0000-0000-000068B60000}"/>
    <cellStyle name="Style 30 5 5 8" xfId="46692" xr:uid="{00000000-0005-0000-0000-000069B60000}"/>
    <cellStyle name="Style 30 5 6" xfId="46693" xr:uid="{00000000-0005-0000-0000-00006AB60000}"/>
    <cellStyle name="Style 30 5 6 2" xfId="46694" xr:uid="{00000000-0005-0000-0000-00006BB60000}"/>
    <cellStyle name="Style 30 5 6 2 2" xfId="46695" xr:uid="{00000000-0005-0000-0000-00006CB60000}"/>
    <cellStyle name="Style 30 5 6 2 3" xfId="46696" xr:uid="{00000000-0005-0000-0000-00006DB60000}"/>
    <cellStyle name="Style 30 5 6 3" xfId="46697" xr:uid="{00000000-0005-0000-0000-00006EB60000}"/>
    <cellStyle name="Style 30 5 6 3 2" xfId="46698" xr:uid="{00000000-0005-0000-0000-00006FB60000}"/>
    <cellStyle name="Style 30 5 6 3 3" xfId="46699" xr:uid="{00000000-0005-0000-0000-000070B60000}"/>
    <cellStyle name="Style 30 5 6 4" xfId="46700" xr:uid="{00000000-0005-0000-0000-000071B60000}"/>
    <cellStyle name="Style 30 5 6 5" xfId="46701" xr:uid="{00000000-0005-0000-0000-000072B60000}"/>
    <cellStyle name="Style 30 5 6 6" xfId="46702" xr:uid="{00000000-0005-0000-0000-000073B60000}"/>
    <cellStyle name="Style 30 5 7" xfId="46703" xr:uid="{00000000-0005-0000-0000-000074B60000}"/>
    <cellStyle name="Style 30 5 7 2" xfId="46704" xr:uid="{00000000-0005-0000-0000-000075B60000}"/>
    <cellStyle name="Style 30 5 7 3" xfId="46705" xr:uid="{00000000-0005-0000-0000-000076B60000}"/>
    <cellStyle name="Style 30 5 8" xfId="46706" xr:uid="{00000000-0005-0000-0000-000077B60000}"/>
    <cellStyle name="Style 30 5 8 2" xfId="46707" xr:uid="{00000000-0005-0000-0000-000078B60000}"/>
    <cellStyle name="Style 30 5 8 3" xfId="46708" xr:uid="{00000000-0005-0000-0000-000079B60000}"/>
    <cellStyle name="Style 30 5 9" xfId="46709" xr:uid="{00000000-0005-0000-0000-00007AB60000}"/>
    <cellStyle name="Style 30 5 9 2" xfId="46710" xr:uid="{00000000-0005-0000-0000-00007BB60000}"/>
    <cellStyle name="Style 30 5 9 3" xfId="46711" xr:uid="{00000000-0005-0000-0000-00007CB60000}"/>
    <cellStyle name="Style 30 6" xfId="46712" xr:uid="{00000000-0005-0000-0000-00007DB60000}"/>
    <cellStyle name="Style 30 6 10" xfId="46713" xr:uid="{00000000-0005-0000-0000-00007EB60000}"/>
    <cellStyle name="Style 30 6 11" xfId="46714" xr:uid="{00000000-0005-0000-0000-00007FB60000}"/>
    <cellStyle name="Style 30 6 12" xfId="46715" xr:uid="{00000000-0005-0000-0000-000080B60000}"/>
    <cellStyle name="Style 30 6 2" xfId="46716" xr:uid="{00000000-0005-0000-0000-000081B60000}"/>
    <cellStyle name="Style 30 6 2 10" xfId="46717" xr:uid="{00000000-0005-0000-0000-000082B60000}"/>
    <cellStyle name="Style 30 6 2 2" xfId="46718" xr:uid="{00000000-0005-0000-0000-000083B60000}"/>
    <cellStyle name="Style 30 6 2 2 2" xfId="46719" xr:uid="{00000000-0005-0000-0000-000084B60000}"/>
    <cellStyle name="Style 30 6 2 2 2 2" xfId="46720" xr:uid="{00000000-0005-0000-0000-000085B60000}"/>
    <cellStyle name="Style 30 6 2 2 2 2 2" xfId="46721" xr:uid="{00000000-0005-0000-0000-000086B60000}"/>
    <cellStyle name="Style 30 6 2 2 2 2 3" xfId="46722" xr:uid="{00000000-0005-0000-0000-000087B60000}"/>
    <cellStyle name="Style 30 6 2 2 2 3" xfId="46723" xr:uid="{00000000-0005-0000-0000-000088B60000}"/>
    <cellStyle name="Style 30 6 2 2 2 3 2" xfId="46724" xr:uid="{00000000-0005-0000-0000-000089B60000}"/>
    <cellStyle name="Style 30 6 2 2 2 3 3" xfId="46725" xr:uid="{00000000-0005-0000-0000-00008AB60000}"/>
    <cellStyle name="Style 30 6 2 2 2 4" xfId="46726" xr:uid="{00000000-0005-0000-0000-00008BB60000}"/>
    <cellStyle name="Style 30 6 2 2 2 5" xfId="46727" xr:uid="{00000000-0005-0000-0000-00008CB60000}"/>
    <cellStyle name="Style 30 6 2 2 2 6" xfId="46728" xr:uid="{00000000-0005-0000-0000-00008DB60000}"/>
    <cellStyle name="Style 30 6 2 2 3" xfId="46729" xr:uid="{00000000-0005-0000-0000-00008EB60000}"/>
    <cellStyle name="Style 30 6 2 2 3 2" xfId="46730" xr:uid="{00000000-0005-0000-0000-00008FB60000}"/>
    <cellStyle name="Style 30 6 2 2 3 3" xfId="46731" xr:uid="{00000000-0005-0000-0000-000090B60000}"/>
    <cellStyle name="Style 30 6 2 2 4" xfId="46732" xr:uid="{00000000-0005-0000-0000-000091B60000}"/>
    <cellStyle name="Style 30 6 2 2 4 2" xfId="46733" xr:uid="{00000000-0005-0000-0000-000092B60000}"/>
    <cellStyle name="Style 30 6 2 2 4 3" xfId="46734" xr:uid="{00000000-0005-0000-0000-000093B60000}"/>
    <cellStyle name="Style 30 6 2 2 5" xfId="46735" xr:uid="{00000000-0005-0000-0000-000094B60000}"/>
    <cellStyle name="Style 30 6 2 2 5 2" xfId="46736" xr:uid="{00000000-0005-0000-0000-000095B60000}"/>
    <cellStyle name="Style 30 6 2 2 5 3" xfId="46737" xr:uid="{00000000-0005-0000-0000-000096B60000}"/>
    <cellStyle name="Style 30 6 2 2 6" xfId="46738" xr:uid="{00000000-0005-0000-0000-000097B60000}"/>
    <cellStyle name="Style 30 6 2 2 7" xfId="46739" xr:uid="{00000000-0005-0000-0000-000098B60000}"/>
    <cellStyle name="Style 30 6 2 2 8" xfId="46740" xr:uid="{00000000-0005-0000-0000-000099B60000}"/>
    <cellStyle name="Style 30 6 2 3" xfId="46741" xr:uid="{00000000-0005-0000-0000-00009AB60000}"/>
    <cellStyle name="Style 30 6 2 3 2" xfId="46742" xr:uid="{00000000-0005-0000-0000-00009BB60000}"/>
    <cellStyle name="Style 30 6 2 3 2 2" xfId="46743" xr:uid="{00000000-0005-0000-0000-00009CB60000}"/>
    <cellStyle name="Style 30 6 2 3 2 2 2" xfId="46744" xr:uid="{00000000-0005-0000-0000-00009DB60000}"/>
    <cellStyle name="Style 30 6 2 3 2 2 3" xfId="46745" xr:uid="{00000000-0005-0000-0000-00009EB60000}"/>
    <cellStyle name="Style 30 6 2 3 2 3" xfId="46746" xr:uid="{00000000-0005-0000-0000-00009FB60000}"/>
    <cellStyle name="Style 30 6 2 3 2 3 2" xfId="46747" xr:uid="{00000000-0005-0000-0000-0000A0B60000}"/>
    <cellStyle name="Style 30 6 2 3 2 3 3" xfId="46748" xr:uid="{00000000-0005-0000-0000-0000A1B60000}"/>
    <cellStyle name="Style 30 6 2 3 2 4" xfId="46749" xr:uid="{00000000-0005-0000-0000-0000A2B60000}"/>
    <cellStyle name="Style 30 6 2 3 2 5" xfId="46750" xr:uid="{00000000-0005-0000-0000-0000A3B60000}"/>
    <cellStyle name="Style 30 6 2 3 2 6" xfId="46751" xr:uid="{00000000-0005-0000-0000-0000A4B60000}"/>
    <cellStyle name="Style 30 6 2 3 3" xfId="46752" xr:uid="{00000000-0005-0000-0000-0000A5B60000}"/>
    <cellStyle name="Style 30 6 2 3 3 2" xfId="46753" xr:uid="{00000000-0005-0000-0000-0000A6B60000}"/>
    <cellStyle name="Style 30 6 2 3 3 3" xfId="46754" xr:uid="{00000000-0005-0000-0000-0000A7B60000}"/>
    <cellStyle name="Style 30 6 2 3 4" xfId="46755" xr:uid="{00000000-0005-0000-0000-0000A8B60000}"/>
    <cellStyle name="Style 30 6 2 3 4 2" xfId="46756" xr:uid="{00000000-0005-0000-0000-0000A9B60000}"/>
    <cellStyle name="Style 30 6 2 3 4 3" xfId="46757" xr:uid="{00000000-0005-0000-0000-0000AAB60000}"/>
    <cellStyle name="Style 30 6 2 3 5" xfId="46758" xr:uid="{00000000-0005-0000-0000-0000ABB60000}"/>
    <cellStyle name="Style 30 6 2 3 5 2" xfId="46759" xr:uid="{00000000-0005-0000-0000-0000ACB60000}"/>
    <cellStyle name="Style 30 6 2 3 5 3" xfId="46760" xr:uid="{00000000-0005-0000-0000-0000ADB60000}"/>
    <cellStyle name="Style 30 6 2 3 6" xfId="46761" xr:uid="{00000000-0005-0000-0000-0000AEB60000}"/>
    <cellStyle name="Style 30 6 2 3 7" xfId="46762" xr:uid="{00000000-0005-0000-0000-0000AFB60000}"/>
    <cellStyle name="Style 30 6 2 3 8" xfId="46763" xr:uid="{00000000-0005-0000-0000-0000B0B60000}"/>
    <cellStyle name="Style 30 6 2 4" xfId="46764" xr:uid="{00000000-0005-0000-0000-0000B1B60000}"/>
    <cellStyle name="Style 30 6 2 4 2" xfId="46765" xr:uid="{00000000-0005-0000-0000-0000B2B60000}"/>
    <cellStyle name="Style 30 6 2 4 2 2" xfId="46766" xr:uid="{00000000-0005-0000-0000-0000B3B60000}"/>
    <cellStyle name="Style 30 6 2 4 2 3" xfId="46767" xr:uid="{00000000-0005-0000-0000-0000B4B60000}"/>
    <cellStyle name="Style 30 6 2 4 3" xfId="46768" xr:uid="{00000000-0005-0000-0000-0000B5B60000}"/>
    <cellStyle name="Style 30 6 2 4 3 2" xfId="46769" xr:uid="{00000000-0005-0000-0000-0000B6B60000}"/>
    <cellStyle name="Style 30 6 2 4 3 3" xfId="46770" xr:uid="{00000000-0005-0000-0000-0000B7B60000}"/>
    <cellStyle name="Style 30 6 2 4 4" xfId="46771" xr:uid="{00000000-0005-0000-0000-0000B8B60000}"/>
    <cellStyle name="Style 30 6 2 4 5" xfId="46772" xr:uid="{00000000-0005-0000-0000-0000B9B60000}"/>
    <cellStyle name="Style 30 6 2 4 6" xfId="46773" xr:uid="{00000000-0005-0000-0000-0000BAB60000}"/>
    <cellStyle name="Style 30 6 2 5" xfId="46774" xr:uid="{00000000-0005-0000-0000-0000BBB60000}"/>
    <cellStyle name="Style 30 6 2 5 2" xfId="46775" xr:uid="{00000000-0005-0000-0000-0000BCB60000}"/>
    <cellStyle name="Style 30 6 2 5 3" xfId="46776" xr:uid="{00000000-0005-0000-0000-0000BDB60000}"/>
    <cellStyle name="Style 30 6 2 6" xfId="46777" xr:uid="{00000000-0005-0000-0000-0000BEB60000}"/>
    <cellStyle name="Style 30 6 2 6 2" xfId="46778" xr:uid="{00000000-0005-0000-0000-0000BFB60000}"/>
    <cellStyle name="Style 30 6 2 6 3" xfId="46779" xr:uid="{00000000-0005-0000-0000-0000C0B60000}"/>
    <cellStyle name="Style 30 6 2 7" xfId="46780" xr:uid="{00000000-0005-0000-0000-0000C1B60000}"/>
    <cellStyle name="Style 30 6 2 7 2" xfId="46781" xr:uid="{00000000-0005-0000-0000-0000C2B60000}"/>
    <cellStyle name="Style 30 6 2 7 3" xfId="46782" xr:uid="{00000000-0005-0000-0000-0000C3B60000}"/>
    <cellStyle name="Style 30 6 2 8" xfId="46783" xr:uid="{00000000-0005-0000-0000-0000C4B60000}"/>
    <cellStyle name="Style 30 6 2 9" xfId="46784" xr:uid="{00000000-0005-0000-0000-0000C5B60000}"/>
    <cellStyle name="Style 30 6 3" xfId="46785" xr:uid="{00000000-0005-0000-0000-0000C6B60000}"/>
    <cellStyle name="Style 30 6 3 2" xfId="46786" xr:uid="{00000000-0005-0000-0000-0000C7B60000}"/>
    <cellStyle name="Style 30 6 3 2 2" xfId="46787" xr:uid="{00000000-0005-0000-0000-0000C8B60000}"/>
    <cellStyle name="Style 30 6 3 2 2 2" xfId="46788" xr:uid="{00000000-0005-0000-0000-0000C9B60000}"/>
    <cellStyle name="Style 30 6 3 2 2 3" xfId="46789" xr:uid="{00000000-0005-0000-0000-0000CAB60000}"/>
    <cellStyle name="Style 30 6 3 2 3" xfId="46790" xr:uid="{00000000-0005-0000-0000-0000CBB60000}"/>
    <cellStyle name="Style 30 6 3 2 3 2" xfId="46791" xr:uid="{00000000-0005-0000-0000-0000CCB60000}"/>
    <cellStyle name="Style 30 6 3 2 3 3" xfId="46792" xr:uid="{00000000-0005-0000-0000-0000CDB60000}"/>
    <cellStyle name="Style 30 6 3 2 4" xfId="46793" xr:uid="{00000000-0005-0000-0000-0000CEB60000}"/>
    <cellStyle name="Style 30 6 3 2 5" xfId="46794" xr:uid="{00000000-0005-0000-0000-0000CFB60000}"/>
    <cellStyle name="Style 30 6 3 2 6" xfId="46795" xr:uid="{00000000-0005-0000-0000-0000D0B60000}"/>
    <cellStyle name="Style 30 6 3 3" xfId="46796" xr:uid="{00000000-0005-0000-0000-0000D1B60000}"/>
    <cellStyle name="Style 30 6 3 3 2" xfId="46797" xr:uid="{00000000-0005-0000-0000-0000D2B60000}"/>
    <cellStyle name="Style 30 6 3 3 3" xfId="46798" xr:uid="{00000000-0005-0000-0000-0000D3B60000}"/>
    <cellStyle name="Style 30 6 3 4" xfId="46799" xr:uid="{00000000-0005-0000-0000-0000D4B60000}"/>
    <cellStyle name="Style 30 6 3 4 2" xfId="46800" xr:uid="{00000000-0005-0000-0000-0000D5B60000}"/>
    <cellStyle name="Style 30 6 3 4 3" xfId="46801" xr:uid="{00000000-0005-0000-0000-0000D6B60000}"/>
    <cellStyle name="Style 30 6 3 5" xfId="46802" xr:uid="{00000000-0005-0000-0000-0000D7B60000}"/>
    <cellStyle name="Style 30 6 3 5 2" xfId="46803" xr:uid="{00000000-0005-0000-0000-0000D8B60000}"/>
    <cellStyle name="Style 30 6 3 5 3" xfId="46804" xr:uid="{00000000-0005-0000-0000-0000D9B60000}"/>
    <cellStyle name="Style 30 6 3 6" xfId="46805" xr:uid="{00000000-0005-0000-0000-0000DAB60000}"/>
    <cellStyle name="Style 30 6 3 7" xfId="46806" xr:uid="{00000000-0005-0000-0000-0000DBB60000}"/>
    <cellStyle name="Style 30 6 3 8" xfId="46807" xr:uid="{00000000-0005-0000-0000-0000DCB60000}"/>
    <cellStyle name="Style 30 6 4" xfId="46808" xr:uid="{00000000-0005-0000-0000-0000DDB60000}"/>
    <cellStyle name="Style 30 6 4 2" xfId="46809" xr:uid="{00000000-0005-0000-0000-0000DEB60000}"/>
    <cellStyle name="Style 30 6 4 2 2" xfId="46810" xr:uid="{00000000-0005-0000-0000-0000DFB60000}"/>
    <cellStyle name="Style 30 6 4 2 2 2" xfId="46811" xr:uid="{00000000-0005-0000-0000-0000E0B60000}"/>
    <cellStyle name="Style 30 6 4 2 2 3" xfId="46812" xr:uid="{00000000-0005-0000-0000-0000E1B60000}"/>
    <cellStyle name="Style 30 6 4 2 3" xfId="46813" xr:uid="{00000000-0005-0000-0000-0000E2B60000}"/>
    <cellStyle name="Style 30 6 4 2 3 2" xfId="46814" xr:uid="{00000000-0005-0000-0000-0000E3B60000}"/>
    <cellStyle name="Style 30 6 4 2 3 3" xfId="46815" xr:uid="{00000000-0005-0000-0000-0000E4B60000}"/>
    <cellStyle name="Style 30 6 4 2 4" xfId="46816" xr:uid="{00000000-0005-0000-0000-0000E5B60000}"/>
    <cellStyle name="Style 30 6 4 2 5" xfId="46817" xr:uid="{00000000-0005-0000-0000-0000E6B60000}"/>
    <cellStyle name="Style 30 6 4 2 6" xfId="46818" xr:uid="{00000000-0005-0000-0000-0000E7B60000}"/>
    <cellStyle name="Style 30 6 4 3" xfId="46819" xr:uid="{00000000-0005-0000-0000-0000E8B60000}"/>
    <cellStyle name="Style 30 6 4 3 2" xfId="46820" xr:uid="{00000000-0005-0000-0000-0000E9B60000}"/>
    <cellStyle name="Style 30 6 4 3 3" xfId="46821" xr:uid="{00000000-0005-0000-0000-0000EAB60000}"/>
    <cellStyle name="Style 30 6 4 4" xfId="46822" xr:uid="{00000000-0005-0000-0000-0000EBB60000}"/>
    <cellStyle name="Style 30 6 4 4 2" xfId="46823" xr:uid="{00000000-0005-0000-0000-0000ECB60000}"/>
    <cellStyle name="Style 30 6 4 4 3" xfId="46824" xr:uid="{00000000-0005-0000-0000-0000EDB60000}"/>
    <cellStyle name="Style 30 6 4 5" xfId="46825" xr:uid="{00000000-0005-0000-0000-0000EEB60000}"/>
    <cellStyle name="Style 30 6 4 5 2" xfId="46826" xr:uid="{00000000-0005-0000-0000-0000EFB60000}"/>
    <cellStyle name="Style 30 6 4 5 3" xfId="46827" xr:uid="{00000000-0005-0000-0000-0000F0B60000}"/>
    <cellStyle name="Style 30 6 4 6" xfId="46828" xr:uid="{00000000-0005-0000-0000-0000F1B60000}"/>
    <cellStyle name="Style 30 6 4 7" xfId="46829" xr:uid="{00000000-0005-0000-0000-0000F2B60000}"/>
    <cellStyle name="Style 30 6 4 8" xfId="46830" xr:uid="{00000000-0005-0000-0000-0000F3B60000}"/>
    <cellStyle name="Style 30 6 5" xfId="46831" xr:uid="{00000000-0005-0000-0000-0000F4B60000}"/>
    <cellStyle name="Style 30 6 5 2" xfId="46832" xr:uid="{00000000-0005-0000-0000-0000F5B60000}"/>
    <cellStyle name="Style 30 6 5 2 2" xfId="46833" xr:uid="{00000000-0005-0000-0000-0000F6B60000}"/>
    <cellStyle name="Style 30 6 5 2 2 2" xfId="46834" xr:uid="{00000000-0005-0000-0000-0000F7B60000}"/>
    <cellStyle name="Style 30 6 5 2 2 3" xfId="46835" xr:uid="{00000000-0005-0000-0000-0000F8B60000}"/>
    <cellStyle name="Style 30 6 5 2 3" xfId="46836" xr:uid="{00000000-0005-0000-0000-0000F9B60000}"/>
    <cellStyle name="Style 30 6 5 2 3 2" xfId="46837" xr:uid="{00000000-0005-0000-0000-0000FAB60000}"/>
    <cellStyle name="Style 30 6 5 2 3 3" xfId="46838" xr:uid="{00000000-0005-0000-0000-0000FBB60000}"/>
    <cellStyle name="Style 30 6 5 2 4" xfId="46839" xr:uid="{00000000-0005-0000-0000-0000FCB60000}"/>
    <cellStyle name="Style 30 6 5 2 5" xfId="46840" xr:uid="{00000000-0005-0000-0000-0000FDB60000}"/>
    <cellStyle name="Style 30 6 5 2 6" xfId="46841" xr:uid="{00000000-0005-0000-0000-0000FEB60000}"/>
    <cellStyle name="Style 30 6 5 3" xfId="46842" xr:uid="{00000000-0005-0000-0000-0000FFB60000}"/>
    <cellStyle name="Style 30 6 5 3 2" xfId="46843" xr:uid="{00000000-0005-0000-0000-000000B70000}"/>
    <cellStyle name="Style 30 6 5 3 3" xfId="46844" xr:uid="{00000000-0005-0000-0000-000001B70000}"/>
    <cellStyle name="Style 30 6 5 4" xfId="46845" xr:uid="{00000000-0005-0000-0000-000002B70000}"/>
    <cellStyle name="Style 30 6 5 4 2" xfId="46846" xr:uid="{00000000-0005-0000-0000-000003B70000}"/>
    <cellStyle name="Style 30 6 5 4 3" xfId="46847" xr:uid="{00000000-0005-0000-0000-000004B70000}"/>
    <cellStyle name="Style 30 6 5 5" xfId="46848" xr:uid="{00000000-0005-0000-0000-000005B70000}"/>
    <cellStyle name="Style 30 6 5 5 2" xfId="46849" xr:uid="{00000000-0005-0000-0000-000006B70000}"/>
    <cellStyle name="Style 30 6 5 5 3" xfId="46850" xr:uid="{00000000-0005-0000-0000-000007B70000}"/>
    <cellStyle name="Style 30 6 5 6" xfId="46851" xr:uid="{00000000-0005-0000-0000-000008B70000}"/>
    <cellStyle name="Style 30 6 5 7" xfId="46852" xr:uid="{00000000-0005-0000-0000-000009B70000}"/>
    <cellStyle name="Style 30 6 5 8" xfId="46853" xr:uid="{00000000-0005-0000-0000-00000AB70000}"/>
    <cellStyle name="Style 30 6 6" xfId="46854" xr:uid="{00000000-0005-0000-0000-00000BB70000}"/>
    <cellStyle name="Style 30 6 6 2" xfId="46855" xr:uid="{00000000-0005-0000-0000-00000CB70000}"/>
    <cellStyle name="Style 30 6 6 2 2" xfId="46856" xr:uid="{00000000-0005-0000-0000-00000DB70000}"/>
    <cellStyle name="Style 30 6 6 2 3" xfId="46857" xr:uid="{00000000-0005-0000-0000-00000EB70000}"/>
    <cellStyle name="Style 30 6 6 3" xfId="46858" xr:uid="{00000000-0005-0000-0000-00000FB70000}"/>
    <cellStyle name="Style 30 6 6 3 2" xfId="46859" xr:uid="{00000000-0005-0000-0000-000010B70000}"/>
    <cellStyle name="Style 30 6 6 3 3" xfId="46860" xr:uid="{00000000-0005-0000-0000-000011B70000}"/>
    <cellStyle name="Style 30 6 6 4" xfId="46861" xr:uid="{00000000-0005-0000-0000-000012B70000}"/>
    <cellStyle name="Style 30 6 6 5" xfId="46862" xr:uid="{00000000-0005-0000-0000-000013B70000}"/>
    <cellStyle name="Style 30 6 6 6" xfId="46863" xr:uid="{00000000-0005-0000-0000-000014B70000}"/>
    <cellStyle name="Style 30 6 7" xfId="46864" xr:uid="{00000000-0005-0000-0000-000015B70000}"/>
    <cellStyle name="Style 30 6 7 2" xfId="46865" xr:uid="{00000000-0005-0000-0000-000016B70000}"/>
    <cellStyle name="Style 30 6 7 3" xfId="46866" xr:uid="{00000000-0005-0000-0000-000017B70000}"/>
    <cellStyle name="Style 30 6 8" xfId="46867" xr:uid="{00000000-0005-0000-0000-000018B70000}"/>
    <cellStyle name="Style 30 6 8 2" xfId="46868" xr:uid="{00000000-0005-0000-0000-000019B70000}"/>
    <cellStyle name="Style 30 6 8 3" xfId="46869" xr:uid="{00000000-0005-0000-0000-00001AB70000}"/>
    <cellStyle name="Style 30 6 9" xfId="46870" xr:uid="{00000000-0005-0000-0000-00001BB70000}"/>
    <cellStyle name="Style 30 6 9 2" xfId="46871" xr:uid="{00000000-0005-0000-0000-00001CB70000}"/>
    <cellStyle name="Style 30 6 9 3" xfId="46872" xr:uid="{00000000-0005-0000-0000-00001DB70000}"/>
    <cellStyle name="Style 30 7" xfId="46873" xr:uid="{00000000-0005-0000-0000-00001EB70000}"/>
    <cellStyle name="Style 30 7 10" xfId="46874" xr:uid="{00000000-0005-0000-0000-00001FB70000}"/>
    <cellStyle name="Style 30 7 11" xfId="46875" xr:uid="{00000000-0005-0000-0000-000020B70000}"/>
    <cellStyle name="Style 30 7 12" xfId="46876" xr:uid="{00000000-0005-0000-0000-000021B70000}"/>
    <cellStyle name="Style 30 7 2" xfId="46877" xr:uid="{00000000-0005-0000-0000-000022B70000}"/>
    <cellStyle name="Style 30 7 2 10" xfId="46878" xr:uid="{00000000-0005-0000-0000-000023B70000}"/>
    <cellStyle name="Style 30 7 2 2" xfId="46879" xr:uid="{00000000-0005-0000-0000-000024B70000}"/>
    <cellStyle name="Style 30 7 2 2 2" xfId="46880" xr:uid="{00000000-0005-0000-0000-000025B70000}"/>
    <cellStyle name="Style 30 7 2 2 2 2" xfId="46881" xr:uid="{00000000-0005-0000-0000-000026B70000}"/>
    <cellStyle name="Style 30 7 2 2 2 2 2" xfId="46882" xr:uid="{00000000-0005-0000-0000-000027B70000}"/>
    <cellStyle name="Style 30 7 2 2 2 2 3" xfId="46883" xr:uid="{00000000-0005-0000-0000-000028B70000}"/>
    <cellStyle name="Style 30 7 2 2 2 3" xfId="46884" xr:uid="{00000000-0005-0000-0000-000029B70000}"/>
    <cellStyle name="Style 30 7 2 2 2 3 2" xfId="46885" xr:uid="{00000000-0005-0000-0000-00002AB70000}"/>
    <cellStyle name="Style 30 7 2 2 2 3 3" xfId="46886" xr:uid="{00000000-0005-0000-0000-00002BB70000}"/>
    <cellStyle name="Style 30 7 2 2 2 4" xfId="46887" xr:uid="{00000000-0005-0000-0000-00002CB70000}"/>
    <cellStyle name="Style 30 7 2 2 2 5" xfId="46888" xr:uid="{00000000-0005-0000-0000-00002DB70000}"/>
    <cellStyle name="Style 30 7 2 2 2 6" xfId="46889" xr:uid="{00000000-0005-0000-0000-00002EB70000}"/>
    <cellStyle name="Style 30 7 2 2 3" xfId="46890" xr:uid="{00000000-0005-0000-0000-00002FB70000}"/>
    <cellStyle name="Style 30 7 2 2 3 2" xfId="46891" xr:uid="{00000000-0005-0000-0000-000030B70000}"/>
    <cellStyle name="Style 30 7 2 2 3 3" xfId="46892" xr:uid="{00000000-0005-0000-0000-000031B70000}"/>
    <cellStyle name="Style 30 7 2 2 4" xfId="46893" xr:uid="{00000000-0005-0000-0000-000032B70000}"/>
    <cellStyle name="Style 30 7 2 2 4 2" xfId="46894" xr:uid="{00000000-0005-0000-0000-000033B70000}"/>
    <cellStyle name="Style 30 7 2 2 4 3" xfId="46895" xr:uid="{00000000-0005-0000-0000-000034B70000}"/>
    <cellStyle name="Style 30 7 2 2 5" xfId="46896" xr:uid="{00000000-0005-0000-0000-000035B70000}"/>
    <cellStyle name="Style 30 7 2 2 5 2" xfId="46897" xr:uid="{00000000-0005-0000-0000-000036B70000}"/>
    <cellStyle name="Style 30 7 2 2 5 3" xfId="46898" xr:uid="{00000000-0005-0000-0000-000037B70000}"/>
    <cellStyle name="Style 30 7 2 2 6" xfId="46899" xr:uid="{00000000-0005-0000-0000-000038B70000}"/>
    <cellStyle name="Style 30 7 2 2 7" xfId="46900" xr:uid="{00000000-0005-0000-0000-000039B70000}"/>
    <cellStyle name="Style 30 7 2 2 8" xfId="46901" xr:uid="{00000000-0005-0000-0000-00003AB70000}"/>
    <cellStyle name="Style 30 7 2 3" xfId="46902" xr:uid="{00000000-0005-0000-0000-00003BB70000}"/>
    <cellStyle name="Style 30 7 2 3 2" xfId="46903" xr:uid="{00000000-0005-0000-0000-00003CB70000}"/>
    <cellStyle name="Style 30 7 2 3 2 2" xfId="46904" xr:uid="{00000000-0005-0000-0000-00003DB70000}"/>
    <cellStyle name="Style 30 7 2 3 2 2 2" xfId="46905" xr:uid="{00000000-0005-0000-0000-00003EB70000}"/>
    <cellStyle name="Style 30 7 2 3 2 2 3" xfId="46906" xr:uid="{00000000-0005-0000-0000-00003FB70000}"/>
    <cellStyle name="Style 30 7 2 3 2 3" xfId="46907" xr:uid="{00000000-0005-0000-0000-000040B70000}"/>
    <cellStyle name="Style 30 7 2 3 2 3 2" xfId="46908" xr:uid="{00000000-0005-0000-0000-000041B70000}"/>
    <cellStyle name="Style 30 7 2 3 2 3 3" xfId="46909" xr:uid="{00000000-0005-0000-0000-000042B70000}"/>
    <cellStyle name="Style 30 7 2 3 2 4" xfId="46910" xr:uid="{00000000-0005-0000-0000-000043B70000}"/>
    <cellStyle name="Style 30 7 2 3 2 5" xfId="46911" xr:uid="{00000000-0005-0000-0000-000044B70000}"/>
    <cellStyle name="Style 30 7 2 3 2 6" xfId="46912" xr:uid="{00000000-0005-0000-0000-000045B70000}"/>
    <cellStyle name="Style 30 7 2 3 3" xfId="46913" xr:uid="{00000000-0005-0000-0000-000046B70000}"/>
    <cellStyle name="Style 30 7 2 3 3 2" xfId="46914" xr:uid="{00000000-0005-0000-0000-000047B70000}"/>
    <cellStyle name="Style 30 7 2 3 3 3" xfId="46915" xr:uid="{00000000-0005-0000-0000-000048B70000}"/>
    <cellStyle name="Style 30 7 2 3 4" xfId="46916" xr:uid="{00000000-0005-0000-0000-000049B70000}"/>
    <cellStyle name="Style 30 7 2 3 4 2" xfId="46917" xr:uid="{00000000-0005-0000-0000-00004AB70000}"/>
    <cellStyle name="Style 30 7 2 3 4 3" xfId="46918" xr:uid="{00000000-0005-0000-0000-00004BB70000}"/>
    <cellStyle name="Style 30 7 2 3 5" xfId="46919" xr:uid="{00000000-0005-0000-0000-00004CB70000}"/>
    <cellStyle name="Style 30 7 2 3 5 2" xfId="46920" xr:uid="{00000000-0005-0000-0000-00004DB70000}"/>
    <cellStyle name="Style 30 7 2 3 5 3" xfId="46921" xr:uid="{00000000-0005-0000-0000-00004EB70000}"/>
    <cellStyle name="Style 30 7 2 3 6" xfId="46922" xr:uid="{00000000-0005-0000-0000-00004FB70000}"/>
    <cellStyle name="Style 30 7 2 3 7" xfId="46923" xr:uid="{00000000-0005-0000-0000-000050B70000}"/>
    <cellStyle name="Style 30 7 2 3 8" xfId="46924" xr:uid="{00000000-0005-0000-0000-000051B70000}"/>
    <cellStyle name="Style 30 7 2 4" xfId="46925" xr:uid="{00000000-0005-0000-0000-000052B70000}"/>
    <cellStyle name="Style 30 7 2 4 2" xfId="46926" xr:uid="{00000000-0005-0000-0000-000053B70000}"/>
    <cellStyle name="Style 30 7 2 4 2 2" xfId="46927" xr:uid="{00000000-0005-0000-0000-000054B70000}"/>
    <cellStyle name="Style 30 7 2 4 2 3" xfId="46928" xr:uid="{00000000-0005-0000-0000-000055B70000}"/>
    <cellStyle name="Style 30 7 2 4 3" xfId="46929" xr:uid="{00000000-0005-0000-0000-000056B70000}"/>
    <cellStyle name="Style 30 7 2 4 3 2" xfId="46930" xr:uid="{00000000-0005-0000-0000-000057B70000}"/>
    <cellStyle name="Style 30 7 2 4 3 3" xfId="46931" xr:uid="{00000000-0005-0000-0000-000058B70000}"/>
    <cellStyle name="Style 30 7 2 4 4" xfId="46932" xr:uid="{00000000-0005-0000-0000-000059B70000}"/>
    <cellStyle name="Style 30 7 2 4 5" xfId="46933" xr:uid="{00000000-0005-0000-0000-00005AB70000}"/>
    <cellStyle name="Style 30 7 2 4 6" xfId="46934" xr:uid="{00000000-0005-0000-0000-00005BB70000}"/>
    <cellStyle name="Style 30 7 2 5" xfId="46935" xr:uid="{00000000-0005-0000-0000-00005CB70000}"/>
    <cellStyle name="Style 30 7 2 5 2" xfId="46936" xr:uid="{00000000-0005-0000-0000-00005DB70000}"/>
    <cellStyle name="Style 30 7 2 5 3" xfId="46937" xr:uid="{00000000-0005-0000-0000-00005EB70000}"/>
    <cellStyle name="Style 30 7 2 6" xfId="46938" xr:uid="{00000000-0005-0000-0000-00005FB70000}"/>
    <cellStyle name="Style 30 7 2 6 2" xfId="46939" xr:uid="{00000000-0005-0000-0000-000060B70000}"/>
    <cellStyle name="Style 30 7 2 6 3" xfId="46940" xr:uid="{00000000-0005-0000-0000-000061B70000}"/>
    <cellStyle name="Style 30 7 2 7" xfId="46941" xr:uid="{00000000-0005-0000-0000-000062B70000}"/>
    <cellStyle name="Style 30 7 2 7 2" xfId="46942" xr:uid="{00000000-0005-0000-0000-000063B70000}"/>
    <cellStyle name="Style 30 7 2 7 3" xfId="46943" xr:uid="{00000000-0005-0000-0000-000064B70000}"/>
    <cellStyle name="Style 30 7 2 8" xfId="46944" xr:uid="{00000000-0005-0000-0000-000065B70000}"/>
    <cellStyle name="Style 30 7 2 9" xfId="46945" xr:uid="{00000000-0005-0000-0000-000066B70000}"/>
    <cellStyle name="Style 30 7 3" xfId="46946" xr:uid="{00000000-0005-0000-0000-000067B70000}"/>
    <cellStyle name="Style 30 7 3 2" xfId="46947" xr:uid="{00000000-0005-0000-0000-000068B70000}"/>
    <cellStyle name="Style 30 7 3 2 2" xfId="46948" xr:uid="{00000000-0005-0000-0000-000069B70000}"/>
    <cellStyle name="Style 30 7 3 2 2 2" xfId="46949" xr:uid="{00000000-0005-0000-0000-00006AB70000}"/>
    <cellStyle name="Style 30 7 3 2 2 3" xfId="46950" xr:uid="{00000000-0005-0000-0000-00006BB70000}"/>
    <cellStyle name="Style 30 7 3 2 3" xfId="46951" xr:uid="{00000000-0005-0000-0000-00006CB70000}"/>
    <cellStyle name="Style 30 7 3 2 3 2" xfId="46952" xr:uid="{00000000-0005-0000-0000-00006DB70000}"/>
    <cellStyle name="Style 30 7 3 2 3 3" xfId="46953" xr:uid="{00000000-0005-0000-0000-00006EB70000}"/>
    <cellStyle name="Style 30 7 3 2 4" xfId="46954" xr:uid="{00000000-0005-0000-0000-00006FB70000}"/>
    <cellStyle name="Style 30 7 3 2 5" xfId="46955" xr:uid="{00000000-0005-0000-0000-000070B70000}"/>
    <cellStyle name="Style 30 7 3 2 6" xfId="46956" xr:uid="{00000000-0005-0000-0000-000071B70000}"/>
    <cellStyle name="Style 30 7 3 3" xfId="46957" xr:uid="{00000000-0005-0000-0000-000072B70000}"/>
    <cellStyle name="Style 30 7 3 3 2" xfId="46958" xr:uid="{00000000-0005-0000-0000-000073B70000}"/>
    <cellStyle name="Style 30 7 3 3 3" xfId="46959" xr:uid="{00000000-0005-0000-0000-000074B70000}"/>
    <cellStyle name="Style 30 7 3 4" xfId="46960" xr:uid="{00000000-0005-0000-0000-000075B70000}"/>
    <cellStyle name="Style 30 7 3 4 2" xfId="46961" xr:uid="{00000000-0005-0000-0000-000076B70000}"/>
    <cellStyle name="Style 30 7 3 4 3" xfId="46962" xr:uid="{00000000-0005-0000-0000-000077B70000}"/>
    <cellStyle name="Style 30 7 3 5" xfId="46963" xr:uid="{00000000-0005-0000-0000-000078B70000}"/>
    <cellStyle name="Style 30 7 3 5 2" xfId="46964" xr:uid="{00000000-0005-0000-0000-000079B70000}"/>
    <cellStyle name="Style 30 7 3 5 3" xfId="46965" xr:uid="{00000000-0005-0000-0000-00007AB70000}"/>
    <cellStyle name="Style 30 7 3 6" xfId="46966" xr:uid="{00000000-0005-0000-0000-00007BB70000}"/>
    <cellStyle name="Style 30 7 3 7" xfId="46967" xr:uid="{00000000-0005-0000-0000-00007CB70000}"/>
    <cellStyle name="Style 30 7 3 8" xfId="46968" xr:uid="{00000000-0005-0000-0000-00007DB70000}"/>
    <cellStyle name="Style 30 7 4" xfId="46969" xr:uid="{00000000-0005-0000-0000-00007EB70000}"/>
    <cellStyle name="Style 30 7 4 2" xfId="46970" xr:uid="{00000000-0005-0000-0000-00007FB70000}"/>
    <cellStyle name="Style 30 7 4 2 2" xfId="46971" xr:uid="{00000000-0005-0000-0000-000080B70000}"/>
    <cellStyle name="Style 30 7 4 2 2 2" xfId="46972" xr:uid="{00000000-0005-0000-0000-000081B70000}"/>
    <cellStyle name="Style 30 7 4 2 2 3" xfId="46973" xr:uid="{00000000-0005-0000-0000-000082B70000}"/>
    <cellStyle name="Style 30 7 4 2 3" xfId="46974" xr:uid="{00000000-0005-0000-0000-000083B70000}"/>
    <cellStyle name="Style 30 7 4 2 3 2" xfId="46975" xr:uid="{00000000-0005-0000-0000-000084B70000}"/>
    <cellStyle name="Style 30 7 4 2 3 3" xfId="46976" xr:uid="{00000000-0005-0000-0000-000085B70000}"/>
    <cellStyle name="Style 30 7 4 2 4" xfId="46977" xr:uid="{00000000-0005-0000-0000-000086B70000}"/>
    <cellStyle name="Style 30 7 4 2 5" xfId="46978" xr:uid="{00000000-0005-0000-0000-000087B70000}"/>
    <cellStyle name="Style 30 7 4 2 6" xfId="46979" xr:uid="{00000000-0005-0000-0000-000088B70000}"/>
    <cellStyle name="Style 30 7 4 3" xfId="46980" xr:uid="{00000000-0005-0000-0000-000089B70000}"/>
    <cellStyle name="Style 30 7 4 3 2" xfId="46981" xr:uid="{00000000-0005-0000-0000-00008AB70000}"/>
    <cellStyle name="Style 30 7 4 3 3" xfId="46982" xr:uid="{00000000-0005-0000-0000-00008BB70000}"/>
    <cellStyle name="Style 30 7 4 4" xfId="46983" xr:uid="{00000000-0005-0000-0000-00008CB70000}"/>
    <cellStyle name="Style 30 7 4 4 2" xfId="46984" xr:uid="{00000000-0005-0000-0000-00008DB70000}"/>
    <cellStyle name="Style 30 7 4 4 3" xfId="46985" xr:uid="{00000000-0005-0000-0000-00008EB70000}"/>
    <cellStyle name="Style 30 7 4 5" xfId="46986" xr:uid="{00000000-0005-0000-0000-00008FB70000}"/>
    <cellStyle name="Style 30 7 4 5 2" xfId="46987" xr:uid="{00000000-0005-0000-0000-000090B70000}"/>
    <cellStyle name="Style 30 7 4 5 3" xfId="46988" xr:uid="{00000000-0005-0000-0000-000091B70000}"/>
    <cellStyle name="Style 30 7 4 6" xfId="46989" xr:uid="{00000000-0005-0000-0000-000092B70000}"/>
    <cellStyle name="Style 30 7 4 7" xfId="46990" xr:uid="{00000000-0005-0000-0000-000093B70000}"/>
    <cellStyle name="Style 30 7 4 8" xfId="46991" xr:uid="{00000000-0005-0000-0000-000094B70000}"/>
    <cellStyle name="Style 30 7 5" xfId="46992" xr:uid="{00000000-0005-0000-0000-000095B70000}"/>
    <cellStyle name="Style 30 7 5 2" xfId="46993" xr:uid="{00000000-0005-0000-0000-000096B70000}"/>
    <cellStyle name="Style 30 7 5 2 2" xfId="46994" xr:uid="{00000000-0005-0000-0000-000097B70000}"/>
    <cellStyle name="Style 30 7 5 2 2 2" xfId="46995" xr:uid="{00000000-0005-0000-0000-000098B70000}"/>
    <cellStyle name="Style 30 7 5 2 2 3" xfId="46996" xr:uid="{00000000-0005-0000-0000-000099B70000}"/>
    <cellStyle name="Style 30 7 5 2 3" xfId="46997" xr:uid="{00000000-0005-0000-0000-00009AB70000}"/>
    <cellStyle name="Style 30 7 5 2 3 2" xfId="46998" xr:uid="{00000000-0005-0000-0000-00009BB70000}"/>
    <cellStyle name="Style 30 7 5 2 3 3" xfId="46999" xr:uid="{00000000-0005-0000-0000-00009CB70000}"/>
    <cellStyle name="Style 30 7 5 2 4" xfId="47000" xr:uid="{00000000-0005-0000-0000-00009DB70000}"/>
    <cellStyle name="Style 30 7 5 2 5" xfId="47001" xr:uid="{00000000-0005-0000-0000-00009EB70000}"/>
    <cellStyle name="Style 30 7 5 2 6" xfId="47002" xr:uid="{00000000-0005-0000-0000-00009FB70000}"/>
    <cellStyle name="Style 30 7 5 3" xfId="47003" xr:uid="{00000000-0005-0000-0000-0000A0B70000}"/>
    <cellStyle name="Style 30 7 5 3 2" xfId="47004" xr:uid="{00000000-0005-0000-0000-0000A1B70000}"/>
    <cellStyle name="Style 30 7 5 3 3" xfId="47005" xr:uid="{00000000-0005-0000-0000-0000A2B70000}"/>
    <cellStyle name="Style 30 7 5 4" xfId="47006" xr:uid="{00000000-0005-0000-0000-0000A3B70000}"/>
    <cellStyle name="Style 30 7 5 4 2" xfId="47007" xr:uid="{00000000-0005-0000-0000-0000A4B70000}"/>
    <cellStyle name="Style 30 7 5 4 3" xfId="47008" xr:uid="{00000000-0005-0000-0000-0000A5B70000}"/>
    <cellStyle name="Style 30 7 5 5" xfId="47009" xr:uid="{00000000-0005-0000-0000-0000A6B70000}"/>
    <cellStyle name="Style 30 7 5 5 2" xfId="47010" xr:uid="{00000000-0005-0000-0000-0000A7B70000}"/>
    <cellStyle name="Style 30 7 5 5 3" xfId="47011" xr:uid="{00000000-0005-0000-0000-0000A8B70000}"/>
    <cellStyle name="Style 30 7 5 6" xfId="47012" xr:uid="{00000000-0005-0000-0000-0000A9B70000}"/>
    <cellStyle name="Style 30 7 5 7" xfId="47013" xr:uid="{00000000-0005-0000-0000-0000AAB70000}"/>
    <cellStyle name="Style 30 7 5 8" xfId="47014" xr:uid="{00000000-0005-0000-0000-0000ABB70000}"/>
    <cellStyle name="Style 30 7 6" xfId="47015" xr:uid="{00000000-0005-0000-0000-0000ACB70000}"/>
    <cellStyle name="Style 30 7 6 2" xfId="47016" xr:uid="{00000000-0005-0000-0000-0000ADB70000}"/>
    <cellStyle name="Style 30 7 6 2 2" xfId="47017" xr:uid="{00000000-0005-0000-0000-0000AEB70000}"/>
    <cellStyle name="Style 30 7 6 2 3" xfId="47018" xr:uid="{00000000-0005-0000-0000-0000AFB70000}"/>
    <cellStyle name="Style 30 7 6 3" xfId="47019" xr:uid="{00000000-0005-0000-0000-0000B0B70000}"/>
    <cellStyle name="Style 30 7 6 3 2" xfId="47020" xr:uid="{00000000-0005-0000-0000-0000B1B70000}"/>
    <cellStyle name="Style 30 7 6 3 3" xfId="47021" xr:uid="{00000000-0005-0000-0000-0000B2B70000}"/>
    <cellStyle name="Style 30 7 6 4" xfId="47022" xr:uid="{00000000-0005-0000-0000-0000B3B70000}"/>
    <cellStyle name="Style 30 7 6 5" xfId="47023" xr:uid="{00000000-0005-0000-0000-0000B4B70000}"/>
    <cellStyle name="Style 30 7 6 6" xfId="47024" xr:uid="{00000000-0005-0000-0000-0000B5B70000}"/>
    <cellStyle name="Style 30 7 7" xfId="47025" xr:uid="{00000000-0005-0000-0000-0000B6B70000}"/>
    <cellStyle name="Style 30 7 7 2" xfId="47026" xr:uid="{00000000-0005-0000-0000-0000B7B70000}"/>
    <cellStyle name="Style 30 7 7 3" xfId="47027" xr:uid="{00000000-0005-0000-0000-0000B8B70000}"/>
    <cellStyle name="Style 30 7 8" xfId="47028" xr:uid="{00000000-0005-0000-0000-0000B9B70000}"/>
    <cellStyle name="Style 30 7 8 2" xfId="47029" xr:uid="{00000000-0005-0000-0000-0000BAB70000}"/>
    <cellStyle name="Style 30 7 8 3" xfId="47030" xr:uid="{00000000-0005-0000-0000-0000BBB70000}"/>
    <cellStyle name="Style 30 7 9" xfId="47031" xr:uid="{00000000-0005-0000-0000-0000BCB70000}"/>
    <cellStyle name="Style 30 7 9 2" xfId="47032" xr:uid="{00000000-0005-0000-0000-0000BDB70000}"/>
    <cellStyle name="Style 30 7 9 3" xfId="47033" xr:uid="{00000000-0005-0000-0000-0000BEB70000}"/>
    <cellStyle name="Style 30 8" xfId="47034" xr:uid="{00000000-0005-0000-0000-0000BFB70000}"/>
    <cellStyle name="Style 30 8 10" xfId="47035" xr:uid="{00000000-0005-0000-0000-0000C0B70000}"/>
    <cellStyle name="Style 30 8 11" xfId="47036" xr:uid="{00000000-0005-0000-0000-0000C1B70000}"/>
    <cellStyle name="Style 30 8 12" xfId="47037" xr:uid="{00000000-0005-0000-0000-0000C2B70000}"/>
    <cellStyle name="Style 30 8 2" xfId="47038" xr:uid="{00000000-0005-0000-0000-0000C3B70000}"/>
    <cellStyle name="Style 30 8 2 10" xfId="47039" xr:uid="{00000000-0005-0000-0000-0000C4B70000}"/>
    <cellStyle name="Style 30 8 2 2" xfId="47040" xr:uid="{00000000-0005-0000-0000-0000C5B70000}"/>
    <cellStyle name="Style 30 8 2 2 2" xfId="47041" xr:uid="{00000000-0005-0000-0000-0000C6B70000}"/>
    <cellStyle name="Style 30 8 2 2 2 2" xfId="47042" xr:uid="{00000000-0005-0000-0000-0000C7B70000}"/>
    <cellStyle name="Style 30 8 2 2 2 2 2" xfId="47043" xr:uid="{00000000-0005-0000-0000-0000C8B70000}"/>
    <cellStyle name="Style 30 8 2 2 2 2 3" xfId="47044" xr:uid="{00000000-0005-0000-0000-0000C9B70000}"/>
    <cellStyle name="Style 30 8 2 2 2 3" xfId="47045" xr:uid="{00000000-0005-0000-0000-0000CAB70000}"/>
    <cellStyle name="Style 30 8 2 2 2 3 2" xfId="47046" xr:uid="{00000000-0005-0000-0000-0000CBB70000}"/>
    <cellStyle name="Style 30 8 2 2 2 3 3" xfId="47047" xr:uid="{00000000-0005-0000-0000-0000CCB70000}"/>
    <cellStyle name="Style 30 8 2 2 2 4" xfId="47048" xr:uid="{00000000-0005-0000-0000-0000CDB70000}"/>
    <cellStyle name="Style 30 8 2 2 2 5" xfId="47049" xr:uid="{00000000-0005-0000-0000-0000CEB70000}"/>
    <cellStyle name="Style 30 8 2 2 2 6" xfId="47050" xr:uid="{00000000-0005-0000-0000-0000CFB70000}"/>
    <cellStyle name="Style 30 8 2 2 3" xfId="47051" xr:uid="{00000000-0005-0000-0000-0000D0B70000}"/>
    <cellStyle name="Style 30 8 2 2 3 2" xfId="47052" xr:uid="{00000000-0005-0000-0000-0000D1B70000}"/>
    <cellStyle name="Style 30 8 2 2 3 3" xfId="47053" xr:uid="{00000000-0005-0000-0000-0000D2B70000}"/>
    <cellStyle name="Style 30 8 2 2 4" xfId="47054" xr:uid="{00000000-0005-0000-0000-0000D3B70000}"/>
    <cellStyle name="Style 30 8 2 2 4 2" xfId="47055" xr:uid="{00000000-0005-0000-0000-0000D4B70000}"/>
    <cellStyle name="Style 30 8 2 2 4 3" xfId="47056" xr:uid="{00000000-0005-0000-0000-0000D5B70000}"/>
    <cellStyle name="Style 30 8 2 2 5" xfId="47057" xr:uid="{00000000-0005-0000-0000-0000D6B70000}"/>
    <cellStyle name="Style 30 8 2 2 5 2" xfId="47058" xr:uid="{00000000-0005-0000-0000-0000D7B70000}"/>
    <cellStyle name="Style 30 8 2 2 5 3" xfId="47059" xr:uid="{00000000-0005-0000-0000-0000D8B70000}"/>
    <cellStyle name="Style 30 8 2 2 6" xfId="47060" xr:uid="{00000000-0005-0000-0000-0000D9B70000}"/>
    <cellStyle name="Style 30 8 2 2 7" xfId="47061" xr:uid="{00000000-0005-0000-0000-0000DAB70000}"/>
    <cellStyle name="Style 30 8 2 2 8" xfId="47062" xr:uid="{00000000-0005-0000-0000-0000DBB70000}"/>
    <cellStyle name="Style 30 8 2 3" xfId="47063" xr:uid="{00000000-0005-0000-0000-0000DCB70000}"/>
    <cellStyle name="Style 30 8 2 3 2" xfId="47064" xr:uid="{00000000-0005-0000-0000-0000DDB70000}"/>
    <cellStyle name="Style 30 8 2 3 2 2" xfId="47065" xr:uid="{00000000-0005-0000-0000-0000DEB70000}"/>
    <cellStyle name="Style 30 8 2 3 2 2 2" xfId="47066" xr:uid="{00000000-0005-0000-0000-0000DFB70000}"/>
    <cellStyle name="Style 30 8 2 3 2 2 3" xfId="47067" xr:uid="{00000000-0005-0000-0000-0000E0B70000}"/>
    <cellStyle name="Style 30 8 2 3 2 3" xfId="47068" xr:uid="{00000000-0005-0000-0000-0000E1B70000}"/>
    <cellStyle name="Style 30 8 2 3 2 3 2" xfId="47069" xr:uid="{00000000-0005-0000-0000-0000E2B70000}"/>
    <cellStyle name="Style 30 8 2 3 2 3 3" xfId="47070" xr:uid="{00000000-0005-0000-0000-0000E3B70000}"/>
    <cellStyle name="Style 30 8 2 3 2 4" xfId="47071" xr:uid="{00000000-0005-0000-0000-0000E4B70000}"/>
    <cellStyle name="Style 30 8 2 3 2 5" xfId="47072" xr:uid="{00000000-0005-0000-0000-0000E5B70000}"/>
    <cellStyle name="Style 30 8 2 3 2 6" xfId="47073" xr:uid="{00000000-0005-0000-0000-0000E6B70000}"/>
    <cellStyle name="Style 30 8 2 3 3" xfId="47074" xr:uid="{00000000-0005-0000-0000-0000E7B70000}"/>
    <cellStyle name="Style 30 8 2 3 3 2" xfId="47075" xr:uid="{00000000-0005-0000-0000-0000E8B70000}"/>
    <cellStyle name="Style 30 8 2 3 3 3" xfId="47076" xr:uid="{00000000-0005-0000-0000-0000E9B70000}"/>
    <cellStyle name="Style 30 8 2 3 4" xfId="47077" xr:uid="{00000000-0005-0000-0000-0000EAB70000}"/>
    <cellStyle name="Style 30 8 2 3 4 2" xfId="47078" xr:uid="{00000000-0005-0000-0000-0000EBB70000}"/>
    <cellStyle name="Style 30 8 2 3 4 3" xfId="47079" xr:uid="{00000000-0005-0000-0000-0000ECB70000}"/>
    <cellStyle name="Style 30 8 2 3 5" xfId="47080" xr:uid="{00000000-0005-0000-0000-0000EDB70000}"/>
    <cellStyle name="Style 30 8 2 3 5 2" xfId="47081" xr:uid="{00000000-0005-0000-0000-0000EEB70000}"/>
    <cellStyle name="Style 30 8 2 3 5 3" xfId="47082" xr:uid="{00000000-0005-0000-0000-0000EFB70000}"/>
    <cellStyle name="Style 30 8 2 3 6" xfId="47083" xr:uid="{00000000-0005-0000-0000-0000F0B70000}"/>
    <cellStyle name="Style 30 8 2 3 7" xfId="47084" xr:uid="{00000000-0005-0000-0000-0000F1B70000}"/>
    <cellStyle name="Style 30 8 2 3 8" xfId="47085" xr:uid="{00000000-0005-0000-0000-0000F2B70000}"/>
    <cellStyle name="Style 30 8 2 4" xfId="47086" xr:uid="{00000000-0005-0000-0000-0000F3B70000}"/>
    <cellStyle name="Style 30 8 2 4 2" xfId="47087" xr:uid="{00000000-0005-0000-0000-0000F4B70000}"/>
    <cellStyle name="Style 30 8 2 4 2 2" xfId="47088" xr:uid="{00000000-0005-0000-0000-0000F5B70000}"/>
    <cellStyle name="Style 30 8 2 4 2 3" xfId="47089" xr:uid="{00000000-0005-0000-0000-0000F6B70000}"/>
    <cellStyle name="Style 30 8 2 4 3" xfId="47090" xr:uid="{00000000-0005-0000-0000-0000F7B70000}"/>
    <cellStyle name="Style 30 8 2 4 3 2" xfId="47091" xr:uid="{00000000-0005-0000-0000-0000F8B70000}"/>
    <cellStyle name="Style 30 8 2 4 3 3" xfId="47092" xr:uid="{00000000-0005-0000-0000-0000F9B70000}"/>
    <cellStyle name="Style 30 8 2 4 4" xfId="47093" xr:uid="{00000000-0005-0000-0000-0000FAB70000}"/>
    <cellStyle name="Style 30 8 2 4 5" xfId="47094" xr:uid="{00000000-0005-0000-0000-0000FBB70000}"/>
    <cellStyle name="Style 30 8 2 4 6" xfId="47095" xr:uid="{00000000-0005-0000-0000-0000FCB70000}"/>
    <cellStyle name="Style 30 8 2 5" xfId="47096" xr:uid="{00000000-0005-0000-0000-0000FDB70000}"/>
    <cellStyle name="Style 30 8 2 5 2" xfId="47097" xr:uid="{00000000-0005-0000-0000-0000FEB70000}"/>
    <cellStyle name="Style 30 8 2 5 3" xfId="47098" xr:uid="{00000000-0005-0000-0000-0000FFB70000}"/>
    <cellStyle name="Style 30 8 2 6" xfId="47099" xr:uid="{00000000-0005-0000-0000-000000B80000}"/>
    <cellStyle name="Style 30 8 2 6 2" xfId="47100" xr:uid="{00000000-0005-0000-0000-000001B80000}"/>
    <cellStyle name="Style 30 8 2 6 3" xfId="47101" xr:uid="{00000000-0005-0000-0000-000002B80000}"/>
    <cellStyle name="Style 30 8 2 7" xfId="47102" xr:uid="{00000000-0005-0000-0000-000003B80000}"/>
    <cellStyle name="Style 30 8 2 7 2" xfId="47103" xr:uid="{00000000-0005-0000-0000-000004B80000}"/>
    <cellStyle name="Style 30 8 2 7 3" xfId="47104" xr:uid="{00000000-0005-0000-0000-000005B80000}"/>
    <cellStyle name="Style 30 8 2 8" xfId="47105" xr:uid="{00000000-0005-0000-0000-000006B80000}"/>
    <cellStyle name="Style 30 8 2 9" xfId="47106" xr:uid="{00000000-0005-0000-0000-000007B80000}"/>
    <cellStyle name="Style 30 8 3" xfId="47107" xr:uid="{00000000-0005-0000-0000-000008B80000}"/>
    <cellStyle name="Style 30 8 3 2" xfId="47108" xr:uid="{00000000-0005-0000-0000-000009B80000}"/>
    <cellStyle name="Style 30 8 3 2 2" xfId="47109" xr:uid="{00000000-0005-0000-0000-00000AB80000}"/>
    <cellStyle name="Style 30 8 3 2 2 2" xfId="47110" xr:uid="{00000000-0005-0000-0000-00000BB80000}"/>
    <cellStyle name="Style 30 8 3 2 2 3" xfId="47111" xr:uid="{00000000-0005-0000-0000-00000CB80000}"/>
    <cellStyle name="Style 30 8 3 2 3" xfId="47112" xr:uid="{00000000-0005-0000-0000-00000DB80000}"/>
    <cellStyle name="Style 30 8 3 2 3 2" xfId="47113" xr:uid="{00000000-0005-0000-0000-00000EB80000}"/>
    <cellStyle name="Style 30 8 3 2 3 3" xfId="47114" xr:uid="{00000000-0005-0000-0000-00000FB80000}"/>
    <cellStyle name="Style 30 8 3 2 4" xfId="47115" xr:uid="{00000000-0005-0000-0000-000010B80000}"/>
    <cellStyle name="Style 30 8 3 2 5" xfId="47116" xr:uid="{00000000-0005-0000-0000-000011B80000}"/>
    <cellStyle name="Style 30 8 3 2 6" xfId="47117" xr:uid="{00000000-0005-0000-0000-000012B80000}"/>
    <cellStyle name="Style 30 8 3 3" xfId="47118" xr:uid="{00000000-0005-0000-0000-000013B80000}"/>
    <cellStyle name="Style 30 8 3 3 2" xfId="47119" xr:uid="{00000000-0005-0000-0000-000014B80000}"/>
    <cellStyle name="Style 30 8 3 3 3" xfId="47120" xr:uid="{00000000-0005-0000-0000-000015B80000}"/>
    <cellStyle name="Style 30 8 3 4" xfId="47121" xr:uid="{00000000-0005-0000-0000-000016B80000}"/>
    <cellStyle name="Style 30 8 3 4 2" xfId="47122" xr:uid="{00000000-0005-0000-0000-000017B80000}"/>
    <cellStyle name="Style 30 8 3 4 3" xfId="47123" xr:uid="{00000000-0005-0000-0000-000018B80000}"/>
    <cellStyle name="Style 30 8 3 5" xfId="47124" xr:uid="{00000000-0005-0000-0000-000019B80000}"/>
    <cellStyle name="Style 30 8 3 5 2" xfId="47125" xr:uid="{00000000-0005-0000-0000-00001AB80000}"/>
    <cellStyle name="Style 30 8 3 5 3" xfId="47126" xr:uid="{00000000-0005-0000-0000-00001BB80000}"/>
    <cellStyle name="Style 30 8 3 6" xfId="47127" xr:uid="{00000000-0005-0000-0000-00001CB80000}"/>
    <cellStyle name="Style 30 8 3 7" xfId="47128" xr:uid="{00000000-0005-0000-0000-00001DB80000}"/>
    <cellStyle name="Style 30 8 3 8" xfId="47129" xr:uid="{00000000-0005-0000-0000-00001EB80000}"/>
    <cellStyle name="Style 30 8 4" xfId="47130" xr:uid="{00000000-0005-0000-0000-00001FB80000}"/>
    <cellStyle name="Style 30 8 4 2" xfId="47131" xr:uid="{00000000-0005-0000-0000-000020B80000}"/>
    <cellStyle name="Style 30 8 4 2 2" xfId="47132" xr:uid="{00000000-0005-0000-0000-000021B80000}"/>
    <cellStyle name="Style 30 8 4 2 2 2" xfId="47133" xr:uid="{00000000-0005-0000-0000-000022B80000}"/>
    <cellStyle name="Style 30 8 4 2 2 3" xfId="47134" xr:uid="{00000000-0005-0000-0000-000023B80000}"/>
    <cellStyle name="Style 30 8 4 2 3" xfId="47135" xr:uid="{00000000-0005-0000-0000-000024B80000}"/>
    <cellStyle name="Style 30 8 4 2 3 2" xfId="47136" xr:uid="{00000000-0005-0000-0000-000025B80000}"/>
    <cellStyle name="Style 30 8 4 2 3 3" xfId="47137" xr:uid="{00000000-0005-0000-0000-000026B80000}"/>
    <cellStyle name="Style 30 8 4 2 4" xfId="47138" xr:uid="{00000000-0005-0000-0000-000027B80000}"/>
    <cellStyle name="Style 30 8 4 2 5" xfId="47139" xr:uid="{00000000-0005-0000-0000-000028B80000}"/>
    <cellStyle name="Style 30 8 4 2 6" xfId="47140" xr:uid="{00000000-0005-0000-0000-000029B80000}"/>
    <cellStyle name="Style 30 8 4 3" xfId="47141" xr:uid="{00000000-0005-0000-0000-00002AB80000}"/>
    <cellStyle name="Style 30 8 4 3 2" xfId="47142" xr:uid="{00000000-0005-0000-0000-00002BB80000}"/>
    <cellStyle name="Style 30 8 4 3 3" xfId="47143" xr:uid="{00000000-0005-0000-0000-00002CB80000}"/>
    <cellStyle name="Style 30 8 4 4" xfId="47144" xr:uid="{00000000-0005-0000-0000-00002DB80000}"/>
    <cellStyle name="Style 30 8 4 4 2" xfId="47145" xr:uid="{00000000-0005-0000-0000-00002EB80000}"/>
    <cellStyle name="Style 30 8 4 4 3" xfId="47146" xr:uid="{00000000-0005-0000-0000-00002FB80000}"/>
    <cellStyle name="Style 30 8 4 5" xfId="47147" xr:uid="{00000000-0005-0000-0000-000030B80000}"/>
    <cellStyle name="Style 30 8 4 5 2" xfId="47148" xr:uid="{00000000-0005-0000-0000-000031B80000}"/>
    <cellStyle name="Style 30 8 4 5 3" xfId="47149" xr:uid="{00000000-0005-0000-0000-000032B80000}"/>
    <cellStyle name="Style 30 8 4 6" xfId="47150" xr:uid="{00000000-0005-0000-0000-000033B80000}"/>
    <cellStyle name="Style 30 8 4 7" xfId="47151" xr:uid="{00000000-0005-0000-0000-000034B80000}"/>
    <cellStyle name="Style 30 8 4 8" xfId="47152" xr:uid="{00000000-0005-0000-0000-000035B80000}"/>
    <cellStyle name="Style 30 8 5" xfId="47153" xr:uid="{00000000-0005-0000-0000-000036B80000}"/>
    <cellStyle name="Style 30 8 5 2" xfId="47154" xr:uid="{00000000-0005-0000-0000-000037B80000}"/>
    <cellStyle name="Style 30 8 5 2 2" xfId="47155" xr:uid="{00000000-0005-0000-0000-000038B80000}"/>
    <cellStyle name="Style 30 8 5 2 2 2" xfId="47156" xr:uid="{00000000-0005-0000-0000-000039B80000}"/>
    <cellStyle name="Style 30 8 5 2 2 3" xfId="47157" xr:uid="{00000000-0005-0000-0000-00003AB80000}"/>
    <cellStyle name="Style 30 8 5 2 3" xfId="47158" xr:uid="{00000000-0005-0000-0000-00003BB80000}"/>
    <cellStyle name="Style 30 8 5 2 3 2" xfId="47159" xr:uid="{00000000-0005-0000-0000-00003CB80000}"/>
    <cellStyle name="Style 30 8 5 2 3 3" xfId="47160" xr:uid="{00000000-0005-0000-0000-00003DB80000}"/>
    <cellStyle name="Style 30 8 5 2 4" xfId="47161" xr:uid="{00000000-0005-0000-0000-00003EB80000}"/>
    <cellStyle name="Style 30 8 5 2 5" xfId="47162" xr:uid="{00000000-0005-0000-0000-00003FB80000}"/>
    <cellStyle name="Style 30 8 5 2 6" xfId="47163" xr:uid="{00000000-0005-0000-0000-000040B80000}"/>
    <cellStyle name="Style 30 8 5 3" xfId="47164" xr:uid="{00000000-0005-0000-0000-000041B80000}"/>
    <cellStyle name="Style 30 8 5 3 2" xfId="47165" xr:uid="{00000000-0005-0000-0000-000042B80000}"/>
    <cellStyle name="Style 30 8 5 3 3" xfId="47166" xr:uid="{00000000-0005-0000-0000-000043B80000}"/>
    <cellStyle name="Style 30 8 5 4" xfId="47167" xr:uid="{00000000-0005-0000-0000-000044B80000}"/>
    <cellStyle name="Style 30 8 5 4 2" xfId="47168" xr:uid="{00000000-0005-0000-0000-000045B80000}"/>
    <cellStyle name="Style 30 8 5 4 3" xfId="47169" xr:uid="{00000000-0005-0000-0000-000046B80000}"/>
    <cellStyle name="Style 30 8 5 5" xfId="47170" xr:uid="{00000000-0005-0000-0000-000047B80000}"/>
    <cellStyle name="Style 30 8 5 5 2" xfId="47171" xr:uid="{00000000-0005-0000-0000-000048B80000}"/>
    <cellStyle name="Style 30 8 5 5 3" xfId="47172" xr:uid="{00000000-0005-0000-0000-000049B80000}"/>
    <cellStyle name="Style 30 8 5 6" xfId="47173" xr:uid="{00000000-0005-0000-0000-00004AB80000}"/>
    <cellStyle name="Style 30 8 5 7" xfId="47174" xr:uid="{00000000-0005-0000-0000-00004BB80000}"/>
    <cellStyle name="Style 30 8 5 8" xfId="47175" xr:uid="{00000000-0005-0000-0000-00004CB80000}"/>
    <cellStyle name="Style 30 8 6" xfId="47176" xr:uid="{00000000-0005-0000-0000-00004DB80000}"/>
    <cellStyle name="Style 30 8 6 2" xfId="47177" xr:uid="{00000000-0005-0000-0000-00004EB80000}"/>
    <cellStyle name="Style 30 8 6 2 2" xfId="47178" xr:uid="{00000000-0005-0000-0000-00004FB80000}"/>
    <cellStyle name="Style 30 8 6 2 3" xfId="47179" xr:uid="{00000000-0005-0000-0000-000050B80000}"/>
    <cellStyle name="Style 30 8 6 3" xfId="47180" xr:uid="{00000000-0005-0000-0000-000051B80000}"/>
    <cellStyle name="Style 30 8 6 3 2" xfId="47181" xr:uid="{00000000-0005-0000-0000-000052B80000}"/>
    <cellStyle name="Style 30 8 6 3 3" xfId="47182" xr:uid="{00000000-0005-0000-0000-000053B80000}"/>
    <cellStyle name="Style 30 8 6 4" xfId="47183" xr:uid="{00000000-0005-0000-0000-000054B80000}"/>
    <cellStyle name="Style 30 8 6 5" xfId="47184" xr:uid="{00000000-0005-0000-0000-000055B80000}"/>
    <cellStyle name="Style 30 8 6 6" xfId="47185" xr:uid="{00000000-0005-0000-0000-000056B80000}"/>
    <cellStyle name="Style 30 8 7" xfId="47186" xr:uid="{00000000-0005-0000-0000-000057B80000}"/>
    <cellStyle name="Style 30 8 7 2" xfId="47187" xr:uid="{00000000-0005-0000-0000-000058B80000}"/>
    <cellStyle name="Style 30 8 7 3" xfId="47188" xr:uid="{00000000-0005-0000-0000-000059B80000}"/>
    <cellStyle name="Style 30 8 8" xfId="47189" xr:uid="{00000000-0005-0000-0000-00005AB80000}"/>
    <cellStyle name="Style 30 8 8 2" xfId="47190" xr:uid="{00000000-0005-0000-0000-00005BB80000}"/>
    <cellStyle name="Style 30 8 8 3" xfId="47191" xr:uid="{00000000-0005-0000-0000-00005CB80000}"/>
    <cellStyle name="Style 30 8 9" xfId="47192" xr:uid="{00000000-0005-0000-0000-00005DB80000}"/>
    <cellStyle name="Style 30 8 9 2" xfId="47193" xr:uid="{00000000-0005-0000-0000-00005EB80000}"/>
    <cellStyle name="Style 30 8 9 3" xfId="47194" xr:uid="{00000000-0005-0000-0000-00005FB80000}"/>
    <cellStyle name="Style 30 9" xfId="47195" xr:uid="{00000000-0005-0000-0000-000060B80000}"/>
    <cellStyle name="Style 30 9 10" xfId="47196" xr:uid="{00000000-0005-0000-0000-000061B80000}"/>
    <cellStyle name="Style 30 9 11" xfId="47197" xr:uid="{00000000-0005-0000-0000-000062B80000}"/>
    <cellStyle name="Style 30 9 12" xfId="47198" xr:uid="{00000000-0005-0000-0000-000063B80000}"/>
    <cellStyle name="Style 30 9 2" xfId="47199" xr:uid="{00000000-0005-0000-0000-000064B80000}"/>
    <cellStyle name="Style 30 9 2 10" xfId="47200" xr:uid="{00000000-0005-0000-0000-000065B80000}"/>
    <cellStyle name="Style 30 9 2 2" xfId="47201" xr:uid="{00000000-0005-0000-0000-000066B80000}"/>
    <cellStyle name="Style 30 9 2 2 2" xfId="47202" xr:uid="{00000000-0005-0000-0000-000067B80000}"/>
    <cellStyle name="Style 30 9 2 2 2 2" xfId="47203" xr:uid="{00000000-0005-0000-0000-000068B80000}"/>
    <cellStyle name="Style 30 9 2 2 2 2 2" xfId="47204" xr:uid="{00000000-0005-0000-0000-000069B80000}"/>
    <cellStyle name="Style 30 9 2 2 2 2 3" xfId="47205" xr:uid="{00000000-0005-0000-0000-00006AB80000}"/>
    <cellStyle name="Style 30 9 2 2 2 3" xfId="47206" xr:uid="{00000000-0005-0000-0000-00006BB80000}"/>
    <cellStyle name="Style 30 9 2 2 2 3 2" xfId="47207" xr:uid="{00000000-0005-0000-0000-00006CB80000}"/>
    <cellStyle name="Style 30 9 2 2 2 3 3" xfId="47208" xr:uid="{00000000-0005-0000-0000-00006DB80000}"/>
    <cellStyle name="Style 30 9 2 2 2 4" xfId="47209" xr:uid="{00000000-0005-0000-0000-00006EB80000}"/>
    <cellStyle name="Style 30 9 2 2 2 5" xfId="47210" xr:uid="{00000000-0005-0000-0000-00006FB80000}"/>
    <cellStyle name="Style 30 9 2 2 2 6" xfId="47211" xr:uid="{00000000-0005-0000-0000-000070B80000}"/>
    <cellStyle name="Style 30 9 2 2 3" xfId="47212" xr:uid="{00000000-0005-0000-0000-000071B80000}"/>
    <cellStyle name="Style 30 9 2 2 3 2" xfId="47213" xr:uid="{00000000-0005-0000-0000-000072B80000}"/>
    <cellStyle name="Style 30 9 2 2 3 3" xfId="47214" xr:uid="{00000000-0005-0000-0000-000073B80000}"/>
    <cellStyle name="Style 30 9 2 2 4" xfId="47215" xr:uid="{00000000-0005-0000-0000-000074B80000}"/>
    <cellStyle name="Style 30 9 2 2 4 2" xfId="47216" xr:uid="{00000000-0005-0000-0000-000075B80000}"/>
    <cellStyle name="Style 30 9 2 2 4 3" xfId="47217" xr:uid="{00000000-0005-0000-0000-000076B80000}"/>
    <cellStyle name="Style 30 9 2 2 5" xfId="47218" xr:uid="{00000000-0005-0000-0000-000077B80000}"/>
    <cellStyle name="Style 30 9 2 2 5 2" xfId="47219" xr:uid="{00000000-0005-0000-0000-000078B80000}"/>
    <cellStyle name="Style 30 9 2 2 5 3" xfId="47220" xr:uid="{00000000-0005-0000-0000-000079B80000}"/>
    <cellStyle name="Style 30 9 2 2 6" xfId="47221" xr:uid="{00000000-0005-0000-0000-00007AB80000}"/>
    <cellStyle name="Style 30 9 2 2 7" xfId="47222" xr:uid="{00000000-0005-0000-0000-00007BB80000}"/>
    <cellStyle name="Style 30 9 2 2 8" xfId="47223" xr:uid="{00000000-0005-0000-0000-00007CB80000}"/>
    <cellStyle name="Style 30 9 2 3" xfId="47224" xr:uid="{00000000-0005-0000-0000-00007DB80000}"/>
    <cellStyle name="Style 30 9 2 3 2" xfId="47225" xr:uid="{00000000-0005-0000-0000-00007EB80000}"/>
    <cellStyle name="Style 30 9 2 3 2 2" xfId="47226" xr:uid="{00000000-0005-0000-0000-00007FB80000}"/>
    <cellStyle name="Style 30 9 2 3 2 2 2" xfId="47227" xr:uid="{00000000-0005-0000-0000-000080B80000}"/>
    <cellStyle name="Style 30 9 2 3 2 2 3" xfId="47228" xr:uid="{00000000-0005-0000-0000-000081B80000}"/>
    <cellStyle name="Style 30 9 2 3 2 3" xfId="47229" xr:uid="{00000000-0005-0000-0000-000082B80000}"/>
    <cellStyle name="Style 30 9 2 3 2 3 2" xfId="47230" xr:uid="{00000000-0005-0000-0000-000083B80000}"/>
    <cellStyle name="Style 30 9 2 3 2 3 3" xfId="47231" xr:uid="{00000000-0005-0000-0000-000084B80000}"/>
    <cellStyle name="Style 30 9 2 3 2 4" xfId="47232" xr:uid="{00000000-0005-0000-0000-000085B80000}"/>
    <cellStyle name="Style 30 9 2 3 2 5" xfId="47233" xr:uid="{00000000-0005-0000-0000-000086B80000}"/>
    <cellStyle name="Style 30 9 2 3 2 6" xfId="47234" xr:uid="{00000000-0005-0000-0000-000087B80000}"/>
    <cellStyle name="Style 30 9 2 3 3" xfId="47235" xr:uid="{00000000-0005-0000-0000-000088B80000}"/>
    <cellStyle name="Style 30 9 2 3 3 2" xfId="47236" xr:uid="{00000000-0005-0000-0000-000089B80000}"/>
    <cellStyle name="Style 30 9 2 3 3 3" xfId="47237" xr:uid="{00000000-0005-0000-0000-00008AB80000}"/>
    <cellStyle name="Style 30 9 2 3 4" xfId="47238" xr:uid="{00000000-0005-0000-0000-00008BB80000}"/>
    <cellStyle name="Style 30 9 2 3 4 2" xfId="47239" xr:uid="{00000000-0005-0000-0000-00008CB80000}"/>
    <cellStyle name="Style 30 9 2 3 4 3" xfId="47240" xr:uid="{00000000-0005-0000-0000-00008DB80000}"/>
    <cellStyle name="Style 30 9 2 3 5" xfId="47241" xr:uid="{00000000-0005-0000-0000-00008EB80000}"/>
    <cellStyle name="Style 30 9 2 3 5 2" xfId="47242" xr:uid="{00000000-0005-0000-0000-00008FB80000}"/>
    <cellStyle name="Style 30 9 2 3 5 3" xfId="47243" xr:uid="{00000000-0005-0000-0000-000090B80000}"/>
    <cellStyle name="Style 30 9 2 3 6" xfId="47244" xr:uid="{00000000-0005-0000-0000-000091B80000}"/>
    <cellStyle name="Style 30 9 2 3 7" xfId="47245" xr:uid="{00000000-0005-0000-0000-000092B80000}"/>
    <cellStyle name="Style 30 9 2 3 8" xfId="47246" xr:uid="{00000000-0005-0000-0000-000093B80000}"/>
    <cellStyle name="Style 30 9 2 4" xfId="47247" xr:uid="{00000000-0005-0000-0000-000094B80000}"/>
    <cellStyle name="Style 30 9 2 4 2" xfId="47248" xr:uid="{00000000-0005-0000-0000-000095B80000}"/>
    <cellStyle name="Style 30 9 2 4 2 2" xfId="47249" xr:uid="{00000000-0005-0000-0000-000096B80000}"/>
    <cellStyle name="Style 30 9 2 4 2 3" xfId="47250" xr:uid="{00000000-0005-0000-0000-000097B80000}"/>
    <cellStyle name="Style 30 9 2 4 3" xfId="47251" xr:uid="{00000000-0005-0000-0000-000098B80000}"/>
    <cellStyle name="Style 30 9 2 4 3 2" xfId="47252" xr:uid="{00000000-0005-0000-0000-000099B80000}"/>
    <cellStyle name="Style 30 9 2 4 3 3" xfId="47253" xr:uid="{00000000-0005-0000-0000-00009AB80000}"/>
    <cellStyle name="Style 30 9 2 4 4" xfId="47254" xr:uid="{00000000-0005-0000-0000-00009BB80000}"/>
    <cellStyle name="Style 30 9 2 4 5" xfId="47255" xr:uid="{00000000-0005-0000-0000-00009CB80000}"/>
    <cellStyle name="Style 30 9 2 4 6" xfId="47256" xr:uid="{00000000-0005-0000-0000-00009DB80000}"/>
    <cellStyle name="Style 30 9 2 5" xfId="47257" xr:uid="{00000000-0005-0000-0000-00009EB80000}"/>
    <cellStyle name="Style 30 9 2 5 2" xfId="47258" xr:uid="{00000000-0005-0000-0000-00009FB80000}"/>
    <cellStyle name="Style 30 9 2 5 3" xfId="47259" xr:uid="{00000000-0005-0000-0000-0000A0B80000}"/>
    <cellStyle name="Style 30 9 2 6" xfId="47260" xr:uid="{00000000-0005-0000-0000-0000A1B80000}"/>
    <cellStyle name="Style 30 9 2 6 2" xfId="47261" xr:uid="{00000000-0005-0000-0000-0000A2B80000}"/>
    <cellStyle name="Style 30 9 2 6 3" xfId="47262" xr:uid="{00000000-0005-0000-0000-0000A3B80000}"/>
    <cellStyle name="Style 30 9 2 7" xfId="47263" xr:uid="{00000000-0005-0000-0000-0000A4B80000}"/>
    <cellStyle name="Style 30 9 2 7 2" xfId="47264" xr:uid="{00000000-0005-0000-0000-0000A5B80000}"/>
    <cellStyle name="Style 30 9 2 7 3" xfId="47265" xr:uid="{00000000-0005-0000-0000-0000A6B80000}"/>
    <cellStyle name="Style 30 9 2 8" xfId="47266" xr:uid="{00000000-0005-0000-0000-0000A7B80000}"/>
    <cellStyle name="Style 30 9 2 9" xfId="47267" xr:uid="{00000000-0005-0000-0000-0000A8B80000}"/>
    <cellStyle name="Style 30 9 3" xfId="47268" xr:uid="{00000000-0005-0000-0000-0000A9B80000}"/>
    <cellStyle name="Style 30 9 3 2" xfId="47269" xr:uid="{00000000-0005-0000-0000-0000AAB80000}"/>
    <cellStyle name="Style 30 9 3 2 2" xfId="47270" xr:uid="{00000000-0005-0000-0000-0000ABB80000}"/>
    <cellStyle name="Style 30 9 3 2 2 2" xfId="47271" xr:uid="{00000000-0005-0000-0000-0000ACB80000}"/>
    <cellStyle name="Style 30 9 3 2 2 3" xfId="47272" xr:uid="{00000000-0005-0000-0000-0000ADB80000}"/>
    <cellStyle name="Style 30 9 3 2 3" xfId="47273" xr:uid="{00000000-0005-0000-0000-0000AEB80000}"/>
    <cellStyle name="Style 30 9 3 2 3 2" xfId="47274" xr:uid="{00000000-0005-0000-0000-0000AFB80000}"/>
    <cellStyle name="Style 30 9 3 2 3 3" xfId="47275" xr:uid="{00000000-0005-0000-0000-0000B0B80000}"/>
    <cellStyle name="Style 30 9 3 2 4" xfId="47276" xr:uid="{00000000-0005-0000-0000-0000B1B80000}"/>
    <cellStyle name="Style 30 9 3 2 5" xfId="47277" xr:uid="{00000000-0005-0000-0000-0000B2B80000}"/>
    <cellStyle name="Style 30 9 3 2 6" xfId="47278" xr:uid="{00000000-0005-0000-0000-0000B3B80000}"/>
    <cellStyle name="Style 30 9 3 3" xfId="47279" xr:uid="{00000000-0005-0000-0000-0000B4B80000}"/>
    <cellStyle name="Style 30 9 3 3 2" xfId="47280" xr:uid="{00000000-0005-0000-0000-0000B5B80000}"/>
    <cellStyle name="Style 30 9 3 3 3" xfId="47281" xr:uid="{00000000-0005-0000-0000-0000B6B80000}"/>
    <cellStyle name="Style 30 9 3 4" xfId="47282" xr:uid="{00000000-0005-0000-0000-0000B7B80000}"/>
    <cellStyle name="Style 30 9 3 4 2" xfId="47283" xr:uid="{00000000-0005-0000-0000-0000B8B80000}"/>
    <cellStyle name="Style 30 9 3 4 3" xfId="47284" xr:uid="{00000000-0005-0000-0000-0000B9B80000}"/>
    <cellStyle name="Style 30 9 3 5" xfId="47285" xr:uid="{00000000-0005-0000-0000-0000BAB80000}"/>
    <cellStyle name="Style 30 9 3 5 2" xfId="47286" xr:uid="{00000000-0005-0000-0000-0000BBB80000}"/>
    <cellStyle name="Style 30 9 3 5 3" xfId="47287" xr:uid="{00000000-0005-0000-0000-0000BCB80000}"/>
    <cellStyle name="Style 30 9 3 6" xfId="47288" xr:uid="{00000000-0005-0000-0000-0000BDB80000}"/>
    <cellStyle name="Style 30 9 3 7" xfId="47289" xr:uid="{00000000-0005-0000-0000-0000BEB80000}"/>
    <cellStyle name="Style 30 9 3 8" xfId="47290" xr:uid="{00000000-0005-0000-0000-0000BFB80000}"/>
    <cellStyle name="Style 30 9 4" xfId="47291" xr:uid="{00000000-0005-0000-0000-0000C0B80000}"/>
    <cellStyle name="Style 30 9 4 2" xfId="47292" xr:uid="{00000000-0005-0000-0000-0000C1B80000}"/>
    <cellStyle name="Style 30 9 4 2 2" xfId="47293" xr:uid="{00000000-0005-0000-0000-0000C2B80000}"/>
    <cellStyle name="Style 30 9 4 2 2 2" xfId="47294" xr:uid="{00000000-0005-0000-0000-0000C3B80000}"/>
    <cellStyle name="Style 30 9 4 2 2 3" xfId="47295" xr:uid="{00000000-0005-0000-0000-0000C4B80000}"/>
    <cellStyle name="Style 30 9 4 2 3" xfId="47296" xr:uid="{00000000-0005-0000-0000-0000C5B80000}"/>
    <cellStyle name="Style 30 9 4 2 3 2" xfId="47297" xr:uid="{00000000-0005-0000-0000-0000C6B80000}"/>
    <cellStyle name="Style 30 9 4 2 3 3" xfId="47298" xr:uid="{00000000-0005-0000-0000-0000C7B80000}"/>
    <cellStyle name="Style 30 9 4 2 4" xfId="47299" xr:uid="{00000000-0005-0000-0000-0000C8B80000}"/>
    <cellStyle name="Style 30 9 4 2 5" xfId="47300" xr:uid="{00000000-0005-0000-0000-0000C9B80000}"/>
    <cellStyle name="Style 30 9 4 2 6" xfId="47301" xr:uid="{00000000-0005-0000-0000-0000CAB80000}"/>
    <cellStyle name="Style 30 9 4 3" xfId="47302" xr:uid="{00000000-0005-0000-0000-0000CBB80000}"/>
    <cellStyle name="Style 30 9 4 3 2" xfId="47303" xr:uid="{00000000-0005-0000-0000-0000CCB80000}"/>
    <cellStyle name="Style 30 9 4 3 3" xfId="47304" xr:uid="{00000000-0005-0000-0000-0000CDB80000}"/>
    <cellStyle name="Style 30 9 4 4" xfId="47305" xr:uid="{00000000-0005-0000-0000-0000CEB80000}"/>
    <cellStyle name="Style 30 9 4 4 2" xfId="47306" xr:uid="{00000000-0005-0000-0000-0000CFB80000}"/>
    <cellStyle name="Style 30 9 4 4 3" xfId="47307" xr:uid="{00000000-0005-0000-0000-0000D0B80000}"/>
    <cellStyle name="Style 30 9 4 5" xfId="47308" xr:uid="{00000000-0005-0000-0000-0000D1B80000}"/>
    <cellStyle name="Style 30 9 4 5 2" xfId="47309" xr:uid="{00000000-0005-0000-0000-0000D2B80000}"/>
    <cellStyle name="Style 30 9 4 5 3" xfId="47310" xr:uid="{00000000-0005-0000-0000-0000D3B80000}"/>
    <cellStyle name="Style 30 9 4 6" xfId="47311" xr:uid="{00000000-0005-0000-0000-0000D4B80000}"/>
    <cellStyle name="Style 30 9 4 7" xfId="47312" xr:uid="{00000000-0005-0000-0000-0000D5B80000}"/>
    <cellStyle name="Style 30 9 4 8" xfId="47313" xr:uid="{00000000-0005-0000-0000-0000D6B80000}"/>
    <cellStyle name="Style 30 9 5" xfId="47314" xr:uid="{00000000-0005-0000-0000-0000D7B80000}"/>
    <cellStyle name="Style 30 9 5 2" xfId="47315" xr:uid="{00000000-0005-0000-0000-0000D8B80000}"/>
    <cellStyle name="Style 30 9 5 2 2" xfId="47316" xr:uid="{00000000-0005-0000-0000-0000D9B80000}"/>
    <cellStyle name="Style 30 9 5 2 2 2" xfId="47317" xr:uid="{00000000-0005-0000-0000-0000DAB80000}"/>
    <cellStyle name="Style 30 9 5 2 2 3" xfId="47318" xr:uid="{00000000-0005-0000-0000-0000DBB80000}"/>
    <cellStyle name="Style 30 9 5 2 3" xfId="47319" xr:uid="{00000000-0005-0000-0000-0000DCB80000}"/>
    <cellStyle name="Style 30 9 5 2 3 2" xfId="47320" xr:uid="{00000000-0005-0000-0000-0000DDB80000}"/>
    <cellStyle name="Style 30 9 5 2 3 3" xfId="47321" xr:uid="{00000000-0005-0000-0000-0000DEB80000}"/>
    <cellStyle name="Style 30 9 5 2 4" xfId="47322" xr:uid="{00000000-0005-0000-0000-0000DFB80000}"/>
    <cellStyle name="Style 30 9 5 2 5" xfId="47323" xr:uid="{00000000-0005-0000-0000-0000E0B80000}"/>
    <cellStyle name="Style 30 9 5 2 6" xfId="47324" xr:uid="{00000000-0005-0000-0000-0000E1B80000}"/>
    <cellStyle name="Style 30 9 5 3" xfId="47325" xr:uid="{00000000-0005-0000-0000-0000E2B80000}"/>
    <cellStyle name="Style 30 9 5 3 2" xfId="47326" xr:uid="{00000000-0005-0000-0000-0000E3B80000}"/>
    <cellStyle name="Style 30 9 5 3 3" xfId="47327" xr:uid="{00000000-0005-0000-0000-0000E4B80000}"/>
    <cellStyle name="Style 30 9 5 4" xfId="47328" xr:uid="{00000000-0005-0000-0000-0000E5B80000}"/>
    <cellStyle name="Style 30 9 5 4 2" xfId="47329" xr:uid="{00000000-0005-0000-0000-0000E6B80000}"/>
    <cellStyle name="Style 30 9 5 4 3" xfId="47330" xr:uid="{00000000-0005-0000-0000-0000E7B80000}"/>
    <cellStyle name="Style 30 9 5 5" xfId="47331" xr:uid="{00000000-0005-0000-0000-0000E8B80000}"/>
    <cellStyle name="Style 30 9 5 5 2" xfId="47332" xr:uid="{00000000-0005-0000-0000-0000E9B80000}"/>
    <cellStyle name="Style 30 9 5 5 3" xfId="47333" xr:uid="{00000000-0005-0000-0000-0000EAB80000}"/>
    <cellStyle name="Style 30 9 5 6" xfId="47334" xr:uid="{00000000-0005-0000-0000-0000EBB80000}"/>
    <cellStyle name="Style 30 9 5 7" xfId="47335" xr:uid="{00000000-0005-0000-0000-0000ECB80000}"/>
    <cellStyle name="Style 30 9 5 8" xfId="47336" xr:uid="{00000000-0005-0000-0000-0000EDB80000}"/>
    <cellStyle name="Style 30 9 6" xfId="47337" xr:uid="{00000000-0005-0000-0000-0000EEB80000}"/>
    <cellStyle name="Style 30 9 6 2" xfId="47338" xr:uid="{00000000-0005-0000-0000-0000EFB80000}"/>
    <cellStyle name="Style 30 9 6 2 2" xfId="47339" xr:uid="{00000000-0005-0000-0000-0000F0B80000}"/>
    <cellStyle name="Style 30 9 6 2 3" xfId="47340" xr:uid="{00000000-0005-0000-0000-0000F1B80000}"/>
    <cellStyle name="Style 30 9 6 3" xfId="47341" xr:uid="{00000000-0005-0000-0000-0000F2B80000}"/>
    <cellStyle name="Style 30 9 6 3 2" xfId="47342" xr:uid="{00000000-0005-0000-0000-0000F3B80000}"/>
    <cellStyle name="Style 30 9 6 3 3" xfId="47343" xr:uid="{00000000-0005-0000-0000-0000F4B80000}"/>
    <cellStyle name="Style 30 9 6 4" xfId="47344" xr:uid="{00000000-0005-0000-0000-0000F5B80000}"/>
    <cellStyle name="Style 30 9 6 5" xfId="47345" xr:uid="{00000000-0005-0000-0000-0000F6B80000}"/>
    <cellStyle name="Style 30 9 6 6" xfId="47346" xr:uid="{00000000-0005-0000-0000-0000F7B80000}"/>
    <cellStyle name="Style 30 9 7" xfId="47347" xr:uid="{00000000-0005-0000-0000-0000F8B80000}"/>
    <cellStyle name="Style 30 9 7 2" xfId="47348" xr:uid="{00000000-0005-0000-0000-0000F9B80000}"/>
    <cellStyle name="Style 30 9 7 3" xfId="47349" xr:uid="{00000000-0005-0000-0000-0000FAB80000}"/>
    <cellStyle name="Style 30 9 8" xfId="47350" xr:uid="{00000000-0005-0000-0000-0000FBB80000}"/>
    <cellStyle name="Style 30 9 8 2" xfId="47351" xr:uid="{00000000-0005-0000-0000-0000FCB80000}"/>
    <cellStyle name="Style 30 9 8 3" xfId="47352" xr:uid="{00000000-0005-0000-0000-0000FDB80000}"/>
    <cellStyle name="Style 30 9 9" xfId="47353" xr:uid="{00000000-0005-0000-0000-0000FEB80000}"/>
    <cellStyle name="Style 30 9 9 2" xfId="47354" xr:uid="{00000000-0005-0000-0000-0000FFB80000}"/>
    <cellStyle name="Style 30 9 9 3" xfId="47355" xr:uid="{00000000-0005-0000-0000-000000B90000}"/>
    <cellStyle name="Style 31" xfId="47356" xr:uid="{00000000-0005-0000-0000-000001B90000}"/>
    <cellStyle name="Style 31 10" xfId="47357" xr:uid="{00000000-0005-0000-0000-000002B90000}"/>
    <cellStyle name="Style 31 10 10" xfId="47358" xr:uid="{00000000-0005-0000-0000-000003B90000}"/>
    <cellStyle name="Style 31 10 11" xfId="47359" xr:uid="{00000000-0005-0000-0000-000004B90000}"/>
    <cellStyle name="Style 31 10 12" xfId="47360" xr:uid="{00000000-0005-0000-0000-000005B90000}"/>
    <cellStyle name="Style 31 10 2" xfId="47361" xr:uid="{00000000-0005-0000-0000-000006B90000}"/>
    <cellStyle name="Style 31 10 2 10" xfId="47362" xr:uid="{00000000-0005-0000-0000-000007B90000}"/>
    <cellStyle name="Style 31 10 2 2" xfId="47363" xr:uid="{00000000-0005-0000-0000-000008B90000}"/>
    <cellStyle name="Style 31 10 2 2 2" xfId="47364" xr:uid="{00000000-0005-0000-0000-000009B90000}"/>
    <cellStyle name="Style 31 10 2 2 2 2" xfId="47365" xr:uid="{00000000-0005-0000-0000-00000AB90000}"/>
    <cellStyle name="Style 31 10 2 2 2 2 2" xfId="47366" xr:uid="{00000000-0005-0000-0000-00000BB90000}"/>
    <cellStyle name="Style 31 10 2 2 2 2 3" xfId="47367" xr:uid="{00000000-0005-0000-0000-00000CB90000}"/>
    <cellStyle name="Style 31 10 2 2 2 3" xfId="47368" xr:uid="{00000000-0005-0000-0000-00000DB90000}"/>
    <cellStyle name="Style 31 10 2 2 2 3 2" xfId="47369" xr:uid="{00000000-0005-0000-0000-00000EB90000}"/>
    <cellStyle name="Style 31 10 2 2 2 3 3" xfId="47370" xr:uid="{00000000-0005-0000-0000-00000FB90000}"/>
    <cellStyle name="Style 31 10 2 2 2 4" xfId="47371" xr:uid="{00000000-0005-0000-0000-000010B90000}"/>
    <cellStyle name="Style 31 10 2 2 2 5" xfId="47372" xr:uid="{00000000-0005-0000-0000-000011B90000}"/>
    <cellStyle name="Style 31 10 2 2 2 6" xfId="47373" xr:uid="{00000000-0005-0000-0000-000012B90000}"/>
    <cellStyle name="Style 31 10 2 2 3" xfId="47374" xr:uid="{00000000-0005-0000-0000-000013B90000}"/>
    <cellStyle name="Style 31 10 2 2 3 2" xfId="47375" xr:uid="{00000000-0005-0000-0000-000014B90000}"/>
    <cellStyle name="Style 31 10 2 2 3 3" xfId="47376" xr:uid="{00000000-0005-0000-0000-000015B90000}"/>
    <cellStyle name="Style 31 10 2 2 4" xfId="47377" xr:uid="{00000000-0005-0000-0000-000016B90000}"/>
    <cellStyle name="Style 31 10 2 2 4 2" xfId="47378" xr:uid="{00000000-0005-0000-0000-000017B90000}"/>
    <cellStyle name="Style 31 10 2 2 4 3" xfId="47379" xr:uid="{00000000-0005-0000-0000-000018B90000}"/>
    <cellStyle name="Style 31 10 2 2 5" xfId="47380" xr:uid="{00000000-0005-0000-0000-000019B90000}"/>
    <cellStyle name="Style 31 10 2 2 5 2" xfId="47381" xr:uid="{00000000-0005-0000-0000-00001AB90000}"/>
    <cellStyle name="Style 31 10 2 2 5 3" xfId="47382" xr:uid="{00000000-0005-0000-0000-00001BB90000}"/>
    <cellStyle name="Style 31 10 2 2 6" xfId="47383" xr:uid="{00000000-0005-0000-0000-00001CB90000}"/>
    <cellStyle name="Style 31 10 2 2 7" xfId="47384" xr:uid="{00000000-0005-0000-0000-00001DB90000}"/>
    <cellStyle name="Style 31 10 2 2 8" xfId="47385" xr:uid="{00000000-0005-0000-0000-00001EB90000}"/>
    <cellStyle name="Style 31 10 2 3" xfId="47386" xr:uid="{00000000-0005-0000-0000-00001FB90000}"/>
    <cellStyle name="Style 31 10 2 3 2" xfId="47387" xr:uid="{00000000-0005-0000-0000-000020B90000}"/>
    <cellStyle name="Style 31 10 2 3 2 2" xfId="47388" xr:uid="{00000000-0005-0000-0000-000021B90000}"/>
    <cellStyle name="Style 31 10 2 3 2 2 2" xfId="47389" xr:uid="{00000000-0005-0000-0000-000022B90000}"/>
    <cellStyle name="Style 31 10 2 3 2 2 3" xfId="47390" xr:uid="{00000000-0005-0000-0000-000023B90000}"/>
    <cellStyle name="Style 31 10 2 3 2 3" xfId="47391" xr:uid="{00000000-0005-0000-0000-000024B90000}"/>
    <cellStyle name="Style 31 10 2 3 2 3 2" xfId="47392" xr:uid="{00000000-0005-0000-0000-000025B90000}"/>
    <cellStyle name="Style 31 10 2 3 2 3 3" xfId="47393" xr:uid="{00000000-0005-0000-0000-000026B90000}"/>
    <cellStyle name="Style 31 10 2 3 2 4" xfId="47394" xr:uid="{00000000-0005-0000-0000-000027B90000}"/>
    <cellStyle name="Style 31 10 2 3 2 5" xfId="47395" xr:uid="{00000000-0005-0000-0000-000028B90000}"/>
    <cellStyle name="Style 31 10 2 3 2 6" xfId="47396" xr:uid="{00000000-0005-0000-0000-000029B90000}"/>
    <cellStyle name="Style 31 10 2 3 3" xfId="47397" xr:uid="{00000000-0005-0000-0000-00002AB90000}"/>
    <cellStyle name="Style 31 10 2 3 3 2" xfId="47398" xr:uid="{00000000-0005-0000-0000-00002BB90000}"/>
    <cellStyle name="Style 31 10 2 3 3 3" xfId="47399" xr:uid="{00000000-0005-0000-0000-00002CB90000}"/>
    <cellStyle name="Style 31 10 2 3 4" xfId="47400" xr:uid="{00000000-0005-0000-0000-00002DB90000}"/>
    <cellStyle name="Style 31 10 2 3 4 2" xfId="47401" xr:uid="{00000000-0005-0000-0000-00002EB90000}"/>
    <cellStyle name="Style 31 10 2 3 4 3" xfId="47402" xr:uid="{00000000-0005-0000-0000-00002FB90000}"/>
    <cellStyle name="Style 31 10 2 3 5" xfId="47403" xr:uid="{00000000-0005-0000-0000-000030B90000}"/>
    <cellStyle name="Style 31 10 2 3 5 2" xfId="47404" xr:uid="{00000000-0005-0000-0000-000031B90000}"/>
    <cellStyle name="Style 31 10 2 3 5 3" xfId="47405" xr:uid="{00000000-0005-0000-0000-000032B90000}"/>
    <cellStyle name="Style 31 10 2 3 6" xfId="47406" xr:uid="{00000000-0005-0000-0000-000033B90000}"/>
    <cellStyle name="Style 31 10 2 3 7" xfId="47407" xr:uid="{00000000-0005-0000-0000-000034B90000}"/>
    <cellStyle name="Style 31 10 2 3 8" xfId="47408" xr:uid="{00000000-0005-0000-0000-000035B90000}"/>
    <cellStyle name="Style 31 10 2 4" xfId="47409" xr:uid="{00000000-0005-0000-0000-000036B90000}"/>
    <cellStyle name="Style 31 10 2 4 2" xfId="47410" xr:uid="{00000000-0005-0000-0000-000037B90000}"/>
    <cellStyle name="Style 31 10 2 4 2 2" xfId="47411" xr:uid="{00000000-0005-0000-0000-000038B90000}"/>
    <cellStyle name="Style 31 10 2 4 2 3" xfId="47412" xr:uid="{00000000-0005-0000-0000-000039B90000}"/>
    <cellStyle name="Style 31 10 2 4 3" xfId="47413" xr:uid="{00000000-0005-0000-0000-00003AB90000}"/>
    <cellStyle name="Style 31 10 2 4 3 2" xfId="47414" xr:uid="{00000000-0005-0000-0000-00003BB90000}"/>
    <cellStyle name="Style 31 10 2 4 3 3" xfId="47415" xr:uid="{00000000-0005-0000-0000-00003CB90000}"/>
    <cellStyle name="Style 31 10 2 4 4" xfId="47416" xr:uid="{00000000-0005-0000-0000-00003DB90000}"/>
    <cellStyle name="Style 31 10 2 4 5" xfId="47417" xr:uid="{00000000-0005-0000-0000-00003EB90000}"/>
    <cellStyle name="Style 31 10 2 4 6" xfId="47418" xr:uid="{00000000-0005-0000-0000-00003FB90000}"/>
    <cellStyle name="Style 31 10 2 5" xfId="47419" xr:uid="{00000000-0005-0000-0000-000040B90000}"/>
    <cellStyle name="Style 31 10 2 5 2" xfId="47420" xr:uid="{00000000-0005-0000-0000-000041B90000}"/>
    <cellStyle name="Style 31 10 2 5 3" xfId="47421" xr:uid="{00000000-0005-0000-0000-000042B90000}"/>
    <cellStyle name="Style 31 10 2 6" xfId="47422" xr:uid="{00000000-0005-0000-0000-000043B90000}"/>
    <cellStyle name="Style 31 10 2 6 2" xfId="47423" xr:uid="{00000000-0005-0000-0000-000044B90000}"/>
    <cellStyle name="Style 31 10 2 6 3" xfId="47424" xr:uid="{00000000-0005-0000-0000-000045B90000}"/>
    <cellStyle name="Style 31 10 2 7" xfId="47425" xr:uid="{00000000-0005-0000-0000-000046B90000}"/>
    <cellStyle name="Style 31 10 2 7 2" xfId="47426" xr:uid="{00000000-0005-0000-0000-000047B90000}"/>
    <cellStyle name="Style 31 10 2 7 3" xfId="47427" xr:uid="{00000000-0005-0000-0000-000048B90000}"/>
    <cellStyle name="Style 31 10 2 8" xfId="47428" xr:uid="{00000000-0005-0000-0000-000049B90000}"/>
    <cellStyle name="Style 31 10 2 9" xfId="47429" xr:uid="{00000000-0005-0000-0000-00004AB90000}"/>
    <cellStyle name="Style 31 10 3" xfId="47430" xr:uid="{00000000-0005-0000-0000-00004BB90000}"/>
    <cellStyle name="Style 31 10 3 2" xfId="47431" xr:uid="{00000000-0005-0000-0000-00004CB90000}"/>
    <cellStyle name="Style 31 10 3 2 2" xfId="47432" xr:uid="{00000000-0005-0000-0000-00004DB90000}"/>
    <cellStyle name="Style 31 10 3 2 2 2" xfId="47433" xr:uid="{00000000-0005-0000-0000-00004EB90000}"/>
    <cellStyle name="Style 31 10 3 2 2 3" xfId="47434" xr:uid="{00000000-0005-0000-0000-00004FB90000}"/>
    <cellStyle name="Style 31 10 3 2 3" xfId="47435" xr:uid="{00000000-0005-0000-0000-000050B90000}"/>
    <cellStyle name="Style 31 10 3 2 3 2" xfId="47436" xr:uid="{00000000-0005-0000-0000-000051B90000}"/>
    <cellStyle name="Style 31 10 3 2 3 3" xfId="47437" xr:uid="{00000000-0005-0000-0000-000052B90000}"/>
    <cellStyle name="Style 31 10 3 2 4" xfId="47438" xr:uid="{00000000-0005-0000-0000-000053B90000}"/>
    <cellStyle name="Style 31 10 3 2 5" xfId="47439" xr:uid="{00000000-0005-0000-0000-000054B90000}"/>
    <cellStyle name="Style 31 10 3 2 6" xfId="47440" xr:uid="{00000000-0005-0000-0000-000055B90000}"/>
    <cellStyle name="Style 31 10 3 3" xfId="47441" xr:uid="{00000000-0005-0000-0000-000056B90000}"/>
    <cellStyle name="Style 31 10 3 3 2" xfId="47442" xr:uid="{00000000-0005-0000-0000-000057B90000}"/>
    <cellStyle name="Style 31 10 3 3 3" xfId="47443" xr:uid="{00000000-0005-0000-0000-000058B90000}"/>
    <cellStyle name="Style 31 10 3 4" xfId="47444" xr:uid="{00000000-0005-0000-0000-000059B90000}"/>
    <cellStyle name="Style 31 10 3 4 2" xfId="47445" xr:uid="{00000000-0005-0000-0000-00005AB90000}"/>
    <cellStyle name="Style 31 10 3 4 3" xfId="47446" xr:uid="{00000000-0005-0000-0000-00005BB90000}"/>
    <cellStyle name="Style 31 10 3 5" xfId="47447" xr:uid="{00000000-0005-0000-0000-00005CB90000}"/>
    <cellStyle name="Style 31 10 3 5 2" xfId="47448" xr:uid="{00000000-0005-0000-0000-00005DB90000}"/>
    <cellStyle name="Style 31 10 3 5 3" xfId="47449" xr:uid="{00000000-0005-0000-0000-00005EB90000}"/>
    <cellStyle name="Style 31 10 3 6" xfId="47450" xr:uid="{00000000-0005-0000-0000-00005FB90000}"/>
    <cellStyle name="Style 31 10 3 7" xfId="47451" xr:uid="{00000000-0005-0000-0000-000060B90000}"/>
    <cellStyle name="Style 31 10 3 8" xfId="47452" xr:uid="{00000000-0005-0000-0000-000061B90000}"/>
    <cellStyle name="Style 31 10 4" xfId="47453" xr:uid="{00000000-0005-0000-0000-000062B90000}"/>
    <cellStyle name="Style 31 10 4 2" xfId="47454" xr:uid="{00000000-0005-0000-0000-000063B90000}"/>
    <cellStyle name="Style 31 10 4 2 2" xfId="47455" xr:uid="{00000000-0005-0000-0000-000064B90000}"/>
    <cellStyle name="Style 31 10 4 2 2 2" xfId="47456" xr:uid="{00000000-0005-0000-0000-000065B90000}"/>
    <cellStyle name="Style 31 10 4 2 2 3" xfId="47457" xr:uid="{00000000-0005-0000-0000-000066B90000}"/>
    <cellStyle name="Style 31 10 4 2 3" xfId="47458" xr:uid="{00000000-0005-0000-0000-000067B90000}"/>
    <cellStyle name="Style 31 10 4 2 3 2" xfId="47459" xr:uid="{00000000-0005-0000-0000-000068B90000}"/>
    <cellStyle name="Style 31 10 4 2 3 3" xfId="47460" xr:uid="{00000000-0005-0000-0000-000069B90000}"/>
    <cellStyle name="Style 31 10 4 2 4" xfId="47461" xr:uid="{00000000-0005-0000-0000-00006AB90000}"/>
    <cellStyle name="Style 31 10 4 2 5" xfId="47462" xr:uid="{00000000-0005-0000-0000-00006BB90000}"/>
    <cellStyle name="Style 31 10 4 2 6" xfId="47463" xr:uid="{00000000-0005-0000-0000-00006CB90000}"/>
    <cellStyle name="Style 31 10 4 3" xfId="47464" xr:uid="{00000000-0005-0000-0000-00006DB90000}"/>
    <cellStyle name="Style 31 10 4 3 2" xfId="47465" xr:uid="{00000000-0005-0000-0000-00006EB90000}"/>
    <cellStyle name="Style 31 10 4 3 3" xfId="47466" xr:uid="{00000000-0005-0000-0000-00006FB90000}"/>
    <cellStyle name="Style 31 10 4 4" xfId="47467" xr:uid="{00000000-0005-0000-0000-000070B90000}"/>
    <cellStyle name="Style 31 10 4 4 2" xfId="47468" xr:uid="{00000000-0005-0000-0000-000071B90000}"/>
    <cellStyle name="Style 31 10 4 4 3" xfId="47469" xr:uid="{00000000-0005-0000-0000-000072B90000}"/>
    <cellStyle name="Style 31 10 4 5" xfId="47470" xr:uid="{00000000-0005-0000-0000-000073B90000}"/>
    <cellStyle name="Style 31 10 4 5 2" xfId="47471" xr:uid="{00000000-0005-0000-0000-000074B90000}"/>
    <cellStyle name="Style 31 10 4 5 3" xfId="47472" xr:uid="{00000000-0005-0000-0000-000075B90000}"/>
    <cellStyle name="Style 31 10 4 6" xfId="47473" xr:uid="{00000000-0005-0000-0000-000076B90000}"/>
    <cellStyle name="Style 31 10 4 7" xfId="47474" xr:uid="{00000000-0005-0000-0000-000077B90000}"/>
    <cellStyle name="Style 31 10 4 8" xfId="47475" xr:uid="{00000000-0005-0000-0000-000078B90000}"/>
    <cellStyle name="Style 31 10 5" xfId="47476" xr:uid="{00000000-0005-0000-0000-000079B90000}"/>
    <cellStyle name="Style 31 10 5 2" xfId="47477" xr:uid="{00000000-0005-0000-0000-00007AB90000}"/>
    <cellStyle name="Style 31 10 5 2 2" xfId="47478" xr:uid="{00000000-0005-0000-0000-00007BB90000}"/>
    <cellStyle name="Style 31 10 5 2 2 2" xfId="47479" xr:uid="{00000000-0005-0000-0000-00007CB90000}"/>
    <cellStyle name="Style 31 10 5 2 2 3" xfId="47480" xr:uid="{00000000-0005-0000-0000-00007DB90000}"/>
    <cellStyle name="Style 31 10 5 2 3" xfId="47481" xr:uid="{00000000-0005-0000-0000-00007EB90000}"/>
    <cellStyle name="Style 31 10 5 2 3 2" xfId="47482" xr:uid="{00000000-0005-0000-0000-00007FB90000}"/>
    <cellStyle name="Style 31 10 5 2 3 3" xfId="47483" xr:uid="{00000000-0005-0000-0000-000080B90000}"/>
    <cellStyle name="Style 31 10 5 2 4" xfId="47484" xr:uid="{00000000-0005-0000-0000-000081B90000}"/>
    <cellStyle name="Style 31 10 5 2 5" xfId="47485" xr:uid="{00000000-0005-0000-0000-000082B90000}"/>
    <cellStyle name="Style 31 10 5 2 6" xfId="47486" xr:uid="{00000000-0005-0000-0000-000083B90000}"/>
    <cellStyle name="Style 31 10 5 3" xfId="47487" xr:uid="{00000000-0005-0000-0000-000084B90000}"/>
    <cellStyle name="Style 31 10 5 3 2" xfId="47488" xr:uid="{00000000-0005-0000-0000-000085B90000}"/>
    <cellStyle name="Style 31 10 5 3 3" xfId="47489" xr:uid="{00000000-0005-0000-0000-000086B90000}"/>
    <cellStyle name="Style 31 10 5 4" xfId="47490" xr:uid="{00000000-0005-0000-0000-000087B90000}"/>
    <cellStyle name="Style 31 10 5 4 2" xfId="47491" xr:uid="{00000000-0005-0000-0000-000088B90000}"/>
    <cellStyle name="Style 31 10 5 4 3" xfId="47492" xr:uid="{00000000-0005-0000-0000-000089B90000}"/>
    <cellStyle name="Style 31 10 5 5" xfId="47493" xr:uid="{00000000-0005-0000-0000-00008AB90000}"/>
    <cellStyle name="Style 31 10 5 5 2" xfId="47494" xr:uid="{00000000-0005-0000-0000-00008BB90000}"/>
    <cellStyle name="Style 31 10 5 5 3" xfId="47495" xr:uid="{00000000-0005-0000-0000-00008CB90000}"/>
    <cellStyle name="Style 31 10 5 6" xfId="47496" xr:uid="{00000000-0005-0000-0000-00008DB90000}"/>
    <cellStyle name="Style 31 10 5 7" xfId="47497" xr:uid="{00000000-0005-0000-0000-00008EB90000}"/>
    <cellStyle name="Style 31 10 5 8" xfId="47498" xr:uid="{00000000-0005-0000-0000-00008FB90000}"/>
    <cellStyle name="Style 31 10 6" xfId="47499" xr:uid="{00000000-0005-0000-0000-000090B90000}"/>
    <cellStyle name="Style 31 10 6 2" xfId="47500" xr:uid="{00000000-0005-0000-0000-000091B90000}"/>
    <cellStyle name="Style 31 10 6 2 2" xfId="47501" xr:uid="{00000000-0005-0000-0000-000092B90000}"/>
    <cellStyle name="Style 31 10 6 2 3" xfId="47502" xr:uid="{00000000-0005-0000-0000-000093B90000}"/>
    <cellStyle name="Style 31 10 6 3" xfId="47503" xr:uid="{00000000-0005-0000-0000-000094B90000}"/>
    <cellStyle name="Style 31 10 6 3 2" xfId="47504" xr:uid="{00000000-0005-0000-0000-000095B90000}"/>
    <cellStyle name="Style 31 10 6 3 3" xfId="47505" xr:uid="{00000000-0005-0000-0000-000096B90000}"/>
    <cellStyle name="Style 31 10 6 4" xfId="47506" xr:uid="{00000000-0005-0000-0000-000097B90000}"/>
    <cellStyle name="Style 31 10 6 5" xfId="47507" xr:uid="{00000000-0005-0000-0000-000098B90000}"/>
    <cellStyle name="Style 31 10 6 6" xfId="47508" xr:uid="{00000000-0005-0000-0000-000099B90000}"/>
    <cellStyle name="Style 31 10 7" xfId="47509" xr:uid="{00000000-0005-0000-0000-00009AB90000}"/>
    <cellStyle name="Style 31 10 7 2" xfId="47510" xr:uid="{00000000-0005-0000-0000-00009BB90000}"/>
    <cellStyle name="Style 31 10 7 3" xfId="47511" xr:uid="{00000000-0005-0000-0000-00009CB90000}"/>
    <cellStyle name="Style 31 10 8" xfId="47512" xr:uid="{00000000-0005-0000-0000-00009DB90000}"/>
    <cellStyle name="Style 31 10 8 2" xfId="47513" xr:uid="{00000000-0005-0000-0000-00009EB90000}"/>
    <cellStyle name="Style 31 10 8 3" xfId="47514" xr:uid="{00000000-0005-0000-0000-00009FB90000}"/>
    <cellStyle name="Style 31 10 9" xfId="47515" xr:uid="{00000000-0005-0000-0000-0000A0B90000}"/>
    <cellStyle name="Style 31 10 9 2" xfId="47516" xr:uid="{00000000-0005-0000-0000-0000A1B90000}"/>
    <cellStyle name="Style 31 10 9 3" xfId="47517" xr:uid="{00000000-0005-0000-0000-0000A2B90000}"/>
    <cellStyle name="Style 31 11" xfId="47518" xr:uid="{00000000-0005-0000-0000-0000A3B90000}"/>
    <cellStyle name="Style 31 11 10" xfId="47519" xr:uid="{00000000-0005-0000-0000-0000A4B90000}"/>
    <cellStyle name="Style 31 11 11" xfId="47520" xr:uid="{00000000-0005-0000-0000-0000A5B90000}"/>
    <cellStyle name="Style 31 11 12" xfId="47521" xr:uid="{00000000-0005-0000-0000-0000A6B90000}"/>
    <cellStyle name="Style 31 11 2" xfId="47522" xr:uid="{00000000-0005-0000-0000-0000A7B90000}"/>
    <cellStyle name="Style 31 11 2 10" xfId="47523" xr:uid="{00000000-0005-0000-0000-0000A8B90000}"/>
    <cellStyle name="Style 31 11 2 2" xfId="47524" xr:uid="{00000000-0005-0000-0000-0000A9B90000}"/>
    <cellStyle name="Style 31 11 2 2 2" xfId="47525" xr:uid="{00000000-0005-0000-0000-0000AAB90000}"/>
    <cellStyle name="Style 31 11 2 2 2 2" xfId="47526" xr:uid="{00000000-0005-0000-0000-0000ABB90000}"/>
    <cellStyle name="Style 31 11 2 2 2 2 2" xfId="47527" xr:uid="{00000000-0005-0000-0000-0000ACB90000}"/>
    <cellStyle name="Style 31 11 2 2 2 2 3" xfId="47528" xr:uid="{00000000-0005-0000-0000-0000ADB90000}"/>
    <cellStyle name="Style 31 11 2 2 2 3" xfId="47529" xr:uid="{00000000-0005-0000-0000-0000AEB90000}"/>
    <cellStyle name="Style 31 11 2 2 2 3 2" xfId="47530" xr:uid="{00000000-0005-0000-0000-0000AFB90000}"/>
    <cellStyle name="Style 31 11 2 2 2 3 3" xfId="47531" xr:uid="{00000000-0005-0000-0000-0000B0B90000}"/>
    <cellStyle name="Style 31 11 2 2 2 4" xfId="47532" xr:uid="{00000000-0005-0000-0000-0000B1B90000}"/>
    <cellStyle name="Style 31 11 2 2 2 5" xfId="47533" xr:uid="{00000000-0005-0000-0000-0000B2B90000}"/>
    <cellStyle name="Style 31 11 2 2 2 6" xfId="47534" xr:uid="{00000000-0005-0000-0000-0000B3B90000}"/>
    <cellStyle name="Style 31 11 2 2 3" xfId="47535" xr:uid="{00000000-0005-0000-0000-0000B4B90000}"/>
    <cellStyle name="Style 31 11 2 2 3 2" xfId="47536" xr:uid="{00000000-0005-0000-0000-0000B5B90000}"/>
    <cellStyle name="Style 31 11 2 2 3 3" xfId="47537" xr:uid="{00000000-0005-0000-0000-0000B6B90000}"/>
    <cellStyle name="Style 31 11 2 2 4" xfId="47538" xr:uid="{00000000-0005-0000-0000-0000B7B90000}"/>
    <cellStyle name="Style 31 11 2 2 4 2" xfId="47539" xr:uid="{00000000-0005-0000-0000-0000B8B90000}"/>
    <cellStyle name="Style 31 11 2 2 4 3" xfId="47540" xr:uid="{00000000-0005-0000-0000-0000B9B90000}"/>
    <cellStyle name="Style 31 11 2 2 5" xfId="47541" xr:uid="{00000000-0005-0000-0000-0000BAB90000}"/>
    <cellStyle name="Style 31 11 2 2 5 2" xfId="47542" xr:uid="{00000000-0005-0000-0000-0000BBB90000}"/>
    <cellStyle name="Style 31 11 2 2 5 3" xfId="47543" xr:uid="{00000000-0005-0000-0000-0000BCB90000}"/>
    <cellStyle name="Style 31 11 2 2 6" xfId="47544" xr:uid="{00000000-0005-0000-0000-0000BDB90000}"/>
    <cellStyle name="Style 31 11 2 2 7" xfId="47545" xr:uid="{00000000-0005-0000-0000-0000BEB90000}"/>
    <cellStyle name="Style 31 11 2 2 8" xfId="47546" xr:uid="{00000000-0005-0000-0000-0000BFB90000}"/>
    <cellStyle name="Style 31 11 2 3" xfId="47547" xr:uid="{00000000-0005-0000-0000-0000C0B90000}"/>
    <cellStyle name="Style 31 11 2 3 2" xfId="47548" xr:uid="{00000000-0005-0000-0000-0000C1B90000}"/>
    <cellStyle name="Style 31 11 2 3 2 2" xfId="47549" xr:uid="{00000000-0005-0000-0000-0000C2B90000}"/>
    <cellStyle name="Style 31 11 2 3 2 2 2" xfId="47550" xr:uid="{00000000-0005-0000-0000-0000C3B90000}"/>
    <cellStyle name="Style 31 11 2 3 2 2 3" xfId="47551" xr:uid="{00000000-0005-0000-0000-0000C4B90000}"/>
    <cellStyle name="Style 31 11 2 3 2 3" xfId="47552" xr:uid="{00000000-0005-0000-0000-0000C5B90000}"/>
    <cellStyle name="Style 31 11 2 3 2 3 2" xfId="47553" xr:uid="{00000000-0005-0000-0000-0000C6B90000}"/>
    <cellStyle name="Style 31 11 2 3 2 3 3" xfId="47554" xr:uid="{00000000-0005-0000-0000-0000C7B90000}"/>
    <cellStyle name="Style 31 11 2 3 2 4" xfId="47555" xr:uid="{00000000-0005-0000-0000-0000C8B90000}"/>
    <cellStyle name="Style 31 11 2 3 2 5" xfId="47556" xr:uid="{00000000-0005-0000-0000-0000C9B90000}"/>
    <cellStyle name="Style 31 11 2 3 2 6" xfId="47557" xr:uid="{00000000-0005-0000-0000-0000CAB90000}"/>
    <cellStyle name="Style 31 11 2 3 3" xfId="47558" xr:uid="{00000000-0005-0000-0000-0000CBB90000}"/>
    <cellStyle name="Style 31 11 2 3 3 2" xfId="47559" xr:uid="{00000000-0005-0000-0000-0000CCB90000}"/>
    <cellStyle name="Style 31 11 2 3 3 3" xfId="47560" xr:uid="{00000000-0005-0000-0000-0000CDB90000}"/>
    <cellStyle name="Style 31 11 2 3 4" xfId="47561" xr:uid="{00000000-0005-0000-0000-0000CEB90000}"/>
    <cellStyle name="Style 31 11 2 3 4 2" xfId="47562" xr:uid="{00000000-0005-0000-0000-0000CFB90000}"/>
    <cellStyle name="Style 31 11 2 3 4 3" xfId="47563" xr:uid="{00000000-0005-0000-0000-0000D0B90000}"/>
    <cellStyle name="Style 31 11 2 3 5" xfId="47564" xr:uid="{00000000-0005-0000-0000-0000D1B90000}"/>
    <cellStyle name="Style 31 11 2 3 5 2" xfId="47565" xr:uid="{00000000-0005-0000-0000-0000D2B90000}"/>
    <cellStyle name="Style 31 11 2 3 5 3" xfId="47566" xr:uid="{00000000-0005-0000-0000-0000D3B90000}"/>
    <cellStyle name="Style 31 11 2 3 6" xfId="47567" xr:uid="{00000000-0005-0000-0000-0000D4B90000}"/>
    <cellStyle name="Style 31 11 2 3 7" xfId="47568" xr:uid="{00000000-0005-0000-0000-0000D5B90000}"/>
    <cellStyle name="Style 31 11 2 3 8" xfId="47569" xr:uid="{00000000-0005-0000-0000-0000D6B90000}"/>
    <cellStyle name="Style 31 11 2 4" xfId="47570" xr:uid="{00000000-0005-0000-0000-0000D7B90000}"/>
    <cellStyle name="Style 31 11 2 4 2" xfId="47571" xr:uid="{00000000-0005-0000-0000-0000D8B90000}"/>
    <cellStyle name="Style 31 11 2 4 2 2" xfId="47572" xr:uid="{00000000-0005-0000-0000-0000D9B90000}"/>
    <cellStyle name="Style 31 11 2 4 2 3" xfId="47573" xr:uid="{00000000-0005-0000-0000-0000DAB90000}"/>
    <cellStyle name="Style 31 11 2 4 3" xfId="47574" xr:uid="{00000000-0005-0000-0000-0000DBB90000}"/>
    <cellStyle name="Style 31 11 2 4 3 2" xfId="47575" xr:uid="{00000000-0005-0000-0000-0000DCB90000}"/>
    <cellStyle name="Style 31 11 2 4 3 3" xfId="47576" xr:uid="{00000000-0005-0000-0000-0000DDB90000}"/>
    <cellStyle name="Style 31 11 2 4 4" xfId="47577" xr:uid="{00000000-0005-0000-0000-0000DEB90000}"/>
    <cellStyle name="Style 31 11 2 4 5" xfId="47578" xr:uid="{00000000-0005-0000-0000-0000DFB90000}"/>
    <cellStyle name="Style 31 11 2 4 6" xfId="47579" xr:uid="{00000000-0005-0000-0000-0000E0B90000}"/>
    <cellStyle name="Style 31 11 2 5" xfId="47580" xr:uid="{00000000-0005-0000-0000-0000E1B90000}"/>
    <cellStyle name="Style 31 11 2 5 2" xfId="47581" xr:uid="{00000000-0005-0000-0000-0000E2B90000}"/>
    <cellStyle name="Style 31 11 2 5 3" xfId="47582" xr:uid="{00000000-0005-0000-0000-0000E3B90000}"/>
    <cellStyle name="Style 31 11 2 6" xfId="47583" xr:uid="{00000000-0005-0000-0000-0000E4B90000}"/>
    <cellStyle name="Style 31 11 2 6 2" xfId="47584" xr:uid="{00000000-0005-0000-0000-0000E5B90000}"/>
    <cellStyle name="Style 31 11 2 6 3" xfId="47585" xr:uid="{00000000-0005-0000-0000-0000E6B90000}"/>
    <cellStyle name="Style 31 11 2 7" xfId="47586" xr:uid="{00000000-0005-0000-0000-0000E7B90000}"/>
    <cellStyle name="Style 31 11 2 7 2" xfId="47587" xr:uid="{00000000-0005-0000-0000-0000E8B90000}"/>
    <cellStyle name="Style 31 11 2 7 3" xfId="47588" xr:uid="{00000000-0005-0000-0000-0000E9B90000}"/>
    <cellStyle name="Style 31 11 2 8" xfId="47589" xr:uid="{00000000-0005-0000-0000-0000EAB90000}"/>
    <cellStyle name="Style 31 11 2 9" xfId="47590" xr:uid="{00000000-0005-0000-0000-0000EBB90000}"/>
    <cellStyle name="Style 31 11 3" xfId="47591" xr:uid="{00000000-0005-0000-0000-0000ECB90000}"/>
    <cellStyle name="Style 31 11 3 2" xfId="47592" xr:uid="{00000000-0005-0000-0000-0000EDB90000}"/>
    <cellStyle name="Style 31 11 3 2 2" xfId="47593" xr:uid="{00000000-0005-0000-0000-0000EEB90000}"/>
    <cellStyle name="Style 31 11 3 2 2 2" xfId="47594" xr:uid="{00000000-0005-0000-0000-0000EFB90000}"/>
    <cellStyle name="Style 31 11 3 2 2 3" xfId="47595" xr:uid="{00000000-0005-0000-0000-0000F0B90000}"/>
    <cellStyle name="Style 31 11 3 2 3" xfId="47596" xr:uid="{00000000-0005-0000-0000-0000F1B90000}"/>
    <cellStyle name="Style 31 11 3 2 3 2" xfId="47597" xr:uid="{00000000-0005-0000-0000-0000F2B90000}"/>
    <cellStyle name="Style 31 11 3 2 3 3" xfId="47598" xr:uid="{00000000-0005-0000-0000-0000F3B90000}"/>
    <cellStyle name="Style 31 11 3 2 4" xfId="47599" xr:uid="{00000000-0005-0000-0000-0000F4B90000}"/>
    <cellStyle name="Style 31 11 3 2 5" xfId="47600" xr:uid="{00000000-0005-0000-0000-0000F5B90000}"/>
    <cellStyle name="Style 31 11 3 2 6" xfId="47601" xr:uid="{00000000-0005-0000-0000-0000F6B90000}"/>
    <cellStyle name="Style 31 11 3 3" xfId="47602" xr:uid="{00000000-0005-0000-0000-0000F7B90000}"/>
    <cellStyle name="Style 31 11 3 3 2" xfId="47603" xr:uid="{00000000-0005-0000-0000-0000F8B90000}"/>
    <cellStyle name="Style 31 11 3 3 3" xfId="47604" xr:uid="{00000000-0005-0000-0000-0000F9B90000}"/>
    <cellStyle name="Style 31 11 3 4" xfId="47605" xr:uid="{00000000-0005-0000-0000-0000FAB90000}"/>
    <cellStyle name="Style 31 11 3 4 2" xfId="47606" xr:uid="{00000000-0005-0000-0000-0000FBB90000}"/>
    <cellStyle name="Style 31 11 3 4 3" xfId="47607" xr:uid="{00000000-0005-0000-0000-0000FCB90000}"/>
    <cellStyle name="Style 31 11 3 5" xfId="47608" xr:uid="{00000000-0005-0000-0000-0000FDB90000}"/>
    <cellStyle name="Style 31 11 3 5 2" xfId="47609" xr:uid="{00000000-0005-0000-0000-0000FEB90000}"/>
    <cellStyle name="Style 31 11 3 5 3" xfId="47610" xr:uid="{00000000-0005-0000-0000-0000FFB90000}"/>
    <cellStyle name="Style 31 11 3 6" xfId="47611" xr:uid="{00000000-0005-0000-0000-000000BA0000}"/>
    <cellStyle name="Style 31 11 3 7" xfId="47612" xr:uid="{00000000-0005-0000-0000-000001BA0000}"/>
    <cellStyle name="Style 31 11 3 8" xfId="47613" xr:uid="{00000000-0005-0000-0000-000002BA0000}"/>
    <cellStyle name="Style 31 11 4" xfId="47614" xr:uid="{00000000-0005-0000-0000-000003BA0000}"/>
    <cellStyle name="Style 31 11 4 2" xfId="47615" xr:uid="{00000000-0005-0000-0000-000004BA0000}"/>
    <cellStyle name="Style 31 11 4 2 2" xfId="47616" xr:uid="{00000000-0005-0000-0000-000005BA0000}"/>
    <cellStyle name="Style 31 11 4 2 2 2" xfId="47617" xr:uid="{00000000-0005-0000-0000-000006BA0000}"/>
    <cellStyle name="Style 31 11 4 2 2 3" xfId="47618" xr:uid="{00000000-0005-0000-0000-000007BA0000}"/>
    <cellStyle name="Style 31 11 4 2 3" xfId="47619" xr:uid="{00000000-0005-0000-0000-000008BA0000}"/>
    <cellStyle name="Style 31 11 4 2 3 2" xfId="47620" xr:uid="{00000000-0005-0000-0000-000009BA0000}"/>
    <cellStyle name="Style 31 11 4 2 3 3" xfId="47621" xr:uid="{00000000-0005-0000-0000-00000ABA0000}"/>
    <cellStyle name="Style 31 11 4 2 4" xfId="47622" xr:uid="{00000000-0005-0000-0000-00000BBA0000}"/>
    <cellStyle name="Style 31 11 4 2 5" xfId="47623" xr:uid="{00000000-0005-0000-0000-00000CBA0000}"/>
    <cellStyle name="Style 31 11 4 2 6" xfId="47624" xr:uid="{00000000-0005-0000-0000-00000DBA0000}"/>
    <cellStyle name="Style 31 11 4 3" xfId="47625" xr:uid="{00000000-0005-0000-0000-00000EBA0000}"/>
    <cellStyle name="Style 31 11 4 3 2" xfId="47626" xr:uid="{00000000-0005-0000-0000-00000FBA0000}"/>
    <cellStyle name="Style 31 11 4 3 3" xfId="47627" xr:uid="{00000000-0005-0000-0000-000010BA0000}"/>
    <cellStyle name="Style 31 11 4 4" xfId="47628" xr:uid="{00000000-0005-0000-0000-000011BA0000}"/>
    <cellStyle name="Style 31 11 4 4 2" xfId="47629" xr:uid="{00000000-0005-0000-0000-000012BA0000}"/>
    <cellStyle name="Style 31 11 4 4 3" xfId="47630" xr:uid="{00000000-0005-0000-0000-000013BA0000}"/>
    <cellStyle name="Style 31 11 4 5" xfId="47631" xr:uid="{00000000-0005-0000-0000-000014BA0000}"/>
    <cellStyle name="Style 31 11 4 5 2" xfId="47632" xr:uid="{00000000-0005-0000-0000-000015BA0000}"/>
    <cellStyle name="Style 31 11 4 5 3" xfId="47633" xr:uid="{00000000-0005-0000-0000-000016BA0000}"/>
    <cellStyle name="Style 31 11 4 6" xfId="47634" xr:uid="{00000000-0005-0000-0000-000017BA0000}"/>
    <cellStyle name="Style 31 11 4 7" xfId="47635" xr:uid="{00000000-0005-0000-0000-000018BA0000}"/>
    <cellStyle name="Style 31 11 4 8" xfId="47636" xr:uid="{00000000-0005-0000-0000-000019BA0000}"/>
    <cellStyle name="Style 31 11 5" xfId="47637" xr:uid="{00000000-0005-0000-0000-00001ABA0000}"/>
    <cellStyle name="Style 31 11 5 2" xfId="47638" xr:uid="{00000000-0005-0000-0000-00001BBA0000}"/>
    <cellStyle name="Style 31 11 5 2 2" xfId="47639" xr:uid="{00000000-0005-0000-0000-00001CBA0000}"/>
    <cellStyle name="Style 31 11 5 2 2 2" xfId="47640" xr:uid="{00000000-0005-0000-0000-00001DBA0000}"/>
    <cellStyle name="Style 31 11 5 2 2 3" xfId="47641" xr:uid="{00000000-0005-0000-0000-00001EBA0000}"/>
    <cellStyle name="Style 31 11 5 2 3" xfId="47642" xr:uid="{00000000-0005-0000-0000-00001FBA0000}"/>
    <cellStyle name="Style 31 11 5 2 3 2" xfId="47643" xr:uid="{00000000-0005-0000-0000-000020BA0000}"/>
    <cellStyle name="Style 31 11 5 2 3 3" xfId="47644" xr:uid="{00000000-0005-0000-0000-000021BA0000}"/>
    <cellStyle name="Style 31 11 5 2 4" xfId="47645" xr:uid="{00000000-0005-0000-0000-000022BA0000}"/>
    <cellStyle name="Style 31 11 5 2 5" xfId="47646" xr:uid="{00000000-0005-0000-0000-000023BA0000}"/>
    <cellStyle name="Style 31 11 5 2 6" xfId="47647" xr:uid="{00000000-0005-0000-0000-000024BA0000}"/>
    <cellStyle name="Style 31 11 5 3" xfId="47648" xr:uid="{00000000-0005-0000-0000-000025BA0000}"/>
    <cellStyle name="Style 31 11 5 3 2" xfId="47649" xr:uid="{00000000-0005-0000-0000-000026BA0000}"/>
    <cellStyle name="Style 31 11 5 3 3" xfId="47650" xr:uid="{00000000-0005-0000-0000-000027BA0000}"/>
    <cellStyle name="Style 31 11 5 4" xfId="47651" xr:uid="{00000000-0005-0000-0000-000028BA0000}"/>
    <cellStyle name="Style 31 11 5 4 2" xfId="47652" xr:uid="{00000000-0005-0000-0000-000029BA0000}"/>
    <cellStyle name="Style 31 11 5 4 3" xfId="47653" xr:uid="{00000000-0005-0000-0000-00002ABA0000}"/>
    <cellStyle name="Style 31 11 5 5" xfId="47654" xr:uid="{00000000-0005-0000-0000-00002BBA0000}"/>
    <cellStyle name="Style 31 11 5 5 2" xfId="47655" xr:uid="{00000000-0005-0000-0000-00002CBA0000}"/>
    <cellStyle name="Style 31 11 5 5 3" xfId="47656" xr:uid="{00000000-0005-0000-0000-00002DBA0000}"/>
    <cellStyle name="Style 31 11 5 6" xfId="47657" xr:uid="{00000000-0005-0000-0000-00002EBA0000}"/>
    <cellStyle name="Style 31 11 5 7" xfId="47658" xr:uid="{00000000-0005-0000-0000-00002FBA0000}"/>
    <cellStyle name="Style 31 11 5 8" xfId="47659" xr:uid="{00000000-0005-0000-0000-000030BA0000}"/>
    <cellStyle name="Style 31 11 6" xfId="47660" xr:uid="{00000000-0005-0000-0000-000031BA0000}"/>
    <cellStyle name="Style 31 11 6 2" xfId="47661" xr:uid="{00000000-0005-0000-0000-000032BA0000}"/>
    <cellStyle name="Style 31 11 6 2 2" xfId="47662" xr:uid="{00000000-0005-0000-0000-000033BA0000}"/>
    <cellStyle name="Style 31 11 6 2 3" xfId="47663" xr:uid="{00000000-0005-0000-0000-000034BA0000}"/>
    <cellStyle name="Style 31 11 6 3" xfId="47664" xr:uid="{00000000-0005-0000-0000-000035BA0000}"/>
    <cellStyle name="Style 31 11 6 3 2" xfId="47665" xr:uid="{00000000-0005-0000-0000-000036BA0000}"/>
    <cellStyle name="Style 31 11 6 3 3" xfId="47666" xr:uid="{00000000-0005-0000-0000-000037BA0000}"/>
    <cellStyle name="Style 31 11 6 4" xfId="47667" xr:uid="{00000000-0005-0000-0000-000038BA0000}"/>
    <cellStyle name="Style 31 11 6 5" xfId="47668" xr:uid="{00000000-0005-0000-0000-000039BA0000}"/>
    <cellStyle name="Style 31 11 6 6" xfId="47669" xr:uid="{00000000-0005-0000-0000-00003ABA0000}"/>
    <cellStyle name="Style 31 11 7" xfId="47670" xr:uid="{00000000-0005-0000-0000-00003BBA0000}"/>
    <cellStyle name="Style 31 11 7 2" xfId="47671" xr:uid="{00000000-0005-0000-0000-00003CBA0000}"/>
    <cellStyle name="Style 31 11 7 3" xfId="47672" xr:uid="{00000000-0005-0000-0000-00003DBA0000}"/>
    <cellStyle name="Style 31 11 8" xfId="47673" xr:uid="{00000000-0005-0000-0000-00003EBA0000}"/>
    <cellStyle name="Style 31 11 8 2" xfId="47674" xr:uid="{00000000-0005-0000-0000-00003FBA0000}"/>
    <cellStyle name="Style 31 11 8 3" xfId="47675" xr:uid="{00000000-0005-0000-0000-000040BA0000}"/>
    <cellStyle name="Style 31 11 9" xfId="47676" xr:uid="{00000000-0005-0000-0000-000041BA0000}"/>
    <cellStyle name="Style 31 11 9 2" xfId="47677" xr:uid="{00000000-0005-0000-0000-000042BA0000}"/>
    <cellStyle name="Style 31 11 9 3" xfId="47678" xr:uid="{00000000-0005-0000-0000-000043BA0000}"/>
    <cellStyle name="Style 31 12" xfId="47679" xr:uid="{00000000-0005-0000-0000-000044BA0000}"/>
    <cellStyle name="Style 31 12 10" xfId="47680" xr:uid="{00000000-0005-0000-0000-000045BA0000}"/>
    <cellStyle name="Style 31 12 2" xfId="47681" xr:uid="{00000000-0005-0000-0000-000046BA0000}"/>
    <cellStyle name="Style 31 12 2 2" xfId="47682" xr:uid="{00000000-0005-0000-0000-000047BA0000}"/>
    <cellStyle name="Style 31 12 2 2 2" xfId="47683" xr:uid="{00000000-0005-0000-0000-000048BA0000}"/>
    <cellStyle name="Style 31 12 2 2 2 2" xfId="47684" xr:uid="{00000000-0005-0000-0000-000049BA0000}"/>
    <cellStyle name="Style 31 12 2 2 2 3" xfId="47685" xr:uid="{00000000-0005-0000-0000-00004ABA0000}"/>
    <cellStyle name="Style 31 12 2 2 3" xfId="47686" xr:uid="{00000000-0005-0000-0000-00004BBA0000}"/>
    <cellStyle name="Style 31 12 2 2 3 2" xfId="47687" xr:uid="{00000000-0005-0000-0000-00004CBA0000}"/>
    <cellStyle name="Style 31 12 2 2 3 3" xfId="47688" xr:uid="{00000000-0005-0000-0000-00004DBA0000}"/>
    <cellStyle name="Style 31 12 2 2 4" xfId="47689" xr:uid="{00000000-0005-0000-0000-00004EBA0000}"/>
    <cellStyle name="Style 31 12 2 2 5" xfId="47690" xr:uid="{00000000-0005-0000-0000-00004FBA0000}"/>
    <cellStyle name="Style 31 12 2 2 6" xfId="47691" xr:uid="{00000000-0005-0000-0000-000050BA0000}"/>
    <cellStyle name="Style 31 12 2 3" xfId="47692" xr:uid="{00000000-0005-0000-0000-000051BA0000}"/>
    <cellStyle name="Style 31 12 2 3 2" xfId="47693" xr:uid="{00000000-0005-0000-0000-000052BA0000}"/>
    <cellStyle name="Style 31 12 2 3 3" xfId="47694" xr:uid="{00000000-0005-0000-0000-000053BA0000}"/>
    <cellStyle name="Style 31 12 2 4" xfId="47695" xr:uid="{00000000-0005-0000-0000-000054BA0000}"/>
    <cellStyle name="Style 31 12 2 4 2" xfId="47696" xr:uid="{00000000-0005-0000-0000-000055BA0000}"/>
    <cellStyle name="Style 31 12 2 4 3" xfId="47697" xr:uid="{00000000-0005-0000-0000-000056BA0000}"/>
    <cellStyle name="Style 31 12 2 5" xfId="47698" xr:uid="{00000000-0005-0000-0000-000057BA0000}"/>
    <cellStyle name="Style 31 12 2 5 2" xfId="47699" xr:uid="{00000000-0005-0000-0000-000058BA0000}"/>
    <cellStyle name="Style 31 12 2 5 3" xfId="47700" xr:uid="{00000000-0005-0000-0000-000059BA0000}"/>
    <cellStyle name="Style 31 12 2 6" xfId="47701" xr:uid="{00000000-0005-0000-0000-00005ABA0000}"/>
    <cellStyle name="Style 31 12 2 7" xfId="47702" xr:uid="{00000000-0005-0000-0000-00005BBA0000}"/>
    <cellStyle name="Style 31 12 2 8" xfId="47703" xr:uid="{00000000-0005-0000-0000-00005CBA0000}"/>
    <cellStyle name="Style 31 12 3" xfId="47704" xr:uid="{00000000-0005-0000-0000-00005DBA0000}"/>
    <cellStyle name="Style 31 12 3 2" xfId="47705" xr:uid="{00000000-0005-0000-0000-00005EBA0000}"/>
    <cellStyle name="Style 31 12 3 2 2" xfId="47706" xr:uid="{00000000-0005-0000-0000-00005FBA0000}"/>
    <cellStyle name="Style 31 12 3 2 2 2" xfId="47707" xr:uid="{00000000-0005-0000-0000-000060BA0000}"/>
    <cellStyle name="Style 31 12 3 2 2 3" xfId="47708" xr:uid="{00000000-0005-0000-0000-000061BA0000}"/>
    <cellStyle name="Style 31 12 3 2 3" xfId="47709" xr:uid="{00000000-0005-0000-0000-000062BA0000}"/>
    <cellStyle name="Style 31 12 3 2 3 2" xfId="47710" xr:uid="{00000000-0005-0000-0000-000063BA0000}"/>
    <cellStyle name="Style 31 12 3 2 3 3" xfId="47711" xr:uid="{00000000-0005-0000-0000-000064BA0000}"/>
    <cellStyle name="Style 31 12 3 2 4" xfId="47712" xr:uid="{00000000-0005-0000-0000-000065BA0000}"/>
    <cellStyle name="Style 31 12 3 2 5" xfId="47713" xr:uid="{00000000-0005-0000-0000-000066BA0000}"/>
    <cellStyle name="Style 31 12 3 2 6" xfId="47714" xr:uid="{00000000-0005-0000-0000-000067BA0000}"/>
    <cellStyle name="Style 31 12 3 3" xfId="47715" xr:uid="{00000000-0005-0000-0000-000068BA0000}"/>
    <cellStyle name="Style 31 12 3 3 2" xfId="47716" xr:uid="{00000000-0005-0000-0000-000069BA0000}"/>
    <cellStyle name="Style 31 12 3 3 3" xfId="47717" xr:uid="{00000000-0005-0000-0000-00006ABA0000}"/>
    <cellStyle name="Style 31 12 3 4" xfId="47718" xr:uid="{00000000-0005-0000-0000-00006BBA0000}"/>
    <cellStyle name="Style 31 12 3 4 2" xfId="47719" xr:uid="{00000000-0005-0000-0000-00006CBA0000}"/>
    <cellStyle name="Style 31 12 3 4 3" xfId="47720" xr:uid="{00000000-0005-0000-0000-00006DBA0000}"/>
    <cellStyle name="Style 31 12 3 5" xfId="47721" xr:uid="{00000000-0005-0000-0000-00006EBA0000}"/>
    <cellStyle name="Style 31 12 3 5 2" xfId="47722" xr:uid="{00000000-0005-0000-0000-00006FBA0000}"/>
    <cellStyle name="Style 31 12 3 5 3" xfId="47723" xr:uid="{00000000-0005-0000-0000-000070BA0000}"/>
    <cellStyle name="Style 31 12 3 6" xfId="47724" xr:uid="{00000000-0005-0000-0000-000071BA0000}"/>
    <cellStyle name="Style 31 12 3 7" xfId="47725" xr:uid="{00000000-0005-0000-0000-000072BA0000}"/>
    <cellStyle name="Style 31 12 3 8" xfId="47726" xr:uid="{00000000-0005-0000-0000-000073BA0000}"/>
    <cellStyle name="Style 31 12 4" xfId="47727" xr:uid="{00000000-0005-0000-0000-000074BA0000}"/>
    <cellStyle name="Style 31 12 4 2" xfId="47728" xr:uid="{00000000-0005-0000-0000-000075BA0000}"/>
    <cellStyle name="Style 31 12 4 2 2" xfId="47729" xr:uid="{00000000-0005-0000-0000-000076BA0000}"/>
    <cellStyle name="Style 31 12 4 2 3" xfId="47730" xr:uid="{00000000-0005-0000-0000-000077BA0000}"/>
    <cellStyle name="Style 31 12 4 3" xfId="47731" xr:uid="{00000000-0005-0000-0000-000078BA0000}"/>
    <cellStyle name="Style 31 12 4 3 2" xfId="47732" xr:uid="{00000000-0005-0000-0000-000079BA0000}"/>
    <cellStyle name="Style 31 12 4 3 3" xfId="47733" xr:uid="{00000000-0005-0000-0000-00007ABA0000}"/>
    <cellStyle name="Style 31 12 4 4" xfId="47734" xr:uid="{00000000-0005-0000-0000-00007BBA0000}"/>
    <cellStyle name="Style 31 12 4 5" xfId="47735" xr:uid="{00000000-0005-0000-0000-00007CBA0000}"/>
    <cellStyle name="Style 31 12 4 6" xfId="47736" xr:uid="{00000000-0005-0000-0000-00007DBA0000}"/>
    <cellStyle name="Style 31 12 5" xfId="47737" xr:uid="{00000000-0005-0000-0000-00007EBA0000}"/>
    <cellStyle name="Style 31 12 5 2" xfId="47738" xr:uid="{00000000-0005-0000-0000-00007FBA0000}"/>
    <cellStyle name="Style 31 12 5 3" xfId="47739" xr:uid="{00000000-0005-0000-0000-000080BA0000}"/>
    <cellStyle name="Style 31 12 6" xfId="47740" xr:uid="{00000000-0005-0000-0000-000081BA0000}"/>
    <cellStyle name="Style 31 12 6 2" xfId="47741" xr:uid="{00000000-0005-0000-0000-000082BA0000}"/>
    <cellStyle name="Style 31 12 6 3" xfId="47742" xr:uid="{00000000-0005-0000-0000-000083BA0000}"/>
    <cellStyle name="Style 31 12 7" xfId="47743" xr:uid="{00000000-0005-0000-0000-000084BA0000}"/>
    <cellStyle name="Style 31 12 7 2" xfId="47744" xr:uid="{00000000-0005-0000-0000-000085BA0000}"/>
    <cellStyle name="Style 31 12 7 3" xfId="47745" xr:uid="{00000000-0005-0000-0000-000086BA0000}"/>
    <cellStyle name="Style 31 12 8" xfId="47746" xr:uid="{00000000-0005-0000-0000-000087BA0000}"/>
    <cellStyle name="Style 31 12 9" xfId="47747" xr:uid="{00000000-0005-0000-0000-000088BA0000}"/>
    <cellStyle name="Style 31 13" xfId="47748" xr:uid="{00000000-0005-0000-0000-000089BA0000}"/>
    <cellStyle name="Style 31 13 2" xfId="47749" xr:uid="{00000000-0005-0000-0000-00008ABA0000}"/>
    <cellStyle name="Style 31 13 2 2" xfId="47750" xr:uid="{00000000-0005-0000-0000-00008BBA0000}"/>
    <cellStyle name="Style 31 13 2 2 2" xfId="47751" xr:uid="{00000000-0005-0000-0000-00008CBA0000}"/>
    <cellStyle name="Style 31 13 2 2 3" xfId="47752" xr:uid="{00000000-0005-0000-0000-00008DBA0000}"/>
    <cellStyle name="Style 31 13 2 3" xfId="47753" xr:uid="{00000000-0005-0000-0000-00008EBA0000}"/>
    <cellStyle name="Style 31 13 2 3 2" xfId="47754" xr:uid="{00000000-0005-0000-0000-00008FBA0000}"/>
    <cellStyle name="Style 31 13 2 3 3" xfId="47755" xr:uid="{00000000-0005-0000-0000-000090BA0000}"/>
    <cellStyle name="Style 31 13 2 4" xfId="47756" xr:uid="{00000000-0005-0000-0000-000091BA0000}"/>
    <cellStyle name="Style 31 13 2 5" xfId="47757" xr:uid="{00000000-0005-0000-0000-000092BA0000}"/>
    <cellStyle name="Style 31 13 2 6" xfId="47758" xr:uid="{00000000-0005-0000-0000-000093BA0000}"/>
    <cellStyle name="Style 31 13 3" xfId="47759" xr:uid="{00000000-0005-0000-0000-000094BA0000}"/>
    <cellStyle name="Style 31 13 3 2" xfId="47760" xr:uid="{00000000-0005-0000-0000-000095BA0000}"/>
    <cellStyle name="Style 31 13 3 3" xfId="47761" xr:uid="{00000000-0005-0000-0000-000096BA0000}"/>
    <cellStyle name="Style 31 13 4" xfId="47762" xr:uid="{00000000-0005-0000-0000-000097BA0000}"/>
    <cellStyle name="Style 31 13 4 2" xfId="47763" xr:uid="{00000000-0005-0000-0000-000098BA0000}"/>
    <cellStyle name="Style 31 13 4 3" xfId="47764" xr:uid="{00000000-0005-0000-0000-000099BA0000}"/>
    <cellStyle name="Style 31 13 5" xfId="47765" xr:uid="{00000000-0005-0000-0000-00009ABA0000}"/>
    <cellStyle name="Style 31 13 5 2" xfId="47766" xr:uid="{00000000-0005-0000-0000-00009BBA0000}"/>
    <cellStyle name="Style 31 13 5 3" xfId="47767" xr:uid="{00000000-0005-0000-0000-00009CBA0000}"/>
    <cellStyle name="Style 31 13 6" xfId="47768" xr:uid="{00000000-0005-0000-0000-00009DBA0000}"/>
    <cellStyle name="Style 31 13 7" xfId="47769" xr:uid="{00000000-0005-0000-0000-00009EBA0000}"/>
    <cellStyle name="Style 31 13 8" xfId="47770" xr:uid="{00000000-0005-0000-0000-00009FBA0000}"/>
    <cellStyle name="Style 31 14" xfId="47771" xr:uid="{00000000-0005-0000-0000-0000A0BA0000}"/>
    <cellStyle name="Style 31 14 2" xfId="47772" xr:uid="{00000000-0005-0000-0000-0000A1BA0000}"/>
    <cellStyle name="Style 31 14 2 2" xfId="47773" xr:uid="{00000000-0005-0000-0000-0000A2BA0000}"/>
    <cellStyle name="Style 31 14 2 2 2" xfId="47774" xr:uid="{00000000-0005-0000-0000-0000A3BA0000}"/>
    <cellStyle name="Style 31 14 2 2 3" xfId="47775" xr:uid="{00000000-0005-0000-0000-0000A4BA0000}"/>
    <cellStyle name="Style 31 14 2 3" xfId="47776" xr:uid="{00000000-0005-0000-0000-0000A5BA0000}"/>
    <cellStyle name="Style 31 14 2 3 2" xfId="47777" xr:uid="{00000000-0005-0000-0000-0000A6BA0000}"/>
    <cellStyle name="Style 31 14 2 3 3" xfId="47778" xr:uid="{00000000-0005-0000-0000-0000A7BA0000}"/>
    <cellStyle name="Style 31 14 2 4" xfId="47779" xr:uid="{00000000-0005-0000-0000-0000A8BA0000}"/>
    <cellStyle name="Style 31 14 2 5" xfId="47780" xr:uid="{00000000-0005-0000-0000-0000A9BA0000}"/>
    <cellStyle name="Style 31 14 2 6" xfId="47781" xr:uid="{00000000-0005-0000-0000-0000AABA0000}"/>
    <cellStyle name="Style 31 14 3" xfId="47782" xr:uid="{00000000-0005-0000-0000-0000ABBA0000}"/>
    <cellStyle name="Style 31 14 3 2" xfId="47783" xr:uid="{00000000-0005-0000-0000-0000ACBA0000}"/>
    <cellStyle name="Style 31 14 3 3" xfId="47784" xr:uid="{00000000-0005-0000-0000-0000ADBA0000}"/>
    <cellStyle name="Style 31 14 4" xfId="47785" xr:uid="{00000000-0005-0000-0000-0000AEBA0000}"/>
    <cellStyle name="Style 31 14 4 2" xfId="47786" xr:uid="{00000000-0005-0000-0000-0000AFBA0000}"/>
    <cellStyle name="Style 31 14 4 3" xfId="47787" xr:uid="{00000000-0005-0000-0000-0000B0BA0000}"/>
    <cellStyle name="Style 31 14 5" xfId="47788" xr:uid="{00000000-0005-0000-0000-0000B1BA0000}"/>
    <cellStyle name="Style 31 14 5 2" xfId="47789" xr:uid="{00000000-0005-0000-0000-0000B2BA0000}"/>
    <cellStyle name="Style 31 14 5 3" xfId="47790" xr:uid="{00000000-0005-0000-0000-0000B3BA0000}"/>
    <cellStyle name="Style 31 14 6" xfId="47791" xr:uid="{00000000-0005-0000-0000-0000B4BA0000}"/>
    <cellStyle name="Style 31 14 7" xfId="47792" xr:uid="{00000000-0005-0000-0000-0000B5BA0000}"/>
    <cellStyle name="Style 31 14 8" xfId="47793" xr:uid="{00000000-0005-0000-0000-0000B6BA0000}"/>
    <cellStyle name="Style 31 15" xfId="47794" xr:uid="{00000000-0005-0000-0000-0000B7BA0000}"/>
    <cellStyle name="Style 31 15 2" xfId="47795" xr:uid="{00000000-0005-0000-0000-0000B8BA0000}"/>
    <cellStyle name="Style 31 15 2 2" xfId="47796" xr:uid="{00000000-0005-0000-0000-0000B9BA0000}"/>
    <cellStyle name="Style 31 15 2 2 2" xfId="47797" xr:uid="{00000000-0005-0000-0000-0000BABA0000}"/>
    <cellStyle name="Style 31 15 2 2 3" xfId="47798" xr:uid="{00000000-0005-0000-0000-0000BBBA0000}"/>
    <cellStyle name="Style 31 15 2 3" xfId="47799" xr:uid="{00000000-0005-0000-0000-0000BCBA0000}"/>
    <cellStyle name="Style 31 15 2 3 2" xfId="47800" xr:uid="{00000000-0005-0000-0000-0000BDBA0000}"/>
    <cellStyle name="Style 31 15 2 3 3" xfId="47801" xr:uid="{00000000-0005-0000-0000-0000BEBA0000}"/>
    <cellStyle name="Style 31 15 2 4" xfId="47802" xr:uid="{00000000-0005-0000-0000-0000BFBA0000}"/>
    <cellStyle name="Style 31 15 2 5" xfId="47803" xr:uid="{00000000-0005-0000-0000-0000C0BA0000}"/>
    <cellStyle name="Style 31 15 2 6" xfId="47804" xr:uid="{00000000-0005-0000-0000-0000C1BA0000}"/>
    <cellStyle name="Style 31 15 3" xfId="47805" xr:uid="{00000000-0005-0000-0000-0000C2BA0000}"/>
    <cellStyle name="Style 31 15 3 2" xfId="47806" xr:uid="{00000000-0005-0000-0000-0000C3BA0000}"/>
    <cellStyle name="Style 31 15 3 3" xfId="47807" xr:uid="{00000000-0005-0000-0000-0000C4BA0000}"/>
    <cellStyle name="Style 31 15 4" xfId="47808" xr:uid="{00000000-0005-0000-0000-0000C5BA0000}"/>
    <cellStyle name="Style 31 15 4 2" xfId="47809" xr:uid="{00000000-0005-0000-0000-0000C6BA0000}"/>
    <cellStyle name="Style 31 15 4 3" xfId="47810" xr:uid="{00000000-0005-0000-0000-0000C7BA0000}"/>
    <cellStyle name="Style 31 15 5" xfId="47811" xr:uid="{00000000-0005-0000-0000-0000C8BA0000}"/>
    <cellStyle name="Style 31 15 5 2" xfId="47812" xr:uid="{00000000-0005-0000-0000-0000C9BA0000}"/>
    <cellStyle name="Style 31 15 5 3" xfId="47813" xr:uid="{00000000-0005-0000-0000-0000CABA0000}"/>
    <cellStyle name="Style 31 15 6" xfId="47814" xr:uid="{00000000-0005-0000-0000-0000CBBA0000}"/>
    <cellStyle name="Style 31 15 7" xfId="47815" xr:uid="{00000000-0005-0000-0000-0000CCBA0000}"/>
    <cellStyle name="Style 31 15 8" xfId="47816" xr:uid="{00000000-0005-0000-0000-0000CDBA0000}"/>
    <cellStyle name="Style 31 16" xfId="47817" xr:uid="{00000000-0005-0000-0000-0000CEBA0000}"/>
    <cellStyle name="Style 31 16 2" xfId="47818" xr:uid="{00000000-0005-0000-0000-0000CFBA0000}"/>
    <cellStyle name="Style 31 16 2 2" xfId="47819" xr:uid="{00000000-0005-0000-0000-0000D0BA0000}"/>
    <cellStyle name="Style 31 16 2 3" xfId="47820" xr:uid="{00000000-0005-0000-0000-0000D1BA0000}"/>
    <cellStyle name="Style 31 16 3" xfId="47821" xr:uid="{00000000-0005-0000-0000-0000D2BA0000}"/>
    <cellStyle name="Style 31 16 3 2" xfId="47822" xr:uid="{00000000-0005-0000-0000-0000D3BA0000}"/>
    <cellStyle name="Style 31 16 3 3" xfId="47823" xr:uid="{00000000-0005-0000-0000-0000D4BA0000}"/>
    <cellStyle name="Style 31 16 4" xfId="47824" xr:uid="{00000000-0005-0000-0000-0000D5BA0000}"/>
    <cellStyle name="Style 31 16 5" xfId="47825" xr:uid="{00000000-0005-0000-0000-0000D6BA0000}"/>
    <cellStyle name="Style 31 16 6" xfId="47826" xr:uid="{00000000-0005-0000-0000-0000D7BA0000}"/>
    <cellStyle name="Style 31 17" xfId="47827" xr:uid="{00000000-0005-0000-0000-0000D8BA0000}"/>
    <cellStyle name="Style 31 17 2" xfId="47828" xr:uid="{00000000-0005-0000-0000-0000D9BA0000}"/>
    <cellStyle name="Style 31 17 3" xfId="47829" xr:uid="{00000000-0005-0000-0000-0000DABA0000}"/>
    <cellStyle name="Style 31 18" xfId="47830" xr:uid="{00000000-0005-0000-0000-0000DBBA0000}"/>
    <cellStyle name="Style 31 18 2" xfId="47831" xr:uid="{00000000-0005-0000-0000-0000DCBA0000}"/>
    <cellStyle name="Style 31 18 3" xfId="47832" xr:uid="{00000000-0005-0000-0000-0000DDBA0000}"/>
    <cellStyle name="Style 31 19" xfId="47833" xr:uid="{00000000-0005-0000-0000-0000DEBA0000}"/>
    <cellStyle name="Style 31 19 2" xfId="47834" xr:uid="{00000000-0005-0000-0000-0000DFBA0000}"/>
    <cellStyle name="Style 31 19 3" xfId="47835" xr:uid="{00000000-0005-0000-0000-0000E0BA0000}"/>
    <cellStyle name="Style 31 2" xfId="47836" xr:uid="{00000000-0005-0000-0000-0000E1BA0000}"/>
    <cellStyle name="Style 31 2 10" xfId="47837" xr:uid="{00000000-0005-0000-0000-0000E2BA0000}"/>
    <cellStyle name="Style 31 2 11" xfId="47838" xr:uid="{00000000-0005-0000-0000-0000E3BA0000}"/>
    <cellStyle name="Style 31 2 12" xfId="47839" xr:uid="{00000000-0005-0000-0000-0000E4BA0000}"/>
    <cellStyle name="Style 31 2 2" xfId="47840" xr:uid="{00000000-0005-0000-0000-0000E5BA0000}"/>
    <cellStyle name="Style 31 2 2 10" xfId="47841" xr:uid="{00000000-0005-0000-0000-0000E6BA0000}"/>
    <cellStyle name="Style 31 2 2 2" xfId="47842" xr:uid="{00000000-0005-0000-0000-0000E7BA0000}"/>
    <cellStyle name="Style 31 2 2 2 2" xfId="47843" xr:uid="{00000000-0005-0000-0000-0000E8BA0000}"/>
    <cellStyle name="Style 31 2 2 2 2 2" xfId="47844" xr:uid="{00000000-0005-0000-0000-0000E9BA0000}"/>
    <cellStyle name="Style 31 2 2 2 2 2 2" xfId="47845" xr:uid="{00000000-0005-0000-0000-0000EABA0000}"/>
    <cellStyle name="Style 31 2 2 2 2 2 3" xfId="47846" xr:uid="{00000000-0005-0000-0000-0000EBBA0000}"/>
    <cellStyle name="Style 31 2 2 2 2 3" xfId="47847" xr:uid="{00000000-0005-0000-0000-0000ECBA0000}"/>
    <cellStyle name="Style 31 2 2 2 2 3 2" xfId="47848" xr:uid="{00000000-0005-0000-0000-0000EDBA0000}"/>
    <cellStyle name="Style 31 2 2 2 2 3 3" xfId="47849" xr:uid="{00000000-0005-0000-0000-0000EEBA0000}"/>
    <cellStyle name="Style 31 2 2 2 2 4" xfId="47850" xr:uid="{00000000-0005-0000-0000-0000EFBA0000}"/>
    <cellStyle name="Style 31 2 2 2 2 5" xfId="47851" xr:uid="{00000000-0005-0000-0000-0000F0BA0000}"/>
    <cellStyle name="Style 31 2 2 2 2 6" xfId="47852" xr:uid="{00000000-0005-0000-0000-0000F1BA0000}"/>
    <cellStyle name="Style 31 2 2 2 3" xfId="47853" xr:uid="{00000000-0005-0000-0000-0000F2BA0000}"/>
    <cellStyle name="Style 31 2 2 2 3 2" xfId="47854" xr:uid="{00000000-0005-0000-0000-0000F3BA0000}"/>
    <cellStyle name="Style 31 2 2 2 3 3" xfId="47855" xr:uid="{00000000-0005-0000-0000-0000F4BA0000}"/>
    <cellStyle name="Style 31 2 2 2 4" xfId="47856" xr:uid="{00000000-0005-0000-0000-0000F5BA0000}"/>
    <cellStyle name="Style 31 2 2 2 4 2" xfId="47857" xr:uid="{00000000-0005-0000-0000-0000F6BA0000}"/>
    <cellStyle name="Style 31 2 2 2 4 3" xfId="47858" xr:uid="{00000000-0005-0000-0000-0000F7BA0000}"/>
    <cellStyle name="Style 31 2 2 2 5" xfId="47859" xr:uid="{00000000-0005-0000-0000-0000F8BA0000}"/>
    <cellStyle name="Style 31 2 2 2 5 2" xfId="47860" xr:uid="{00000000-0005-0000-0000-0000F9BA0000}"/>
    <cellStyle name="Style 31 2 2 2 5 3" xfId="47861" xr:uid="{00000000-0005-0000-0000-0000FABA0000}"/>
    <cellStyle name="Style 31 2 2 2 6" xfId="47862" xr:uid="{00000000-0005-0000-0000-0000FBBA0000}"/>
    <cellStyle name="Style 31 2 2 2 7" xfId="47863" xr:uid="{00000000-0005-0000-0000-0000FCBA0000}"/>
    <cellStyle name="Style 31 2 2 2 8" xfId="47864" xr:uid="{00000000-0005-0000-0000-0000FDBA0000}"/>
    <cellStyle name="Style 31 2 2 3" xfId="47865" xr:uid="{00000000-0005-0000-0000-0000FEBA0000}"/>
    <cellStyle name="Style 31 2 2 3 2" xfId="47866" xr:uid="{00000000-0005-0000-0000-0000FFBA0000}"/>
    <cellStyle name="Style 31 2 2 3 2 2" xfId="47867" xr:uid="{00000000-0005-0000-0000-000000BB0000}"/>
    <cellStyle name="Style 31 2 2 3 2 2 2" xfId="47868" xr:uid="{00000000-0005-0000-0000-000001BB0000}"/>
    <cellStyle name="Style 31 2 2 3 2 2 3" xfId="47869" xr:uid="{00000000-0005-0000-0000-000002BB0000}"/>
    <cellStyle name="Style 31 2 2 3 2 3" xfId="47870" xr:uid="{00000000-0005-0000-0000-000003BB0000}"/>
    <cellStyle name="Style 31 2 2 3 2 3 2" xfId="47871" xr:uid="{00000000-0005-0000-0000-000004BB0000}"/>
    <cellStyle name="Style 31 2 2 3 2 3 3" xfId="47872" xr:uid="{00000000-0005-0000-0000-000005BB0000}"/>
    <cellStyle name="Style 31 2 2 3 2 4" xfId="47873" xr:uid="{00000000-0005-0000-0000-000006BB0000}"/>
    <cellStyle name="Style 31 2 2 3 2 5" xfId="47874" xr:uid="{00000000-0005-0000-0000-000007BB0000}"/>
    <cellStyle name="Style 31 2 2 3 2 6" xfId="47875" xr:uid="{00000000-0005-0000-0000-000008BB0000}"/>
    <cellStyle name="Style 31 2 2 3 3" xfId="47876" xr:uid="{00000000-0005-0000-0000-000009BB0000}"/>
    <cellStyle name="Style 31 2 2 3 3 2" xfId="47877" xr:uid="{00000000-0005-0000-0000-00000ABB0000}"/>
    <cellStyle name="Style 31 2 2 3 3 3" xfId="47878" xr:uid="{00000000-0005-0000-0000-00000BBB0000}"/>
    <cellStyle name="Style 31 2 2 3 4" xfId="47879" xr:uid="{00000000-0005-0000-0000-00000CBB0000}"/>
    <cellStyle name="Style 31 2 2 3 4 2" xfId="47880" xr:uid="{00000000-0005-0000-0000-00000DBB0000}"/>
    <cellStyle name="Style 31 2 2 3 4 3" xfId="47881" xr:uid="{00000000-0005-0000-0000-00000EBB0000}"/>
    <cellStyle name="Style 31 2 2 3 5" xfId="47882" xr:uid="{00000000-0005-0000-0000-00000FBB0000}"/>
    <cellStyle name="Style 31 2 2 3 5 2" xfId="47883" xr:uid="{00000000-0005-0000-0000-000010BB0000}"/>
    <cellStyle name="Style 31 2 2 3 5 3" xfId="47884" xr:uid="{00000000-0005-0000-0000-000011BB0000}"/>
    <cellStyle name="Style 31 2 2 3 6" xfId="47885" xr:uid="{00000000-0005-0000-0000-000012BB0000}"/>
    <cellStyle name="Style 31 2 2 3 7" xfId="47886" xr:uid="{00000000-0005-0000-0000-000013BB0000}"/>
    <cellStyle name="Style 31 2 2 3 8" xfId="47887" xr:uid="{00000000-0005-0000-0000-000014BB0000}"/>
    <cellStyle name="Style 31 2 2 4" xfId="47888" xr:uid="{00000000-0005-0000-0000-000015BB0000}"/>
    <cellStyle name="Style 31 2 2 4 2" xfId="47889" xr:uid="{00000000-0005-0000-0000-000016BB0000}"/>
    <cellStyle name="Style 31 2 2 4 2 2" xfId="47890" xr:uid="{00000000-0005-0000-0000-000017BB0000}"/>
    <cellStyle name="Style 31 2 2 4 2 3" xfId="47891" xr:uid="{00000000-0005-0000-0000-000018BB0000}"/>
    <cellStyle name="Style 31 2 2 4 3" xfId="47892" xr:uid="{00000000-0005-0000-0000-000019BB0000}"/>
    <cellStyle name="Style 31 2 2 4 3 2" xfId="47893" xr:uid="{00000000-0005-0000-0000-00001ABB0000}"/>
    <cellStyle name="Style 31 2 2 4 3 3" xfId="47894" xr:uid="{00000000-0005-0000-0000-00001BBB0000}"/>
    <cellStyle name="Style 31 2 2 4 4" xfId="47895" xr:uid="{00000000-0005-0000-0000-00001CBB0000}"/>
    <cellStyle name="Style 31 2 2 4 5" xfId="47896" xr:uid="{00000000-0005-0000-0000-00001DBB0000}"/>
    <cellStyle name="Style 31 2 2 4 6" xfId="47897" xr:uid="{00000000-0005-0000-0000-00001EBB0000}"/>
    <cellStyle name="Style 31 2 2 5" xfId="47898" xr:uid="{00000000-0005-0000-0000-00001FBB0000}"/>
    <cellStyle name="Style 31 2 2 5 2" xfId="47899" xr:uid="{00000000-0005-0000-0000-000020BB0000}"/>
    <cellStyle name="Style 31 2 2 5 3" xfId="47900" xr:uid="{00000000-0005-0000-0000-000021BB0000}"/>
    <cellStyle name="Style 31 2 2 6" xfId="47901" xr:uid="{00000000-0005-0000-0000-000022BB0000}"/>
    <cellStyle name="Style 31 2 2 6 2" xfId="47902" xr:uid="{00000000-0005-0000-0000-000023BB0000}"/>
    <cellStyle name="Style 31 2 2 6 3" xfId="47903" xr:uid="{00000000-0005-0000-0000-000024BB0000}"/>
    <cellStyle name="Style 31 2 2 7" xfId="47904" xr:uid="{00000000-0005-0000-0000-000025BB0000}"/>
    <cellStyle name="Style 31 2 2 7 2" xfId="47905" xr:uid="{00000000-0005-0000-0000-000026BB0000}"/>
    <cellStyle name="Style 31 2 2 7 3" xfId="47906" xr:uid="{00000000-0005-0000-0000-000027BB0000}"/>
    <cellStyle name="Style 31 2 2 8" xfId="47907" xr:uid="{00000000-0005-0000-0000-000028BB0000}"/>
    <cellStyle name="Style 31 2 2 9" xfId="47908" xr:uid="{00000000-0005-0000-0000-000029BB0000}"/>
    <cellStyle name="Style 31 2 3" xfId="47909" xr:uid="{00000000-0005-0000-0000-00002ABB0000}"/>
    <cellStyle name="Style 31 2 3 2" xfId="47910" xr:uid="{00000000-0005-0000-0000-00002BBB0000}"/>
    <cellStyle name="Style 31 2 3 2 2" xfId="47911" xr:uid="{00000000-0005-0000-0000-00002CBB0000}"/>
    <cellStyle name="Style 31 2 3 2 2 2" xfId="47912" xr:uid="{00000000-0005-0000-0000-00002DBB0000}"/>
    <cellStyle name="Style 31 2 3 2 2 3" xfId="47913" xr:uid="{00000000-0005-0000-0000-00002EBB0000}"/>
    <cellStyle name="Style 31 2 3 2 3" xfId="47914" xr:uid="{00000000-0005-0000-0000-00002FBB0000}"/>
    <cellStyle name="Style 31 2 3 2 3 2" xfId="47915" xr:uid="{00000000-0005-0000-0000-000030BB0000}"/>
    <cellStyle name="Style 31 2 3 2 3 3" xfId="47916" xr:uid="{00000000-0005-0000-0000-000031BB0000}"/>
    <cellStyle name="Style 31 2 3 2 4" xfId="47917" xr:uid="{00000000-0005-0000-0000-000032BB0000}"/>
    <cellStyle name="Style 31 2 3 2 5" xfId="47918" xr:uid="{00000000-0005-0000-0000-000033BB0000}"/>
    <cellStyle name="Style 31 2 3 2 6" xfId="47919" xr:uid="{00000000-0005-0000-0000-000034BB0000}"/>
    <cellStyle name="Style 31 2 3 3" xfId="47920" xr:uid="{00000000-0005-0000-0000-000035BB0000}"/>
    <cellStyle name="Style 31 2 3 3 2" xfId="47921" xr:uid="{00000000-0005-0000-0000-000036BB0000}"/>
    <cellStyle name="Style 31 2 3 3 3" xfId="47922" xr:uid="{00000000-0005-0000-0000-000037BB0000}"/>
    <cellStyle name="Style 31 2 3 4" xfId="47923" xr:uid="{00000000-0005-0000-0000-000038BB0000}"/>
    <cellStyle name="Style 31 2 3 4 2" xfId="47924" xr:uid="{00000000-0005-0000-0000-000039BB0000}"/>
    <cellStyle name="Style 31 2 3 4 3" xfId="47925" xr:uid="{00000000-0005-0000-0000-00003ABB0000}"/>
    <cellStyle name="Style 31 2 3 5" xfId="47926" xr:uid="{00000000-0005-0000-0000-00003BBB0000}"/>
    <cellStyle name="Style 31 2 3 5 2" xfId="47927" xr:uid="{00000000-0005-0000-0000-00003CBB0000}"/>
    <cellStyle name="Style 31 2 3 5 3" xfId="47928" xr:uid="{00000000-0005-0000-0000-00003DBB0000}"/>
    <cellStyle name="Style 31 2 3 6" xfId="47929" xr:uid="{00000000-0005-0000-0000-00003EBB0000}"/>
    <cellStyle name="Style 31 2 3 7" xfId="47930" xr:uid="{00000000-0005-0000-0000-00003FBB0000}"/>
    <cellStyle name="Style 31 2 3 8" xfId="47931" xr:uid="{00000000-0005-0000-0000-000040BB0000}"/>
    <cellStyle name="Style 31 2 4" xfId="47932" xr:uid="{00000000-0005-0000-0000-000041BB0000}"/>
    <cellStyle name="Style 31 2 4 2" xfId="47933" xr:uid="{00000000-0005-0000-0000-000042BB0000}"/>
    <cellStyle name="Style 31 2 4 2 2" xfId="47934" xr:uid="{00000000-0005-0000-0000-000043BB0000}"/>
    <cellStyle name="Style 31 2 4 2 2 2" xfId="47935" xr:uid="{00000000-0005-0000-0000-000044BB0000}"/>
    <cellStyle name="Style 31 2 4 2 2 3" xfId="47936" xr:uid="{00000000-0005-0000-0000-000045BB0000}"/>
    <cellStyle name="Style 31 2 4 2 3" xfId="47937" xr:uid="{00000000-0005-0000-0000-000046BB0000}"/>
    <cellStyle name="Style 31 2 4 2 3 2" xfId="47938" xr:uid="{00000000-0005-0000-0000-000047BB0000}"/>
    <cellStyle name="Style 31 2 4 2 3 3" xfId="47939" xr:uid="{00000000-0005-0000-0000-000048BB0000}"/>
    <cellStyle name="Style 31 2 4 2 4" xfId="47940" xr:uid="{00000000-0005-0000-0000-000049BB0000}"/>
    <cellStyle name="Style 31 2 4 2 5" xfId="47941" xr:uid="{00000000-0005-0000-0000-00004ABB0000}"/>
    <cellStyle name="Style 31 2 4 2 6" xfId="47942" xr:uid="{00000000-0005-0000-0000-00004BBB0000}"/>
    <cellStyle name="Style 31 2 4 3" xfId="47943" xr:uid="{00000000-0005-0000-0000-00004CBB0000}"/>
    <cellStyle name="Style 31 2 4 3 2" xfId="47944" xr:uid="{00000000-0005-0000-0000-00004DBB0000}"/>
    <cellStyle name="Style 31 2 4 3 3" xfId="47945" xr:uid="{00000000-0005-0000-0000-00004EBB0000}"/>
    <cellStyle name="Style 31 2 4 4" xfId="47946" xr:uid="{00000000-0005-0000-0000-00004FBB0000}"/>
    <cellStyle name="Style 31 2 4 4 2" xfId="47947" xr:uid="{00000000-0005-0000-0000-000050BB0000}"/>
    <cellStyle name="Style 31 2 4 4 3" xfId="47948" xr:uid="{00000000-0005-0000-0000-000051BB0000}"/>
    <cellStyle name="Style 31 2 4 5" xfId="47949" xr:uid="{00000000-0005-0000-0000-000052BB0000}"/>
    <cellStyle name="Style 31 2 4 5 2" xfId="47950" xr:uid="{00000000-0005-0000-0000-000053BB0000}"/>
    <cellStyle name="Style 31 2 4 5 3" xfId="47951" xr:uid="{00000000-0005-0000-0000-000054BB0000}"/>
    <cellStyle name="Style 31 2 4 6" xfId="47952" xr:uid="{00000000-0005-0000-0000-000055BB0000}"/>
    <cellStyle name="Style 31 2 4 7" xfId="47953" xr:uid="{00000000-0005-0000-0000-000056BB0000}"/>
    <cellStyle name="Style 31 2 4 8" xfId="47954" xr:uid="{00000000-0005-0000-0000-000057BB0000}"/>
    <cellStyle name="Style 31 2 5" xfId="47955" xr:uid="{00000000-0005-0000-0000-000058BB0000}"/>
    <cellStyle name="Style 31 2 5 2" xfId="47956" xr:uid="{00000000-0005-0000-0000-000059BB0000}"/>
    <cellStyle name="Style 31 2 5 2 2" xfId="47957" xr:uid="{00000000-0005-0000-0000-00005ABB0000}"/>
    <cellStyle name="Style 31 2 5 2 2 2" xfId="47958" xr:uid="{00000000-0005-0000-0000-00005BBB0000}"/>
    <cellStyle name="Style 31 2 5 2 2 3" xfId="47959" xr:uid="{00000000-0005-0000-0000-00005CBB0000}"/>
    <cellStyle name="Style 31 2 5 2 3" xfId="47960" xr:uid="{00000000-0005-0000-0000-00005DBB0000}"/>
    <cellStyle name="Style 31 2 5 2 3 2" xfId="47961" xr:uid="{00000000-0005-0000-0000-00005EBB0000}"/>
    <cellStyle name="Style 31 2 5 2 3 3" xfId="47962" xr:uid="{00000000-0005-0000-0000-00005FBB0000}"/>
    <cellStyle name="Style 31 2 5 2 4" xfId="47963" xr:uid="{00000000-0005-0000-0000-000060BB0000}"/>
    <cellStyle name="Style 31 2 5 2 5" xfId="47964" xr:uid="{00000000-0005-0000-0000-000061BB0000}"/>
    <cellStyle name="Style 31 2 5 2 6" xfId="47965" xr:uid="{00000000-0005-0000-0000-000062BB0000}"/>
    <cellStyle name="Style 31 2 5 3" xfId="47966" xr:uid="{00000000-0005-0000-0000-000063BB0000}"/>
    <cellStyle name="Style 31 2 5 3 2" xfId="47967" xr:uid="{00000000-0005-0000-0000-000064BB0000}"/>
    <cellStyle name="Style 31 2 5 3 3" xfId="47968" xr:uid="{00000000-0005-0000-0000-000065BB0000}"/>
    <cellStyle name="Style 31 2 5 4" xfId="47969" xr:uid="{00000000-0005-0000-0000-000066BB0000}"/>
    <cellStyle name="Style 31 2 5 4 2" xfId="47970" xr:uid="{00000000-0005-0000-0000-000067BB0000}"/>
    <cellStyle name="Style 31 2 5 4 3" xfId="47971" xr:uid="{00000000-0005-0000-0000-000068BB0000}"/>
    <cellStyle name="Style 31 2 5 5" xfId="47972" xr:uid="{00000000-0005-0000-0000-000069BB0000}"/>
    <cellStyle name="Style 31 2 5 5 2" xfId="47973" xr:uid="{00000000-0005-0000-0000-00006ABB0000}"/>
    <cellStyle name="Style 31 2 5 5 3" xfId="47974" xr:uid="{00000000-0005-0000-0000-00006BBB0000}"/>
    <cellStyle name="Style 31 2 5 6" xfId="47975" xr:uid="{00000000-0005-0000-0000-00006CBB0000}"/>
    <cellStyle name="Style 31 2 5 7" xfId="47976" xr:uid="{00000000-0005-0000-0000-00006DBB0000}"/>
    <cellStyle name="Style 31 2 5 8" xfId="47977" xr:uid="{00000000-0005-0000-0000-00006EBB0000}"/>
    <cellStyle name="Style 31 2 6" xfId="47978" xr:uid="{00000000-0005-0000-0000-00006FBB0000}"/>
    <cellStyle name="Style 31 2 6 2" xfId="47979" xr:uid="{00000000-0005-0000-0000-000070BB0000}"/>
    <cellStyle name="Style 31 2 6 2 2" xfId="47980" xr:uid="{00000000-0005-0000-0000-000071BB0000}"/>
    <cellStyle name="Style 31 2 6 2 3" xfId="47981" xr:uid="{00000000-0005-0000-0000-000072BB0000}"/>
    <cellStyle name="Style 31 2 6 3" xfId="47982" xr:uid="{00000000-0005-0000-0000-000073BB0000}"/>
    <cellStyle name="Style 31 2 6 3 2" xfId="47983" xr:uid="{00000000-0005-0000-0000-000074BB0000}"/>
    <cellStyle name="Style 31 2 6 3 3" xfId="47984" xr:uid="{00000000-0005-0000-0000-000075BB0000}"/>
    <cellStyle name="Style 31 2 6 4" xfId="47985" xr:uid="{00000000-0005-0000-0000-000076BB0000}"/>
    <cellStyle name="Style 31 2 6 5" xfId="47986" xr:uid="{00000000-0005-0000-0000-000077BB0000}"/>
    <cellStyle name="Style 31 2 6 6" xfId="47987" xr:uid="{00000000-0005-0000-0000-000078BB0000}"/>
    <cellStyle name="Style 31 2 7" xfId="47988" xr:uid="{00000000-0005-0000-0000-000079BB0000}"/>
    <cellStyle name="Style 31 2 7 2" xfId="47989" xr:uid="{00000000-0005-0000-0000-00007ABB0000}"/>
    <cellStyle name="Style 31 2 7 3" xfId="47990" xr:uid="{00000000-0005-0000-0000-00007BBB0000}"/>
    <cellStyle name="Style 31 2 8" xfId="47991" xr:uid="{00000000-0005-0000-0000-00007CBB0000}"/>
    <cellStyle name="Style 31 2 8 2" xfId="47992" xr:uid="{00000000-0005-0000-0000-00007DBB0000}"/>
    <cellStyle name="Style 31 2 8 3" xfId="47993" xr:uid="{00000000-0005-0000-0000-00007EBB0000}"/>
    <cellStyle name="Style 31 2 9" xfId="47994" xr:uid="{00000000-0005-0000-0000-00007FBB0000}"/>
    <cellStyle name="Style 31 2 9 2" xfId="47995" xr:uid="{00000000-0005-0000-0000-000080BB0000}"/>
    <cellStyle name="Style 31 2 9 3" xfId="47996" xr:uid="{00000000-0005-0000-0000-000081BB0000}"/>
    <cellStyle name="Style 31 20" xfId="47997" xr:uid="{00000000-0005-0000-0000-000082BB0000}"/>
    <cellStyle name="Style 31 21" xfId="47998" xr:uid="{00000000-0005-0000-0000-000083BB0000}"/>
    <cellStyle name="Style 31 22" xfId="47999" xr:uid="{00000000-0005-0000-0000-000084BB0000}"/>
    <cellStyle name="Style 31 3" xfId="48000" xr:uid="{00000000-0005-0000-0000-000085BB0000}"/>
    <cellStyle name="Style 31 3 10" xfId="48001" xr:uid="{00000000-0005-0000-0000-000086BB0000}"/>
    <cellStyle name="Style 31 3 11" xfId="48002" xr:uid="{00000000-0005-0000-0000-000087BB0000}"/>
    <cellStyle name="Style 31 3 12" xfId="48003" xr:uid="{00000000-0005-0000-0000-000088BB0000}"/>
    <cellStyle name="Style 31 3 2" xfId="48004" xr:uid="{00000000-0005-0000-0000-000089BB0000}"/>
    <cellStyle name="Style 31 3 2 10" xfId="48005" xr:uid="{00000000-0005-0000-0000-00008ABB0000}"/>
    <cellStyle name="Style 31 3 2 2" xfId="48006" xr:uid="{00000000-0005-0000-0000-00008BBB0000}"/>
    <cellStyle name="Style 31 3 2 2 2" xfId="48007" xr:uid="{00000000-0005-0000-0000-00008CBB0000}"/>
    <cellStyle name="Style 31 3 2 2 2 2" xfId="48008" xr:uid="{00000000-0005-0000-0000-00008DBB0000}"/>
    <cellStyle name="Style 31 3 2 2 2 2 2" xfId="48009" xr:uid="{00000000-0005-0000-0000-00008EBB0000}"/>
    <cellStyle name="Style 31 3 2 2 2 2 3" xfId="48010" xr:uid="{00000000-0005-0000-0000-00008FBB0000}"/>
    <cellStyle name="Style 31 3 2 2 2 3" xfId="48011" xr:uid="{00000000-0005-0000-0000-000090BB0000}"/>
    <cellStyle name="Style 31 3 2 2 2 3 2" xfId="48012" xr:uid="{00000000-0005-0000-0000-000091BB0000}"/>
    <cellStyle name="Style 31 3 2 2 2 3 3" xfId="48013" xr:uid="{00000000-0005-0000-0000-000092BB0000}"/>
    <cellStyle name="Style 31 3 2 2 2 4" xfId="48014" xr:uid="{00000000-0005-0000-0000-000093BB0000}"/>
    <cellStyle name="Style 31 3 2 2 2 5" xfId="48015" xr:uid="{00000000-0005-0000-0000-000094BB0000}"/>
    <cellStyle name="Style 31 3 2 2 2 6" xfId="48016" xr:uid="{00000000-0005-0000-0000-000095BB0000}"/>
    <cellStyle name="Style 31 3 2 2 3" xfId="48017" xr:uid="{00000000-0005-0000-0000-000096BB0000}"/>
    <cellStyle name="Style 31 3 2 2 3 2" xfId="48018" xr:uid="{00000000-0005-0000-0000-000097BB0000}"/>
    <cellStyle name="Style 31 3 2 2 3 3" xfId="48019" xr:uid="{00000000-0005-0000-0000-000098BB0000}"/>
    <cellStyle name="Style 31 3 2 2 4" xfId="48020" xr:uid="{00000000-0005-0000-0000-000099BB0000}"/>
    <cellStyle name="Style 31 3 2 2 4 2" xfId="48021" xr:uid="{00000000-0005-0000-0000-00009ABB0000}"/>
    <cellStyle name="Style 31 3 2 2 4 3" xfId="48022" xr:uid="{00000000-0005-0000-0000-00009BBB0000}"/>
    <cellStyle name="Style 31 3 2 2 5" xfId="48023" xr:uid="{00000000-0005-0000-0000-00009CBB0000}"/>
    <cellStyle name="Style 31 3 2 2 5 2" xfId="48024" xr:uid="{00000000-0005-0000-0000-00009DBB0000}"/>
    <cellStyle name="Style 31 3 2 2 5 3" xfId="48025" xr:uid="{00000000-0005-0000-0000-00009EBB0000}"/>
    <cellStyle name="Style 31 3 2 2 6" xfId="48026" xr:uid="{00000000-0005-0000-0000-00009FBB0000}"/>
    <cellStyle name="Style 31 3 2 2 7" xfId="48027" xr:uid="{00000000-0005-0000-0000-0000A0BB0000}"/>
    <cellStyle name="Style 31 3 2 2 8" xfId="48028" xr:uid="{00000000-0005-0000-0000-0000A1BB0000}"/>
    <cellStyle name="Style 31 3 2 3" xfId="48029" xr:uid="{00000000-0005-0000-0000-0000A2BB0000}"/>
    <cellStyle name="Style 31 3 2 3 2" xfId="48030" xr:uid="{00000000-0005-0000-0000-0000A3BB0000}"/>
    <cellStyle name="Style 31 3 2 3 2 2" xfId="48031" xr:uid="{00000000-0005-0000-0000-0000A4BB0000}"/>
    <cellStyle name="Style 31 3 2 3 2 2 2" xfId="48032" xr:uid="{00000000-0005-0000-0000-0000A5BB0000}"/>
    <cellStyle name="Style 31 3 2 3 2 2 3" xfId="48033" xr:uid="{00000000-0005-0000-0000-0000A6BB0000}"/>
    <cellStyle name="Style 31 3 2 3 2 3" xfId="48034" xr:uid="{00000000-0005-0000-0000-0000A7BB0000}"/>
    <cellStyle name="Style 31 3 2 3 2 3 2" xfId="48035" xr:uid="{00000000-0005-0000-0000-0000A8BB0000}"/>
    <cellStyle name="Style 31 3 2 3 2 3 3" xfId="48036" xr:uid="{00000000-0005-0000-0000-0000A9BB0000}"/>
    <cellStyle name="Style 31 3 2 3 2 4" xfId="48037" xr:uid="{00000000-0005-0000-0000-0000AABB0000}"/>
    <cellStyle name="Style 31 3 2 3 2 5" xfId="48038" xr:uid="{00000000-0005-0000-0000-0000ABBB0000}"/>
    <cellStyle name="Style 31 3 2 3 2 6" xfId="48039" xr:uid="{00000000-0005-0000-0000-0000ACBB0000}"/>
    <cellStyle name="Style 31 3 2 3 3" xfId="48040" xr:uid="{00000000-0005-0000-0000-0000ADBB0000}"/>
    <cellStyle name="Style 31 3 2 3 3 2" xfId="48041" xr:uid="{00000000-0005-0000-0000-0000AEBB0000}"/>
    <cellStyle name="Style 31 3 2 3 3 3" xfId="48042" xr:uid="{00000000-0005-0000-0000-0000AFBB0000}"/>
    <cellStyle name="Style 31 3 2 3 4" xfId="48043" xr:uid="{00000000-0005-0000-0000-0000B0BB0000}"/>
    <cellStyle name="Style 31 3 2 3 4 2" xfId="48044" xr:uid="{00000000-0005-0000-0000-0000B1BB0000}"/>
    <cellStyle name="Style 31 3 2 3 4 3" xfId="48045" xr:uid="{00000000-0005-0000-0000-0000B2BB0000}"/>
    <cellStyle name="Style 31 3 2 3 5" xfId="48046" xr:uid="{00000000-0005-0000-0000-0000B3BB0000}"/>
    <cellStyle name="Style 31 3 2 3 5 2" xfId="48047" xr:uid="{00000000-0005-0000-0000-0000B4BB0000}"/>
    <cellStyle name="Style 31 3 2 3 5 3" xfId="48048" xr:uid="{00000000-0005-0000-0000-0000B5BB0000}"/>
    <cellStyle name="Style 31 3 2 3 6" xfId="48049" xr:uid="{00000000-0005-0000-0000-0000B6BB0000}"/>
    <cellStyle name="Style 31 3 2 3 7" xfId="48050" xr:uid="{00000000-0005-0000-0000-0000B7BB0000}"/>
    <cellStyle name="Style 31 3 2 3 8" xfId="48051" xr:uid="{00000000-0005-0000-0000-0000B8BB0000}"/>
    <cellStyle name="Style 31 3 2 4" xfId="48052" xr:uid="{00000000-0005-0000-0000-0000B9BB0000}"/>
    <cellStyle name="Style 31 3 2 4 2" xfId="48053" xr:uid="{00000000-0005-0000-0000-0000BABB0000}"/>
    <cellStyle name="Style 31 3 2 4 2 2" xfId="48054" xr:uid="{00000000-0005-0000-0000-0000BBBB0000}"/>
    <cellStyle name="Style 31 3 2 4 2 3" xfId="48055" xr:uid="{00000000-0005-0000-0000-0000BCBB0000}"/>
    <cellStyle name="Style 31 3 2 4 3" xfId="48056" xr:uid="{00000000-0005-0000-0000-0000BDBB0000}"/>
    <cellStyle name="Style 31 3 2 4 3 2" xfId="48057" xr:uid="{00000000-0005-0000-0000-0000BEBB0000}"/>
    <cellStyle name="Style 31 3 2 4 3 3" xfId="48058" xr:uid="{00000000-0005-0000-0000-0000BFBB0000}"/>
    <cellStyle name="Style 31 3 2 4 4" xfId="48059" xr:uid="{00000000-0005-0000-0000-0000C0BB0000}"/>
    <cellStyle name="Style 31 3 2 4 5" xfId="48060" xr:uid="{00000000-0005-0000-0000-0000C1BB0000}"/>
    <cellStyle name="Style 31 3 2 4 6" xfId="48061" xr:uid="{00000000-0005-0000-0000-0000C2BB0000}"/>
    <cellStyle name="Style 31 3 2 5" xfId="48062" xr:uid="{00000000-0005-0000-0000-0000C3BB0000}"/>
    <cellStyle name="Style 31 3 2 5 2" xfId="48063" xr:uid="{00000000-0005-0000-0000-0000C4BB0000}"/>
    <cellStyle name="Style 31 3 2 5 3" xfId="48064" xr:uid="{00000000-0005-0000-0000-0000C5BB0000}"/>
    <cellStyle name="Style 31 3 2 6" xfId="48065" xr:uid="{00000000-0005-0000-0000-0000C6BB0000}"/>
    <cellStyle name="Style 31 3 2 6 2" xfId="48066" xr:uid="{00000000-0005-0000-0000-0000C7BB0000}"/>
    <cellStyle name="Style 31 3 2 6 3" xfId="48067" xr:uid="{00000000-0005-0000-0000-0000C8BB0000}"/>
    <cellStyle name="Style 31 3 2 7" xfId="48068" xr:uid="{00000000-0005-0000-0000-0000C9BB0000}"/>
    <cellStyle name="Style 31 3 2 7 2" xfId="48069" xr:uid="{00000000-0005-0000-0000-0000CABB0000}"/>
    <cellStyle name="Style 31 3 2 7 3" xfId="48070" xr:uid="{00000000-0005-0000-0000-0000CBBB0000}"/>
    <cellStyle name="Style 31 3 2 8" xfId="48071" xr:uid="{00000000-0005-0000-0000-0000CCBB0000}"/>
    <cellStyle name="Style 31 3 2 9" xfId="48072" xr:uid="{00000000-0005-0000-0000-0000CDBB0000}"/>
    <cellStyle name="Style 31 3 3" xfId="48073" xr:uid="{00000000-0005-0000-0000-0000CEBB0000}"/>
    <cellStyle name="Style 31 3 3 2" xfId="48074" xr:uid="{00000000-0005-0000-0000-0000CFBB0000}"/>
    <cellStyle name="Style 31 3 3 2 2" xfId="48075" xr:uid="{00000000-0005-0000-0000-0000D0BB0000}"/>
    <cellStyle name="Style 31 3 3 2 2 2" xfId="48076" xr:uid="{00000000-0005-0000-0000-0000D1BB0000}"/>
    <cellStyle name="Style 31 3 3 2 2 3" xfId="48077" xr:uid="{00000000-0005-0000-0000-0000D2BB0000}"/>
    <cellStyle name="Style 31 3 3 2 3" xfId="48078" xr:uid="{00000000-0005-0000-0000-0000D3BB0000}"/>
    <cellStyle name="Style 31 3 3 2 3 2" xfId="48079" xr:uid="{00000000-0005-0000-0000-0000D4BB0000}"/>
    <cellStyle name="Style 31 3 3 2 3 3" xfId="48080" xr:uid="{00000000-0005-0000-0000-0000D5BB0000}"/>
    <cellStyle name="Style 31 3 3 2 4" xfId="48081" xr:uid="{00000000-0005-0000-0000-0000D6BB0000}"/>
    <cellStyle name="Style 31 3 3 2 5" xfId="48082" xr:uid="{00000000-0005-0000-0000-0000D7BB0000}"/>
    <cellStyle name="Style 31 3 3 2 6" xfId="48083" xr:uid="{00000000-0005-0000-0000-0000D8BB0000}"/>
    <cellStyle name="Style 31 3 3 3" xfId="48084" xr:uid="{00000000-0005-0000-0000-0000D9BB0000}"/>
    <cellStyle name="Style 31 3 3 3 2" xfId="48085" xr:uid="{00000000-0005-0000-0000-0000DABB0000}"/>
    <cellStyle name="Style 31 3 3 3 3" xfId="48086" xr:uid="{00000000-0005-0000-0000-0000DBBB0000}"/>
    <cellStyle name="Style 31 3 3 4" xfId="48087" xr:uid="{00000000-0005-0000-0000-0000DCBB0000}"/>
    <cellStyle name="Style 31 3 3 4 2" xfId="48088" xr:uid="{00000000-0005-0000-0000-0000DDBB0000}"/>
    <cellStyle name="Style 31 3 3 4 3" xfId="48089" xr:uid="{00000000-0005-0000-0000-0000DEBB0000}"/>
    <cellStyle name="Style 31 3 3 5" xfId="48090" xr:uid="{00000000-0005-0000-0000-0000DFBB0000}"/>
    <cellStyle name="Style 31 3 3 5 2" xfId="48091" xr:uid="{00000000-0005-0000-0000-0000E0BB0000}"/>
    <cellStyle name="Style 31 3 3 5 3" xfId="48092" xr:uid="{00000000-0005-0000-0000-0000E1BB0000}"/>
    <cellStyle name="Style 31 3 3 6" xfId="48093" xr:uid="{00000000-0005-0000-0000-0000E2BB0000}"/>
    <cellStyle name="Style 31 3 3 7" xfId="48094" xr:uid="{00000000-0005-0000-0000-0000E3BB0000}"/>
    <cellStyle name="Style 31 3 3 8" xfId="48095" xr:uid="{00000000-0005-0000-0000-0000E4BB0000}"/>
    <cellStyle name="Style 31 3 4" xfId="48096" xr:uid="{00000000-0005-0000-0000-0000E5BB0000}"/>
    <cellStyle name="Style 31 3 4 2" xfId="48097" xr:uid="{00000000-0005-0000-0000-0000E6BB0000}"/>
    <cellStyle name="Style 31 3 4 2 2" xfId="48098" xr:uid="{00000000-0005-0000-0000-0000E7BB0000}"/>
    <cellStyle name="Style 31 3 4 2 2 2" xfId="48099" xr:uid="{00000000-0005-0000-0000-0000E8BB0000}"/>
    <cellStyle name="Style 31 3 4 2 2 3" xfId="48100" xr:uid="{00000000-0005-0000-0000-0000E9BB0000}"/>
    <cellStyle name="Style 31 3 4 2 3" xfId="48101" xr:uid="{00000000-0005-0000-0000-0000EABB0000}"/>
    <cellStyle name="Style 31 3 4 2 3 2" xfId="48102" xr:uid="{00000000-0005-0000-0000-0000EBBB0000}"/>
    <cellStyle name="Style 31 3 4 2 3 3" xfId="48103" xr:uid="{00000000-0005-0000-0000-0000ECBB0000}"/>
    <cellStyle name="Style 31 3 4 2 4" xfId="48104" xr:uid="{00000000-0005-0000-0000-0000EDBB0000}"/>
    <cellStyle name="Style 31 3 4 2 5" xfId="48105" xr:uid="{00000000-0005-0000-0000-0000EEBB0000}"/>
    <cellStyle name="Style 31 3 4 2 6" xfId="48106" xr:uid="{00000000-0005-0000-0000-0000EFBB0000}"/>
    <cellStyle name="Style 31 3 4 3" xfId="48107" xr:uid="{00000000-0005-0000-0000-0000F0BB0000}"/>
    <cellStyle name="Style 31 3 4 3 2" xfId="48108" xr:uid="{00000000-0005-0000-0000-0000F1BB0000}"/>
    <cellStyle name="Style 31 3 4 3 3" xfId="48109" xr:uid="{00000000-0005-0000-0000-0000F2BB0000}"/>
    <cellStyle name="Style 31 3 4 4" xfId="48110" xr:uid="{00000000-0005-0000-0000-0000F3BB0000}"/>
    <cellStyle name="Style 31 3 4 4 2" xfId="48111" xr:uid="{00000000-0005-0000-0000-0000F4BB0000}"/>
    <cellStyle name="Style 31 3 4 4 3" xfId="48112" xr:uid="{00000000-0005-0000-0000-0000F5BB0000}"/>
    <cellStyle name="Style 31 3 4 5" xfId="48113" xr:uid="{00000000-0005-0000-0000-0000F6BB0000}"/>
    <cellStyle name="Style 31 3 4 5 2" xfId="48114" xr:uid="{00000000-0005-0000-0000-0000F7BB0000}"/>
    <cellStyle name="Style 31 3 4 5 3" xfId="48115" xr:uid="{00000000-0005-0000-0000-0000F8BB0000}"/>
    <cellStyle name="Style 31 3 4 6" xfId="48116" xr:uid="{00000000-0005-0000-0000-0000F9BB0000}"/>
    <cellStyle name="Style 31 3 4 7" xfId="48117" xr:uid="{00000000-0005-0000-0000-0000FABB0000}"/>
    <cellStyle name="Style 31 3 4 8" xfId="48118" xr:uid="{00000000-0005-0000-0000-0000FBBB0000}"/>
    <cellStyle name="Style 31 3 5" xfId="48119" xr:uid="{00000000-0005-0000-0000-0000FCBB0000}"/>
    <cellStyle name="Style 31 3 5 2" xfId="48120" xr:uid="{00000000-0005-0000-0000-0000FDBB0000}"/>
    <cellStyle name="Style 31 3 5 2 2" xfId="48121" xr:uid="{00000000-0005-0000-0000-0000FEBB0000}"/>
    <cellStyle name="Style 31 3 5 2 2 2" xfId="48122" xr:uid="{00000000-0005-0000-0000-0000FFBB0000}"/>
    <cellStyle name="Style 31 3 5 2 2 3" xfId="48123" xr:uid="{00000000-0005-0000-0000-000000BC0000}"/>
    <cellStyle name="Style 31 3 5 2 3" xfId="48124" xr:uid="{00000000-0005-0000-0000-000001BC0000}"/>
    <cellStyle name="Style 31 3 5 2 3 2" xfId="48125" xr:uid="{00000000-0005-0000-0000-000002BC0000}"/>
    <cellStyle name="Style 31 3 5 2 3 3" xfId="48126" xr:uid="{00000000-0005-0000-0000-000003BC0000}"/>
    <cellStyle name="Style 31 3 5 2 4" xfId="48127" xr:uid="{00000000-0005-0000-0000-000004BC0000}"/>
    <cellStyle name="Style 31 3 5 2 5" xfId="48128" xr:uid="{00000000-0005-0000-0000-000005BC0000}"/>
    <cellStyle name="Style 31 3 5 2 6" xfId="48129" xr:uid="{00000000-0005-0000-0000-000006BC0000}"/>
    <cellStyle name="Style 31 3 5 3" xfId="48130" xr:uid="{00000000-0005-0000-0000-000007BC0000}"/>
    <cellStyle name="Style 31 3 5 3 2" xfId="48131" xr:uid="{00000000-0005-0000-0000-000008BC0000}"/>
    <cellStyle name="Style 31 3 5 3 3" xfId="48132" xr:uid="{00000000-0005-0000-0000-000009BC0000}"/>
    <cellStyle name="Style 31 3 5 4" xfId="48133" xr:uid="{00000000-0005-0000-0000-00000ABC0000}"/>
    <cellStyle name="Style 31 3 5 4 2" xfId="48134" xr:uid="{00000000-0005-0000-0000-00000BBC0000}"/>
    <cellStyle name="Style 31 3 5 4 3" xfId="48135" xr:uid="{00000000-0005-0000-0000-00000CBC0000}"/>
    <cellStyle name="Style 31 3 5 5" xfId="48136" xr:uid="{00000000-0005-0000-0000-00000DBC0000}"/>
    <cellStyle name="Style 31 3 5 5 2" xfId="48137" xr:uid="{00000000-0005-0000-0000-00000EBC0000}"/>
    <cellStyle name="Style 31 3 5 5 3" xfId="48138" xr:uid="{00000000-0005-0000-0000-00000FBC0000}"/>
    <cellStyle name="Style 31 3 5 6" xfId="48139" xr:uid="{00000000-0005-0000-0000-000010BC0000}"/>
    <cellStyle name="Style 31 3 5 7" xfId="48140" xr:uid="{00000000-0005-0000-0000-000011BC0000}"/>
    <cellStyle name="Style 31 3 5 8" xfId="48141" xr:uid="{00000000-0005-0000-0000-000012BC0000}"/>
    <cellStyle name="Style 31 3 6" xfId="48142" xr:uid="{00000000-0005-0000-0000-000013BC0000}"/>
    <cellStyle name="Style 31 3 6 2" xfId="48143" xr:uid="{00000000-0005-0000-0000-000014BC0000}"/>
    <cellStyle name="Style 31 3 6 2 2" xfId="48144" xr:uid="{00000000-0005-0000-0000-000015BC0000}"/>
    <cellStyle name="Style 31 3 6 2 3" xfId="48145" xr:uid="{00000000-0005-0000-0000-000016BC0000}"/>
    <cellStyle name="Style 31 3 6 3" xfId="48146" xr:uid="{00000000-0005-0000-0000-000017BC0000}"/>
    <cellStyle name="Style 31 3 6 3 2" xfId="48147" xr:uid="{00000000-0005-0000-0000-000018BC0000}"/>
    <cellStyle name="Style 31 3 6 3 3" xfId="48148" xr:uid="{00000000-0005-0000-0000-000019BC0000}"/>
    <cellStyle name="Style 31 3 6 4" xfId="48149" xr:uid="{00000000-0005-0000-0000-00001ABC0000}"/>
    <cellStyle name="Style 31 3 6 5" xfId="48150" xr:uid="{00000000-0005-0000-0000-00001BBC0000}"/>
    <cellStyle name="Style 31 3 6 6" xfId="48151" xr:uid="{00000000-0005-0000-0000-00001CBC0000}"/>
    <cellStyle name="Style 31 3 7" xfId="48152" xr:uid="{00000000-0005-0000-0000-00001DBC0000}"/>
    <cellStyle name="Style 31 3 7 2" xfId="48153" xr:uid="{00000000-0005-0000-0000-00001EBC0000}"/>
    <cellStyle name="Style 31 3 7 3" xfId="48154" xr:uid="{00000000-0005-0000-0000-00001FBC0000}"/>
    <cellStyle name="Style 31 3 8" xfId="48155" xr:uid="{00000000-0005-0000-0000-000020BC0000}"/>
    <cellStyle name="Style 31 3 8 2" xfId="48156" xr:uid="{00000000-0005-0000-0000-000021BC0000}"/>
    <cellStyle name="Style 31 3 8 3" xfId="48157" xr:uid="{00000000-0005-0000-0000-000022BC0000}"/>
    <cellStyle name="Style 31 3 9" xfId="48158" xr:uid="{00000000-0005-0000-0000-000023BC0000}"/>
    <cellStyle name="Style 31 3 9 2" xfId="48159" xr:uid="{00000000-0005-0000-0000-000024BC0000}"/>
    <cellStyle name="Style 31 3 9 3" xfId="48160" xr:uid="{00000000-0005-0000-0000-000025BC0000}"/>
    <cellStyle name="Style 31 4" xfId="48161" xr:uid="{00000000-0005-0000-0000-000026BC0000}"/>
    <cellStyle name="Style 31 4 10" xfId="48162" xr:uid="{00000000-0005-0000-0000-000027BC0000}"/>
    <cellStyle name="Style 31 4 11" xfId="48163" xr:uid="{00000000-0005-0000-0000-000028BC0000}"/>
    <cellStyle name="Style 31 4 12" xfId="48164" xr:uid="{00000000-0005-0000-0000-000029BC0000}"/>
    <cellStyle name="Style 31 4 2" xfId="48165" xr:uid="{00000000-0005-0000-0000-00002ABC0000}"/>
    <cellStyle name="Style 31 4 2 10" xfId="48166" xr:uid="{00000000-0005-0000-0000-00002BBC0000}"/>
    <cellStyle name="Style 31 4 2 2" xfId="48167" xr:uid="{00000000-0005-0000-0000-00002CBC0000}"/>
    <cellStyle name="Style 31 4 2 2 2" xfId="48168" xr:uid="{00000000-0005-0000-0000-00002DBC0000}"/>
    <cellStyle name="Style 31 4 2 2 2 2" xfId="48169" xr:uid="{00000000-0005-0000-0000-00002EBC0000}"/>
    <cellStyle name="Style 31 4 2 2 2 2 2" xfId="48170" xr:uid="{00000000-0005-0000-0000-00002FBC0000}"/>
    <cellStyle name="Style 31 4 2 2 2 2 3" xfId="48171" xr:uid="{00000000-0005-0000-0000-000030BC0000}"/>
    <cellStyle name="Style 31 4 2 2 2 3" xfId="48172" xr:uid="{00000000-0005-0000-0000-000031BC0000}"/>
    <cellStyle name="Style 31 4 2 2 2 3 2" xfId="48173" xr:uid="{00000000-0005-0000-0000-000032BC0000}"/>
    <cellStyle name="Style 31 4 2 2 2 3 3" xfId="48174" xr:uid="{00000000-0005-0000-0000-000033BC0000}"/>
    <cellStyle name="Style 31 4 2 2 2 4" xfId="48175" xr:uid="{00000000-0005-0000-0000-000034BC0000}"/>
    <cellStyle name="Style 31 4 2 2 2 5" xfId="48176" xr:uid="{00000000-0005-0000-0000-000035BC0000}"/>
    <cellStyle name="Style 31 4 2 2 2 6" xfId="48177" xr:uid="{00000000-0005-0000-0000-000036BC0000}"/>
    <cellStyle name="Style 31 4 2 2 3" xfId="48178" xr:uid="{00000000-0005-0000-0000-000037BC0000}"/>
    <cellStyle name="Style 31 4 2 2 3 2" xfId="48179" xr:uid="{00000000-0005-0000-0000-000038BC0000}"/>
    <cellStyle name="Style 31 4 2 2 3 3" xfId="48180" xr:uid="{00000000-0005-0000-0000-000039BC0000}"/>
    <cellStyle name="Style 31 4 2 2 4" xfId="48181" xr:uid="{00000000-0005-0000-0000-00003ABC0000}"/>
    <cellStyle name="Style 31 4 2 2 4 2" xfId="48182" xr:uid="{00000000-0005-0000-0000-00003BBC0000}"/>
    <cellStyle name="Style 31 4 2 2 4 3" xfId="48183" xr:uid="{00000000-0005-0000-0000-00003CBC0000}"/>
    <cellStyle name="Style 31 4 2 2 5" xfId="48184" xr:uid="{00000000-0005-0000-0000-00003DBC0000}"/>
    <cellStyle name="Style 31 4 2 2 5 2" xfId="48185" xr:uid="{00000000-0005-0000-0000-00003EBC0000}"/>
    <cellStyle name="Style 31 4 2 2 5 3" xfId="48186" xr:uid="{00000000-0005-0000-0000-00003FBC0000}"/>
    <cellStyle name="Style 31 4 2 2 6" xfId="48187" xr:uid="{00000000-0005-0000-0000-000040BC0000}"/>
    <cellStyle name="Style 31 4 2 2 7" xfId="48188" xr:uid="{00000000-0005-0000-0000-000041BC0000}"/>
    <cellStyle name="Style 31 4 2 2 8" xfId="48189" xr:uid="{00000000-0005-0000-0000-000042BC0000}"/>
    <cellStyle name="Style 31 4 2 3" xfId="48190" xr:uid="{00000000-0005-0000-0000-000043BC0000}"/>
    <cellStyle name="Style 31 4 2 3 2" xfId="48191" xr:uid="{00000000-0005-0000-0000-000044BC0000}"/>
    <cellStyle name="Style 31 4 2 3 2 2" xfId="48192" xr:uid="{00000000-0005-0000-0000-000045BC0000}"/>
    <cellStyle name="Style 31 4 2 3 2 2 2" xfId="48193" xr:uid="{00000000-0005-0000-0000-000046BC0000}"/>
    <cellStyle name="Style 31 4 2 3 2 2 3" xfId="48194" xr:uid="{00000000-0005-0000-0000-000047BC0000}"/>
    <cellStyle name="Style 31 4 2 3 2 3" xfId="48195" xr:uid="{00000000-0005-0000-0000-000048BC0000}"/>
    <cellStyle name="Style 31 4 2 3 2 3 2" xfId="48196" xr:uid="{00000000-0005-0000-0000-000049BC0000}"/>
    <cellStyle name="Style 31 4 2 3 2 3 3" xfId="48197" xr:uid="{00000000-0005-0000-0000-00004ABC0000}"/>
    <cellStyle name="Style 31 4 2 3 2 4" xfId="48198" xr:uid="{00000000-0005-0000-0000-00004BBC0000}"/>
    <cellStyle name="Style 31 4 2 3 2 5" xfId="48199" xr:uid="{00000000-0005-0000-0000-00004CBC0000}"/>
    <cellStyle name="Style 31 4 2 3 2 6" xfId="48200" xr:uid="{00000000-0005-0000-0000-00004DBC0000}"/>
    <cellStyle name="Style 31 4 2 3 3" xfId="48201" xr:uid="{00000000-0005-0000-0000-00004EBC0000}"/>
    <cellStyle name="Style 31 4 2 3 3 2" xfId="48202" xr:uid="{00000000-0005-0000-0000-00004FBC0000}"/>
    <cellStyle name="Style 31 4 2 3 3 3" xfId="48203" xr:uid="{00000000-0005-0000-0000-000050BC0000}"/>
    <cellStyle name="Style 31 4 2 3 4" xfId="48204" xr:uid="{00000000-0005-0000-0000-000051BC0000}"/>
    <cellStyle name="Style 31 4 2 3 4 2" xfId="48205" xr:uid="{00000000-0005-0000-0000-000052BC0000}"/>
    <cellStyle name="Style 31 4 2 3 4 3" xfId="48206" xr:uid="{00000000-0005-0000-0000-000053BC0000}"/>
    <cellStyle name="Style 31 4 2 3 5" xfId="48207" xr:uid="{00000000-0005-0000-0000-000054BC0000}"/>
    <cellStyle name="Style 31 4 2 3 5 2" xfId="48208" xr:uid="{00000000-0005-0000-0000-000055BC0000}"/>
    <cellStyle name="Style 31 4 2 3 5 3" xfId="48209" xr:uid="{00000000-0005-0000-0000-000056BC0000}"/>
    <cellStyle name="Style 31 4 2 3 6" xfId="48210" xr:uid="{00000000-0005-0000-0000-000057BC0000}"/>
    <cellStyle name="Style 31 4 2 3 7" xfId="48211" xr:uid="{00000000-0005-0000-0000-000058BC0000}"/>
    <cellStyle name="Style 31 4 2 3 8" xfId="48212" xr:uid="{00000000-0005-0000-0000-000059BC0000}"/>
    <cellStyle name="Style 31 4 2 4" xfId="48213" xr:uid="{00000000-0005-0000-0000-00005ABC0000}"/>
    <cellStyle name="Style 31 4 2 4 2" xfId="48214" xr:uid="{00000000-0005-0000-0000-00005BBC0000}"/>
    <cellStyle name="Style 31 4 2 4 2 2" xfId="48215" xr:uid="{00000000-0005-0000-0000-00005CBC0000}"/>
    <cellStyle name="Style 31 4 2 4 2 3" xfId="48216" xr:uid="{00000000-0005-0000-0000-00005DBC0000}"/>
    <cellStyle name="Style 31 4 2 4 3" xfId="48217" xr:uid="{00000000-0005-0000-0000-00005EBC0000}"/>
    <cellStyle name="Style 31 4 2 4 3 2" xfId="48218" xr:uid="{00000000-0005-0000-0000-00005FBC0000}"/>
    <cellStyle name="Style 31 4 2 4 3 3" xfId="48219" xr:uid="{00000000-0005-0000-0000-000060BC0000}"/>
    <cellStyle name="Style 31 4 2 4 4" xfId="48220" xr:uid="{00000000-0005-0000-0000-000061BC0000}"/>
    <cellStyle name="Style 31 4 2 4 5" xfId="48221" xr:uid="{00000000-0005-0000-0000-000062BC0000}"/>
    <cellStyle name="Style 31 4 2 4 6" xfId="48222" xr:uid="{00000000-0005-0000-0000-000063BC0000}"/>
    <cellStyle name="Style 31 4 2 5" xfId="48223" xr:uid="{00000000-0005-0000-0000-000064BC0000}"/>
    <cellStyle name="Style 31 4 2 5 2" xfId="48224" xr:uid="{00000000-0005-0000-0000-000065BC0000}"/>
    <cellStyle name="Style 31 4 2 5 3" xfId="48225" xr:uid="{00000000-0005-0000-0000-000066BC0000}"/>
    <cellStyle name="Style 31 4 2 6" xfId="48226" xr:uid="{00000000-0005-0000-0000-000067BC0000}"/>
    <cellStyle name="Style 31 4 2 6 2" xfId="48227" xr:uid="{00000000-0005-0000-0000-000068BC0000}"/>
    <cellStyle name="Style 31 4 2 6 3" xfId="48228" xr:uid="{00000000-0005-0000-0000-000069BC0000}"/>
    <cellStyle name="Style 31 4 2 7" xfId="48229" xr:uid="{00000000-0005-0000-0000-00006ABC0000}"/>
    <cellStyle name="Style 31 4 2 7 2" xfId="48230" xr:uid="{00000000-0005-0000-0000-00006BBC0000}"/>
    <cellStyle name="Style 31 4 2 7 3" xfId="48231" xr:uid="{00000000-0005-0000-0000-00006CBC0000}"/>
    <cellStyle name="Style 31 4 2 8" xfId="48232" xr:uid="{00000000-0005-0000-0000-00006DBC0000}"/>
    <cellStyle name="Style 31 4 2 9" xfId="48233" xr:uid="{00000000-0005-0000-0000-00006EBC0000}"/>
    <cellStyle name="Style 31 4 3" xfId="48234" xr:uid="{00000000-0005-0000-0000-00006FBC0000}"/>
    <cellStyle name="Style 31 4 3 2" xfId="48235" xr:uid="{00000000-0005-0000-0000-000070BC0000}"/>
    <cellStyle name="Style 31 4 3 2 2" xfId="48236" xr:uid="{00000000-0005-0000-0000-000071BC0000}"/>
    <cellStyle name="Style 31 4 3 2 2 2" xfId="48237" xr:uid="{00000000-0005-0000-0000-000072BC0000}"/>
    <cellStyle name="Style 31 4 3 2 2 3" xfId="48238" xr:uid="{00000000-0005-0000-0000-000073BC0000}"/>
    <cellStyle name="Style 31 4 3 2 3" xfId="48239" xr:uid="{00000000-0005-0000-0000-000074BC0000}"/>
    <cellStyle name="Style 31 4 3 2 3 2" xfId="48240" xr:uid="{00000000-0005-0000-0000-000075BC0000}"/>
    <cellStyle name="Style 31 4 3 2 3 3" xfId="48241" xr:uid="{00000000-0005-0000-0000-000076BC0000}"/>
    <cellStyle name="Style 31 4 3 2 4" xfId="48242" xr:uid="{00000000-0005-0000-0000-000077BC0000}"/>
    <cellStyle name="Style 31 4 3 2 5" xfId="48243" xr:uid="{00000000-0005-0000-0000-000078BC0000}"/>
    <cellStyle name="Style 31 4 3 2 6" xfId="48244" xr:uid="{00000000-0005-0000-0000-000079BC0000}"/>
    <cellStyle name="Style 31 4 3 3" xfId="48245" xr:uid="{00000000-0005-0000-0000-00007ABC0000}"/>
    <cellStyle name="Style 31 4 3 3 2" xfId="48246" xr:uid="{00000000-0005-0000-0000-00007BBC0000}"/>
    <cellStyle name="Style 31 4 3 3 3" xfId="48247" xr:uid="{00000000-0005-0000-0000-00007CBC0000}"/>
    <cellStyle name="Style 31 4 3 4" xfId="48248" xr:uid="{00000000-0005-0000-0000-00007DBC0000}"/>
    <cellStyle name="Style 31 4 3 4 2" xfId="48249" xr:uid="{00000000-0005-0000-0000-00007EBC0000}"/>
    <cellStyle name="Style 31 4 3 4 3" xfId="48250" xr:uid="{00000000-0005-0000-0000-00007FBC0000}"/>
    <cellStyle name="Style 31 4 3 5" xfId="48251" xr:uid="{00000000-0005-0000-0000-000080BC0000}"/>
    <cellStyle name="Style 31 4 3 5 2" xfId="48252" xr:uid="{00000000-0005-0000-0000-000081BC0000}"/>
    <cellStyle name="Style 31 4 3 5 3" xfId="48253" xr:uid="{00000000-0005-0000-0000-000082BC0000}"/>
    <cellStyle name="Style 31 4 3 6" xfId="48254" xr:uid="{00000000-0005-0000-0000-000083BC0000}"/>
    <cellStyle name="Style 31 4 3 7" xfId="48255" xr:uid="{00000000-0005-0000-0000-000084BC0000}"/>
    <cellStyle name="Style 31 4 3 8" xfId="48256" xr:uid="{00000000-0005-0000-0000-000085BC0000}"/>
    <cellStyle name="Style 31 4 4" xfId="48257" xr:uid="{00000000-0005-0000-0000-000086BC0000}"/>
    <cellStyle name="Style 31 4 4 2" xfId="48258" xr:uid="{00000000-0005-0000-0000-000087BC0000}"/>
    <cellStyle name="Style 31 4 4 2 2" xfId="48259" xr:uid="{00000000-0005-0000-0000-000088BC0000}"/>
    <cellStyle name="Style 31 4 4 2 2 2" xfId="48260" xr:uid="{00000000-0005-0000-0000-000089BC0000}"/>
    <cellStyle name="Style 31 4 4 2 2 3" xfId="48261" xr:uid="{00000000-0005-0000-0000-00008ABC0000}"/>
    <cellStyle name="Style 31 4 4 2 3" xfId="48262" xr:uid="{00000000-0005-0000-0000-00008BBC0000}"/>
    <cellStyle name="Style 31 4 4 2 3 2" xfId="48263" xr:uid="{00000000-0005-0000-0000-00008CBC0000}"/>
    <cellStyle name="Style 31 4 4 2 3 3" xfId="48264" xr:uid="{00000000-0005-0000-0000-00008DBC0000}"/>
    <cellStyle name="Style 31 4 4 2 4" xfId="48265" xr:uid="{00000000-0005-0000-0000-00008EBC0000}"/>
    <cellStyle name="Style 31 4 4 2 5" xfId="48266" xr:uid="{00000000-0005-0000-0000-00008FBC0000}"/>
    <cellStyle name="Style 31 4 4 2 6" xfId="48267" xr:uid="{00000000-0005-0000-0000-000090BC0000}"/>
    <cellStyle name="Style 31 4 4 3" xfId="48268" xr:uid="{00000000-0005-0000-0000-000091BC0000}"/>
    <cellStyle name="Style 31 4 4 3 2" xfId="48269" xr:uid="{00000000-0005-0000-0000-000092BC0000}"/>
    <cellStyle name="Style 31 4 4 3 3" xfId="48270" xr:uid="{00000000-0005-0000-0000-000093BC0000}"/>
    <cellStyle name="Style 31 4 4 4" xfId="48271" xr:uid="{00000000-0005-0000-0000-000094BC0000}"/>
    <cellStyle name="Style 31 4 4 4 2" xfId="48272" xr:uid="{00000000-0005-0000-0000-000095BC0000}"/>
    <cellStyle name="Style 31 4 4 4 3" xfId="48273" xr:uid="{00000000-0005-0000-0000-000096BC0000}"/>
    <cellStyle name="Style 31 4 4 5" xfId="48274" xr:uid="{00000000-0005-0000-0000-000097BC0000}"/>
    <cellStyle name="Style 31 4 4 5 2" xfId="48275" xr:uid="{00000000-0005-0000-0000-000098BC0000}"/>
    <cellStyle name="Style 31 4 4 5 3" xfId="48276" xr:uid="{00000000-0005-0000-0000-000099BC0000}"/>
    <cellStyle name="Style 31 4 4 6" xfId="48277" xr:uid="{00000000-0005-0000-0000-00009ABC0000}"/>
    <cellStyle name="Style 31 4 4 7" xfId="48278" xr:uid="{00000000-0005-0000-0000-00009BBC0000}"/>
    <cellStyle name="Style 31 4 4 8" xfId="48279" xr:uid="{00000000-0005-0000-0000-00009CBC0000}"/>
    <cellStyle name="Style 31 4 5" xfId="48280" xr:uid="{00000000-0005-0000-0000-00009DBC0000}"/>
    <cellStyle name="Style 31 4 5 2" xfId="48281" xr:uid="{00000000-0005-0000-0000-00009EBC0000}"/>
    <cellStyle name="Style 31 4 5 2 2" xfId="48282" xr:uid="{00000000-0005-0000-0000-00009FBC0000}"/>
    <cellStyle name="Style 31 4 5 2 2 2" xfId="48283" xr:uid="{00000000-0005-0000-0000-0000A0BC0000}"/>
    <cellStyle name="Style 31 4 5 2 2 3" xfId="48284" xr:uid="{00000000-0005-0000-0000-0000A1BC0000}"/>
    <cellStyle name="Style 31 4 5 2 3" xfId="48285" xr:uid="{00000000-0005-0000-0000-0000A2BC0000}"/>
    <cellStyle name="Style 31 4 5 2 3 2" xfId="48286" xr:uid="{00000000-0005-0000-0000-0000A3BC0000}"/>
    <cellStyle name="Style 31 4 5 2 3 3" xfId="48287" xr:uid="{00000000-0005-0000-0000-0000A4BC0000}"/>
    <cellStyle name="Style 31 4 5 2 4" xfId="48288" xr:uid="{00000000-0005-0000-0000-0000A5BC0000}"/>
    <cellStyle name="Style 31 4 5 2 5" xfId="48289" xr:uid="{00000000-0005-0000-0000-0000A6BC0000}"/>
    <cellStyle name="Style 31 4 5 2 6" xfId="48290" xr:uid="{00000000-0005-0000-0000-0000A7BC0000}"/>
    <cellStyle name="Style 31 4 5 3" xfId="48291" xr:uid="{00000000-0005-0000-0000-0000A8BC0000}"/>
    <cellStyle name="Style 31 4 5 3 2" xfId="48292" xr:uid="{00000000-0005-0000-0000-0000A9BC0000}"/>
    <cellStyle name="Style 31 4 5 3 3" xfId="48293" xr:uid="{00000000-0005-0000-0000-0000AABC0000}"/>
    <cellStyle name="Style 31 4 5 4" xfId="48294" xr:uid="{00000000-0005-0000-0000-0000ABBC0000}"/>
    <cellStyle name="Style 31 4 5 4 2" xfId="48295" xr:uid="{00000000-0005-0000-0000-0000ACBC0000}"/>
    <cellStyle name="Style 31 4 5 4 3" xfId="48296" xr:uid="{00000000-0005-0000-0000-0000ADBC0000}"/>
    <cellStyle name="Style 31 4 5 5" xfId="48297" xr:uid="{00000000-0005-0000-0000-0000AEBC0000}"/>
    <cellStyle name="Style 31 4 5 5 2" xfId="48298" xr:uid="{00000000-0005-0000-0000-0000AFBC0000}"/>
    <cellStyle name="Style 31 4 5 5 3" xfId="48299" xr:uid="{00000000-0005-0000-0000-0000B0BC0000}"/>
    <cellStyle name="Style 31 4 5 6" xfId="48300" xr:uid="{00000000-0005-0000-0000-0000B1BC0000}"/>
    <cellStyle name="Style 31 4 5 7" xfId="48301" xr:uid="{00000000-0005-0000-0000-0000B2BC0000}"/>
    <cellStyle name="Style 31 4 5 8" xfId="48302" xr:uid="{00000000-0005-0000-0000-0000B3BC0000}"/>
    <cellStyle name="Style 31 4 6" xfId="48303" xr:uid="{00000000-0005-0000-0000-0000B4BC0000}"/>
    <cellStyle name="Style 31 4 6 2" xfId="48304" xr:uid="{00000000-0005-0000-0000-0000B5BC0000}"/>
    <cellStyle name="Style 31 4 6 2 2" xfId="48305" xr:uid="{00000000-0005-0000-0000-0000B6BC0000}"/>
    <cellStyle name="Style 31 4 6 2 3" xfId="48306" xr:uid="{00000000-0005-0000-0000-0000B7BC0000}"/>
    <cellStyle name="Style 31 4 6 3" xfId="48307" xr:uid="{00000000-0005-0000-0000-0000B8BC0000}"/>
    <cellStyle name="Style 31 4 6 3 2" xfId="48308" xr:uid="{00000000-0005-0000-0000-0000B9BC0000}"/>
    <cellStyle name="Style 31 4 6 3 3" xfId="48309" xr:uid="{00000000-0005-0000-0000-0000BABC0000}"/>
    <cellStyle name="Style 31 4 6 4" xfId="48310" xr:uid="{00000000-0005-0000-0000-0000BBBC0000}"/>
    <cellStyle name="Style 31 4 6 5" xfId="48311" xr:uid="{00000000-0005-0000-0000-0000BCBC0000}"/>
    <cellStyle name="Style 31 4 6 6" xfId="48312" xr:uid="{00000000-0005-0000-0000-0000BDBC0000}"/>
    <cellStyle name="Style 31 4 7" xfId="48313" xr:uid="{00000000-0005-0000-0000-0000BEBC0000}"/>
    <cellStyle name="Style 31 4 7 2" xfId="48314" xr:uid="{00000000-0005-0000-0000-0000BFBC0000}"/>
    <cellStyle name="Style 31 4 7 3" xfId="48315" xr:uid="{00000000-0005-0000-0000-0000C0BC0000}"/>
    <cellStyle name="Style 31 4 8" xfId="48316" xr:uid="{00000000-0005-0000-0000-0000C1BC0000}"/>
    <cellStyle name="Style 31 4 8 2" xfId="48317" xr:uid="{00000000-0005-0000-0000-0000C2BC0000}"/>
    <cellStyle name="Style 31 4 8 3" xfId="48318" xr:uid="{00000000-0005-0000-0000-0000C3BC0000}"/>
    <cellStyle name="Style 31 4 9" xfId="48319" xr:uid="{00000000-0005-0000-0000-0000C4BC0000}"/>
    <cellStyle name="Style 31 4 9 2" xfId="48320" xr:uid="{00000000-0005-0000-0000-0000C5BC0000}"/>
    <cellStyle name="Style 31 4 9 3" xfId="48321" xr:uid="{00000000-0005-0000-0000-0000C6BC0000}"/>
    <cellStyle name="Style 31 5" xfId="48322" xr:uid="{00000000-0005-0000-0000-0000C7BC0000}"/>
    <cellStyle name="Style 31 5 10" xfId="48323" xr:uid="{00000000-0005-0000-0000-0000C8BC0000}"/>
    <cellStyle name="Style 31 5 11" xfId="48324" xr:uid="{00000000-0005-0000-0000-0000C9BC0000}"/>
    <cellStyle name="Style 31 5 12" xfId="48325" xr:uid="{00000000-0005-0000-0000-0000CABC0000}"/>
    <cellStyle name="Style 31 5 2" xfId="48326" xr:uid="{00000000-0005-0000-0000-0000CBBC0000}"/>
    <cellStyle name="Style 31 5 2 10" xfId="48327" xr:uid="{00000000-0005-0000-0000-0000CCBC0000}"/>
    <cellStyle name="Style 31 5 2 2" xfId="48328" xr:uid="{00000000-0005-0000-0000-0000CDBC0000}"/>
    <cellStyle name="Style 31 5 2 2 2" xfId="48329" xr:uid="{00000000-0005-0000-0000-0000CEBC0000}"/>
    <cellStyle name="Style 31 5 2 2 2 2" xfId="48330" xr:uid="{00000000-0005-0000-0000-0000CFBC0000}"/>
    <cellStyle name="Style 31 5 2 2 2 2 2" xfId="48331" xr:uid="{00000000-0005-0000-0000-0000D0BC0000}"/>
    <cellStyle name="Style 31 5 2 2 2 2 3" xfId="48332" xr:uid="{00000000-0005-0000-0000-0000D1BC0000}"/>
    <cellStyle name="Style 31 5 2 2 2 3" xfId="48333" xr:uid="{00000000-0005-0000-0000-0000D2BC0000}"/>
    <cellStyle name="Style 31 5 2 2 2 3 2" xfId="48334" xr:uid="{00000000-0005-0000-0000-0000D3BC0000}"/>
    <cellStyle name="Style 31 5 2 2 2 3 3" xfId="48335" xr:uid="{00000000-0005-0000-0000-0000D4BC0000}"/>
    <cellStyle name="Style 31 5 2 2 2 4" xfId="48336" xr:uid="{00000000-0005-0000-0000-0000D5BC0000}"/>
    <cellStyle name="Style 31 5 2 2 2 5" xfId="48337" xr:uid="{00000000-0005-0000-0000-0000D6BC0000}"/>
    <cellStyle name="Style 31 5 2 2 2 6" xfId="48338" xr:uid="{00000000-0005-0000-0000-0000D7BC0000}"/>
    <cellStyle name="Style 31 5 2 2 3" xfId="48339" xr:uid="{00000000-0005-0000-0000-0000D8BC0000}"/>
    <cellStyle name="Style 31 5 2 2 3 2" xfId="48340" xr:uid="{00000000-0005-0000-0000-0000D9BC0000}"/>
    <cellStyle name="Style 31 5 2 2 3 3" xfId="48341" xr:uid="{00000000-0005-0000-0000-0000DABC0000}"/>
    <cellStyle name="Style 31 5 2 2 4" xfId="48342" xr:uid="{00000000-0005-0000-0000-0000DBBC0000}"/>
    <cellStyle name="Style 31 5 2 2 4 2" xfId="48343" xr:uid="{00000000-0005-0000-0000-0000DCBC0000}"/>
    <cellStyle name="Style 31 5 2 2 4 3" xfId="48344" xr:uid="{00000000-0005-0000-0000-0000DDBC0000}"/>
    <cellStyle name="Style 31 5 2 2 5" xfId="48345" xr:uid="{00000000-0005-0000-0000-0000DEBC0000}"/>
    <cellStyle name="Style 31 5 2 2 5 2" xfId="48346" xr:uid="{00000000-0005-0000-0000-0000DFBC0000}"/>
    <cellStyle name="Style 31 5 2 2 5 3" xfId="48347" xr:uid="{00000000-0005-0000-0000-0000E0BC0000}"/>
    <cellStyle name="Style 31 5 2 2 6" xfId="48348" xr:uid="{00000000-0005-0000-0000-0000E1BC0000}"/>
    <cellStyle name="Style 31 5 2 2 7" xfId="48349" xr:uid="{00000000-0005-0000-0000-0000E2BC0000}"/>
    <cellStyle name="Style 31 5 2 2 8" xfId="48350" xr:uid="{00000000-0005-0000-0000-0000E3BC0000}"/>
    <cellStyle name="Style 31 5 2 3" xfId="48351" xr:uid="{00000000-0005-0000-0000-0000E4BC0000}"/>
    <cellStyle name="Style 31 5 2 3 2" xfId="48352" xr:uid="{00000000-0005-0000-0000-0000E5BC0000}"/>
    <cellStyle name="Style 31 5 2 3 2 2" xfId="48353" xr:uid="{00000000-0005-0000-0000-0000E6BC0000}"/>
    <cellStyle name="Style 31 5 2 3 2 2 2" xfId="48354" xr:uid="{00000000-0005-0000-0000-0000E7BC0000}"/>
    <cellStyle name="Style 31 5 2 3 2 2 3" xfId="48355" xr:uid="{00000000-0005-0000-0000-0000E8BC0000}"/>
    <cellStyle name="Style 31 5 2 3 2 3" xfId="48356" xr:uid="{00000000-0005-0000-0000-0000E9BC0000}"/>
    <cellStyle name="Style 31 5 2 3 2 3 2" xfId="48357" xr:uid="{00000000-0005-0000-0000-0000EABC0000}"/>
    <cellStyle name="Style 31 5 2 3 2 3 3" xfId="48358" xr:uid="{00000000-0005-0000-0000-0000EBBC0000}"/>
    <cellStyle name="Style 31 5 2 3 2 4" xfId="48359" xr:uid="{00000000-0005-0000-0000-0000ECBC0000}"/>
    <cellStyle name="Style 31 5 2 3 2 5" xfId="48360" xr:uid="{00000000-0005-0000-0000-0000EDBC0000}"/>
    <cellStyle name="Style 31 5 2 3 2 6" xfId="48361" xr:uid="{00000000-0005-0000-0000-0000EEBC0000}"/>
    <cellStyle name="Style 31 5 2 3 3" xfId="48362" xr:uid="{00000000-0005-0000-0000-0000EFBC0000}"/>
    <cellStyle name="Style 31 5 2 3 3 2" xfId="48363" xr:uid="{00000000-0005-0000-0000-0000F0BC0000}"/>
    <cellStyle name="Style 31 5 2 3 3 3" xfId="48364" xr:uid="{00000000-0005-0000-0000-0000F1BC0000}"/>
    <cellStyle name="Style 31 5 2 3 4" xfId="48365" xr:uid="{00000000-0005-0000-0000-0000F2BC0000}"/>
    <cellStyle name="Style 31 5 2 3 4 2" xfId="48366" xr:uid="{00000000-0005-0000-0000-0000F3BC0000}"/>
    <cellStyle name="Style 31 5 2 3 4 3" xfId="48367" xr:uid="{00000000-0005-0000-0000-0000F4BC0000}"/>
    <cellStyle name="Style 31 5 2 3 5" xfId="48368" xr:uid="{00000000-0005-0000-0000-0000F5BC0000}"/>
    <cellStyle name="Style 31 5 2 3 5 2" xfId="48369" xr:uid="{00000000-0005-0000-0000-0000F6BC0000}"/>
    <cellStyle name="Style 31 5 2 3 5 3" xfId="48370" xr:uid="{00000000-0005-0000-0000-0000F7BC0000}"/>
    <cellStyle name="Style 31 5 2 3 6" xfId="48371" xr:uid="{00000000-0005-0000-0000-0000F8BC0000}"/>
    <cellStyle name="Style 31 5 2 3 7" xfId="48372" xr:uid="{00000000-0005-0000-0000-0000F9BC0000}"/>
    <cellStyle name="Style 31 5 2 3 8" xfId="48373" xr:uid="{00000000-0005-0000-0000-0000FABC0000}"/>
    <cellStyle name="Style 31 5 2 4" xfId="48374" xr:uid="{00000000-0005-0000-0000-0000FBBC0000}"/>
    <cellStyle name="Style 31 5 2 4 2" xfId="48375" xr:uid="{00000000-0005-0000-0000-0000FCBC0000}"/>
    <cellStyle name="Style 31 5 2 4 2 2" xfId="48376" xr:uid="{00000000-0005-0000-0000-0000FDBC0000}"/>
    <cellStyle name="Style 31 5 2 4 2 3" xfId="48377" xr:uid="{00000000-0005-0000-0000-0000FEBC0000}"/>
    <cellStyle name="Style 31 5 2 4 3" xfId="48378" xr:uid="{00000000-0005-0000-0000-0000FFBC0000}"/>
    <cellStyle name="Style 31 5 2 4 3 2" xfId="48379" xr:uid="{00000000-0005-0000-0000-000000BD0000}"/>
    <cellStyle name="Style 31 5 2 4 3 3" xfId="48380" xr:uid="{00000000-0005-0000-0000-000001BD0000}"/>
    <cellStyle name="Style 31 5 2 4 4" xfId="48381" xr:uid="{00000000-0005-0000-0000-000002BD0000}"/>
    <cellStyle name="Style 31 5 2 4 5" xfId="48382" xr:uid="{00000000-0005-0000-0000-000003BD0000}"/>
    <cellStyle name="Style 31 5 2 4 6" xfId="48383" xr:uid="{00000000-0005-0000-0000-000004BD0000}"/>
    <cellStyle name="Style 31 5 2 5" xfId="48384" xr:uid="{00000000-0005-0000-0000-000005BD0000}"/>
    <cellStyle name="Style 31 5 2 5 2" xfId="48385" xr:uid="{00000000-0005-0000-0000-000006BD0000}"/>
    <cellStyle name="Style 31 5 2 5 3" xfId="48386" xr:uid="{00000000-0005-0000-0000-000007BD0000}"/>
    <cellStyle name="Style 31 5 2 6" xfId="48387" xr:uid="{00000000-0005-0000-0000-000008BD0000}"/>
    <cellStyle name="Style 31 5 2 6 2" xfId="48388" xr:uid="{00000000-0005-0000-0000-000009BD0000}"/>
    <cellStyle name="Style 31 5 2 6 3" xfId="48389" xr:uid="{00000000-0005-0000-0000-00000ABD0000}"/>
    <cellStyle name="Style 31 5 2 7" xfId="48390" xr:uid="{00000000-0005-0000-0000-00000BBD0000}"/>
    <cellStyle name="Style 31 5 2 7 2" xfId="48391" xr:uid="{00000000-0005-0000-0000-00000CBD0000}"/>
    <cellStyle name="Style 31 5 2 7 3" xfId="48392" xr:uid="{00000000-0005-0000-0000-00000DBD0000}"/>
    <cellStyle name="Style 31 5 2 8" xfId="48393" xr:uid="{00000000-0005-0000-0000-00000EBD0000}"/>
    <cellStyle name="Style 31 5 2 9" xfId="48394" xr:uid="{00000000-0005-0000-0000-00000FBD0000}"/>
    <cellStyle name="Style 31 5 3" xfId="48395" xr:uid="{00000000-0005-0000-0000-000010BD0000}"/>
    <cellStyle name="Style 31 5 3 2" xfId="48396" xr:uid="{00000000-0005-0000-0000-000011BD0000}"/>
    <cellStyle name="Style 31 5 3 2 2" xfId="48397" xr:uid="{00000000-0005-0000-0000-000012BD0000}"/>
    <cellStyle name="Style 31 5 3 2 2 2" xfId="48398" xr:uid="{00000000-0005-0000-0000-000013BD0000}"/>
    <cellStyle name="Style 31 5 3 2 2 3" xfId="48399" xr:uid="{00000000-0005-0000-0000-000014BD0000}"/>
    <cellStyle name="Style 31 5 3 2 3" xfId="48400" xr:uid="{00000000-0005-0000-0000-000015BD0000}"/>
    <cellStyle name="Style 31 5 3 2 3 2" xfId="48401" xr:uid="{00000000-0005-0000-0000-000016BD0000}"/>
    <cellStyle name="Style 31 5 3 2 3 3" xfId="48402" xr:uid="{00000000-0005-0000-0000-000017BD0000}"/>
    <cellStyle name="Style 31 5 3 2 4" xfId="48403" xr:uid="{00000000-0005-0000-0000-000018BD0000}"/>
    <cellStyle name="Style 31 5 3 2 5" xfId="48404" xr:uid="{00000000-0005-0000-0000-000019BD0000}"/>
    <cellStyle name="Style 31 5 3 2 6" xfId="48405" xr:uid="{00000000-0005-0000-0000-00001ABD0000}"/>
    <cellStyle name="Style 31 5 3 3" xfId="48406" xr:uid="{00000000-0005-0000-0000-00001BBD0000}"/>
    <cellStyle name="Style 31 5 3 3 2" xfId="48407" xr:uid="{00000000-0005-0000-0000-00001CBD0000}"/>
    <cellStyle name="Style 31 5 3 3 3" xfId="48408" xr:uid="{00000000-0005-0000-0000-00001DBD0000}"/>
    <cellStyle name="Style 31 5 3 4" xfId="48409" xr:uid="{00000000-0005-0000-0000-00001EBD0000}"/>
    <cellStyle name="Style 31 5 3 4 2" xfId="48410" xr:uid="{00000000-0005-0000-0000-00001FBD0000}"/>
    <cellStyle name="Style 31 5 3 4 3" xfId="48411" xr:uid="{00000000-0005-0000-0000-000020BD0000}"/>
    <cellStyle name="Style 31 5 3 5" xfId="48412" xr:uid="{00000000-0005-0000-0000-000021BD0000}"/>
    <cellStyle name="Style 31 5 3 5 2" xfId="48413" xr:uid="{00000000-0005-0000-0000-000022BD0000}"/>
    <cellStyle name="Style 31 5 3 5 3" xfId="48414" xr:uid="{00000000-0005-0000-0000-000023BD0000}"/>
    <cellStyle name="Style 31 5 3 6" xfId="48415" xr:uid="{00000000-0005-0000-0000-000024BD0000}"/>
    <cellStyle name="Style 31 5 3 7" xfId="48416" xr:uid="{00000000-0005-0000-0000-000025BD0000}"/>
    <cellStyle name="Style 31 5 3 8" xfId="48417" xr:uid="{00000000-0005-0000-0000-000026BD0000}"/>
    <cellStyle name="Style 31 5 4" xfId="48418" xr:uid="{00000000-0005-0000-0000-000027BD0000}"/>
    <cellStyle name="Style 31 5 4 2" xfId="48419" xr:uid="{00000000-0005-0000-0000-000028BD0000}"/>
    <cellStyle name="Style 31 5 4 2 2" xfId="48420" xr:uid="{00000000-0005-0000-0000-000029BD0000}"/>
    <cellStyle name="Style 31 5 4 2 2 2" xfId="48421" xr:uid="{00000000-0005-0000-0000-00002ABD0000}"/>
    <cellStyle name="Style 31 5 4 2 2 3" xfId="48422" xr:uid="{00000000-0005-0000-0000-00002BBD0000}"/>
    <cellStyle name="Style 31 5 4 2 3" xfId="48423" xr:uid="{00000000-0005-0000-0000-00002CBD0000}"/>
    <cellStyle name="Style 31 5 4 2 3 2" xfId="48424" xr:uid="{00000000-0005-0000-0000-00002DBD0000}"/>
    <cellStyle name="Style 31 5 4 2 3 3" xfId="48425" xr:uid="{00000000-0005-0000-0000-00002EBD0000}"/>
    <cellStyle name="Style 31 5 4 2 4" xfId="48426" xr:uid="{00000000-0005-0000-0000-00002FBD0000}"/>
    <cellStyle name="Style 31 5 4 2 5" xfId="48427" xr:uid="{00000000-0005-0000-0000-000030BD0000}"/>
    <cellStyle name="Style 31 5 4 2 6" xfId="48428" xr:uid="{00000000-0005-0000-0000-000031BD0000}"/>
    <cellStyle name="Style 31 5 4 3" xfId="48429" xr:uid="{00000000-0005-0000-0000-000032BD0000}"/>
    <cellStyle name="Style 31 5 4 3 2" xfId="48430" xr:uid="{00000000-0005-0000-0000-000033BD0000}"/>
    <cellStyle name="Style 31 5 4 3 3" xfId="48431" xr:uid="{00000000-0005-0000-0000-000034BD0000}"/>
    <cellStyle name="Style 31 5 4 4" xfId="48432" xr:uid="{00000000-0005-0000-0000-000035BD0000}"/>
    <cellStyle name="Style 31 5 4 4 2" xfId="48433" xr:uid="{00000000-0005-0000-0000-000036BD0000}"/>
    <cellStyle name="Style 31 5 4 4 3" xfId="48434" xr:uid="{00000000-0005-0000-0000-000037BD0000}"/>
    <cellStyle name="Style 31 5 4 5" xfId="48435" xr:uid="{00000000-0005-0000-0000-000038BD0000}"/>
    <cellStyle name="Style 31 5 4 5 2" xfId="48436" xr:uid="{00000000-0005-0000-0000-000039BD0000}"/>
    <cellStyle name="Style 31 5 4 5 3" xfId="48437" xr:uid="{00000000-0005-0000-0000-00003ABD0000}"/>
    <cellStyle name="Style 31 5 4 6" xfId="48438" xr:uid="{00000000-0005-0000-0000-00003BBD0000}"/>
    <cellStyle name="Style 31 5 4 7" xfId="48439" xr:uid="{00000000-0005-0000-0000-00003CBD0000}"/>
    <cellStyle name="Style 31 5 4 8" xfId="48440" xr:uid="{00000000-0005-0000-0000-00003DBD0000}"/>
    <cellStyle name="Style 31 5 5" xfId="48441" xr:uid="{00000000-0005-0000-0000-00003EBD0000}"/>
    <cellStyle name="Style 31 5 5 2" xfId="48442" xr:uid="{00000000-0005-0000-0000-00003FBD0000}"/>
    <cellStyle name="Style 31 5 5 2 2" xfId="48443" xr:uid="{00000000-0005-0000-0000-000040BD0000}"/>
    <cellStyle name="Style 31 5 5 2 2 2" xfId="48444" xr:uid="{00000000-0005-0000-0000-000041BD0000}"/>
    <cellStyle name="Style 31 5 5 2 2 3" xfId="48445" xr:uid="{00000000-0005-0000-0000-000042BD0000}"/>
    <cellStyle name="Style 31 5 5 2 3" xfId="48446" xr:uid="{00000000-0005-0000-0000-000043BD0000}"/>
    <cellStyle name="Style 31 5 5 2 3 2" xfId="48447" xr:uid="{00000000-0005-0000-0000-000044BD0000}"/>
    <cellStyle name="Style 31 5 5 2 3 3" xfId="48448" xr:uid="{00000000-0005-0000-0000-000045BD0000}"/>
    <cellStyle name="Style 31 5 5 2 4" xfId="48449" xr:uid="{00000000-0005-0000-0000-000046BD0000}"/>
    <cellStyle name="Style 31 5 5 2 5" xfId="48450" xr:uid="{00000000-0005-0000-0000-000047BD0000}"/>
    <cellStyle name="Style 31 5 5 2 6" xfId="48451" xr:uid="{00000000-0005-0000-0000-000048BD0000}"/>
    <cellStyle name="Style 31 5 5 3" xfId="48452" xr:uid="{00000000-0005-0000-0000-000049BD0000}"/>
    <cellStyle name="Style 31 5 5 3 2" xfId="48453" xr:uid="{00000000-0005-0000-0000-00004ABD0000}"/>
    <cellStyle name="Style 31 5 5 3 3" xfId="48454" xr:uid="{00000000-0005-0000-0000-00004BBD0000}"/>
    <cellStyle name="Style 31 5 5 4" xfId="48455" xr:uid="{00000000-0005-0000-0000-00004CBD0000}"/>
    <cellStyle name="Style 31 5 5 4 2" xfId="48456" xr:uid="{00000000-0005-0000-0000-00004DBD0000}"/>
    <cellStyle name="Style 31 5 5 4 3" xfId="48457" xr:uid="{00000000-0005-0000-0000-00004EBD0000}"/>
    <cellStyle name="Style 31 5 5 5" xfId="48458" xr:uid="{00000000-0005-0000-0000-00004FBD0000}"/>
    <cellStyle name="Style 31 5 5 5 2" xfId="48459" xr:uid="{00000000-0005-0000-0000-000050BD0000}"/>
    <cellStyle name="Style 31 5 5 5 3" xfId="48460" xr:uid="{00000000-0005-0000-0000-000051BD0000}"/>
    <cellStyle name="Style 31 5 5 6" xfId="48461" xr:uid="{00000000-0005-0000-0000-000052BD0000}"/>
    <cellStyle name="Style 31 5 5 7" xfId="48462" xr:uid="{00000000-0005-0000-0000-000053BD0000}"/>
    <cellStyle name="Style 31 5 5 8" xfId="48463" xr:uid="{00000000-0005-0000-0000-000054BD0000}"/>
    <cellStyle name="Style 31 5 6" xfId="48464" xr:uid="{00000000-0005-0000-0000-000055BD0000}"/>
    <cellStyle name="Style 31 5 6 2" xfId="48465" xr:uid="{00000000-0005-0000-0000-000056BD0000}"/>
    <cellStyle name="Style 31 5 6 2 2" xfId="48466" xr:uid="{00000000-0005-0000-0000-000057BD0000}"/>
    <cellStyle name="Style 31 5 6 2 3" xfId="48467" xr:uid="{00000000-0005-0000-0000-000058BD0000}"/>
    <cellStyle name="Style 31 5 6 3" xfId="48468" xr:uid="{00000000-0005-0000-0000-000059BD0000}"/>
    <cellStyle name="Style 31 5 6 3 2" xfId="48469" xr:uid="{00000000-0005-0000-0000-00005ABD0000}"/>
    <cellStyle name="Style 31 5 6 3 3" xfId="48470" xr:uid="{00000000-0005-0000-0000-00005BBD0000}"/>
    <cellStyle name="Style 31 5 6 4" xfId="48471" xr:uid="{00000000-0005-0000-0000-00005CBD0000}"/>
    <cellStyle name="Style 31 5 6 5" xfId="48472" xr:uid="{00000000-0005-0000-0000-00005DBD0000}"/>
    <cellStyle name="Style 31 5 6 6" xfId="48473" xr:uid="{00000000-0005-0000-0000-00005EBD0000}"/>
    <cellStyle name="Style 31 5 7" xfId="48474" xr:uid="{00000000-0005-0000-0000-00005FBD0000}"/>
    <cellStyle name="Style 31 5 7 2" xfId="48475" xr:uid="{00000000-0005-0000-0000-000060BD0000}"/>
    <cellStyle name="Style 31 5 7 3" xfId="48476" xr:uid="{00000000-0005-0000-0000-000061BD0000}"/>
    <cellStyle name="Style 31 5 8" xfId="48477" xr:uid="{00000000-0005-0000-0000-000062BD0000}"/>
    <cellStyle name="Style 31 5 8 2" xfId="48478" xr:uid="{00000000-0005-0000-0000-000063BD0000}"/>
    <cellStyle name="Style 31 5 8 3" xfId="48479" xr:uid="{00000000-0005-0000-0000-000064BD0000}"/>
    <cellStyle name="Style 31 5 9" xfId="48480" xr:uid="{00000000-0005-0000-0000-000065BD0000}"/>
    <cellStyle name="Style 31 5 9 2" xfId="48481" xr:uid="{00000000-0005-0000-0000-000066BD0000}"/>
    <cellStyle name="Style 31 5 9 3" xfId="48482" xr:uid="{00000000-0005-0000-0000-000067BD0000}"/>
    <cellStyle name="Style 31 6" xfId="48483" xr:uid="{00000000-0005-0000-0000-000068BD0000}"/>
    <cellStyle name="Style 31 6 10" xfId="48484" xr:uid="{00000000-0005-0000-0000-000069BD0000}"/>
    <cellStyle name="Style 31 6 11" xfId="48485" xr:uid="{00000000-0005-0000-0000-00006ABD0000}"/>
    <cellStyle name="Style 31 6 12" xfId="48486" xr:uid="{00000000-0005-0000-0000-00006BBD0000}"/>
    <cellStyle name="Style 31 6 2" xfId="48487" xr:uid="{00000000-0005-0000-0000-00006CBD0000}"/>
    <cellStyle name="Style 31 6 2 10" xfId="48488" xr:uid="{00000000-0005-0000-0000-00006DBD0000}"/>
    <cellStyle name="Style 31 6 2 2" xfId="48489" xr:uid="{00000000-0005-0000-0000-00006EBD0000}"/>
    <cellStyle name="Style 31 6 2 2 2" xfId="48490" xr:uid="{00000000-0005-0000-0000-00006FBD0000}"/>
    <cellStyle name="Style 31 6 2 2 2 2" xfId="48491" xr:uid="{00000000-0005-0000-0000-000070BD0000}"/>
    <cellStyle name="Style 31 6 2 2 2 2 2" xfId="48492" xr:uid="{00000000-0005-0000-0000-000071BD0000}"/>
    <cellStyle name="Style 31 6 2 2 2 2 3" xfId="48493" xr:uid="{00000000-0005-0000-0000-000072BD0000}"/>
    <cellStyle name="Style 31 6 2 2 2 3" xfId="48494" xr:uid="{00000000-0005-0000-0000-000073BD0000}"/>
    <cellStyle name="Style 31 6 2 2 2 3 2" xfId="48495" xr:uid="{00000000-0005-0000-0000-000074BD0000}"/>
    <cellStyle name="Style 31 6 2 2 2 3 3" xfId="48496" xr:uid="{00000000-0005-0000-0000-000075BD0000}"/>
    <cellStyle name="Style 31 6 2 2 2 4" xfId="48497" xr:uid="{00000000-0005-0000-0000-000076BD0000}"/>
    <cellStyle name="Style 31 6 2 2 2 5" xfId="48498" xr:uid="{00000000-0005-0000-0000-000077BD0000}"/>
    <cellStyle name="Style 31 6 2 2 2 6" xfId="48499" xr:uid="{00000000-0005-0000-0000-000078BD0000}"/>
    <cellStyle name="Style 31 6 2 2 3" xfId="48500" xr:uid="{00000000-0005-0000-0000-000079BD0000}"/>
    <cellStyle name="Style 31 6 2 2 3 2" xfId="48501" xr:uid="{00000000-0005-0000-0000-00007ABD0000}"/>
    <cellStyle name="Style 31 6 2 2 3 3" xfId="48502" xr:uid="{00000000-0005-0000-0000-00007BBD0000}"/>
    <cellStyle name="Style 31 6 2 2 4" xfId="48503" xr:uid="{00000000-0005-0000-0000-00007CBD0000}"/>
    <cellStyle name="Style 31 6 2 2 4 2" xfId="48504" xr:uid="{00000000-0005-0000-0000-00007DBD0000}"/>
    <cellStyle name="Style 31 6 2 2 4 3" xfId="48505" xr:uid="{00000000-0005-0000-0000-00007EBD0000}"/>
    <cellStyle name="Style 31 6 2 2 5" xfId="48506" xr:uid="{00000000-0005-0000-0000-00007FBD0000}"/>
    <cellStyle name="Style 31 6 2 2 5 2" xfId="48507" xr:uid="{00000000-0005-0000-0000-000080BD0000}"/>
    <cellStyle name="Style 31 6 2 2 5 3" xfId="48508" xr:uid="{00000000-0005-0000-0000-000081BD0000}"/>
    <cellStyle name="Style 31 6 2 2 6" xfId="48509" xr:uid="{00000000-0005-0000-0000-000082BD0000}"/>
    <cellStyle name="Style 31 6 2 2 7" xfId="48510" xr:uid="{00000000-0005-0000-0000-000083BD0000}"/>
    <cellStyle name="Style 31 6 2 2 8" xfId="48511" xr:uid="{00000000-0005-0000-0000-000084BD0000}"/>
    <cellStyle name="Style 31 6 2 3" xfId="48512" xr:uid="{00000000-0005-0000-0000-000085BD0000}"/>
    <cellStyle name="Style 31 6 2 3 2" xfId="48513" xr:uid="{00000000-0005-0000-0000-000086BD0000}"/>
    <cellStyle name="Style 31 6 2 3 2 2" xfId="48514" xr:uid="{00000000-0005-0000-0000-000087BD0000}"/>
    <cellStyle name="Style 31 6 2 3 2 2 2" xfId="48515" xr:uid="{00000000-0005-0000-0000-000088BD0000}"/>
    <cellStyle name="Style 31 6 2 3 2 2 3" xfId="48516" xr:uid="{00000000-0005-0000-0000-000089BD0000}"/>
    <cellStyle name="Style 31 6 2 3 2 3" xfId="48517" xr:uid="{00000000-0005-0000-0000-00008ABD0000}"/>
    <cellStyle name="Style 31 6 2 3 2 3 2" xfId="48518" xr:uid="{00000000-0005-0000-0000-00008BBD0000}"/>
    <cellStyle name="Style 31 6 2 3 2 3 3" xfId="48519" xr:uid="{00000000-0005-0000-0000-00008CBD0000}"/>
    <cellStyle name="Style 31 6 2 3 2 4" xfId="48520" xr:uid="{00000000-0005-0000-0000-00008DBD0000}"/>
    <cellStyle name="Style 31 6 2 3 2 5" xfId="48521" xr:uid="{00000000-0005-0000-0000-00008EBD0000}"/>
    <cellStyle name="Style 31 6 2 3 2 6" xfId="48522" xr:uid="{00000000-0005-0000-0000-00008FBD0000}"/>
    <cellStyle name="Style 31 6 2 3 3" xfId="48523" xr:uid="{00000000-0005-0000-0000-000090BD0000}"/>
    <cellStyle name="Style 31 6 2 3 3 2" xfId="48524" xr:uid="{00000000-0005-0000-0000-000091BD0000}"/>
    <cellStyle name="Style 31 6 2 3 3 3" xfId="48525" xr:uid="{00000000-0005-0000-0000-000092BD0000}"/>
    <cellStyle name="Style 31 6 2 3 4" xfId="48526" xr:uid="{00000000-0005-0000-0000-000093BD0000}"/>
    <cellStyle name="Style 31 6 2 3 4 2" xfId="48527" xr:uid="{00000000-0005-0000-0000-000094BD0000}"/>
    <cellStyle name="Style 31 6 2 3 4 3" xfId="48528" xr:uid="{00000000-0005-0000-0000-000095BD0000}"/>
    <cellStyle name="Style 31 6 2 3 5" xfId="48529" xr:uid="{00000000-0005-0000-0000-000096BD0000}"/>
    <cellStyle name="Style 31 6 2 3 5 2" xfId="48530" xr:uid="{00000000-0005-0000-0000-000097BD0000}"/>
    <cellStyle name="Style 31 6 2 3 5 3" xfId="48531" xr:uid="{00000000-0005-0000-0000-000098BD0000}"/>
    <cellStyle name="Style 31 6 2 3 6" xfId="48532" xr:uid="{00000000-0005-0000-0000-000099BD0000}"/>
    <cellStyle name="Style 31 6 2 3 7" xfId="48533" xr:uid="{00000000-0005-0000-0000-00009ABD0000}"/>
    <cellStyle name="Style 31 6 2 3 8" xfId="48534" xr:uid="{00000000-0005-0000-0000-00009BBD0000}"/>
    <cellStyle name="Style 31 6 2 4" xfId="48535" xr:uid="{00000000-0005-0000-0000-00009CBD0000}"/>
    <cellStyle name="Style 31 6 2 4 2" xfId="48536" xr:uid="{00000000-0005-0000-0000-00009DBD0000}"/>
    <cellStyle name="Style 31 6 2 4 2 2" xfId="48537" xr:uid="{00000000-0005-0000-0000-00009EBD0000}"/>
    <cellStyle name="Style 31 6 2 4 2 3" xfId="48538" xr:uid="{00000000-0005-0000-0000-00009FBD0000}"/>
    <cellStyle name="Style 31 6 2 4 3" xfId="48539" xr:uid="{00000000-0005-0000-0000-0000A0BD0000}"/>
    <cellStyle name="Style 31 6 2 4 3 2" xfId="48540" xr:uid="{00000000-0005-0000-0000-0000A1BD0000}"/>
    <cellStyle name="Style 31 6 2 4 3 3" xfId="48541" xr:uid="{00000000-0005-0000-0000-0000A2BD0000}"/>
    <cellStyle name="Style 31 6 2 4 4" xfId="48542" xr:uid="{00000000-0005-0000-0000-0000A3BD0000}"/>
    <cellStyle name="Style 31 6 2 4 5" xfId="48543" xr:uid="{00000000-0005-0000-0000-0000A4BD0000}"/>
    <cellStyle name="Style 31 6 2 4 6" xfId="48544" xr:uid="{00000000-0005-0000-0000-0000A5BD0000}"/>
    <cellStyle name="Style 31 6 2 5" xfId="48545" xr:uid="{00000000-0005-0000-0000-0000A6BD0000}"/>
    <cellStyle name="Style 31 6 2 5 2" xfId="48546" xr:uid="{00000000-0005-0000-0000-0000A7BD0000}"/>
    <cellStyle name="Style 31 6 2 5 3" xfId="48547" xr:uid="{00000000-0005-0000-0000-0000A8BD0000}"/>
    <cellStyle name="Style 31 6 2 6" xfId="48548" xr:uid="{00000000-0005-0000-0000-0000A9BD0000}"/>
    <cellStyle name="Style 31 6 2 6 2" xfId="48549" xr:uid="{00000000-0005-0000-0000-0000AABD0000}"/>
    <cellStyle name="Style 31 6 2 6 3" xfId="48550" xr:uid="{00000000-0005-0000-0000-0000ABBD0000}"/>
    <cellStyle name="Style 31 6 2 7" xfId="48551" xr:uid="{00000000-0005-0000-0000-0000ACBD0000}"/>
    <cellStyle name="Style 31 6 2 7 2" xfId="48552" xr:uid="{00000000-0005-0000-0000-0000ADBD0000}"/>
    <cellStyle name="Style 31 6 2 7 3" xfId="48553" xr:uid="{00000000-0005-0000-0000-0000AEBD0000}"/>
    <cellStyle name="Style 31 6 2 8" xfId="48554" xr:uid="{00000000-0005-0000-0000-0000AFBD0000}"/>
    <cellStyle name="Style 31 6 2 9" xfId="48555" xr:uid="{00000000-0005-0000-0000-0000B0BD0000}"/>
    <cellStyle name="Style 31 6 3" xfId="48556" xr:uid="{00000000-0005-0000-0000-0000B1BD0000}"/>
    <cellStyle name="Style 31 6 3 2" xfId="48557" xr:uid="{00000000-0005-0000-0000-0000B2BD0000}"/>
    <cellStyle name="Style 31 6 3 2 2" xfId="48558" xr:uid="{00000000-0005-0000-0000-0000B3BD0000}"/>
    <cellStyle name="Style 31 6 3 2 2 2" xfId="48559" xr:uid="{00000000-0005-0000-0000-0000B4BD0000}"/>
    <cellStyle name="Style 31 6 3 2 2 3" xfId="48560" xr:uid="{00000000-0005-0000-0000-0000B5BD0000}"/>
    <cellStyle name="Style 31 6 3 2 3" xfId="48561" xr:uid="{00000000-0005-0000-0000-0000B6BD0000}"/>
    <cellStyle name="Style 31 6 3 2 3 2" xfId="48562" xr:uid="{00000000-0005-0000-0000-0000B7BD0000}"/>
    <cellStyle name="Style 31 6 3 2 3 3" xfId="48563" xr:uid="{00000000-0005-0000-0000-0000B8BD0000}"/>
    <cellStyle name="Style 31 6 3 2 4" xfId="48564" xr:uid="{00000000-0005-0000-0000-0000B9BD0000}"/>
    <cellStyle name="Style 31 6 3 2 5" xfId="48565" xr:uid="{00000000-0005-0000-0000-0000BABD0000}"/>
    <cellStyle name="Style 31 6 3 2 6" xfId="48566" xr:uid="{00000000-0005-0000-0000-0000BBBD0000}"/>
    <cellStyle name="Style 31 6 3 3" xfId="48567" xr:uid="{00000000-0005-0000-0000-0000BCBD0000}"/>
    <cellStyle name="Style 31 6 3 3 2" xfId="48568" xr:uid="{00000000-0005-0000-0000-0000BDBD0000}"/>
    <cellStyle name="Style 31 6 3 3 3" xfId="48569" xr:uid="{00000000-0005-0000-0000-0000BEBD0000}"/>
    <cellStyle name="Style 31 6 3 4" xfId="48570" xr:uid="{00000000-0005-0000-0000-0000BFBD0000}"/>
    <cellStyle name="Style 31 6 3 4 2" xfId="48571" xr:uid="{00000000-0005-0000-0000-0000C0BD0000}"/>
    <cellStyle name="Style 31 6 3 4 3" xfId="48572" xr:uid="{00000000-0005-0000-0000-0000C1BD0000}"/>
    <cellStyle name="Style 31 6 3 5" xfId="48573" xr:uid="{00000000-0005-0000-0000-0000C2BD0000}"/>
    <cellStyle name="Style 31 6 3 5 2" xfId="48574" xr:uid="{00000000-0005-0000-0000-0000C3BD0000}"/>
    <cellStyle name="Style 31 6 3 5 3" xfId="48575" xr:uid="{00000000-0005-0000-0000-0000C4BD0000}"/>
    <cellStyle name="Style 31 6 3 6" xfId="48576" xr:uid="{00000000-0005-0000-0000-0000C5BD0000}"/>
    <cellStyle name="Style 31 6 3 7" xfId="48577" xr:uid="{00000000-0005-0000-0000-0000C6BD0000}"/>
    <cellStyle name="Style 31 6 3 8" xfId="48578" xr:uid="{00000000-0005-0000-0000-0000C7BD0000}"/>
    <cellStyle name="Style 31 6 4" xfId="48579" xr:uid="{00000000-0005-0000-0000-0000C8BD0000}"/>
    <cellStyle name="Style 31 6 4 2" xfId="48580" xr:uid="{00000000-0005-0000-0000-0000C9BD0000}"/>
    <cellStyle name="Style 31 6 4 2 2" xfId="48581" xr:uid="{00000000-0005-0000-0000-0000CABD0000}"/>
    <cellStyle name="Style 31 6 4 2 2 2" xfId="48582" xr:uid="{00000000-0005-0000-0000-0000CBBD0000}"/>
    <cellStyle name="Style 31 6 4 2 2 3" xfId="48583" xr:uid="{00000000-0005-0000-0000-0000CCBD0000}"/>
    <cellStyle name="Style 31 6 4 2 3" xfId="48584" xr:uid="{00000000-0005-0000-0000-0000CDBD0000}"/>
    <cellStyle name="Style 31 6 4 2 3 2" xfId="48585" xr:uid="{00000000-0005-0000-0000-0000CEBD0000}"/>
    <cellStyle name="Style 31 6 4 2 3 3" xfId="48586" xr:uid="{00000000-0005-0000-0000-0000CFBD0000}"/>
    <cellStyle name="Style 31 6 4 2 4" xfId="48587" xr:uid="{00000000-0005-0000-0000-0000D0BD0000}"/>
    <cellStyle name="Style 31 6 4 2 5" xfId="48588" xr:uid="{00000000-0005-0000-0000-0000D1BD0000}"/>
    <cellStyle name="Style 31 6 4 2 6" xfId="48589" xr:uid="{00000000-0005-0000-0000-0000D2BD0000}"/>
    <cellStyle name="Style 31 6 4 3" xfId="48590" xr:uid="{00000000-0005-0000-0000-0000D3BD0000}"/>
    <cellStyle name="Style 31 6 4 3 2" xfId="48591" xr:uid="{00000000-0005-0000-0000-0000D4BD0000}"/>
    <cellStyle name="Style 31 6 4 3 3" xfId="48592" xr:uid="{00000000-0005-0000-0000-0000D5BD0000}"/>
    <cellStyle name="Style 31 6 4 4" xfId="48593" xr:uid="{00000000-0005-0000-0000-0000D6BD0000}"/>
    <cellStyle name="Style 31 6 4 4 2" xfId="48594" xr:uid="{00000000-0005-0000-0000-0000D7BD0000}"/>
    <cellStyle name="Style 31 6 4 4 3" xfId="48595" xr:uid="{00000000-0005-0000-0000-0000D8BD0000}"/>
    <cellStyle name="Style 31 6 4 5" xfId="48596" xr:uid="{00000000-0005-0000-0000-0000D9BD0000}"/>
    <cellStyle name="Style 31 6 4 5 2" xfId="48597" xr:uid="{00000000-0005-0000-0000-0000DABD0000}"/>
    <cellStyle name="Style 31 6 4 5 3" xfId="48598" xr:uid="{00000000-0005-0000-0000-0000DBBD0000}"/>
    <cellStyle name="Style 31 6 4 6" xfId="48599" xr:uid="{00000000-0005-0000-0000-0000DCBD0000}"/>
    <cellStyle name="Style 31 6 4 7" xfId="48600" xr:uid="{00000000-0005-0000-0000-0000DDBD0000}"/>
    <cellStyle name="Style 31 6 4 8" xfId="48601" xr:uid="{00000000-0005-0000-0000-0000DEBD0000}"/>
    <cellStyle name="Style 31 6 5" xfId="48602" xr:uid="{00000000-0005-0000-0000-0000DFBD0000}"/>
    <cellStyle name="Style 31 6 5 2" xfId="48603" xr:uid="{00000000-0005-0000-0000-0000E0BD0000}"/>
    <cellStyle name="Style 31 6 5 2 2" xfId="48604" xr:uid="{00000000-0005-0000-0000-0000E1BD0000}"/>
    <cellStyle name="Style 31 6 5 2 2 2" xfId="48605" xr:uid="{00000000-0005-0000-0000-0000E2BD0000}"/>
    <cellStyle name="Style 31 6 5 2 2 3" xfId="48606" xr:uid="{00000000-0005-0000-0000-0000E3BD0000}"/>
    <cellStyle name="Style 31 6 5 2 3" xfId="48607" xr:uid="{00000000-0005-0000-0000-0000E4BD0000}"/>
    <cellStyle name="Style 31 6 5 2 3 2" xfId="48608" xr:uid="{00000000-0005-0000-0000-0000E5BD0000}"/>
    <cellStyle name="Style 31 6 5 2 3 3" xfId="48609" xr:uid="{00000000-0005-0000-0000-0000E6BD0000}"/>
    <cellStyle name="Style 31 6 5 2 4" xfId="48610" xr:uid="{00000000-0005-0000-0000-0000E7BD0000}"/>
    <cellStyle name="Style 31 6 5 2 5" xfId="48611" xr:uid="{00000000-0005-0000-0000-0000E8BD0000}"/>
    <cellStyle name="Style 31 6 5 2 6" xfId="48612" xr:uid="{00000000-0005-0000-0000-0000E9BD0000}"/>
    <cellStyle name="Style 31 6 5 3" xfId="48613" xr:uid="{00000000-0005-0000-0000-0000EABD0000}"/>
    <cellStyle name="Style 31 6 5 3 2" xfId="48614" xr:uid="{00000000-0005-0000-0000-0000EBBD0000}"/>
    <cellStyle name="Style 31 6 5 3 3" xfId="48615" xr:uid="{00000000-0005-0000-0000-0000ECBD0000}"/>
    <cellStyle name="Style 31 6 5 4" xfId="48616" xr:uid="{00000000-0005-0000-0000-0000EDBD0000}"/>
    <cellStyle name="Style 31 6 5 4 2" xfId="48617" xr:uid="{00000000-0005-0000-0000-0000EEBD0000}"/>
    <cellStyle name="Style 31 6 5 4 3" xfId="48618" xr:uid="{00000000-0005-0000-0000-0000EFBD0000}"/>
    <cellStyle name="Style 31 6 5 5" xfId="48619" xr:uid="{00000000-0005-0000-0000-0000F0BD0000}"/>
    <cellStyle name="Style 31 6 5 5 2" xfId="48620" xr:uid="{00000000-0005-0000-0000-0000F1BD0000}"/>
    <cellStyle name="Style 31 6 5 5 3" xfId="48621" xr:uid="{00000000-0005-0000-0000-0000F2BD0000}"/>
    <cellStyle name="Style 31 6 5 6" xfId="48622" xr:uid="{00000000-0005-0000-0000-0000F3BD0000}"/>
    <cellStyle name="Style 31 6 5 7" xfId="48623" xr:uid="{00000000-0005-0000-0000-0000F4BD0000}"/>
    <cellStyle name="Style 31 6 5 8" xfId="48624" xr:uid="{00000000-0005-0000-0000-0000F5BD0000}"/>
    <cellStyle name="Style 31 6 6" xfId="48625" xr:uid="{00000000-0005-0000-0000-0000F6BD0000}"/>
    <cellStyle name="Style 31 6 6 2" xfId="48626" xr:uid="{00000000-0005-0000-0000-0000F7BD0000}"/>
    <cellStyle name="Style 31 6 6 2 2" xfId="48627" xr:uid="{00000000-0005-0000-0000-0000F8BD0000}"/>
    <cellStyle name="Style 31 6 6 2 3" xfId="48628" xr:uid="{00000000-0005-0000-0000-0000F9BD0000}"/>
    <cellStyle name="Style 31 6 6 3" xfId="48629" xr:uid="{00000000-0005-0000-0000-0000FABD0000}"/>
    <cellStyle name="Style 31 6 6 3 2" xfId="48630" xr:uid="{00000000-0005-0000-0000-0000FBBD0000}"/>
    <cellStyle name="Style 31 6 6 3 3" xfId="48631" xr:uid="{00000000-0005-0000-0000-0000FCBD0000}"/>
    <cellStyle name="Style 31 6 6 4" xfId="48632" xr:uid="{00000000-0005-0000-0000-0000FDBD0000}"/>
    <cellStyle name="Style 31 6 6 5" xfId="48633" xr:uid="{00000000-0005-0000-0000-0000FEBD0000}"/>
    <cellStyle name="Style 31 6 6 6" xfId="48634" xr:uid="{00000000-0005-0000-0000-0000FFBD0000}"/>
    <cellStyle name="Style 31 6 7" xfId="48635" xr:uid="{00000000-0005-0000-0000-000000BE0000}"/>
    <cellStyle name="Style 31 6 7 2" xfId="48636" xr:uid="{00000000-0005-0000-0000-000001BE0000}"/>
    <cellStyle name="Style 31 6 7 3" xfId="48637" xr:uid="{00000000-0005-0000-0000-000002BE0000}"/>
    <cellStyle name="Style 31 6 8" xfId="48638" xr:uid="{00000000-0005-0000-0000-000003BE0000}"/>
    <cellStyle name="Style 31 6 8 2" xfId="48639" xr:uid="{00000000-0005-0000-0000-000004BE0000}"/>
    <cellStyle name="Style 31 6 8 3" xfId="48640" xr:uid="{00000000-0005-0000-0000-000005BE0000}"/>
    <cellStyle name="Style 31 6 9" xfId="48641" xr:uid="{00000000-0005-0000-0000-000006BE0000}"/>
    <cellStyle name="Style 31 6 9 2" xfId="48642" xr:uid="{00000000-0005-0000-0000-000007BE0000}"/>
    <cellStyle name="Style 31 6 9 3" xfId="48643" xr:uid="{00000000-0005-0000-0000-000008BE0000}"/>
    <cellStyle name="Style 31 7" xfId="48644" xr:uid="{00000000-0005-0000-0000-000009BE0000}"/>
    <cellStyle name="Style 31 7 10" xfId="48645" xr:uid="{00000000-0005-0000-0000-00000ABE0000}"/>
    <cellStyle name="Style 31 7 11" xfId="48646" xr:uid="{00000000-0005-0000-0000-00000BBE0000}"/>
    <cellStyle name="Style 31 7 12" xfId="48647" xr:uid="{00000000-0005-0000-0000-00000CBE0000}"/>
    <cellStyle name="Style 31 7 2" xfId="48648" xr:uid="{00000000-0005-0000-0000-00000DBE0000}"/>
    <cellStyle name="Style 31 7 2 10" xfId="48649" xr:uid="{00000000-0005-0000-0000-00000EBE0000}"/>
    <cellStyle name="Style 31 7 2 2" xfId="48650" xr:uid="{00000000-0005-0000-0000-00000FBE0000}"/>
    <cellStyle name="Style 31 7 2 2 2" xfId="48651" xr:uid="{00000000-0005-0000-0000-000010BE0000}"/>
    <cellStyle name="Style 31 7 2 2 2 2" xfId="48652" xr:uid="{00000000-0005-0000-0000-000011BE0000}"/>
    <cellStyle name="Style 31 7 2 2 2 2 2" xfId="48653" xr:uid="{00000000-0005-0000-0000-000012BE0000}"/>
    <cellStyle name="Style 31 7 2 2 2 2 3" xfId="48654" xr:uid="{00000000-0005-0000-0000-000013BE0000}"/>
    <cellStyle name="Style 31 7 2 2 2 3" xfId="48655" xr:uid="{00000000-0005-0000-0000-000014BE0000}"/>
    <cellStyle name="Style 31 7 2 2 2 3 2" xfId="48656" xr:uid="{00000000-0005-0000-0000-000015BE0000}"/>
    <cellStyle name="Style 31 7 2 2 2 3 3" xfId="48657" xr:uid="{00000000-0005-0000-0000-000016BE0000}"/>
    <cellStyle name="Style 31 7 2 2 2 4" xfId="48658" xr:uid="{00000000-0005-0000-0000-000017BE0000}"/>
    <cellStyle name="Style 31 7 2 2 2 5" xfId="48659" xr:uid="{00000000-0005-0000-0000-000018BE0000}"/>
    <cellStyle name="Style 31 7 2 2 2 6" xfId="48660" xr:uid="{00000000-0005-0000-0000-000019BE0000}"/>
    <cellStyle name="Style 31 7 2 2 3" xfId="48661" xr:uid="{00000000-0005-0000-0000-00001ABE0000}"/>
    <cellStyle name="Style 31 7 2 2 3 2" xfId="48662" xr:uid="{00000000-0005-0000-0000-00001BBE0000}"/>
    <cellStyle name="Style 31 7 2 2 3 3" xfId="48663" xr:uid="{00000000-0005-0000-0000-00001CBE0000}"/>
    <cellStyle name="Style 31 7 2 2 4" xfId="48664" xr:uid="{00000000-0005-0000-0000-00001DBE0000}"/>
    <cellStyle name="Style 31 7 2 2 4 2" xfId="48665" xr:uid="{00000000-0005-0000-0000-00001EBE0000}"/>
    <cellStyle name="Style 31 7 2 2 4 3" xfId="48666" xr:uid="{00000000-0005-0000-0000-00001FBE0000}"/>
    <cellStyle name="Style 31 7 2 2 5" xfId="48667" xr:uid="{00000000-0005-0000-0000-000020BE0000}"/>
    <cellStyle name="Style 31 7 2 2 5 2" xfId="48668" xr:uid="{00000000-0005-0000-0000-000021BE0000}"/>
    <cellStyle name="Style 31 7 2 2 5 3" xfId="48669" xr:uid="{00000000-0005-0000-0000-000022BE0000}"/>
    <cellStyle name="Style 31 7 2 2 6" xfId="48670" xr:uid="{00000000-0005-0000-0000-000023BE0000}"/>
    <cellStyle name="Style 31 7 2 2 7" xfId="48671" xr:uid="{00000000-0005-0000-0000-000024BE0000}"/>
    <cellStyle name="Style 31 7 2 2 8" xfId="48672" xr:uid="{00000000-0005-0000-0000-000025BE0000}"/>
    <cellStyle name="Style 31 7 2 3" xfId="48673" xr:uid="{00000000-0005-0000-0000-000026BE0000}"/>
    <cellStyle name="Style 31 7 2 3 2" xfId="48674" xr:uid="{00000000-0005-0000-0000-000027BE0000}"/>
    <cellStyle name="Style 31 7 2 3 2 2" xfId="48675" xr:uid="{00000000-0005-0000-0000-000028BE0000}"/>
    <cellStyle name="Style 31 7 2 3 2 2 2" xfId="48676" xr:uid="{00000000-0005-0000-0000-000029BE0000}"/>
    <cellStyle name="Style 31 7 2 3 2 2 3" xfId="48677" xr:uid="{00000000-0005-0000-0000-00002ABE0000}"/>
    <cellStyle name="Style 31 7 2 3 2 3" xfId="48678" xr:uid="{00000000-0005-0000-0000-00002BBE0000}"/>
    <cellStyle name="Style 31 7 2 3 2 3 2" xfId="48679" xr:uid="{00000000-0005-0000-0000-00002CBE0000}"/>
    <cellStyle name="Style 31 7 2 3 2 3 3" xfId="48680" xr:uid="{00000000-0005-0000-0000-00002DBE0000}"/>
    <cellStyle name="Style 31 7 2 3 2 4" xfId="48681" xr:uid="{00000000-0005-0000-0000-00002EBE0000}"/>
    <cellStyle name="Style 31 7 2 3 2 5" xfId="48682" xr:uid="{00000000-0005-0000-0000-00002FBE0000}"/>
    <cellStyle name="Style 31 7 2 3 2 6" xfId="48683" xr:uid="{00000000-0005-0000-0000-000030BE0000}"/>
    <cellStyle name="Style 31 7 2 3 3" xfId="48684" xr:uid="{00000000-0005-0000-0000-000031BE0000}"/>
    <cellStyle name="Style 31 7 2 3 3 2" xfId="48685" xr:uid="{00000000-0005-0000-0000-000032BE0000}"/>
    <cellStyle name="Style 31 7 2 3 3 3" xfId="48686" xr:uid="{00000000-0005-0000-0000-000033BE0000}"/>
    <cellStyle name="Style 31 7 2 3 4" xfId="48687" xr:uid="{00000000-0005-0000-0000-000034BE0000}"/>
    <cellStyle name="Style 31 7 2 3 4 2" xfId="48688" xr:uid="{00000000-0005-0000-0000-000035BE0000}"/>
    <cellStyle name="Style 31 7 2 3 4 3" xfId="48689" xr:uid="{00000000-0005-0000-0000-000036BE0000}"/>
    <cellStyle name="Style 31 7 2 3 5" xfId="48690" xr:uid="{00000000-0005-0000-0000-000037BE0000}"/>
    <cellStyle name="Style 31 7 2 3 5 2" xfId="48691" xr:uid="{00000000-0005-0000-0000-000038BE0000}"/>
    <cellStyle name="Style 31 7 2 3 5 3" xfId="48692" xr:uid="{00000000-0005-0000-0000-000039BE0000}"/>
    <cellStyle name="Style 31 7 2 3 6" xfId="48693" xr:uid="{00000000-0005-0000-0000-00003ABE0000}"/>
    <cellStyle name="Style 31 7 2 3 7" xfId="48694" xr:uid="{00000000-0005-0000-0000-00003BBE0000}"/>
    <cellStyle name="Style 31 7 2 3 8" xfId="48695" xr:uid="{00000000-0005-0000-0000-00003CBE0000}"/>
    <cellStyle name="Style 31 7 2 4" xfId="48696" xr:uid="{00000000-0005-0000-0000-00003DBE0000}"/>
    <cellStyle name="Style 31 7 2 4 2" xfId="48697" xr:uid="{00000000-0005-0000-0000-00003EBE0000}"/>
    <cellStyle name="Style 31 7 2 4 2 2" xfId="48698" xr:uid="{00000000-0005-0000-0000-00003FBE0000}"/>
    <cellStyle name="Style 31 7 2 4 2 3" xfId="48699" xr:uid="{00000000-0005-0000-0000-000040BE0000}"/>
    <cellStyle name="Style 31 7 2 4 3" xfId="48700" xr:uid="{00000000-0005-0000-0000-000041BE0000}"/>
    <cellStyle name="Style 31 7 2 4 3 2" xfId="48701" xr:uid="{00000000-0005-0000-0000-000042BE0000}"/>
    <cellStyle name="Style 31 7 2 4 3 3" xfId="48702" xr:uid="{00000000-0005-0000-0000-000043BE0000}"/>
    <cellStyle name="Style 31 7 2 4 4" xfId="48703" xr:uid="{00000000-0005-0000-0000-000044BE0000}"/>
    <cellStyle name="Style 31 7 2 4 5" xfId="48704" xr:uid="{00000000-0005-0000-0000-000045BE0000}"/>
    <cellStyle name="Style 31 7 2 4 6" xfId="48705" xr:uid="{00000000-0005-0000-0000-000046BE0000}"/>
    <cellStyle name="Style 31 7 2 5" xfId="48706" xr:uid="{00000000-0005-0000-0000-000047BE0000}"/>
    <cellStyle name="Style 31 7 2 5 2" xfId="48707" xr:uid="{00000000-0005-0000-0000-000048BE0000}"/>
    <cellStyle name="Style 31 7 2 5 3" xfId="48708" xr:uid="{00000000-0005-0000-0000-000049BE0000}"/>
    <cellStyle name="Style 31 7 2 6" xfId="48709" xr:uid="{00000000-0005-0000-0000-00004ABE0000}"/>
    <cellStyle name="Style 31 7 2 6 2" xfId="48710" xr:uid="{00000000-0005-0000-0000-00004BBE0000}"/>
    <cellStyle name="Style 31 7 2 6 3" xfId="48711" xr:uid="{00000000-0005-0000-0000-00004CBE0000}"/>
    <cellStyle name="Style 31 7 2 7" xfId="48712" xr:uid="{00000000-0005-0000-0000-00004DBE0000}"/>
    <cellStyle name="Style 31 7 2 7 2" xfId="48713" xr:uid="{00000000-0005-0000-0000-00004EBE0000}"/>
    <cellStyle name="Style 31 7 2 7 3" xfId="48714" xr:uid="{00000000-0005-0000-0000-00004FBE0000}"/>
    <cellStyle name="Style 31 7 2 8" xfId="48715" xr:uid="{00000000-0005-0000-0000-000050BE0000}"/>
    <cellStyle name="Style 31 7 2 9" xfId="48716" xr:uid="{00000000-0005-0000-0000-000051BE0000}"/>
    <cellStyle name="Style 31 7 3" xfId="48717" xr:uid="{00000000-0005-0000-0000-000052BE0000}"/>
    <cellStyle name="Style 31 7 3 2" xfId="48718" xr:uid="{00000000-0005-0000-0000-000053BE0000}"/>
    <cellStyle name="Style 31 7 3 2 2" xfId="48719" xr:uid="{00000000-0005-0000-0000-000054BE0000}"/>
    <cellStyle name="Style 31 7 3 2 2 2" xfId="48720" xr:uid="{00000000-0005-0000-0000-000055BE0000}"/>
    <cellStyle name="Style 31 7 3 2 2 3" xfId="48721" xr:uid="{00000000-0005-0000-0000-000056BE0000}"/>
    <cellStyle name="Style 31 7 3 2 3" xfId="48722" xr:uid="{00000000-0005-0000-0000-000057BE0000}"/>
    <cellStyle name="Style 31 7 3 2 3 2" xfId="48723" xr:uid="{00000000-0005-0000-0000-000058BE0000}"/>
    <cellStyle name="Style 31 7 3 2 3 3" xfId="48724" xr:uid="{00000000-0005-0000-0000-000059BE0000}"/>
    <cellStyle name="Style 31 7 3 2 4" xfId="48725" xr:uid="{00000000-0005-0000-0000-00005ABE0000}"/>
    <cellStyle name="Style 31 7 3 2 5" xfId="48726" xr:uid="{00000000-0005-0000-0000-00005BBE0000}"/>
    <cellStyle name="Style 31 7 3 2 6" xfId="48727" xr:uid="{00000000-0005-0000-0000-00005CBE0000}"/>
    <cellStyle name="Style 31 7 3 3" xfId="48728" xr:uid="{00000000-0005-0000-0000-00005DBE0000}"/>
    <cellStyle name="Style 31 7 3 3 2" xfId="48729" xr:uid="{00000000-0005-0000-0000-00005EBE0000}"/>
    <cellStyle name="Style 31 7 3 3 3" xfId="48730" xr:uid="{00000000-0005-0000-0000-00005FBE0000}"/>
    <cellStyle name="Style 31 7 3 4" xfId="48731" xr:uid="{00000000-0005-0000-0000-000060BE0000}"/>
    <cellStyle name="Style 31 7 3 4 2" xfId="48732" xr:uid="{00000000-0005-0000-0000-000061BE0000}"/>
    <cellStyle name="Style 31 7 3 4 3" xfId="48733" xr:uid="{00000000-0005-0000-0000-000062BE0000}"/>
    <cellStyle name="Style 31 7 3 5" xfId="48734" xr:uid="{00000000-0005-0000-0000-000063BE0000}"/>
    <cellStyle name="Style 31 7 3 5 2" xfId="48735" xr:uid="{00000000-0005-0000-0000-000064BE0000}"/>
    <cellStyle name="Style 31 7 3 5 3" xfId="48736" xr:uid="{00000000-0005-0000-0000-000065BE0000}"/>
    <cellStyle name="Style 31 7 3 6" xfId="48737" xr:uid="{00000000-0005-0000-0000-000066BE0000}"/>
    <cellStyle name="Style 31 7 3 7" xfId="48738" xr:uid="{00000000-0005-0000-0000-000067BE0000}"/>
    <cellStyle name="Style 31 7 3 8" xfId="48739" xr:uid="{00000000-0005-0000-0000-000068BE0000}"/>
    <cellStyle name="Style 31 7 4" xfId="48740" xr:uid="{00000000-0005-0000-0000-000069BE0000}"/>
    <cellStyle name="Style 31 7 4 2" xfId="48741" xr:uid="{00000000-0005-0000-0000-00006ABE0000}"/>
    <cellStyle name="Style 31 7 4 2 2" xfId="48742" xr:uid="{00000000-0005-0000-0000-00006BBE0000}"/>
    <cellStyle name="Style 31 7 4 2 2 2" xfId="48743" xr:uid="{00000000-0005-0000-0000-00006CBE0000}"/>
    <cellStyle name="Style 31 7 4 2 2 3" xfId="48744" xr:uid="{00000000-0005-0000-0000-00006DBE0000}"/>
    <cellStyle name="Style 31 7 4 2 3" xfId="48745" xr:uid="{00000000-0005-0000-0000-00006EBE0000}"/>
    <cellStyle name="Style 31 7 4 2 3 2" xfId="48746" xr:uid="{00000000-0005-0000-0000-00006FBE0000}"/>
    <cellStyle name="Style 31 7 4 2 3 3" xfId="48747" xr:uid="{00000000-0005-0000-0000-000070BE0000}"/>
    <cellStyle name="Style 31 7 4 2 4" xfId="48748" xr:uid="{00000000-0005-0000-0000-000071BE0000}"/>
    <cellStyle name="Style 31 7 4 2 5" xfId="48749" xr:uid="{00000000-0005-0000-0000-000072BE0000}"/>
    <cellStyle name="Style 31 7 4 2 6" xfId="48750" xr:uid="{00000000-0005-0000-0000-000073BE0000}"/>
    <cellStyle name="Style 31 7 4 3" xfId="48751" xr:uid="{00000000-0005-0000-0000-000074BE0000}"/>
    <cellStyle name="Style 31 7 4 3 2" xfId="48752" xr:uid="{00000000-0005-0000-0000-000075BE0000}"/>
    <cellStyle name="Style 31 7 4 3 3" xfId="48753" xr:uid="{00000000-0005-0000-0000-000076BE0000}"/>
    <cellStyle name="Style 31 7 4 4" xfId="48754" xr:uid="{00000000-0005-0000-0000-000077BE0000}"/>
    <cellStyle name="Style 31 7 4 4 2" xfId="48755" xr:uid="{00000000-0005-0000-0000-000078BE0000}"/>
    <cellStyle name="Style 31 7 4 4 3" xfId="48756" xr:uid="{00000000-0005-0000-0000-000079BE0000}"/>
    <cellStyle name="Style 31 7 4 5" xfId="48757" xr:uid="{00000000-0005-0000-0000-00007ABE0000}"/>
    <cellStyle name="Style 31 7 4 5 2" xfId="48758" xr:uid="{00000000-0005-0000-0000-00007BBE0000}"/>
    <cellStyle name="Style 31 7 4 5 3" xfId="48759" xr:uid="{00000000-0005-0000-0000-00007CBE0000}"/>
    <cellStyle name="Style 31 7 4 6" xfId="48760" xr:uid="{00000000-0005-0000-0000-00007DBE0000}"/>
    <cellStyle name="Style 31 7 4 7" xfId="48761" xr:uid="{00000000-0005-0000-0000-00007EBE0000}"/>
    <cellStyle name="Style 31 7 4 8" xfId="48762" xr:uid="{00000000-0005-0000-0000-00007FBE0000}"/>
    <cellStyle name="Style 31 7 5" xfId="48763" xr:uid="{00000000-0005-0000-0000-000080BE0000}"/>
    <cellStyle name="Style 31 7 5 2" xfId="48764" xr:uid="{00000000-0005-0000-0000-000081BE0000}"/>
    <cellStyle name="Style 31 7 5 2 2" xfId="48765" xr:uid="{00000000-0005-0000-0000-000082BE0000}"/>
    <cellStyle name="Style 31 7 5 2 2 2" xfId="48766" xr:uid="{00000000-0005-0000-0000-000083BE0000}"/>
    <cellStyle name="Style 31 7 5 2 2 3" xfId="48767" xr:uid="{00000000-0005-0000-0000-000084BE0000}"/>
    <cellStyle name="Style 31 7 5 2 3" xfId="48768" xr:uid="{00000000-0005-0000-0000-000085BE0000}"/>
    <cellStyle name="Style 31 7 5 2 3 2" xfId="48769" xr:uid="{00000000-0005-0000-0000-000086BE0000}"/>
    <cellStyle name="Style 31 7 5 2 3 3" xfId="48770" xr:uid="{00000000-0005-0000-0000-000087BE0000}"/>
    <cellStyle name="Style 31 7 5 2 4" xfId="48771" xr:uid="{00000000-0005-0000-0000-000088BE0000}"/>
    <cellStyle name="Style 31 7 5 2 5" xfId="48772" xr:uid="{00000000-0005-0000-0000-000089BE0000}"/>
    <cellStyle name="Style 31 7 5 2 6" xfId="48773" xr:uid="{00000000-0005-0000-0000-00008ABE0000}"/>
    <cellStyle name="Style 31 7 5 3" xfId="48774" xr:uid="{00000000-0005-0000-0000-00008BBE0000}"/>
    <cellStyle name="Style 31 7 5 3 2" xfId="48775" xr:uid="{00000000-0005-0000-0000-00008CBE0000}"/>
    <cellStyle name="Style 31 7 5 3 3" xfId="48776" xr:uid="{00000000-0005-0000-0000-00008DBE0000}"/>
    <cellStyle name="Style 31 7 5 4" xfId="48777" xr:uid="{00000000-0005-0000-0000-00008EBE0000}"/>
    <cellStyle name="Style 31 7 5 4 2" xfId="48778" xr:uid="{00000000-0005-0000-0000-00008FBE0000}"/>
    <cellStyle name="Style 31 7 5 4 3" xfId="48779" xr:uid="{00000000-0005-0000-0000-000090BE0000}"/>
    <cellStyle name="Style 31 7 5 5" xfId="48780" xr:uid="{00000000-0005-0000-0000-000091BE0000}"/>
    <cellStyle name="Style 31 7 5 5 2" xfId="48781" xr:uid="{00000000-0005-0000-0000-000092BE0000}"/>
    <cellStyle name="Style 31 7 5 5 3" xfId="48782" xr:uid="{00000000-0005-0000-0000-000093BE0000}"/>
    <cellStyle name="Style 31 7 5 6" xfId="48783" xr:uid="{00000000-0005-0000-0000-000094BE0000}"/>
    <cellStyle name="Style 31 7 5 7" xfId="48784" xr:uid="{00000000-0005-0000-0000-000095BE0000}"/>
    <cellStyle name="Style 31 7 5 8" xfId="48785" xr:uid="{00000000-0005-0000-0000-000096BE0000}"/>
    <cellStyle name="Style 31 7 6" xfId="48786" xr:uid="{00000000-0005-0000-0000-000097BE0000}"/>
    <cellStyle name="Style 31 7 6 2" xfId="48787" xr:uid="{00000000-0005-0000-0000-000098BE0000}"/>
    <cellStyle name="Style 31 7 6 2 2" xfId="48788" xr:uid="{00000000-0005-0000-0000-000099BE0000}"/>
    <cellStyle name="Style 31 7 6 2 3" xfId="48789" xr:uid="{00000000-0005-0000-0000-00009ABE0000}"/>
    <cellStyle name="Style 31 7 6 3" xfId="48790" xr:uid="{00000000-0005-0000-0000-00009BBE0000}"/>
    <cellStyle name="Style 31 7 6 3 2" xfId="48791" xr:uid="{00000000-0005-0000-0000-00009CBE0000}"/>
    <cellStyle name="Style 31 7 6 3 3" xfId="48792" xr:uid="{00000000-0005-0000-0000-00009DBE0000}"/>
    <cellStyle name="Style 31 7 6 4" xfId="48793" xr:uid="{00000000-0005-0000-0000-00009EBE0000}"/>
    <cellStyle name="Style 31 7 6 5" xfId="48794" xr:uid="{00000000-0005-0000-0000-00009FBE0000}"/>
    <cellStyle name="Style 31 7 6 6" xfId="48795" xr:uid="{00000000-0005-0000-0000-0000A0BE0000}"/>
    <cellStyle name="Style 31 7 7" xfId="48796" xr:uid="{00000000-0005-0000-0000-0000A1BE0000}"/>
    <cellStyle name="Style 31 7 7 2" xfId="48797" xr:uid="{00000000-0005-0000-0000-0000A2BE0000}"/>
    <cellStyle name="Style 31 7 7 3" xfId="48798" xr:uid="{00000000-0005-0000-0000-0000A3BE0000}"/>
    <cellStyle name="Style 31 7 8" xfId="48799" xr:uid="{00000000-0005-0000-0000-0000A4BE0000}"/>
    <cellStyle name="Style 31 7 8 2" xfId="48800" xr:uid="{00000000-0005-0000-0000-0000A5BE0000}"/>
    <cellStyle name="Style 31 7 8 3" xfId="48801" xr:uid="{00000000-0005-0000-0000-0000A6BE0000}"/>
    <cellStyle name="Style 31 7 9" xfId="48802" xr:uid="{00000000-0005-0000-0000-0000A7BE0000}"/>
    <cellStyle name="Style 31 7 9 2" xfId="48803" xr:uid="{00000000-0005-0000-0000-0000A8BE0000}"/>
    <cellStyle name="Style 31 7 9 3" xfId="48804" xr:uid="{00000000-0005-0000-0000-0000A9BE0000}"/>
    <cellStyle name="Style 31 8" xfId="48805" xr:uid="{00000000-0005-0000-0000-0000AABE0000}"/>
    <cellStyle name="Style 31 8 10" xfId="48806" xr:uid="{00000000-0005-0000-0000-0000ABBE0000}"/>
    <cellStyle name="Style 31 8 11" xfId="48807" xr:uid="{00000000-0005-0000-0000-0000ACBE0000}"/>
    <cellStyle name="Style 31 8 12" xfId="48808" xr:uid="{00000000-0005-0000-0000-0000ADBE0000}"/>
    <cellStyle name="Style 31 8 2" xfId="48809" xr:uid="{00000000-0005-0000-0000-0000AEBE0000}"/>
    <cellStyle name="Style 31 8 2 10" xfId="48810" xr:uid="{00000000-0005-0000-0000-0000AFBE0000}"/>
    <cellStyle name="Style 31 8 2 2" xfId="48811" xr:uid="{00000000-0005-0000-0000-0000B0BE0000}"/>
    <cellStyle name="Style 31 8 2 2 2" xfId="48812" xr:uid="{00000000-0005-0000-0000-0000B1BE0000}"/>
    <cellStyle name="Style 31 8 2 2 2 2" xfId="48813" xr:uid="{00000000-0005-0000-0000-0000B2BE0000}"/>
    <cellStyle name="Style 31 8 2 2 2 2 2" xfId="48814" xr:uid="{00000000-0005-0000-0000-0000B3BE0000}"/>
    <cellStyle name="Style 31 8 2 2 2 2 3" xfId="48815" xr:uid="{00000000-0005-0000-0000-0000B4BE0000}"/>
    <cellStyle name="Style 31 8 2 2 2 3" xfId="48816" xr:uid="{00000000-0005-0000-0000-0000B5BE0000}"/>
    <cellStyle name="Style 31 8 2 2 2 3 2" xfId="48817" xr:uid="{00000000-0005-0000-0000-0000B6BE0000}"/>
    <cellStyle name="Style 31 8 2 2 2 3 3" xfId="48818" xr:uid="{00000000-0005-0000-0000-0000B7BE0000}"/>
    <cellStyle name="Style 31 8 2 2 2 4" xfId="48819" xr:uid="{00000000-0005-0000-0000-0000B8BE0000}"/>
    <cellStyle name="Style 31 8 2 2 2 5" xfId="48820" xr:uid="{00000000-0005-0000-0000-0000B9BE0000}"/>
    <cellStyle name="Style 31 8 2 2 2 6" xfId="48821" xr:uid="{00000000-0005-0000-0000-0000BABE0000}"/>
    <cellStyle name="Style 31 8 2 2 3" xfId="48822" xr:uid="{00000000-0005-0000-0000-0000BBBE0000}"/>
    <cellStyle name="Style 31 8 2 2 3 2" xfId="48823" xr:uid="{00000000-0005-0000-0000-0000BCBE0000}"/>
    <cellStyle name="Style 31 8 2 2 3 3" xfId="48824" xr:uid="{00000000-0005-0000-0000-0000BDBE0000}"/>
    <cellStyle name="Style 31 8 2 2 4" xfId="48825" xr:uid="{00000000-0005-0000-0000-0000BEBE0000}"/>
    <cellStyle name="Style 31 8 2 2 4 2" xfId="48826" xr:uid="{00000000-0005-0000-0000-0000BFBE0000}"/>
    <cellStyle name="Style 31 8 2 2 4 3" xfId="48827" xr:uid="{00000000-0005-0000-0000-0000C0BE0000}"/>
    <cellStyle name="Style 31 8 2 2 5" xfId="48828" xr:uid="{00000000-0005-0000-0000-0000C1BE0000}"/>
    <cellStyle name="Style 31 8 2 2 5 2" xfId="48829" xr:uid="{00000000-0005-0000-0000-0000C2BE0000}"/>
    <cellStyle name="Style 31 8 2 2 5 3" xfId="48830" xr:uid="{00000000-0005-0000-0000-0000C3BE0000}"/>
    <cellStyle name="Style 31 8 2 2 6" xfId="48831" xr:uid="{00000000-0005-0000-0000-0000C4BE0000}"/>
    <cellStyle name="Style 31 8 2 2 7" xfId="48832" xr:uid="{00000000-0005-0000-0000-0000C5BE0000}"/>
    <cellStyle name="Style 31 8 2 2 8" xfId="48833" xr:uid="{00000000-0005-0000-0000-0000C6BE0000}"/>
    <cellStyle name="Style 31 8 2 3" xfId="48834" xr:uid="{00000000-0005-0000-0000-0000C7BE0000}"/>
    <cellStyle name="Style 31 8 2 3 2" xfId="48835" xr:uid="{00000000-0005-0000-0000-0000C8BE0000}"/>
    <cellStyle name="Style 31 8 2 3 2 2" xfId="48836" xr:uid="{00000000-0005-0000-0000-0000C9BE0000}"/>
    <cellStyle name="Style 31 8 2 3 2 2 2" xfId="48837" xr:uid="{00000000-0005-0000-0000-0000CABE0000}"/>
    <cellStyle name="Style 31 8 2 3 2 2 3" xfId="48838" xr:uid="{00000000-0005-0000-0000-0000CBBE0000}"/>
    <cellStyle name="Style 31 8 2 3 2 3" xfId="48839" xr:uid="{00000000-0005-0000-0000-0000CCBE0000}"/>
    <cellStyle name="Style 31 8 2 3 2 3 2" xfId="48840" xr:uid="{00000000-0005-0000-0000-0000CDBE0000}"/>
    <cellStyle name="Style 31 8 2 3 2 3 3" xfId="48841" xr:uid="{00000000-0005-0000-0000-0000CEBE0000}"/>
    <cellStyle name="Style 31 8 2 3 2 4" xfId="48842" xr:uid="{00000000-0005-0000-0000-0000CFBE0000}"/>
    <cellStyle name="Style 31 8 2 3 2 5" xfId="48843" xr:uid="{00000000-0005-0000-0000-0000D0BE0000}"/>
    <cellStyle name="Style 31 8 2 3 2 6" xfId="48844" xr:uid="{00000000-0005-0000-0000-0000D1BE0000}"/>
    <cellStyle name="Style 31 8 2 3 3" xfId="48845" xr:uid="{00000000-0005-0000-0000-0000D2BE0000}"/>
    <cellStyle name="Style 31 8 2 3 3 2" xfId="48846" xr:uid="{00000000-0005-0000-0000-0000D3BE0000}"/>
    <cellStyle name="Style 31 8 2 3 3 3" xfId="48847" xr:uid="{00000000-0005-0000-0000-0000D4BE0000}"/>
    <cellStyle name="Style 31 8 2 3 4" xfId="48848" xr:uid="{00000000-0005-0000-0000-0000D5BE0000}"/>
    <cellStyle name="Style 31 8 2 3 4 2" xfId="48849" xr:uid="{00000000-0005-0000-0000-0000D6BE0000}"/>
    <cellStyle name="Style 31 8 2 3 4 3" xfId="48850" xr:uid="{00000000-0005-0000-0000-0000D7BE0000}"/>
    <cellStyle name="Style 31 8 2 3 5" xfId="48851" xr:uid="{00000000-0005-0000-0000-0000D8BE0000}"/>
    <cellStyle name="Style 31 8 2 3 5 2" xfId="48852" xr:uid="{00000000-0005-0000-0000-0000D9BE0000}"/>
    <cellStyle name="Style 31 8 2 3 5 3" xfId="48853" xr:uid="{00000000-0005-0000-0000-0000DABE0000}"/>
    <cellStyle name="Style 31 8 2 3 6" xfId="48854" xr:uid="{00000000-0005-0000-0000-0000DBBE0000}"/>
    <cellStyle name="Style 31 8 2 3 7" xfId="48855" xr:uid="{00000000-0005-0000-0000-0000DCBE0000}"/>
    <cellStyle name="Style 31 8 2 3 8" xfId="48856" xr:uid="{00000000-0005-0000-0000-0000DDBE0000}"/>
    <cellStyle name="Style 31 8 2 4" xfId="48857" xr:uid="{00000000-0005-0000-0000-0000DEBE0000}"/>
    <cellStyle name="Style 31 8 2 4 2" xfId="48858" xr:uid="{00000000-0005-0000-0000-0000DFBE0000}"/>
    <cellStyle name="Style 31 8 2 4 2 2" xfId="48859" xr:uid="{00000000-0005-0000-0000-0000E0BE0000}"/>
    <cellStyle name="Style 31 8 2 4 2 3" xfId="48860" xr:uid="{00000000-0005-0000-0000-0000E1BE0000}"/>
    <cellStyle name="Style 31 8 2 4 3" xfId="48861" xr:uid="{00000000-0005-0000-0000-0000E2BE0000}"/>
    <cellStyle name="Style 31 8 2 4 3 2" xfId="48862" xr:uid="{00000000-0005-0000-0000-0000E3BE0000}"/>
    <cellStyle name="Style 31 8 2 4 3 3" xfId="48863" xr:uid="{00000000-0005-0000-0000-0000E4BE0000}"/>
    <cellStyle name="Style 31 8 2 4 4" xfId="48864" xr:uid="{00000000-0005-0000-0000-0000E5BE0000}"/>
    <cellStyle name="Style 31 8 2 4 5" xfId="48865" xr:uid="{00000000-0005-0000-0000-0000E6BE0000}"/>
    <cellStyle name="Style 31 8 2 4 6" xfId="48866" xr:uid="{00000000-0005-0000-0000-0000E7BE0000}"/>
    <cellStyle name="Style 31 8 2 5" xfId="48867" xr:uid="{00000000-0005-0000-0000-0000E8BE0000}"/>
    <cellStyle name="Style 31 8 2 5 2" xfId="48868" xr:uid="{00000000-0005-0000-0000-0000E9BE0000}"/>
    <cellStyle name="Style 31 8 2 5 3" xfId="48869" xr:uid="{00000000-0005-0000-0000-0000EABE0000}"/>
    <cellStyle name="Style 31 8 2 6" xfId="48870" xr:uid="{00000000-0005-0000-0000-0000EBBE0000}"/>
    <cellStyle name="Style 31 8 2 6 2" xfId="48871" xr:uid="{00000000-0005-0000-0000-0000ECBE0000}"/>
    <cellStyle name="Style 31 8 2 6 3" xfId="48872" xr:uid="{00000000-0005-0000-0000-0000EDBE0000}"/>
    <cellStyle name="Style 31 8 2 7" xfId="48873" xr:uid="{00000000-0005-0000-0000-0000EEBE0000}"/>
    <cellStyle name="Style 31 8 2 7 2" xfId="48874" xr:uid="{00000000-0005-0000-0000-0000EFBE0000}"/>
    <cellStyle name="Style 31 8 2 7 3" xfId="48875" xr:uid="{00000000-0005-0000-0000-0000F0BE0000}"/>
    <cellStyle name="Style 31 8 2 8" xfId="48876" xr:uid="{00000000-0005-0000-0000-0000F1BE0000}"/>
    <cellStyle name="Style 31 8 2 9" xfId="48877" xr:uid="{00000000-0005-0000-0000-0000F2BE0000}"/>
    <cellStyle name="Style 31 8 3" xfId="48878" xr:uid="{00000000-0005-0000-0000-0000F3BE0000}"/>
    <cellStyle name="Style 31 8 3 2" xfId="48879" xr:uid="{00000000-0005-0000-0000-0000F4BE0000}"/>
    <cellStyle name="Style 31 8 3 2 2" xfId="48880" xr:uid="{00000000-0005-0000-0000-0000F5BE0000}"/>
    <cellStyle name="Style 31 8 3 2 2 2" xfId="48881" xr:uid="{00000000-0005-0000-0000-0000F6BE0000}"/>
    <cellStyle name="Style 31 8 3 2 2 3" xfId="48882" xr:uid="{00000000-0005-0000-0000-0000F7BE0000}"/>
    <cellStyle name="Style 31 8 3 2 3" xfId="48883" xr:uid="{00000000-0005-0000-0000-0000F8BE0000}"/>
    <cellStyle name="Style 31 8 3 2 3 2" xfId="48884" xr:uid="{00000000-0005-0000-0000-0000F9BE0000}"/>
    <cellStyle name="Style 31 8 3 2 3 3" xfId="48885" xr:uid="{00000000-0005-0000-0000-0000FABE0000}"/>
    <cellStyle name="Style 31 8 3 2 4" xfId="48886" xr:uid="{00000000-0005-0000-0000-0000FBBE0000}"/>
    <cellStyle name="Style 31 8 3 2 5" xfId="48887" xr:uid="{00000000-0005-0000-0000-0000FCBE0000}"/>
    <cellStyle name="Style 31 8 3 2 6" xfId="48888" xr:uid="{00000000-0005-0000-0000-0000FDBE0000}"/>
    <cellStyle name="Style 31 8 3 3" xfId="48889" xr:uid="{00000000-0005-0000-0000-0000FEBE0000}"/>
    <cellStyle name="Style 31 8 3 3 2" xfId="48890" xr:uid="{00000000-0005-0000-0000-0000FFBE0000}"/>
    <cellStyle name="Style 31 8 3 3 3" xfId="48891" xr:uid="{00000000-0005-0000-0000-000000BF0000}"/>
    <cellStyle name="Style 31 8 3 4" xfId="48892" xr:uid="{00000000-0005-0000-0000-000001BF0000}"/>
    <cellStyle name="Style 31 8 3 4 2" xfId="48893" xr:uid="{00000000-0005-0000-0000-000002BF0000}"/>
    <cellStyle name="Style 31 8 3 4 3" xfId="48894" xr:uid="{00000000-0005-0000-0000-000003BF0000}"/>
    <cellStyle name="Style 31 8 3 5" xfId="48895" xr:uid="{00000000-0005-0000-0000-000004BF0000}"/>
    <cellStyle name="Style 31 8 3 5 2" xfId="48896" xr:uid="{00000000-0005-0000-0000-000005BF0000}"/>
    <cellStyle name="Style 31 8 3 5 3" xfId="48897" xr:uid="{00000000-0005-0000-0000-000006BF0000}"/>
    <cellStyle name="Style 31 8 3 6" xfId="48898" xr:uid="{00000000-0005-0000-0000-000007BF0000}"/>
    <cellStyle name="Style 31 8 3 7" xfId="48899" xr:uid="{00000000-0005-0000-0000-000008BF0000}"/>
    <cellStyle name="Style 31 8 3 8" xfId="48900" xr:uid="{00000000-0005-0000-0000-000009BF0000}"/>
    <cellStyle name="Style 31 8 4" xfId="48901" xr:uid="{00000000-0005-0000-0000-00000ABF0000}"/>
    <cellStyle name="Style 31 8 4 2" xfId="48902" xr:uid="{00000000-0005-0000-0000-00000BBF0000}"/>
    <cellStyle name="Style 31 8 4 2 2" xfId="48903" xr:uid="{00000000-0005-0000-0000-00000CBF0000}"/>
    <cellStyle name="Style 31 8 4 2 2 2" xfId="48904" xr:uid="{00000000-0005-0000-0000-00000DBF0000}"/>
    <cellStyle name="Style 31 8 4 2 2 3" xfId="48905" xr:uid="{00000000-0005-0000-0000-00000EBF0000}"/>
    <cellStyle name="Style 31 8 4 2 3" xfId="48906" xr:uid="{00000000-0005-0000-0000-00000FBF0000}"/>
    <cellStyle name="Style 31 8 4 2 3 2" xfId="48907" xr:uid="{00000000-0005-0000-0000-000010BF0000}"/>
    <cellStyle name="Style 31 8 4 2 3 3" xfId="48908" xr:uid="{00000000-0005-0000-0000-000011BF0000}"/>
    <cellStyle name="Style 31 8 4 2 4" xfId="48909" xr:uid="{00000000-0005-0000-0000-000012BF0000}"/>
    <cellStyle name="Style 31 8 4 2 5" xfId="48910" xr:uid="{00000000-0005-0000-0000-000013BF0000}"/>
    <cellStyle name="Style 31 8 4 2 6" xfId="48911" xr:uid="{00000000-0005-0000-0000-000014BF0000}"/>
    <cellStyle name="Style 31 8 4 3" xfId="48912" xr:uid="{00000000-0005-0000-0000-000015BF0000}"/>
    <cellStyle name="Style 31 8 4 3 2" xfId="48913" xr:uid="{00000000-0005-0000-0000-000016BF0000}"/>
    <cellStyle name="Style 31 8 4 3 3" xfId="48914" xr:uid="{00000000-0005-0000-0000-000017BF0000}"/>
    <cellStyle name="Style 31 8 4 4" xfId="48915" xr:uid="{00000000-0005-0000-0000-000018BF0000}"/>
    <cellStyle name="Style 31 8 4 4 2" xfId="48916" xr:uid="{00000000-0005-0000-0000-000019BF0000}"/>
    <cellStyle name="Style 31 8 4 4 3" xfId="48917" xr:uid="{00000000-0005-0000-0000-00001ABF0000}"/>
    <cellStyle name="Style 31 8 4 5" xfId="48918" xr:uid="{00000000-0005-0000-0000-00001BBF0000}"/>
    <cellStyle name="Style 31 8 4 5 2" xfId="48919" xr:uid="{00000000-0005-0000-0000-00001CBF0000}"/>
    <cellStyle name="Style 31 8 4 5 3" xfId="48920" xr:uid="{00000000-0005-0000-0000-00001DBF0000}"/>
    <cellStyle name="Style 31 8 4 6" xfId="48921" xr:uid="{00000000-0005-0000-0000-00001EBF0000}"/>
    <cellStyle name="Style 31 8 4 7" xfId="48922" xr:uid="{00000000-0005-0000-0000-00001FBF0000}"/>
    <cellStyle name="Style 31 8 4 8" xfId="48923" xr:uid="{00000000-0005-0000-0000-000020BF0000}"/>
    <cellStyle name="Style 31 8 5" xfId="48924" xr:uid="{00000000-0005-0000-0000-000021BF0000}"/>
    <cellStyle name="Style 31 8 5 2" xfId="48925" xr:uid="{00000000-0005-0000-0000-000022BF0000}"/>
    <cellStyle name="Style 31 8 5 2 2" xfId="48926" xr:uid="{00000000-0005-0000-0000-000023BF0000}"/>
    <cellStyle name="Style 31 8 5 2 2 2" xfId="48927" xr:uid="{00000000-0005-0000-0000-000024BF0000}"/>
    <cellStyle name="Style 31 8 5 2 2 3" xfId="48928" xr:uid="{00000000-0005-0000-0000-000025BF0000}"/>
    <cellStyle name="Style 31 8 5 2 3" xfId="48929" xr:uid="{00000000-0005-0000-0000-000026BF0000}"/>
    <cellStyle name="Style 31 8 5 2 3 2" xfId="48930" xr:uid="{00000000-0005-0000-0000-000027BF0000}"/>
    <cellStyle name="Style 31 8 5 2 3 3" xfId="48931" xr:uid="{00000000-0005-0000-0000-000028BF0000}"/>
    <cellStyle name="Style 31 8 5 2 4" xfId="48932" xr:uid="{00000000-0005-0000-0000-000029BF0000}"/>
    <cellStyle name="Style 31 8 5 2 5" xfId="48933" xr:uid="{00000000-0005-0000-0000-00002ABF0000}"/>
    <cellStyle name="Style 31 8 5 2 6" xfId="48934" xr:uid="{00000000-0005-0000-0000-00002BBF0000}"/>
    <cellStyle name="Style 31 8 5 3" xfId="48935" xr:uid="{00000000-0005-0000-0000-00002CBF0000}"/>
    <cellStyle name="Style 31 8 5 3 2" xfId="48936" xr:uid="{00000000-0005-0000-0000-00002DBF0000}"/>
    <cellStyle name="Style 31 8 5 3 3" xfId="48937" xr:uid="{00000000-0005-0000-0000-00002EBF0000}"/>
    <cellStyle name="Style 31 8 5 4" xfId="48938" xr:uid="{00000000-0005-0000-0000-00002FBF0000}"/>
    <cellStyle name="Style 31 8 5 4 2" xfId="48939" xr:uid="{00000000-0005-0000-0000-000030BF0000}"/>
    <cellStyle name="Style 31 8 5 4 3" xfId="48940" xr:uid="{00000000-0005-0000-0000-000031BF0000}"/>
    <cellStyle name="Style 31 8 5 5" xfId="48941" xr:uid="{00000000-0005-0000-0000-000032BF0000}"/>
    <cellStyle name="Style 31 8 5 5 2" xfId="48942" xr:uid="{00000000-0005-0000-0000-000033BF0000}"/>
    <cellStyle name="Style 31 8 5 5 3" xfId="48943" xr:uid="{00000000-0005-0000-0000-000034BF0000}"/>
    <cellStyle name="Style 31 8 5 6" xfId="48944" xr:uid="{00000000-0005-0000-0000-000035BF0000}"/>
    <cellStyle name="Style 31 8 5 7" xfId="48945" xr:uid="{00000000-0005-0000-0000-000036BF0000}"/>
    <cellStyle name="Style 31 8 5 8" xfId="48946" xr:uid="{00000000-0005-0000-0000-000037BF0000}"/>
    <cellStyle name="Style 31 8 6" xfId="48947" xr:uid="{00000000-0005-0000-0000-000038BF0000}"/>
    <cellStyle name="Style 31 8 6 2" xfId="48948" xr:uid="{00000000-0005-0000-0000-000039BF0000}"/>
    <cellStyle name="Style 31 8 6 2 2" xfId="48949" xr:uid="{00000000-0005-0000-0000-00003ABF0000}"/>
    <cellStyle name="Style 31 8 6 2 3" xfId="48950" xr:uid="{00000000-0005-0000-0000-00003BBF0000}"/>
    <cellStyle name="Style 31 8 6 3" xfId="48951" xr:uid="{00000000-0005-0000-0000-00003CBF0000}"/>
    <cellStyle name="Style 31 8 6 3 2" xfId="48952" xr:uid="{00000000-0005-0000-0000-00003DBF0000}"/>
    <cellStyle name="Style 31 8 6 3 3" xfId="48953" xr:uid="{00000000-0005-0000-0000-00003EBF0000}"/>
    <cellStyle name="Style 31 8 6 4" xfId="48954" xr:uid="{00000000-0005-0000-0000-00003FBF0000}"/>
    <cellStyle name="Style 31 8 6 5" xfId="48955" xr:uid="{00000000-0005-0000-0000-000040BF0000}"/>
    <cellStyle name="Style 31 8 6 6" xfId="48956" xr:uid="{00000000-0005-0000-0000-000041BF0000}"/>
    <cellStyle name="Style 31 8 7" xfId="48957" xr:uid="{00000000-0005-0000-0000-000042BF0000}"/>
    <cellStyle name="Style 31 8 7 2" xfId="48958" xr:uid="{00000000-0005-0000-0000-000043BF0000}"/>
    <cellStyle name="Style 31 8 7 3" xfId="48959" xr:uid="{00000000-0005-0000-0000-000044BF0000}"/>
    <cellStyle name="Style 31 8 8" xfId="48960" xr:uid="{00000000-0005-0000-0000-000045BF0000}"/>
    <cellStyle name="Style 31 8 8 2" xfId="48961" xr:uid="{00000000-0005-0000-0000-000046BF0000}"/>
    <cellStyle name="Style 31 8 8 3" xfId="48962" xr:uid="{00000000-0005-0000-0000-000047BF0000}"/>
    <cellStyle name="Style 31 8 9" xfId="48963" xr:uid="{00000000-0005-0000-0000-000048BF0000}"/>
    <cellStyle name="Style 31 8 9 2" xfId="48964" xr:uid="{00000000-0005-0000-0000-000049BF0000}"/>
    <cellStyle name="Style 31 8 9 3" xfId="48965" xr:uid="{00000000-0005-0000-0000-00004ABF0000}"/>
    <cellStyle name="Style 31 9" xfId="48966" xr:uid="{00000000-0005-0000-0000-00004BBF0000}"/>
    <cellStyle name="Style 31 9 10" xfId="48967" xr:uid="{00000000-0005-0000-0000-00004CBF0000}"/>
    <cellStyle name="Style 31 9 11" xfId="48968" xr:uid="{00000000-0005-0000-0000-00004DBF0000}"/>
    <cellStyle name="Style 31 9 12" xfId="48969" xr:uid="{00000000-0005-0000-0000-00004EBF0000}"/>
    <cellStyle name="Style 31 9 2" xfId="48970" xr:uid="{00000000-0005-0000-0000-00004FBF0000}"/>
    <cellStyle name="Style 31 9 2 10" xfId="48971" xr:uid="{00000000-0005-0000-0000-000050BF0000}"/>
    <cellStyle name="Style 31 9 2 2" xfId="48972" xr:uid="{00000000-0005-0000-0000-000051BF0000}"/>
    <cellStyle name="Style 31 9 2 2 2" xfId="48973" xr:uid="{00000000-0005-0000-0000-000052BF0000}"/>
    <cellStyle name="Style 31 9 2 2 2 2" xfId="48974" xr:uid="{00000000-0005-0000-0000-000053BF0000}"/>
    <cellStyle name="Style 31 9 2 2 2 2 2" xfId="48975" xr:uid="{00000000-0005-0000-0000-000054BF0000}"/>
    <cellStyle name="Style 31 9 2 2 2 2 3" xfId="48976" xr:uid="{00000000-0005-0000-0000-000055BF0000}"/>
    <cellStyle name="Style 31 9 2 2 2 3" xfId="48977" xr:uid="{00000000-0005-0000-0000-000056BF0000}"/>
    <cellStyle name="Style 31 9 2 2 2 3 2" xfId="48978" xr:uid="{00000000-0005-0000-0000-000057BF0000}"/>
    <cellStyle name="Style 31 9 2 2 2 3 3" xfId="48979" xr:uid="{00000000-0005-0000-0000-000058BF0000}"/>
    <cellStyle name="Style 31 9 2 2 2 4" xfId="48980" xr:uid="{00000000-0005-0000-0000-000059BF0000}"/>
    <cellStyle name="Style 31 9 2 2 2 5" xfId="48981" xr:uid="{00000000-0005-0000-0000-00005ABF0000}"/>
    <cellStyle name="Style 31 9 2 2 2 6" xfId="48982" xr:uid="{00000000-0005-0000-0000-00005BBF0000}"/>
    <cellStyle name="Style 31 9 2 2 3" xfId="48983" xr:uid="{00000000-0005-0000-0000-00005CBF0000}"/>
    <cellStyle name="Style 31 9 2 2 3 2" xfId="48984" xr:uid="{00000000-0005-0000-0000-00005DBF0000}"/>
    <cellStyle name="Style 31 9 2 2 3 3" xfId="48985" xr:uid="{00000000-0005-0000-0000-00005EBF0000}"/>
    <cellStyle name="Style 31 9 2 2 4" xfId="48986" xr:uid="{00000000-0005-0000-0000-00005FBF0000}"/>
    <cellStyle name="Style 31 9 2 2 4 2" xfId="48987" xr:uid="{00000000-0005-0000-0000-000060BF0000}"/>
    <cellStyle name="Style 31 9 2 2 4 3" xfId="48988" xr:uid="{00000000-0005-0000-0000-000061BF0000}"/>
    <cellStyle name="Style 31 9 2 2 5" xfId="48989" xr:uid="{00000000-0005-0000-0000-000062BF0000}"/>
    <cellStyle name="Style 31 9 2 2 5 2" xfId="48990" xr:uid="{00000000-0005-0000-0000-000063BF0000}"/>
    <cellStyle name="Style 31 9 2 2 5 3" xfId="48991" xr:uid="{00000000-0005-0000-0000-000064BF0000}"/>
    <cellStyle name="Style 31 9 2 2 6" xfId="48992" xr:uid="{00000000-0005-0000-0000-000065BF0000}"/>
    <cellStyle name="Style 31 9 2 2 7" xfId="48993" xr:uid="{00000000-0005-0000-0000-000066BF0000}"/>
    <cellStyle name="Style 31 9 2 2 8" xfId="48994" xr:uid="{00000000-0005-0000-0000-000067BF0000}"/>
    <cellStyle name="Style 31 9 2 3" xfId="48995" xr:uid="{00000000-0005-0000-0000-000068BF0000}"/>
    <cellStyle name="Style 31 9 2 3 2" xfId="48996" xr:uid="{00000000-0005-0000-0000-000069BF0000}"/>
    <cellStyle name="Style 31 9 2 3 2 2" xfId="48997" xr:uid="{00000000-0005-0000-0000-00006ABF0000}"/>
    <cellStyle name="Style 31 9 2 3 2 2 2" xfId="48998" xr:uid="{00000000-0005-0000-0000-00006BBF0000}"/>
    <cellStyle name="Style 31 9 2 3 2 2 3" xfId="48999" xr:uid="{00000000-0005-0000-0000-00006CBF0000}"/>
    <cellStyle name="Style 31 9 2 3 2 3" xfId="49000" xr:uid="{00000000-0005-0000-0000-00006DBF0000}"/>
    <cellStyle name="Style 31 9 2 3 2 3 2" xfId="49001" xr:uid="{00000000-0005-0000-0000-00006EBF0000}"/>
    <cellStyle name="Style 31 9 2 3 2 3 3" xfId="49002" xr:uid="{00000000-0005-0000-0000-00006FBF0000}"/>
    <cellStyle name="Style 31 9 2 3 2 4" xfId="49003" xr:uid="{00000000-0005-0000-0000-000070BF0000}"/>
    <cellStyle name="Style 31 9 2 3 2 5" xfId="49004" xr:uid="{00000000-0005-0000-0000-000071BF0000}"/>
    <cellStyle name="Style 31 9 2 3 2 6" xfId="49005" xr:uid="{00000000-0005-0000-0000-000072BF0000}"/>
    <cellStyle name="Style 31 9 2 3 3" xfId="49006" xr:uid="{00000000-0005-0000-0000-000073BF0000}"/>
    <cellStyle name="Style 31 9 2 3 3 2" xfId="49007" xr:uid="{00000000-0005-0000-0000-000074BF0000}"/>
    <cellStyle name="Style 31 9 2 3 3 3" xfId="49008" xr:uid="{00000000-0005-0000-0000-000075BF0000}"/>
    <cellStyle name="Style 31 9 2 3 4" xfId="49009" xr:uid="{00000000-0005-0000-0000-000076BF0000}"/>
    <cellStyle name="Style 31 9 2 3 4 2" xfId="49010" xr:uid="{00000000-0005-0000-0000-000077BF0000}"/>
    <cellStyle name="Style 31 9 2 3 4 3" xfId="49011" xr:uid="{00000000-0005-0000-0000-000078BF0000}"/>
    <cellStyle name="Style 31 9 2 3 5" xfId="49012" xr:uid="{00000000-0005-0000-0000-000079BF0000}"/>
    <cellStyle name="Style 31 9 2 3 5 2" xfId="49013" xr:uid="{00000000-0005-0000-0000-00007ABF0000}"/>
    <cellStyle name="Style 31 9 2 3 5 3" xfId="49014" xr:uid="{00000000-0005-0000-0000-00007BBF0000}"/>
    <cellStyle name="Style 31 9 2 3 6" xfId="49015" xr:uid="{00000000-0005-0000-0000-00007CBF0000}"/>
    <cellStyle name="Style 31 9 2 3 7" xfId="49016" xr:uid="{00000000-0005-0000-0000-00007DBF0000}"/>
    <cellStyle name="Style 31 9 2 3 8" xfId="49017" xr:uid="{00000000-0005-0000-0000-00007EBF0000}"/>
    <cellStyle name="Style 31 9 2 4" xfId="49018" xr:uid="{00000000-0005-0000-0000-00007FBF0000}"/>
    <cellStyle name="Style 31 9 2 4 2" xfId="49019" xr:uid="{00000000-0005-0000-0000-000080BF0000}"/>
    <cellStyle name="Style 31 9 2 4 2 2" xfId="49020" xr:uid="{00000000-0005-0000-0000-000081BF0000}"/>
    <cellStyle name="Style 31 9 2 4 2 3" xfId="49021" xr:uid="{00000000-0005-0000-0000-000082BF0000}"/>
    <cellStyle name="Style 31 9 2 4 3" xfId="49022" xr:uid="{00000000-0005-0000-0000-000083BF0000}"/>
    <cellStyle name="Style 31 9 2 4 3 2" xfId="49023" xr:uid="{00000000-0005-0000-0000-000084BF0000}"/>
    <cellStyle name="Style 31 9 2 4 3 3" xfId="49024" xr:uid="{00000000-0005-0000-0000-000085BF0000}"/>
    <cellStyle name="Style 31 9 2 4 4" xfId="49025" xr:uid="{00000000-0005-0000-0000-000086BF0000}"/>
    <cellStyle name="Style 31 9 2 4 5" xfId="49026" xr:uid="{00000000-0005-0000-0000-000087BF0000}"/>
    <cellStyle name="Style 31 9 2 4 6" xfId="49027" xr:uid="{00000000-0005-0000-0000-000088BF0000}"/>
    <cellStyle name="Style 31 9 2 5" xfId="49028" xr:uid="{00000000-0005-0000-0000-000089BF0000}"/>
    <cellStyle name="Style 31 9 2 5 2" xfId="49029" xr:uid="{00000000-0005-0000-0000-00008ABF0000}"/>
    <cellStyle name="Style 31 9 2 5 3" xfId="49030" xr:uid="{00000000-0005-0000-0000-00008BBF0000}"/>
    <cellStyle name="Style 31 9 2 6" xfId="49031" xr:uid="{00000000-0005-0000-0000-00008CBF0000}"/>
    <cellStyle name="Style 31 9 2 6 2" xfId="49032" xr:uid="{00000000-0005-0000-0000-00008DBF0000}"/>
    <cellStyle name="Style 31 9 2 6 3" xfId="49033" xr:uid="{00000000-0005-0000-0000-00008EBF0000}"/>
    <cellStyle name="Style 31 9 2 7" xfId="49034" xr:uid="{00000000-0005-0000-0000-00008FBF0000}"/>
    <cellStyle name="Style 31 9 2 7 2" xfId="49035" xr:uid="{00000000-0005-0000-0000-000090BF0000}"/>
    <cellStyle name="Style 31 9 2 7 3" xfId="49036" xr:uid="{00000000-0005-0000-0000-000091BF0000}"/>
    <cellStyle name="Style 31 9 2 8" xfId="49037" xr:uid="{00000000-0005-0000-0000-000092BF0000}"/>
    <cellStyle name="Style 31 9 2 9" xfId="49038" xr:uid="{00000000-0005-0000-0000-000093BF0000}"/>
    <cellStyle name="Style 31 9 3" xfId="49039" xr:uid="{00000000-0005-0000-0000-000094BF0000}"/>
    <cellStyle name="Style 31 9 3 2" xfId="49040" xr:uid="{00000000-0005-0000-0000-000095BF0000}"/>
    <cellStyle name="Style 31 9 3 2 2" xfId="49041" xr:uid="{00000000-0005-0000-0000-000096BF0000}"/>
    <cellStyle name="Style 31 9 3 2 2 2" xfId="49042" xr:uid="{00000000-0005-0000-0000-000097BF0000}"/>
    <cellStyle name="Style 31 9 3 2 2 3" xfId="49043" xr:uid="{00000000-0005-0000-0000-000098BF0000}"/>
    <cellStyle name="Style 31 9 3 2 3" xfId="49044" xr:uid="{00000000-0005-0000-0000-000099BF0000}"/>
    <cellStyle name="Style 31 9 3 2 3 2" xfId="49045" xr:uid="{00000000-0005-0000-0000-00009ABF0000}"/>
    <cellStyle name="Style 31 9 3 2 3 3" xfId="49046" xr:uid="{00000000-0005-0000-0000-00009BBF0000}"/>
    <cellStyle name="Style 31 9 3 2 4" xfId="49047" xr:uid="{00000000-0005-0000-0000-00009CBF0000}"/>
    <cellStyle name="Style 31 9 3 2 5" xfId="49048" xr:uid="{00000000-0005-0000-0000-00009DBF0000}"/>
    <cellStyle name="Style 31 9 3 2 6" xfId="49049" xr:uid="{00000000-0005-0000-0000-00009EBF0000}"/>
    <cellStyle name="Style 31 9 3 3" xfId="49050" xr:uid="{00000000-0005-0000-0000-00009FBF0000}"/>
    <cellStyle name="Style 31 9 3 3 2" xfId="49051" xr:uid="{00000000-0005-0000-0000-0000A0BF0000}"/>
    <cellStyle name="Style 31 9 3 3 3" xfId="49052" xr:uid="{00000000-0005-0000-0000-0000A1BF0000}"/>
    <cellStyle name="Style 31 9 3 4" xfId="49053" xr:uid="{00000000-0005-0000-0000-0000A2BF0000}"/>
    <cellStyle name="Style 31 9 3 4 2" xfId="49054" xr:uid="{00000000-0005-0000-0000-0000A3BF0000}"/>
    <cellStyle name="Style 31 9 3 4 3" xfId="49055" xr:uid="{00000000-0005-0000-0000-0000A4BF0000}"/>
    <cellStyle name="Style 31 9 3 5" xfId="49056" xr:uid="{00000000-0005-0000-0000-0000A5BF0000}"/>
    <cellStyle name="Style 31 9 3 5 2" xfId="49057" xr:uid="{00000000-0005-0000-0000-0000A6BF0000}"/>
    <cellStyle name="Style 31 9 3 5 3" xfId="49058" xr:uid="{00000000-0005-0000-0000-0000A7BF0000}"/>
    <cellStyle name="Style 31 9 3 6" xfId="49059" xr:uid="{00000000-0005-0000-0000-0000A8BF0000}"/>
    <cellStyle name="Style 31 9 3 7" xfId="49060" xr:uid="{00000000-0005-0000-0000-0000A9BF0000}"/>
    <cellStyle name="Style 31 9 3 8" xfId="49061" xr:uid="{00000000-0005-0000-0000-0000AABF0000}"/>
    <cellStyle name="Style 31 9 4" xfId="49062" xr:uid="{00000000-0005-0000-0000-0000ABBF0000}"/>
    <cellStyle name="Style 31 9 4 2" xfId="49063" xr:uid="{00000000-0005-0000-0000-0000ACBF0000}"/>
    <cellStyle name="Style 31 9 4 2 2" xfId="49064" xr:uid="{00000000-0005-0000-0000-0000ADBF0000}"/>
    <cellStyle name="Style 31 9 4 2 2 2" xfId="49065" xr:uid="{00000000-0005-0000-0000-0000AEBF0000}"/>
    <cellStyle name="Style 31 9 4 2 2 3" xfId="49066" xr:uid="{00000000-0005-0000-0000-0000AFBF0000}"/>
    <cellStyle name="Style 31 9 4 2 3" xfId="49067" xr:uid="{00000000-0005-0000-0000-0000B0BF0000}"/>
    <cellStyle name="Style 31 9 4 2 3 2" xfId="49068" xr:uid="{00000000-0005-0000-0000-0000B1BF0000}"/>
    <cellStyle name="Style 31 9 4 2 3 3" xfId="49069" xr:uid="{00000000-0005-0000-0000-0000B2BF0000}"/>
    <cellStyle name="Style 31 9 4 2 4" xfId="49070" xr:uid="{00000000-0005-0000-0000-0000B3BF0000}"/>
    <cellStyle name="Style 31 9 4 2 5" xfId="49071" xr:uid="{00000000-0005-0000-0000-0000B4BF0000}"/>
    <cellStyle name="Style 31 9 4 2 6" xfId="49072" xr:uid="{00000000-0005-0000-0000-0000B5BF0000}"/>
    <cellStyle name="Style 31 9 4 3" xfId="49073" xr:uid="{00000000-0005-0000-0000-0000B6BF0000}"/>
    <cellStyle name="Style 31 9 4 3 2" xfId="49074" xr:uid="{00000000-0005-0000-0000-0000B7BF0000}"/>
    <cellStyle name="Style 31 9 4 3 3" xfId="49075" xr:uid="{00000000-0005-0000-0000-0000B8BF0000}"/>
    <cellStyle name="Style 31 9 4 4" xfId="49076" xr:uid="{00000000-0005-0000-0000-0000B9BF0000}"/>
    <cellStyle name="Style 31 9 4 4 2" xfId="49077" xr:uid="{00000000-0005-0000-0000-0000BABF0000}"/>
    <cellStyle name="Style 31 9 4 4 3" xfId="49078" xr:uid="{00000000-0005-0000-0000-0000BBBF0000}"/>
    <cellStyle name="Style 31 9 4 5" xfId="49079" xr:uid="{00000000-0005-0000-0000-0000BCBF0000}"/>
    <cellStyle name="Style 31 9 4 5 2" xfId="49080" xr:uid="{00000000-0005-0000-0000-0000BDBF0000}"/>
    <cellStyle name="Style 31 9 4 5 3" xfId="49081" xr:uid="{00000000-0005-0000-0000-0000BEBF0000}"/>
    <cellStyle name="Style 31 9 4 6" xfId="49082" xr:uid="{00000000-0005-0000-0000-0000BFBF0000}"/>
    <cellStyle name="Style 31 9 4 7" xfId="49083" xr:uid="{00000000-0005-0000-0000-0000C0BF0000}"/>
    <cellStyle name="Style 31 9 4 8" xfId="49084" xr:uid="{00000000-0005-0000-0000-0000C1BF0000}"/>
    <cellStyle name="Style 31 9 5" xfId="49085" xr:uid="{00000000-0005-0000-0000-0000C2BF0000}"/>
    <cellStyle name="Style 31 9 5 2" xfId="49086" xr:uid="{00000000-0005-0000-0000-0000C3BF0000}"/>
    <cellStyle name="Style 31 9 5 2 2" xfId="49087" xr:uid="{00000000-0005-0000-0000-0000C4BF0000}"/>
    <cellStyle name="Style 31 9 5 2 2 2" xfId="49088" xr:uid="{00000000-0005-0000-0000-0000C5BF0000}"/>
    <cellStyle name="Style 31 9 5 2 2 3" xfId="49089" xr:uid="{00000000-0005-0000-0000-0000C6BF0000}"/>
    <cellStyle name="Style 31 9 5 2 3" xfId="49090" xr:uid="{00000000-0005-0000-0000-0000C7BF0000}"/>
    <cellStyle name="Style 31 9 5 2 3 2" xfId="49091" xr:uid="{00000000-0005-0000-0000-0000C8BF0000}"/>
    <cellStyle name="Style 31 9 5 2 3 3" xfId="49092" xr:uid="{00000000-0005-0000-0000-0000C9BF0000}"/>
    <cellStyle name="Style 31 9 5 2 4" xfId="49093" xr:uid="{00000000-0005-0000-0000-0000CABF0000}"/>
    <cellStyle name="Style 31 9 5 2 5" xfId="49094" xr:uid="{00000000-0005-0000-0000-0000CBBF0000}"/>
    <cellStyle name="Style 31 9 5 2 6" xfId="49095" xr:uid="{00000000-0005-0000-0000-0000CCBF0000}"/>
    <cellStyle name="Style 31 9 5 3" xfId="49096" xr:uid="{00000000-0005-0000-0000-0000CDBF0000}"/>
    <cellStyle name="Style 31 9 5 3 2" xfId="49097" xr:uid="{00000000-0005-0000-0000-0000CEBF0000}"/>
    <cellStyle name="Style 31 9 5 3 3" xfId="49098" xr:uid="{00000000-0005-0000-0000-0000CFBF0000}"/>
    <cellStyle name="Style 31 9 5 4" xfId="49099" xr:uid="{00000000-0005-0000-0000-0000D0BF0000}"/>
    <cellStyle name="Style 31 9 5 4 2" xfId="49100" xr:uid="{00000000-0005-0000-0000-0000D1BF0000}"/>
    <cellStyle name="Style 31 9 5 4 3" xfId="49101" xr:uid="{00000000-0005-0000-0000-0000D2BF0000}"/>
    <cellStyle name="Style 31 9 5 5" xfId="49102" xr:uid="{00000000-0005-0000-0000-0000D3BF0000}"/>
    <cellStyle name="Style 31 9 5 5 2" xfId="49103" xr:uid="{00000000-0005-0000-0000-0000D4BF0000}"/>
    <cellStyle name="Style 31 9 5 5 3" xfId="49104" xr:uid="{00000000-0005-0000-0000-0000D5BF0000}"/>
    <cellStyle name="Style 31 9 5 6" xfId="49105" xr:uid="{00000000-0005-0000-0000-0000D6BF0000}"/>
    <cellStyle name="Style 31 9 5 7" xfId="49106" xr:uid="{00000000-0005-0000-0000-0000D7BF0000}"/>
    <cellStyle name="Style 31 9 5 8" xfId="49107" xr:uid="{00000000-0005-0000-0000-0000D8BF0000}"/>
    <cellStyle name="Style 31 9 6" xfId="49108" xr:uid="{00000000-0005-0000-0000-0000D9BF0000}"/>
    <cellStyle name="Style 31 9 6 2" xfId="49109" xr:uid="{00000000-0005-0000-0000-0000DABF0000}"/>
    <cellStyle name="Style 31 9 6 2 2" xfId="49110" xr:uid="{00000000-0005-0000-0000-0000DBBF0000}"/>
    <cellStyle name="Style 31 9 6 2 3" xfId="49111" xr:uid="{00000000-0005-0000-0000-0000DCBF0000}"/>
    <cellStyle name="Style 31 9 6 3" xfId="49112" xr:uid="{00000000-0005-0000-0000-0000DDBF0000}"/>
    <cellStyle name="Style 31 9 6 3 2" xfId="49113" xr:uid="{00000000-0005-0000-0000-0000DEBF0000}"/>
    <cellStyle name="Style 31 9 6 3 3" xfId="49114" xr:uid="{00000000-0005-0000-0000-0000DFBF0000}"/>
    <cellStyle name="Style 31 9 6 4" xfId="49115" xr:uid="{00000000-0005-0000-0000-0000E0BF0000}"/>
    <cellStyle name="Style 31 9 6 5" xfId="49116" xr:uid="{00000000-0005-0000-0000-0000E1BF0000}"/>
    <cellStyle name="Style 31 9 6 6" xfId="49117" xr:uid="{00000000-0005-0000-0000-0000E2BF0000}"/>
    <cellStyle name="Style 31 9 7" xfId="49118" xr:uid="{00000000-0005-0000-0000-0000E3BF0000}"/>
    <cellStyle name="Style 31 9 7 2" xfId="49119" xr:uid="{00000000-0005-0000-0000-0000E4BF0000}"/>
    <cellStyle name="Style 31 9 7 3" xfId="49120" xr:uid="{00000000-0005-0000-0000-0000E5BF0000}"/>
    <cellStyle name="Style 31 9 8" xfId="49121" xr:uid="{00000000-0005-0000-0000-0000E6BF0000}"/>
    <cellStyle name="Style 31 9 8 2" xfId="49122" xr:uid="{00000000-0005-0000-0000-0000E7BF0000}"/>
    <cellStyle name="Style 31 9 8 3" xfId="49123" xr:uid="{00000000-0005-0000-0000-0000E8BF0000}"/>
    <cellStyle name="Style 31 9 9" xfId="49124" xr:uid="{00000000-0005-0000-0000-0000E9BF0000}"/>
    <cellStyle name="Style 31 9 9 2" xfId="49125" xr:uid="{00000000-0005-0000-0000-0000EABF0000}"/>
    <cellStyle name="Style 31 9 9 3" xfId="49126" xr:uid="{00000000-0005-0000-0000-0000EBBF0000}"/>
    <cellStyle name="Style 32" xfId="49127" xr:uid="{00000000-0005-0000-0000-0000ECBF0000}"/>
    <cellStyle name="Style 32 10" xfId="49128" xr:uid="{00000000-0005-0000-0000-0000EDBF0000}"/>
    <cellStyle name="Style 32 10 10" xfId="49129" xr:uid="{00000000-0005-0000-0000-0000EEBF0000}"/>
    <cellStyle name="Style 32 10 11" xfId="49130" xr:uid="{00000000-0005-0000-0000-0000EFBF0000}"/>
    <cellStyle name="Style 32 10 12" xfId="49131" xr:uid="{00000000-0005-0000-0000-0000F0BF0000}"/>
    <cellStyle name="Style 32 10 2" xfId="49132" xr:uid="{00000000-0005-0000-0000-0000F1BF0000}"/>
    <cellStyle name="Style 32 10 2 10" xfId="49133" xr:uid="{00000000-0005-0000-0000-0000F2BF0000}"/>
    <cellStyle name="Style 32 10 2 2" xfId="49134" xr:uid="{00000000-0005-0000-0000-0000F3BF0000}"/>
    <cellStyle name="Style 32 10 2 2 2" xfId="49135" xr:uid="{00000000-0005-0000-0000-0000F4BF0000}"/>
    <cellStyle name="Style 32 10 2 2 2 2" xfId="49136" xr:uid="{00000000-0005-0000-0000-0000F5BF0000}"/>
    <cellStyle name="Style 32 10 2 2 2 2 2" xfId="49137" xr:uid="{00000000-0005-0000-0000-0000F6BF0000}"/>
    <cellStyle name="Style 32 10 2 2 2 2 3" xfId="49138" xr:uid="{00000000-0005-0000-0000-0000F7BF0000}"/>
    <cellStyle name="Style 32 10 2 2 2 3" xfId="49139" xr:uid="{00000000-0005-0000-0000-0000F8BF0000}"/>
    <cellStyle name="Style 32 10 2 2 2 3 2" xfId="49140" xr:uid="{00000000-0005-0000-0000-0000F9BF0000}"/>
    <cellStyle name="Style 32 10 2 2 2 3 3" xfId="49141" xr:uid="{00000000-0005-0000-0000-0000FABF0000}"/>
    <cellStyle name="Style 32 10 2 2 2 4" xfId="49142" xr:uid="{00000000-0005-0000-0000-0000FBBF0000}"/>
    <cellStyle name="Style 32 10 2 2 2 5" xfId="49143" xr:uid="{00000000-0005-0000-0000-0000FCBF0000}"/>
    <cellStyle name="Style 32 10 2 2 2 6" xfId="49144" xr:uid="{00000000-0005-0000-0000-0000FDBF0000}"/>
    <cellStyle name="Style 32 10 2 2 3" xfId="49145" xr:uid="{00000000-0005-0000-0000-0000FEBF0000}"/>
    <cellStyle name="Style 32 10 2 2 3 2" xfId="49146" xr:uid="{00000000-0005-0000-0000-0000FFBF0000}"/>
    <cellStyle name="Style 32 10 2 2 3 3" xfId="49147" xr:uid="{00000000-0005-0000-0000-000000C00000}"/>
    <cellStyle name="Style 32 10 2 2 4" xfId="49148" xr:uid="{00000000-0005-0000-0000-000001C00000}"/>
    <cellStyle name="Style 32 10 2 2 4 2" xfId="49149" xr:uid="{00000000-0005-0000-0000-000002C00000}"/>
    <cellStyle name="Style 32 10 2 2 4 3" xfId="49150" xr:uid="{00000000-0005-0000-0000-000003C00000}"/>
    <cellStyle name="Style 32 10 2 2 5" xfId="49151" xr:uid="{00000000-0005-0000-0000-000004C00000}"/>
    <cellStyle name="Style 32 10 2 2 5 2" xfId="49152" xr:uid="{00000000-0005-0000-0000-000005C00000}"/>
    <cellStyle name="Style 32 10 2 2 5 3" xfId="49153" xr:uid="{00000000-0005-0000-0000-000006C00000}"/>
    <cellStyle name="Style 32 10 2 2 6" xfId="49154" xr:uid="{00000000-0005-0000-0000-000007C00000}"/>
    <cellStyle name="Style 32 10 2 2 7" xfId="49155" xr:uid="{00000000-0005-0000-0000-000008C00000}"/>
    <cellStyle name="Style 32 10 2 2 8" xfId="49156" xr:uid="{00000000-0005-0000-0000-000009C00000}"/>
    <cellStyle name="Style 32 10 2 3" xfId="49157" xr:uid="{00000000-0005-0000-0000-00000AC00000}"/>
    <cellStyle name="Style 32 10 2 3 2" xfId="49158" xr:uid="{00000000-0005-0000-0000-00000BC00000}"/>
    <cellStyle name="Style 32 10 2 3 2 2" xfId="49159" xr:uid="{00000000-0005-0000-0000-00000CC00000}"/>
    <cellStyle name="Style 32 10 2 3 2 2 2" xfId="49160" xr:uid="{00000000-0005-0000-0000-00000DC00000}"/>
    <cellStyle name="Style 32 10 2 3 2 2 3" xfId="49161" xr:uid="{00000000-0005-0000-0000-00000EC00000}"/>
    <cellStyle name="Style 32 10 2 3 2 3" xfId="49162" xr:uid="{00000000-0005-0000-0000-00000FC00000}"/>
    <cellStyle name="Style 32 10 2 3 2 3 2" xfId="49163" xr:uid="{00000000-0005-0000-0000-000010C00000}"/>
    <cellStyle name="Style 32 10 2 3 2 3 3" xfId="49164" xr:uid="{00000000-0005-0000-0000-000011C00000}"/>
    <cellStyle name="Style 32 10 2 3 2 4" xfId="49165" xr:uid="{00000000-0005-0000-0000-000012C00000}"/>
    <cellStyle name="Style 32 10 2 3 2 5" xfId="49166" xr:uid="{00000000-0005-0000-0000-000013C00000}"/>
    <cellStyle name="Style 32 10 2 3 2 6" xfId="49167" xr:uid="{00000000-0005-0000-0000-000014C00000}"/>
    <cellStyle name="Style 32 10 2 3 3" xfId="49168" xr:uid="{00000000-0005-0000-0000-000015C00000}"/>
    <cellStyle name="Style 32 10 2 3 3 2" xfId="49169" xr:uid="{00000000-0005-0000-0000-000016C00000}"/>
    <cellStyle name="Style 32 10 2 3 3 3" xfId="49170" xr:uid="{00000000-0005-0000-0000-000017C00000}"/>
    <cellStyle name="Style 32 10 2 3 4" xfId="49171" xr:uid="{00000000-0005-0000-0000-000018C00000}"/>
    <cellStyle name="Style 32 10 2 3 4 2" xfId="49172" xr:uid="{00000000-0005-0000-0000-000019C00000}"/>
    <cellStyle name="Style 32 10 2 3 4 3" xfId="49173" xr:uid="{00000000-0005-0000-0000-00001AC00000}"/>
    <cellStyle name="Style 32 10 2 3 5" xfId="49174" xr:uid="{00000000-0005-0000-0000-00001BC00000}"/>
    <cellStyle name="Style 32 10 2 3 5 2" xfId="49175" xr:uid="{00000000-0005-0000-0000-00001CC00000}"/>
    <cellStyle name="Style 32 10 2 3 5 3" xfId="49176" xr:uid="{00000000-0005-0000-0000-00001DC00000}"/>
    <cellStyle name="Style 32 10 2 3 6" xfId="49177" xr:uid="{00000000-0005-0000-0000-00001EC00000}"/>
    <cellStyle name="Style 32 10 2 3 7" xfId="49178" xr:uid="{00000000-0005-0000-0000-00001FC00000}"/>
    <cellStyle name="Style 32 10 2 3 8" xfId="49179" xr:uid="{00000000-0005-0000-0000-000020C00000}"/>
    <cellStyle name="Style 32 10 2 4" xfId="49180" xr:uid="{00000000-0005-0000-0000-000021C00000}"/>
    <cellStyle name="Style 32 10 2 4 2" xfId="49181" xr:uid="{00000000-0005-0000-0000-000022C00000}"/>
    <cellStyle name="Style 32 10 2 4 2 2" xfId="49182" xr:uid="{00000000-0005-0000-0000-000023C00000}"/>
    <cellStyle name="Style 32 10 2 4 2 3" xfId="49183" xr:uid="{00000000-0005-0000-0000-000024C00000}"/>
    <cellStyle name="Style 32 10 2 4 3" xfId="49184" xr:uid="{00000000-0005-0000-0000-000025C00000}"/>
    <cellStyle name="Style 32 10 2 4 3 2" xfId="49185" xr:uid="{00000000-0005-0000-0000-000026C00000}"/>
    <cellStyle name="Style 32 10 2 4 3 3" xfId="49186" xr:uid="{00000000-0005-0000-0000-000027C00000}"/>
    <cellStyle name="Style 32 10 2 4 4" xfId="49187" xr:uid="{00000000-0005-0000-0000-000028C00000}"/>
    <cellStyle name="Style 32 10 2 4 5" xfId="49188" xr:uid="{00000000-0005-0000-0000-000029C00000}"/>
    <cellStyle name="Style 32 10 2 4 6" xfId="49189" xr:uid="{00000000-0005-0000-0000-00002AC00000}"/>
    <cellStyle name="Style 32 10 2 5" xfId="49190" xr:uid="{00000000-0005-0000-0000-00002BC00000}"/>
    <cellStyle name="Style 32 10 2 5 2" xfId="49191" xr:uid="{00000000-0005-0000-0000-00002CC00000}"/>
    <cellStyle name="Style 32 10 2 5 3" xfId="49192" xr:uid="{00000000-0005-0000-0000-00002DC00000}"/>
    <cellStyle name="Style 32 10 2 6" xfId="49193" xr:uid="{00000000-0005-0000-0000-00002EC00000}"/>
    <cellStyle name="Style 32 10 2 6 2" xfId="49194" xr:uid="{00000000-0005-0000-0000-00002FC00000}"/>
    <cellStyle name="Style 32 10 2 6 3" xfId="49195" xr:uid="{00000000-0005-0000-0000-000030C00000}"/>
    <cellStyle name="Style 32 10 2 7" xfId="49196" xr:uid="{00000000-0005-0000-0000-000031C00000}"/>
    <cellStyle name="Style 32 10 2 7 2" xfId="49197" xr:uid="{00000000-0005-0000-0000-000032C00000}"/>
    <cellStyle name="Style 32 10 2 7 3" xfId="49198" xr:uid="{00000000-0005-0000-0000-000033C00000}"/>
    <cellStyle name="Style 32 10 2 8" xfId="49199" xr:uid="{00000000-0005-0000-0000-000034C00000}"/>
    <cellStyle name="Style 32 10 2 9" xfId="49200" xr:uid="{00000000-0005-0000-0000-000035C00000}"/>
    <cellStyle name="Style 32 10 3" xfId="49201" xr:uid="{00000000-0005-0000-0000-000036C00000}"/>
    <cellStyle name="Style 32 10 3 2" xfId="49202" xr:uid="{00000000-0005-0000-0000-000037C00000}"/>
    <cellStyle name="Style 32 10 3 2 2" xfId="49203" xr:uid="{00000000-0005-0000-0000-000038C00000}"/>
    <cellStyle name="Style 32 10 3 2 2 2" xfId="49204" xr:uid="{00000000-0005-0000-0000-000039C00000}"/>
    <cellStyle name="Style 32 10 3 2 2 3" xfId="49205" xr:uid="{00000000-0005-0000-0000-00003AC00000}"/>
    <cellStyle name="Style 32 10 3 2 3" xfId="49206" xr:uid="{00000000-0005-0000-0000-00003BC00000}"/>
    <cellStyle name="Style 32 10 3 2 3 2" xfId="49207" xr:uid="{00000000-0005-0000-0000-00003CC00000}"/>
    <cellStyle name="Style 32 10 3 2 3 3" xfId="49208" xr:uid="{00000000-0005-0000-0000-00003DC00000}"/>
    <cellStyle name="Style 32 10 3 2 4" xfId="49209" xr:uid="{00000000-0005-0000-0000-00003EC00000}"/>
    <cellStyle name="Style 32 10 3 2 5" xfId="49210" xr:uid="{00000000-0005-0000-0000-00003FC00000}"/>
    <cellStyle name="Style 32 10 3 2 6" xfId="49211" xr:uid="{00000000-0005-0000-0000-000040C00000}"/>
    <cellStyle name="Style 32 10 3 3" xfId="49212" xr:uid="{00000000-0005-0000-0000-000041C00000}"/>
    <cellStyle name="Style 32 10 3 3 2" xfId="49213" xr:uid="{00000000-0005-0000-0000-000042C00000}"/>
    <cellStyle name="Style 32 10 3 3 3" xfId="49214" xr:uid="{00000000-0005-0000-0000-000043C00000}"/>
    <cellStyle name="Style 32 10 3 4" xfId="49215" xr:uid="{00000000-0005-0000-0000-000044C00000}"/>
    <cellStyle name="Style 32 10 3 4 2" xfId="49216" xr:uid="{00000000-0005-0000-0000-000045C00000}"/>
    <cellStyle name="Style 32 10 3 4 3" xfId="49217" xr:uid="{00000000-0005-0000-0000-000046C00000}"/>
    <cellStyle name="Style 32 10 3 5" xfId="49218" xr:uid="{00000000-0005-0000-0000-000047C00000}"/>
    <cellStyle name="Style 32 10 3 5 2" xfId="49219" xr:uid="{00000000-0005-0000-0000-000048C00000}"/>
    <cellStyle name="Style 32 10 3 5 3" xfId="49220" xr:uid="{00000000-0005-0000-0000-000049C00000}"/>
    <cellStyle name="Style 32 10 3 6" xfId="49221" xr:uid="{00000000-0005-0000-0000-00004AC00000}"/>
    <cellStyle name="Style 32 10 3 7" xfId="49222" xr:uid="{00000000-0005-0000-0000-00004BC00000}"/>
    <cellStyle name="Style 32 10 3 8" xfId="49223" xr:uid="{00000000-0005-0000-0000-00004CC00000}"/>
    <cellStyle name="Style 32 10 4" xfId="49224" xr:uid="{00000000-0005-0000-0000-00004DC00000}"/>
    <cellStyle name="Style 32 10 4 2" xfId="49225" xr:uid="{00000000-0005-0000-0000-00004EC00000}"/>
    <cellStyle name="Style 32 10 4 2 2" xfId="49226" xr:uid="{00000000-0005-0000-0000-00004FC00000}"/>
    <cellStyle name="Style 32 10 4 2 2 2" xfId="49227" xr:uid="{00000000-0005-0000-0000-000050C00000}"/>
    <cellStyle name="Style 32 10 4 2 2 3" xfId="49228" xr:uid="{00000000-0005-0000-0000-000051C00000}"/>
    <cellStyle name="Style 32 10 4 2 3" xfId="49229" xr:uid="{00000000-0005-0000-0000-000052C00000}"/>
    <cellStyle name="Style 32 10 4 2 3 2" xfId="49230" xr:uid="{00000000-0005-0000-0000-000053C00000}"/>
    <cellStyle name="Style 32 10 4 2 3 3" xfId="49231" xr:uid="{00000000-0005-0000-0000-000054C00000}"/>
    <cellStyle name="Style 32 10 4 2 4" xfId="49232" xr:uid="{00000000-0005-0000-0000-000055C00000}"/>
    <cellStyle name="Style 32 10 4 2 5" xfId="49233" xr:uid="{00000000-0005-0000-0000-000056C00000}"/>
    <cellStyle name="Style 32 10 4 2 6" xfId="49234" xr:uid="{00000000-0005-0000-0000-000057C00000}"/>
    <cellStyle name="Style 32 10 4 3" xfId="49235" xr:uid="{00000000-0005-0000-0000-000058C00000}"/>
    <cellStyle name="Style 32 10 4 3 2" xfId="49236" xr:uid="{00000000-0005-0000-0000-000059C00000}"/>
    <cellStyle name="Style 32 10 4 3 3" xfId="49237" xr:uid="{00000000-0005-0000-0000-00005AC00000}"/>
    <cellStyle name="Style 32 10 4 4" xfId="49238" xr:uid="{00000000-0005-0000-0000-00005BC00000}"/>
    <cellStyle name="Style 32 10 4 4 2" xfId="49239" xr:uid="{00000000-0005-0000-0000-00005CC00000}"/>
    <cellStyle name="Style 32 10 4 4 3" xfId="49240" xr:uid="{00000000-0005-0000-0000-00005DC00000}"/>
    <cellStyle name="Style 32 10 4 5" xfId="49241" xr:uid="{00000000-0005-0000-0000-00005EC00000}"/>
    <cellStyle name="Style 32 10 4 5 2" xfId="49242" xr:uid="{00000000-0005-0000-0000-00005FC00000}"/>
    <cellStyle name="Style 32 10 4 5 3" xfId="49243" xr:uid="{00000000-0005-0000-0000-000060C00000}"/>
    <cellStyle name="Style 32 10 4 6" xfId="49244" xr:uid="{00000000-0005-0000-0000-000061C00000}"/>
    <cellStyle name="Style 32 10 4 7" xfId="49245" xr:uid="{00000000-0005-0000-0000-000062C00000}"/>
    <cellStyle name="Style 32 10 4 8" xfId="49246" xr:uid="{00000000-0005-0000-0000-000063C00000}"/>
    <cellStyle name="Style 32 10 5" xfId="49247" xr:uid="{00000000-0005-0000-0000-000064C00000}"/>
    <cellStyle name="Style 32 10 5 2" xfId="49248" xr:uid="{00000000-0005-0000-0000-000065C00000}"/>
    <cellStyle name="Style 32 10 5 2 2" xfId="49249" xr:uid="{00000000-0005-0000-0000-000066C00000}"/>
    <cellStyle name="Style 32 10 5 2 2 2" xfId="49250" xr:uid="{00000000-0005-0000-0000-000067C00000}"/>
    <cellStyle name="Style 32 10 5 2 2 3" xfId="49251" xr:uid="{00000000-0005-0000-0000-000068C00000}"/>
    <cellStyle name="Style 32 10 5 2 3" xfId="49252" xr:uid="{00000000-0005-0000-0000-000069C00000}"/>
    <cellStyle name="Style 32 10 5 2 3 2" xfId="49253" xr:uid="{00000000-0005-0000-0000-00006AC00000}"/>
    <cellStyle name="Style 32 10 5 2 3 3" xfId="49254" xr:uid="{00000000-0005-0000-0000-00006BC00000}"/>
    <cellStyle name="Style 32 10 5 2 4" xfId="49255" xr:uid="{00000000-0005-0000-0000-00006CC00000}"/>
    <cellStyle name="Style 32 10 5 2 5" xfId="49256" xr:uid="{00000000-0005-0000-0000-00006DC00000}"/>
    <cellStyle name="Style 32 10 5 2 6" xfId="49257" xr:uid="{00000000-0005-0000-0000-00006EC00000}"/>
    <cellStyle name="Style 32 10 5 3" xfId="49258" xr:uid="{00000000-0005-0000-0000-00006FC00000}"/>
    <cellStyle name="Style 32 10 5 3 2" xfId="49259" xr:uid="{00000000-0005-0000-0000-000070C00000}"/>
    <cellStyle name="Style 32 10 5 3 3" xfId="49260" xr:uid="{00000000-0005-0000-0000-000071C00000}"/>
    <cellStyle name="Style 32 10 5 4" xfId="49261" xr:uid="{00000000-0005-0000-0000-000072C00000}"/>
    <cellStyle name="Style 32 10 5 4 2" xfId="49262" xr:uid="{00000000-0005-0000-0000-000073C00000}"/>
    <cellStyle name="Style 32 10 5 4 3" xfId="49263" xr:uid="{00000000-0005-0000-0000-000074C00000}"/>
    <cellStyle name="Style 32 10 5 5" xfId="49264" xr:uid="{00000000-0005-0000-0000-000075C00000}"/>
    <cellStyle name="Style 32 10 5 5 2" xfId="49265" xr:uid="{00000000-0005-0000-0000-000076C00000}"/>
    <cellStyle name="Style 32 10 5 5 3" xfId="49266" xr:uid="{00000000-0005-0000-0000-000077C00000}"/>
    <cellStyle name="Style 32 10 5 6" xfId="49267" xr:uid="{00000000-0005-0000-0000-000078C00000}"/>
    <cellStyle name="Style 32 10 5 7" xfId="49268" xr:uid="{00000000-0005-0000-0000-000079C00000}"/>
    <cellStyle name="Style 32 10 5 8" xfId="49269" xr:uid="{00000000-0005-0000-0000-00007AC00000}"/>
    <cellStyle name="Style 32 10 6" xfId="49270" xr:uid="{00000000-0005-0000-0000-00007BC00000}"/>
    <cellStyle name="Style 32 10 6 2" xfId="49271" xr:uid="{00000000-0005-0000-0000-00007CC00000}"/>
    <cellStyle name="Style 32 10 6 2 2" xfId="49272" xr:uid="{00000000-0005-0000-0000-00007DC00000}"/>
    <cellStyle name="Style 32 10 6 2 3" xfId="49273" xr:uid="{00000000-0005-0000-0000-00007EC00000}"/>
    <cellStyle name="Style 32 10 6 3" xfId="49274" xr:uid="{00000000-0005-0000-0000-00007FC00000}"/>
    <cellStyle name="Style 32 10 6 3 2" xfId="49275" xr:uid="{00000000-0005-0000-0000-000080C00000}"/>
    <cellStyle name="Style 32 10 6 3 3" xfId="49276" xr:uid="{00000000-0005-0000-0000-000081C00000}"/>
    <cellStyle name="Style 32 10 6 4" xfId="49277" xr:uid="{00000000-0005-0000-0000-000082C00000}"/>
    <cellStyle name="Style 32 10 6 5" xfId="49278" xr:uid="{00000000-0005-0000-0000-000083C00000}"/>
    <cellStyle name="Style 32 10 6 6" xfId="49279" xr:uid="{00000000-0005-0000-0000-000084C00000}"/>
    <cellStyle name="Style 32 10 7" xfId="49280" xr:uid="{00000000-0005-0000-0000-000085C00000}"/>
    <cellStyle name="Style 32 10 7 2" xfId="49281" xr:uid="{00000000-0005-0000-0000-000086C00000}"/>
    <cellStyle name="Style 32 10 7 3" xfId="49282" xr:uid="{00000000-0005-0000-0000-000087C00000}"/>
    <cellStyle name="Style 32 10 8" xfId="49283" xr:uid="{00000000-0005-0000-0000-000088C00000}"/>
    <cellStyle name="Style 32 10 8 2" xfId="49284" xr:uid="{00000000-0005-0000-0000-000089C00000}"/>
    <cellStyle name="Style 32 10 8 3" xfId="49285" xr:uid="{00000000-0005-0000-0000-00008AC00000}"/>
    <cellStyle name="Style 32 10 9" xfId="49286" xr:uid="{00000000-0005-0000-0000-00008BC00000}"/>
    <cellStyle name="Style 32 10 9 2" xfId="49287" xr:uid="{00000000-0005-0000-0000-00008CC00000}"/>
    <cellStyle name="Style 32 10 9 3" xfId="49288" xr:uid="{00000000-0005-0000-0000-00008DC00000}"/>
    <cellStyle name="Style 32 11" xfId="49289" xr:uid="{00000000-0005-0000-0000-00008EC00000}"/>
    <cellStyle name="Style 32 11 10" xfId="49290" xr:uid="{00000000-0005-0000-0000-00008FC00000}"/>
    <cellStyle name="Style 32 11 11" xfId="49291" xr:uid="{00000000-0005-0000-0000-000090C00000}"/>
    <cellStyle name="Style 32 11 12" xfId="49292" xr:uid="{00000000-0005-0000-0000-000091C00000}"/>
    <cellStyle name="Style 32 11 2" xfId="49293" xr:uid="{00000000-0005-0000-0000-000092C00000}"/>
    <cellStyle name="Style 32 11 2 10" xfId="49294" xr:uid="{00000000-0005-0000-0000-000093C00000}"/>
    <cellStyle name="Style 32 11 2 2" xfId="49295" xr:uid="{00000000-0005-0000-0000-000094C00000}"/>
    <cellStyle name="Style 32 11 2 2 2" xfId="49296" xr:uid="{00000000-0005-0000-0000-000095C00000}"/>
    <cellStyle name="Style 32 11 2 2 2 2" xfId="49297" xr:uid="{00000000-0005-0000-0000-000096C00000}"/>
    <cellStyle name="Style 32 11 2 2 2 2 2" xfId="49298" xr:uid="{00000000-0005-0000-0000-000097C00000}"/>
    <cellStyle name="Style 32 11 2 2 2 2 3" xfId="49299" xr:uid="{00000000-0005-0000-0000-000098C00000}"/>
    <cellStyle name="Style 32 11 2 2 2 3" xfId="49300" xr:uid="{00000000-0005-0000-0000-000099C00000}"/>
    <cellStyle name="Style 32 11 2 2 2 3 2" xfId="49301" xr:uid="{00000000-0005-0000-0000-00009AC00000}"/>
    <cellStyle name="Style 32 11 2 2 2 3 3" xfId="49302" xr:uid="{00000000-0005-0000-0000-00009BC00000}"/>
    <cellStyle name="Style 32 11 2 2 2 4" xfId="49303" xr:uid="{00000000-0005-0000-0000-00009CC00000}"/>
    <cellStyle name="Style 32 11 2 2 2 5" xfId="49304" xr:uid="{00000000-0005-0000-0000-00009DC00000}"/>
    <cellStyle name="Style 32 11 2 2 2 6" xfId="49305" xr:uid="{00000000-0005-0000-0000-00009EC00000}"/>
    <cellStyle name="Style 32 11 2 2 3" xfId="49306" xr:uid="{00000000-0005-0000-0000-00009FC00000}"/>
    <cellStyle name="Style 32 11 2 2 3 2" xfId="49307" xr:uid="{00000000-0005-0000-0000-0000A0C00000}"/>
    <cellStyle name="Style 32 11 2 2 3 3" xfId="49308" xr:uid="{00000000-0005-0000-0000-0000A1C00000}"/>
    <cellStyle name="Style 32 11 2 2 4" xfId="49309" xr:uid="{00000000-0005-0000-0000-0000A2C00000}"/>
    <cellStyle name="Style 32 11 2 2 4 2" xfId="49310" xr:uid="{00000000-0005-0000-0000-0000A3C00000}"/>
    <cellStyle name="Style 32 11 2 2 4 3" xfId="49311" xr:uid="{00000000-0005-0000-0000-0000A4C00000}"/>
    <cellStyle name="Style 32 11 2 2 5" xfId="49312" xr:uid="{00000000-0005-0000-0000-0000A5C00000}"/>
    <cellStyle name="Style 32 11 2 2 5 2" xfId="49313" xr:uid="{00000000-0005-0000-0000-0000A6C00000}"/>
    <cellStyle name="Style 32 11 2 2 5 3" xfId="49314" xr:uid="{00000000-0005-0000-0000-0000A7C00000}"/>
    <cellStyle name="Style 32 11 2 2 6" xfId="49315" xr:uid="{00000000-0005-0000-0000-0000A8C00000}"/>
    <cellStyle name="Style 32 11 2 2 7" xfId="49316" xr:uid="{00000000-0005-0000-0000-0000A9C00000}"/>
    <cellStyle name="Style 32 11 2 2 8" xfId="49317" xr:uid="{00000000-0005-0000-0000-0000AAC00000}"/>
    <cellStyle name="Style 32 11 2 3" xfId="49318" xr:uid="{00000000-0005-0000-0000-0000ABC00000}"/>
    <cellStyle name="Style 32 11 2 3 2" xfId="49319" xr:uid="{00000000-0005-0000-0000-0000ACC00000}"/>
    <cellStyle name="Style 32 11 2 3 2 2" xfId="49320" xr:uid="{00000000-0005-0000-0000-0000ADC00000}"/>
    <cellStyle name="Style 32 11 2 3 2 2 2" xfId="49321" xr:uid="{00000000-0005-0000-0000-0000AEC00000}"/>
    <cellStyle name="Style 32 11 2 3 2 2 3" xfId="49322" xr:uid="{00000000-0005-0000-0000-0000AFC00000}"/>
    <cellStyle name="Style 32 11 2 3 2 3" xfId="49323" xr:uid="{00000000-0005-0000-0000-0000B0C00000}"/>
    <cellStyle name="Style 32 11 2 3 2 3 2" xfId="49324" xr:uid="{00000000-0005-0000-0000-0000B1C00000}"/>
    <cellStyle name="Style 32 11 2 3 2 3 3" xfId="49325" xr:uid="{00000000-0005-0000-0000-0000B2C00000}"/>
    <cellStyle name="Style 32 11 2 3 2 4" xfId="49326" xr:uid="{00000000-0005-0000-0000-0000B3C00000}"/>
    <cellStyle name="Style 32 11 2 3 2 5" xfId="49327" xr:uid="{00000000-0005-0000-0000-0000B4C00000}"/>
    <cellStyle name="Style 32 11 2 3 2 6" xfId="49328" xr:uid="{00000000-0005-0000-0000-0000B5C00000}"/>
    <cellStyle name="Style 32 11 2 3 3" xfId="49329" xr:uid="{00000000-0005-0000-0000-0000B6C00000}"/>
    <cellStyle name="Style 32 11 2 3 3 2" xfId="49330" xr:uid="{00000000-0005-0000-0000-0000B7C00000}"/>
    <cellStyle name="Style 32 11 2 3 3 3" xfId="49331" xr:uid="{00000000-0005-0000-0000-0000B8C00000}"/>
    <cellStyle name="Style 32 11 2 3 4" xfId="49332" xr:uid="{00000000-0005-0000-0000-0000B9C00000}"/>
    <cellStyle name="Style 32 11 2 3 4 2" xfId="49333" xr:uid="{00000000-0005-0000-0000-0000BAC00000}"/>
    <cellStyle name="Style 32 11 2 3 4 3" xfId="49334" xr:uid="{00000000-0005-0000-0000-0000BBC00000}"/>
    <cellStyle name="Style 32 11 2 3 5" xfId="49335" xr:uid="{00000000-0005-0000-0000-0000BCC00000}"/>
    <cellStyle name="Style 32 11 2 3 5 2" xfId="49336" xr:uid="{00000000-0005-0000-0000-0000BDC00000}"/>
    <cellStyle name="Style 32 11 2 3 5 3" xfId="49337" xr:uid="{00000000-0005-0000-0000-0000BEC00000}"/>
    <cellStyle name="Style 32 11 2 3 6" xfId="49338" xr:uid="{00000000-0005-0000-0000-0000BFC00000}"/>
    <cellStyle name="Style 32 11 2 3 7" xfId="49339" xr:uid="{00000000-0005-0000-0000-0000C0C00000}"/>
    <cellStyle name="Style 32 11 2 3 8" xfId="49340" xr:uid="{00000000-0005-0000-0000-0000C1C00000}"/>
    <cellStyle name="Style 32 11 2 4" xfId="49341" xr:uid="{00000000-0005-0000-0000-0000C2C00000}"/>
    <cellStyle name="Style 32 11 2 4 2" xfId="49342" xr:uid="{00000000-0005-0000-0000-0000C3C00000}"/>
    <cellStyle name="Style 32 11 2 4 2 2" xfId="49343" xr:uid="{00000000-0005-0000-0000-0000C4C00000}"/>
    <cellStyle name="Style 32 11 2 4 2 3" xfId="49344" xr:uid="{00000000-0005-0000-0000-0000C5C00000}"/>
    <cellStyle name="Style 32 11 2 4 3" xfId="49345" xr:uid="{00000000-0005-0000-0000-0000C6C00000}"/>
    <cellStyle name="Style 32 11 2 4 3 2" xfId="49346" xr:uid="{00000000-0005-0000-0000-0000C7C00000}"/>
    <cellStyle name="Style 32 11 2 4 3 3" xfId="49347" xr:uid="{00000000-0005-0000-0000-0000C8C00000}"/>
    <cellStyle name="Style 32 11 2 4 4" xfId="49348" xr:uid="{00000000-0005-0000-0000-0000C9C00000}"/>
    <cellStyle name="Style 32 11 2 4 5" xfId="49349" xr:uid="{00000000-0005-0000-0000-0000CAC00000}"/>
    <cellStyle name="Style 32 11 2 4 6" xfId="49350" xr:uid="{00000000-0005-0000-0000-0000CBC00000}"/>
    <cellStyle name="Style 32 11 2 5" xfId="49351" xr:uid="{00000000-0005-0000-0000-0000CCC00000}"/>
    <cellStyle name="Style 32 11 2 5 2" xfId="49352" xr:uid="{00000000-0005-0000-0000-0000CDC00000}"/>
    <cellStyle name="Style 32 11 2 5 3" xfId="49353" xr:uid="{00000000-0005-0000-0000-0000CEC00000}"/>
    <cellStyle name="Style 32 11 2 6" xfId="49354" xr:uid="{00000000-0005-0000-0000-0000CFC00000}"/>
    <cellStyle name="Style 32 11 2 6 2" xfId="49355" xr:uid="{00000000-0005-0000-0000-0000D0C00000}"/>
    <cellStyle name="Style 32 11 2 6 3" xfId="49356" xr:uid="{00000000-0005-0000-0000-0000D1C00000}"/>
    <cellStyle name="Style 32 11 2 7" xfId="49357" xr:uid="{00000000-0005-0000-0000-0000D2C00000}"/>
    <cellStyle name="Style 32 11 2 7 2" xfId="49358" xr:uid="{00000000-0005-0000-0000-0000D3C00000}"/>
    <cellStyle name="Style 32 11 2 7 3" xfId="49359" xr:uid="{00000000-0005-0000-0000-0000D4C00000}"/>
    <cellStyle name="Style 32 11 2 8" xfId="49360" xr:uid="{00000000-0005-0000-0000-0000D5C00000}"/>
    <cellStyle name="Style 32 11 2 9" xfId="49361" xr:uid="{00000000-0005-0000-0000-0000D6C00000}"/>
    <cellStyle name="Style 32 11 3" xfId="49362" xr:uid="{00000000-0005-0000-0000-0000D7C00000}"/>
    <cellStyle name="Style 32 11 3 2" xfId="49363" xr:uid="{00000000-0005-0000-0000-0000D8C00000}"/>
    <cellStyle name="Style 32 11 3 2 2" xfId="49364" xr:uid="{00000000-0005-0000-0000-0000D9C00000}"/>
    <cellStyle name="Style 32 11 3 2 2 2" xfId="49365" xr:uid="{00000000-0005-0000-0000-0000DAC00000}"/>
    <cellStyle name="Style 32 11 3 2 2 3" xfId="49366" xr:uid="{00000000-0005-0000-0000-0000DBC00000}"/>
    <cellStyle name="Style 32 11 3 2 3" xfId="49367" xr:uid="{00000000-0005-0000-0000-0000DCC00000}"/>
    <cellStyle name="Style 32 11 3 2 3 2" xfId="49368" xr:uid="{00000000-0005-0000-0000-0000DDC00000}"/>
    <cellStyle name="Style 32 11 3 2 3 3" xfId="49369" xr:uid="{00000000-0005-0000-0000-0000DEC00000}"/>
    <cellStyle name="Style 32 11 3 2 4" xfId="49370" xr:uid="{00000000-0005-0000-0000-0000DFC00000}"/>
    <cellStyle name="Style 32 11 3 2 5" xfId="49371" xr:uid="{00000000-0005-0000-0000-0000E0C00000}"/>
    <cellStyle name="Style 32 11 3 2 6" xfId="49372" xr:uid="{00000000-0005-0000-0000-0000E1C00000}"/>
    <cellStyle name="Style 32 11 3 3" xfId="49373" xr:uid="{00000000-0005-0000-0000-0000E2C00000}"/>
    <cellStyle name="Style 32 11 3 3 2" xfId="49374" xr:uid="{00000000-0005-0000-0000-0000E3C00000}"/>
    <cellStyle name="Style 32 11 3 3 3" xfId="49375" xr:uid="{00000000-0005-0000-0000-0000E4C00000}"/>
    <cellStyle name="Style 32 11 3 4" xfId="49376" xr:uid="{00000000-0005-0000-0000-0000E5C00000}"/>
    <cellStyle name="Style 32 11 3 4 2" xfId="49377" xr:uid="{00000000-0005-0000-0000-0000E6C00000}"/>
    <cellStyle name="Style 32 11 3 4 3" xfId="49378" xr:uid="{00000000-0005-0000-0000-0000E7C00000}"/>
    <cellStyle name="Style 32 11 3 5" xfId="49379" xr:uid="{00000000-0005-0000-0000-0000E8C00000}"/>
    <cellStyle name="Style 32 11 3 5 2" xfId="49380" xr:uid="{00000000-0005-0000-0000-0000E9C00000}"/>
    <cellStyle name="Style 32 11 3 5 3" xfId="49381" xr:uid="{00000000-0005-0000-0000-0000EAC00000}"/>
    <cellStyle name="Style 32 11 3 6" xfId="49382" xr:uid="{00000000-0005-0000-0000-0000EBC00000}"/>
    <cellStyle name="Style 32 11 3 7" xfId="49383" xr:uid="{00000000-0005-0000-0000-0000ECC00000}"/>
    <cellStyle name="Style 32 11 3 8" xfId="49384" xr:uid="{00000000-0005-0000-0000-0000EDC00000}"/>
    <cellStyle name="Style 32 11 4" xfId="49385" xr:uid="{00000000-0005-0000-0000-0000EEC00000}"/>
    <cellStyle name="Style 32 11 4 2" xfId="49386" xr:uid="{00000000-0005-0000-0000-0000EFC00000}"/>
    <cellStyle name="Style 32 11 4 2 2" xfId="49387" xr:uid="{00000000-0005-0000-0000-0000F0C00000}"/>
    <cellStyle name="Style 32 11 4 2 2 2" xfId="49388" xr:uid="{00000000-0005-0000-0000-0000F1C00000}"/>
    <cellStyle name="Style 32 11 4 2 2 3" xfId="49389" xr:uid="{00000000-0005-0000-0000-0000F2C00000}"/>
    <cellStyle name="Style 32 11 4 2 3" xfId="49390" xr:uid="{00000000-0005-0000-0000-0000F3C00000}"/>
    <cellStyle name="Style 32 11 4 2 3 2" xfId="49391" xr:uid="{00000000-0005-0000-0000-0000F4C00000}"/>
    <cellStyle name="Style 32 11 4 2 3 3" xfId="49392" xr:uid="{00000000-0005-0000-0000-0000F5C00000}"/>
    <cellStyle name="Style 32 11 4 2 4" xfId="49393" xr:uid="{00000000-0005-0000-0000-0000F6C00000}"/>
    <cellStyle name="Style 32 11 4 2 5" xfId="49394" xr:uid="{00000000-0005-0000-0000-0000F7C00000}"/>
    <cellStyle name="Style 32 11 4 2 6" xfId="49395" xr:uid="{00000000-0005-0000-0000-0000F8C00000}"/>
    <cellStyle name="Style 32 11 4 3" xfId="49396" xr:uid="{00000000-0005-0000-0000-0000F9C00000}"/>
    <cellStyle name="Style 32 11 4 3 2" xfId="49397" xr:uid="{00000000-0005-0000-0000-0000FAC00000}"/>
    <cellStyle name="Style 32 11 4 3 3" xfId="49398" xr:uid="{00000000-0005-0000-0000-0000FBC00000}"/>
    <cellStyle name="Style 32 11 4 4" xfId="49399" xr:uid="{00000000-0005-0000-0000-0000FCC00000}"/>
    <cellStyle name="Style 32 11 4 4 2" xfId="49400" xr:uid="{00000000-0005-0000-0000-0000FDC00000}"/>
    <cellStyle name="Style 32 11 4 4 3" xfId="49401" xr:uid="{00000000-0005-0000-0000-0000FEC00000}"/>
    <cellStyle name="Style 32 11 4 5" xfId="49402" xr:uid="{00000000-0005-0000-0000-0000FFC00000}"/>
    <cellStyle name="Style 32 11 4 5 2" xfId="49403" xr:uid="{00000000-0005-0000-0000-000000C10000}"/>
    <cellStyle name="Style 32 11 4 5 3" xfId="49404" xr:uid="{00000000-0005-0000-0000-000001C10000}"/>
    <cellStyle name="Style 32 11 4 6" xfId="49405" xr:uid="{00000000-0005-0000-0000-000002C10000}"/>
    <cellStyle name="Style 32 11 4 7" xfId="49406" xr:uid="{00000000-0005-0000-0000-000003C10000}"/>
    <cellStyle name="Style 32 11 4 8" xfId="49407" xr:uid="{00000000-0005-0000-0000-000004C10000}"/>
    <cellStyle name="Style 32 11 5" xfId="49408" xr:uid="{00000000-0005-0000-0000-000005C10000}"/>
    <cellStyle name="Style 32 11 5 2" xfId="49409" xr:uid="{00000000-0005-0000-0000-000006C10000}"/>
    <cellStyle name="Style 32 11 5 2 2" xfId="49410" xr:uid="{00000000-0005-0000-0000-000007C10000}"/>
    <cellStyle name="Style 32 11 5 2 2 2" xfId="49411" xr:uid="{00000000-0005-0000-0000-000008C10000}"/>
    <cellStyle name="Style 32 11 5 2 2 3" xfId="49412" xr:uid="{00000000-0005-0000-0000-000009C10000}"/>
    <cellStyle name="Style 32 11 5 2 3" xfId="49413" xr:uid="{00000000-0005-0000-0000-00000AC10000}"/>
    <cellStyle name="Style 32 11 5 2 3 2" xfId="49414" xr:uid="{00000000-0005-0000-0000-00000BC10000}"/>
    <cellStyle name="Style 32 11 5 2 3 3" xfId="49415" xr:uid="{00000000-0005-0000-0000-00000CC10000}"/>
    <cellStyle name="Style 32 11 5 2 4" xfId="49416" xr:uid="{00000000-0005-0000-0000-00000DC10000}"/>
    <cellStyle name="Style 32 11 5 2 5" xfId="49417" xr:uid="{00000000-0005-0000-0000-00000EC10000}"/>
    <cellStyle name="Style 32 11 5 2 6" xfId="49418" xr:uid="{00000000-0005-0000-0000-00000FC10000}"/>
    <cellStyle name="Style 32 11 5 3" xfId="49419" xr:uid="{00000000-0005-0000-0000-000010C10000}"/>
    <cellStyle name="Style 32 11 5 3 2" xfId="49420" xr:uid="{00000000-0005-0000-0000-000011C10000}"/>
    <cellStyle name="Style 32 11 5 3 3" xfId="49421" xr:uid="{00000000-0005-0000-0000-000012C10000}"/>
    <cellStyle name="Style 32 11 5 4" xfId="49422" xr:uid="{00000000-0005-0000-0000-000013C10000}"/>
    <cellStyle name="Style 32 11 5 4 2" xfId="49423" xr:uid="{00000000-0005-0000-0000-000014C10000}"/>
    <cellStyle name="Style 32 11 5 4 3" xfId="49424" xr:uid="{00000000-0005-0000-0000-000015C10000}"/>
    <cellStyle name="Style 32 11 5 5" xfId="49425" xr:uid="{00000000-0005-0000-0000-000016C10000}"/>
    <cellStyle name="Style 32 11 5 5 2" xfId="49426" xr:uid="{00000000-0005-0000-0000-000017C10000}"/>
    <cellStyle name="Style 32 11 5 5 3" xfId="49427" xr:uid="{00000000-0005-0000-0000-000018C10000}"/>
    <cellStyle name="Style 32 11 5 6" xfId="49428" xr:uid="{00000000-0005-0000-0000-000019C10000}"/>
    <cellStyle name="Style 32 11 5 7" xfId="49429" xr:uid="{00000000-0005-0000-0000-00001AC10000}"/>
    <cellStyle name="Style 32 11 5 8" xfId="49430" xr:uid="{00000000-0005-0000-0000-00001BC10000}"/>
    <cellStyle name="Style 32 11 6" xfId="49431" xr:uid="{00000000-0005-0000-0000-00001CC10000}"/>
    <cellStyle name="Style 32 11 6 2" xfId="49432" xr:uid="{00000000-0005-0000-0000-00001DC10000}"/>
    <cellStyle name="Style 32 11 6 2 2" xfId="49433" xr:uid="{00000000-0005-0000-0000-00001EC10000}"/>
    <cellStyle name="Style 32 11 6 2 3" xfId="49434" xr:uid="{00000000-0005-0000-0000-00001FC10000}"/>
    <cellStyle name="Style 32 11 6 3" xfId="49435" xr:uid="{00000000-0005-0000-0000-000020C10000}"/>
    <cellStyle name="Style 32 11 6 3 2" xfId="49436" xr:uid="{00000000-0005-0000-0000-000021C10000}"/>
    <cellStyle name="Style 32 11 6 3 3" xfId="49437" xr:uid="{00000000-0005-0000-0000-000022C10000}"/>
    <cellStyle name="Style 32 11 6 4" xfId="49438" xr:uid="{00000000-0005-0000-0000-000023C10000}"/>
    <cellStyle name="Style 32 11 6 5" xfId="49439" xr:uid="{00000000-0005-0000-0000-000024C10000}"/>
    <cellStyle name="Style 32 11 6 6" xfId="49440" xr:uid="{00000000-0005-0000-0000-000025C10000}"/>
    <cellStyle name="Style 32 11 7" xfId="49441" xr:uid="{00000000-0005-0000-0000-000026C10000}"/>
    <cellStyle name="Style 32 11 7 2" xfId="49442" xr:uid="{00000000-0005-0000-0000-000027C10000}"/>
    <cellStyle name="Style 32 11 7 3" xfId="49443" xr:uid="{00000000-0005-0000-0000-000028C10000}"/>
    <cellStyle name="Style 32 11 8" xfId="49444" xr:uid="{00000000-0005-0000-0000-000029C10000}"/>
    <cellStyle name="Style 32 11 8 2" xfId="49445" xr:uid="{00000000-0005-0000-0000-00002AC10000}"/>
    <cellStyle name="Style 32 11 8 3" xfId="49446" xr:uid="{00000000-0005-0000-0000-00002BC10000}"/>
    <cellStyle name="Style 32 11 9" xfId="49447" xr:uid="{00000000-0005-0000-0000-00002CC10000}"/>
    <cellStyle name="Style 32 11 9 2" xfId="49448" xr:uid="{00000000-0005-0000-0000-00002DC10000}"/>
    <cellStyle name="Style 32 11 9 3" xfId="49449" xr:uid="{00000000-0005-0000-0000-00002EC10000}"/>
    <cellStyle name="Style 32 12" xfId="49450" xr:uid="{00000000-0005-0000-0000-00002FC10000}"/>
    <cellStyle name="Style 32 12 10" xfId="49451" xr:uid="{00000000-0005-0000-0000-000030C10000}"/>
    <cellStyle name="Style 32 12 2" xfId="49452" xr:uid="{00000000-0005-0000-0000-000031C10000}"/>
    <cellStyle name="Style 32 12 2 2" xfId="49453" xr:uid="{00000000-0005-0000-0000-000032C10000}"/>
    <cellStyle name="Style 32 12 2 2 2" xfId="49454" xr:uid="{00000000-0005-0000-0000-000033C10000}"/>
    <cellStyle name="Style 32 12 2 2 2 2" xfId="49455" xr:uid="{00000000-0005-0000-0000-000034C10000}"/>
    <cellStyle name="Style 32 12 2 2 2 3" xfId="49456" xr:uid="{00000000-0005-0000-0000-000035C10000}"/>
    <cellStyle name="Style 32 12 2 2 3" xfId="49457" xr:uid="{00000000-0005-0000-0000-000036C10000}"/>
    <cellStyle name="Style 32 12 2 2 3 2" xfId="49458" xr:uid="{00000000-0005-0000-0000-000037C10000}"/>
    <cellStyle name="Style 32 12 2 2 3 3" xfId="49459" xr:uid="{00000000-0005-0000-0000-000038C10000}"/>
    <cellStyle name="Style 32 12 2 2 4" xfId="49460" xr:uid="{00000000-0005-0000-0000-000039C10000}"/>
    <cellStyle name="Style 32 12 2 2 5" xfId="49461" xr:uid="{00000000-0005-0000-0000-00003AC10000}"/>
    <cellStyle name="Style 32 12 2 2 6" xfId="49462" xr:uid="{00000000-0005-0000-0000-00003BC10000}"/>
    <cellStyle name="Style 32 12 2 3" xfId="49463" xr:uid="{00000000-0005-0000-0000-00003CC10000}"/>
    <cellStyle name="Style 32 12 2 3 2" xfId="49464" xr:uid="{00000000-0005-0000-0000-00003DC10000}"/>
    <cellStyle name="Style 32 12 2 3 3" xfId="49465" xr:uid="{00000000-0005-0000-0000-00003EC10000}"/>
    <cellStyle name="Style 32 12 2 4" xfId="49466" xr:uid="{00000000-0005-0000-0000-00003FC10000}"/>
    <cellStyle name="Style 32 12 2 4 2" xfId="49467" xr:uid="{00000000-0005-0000-0000-000040C10000}"/>
    <cellStyle name="Style 32 12 2 4 3" xfId="49468" xr:uid="{00000000-0005-0000-0000-000041C10000}"/>
    <cellStyle name="Style 32 12 2 5" xfId="49469" xr:uid="{00000000-0005-0000-0000-000042C10000}"/>
    <cellStyle name="Style 32 12 2 5 2" xfId="49470" xr:uid="{00000000-0005-0000-0000-000043C10000}"/>
    <cellStyle name="Style 32 12 2 5 3" xfId="49471" xr:uid="{00000000-0005-0000-0000-000044C10000}"/>
    <cellStyle name="Style 32 12 2 6" xfId="49472" xr:uid="{00000000-0005-0000-0000-000045C10000}"/>
    <cellStyle name="Style 32 12 2 7" xfId="49473" xr:uid="{00000000-0005-0000-0000-000046C10000}"/>
    <cellStyle name="Style 32 12 2 8" xfId="49474" xr:uid="{00000000-0005-0000-0000-000047C10000}"/>
    <cellStyle name="Style 32 12 3" xfId="49475" xr:uid="{00000000-0005-0000-0000-000048C10000}"/>
    <cellStyle name="Style 32 12 3 2" xfId="49476" xr:uid="{00000000-0005-0000-0000-000049C10000}"/>
    <cellStyle name="Style 32 12 3 2 2" xfId="49477" xr:uid="{00000000-0005-0000-0000-00004AC10000}"/>
    <cellStyle name="Style 32 12 3 2 2 2" xfId="49478" xr:uid="{00000000-0005-0000-0000-00004BC10000}"/>
    <cellStyle name="Style 32 12 3 2 2 3" xfId="49479" xr:uid="{00000000-0005-0000-0000-00004CC10000}"/>
    <cellStyle name="Style 32 12 3 2 3" xfId="49480" xr:uid="{00000000-0005-0000-0000-00004DC10000}"/>
    <cellStyle name="Style 32 12 3 2 3 2" xfId="49481" xr:uid="{00000000-0005-0000-0000-00004EC10000}"/>
    <cellStyle name="Style 32 12 3 2 3 3" xfId="49482" xr:uid="{00000000-0005-0000-0000-00004FC10000}"/>
    <cellStyle name="Style 32 12 3 2 4" xfId="49483" xr:uid="{00000000-0005-0000-0000-000050C10000}"/>
    <cellStyle name="Style 32 12 3 2 5" xfId="49484" xr:uid="{00000000-0005-0000-0000-000051C10000}"/>
    <cellStyle name="Style 32 12 3 2 6" xfId="49485" xr:uid="{00000000-0005-0000-0000-000052C10000}"/>
    <cellStyle name="Style 32 12 3 3" xfId="49486" xr:uid="{00000000-0005-0000-0000-000053C10000}"/>
    <cellStyle name="Style 32 12 3 3 2" xfId="49487" xr:uid="{00000000-0005-0000-0000-000054C10000}"/>
    <cellStyle name="Style 32 12 3 3 3" xfId="49488" xr:uid="{00000000-0005-0000-0000-000055C10000}"/>
    <cellStyle name="Style 32 12 3 4" xfId="49489" xr:uid="{00000000-0005-0000-0000-000056C10000}"/>
    <cellStyle name="Style 32 12 3 4 2" xfId="49490" xr:uid="{00000000-0005-0000-0000-000057C10000}"/>
    <cellStyle name="Style 32 12 3 4 3" xfId="49491" xr:uid="{00000000-0005-0000-0000-000058C10000}"/>
    <cellStyle name="Style 32 12 3 5" xfId="49492" xr:uid="{00000000-0005-0000-0000-000059C10000}"/>
    <cellStyle name="Style 32 12 3 5 2" xfId="49493" xr:uid="{00000000-0005-0000-0000-00005AC10000}"/>
    <cellStyle name="Style 32 12 3 5 3" xfId="49494" xr:uid="{00000000-0005-0000-0000-00005BC10000}"/>
    <cellStyle name="Style 32 12 3 6" xfId="49495" xr:uid="{00000000-0005-0000-0000-00005CC10000}"/>
    <cellStyle name="Style 32 12 3 7" xfId="49496" xr:uid="{00000000-0005-0000-0000-00005DC10000}"/>
    <cellStyle name="Style 32 12 3 8" xfId="49497" xr:uid="{00000000-0005-0000-0000-00005EC10000}"/>
    <cellStyle name="Style 32 12 4" xfId="49498" xr:uid="{00000000-0005-0000-0000-00005FC10000}"/>
    <cellStyle name="Style 32 12 4 2" xfId="49499" xr:uid="{00000000-0005-0000-0000-000060C10000}"/>
    <cellStyle name="Style 32 12 4 2 2" xfId="49500" xr:uid="{00000000-0005-0000-0000-000061C10000}"/>
    <cellStyle name="Style 32 12 4 2 3" xfId="49501" xr:uid="{00000000-0005-0000-0000-000062C10000}"/>
    <cellStyle name="Style 32 12 4 3" xfId="49502" xr:uid="{00000000-0005-0000-0000-000063C10000}"/>
    <cellStyle name="Style 32 12 4 3 2" xfId="49503" xr:uid="{00000000-0005-0000-0000-000064C10000}"/>
    <cellStyle name="Style 32 12 4 3 3" xfId="49504" xr:uid="{00000000-0005-0000-0000-000065C10000}"/>
    <cellStyle name="Style 32 12 4 4" xfId="49505" xr:uid="{00000000-0005-0000-0000-000066C10000}"/>
    <cellStyle name="Style 32 12 4 5" xfId="49506" xr:uid="{00000000-0005-0000-0000-000067C10000}"/>
    <cellStyle name="Style 32 12 4 6" xfId="49507" xr:uid="{00000000-0005-0000-0000-000068C10000}"/>
    <cellStyle name="Style 32 12 5" xfId="49508" xr:uid="{00000000-0005-0000-0000-000069C10000}"/>
    <cellStyle name="Style 32 12 5 2" xfId="49509" xr:uid="{00000000-0005-0000-0000-00006AC10000}"/>
    <cellStyle name="Style 32 12 5 3" xfId="49510" xr:uid="{00000000-0005-0000-0000-00006BC10000}"/>
    <cellStyle name="Style 32 12 6" xfId="49511" xr:uid="{00000000-0005-0000-0000-00006CC10000}"/>
    <cellStyle name="Style 32 12 6 2" xfId="49512" xr:uid="{00000000-0005-0000-0000-00006DC10000}"/>
    <cellStyle name="Style 32 12 6 3" xfId="49513" xr:uid="{00000000-0005-0000-0000-00006EC10000}"/>
    <cellStyle name="Style 32 12 7" xfId="49514" xr:uid="{00000000-0005-0000-0000-00006FC10000}"/>
    <cellStyle name="Style 32 12 7 2" xfId="49515" xr:uid="{00000000-0005-0000-0000-000070C10000}"/>
    <cellStyle name="Style 32 12 7 3" xfId="49516" xr:uid="{00000000-0005-0000-0000-000071C10000}"/>
    <cellStyle name="Style 32 12 8" xfId="49517" xr:uid="{00000000-0005-0000-0000-000072C10000}"/>
    <cellStyle name="Style 32 12 9" xfId="49518" xr:uid="{00000000-0005-0000-0000-000073C10000}"/>
    <cellStyle name="Style 32 13" xfId="49519" xr:uid="{00000000-0005-0000-0000-000074C10000}"/>
    <cellStyle name="Style 32 13 2" xfId="49520" xr:uid="{00000000-0005-0000-0000-000075C10000}"/>
    <cellStyle name="Style 32 13 2 2" xfId="49521" xr:uid="{00000000-0005-0000-0000-000076C10000}"/>
    <cellStyle name="Style 32 13 2 2 2" xfId="49522" xr:uid="{00000000-0005-0000-0000-000077C10000}"/>
    <cellStyle name="Style 32 13 2 2 3" xfId="49523" xr:uid="{00000000-0005-0000-0000-000078C10000}"/>
    <cellStyle name="Style 32 13 2 3" xfId="49524" xr:uid="{00000000-0005-0000-0000-000079C10000}"/>
    <cellStyle name="Style 32 13 2 3 2" xfId="49525" xr:uid="{00000000-0005-0000-0000-00007AC10000}"/>
    <cellStyle name="Style 32 13 2 3 3" xfId="49526" xr:uid="{00000000-0005-0000-0000-00007BC10000}"/>
    <cellStyle name="Style 32 13 2 4" xfId="49527" xr:uid="{00000000-0005-0000-0000-00007CC10000}"/>
    <cellStyle name="Style 32 13 2 5" xfId="49528" xr:uid="{00000000-0005-0000-0000-00007DC10000}"/>
    <cellStyle name="Style 32 13 2 6" xfId="49529" xr:uid="{00000000-0005-0000-0000-00007EC10000}"/>
    <cellStyle name="Style 32 13 3" xfId="49530" xr:uid="{00000000-0005-0000-0000-00007FC10000}"/>
    <cellStyle name="Style 32 13 3 2" xfId="49531" xr:uid="{00000000-0005-0000-0000-000080C10000}"/>
    <cellStyle name="Style 32 13 3 3" xfId="49532" xr:uid="{00000000-0005-0000-0000-000081C10000}"/>
    <cellStyle name="Style 32 13 4" xfId="49533" xr:uid="{00000000-0005-0000-0000-000082C10000}"/>
    <cellStyle name="Style 32 13 4 2" xfId="49534" xr:uid="{00000000-0005-0000-0000-000083C10000}"/>
    <cellStyle name="Style 32 13 4 3" xfId="49535" xr:uid="{00000000-0005-0000-0000-000084C10000}"/>
    <cellStyle name="Style 32 13 5" xfId="49536" xr:uid="{00000000-0005-0000-0000-000085C10000}"/>
    <cellStyle name="Style 32 13 5 2" xfId="49537" xr:uid="{00000000-0005-0000-0000-000086C10000}"/>
    <cellStyle name="Style 32 13 5 3" xfId="49538" xr:uid="{00000000-0005-0000-0000-000087C10000}"/>
    <cellStyle name="Style 32 13 6" xfId="49539" xr:uid="{00000000-0005-0000-0000-000088C10000}"/>
    <cellStyle name="Style 32 13 7" xfId="49540" xr:uid="{00000000-0005-0000-0000-000089C10000}"/>
    <cellStyle name="Style 32 13 8" xfId="49541" xr:uid="{00000000-0005-0000-0000-00008AC10000}"/>
    <cellStyle name="Style 32 14" xfId="49542" xr:uid="{00000000-0005-0000-0000-00008BC10000}"/>
    <cellStyle name="Style 32 14 2" xfId="49543" xr:uid="{00000000-0005-0000-0000-00008CC10000}"/>
    <cellStyle name="Style 32 14 2 2" xfId="49544" xr:uid="{00000000-0005-0000-0000-00008DC10000}"/>
    <cellStyle name="Style 32 14 2 2 2" xfId="49545" xr:uid="{00000000-0005-0000-0000-00008EC10000}"/>
    <cellStyle name="Style 32 14 2 2 3" xfId="49546" xr:uid="{00000000-0005-0000-0000-00008FC10000}"/>
    <cellStyle name="Style 32 14 2 3" xfId="49547" xr:uid="{00000000-0005-0000-0000-000090C10000}"/>
    <cellStyle name="Style 32 14 2 3 2" xfId="49548" xr:uid="{00000000-0005-0000-0000-000091C10000}"/>
    <cellStyle name="Style 32 14 2 3 3" xfId="49549" xr:uid="{00000000-0005-0000-0000-000092C10000}"/>
    <cellStyle name="Style 32 14 2 4" xfId="49550" xr:uid="{00000000-0005-0000-0000-000093C10000}"/>
    <cellStyle name="Style 32 14 2 5" xfId="49551" xr:uid="{00000000-0005-0000-0000-000094C10000}"/>
    <cellStyle name="Style 32 14 2 6" xfId="49552" xr:uid="{00000000-0005-0000-0000-000095C10000}"/>
    <cellStyle name="Style 32 14 3" xfId="49553" xr:uid="{00000000-0005-0000-0000-000096C10000}"/>
    <cellStyle name="Style 32 14 3 2" xfId="49554" xr:uid="{00000000-0005-0000-0000-000097C10000}"/>
    <cellStyle name="Style 32 14 3 3" xfId="49555" xr:uid="{00000000-0005-0000-0000-000098C10000}"/>
    <cellStyle name="Style 32 14 4" xfId="49556" xr:uid="{00000000-0005-0000-0000-000099C10000}"/>
    <cellStyle name="Style 32 14 4 2" xfId="49557" xr:uid="{00000000-0005-0000-0000-00009AC10000}"/>
    <cellStyle name="Style 32 14 4 3" xfId="49558" xr:uid="{00000000-0005-0000-0000-00009BC10000}"/>
    <cellStyle name="Style 32 14 5" xfId="49559" xr:uid="{00000000-0005-0000-0000-00009CC10000}"/>
    <cellStyle name="Style 32 14 5 2" xfId="49560" xr:uid="{00000000-0005-0000-0000-00009DC10000}"/>
    <cellStyle name="Style 32 14 5 3" xfId="49561" xr:uid="{00000000-0005-0000-0000-00009EC10000}"/>
    <cellStyle name="Style 32 14 6" xfId="49562" xr:uid="{00000000-0005-0000-0000-00009FC10000}"/>
    <cellStyle name="Style 32 14 7" xfId="49563" xr:uid="{00000000-0005-0000-0000-0000A0C10000}"/>
    <cellStyle name="Style 32 14 8" xfId="49564" xr:uid="{00000000-0005-0000-0000-0000A1C10000}"/>
    <cellStyle name="Style 32 15" xfId="49565" xr:uid="{00000000-0005-0000-0000-0000A2C10000}"/>
    <cellStyle name="Style 32 15 2" xfId="49566" xr:uid="{00000000-0005-0000-0000-0000A3C10000}"/>
    <cellStyle name="Style 32 15 2 2" xfId="49567" xr:uid="{00000000-0005-0000-0000-0000A4C10000}"/>
    <cellStyle name="Style 32 15 2 2 2" xfId="49568" xr:uid="{00000000-0005-0000-0000-0000A5C10000}"/>
    <cellStyle name="Style 32 15 2 2 3" xfId="49569" xr:uid="{00000000-0005-0000-0000-0000A6C10000}"/>
    <cellStyle name="Style 32 15 2 3" xfId="49570" xr:uid="{00000000-0005-0000-0000-0000A7C10000}"/>
    <cellStyle name="Style 32 15 2 3 2" xfId="49571" xr:uid="{00000000-0005-0000-0000-0000A8C10000}"/>
    <cellStyle name="Style 32 15 2 3 3" xfId="49572" xr:uid="{00000000-0005-0000-0000-0000A9C10000}"/>
    <cellStyle name="Style 32 15 2 4" xfId="49573" xr:uid="{00000000-0005-0000-0000-0000AAC10000}"/>
    <cellStyle name="Style 32 15 2 5" xfId="49574" xr:uid="{00000000-0005-0000-0000-0000ABC10000}"/>
    <cellStyle name="Style 32 15 2 6" xfId="49575" xr:uid="{00000000-0005-0000-0000-0000ACC10000}"/>
    <cellStyle name="Style 32 15 3" xfId="49576" xr:uid="{00000000-0005-0000-0000-0000ADC10000}"/>
    <cellStyle name="Style 32 15 3 2" xfId="49577" xr:uid="{00000000-0005-0000-0000-0000AEC10000}"/>
    <cellStyle name="Style 32 15 3 3" xfId="49578" xr:uid="{00000000-0005-0000-0000-0000AFC10000}"/>
    <cellStyle name="Style 32 15 4" xfId="49579" xr:uid="{00000000-0005-0000-0000-0000B0C10000}"/>
    <cellStyle name="Style 32 15 4 2" xfId="49580" xr:uid="{00000000-0005-0000-0000-0000B1C10000}"/>
    <cellStyle name="Style 32 15 4 3" xfId="49581" xr:uid="{00000000-0005-0000-0000-0000B2C10000}"/>
    <cellStyle name="Style 32 15 5" xfId="49582" xr:uid="{00000000-0005-0000-0000-0000B3C10000}"/>
    <cellStyle name="Style 32 15 5 2" xfId="49583" xr:uid="{00000000-0005-0000-0000-0000B4C10000}"/>
    <cellStyle name="Style 32 15 5 3" xfId="49584" xr:uid="{00000000-0005-0000-0000-0000B5C10000}"/>
    <cellStyle name="Style 32 15 6" xfId="49585" xr:uid="{00000000-0005-0000-0000-0000B6C10000}"/>
    <cellStyle name="Style 32 15 7" xfId="49586" xr:uid="{00000000-0005-0000-0000-0000B7C10000}"/>
    <cellStyle name="Style 32 15 8" xfId="49587" xr:uid="{00000000-0005-0000-0000-0000B8C10000}"/>
    <cellStyle name="Style 32 16" xfId="49588" xr:uid="{00000000-0005-0000-0000-0000B9C10000}"/>
    <cellStyle name="Style 32 16 2" xfId="49589" xr:uid="{00000000-0005-0000-0000-0000BAC10000}"/>
    <cellStyle name="Style 32 16 2 2" xfId="49590" xr:uid="{00000000-0005-0000-0000-0000BBC10000}"/>
    <cellStyle name="Style 32 16 2 3" xfId="49591" xr:uid="{00000000-0005-0000-0000-0000BCC10000}"/>
    <cellStyle name="Style 32 16 3" xfId="49592" xr:uid="{00000000-0005-0000-0000-0000BDC10000}"/>
    <cellStyle name="Style 32 16 3 2" xfId="49593" xr:uid="{00000000-0005-0000-0000-0000BEC10000}"/>
    <cellStyle name="Style 32 16 3 3" xfId="49594" xr:uid="{00000000-0005-0000-0000-0000BFC10000}"/>
    <cellStyle name="Style 32 16 4" xfId="49595" xr:uid="{00000000-0005-0000-0000-0000C0C10000}"/>
    <cellStyle name="Style 32 16 5" xfId="49596" xr:uid="{00000000-0005-0000-0000-0000C1C10000}"/>
    <cellStyle name="Style 32 16 6" xfId="49597" xr:uid="{00000000-0005-0000-0000-0000C2C10000}"/>
    <cellStyle name="Style 32 17" xfId="49598" xr:uid="{00000000-0005-0000-0000-0000C3C10000}"/>
    <cellStyle name="Style 32 17 2" xfId="49599" xr:uid="{00000000-0005-0000-0000-0000C4C10000}"/>
    <cellStyle name="Style 32 17 3" xfId="49600" xr:uid="{00000000-0005-0000-0000-0000C5C10000}"/>
    <cellStyle name="Style 32 18" xfId="49601" xr:uid="{00000000-0005-0000-0000-0000C6C10000}"/>
    <cellStyle name="Style 32 18 2" xfId="49602" xr:uid="{00000000-0005-0000-0000-0000C7C10000}"/>
    <cellStyle name="Style 32 18 3" xfId="49603" xr:uid="{00000000-0005-0000-0000-0000C8C10000}"/>
    <cellStyle name="Style 32 19" xfId="49604" xr:uid="{00000000-0005-0000-0000-0000C9C10000}"/>
    <cellStyle name="Style 32 19 2" xfId="49605" xr:uid="{00000000-0005-0000-0000-0000CAC10000}"/>
    <cellStyle name="Style 32 19 3" xfId="49606" xr:uid="{00000000-0005-0000-0000-0000CBC10000}"/>
    <cellStyle name="Style 32 2" xfId="49607" xr:uid="{00000000-0005-0000-0000-0000CCC10000}"/>
    <cellStyle name="Style 32 2 10" xfId="49608" xr:uid="{00000000-0005-0000-0000-0000CDC10000}"/>
    <cellStyle name="Style 32 2 11" xfId="49609" xr:uid="{00000000-0005-0000-0000-0000CEC10000}"/>
    <cellStyle name="Style 32 2 12" xfId="49610" xr:uid="{00000000-0005-0000-0000-0000CFC10000}"/>
    <cellStyle name="Style 32 2 2" xfId="49611" xr:uid="{00000000-0005-0000-0000-0000D0C10000}"/>
    <cellStyle name="Style 32 2 2 10" xfId="49612" xr:uid="{00000000-0005-0000-0000-0000D1C10000}"/>
    <cellStyle name="Style 32 2 2 2" xfId="49613" xr:uid="{00000000-0005-0000-0000-0000D2C10000}"/>
    <cellStyle name="Style 32 2 2 2 2" xfId="49614" xr:uid="{00000000-0005-0000-0000-0000D3C10000}"/>
    <cellStyle name="Style 32 2 2 2 2 2" xfId="49615" xr:uid="{00000000-0005-0000-0000-0000D4C10000}"/>
    <cellStyle name="Style 32 2 2 2 2 2 2" xfId="49616" xr:uid="{00000000-0005-0000-0000-0000D5C10000}"/>
    <cellStyle name="Style 32 2 2 2 2 2 3" xfId="49617" xr:uid="{00000000-0005-0000-0000-0000D6C10000}"/>
    <cellStyle name="Style 32 2 2 2 2 3" xfId="49618" xr:uid="{00000000-0005-0000-0000-0000D7C10000}"/>
    <cellStyle name="Style 32 2 2 2 2 3 2" xfId="49619" xr:uid="{00000000-0005-0000-0000-0000D8C10000}"/>
    <cellStyle name="Style 32 2 2 2 2 3 3" xfId="49620" xr:uid="{00000000-0005-0000-0000-0000D9C10000}"/>
    <cellStyle name="Style 32 2 2 2 2 4" xfId="49621" xr:uid="{00000000-0005-0000-0000-0000DAC10000}"/>
    <cellStyle name="Style 32 2 2 2 2 5" xfId="49622" xr:uid="{00000000-0005-0000-0000-0000DBC10000}"/>
    <cellStyle name="Style 32 2 2 2 2 6" xfId="49623" xr:uid="{00000000-0005-0000-0000-0000DCC10000}"/>
    <cellStyle name="Style 32 2 2 2 3" xfId="49624" xr:uid="{00000000-0005-0000-0000-0000DDC10000}"/>
    <cellStyle name="Style 32 2 2 2 3 2" xfId="49625" xr:uid="{00000000-0005-0000-0000-0000DEC10000}"/>
    <cellStyle name="Style 32 2 2 2 3 3" xfId="49626" xr:uid="{00000000-0005-0000-0000-0000DFC10000}"/>
    <cellStyle name="Style 32 2 2 2 4" xfId="49627" xr:uid="{00000000-0005-0000-0000-0000E0C10000}"/>
    <cellStyle name="Style 32 2 2 2 4 2" xfId="49628" xr:uid="{00000000-0005-0000-0000-0000E1C10000}"/>
    <cellStyle name="Style 32 2 2 2 4 3" xfId="49629" xr:uid="{00000000-0005-0000-0000-0000E2C10000}"/>
    <cellStyle name="Style 32 2 2 2 5" xfId="49630" xr:uid="{00000000-0005-0000-0000-0000E3C10000}"/>
    <cellStyle name="Style 32 2 2 2 5 2" xfId="49631" xr:uid="{00000000-0005-0000-0000-0000E4C10000}"/>
    <cellStyle name="Style 32 2 2 2 5 3" xfId="49632" xr:uid="{00000000-0005-0000-0000-0000E5C10000}"/>
    <cellStyle name="Style 32 2 2 2 6" xfId="49633" xr:uid="{00000000-0005-0000-0000-0000E6C10000}"/>
    <cellStyle name="Style 32 2 2 2 7" xfId="49634" xr:uid="{00000000-0005-0000-0000-0000E7C10000}"/>
    <cellStyle name="Style 32 2 2 2 8" xfId="49635" xr:uid="{00000000-0005-0000-0000-0000E8C10000}"/>
    <cellStyle name="Style 32 2 2 3" xfId="49636" xr:uid="{00000000-0005-0000-0000-0000E9C10000}"/>
    <cellStyle name="Style 32 2 2 3 2" xfId="49637" xr:uid="{00000000-0005-0000-0000-0000EAC10000}"/>
    <cellStyle name="Style 32 2 2 3 2 2" xfId="49638" xr:uid="{00000000-0005-0000-0000-0000EBC10000}"/>
    <cellStyle name="Style 32 2 2 3 2 2 2" xfId="49639" xr:uid="{00000000-0005-0000-0000-0000ECC10000}"/>
    <cellStyle name="Style 32 2 2 3 2 2 3" xfId="49640" xr:uid="{00000000-0005-0000-0000-0000EDC10000}"/>
    <cellStyle name="Style 32 2 2 3 2 3" xfId="49641" xr:uid="{00000000-0005-0000-0000-0000EEC10000}"/>
    <cellStyle name="Style 32 2 2 3 2 3 2" xfId="49642" xr:uid="{00000000-0005-0000-0000-0000EFC10000}"/>
    <cellStyle name="Style 32 2 2 3 2 3 3" xfId="49643" xr:uid="{00000000-0005-0000-0000-0000F0C10000}"/>
    <cellStyle name="Style 32 2 2 3 2 4" xfId="49644" xr:uid="{00000000-0005-0000-0000-0000F1C10000}"/>
    <cellStyle name="Style 32 2 2 3 2 5" xfId="49645" xr:uid="{00000000-0005-0000-0000-0000F2C10000}"/>
    <cellStyle name="Style 32 2 2 3 2 6" xfId="49646" xr:uid="{00000000-0005-0000-0000-0000F3C10000}"/>
    <cellStyle name="Style 32 2 2 3 3" xfId="49647" xr:uid="{00000000-0005-0000-0000-0000F4C10000}"/>
    <cellStyle name="Style 32 2 2 3 3 2" xfId="49648" xr:uid="{00000000-0005-0000-0000-0000F5C10000}"/>
    <cellStyle name="Style 32 2 2 3 3 3" xfId="49649" xr:uid="{00000000-0005-0000-0000-0000F6C10000}"/>
    <cellStyle name="Style 32 2 2 3 4" xfId="49650" xr:uid="{00000000-0005-0000-0000-0000F7C10000}"/>
    <cellStyle name="Style 32 2 2 3 4 2" xfId="49651" xr:uid="{00000000-0005-0000-0000-0000F8C10000}"/>
    <cellStyle name="Style 32 2 2 3 4 3" xfId="49652" xr:uid="{00000000-0005-0000-0000-0000F9C10000}"/>
    <cellStyle name="Style 32 2 2 3 5" xfId="49653" xr:uid="{00000000-0005-0000-0000-0000FAC10000}"/>
    <cellStyle name="Style 32 2 2 3 5 2" xfId="49654" xr:uid="{00000000-0005-0000-0000-0000FBC10000}"/>
    <cellStyle name="Style 32 2 2 3 5 3" xfId="49655" xr:uid="{00000000-0005-0000-0000-0000FCC10000}"/>
    <cellStyle name="Style 32 2 2 3 6" xfId="49656" xr:uid="{00000000-0005-0000-0000-0000FDC10000}"/>
    <cellStyle name="Style 32 2 2 3 7" xfId="49657" xr:uid="{00000000-0005-0000-0000-0000FEC10000}"/>
    <cellStyle name="Style 32 2 2 3 8" xfId="49658" xr:uid="{00000000-0005-0000-0000-0000FFC10000}"/>
    <cellStyle name="Style 32 2 2 4" xfId="49659" xr:uid="{00000000-0005-0000-0000-000000C20000}"/>
    <cellStyle name="Style 32 2 2 4 2" xfId="49660" xr:uid="{00000000-0005-0000-0000-000001C20000}"/>
    <cellStyle name="Style 32 2 2 4 2 2" xfId="49661" xr:uid="{00000000-0005-0000-0000-000002C20000}"/>
    <cellStyle name="Style 32 2 2 4 2 3" xfId="49662" xr:uid="{00000000-0005-0000-0000-000003C20000}"/>
    <cellStyle name="Style 32 2 2 4 3" xfId="49663" xr:uid="{00000000-0005-0000-0000-000004C20000}"/>
    <cellStyle name="Style 32 2 2 4 3 2" xfId="49664" xr:uid="{00000000-0005-0000-0000-000005C20000}"/>
    <cellStyle name="Style 32 2 2 4 3 3" xfId="49665" xr:uid="{00000000-0005-0000-0000-000006C20000}"/>
    <cellStyle name="Style 32 2 2 4 4" xfId="49666" xr:uid="{00000000-0005-0000-0000-000007C20000}"/>
    <cellStyle name="Style 32 2 2 4 5" xfId="49667" xr:uid="{00000000-0005-0000-0000-000008C20000}"/>
    <cellStyle name="Style 32 2 2 4 6" xfId="49668" xr:uid="{00000000-0005-0000-0000-000009C20000}"/>
    <cellStyle name="Style 32 2 2 5" xfId="49669" xr:uid="{00000000-0005-0000-0000-00000AC20000}"/>
    <cellStyle name="Style 32 2 2 5 2" xfId="49670" xr:uid="{00000000-0005-0000-0000-00000BC20000}"/>
    <cellStyle name="Style 32 2 2 5 3" xfId="49671" xr:uid="{00000000-0005-0000-0000-00000CC20000}"/>
    <cellStyle name="Style 32 2 2 6" xfId="49672" xr:uid="{00000000-0005-0000-0000-00000DC20000}"/>
    <cellStyle name="Style 32 2 2 6 2" xfId="49673" xr:uid="{00000000-0005-0000-0000-00000EC20000}"/>
    <cellStyle name="Style 32 2 2 6 3" xfId="49674" xr:uid="{00000000-0005-0000-0000-00000FC20000}"/>
    <cellStyle name="Style 32 2 2 7" xfId="49675" xr:uid="{00000000-0005-0000-0000-000010C20000}"/>
    <cellStyle name="Style 32 2 2 7 2" xfId="49676" xr:uid="{00000000-0005-0000-0000-000011C20000}"/>
    <cellStyle name="Style 32 2 2 7 3" xfId="49677" xr:uid="{00000000-0005-0000-0000-000012C20000}"/>
    <cellStyle name="Style 32 2 2 8" xfId="49678" xr:uid="{00000000-0005-0000-0000-000013C20000}"/>
    <cellStyle name="Style 32 2 2 9" xfId="49679" xr:uid="{00000000-0005-0000-0000-000014C20000}"/>
    <cellStyle name="Style 32 2 3" xfId="49680" xr:uid="{00000000-0005-0000-0000-000015C20000}"/>
    <cellStyle name="Style 32 2 3 2" xfId="49681" xr:uid="{00000000-0005-0000-0000-000016C20000}"/>
    <cellStyle name="Style 32 2 3 2 2" xfId="49682" xr:uid="{00000000-0005-0000-0000-000017C20000}"/>
    <cellStyle name="Style 32 2 3 2 2 2" xfId="49683" xr:uid="{00000000-0005-0000-0000-000018C20000}"/>
    <cellStyle name="Style 32 2 3 2 2 3" xfId="49684" xr:uid="{00000000-0005-0000-0000-000019C20000}"/>
    <cellStyle name="Style 32 2 3 2 3" xfId="49685" xr:uid="{00000000-0005-0000-0000-00001AC20000}"/>
    <cellStyle name="Style 32 2 3 2 3 2" xfId="49686" xr:uid="{00000000-0005-0000-0000-00001BC20000}"/>
    <cellStyle name="Style 32 2 3 2 3 3" xfId="49687" xr:uid="{00000000-0005-0000-0000-00001CC20000}"/>
    <cellStyle name="Style 32 2 3 2 4" xfId="49688" xr:uid="{00000000-0005-0000-0000-00001DC20000}"/>
    <cellStyle name="Style 32 2 3 2 5" xfId="49689" xr:uid="{00000000-0005-0000-0000-00001EC20000}"/>
    <cellStyle name="Style 32 2 3 2 6" xfId="49690" xr:uid="{00000000-0005-0000-0000-00001FC20000}"/>
    <cellStyle name="Style 32 2 3 3" xfId="49691" xr:uid="{00000000-0005-0000-0000-000020C20000}"/>
    <cellStyle name="Style 32 2 3 3 2" xfId="49692" xr:uid="{00000000-0005-0000-0000-000021C20000}"/>
    <cellStyle name="Style 32 2 3 3 3" xfId="49693" xr:uid="{00000000-0005-0000-0000-000022C20000}"/>
    <cellStyle name="Style 32 2 3 4" xfId="49694" xr:uid="{00000000-0005-0000-0000-000023C20000}"/>
    <cellStyle name="Style 32 2 3 4 2" xfId="49695" xr:uid="{00000000-0005-0000-0000-000024C20000}"/>
    <cellStyle name="Style 32 2 3 4 3" xfId="49696" xr:uid="{00000000-0005-0000-0000-000025C20000}"/>
    <cellStyle name="Style 32 2 3 5" xfId="49697" xr:uid="{00000000-0005-0000-0000-000026C20000}"/>
    <cellStyle name="Style 32 2 3 5 2" xfId="49698" xr:uid="{00000000-0005-0000-0000-000027C20000}"/>
    <cellStyle name="Style 32 2 3 5 3" xfId="49699" xr:uid="{00000000-0005-0000-0000-000028C20000}"/>
    <cellStyle name="Style 32 2 3 6" xfId="49700" xr:uid="{00000000-0005-0000-0000-000029C20000}"/>
    <cellStyle name="Style 32 2 3 7" xfId="49701" xr:uid="{00000000-0005-0000-0000-00002AC20000}"/>
    <cellStyle name="Style 32 2 3 8" xfId="49702" xr:uid="{00000000-0005-0000-0000-00002BC20000}"/>
    <cellStyle name="Style 32 2 4" xfId="49703" xr:uid="{00000000-0005-0000-0000-00002CC20000}"/>
    <cellStyle name="Style 32 2 4 2" xfId="49704" xr:uid="{00000000-0005-0000-0000-00002DC20000}"/>
    <cellStyle name="Style 32 2 4 2 2" xfId="49705" xr:uid="{00000000-0005-0000-0000-00002EC20000}"/>
    <cellStyle name="Style 32 2 4 2 2 2" xfId="49706" xr:uid="{00000000-0005-0000-0000-00002FC20000}"/>
    <cellStyle name="Style 32 2 4 2 2 3" xfId="49707" xr:uid="{00000000-0005-0000-0000-000030C20000}"/>
    <cellStyle name="Style 32 2 4 2 3" xfId="49708" xr:uid="{00000000-0005-0000-0000-000031C20000}"/>
    <cellStyle name="Style 32 2 4 2 3 2" xfId="49709" xr:uid="{00000000-0005-0000-0000-000032C20000}"/>
    <cellStyle name="Style 32 2 4 2 3 3" xfId="49710" xr:uid="{00000000-0005-0000-0000-000033C20000}"/>
    <cellStyle name="Style 32 2 4 2 4" xfId="49711" xr:uid="{00000000-0005-0000-0000-000034C20000}"/>
    <cellStyle name="Style 32 2 4 2 5" xfId="49712" xr:uid="{00000000-0005-0000-0000-000035C20000}"/>
    <cellStyle name="Style 32 2 4 2 6" xfId="49713" xr:uid="{00000000-0005-0000-0000-000036C20000}"/>
    <cellStyle name="Style 32 2 4 3" xfId="49714" xr:uid="{00000000-0005-0000-0000-000037C20000}"/>
    <cellStyle name="Style 32 2 4 3 2" xfId="49715" xr:uid="{00000000-0005-0000-0000-000038C20000}"/>
    <cellStyle name="Style 32 2 4 3 3" xfId="49716" xr:uid="{00000000-0005-0000-0000-000039C20000}"/>
    <cellStyle name="Style 32 2 4 4" xfId="49717" xr:uid="{00000000-0005-0000-0000-00003AC20000}"/>
    <cellStyle name="Style 32 2 4 4 2" xfId="49718" xr:uid="{00000000-0005-0000-0000-00003BC20000}"/>
    <cellStyle name="Style 32 2 4 4 3" xfId="49719" xr:uid="{00000000-0005-0000-0000-00003CC20000}"/>
    <cellStyle name="Style 32 2 4 5" xfId="49720" xr:uid="{00000000-0005-0000-0000-00003DC20000}"/>
    <cellStyle name="Style 32 2 4 5 2" xfId="49721" xr:uid="{00000000-0005-0000-0000-00003EC20000}"/>
    <cellStyle name="Style 32 2 4 5 3" xfId="49722" xr:uid="{00000000-0005-0000-0000-00003FC20000}"/>
    <cellStyle name="Style 32 2 4 6" xfId="49723" xr:uid="{00000000-0005-0000-0000-000040C20000}"/>
    <cellStyle name="Style 32 2 4 7" xfId="49724" xr:uid="{00000000-0005-0000-0000-000041C20000}"/>
    <cellStyle name="Style 32 2 4 8" xfId="49725" xr:uid="{00000000-0005-0000-0000-000042C20000}"/>
    <cellStyle name="Style 32 2 5" xfId="49726" xr:uid="{00000000-0005-0000-0000-000043C20000}"/>
    <cellStyle name="Style 32 2 5 2" xfId="49727" xr:uid="{00000000-0005-0000-0000-000044C20000}"/>
    <cellStyle name="Style 32 2 5 2 2" xfId="49728" xr:uid="{00000000-0005-0000-0000-000045C20000}"/>
    <cellStyle name="Style 32 2 5 2 2 2" xfId="49729" xr:uid="{00000000-0005-0000-0000-000046C20000}"/>
    <cellStyle name="Style 32 2 5 2 2 3" xfId="49730" xr:uid="{00000000-0005-0000-0000-000047C20000}"/>
    <cellStyle name="Style 32 2 5 2 3" xfId="49731" xr:uid="{00000000-0005-0000-0000-000048C20000}"/>
    <cellStyle name="Style 32 2 5 2 3 2" xfId="49732" xr:uid="{00000000-0005-0000-0000-000049C20000}"/>
    <cellStyle name="Style 32 2 5 2 3 3" xfId="49733" xr:uid="{00000000-0005-0000-0000-00004AC20000}"/>
    <cellStyle name="Style 32 2 5 2 4" xfId="49734" xr:uid="{00000000-0005-0000-0000-00004BC20000}"/>
    <cellStyle name="Style 32 2 5 2 5" xfId="49735" xr:uid="{00000000-0005-0000-0000-00004CC20000}"/>
    <cellStyle name="Style 32 2 5 2 6" xfId="49736" xr:uid="{00000000-0005-0000-0000-00004DC20000}"/>
    <cellStyle name="Style 32 2 5 3" xfId="49737" xr:uid="{00000000-0005-0000-0000-00004EC20000}"/>
    <cellStyle name="Style 32 2 5 3 2" xfId="49738" xr:uid="{00000000-0005-0000-0000-00004FC20000}"/>
    <cellStyle name="Style 32 2 5 3 3" xfId="49739" xr:uid="{00000000-0005-0000-0000-000050C20000}"/>
    <cellStyle name="Style 32 2 5 4" xfId="49740" xr:uid="{00000000-0005-0000-0000-000051C20000}"/>
    <cellStyle name="Style 32 2 5 4 2" xfId="49741" xr:uid="{00000000-0005-0000-0000-000052C20000}"/>
    <cellStyle name="Style 32 2 5 4 3" xfId="49742" xr:uid="{00000000-0005-0000-0000-000053C20000}"/>
    <cellStyle name="Style 32 2 5 5" xfId="49743" xr:uid="{00000000-0005-0000-0000-000054C20000}"/>
    <cellStyle name="Style 32 2 5 5 2" xfId="49744" xr:uid="{00000000-0005-0000-0000-000055C20000}"/>
    <cellStyle name="Style 32 2 5 5 3" xfId="49745" xr:uid="{00000000-0005-0000-0000-000056C20000}"/>
    <cellStyle name="Style 32 2 5 6" xfId="49746" xr:uid="{00000000-0005-0000-0000-000057C20000}"/>
    <cellStyle name="Style 32 2 5 7" xfId="49747" xr:uid="{00000000-0005-0000-0000-000058C20000}"/>
    <cellStyle name="Style 32 2 5 8" xfId="49748" xr:uid="{00000000-0005-0000-0000-000059C20000}"/>
    <cellStyle name="Style 32 2 6" xfId="49749" xr:uid="{00000000-0005-0000-0000-00005AC20000}"/>
    <cellStyle name="Style 32 2 6 2" xfId="49750" xr:uid="{00000000-0005-0000-0000-00005BC20000}"/>
    <cellStyle name="Style 32 2 6 2 2" xfId="49751" xr:uid="{00000000-0005-0000-0000-00005CC20000}"/>
    <cellStyle name="Style 32 2 6 2 3" xfId="49752" xr:uid="{00000000-0005-0000-0000-00005DC20000}"/>
    <cellStyle name="Style 32 2 6 3" xfId="49753" xr:uid="{00000000-0005-0000-0000-00005EC20000}"/>
    <cellStyle name="Style 32 2 6 3 2" xfId="49754" xr:uid="{00000000-0005-0000-0000-00005FC20000}"/>
    <cellStyle name="Style 32 2 6 3 3" xfId="49755" xr:uid="{00000000-0005-0000-0000-000060C20000}"/>
    <cellStyle name="Style 32 2 6 4" xfId="49756" xr:uid="{00000000-0005-0000-0000-000061C20000}"/>
    <cellStyle name="Style 32 2 6 5" xfId="49757" xr:uid="{00000000-0005-0000-0000-000062C20000}"/>
    <cellStyle name="Style 32 2 6 6" xfId="49758" xr:uid="{00000000-0005-0000-0000-000063C20000}"/>
    <cellStyle name="Style 32 2 7" xfId="49759" xr:uid="{00000000-0005-0000-0000-000064C20000}"/>
    <cellStyle name="Style 32 2 7 2" xfId="49760" xr:uid="{00000000-0005-0000-0000-000065C20000}"/>
    <cellStyle name="Style 32 2 7 3" xfId="49761" xr:uid="{00000000-0005-0000-0000-000066C20000}"/>
    <cellStyle name="Style 32 2 8" xfId="49762" xr:uid="{00000000-0005-0000-0000-000067C20000}"/>
    <cellStyle name="Style 32 2 8 2" xfId="49763" xr:uid="{00000000-0005-0000-0000-000068C20000}"/>
    <cellStyle name="Style 32 2 8 3" xfId="49764" xr:uid="{00000000-0005-0000-0000-000069C20000}"/>
    <cellStyle name="Style 32 2 9" xfId="49765" xr:uid="{00000000-0005-0000-0000-00006AC20000}"/>
    <cellStyle name="Style 32 2 9 2" xfId="49766" xr:uid="{00000000-0005-0000-0000-00006BC20000}"/>
    <cellStyle name="Style 32 2 9 3" xfId="49767" xr:uid="{00000000-0005-0000-0000-00006CC20000}"/>
    <cellStyle name="Style 32 20" xfId="49768" xr:uid="{00000000-0005-0000-0000-00006DC20000}"/>
    <cellStyle name="Style 32 21" xfId="49769" xr:uid="{00000000-0005-0000-0000-00006EC20000}"/>
    <cellStyle name="Style 32 22" xfId="49770" xr:uid="{00000000-0005-0000-0000-00006FC20000}"/>
    <cellStyle name="Style 32 3" xfId="49771" xr:uid="{00000000-0005-0000-0000-000070C20000}"/>
    <cellStyle name="Style 32 3 10" xfId="49772" xr:uid="{00000000-0005-0000-0000-000071C20000}"/>
    <cellStyle name="Style 32 3 11" xfId="49773" xr:uid="{00000000-0005-0000-0000-000072C20000}"/>
    <cellStyle name="Style 32 3 12" xfId="49774" xr:uid="{00000000-0005-0000-0000-000073C20000}"/>
    <cellStyle name="Style 32 3 2" xfId="49775" xr:uid="{00000000-0005-0000-0000-000074C20000}"/>
    <cellStyle name="Style 32 3 2 10" xfId="49776" xr:uid="{00000000-0005-0000-0000-000075C20000}"/>
    <cellStyle name="Style 32 3 2 2" xfId="49777" xr:uid="{00000000-0005-0000-0000-000076C20000}"/>
    <cellStyle name="Style 32 3 2 2 2" xfId="49778" xr:uid="{00000000-0005-0000-0000-000077C20000}"/>
    <cellStyle name="Style 32 3 2 2 2 2" xfId="49779" xr:uid="{00000000-0005-0000-0000-000078C20000}"/>
    <cellStyle name="Style 32 3 2 2 2 2 2" xfId="49780" xr:uid="{00000000-0005-0000-0000-000079C20000}"/>
    <cellStyle name="Style 32 3 2 2 2 2 3" xfId="49781" xr:uid="{00000000-0005-0000-0000-00007AC20000}"/>
    <cellStyle name="Style 32 3 2 2 2 3" xfId="49782" xr:uid="{00000000-0005-0000-0000-00007BC20000}"/>
    <cellStyle name="Style 32 3 2 2 2 3 2" xfId="49783" xr:uid="{00000000-0005-0000-0000-00007CC20000}"/>
    <cellStyle name="Style 32 3 2 2 2 3 3" xfId="49784" xr:uid="{00000000-0005-0000-0000-00007DC20000}"/>
    <cellStyle name="Style 32 3 2 2 2 4" xfId="49785" xr:uid="{00000000-0005-0000-0000-00007EC20000}"/>
    <cellStyle name="Style 32 3 2 2 2 5" xfId="49786" xr:uid="{00000000-0005-0000-0000-00007FC20000}"/>
    <cellStyle name="Style 32 3 2 2 2 6" xfId="49787" xr:uid="{00000000-0005-0000-0000-000080C20000}"/>
    <cellStyle name="Style 32 3 2 2 3" xfId="49788" xr:uid="{00000000-0005-0000-0000-000081C20000}"/>
    <cellStyle name="Style 32 3 2 2 3 2" xfId="49789" xr:uid="{00000000-0005-0000-0000-000082C20000}"/>
    <cellStyle name="Style 32 3 2 2 3 3" xfId="49790" xr:uid="{00000000-0005-0000-0000-000083C20000}"/>
    <cellStyle name="Style 32 3 2 2 4" xfId="49791" xr:uid="{00000000-0005-0000-0000-000084C20000}"/>
    <cellStyle name="Style 32 3 2 2 4 2" xfId="49792" xr:uid="{00000000-0005-0000-0000-000085C20000}"/>
    <cellStyle name="Style 32 3 2 2 4 3" xfId="49793" xr:uid="{00000000-0005-0000-0000-000086C20000}"/>
    <cellStyle name="Style 32 3 2 2 5" xfId="49794" xr:uid="{00000000-0005-0000-0000-000087C20000}"/>
    <cellStyle name="Style 32 3 2 2 5 2" xfId="49795" xr:uid="{00000000-0005-0000-0000-000088C20000}"/>
    <cellStyle name="Style 32 3 2 2 5 3" xfId="49796" xr:uid="{00000000-0005-0000-0000-000089C20000}"/>
    <cellStyle name="Style 32 3 2 2 6" xfId="49797" xr:uid="{00000000-0005-0000-0000-00008AC20000}"/>
    <cellStyle name="Style 32 3 2 2 7" xfId="49798" xr:uid="{00000000-0005-0000-0000-00008BC20000}"/>
    <cellStyle name="Style 32 3 2 2 8" xfId="49799" xr:uid="{00000000-0005-0000-0000-00008CC20000}"/>
    <cellStyle name="Style 32 3 2 3" xfId="49800" xr:uid="{00000000-0005-0000-0000-00008DC20000}"/>
    <cellStyle name="Style 32 3 2 3 2" xfId="49801" xr:uid="{00000000-0005-0000-0000-00008EC20000}"/>
    <cellStyle name="Style 32 3 2 3 2 2" xfId="49802" xr:uid="{00000000-0005-0000-0000-00008FC20000}"/>
    <cellStyle name="Style 32 3 2 3 2 2 2" xfId="49803" xr:uid="{00000000-0005-0000-0000-000090C20000}"/>
    <cellStyle name="Style 32 3 2 3 2 2 3" xfId="49804" xr:uid="{00000000-0005-0000-0000-000091C20000}"/>
    <cellStyle name="Style 32 3 2 3 2 3" xfId="49805" xr:uid="{00000000-0005-0000-0000-000092C20000}"/>
    <cellStyle name="Style 32 3 2 3 2 3 2" xfId="49806" xr:uid="{00000000-0005-0000-0000-000093C20000}"/>
    <cellStyle name="Style 32 3 2 3 2 3 3" xfId="49807" xr:uid="{00000000-0005-0000-0000-000094C20000}"/>
    <cellStyle name="Style 32 3 2 3 2 4" xfId="49808" xr:uid="{00000000-0005-0000-0000-000095C20000}"/>
    <cellStyle name="Style 32 3 2 3 2 5" xfId="49809" xr:uid="{00000000-0005-0000-0000-000096C20000}"/>
    <cellStyle name="Style 32 3 2 3 2 6" xfId="49810" xr:uid="{00000000-0005-0000-0000-000097C20000}"/>
    <cellStyle name="Style 32 3 2 3 3" xfId="49811" xr:uid="{00000000-0005-0000-0000-000098C20000}"/>
    <cellStyle name="Style 32 3 2 3 3 2" xfId="49812" xr:uid="{00000000-0005-0000-0000-000099C20000}"/>
    <cellStyle name="Style 32 3 2 3 3 3" xfId="49813" xr:uid="{00000000-0005-0000-0000-00009AC20000}"/>
    <cellStyle name="Style 32 3 2 3 4" xfId="49814" xr:uid="{00000000-0005-0000-0000-00009BC20000}"/>
    <cellStyle name="Style 32 3 2 3 4 2" xfId="49815" xr:uid="{00000000-0005-0000-0000-00009CC20000}"/>
    <cellStyle name="Style 32 3 2 3 4 3" xfId="49816" xr:uid="{00000000-0005-0000-0000-00009DC20000}"/>
    <cellStyle name="Style 32 3 2 3 5" xfId="49817" xr:uid="{00000000-0005-0000-0000-00009EC20000}"/>
    <cellStyle name="Style 32 3 2 3 5 2" xfId="49818" xr:uid="{00000000-0005-0000-0000-00009FC20000}"/>
    <cellStyle name="Style 32 3 2 3 5 3" xfId="49819" xr:uid="{00000000-0005-0000-0000-0000A0C20000}"/>
    <cellStyle name="Style 32 3 2 3 6" xfId="49820" xr:uid="{00000000-0005-0000-0000-0000A1C20000}"/>
    <cellStyle name="Style 32 3 2 3 7" xfId="49821" xr:uid="{00000000-0005-0000-0000-0000A2C20000}"/>
    <cellStyle name="Style 32 3 2 3 8" xfId="49822" xr:uid="{00000000-0005-0000-0000-0000A3C20000}"/>
    <cellStyle name="Style 32 3 2 4" xfId="49823" xr:uid="{00000000-0005-0000-0000-0000A4C20000}"/>
    <cellStyle name="Style 32 3 2 4 2" xfId="49824" xr:uid="{00000000-0005-0000-0000-0000A5C20000}"/>
    <cellStyle name="Style 32 3 2 4 2 2" xfId="49825" xr:uid="{00000000-0005-0000-0000-0000A6C20000}"/>
    <cellStyle name="Style 32 3 2 4 2 3" xfId="49826" xr:uid="{00000000-0005-0000-0000-0000A7C20000}"/>
    <cellStyle name="Style 32 3 2 4 3" xfId="49827" xr:uid="{00000000-0005-0000-0000-0000A8C20000}"/>
    <cellStyle name="Style 32 3 2 4 3 2" xfId="49828" xr:uid="{00000000-0005-0000-0000-0000A9C20000}"/>
    <cellStyle name="Style 32 3 2 4 3 3" xfId="49829" xr:uid="{00000000-0005-0000-0000-0000AAC20000}"/>
    <cellStyle name="Style 32 3 2 4 4" xfId="49830" xr:uid="{00000000-0005-0000-0000-0000ABC20000}"/>
    <cellStyle name="Style 32 3 2 4 5" xfId="49831" xr:uid="{00000000-0005-0000-0000-0000ACC20000}"/>
    <cellStyle name="Style 32 3 2 4 6" xfId="49832" xr:uid="{00000000-0005-0000-0000-0000ADC20000}"/>
    <cellStyle name="Style 32 3 2 5" xfId="49833" xr:uid="{00000000-0005-0000-0000-0000AEC20000}"/>
    <cellStyle name="Style 32 3 2 5 2" xfId="49834" xr:uid="{00000000-0005-0000-0000-0000AFC20000}"/>
    <cellStyle name="Style 32 3 2 5 3" xfId="49835" xr:uid="{00000000-0005-0000-0000-0000B0C20000}"/>
    <cellStyle name="Style 32 3 2 6" xfId="49836" xr:uid="{00000000-0005-0000-0000-0000B1C20000}"/>
    <cellStyle name="Style 32 3 2 6 2" xfId="49837" xr:uid="{00000000-0005-0000-0000-0000B2C20000}"/>
    <cellStyle name="Style 32 3 2 6 3" xfId="49838" xr:uid="{00000000-0005-0000-0000-0000B3C20000}"/>
    <cellStyle name="Style 32 3 2 7" xfId="49839" xr:uid="{00000000-0005-0000-0000-0000B4C20000}"/>
    <cellStyle name="Style 32 3 2 7 2" xfId="49840" xr:uid="{00000000-0005-0000-0000-0000B5C20000}"/>
    <cellStyle name="Style 32 3 2 7 3" xfId="49841" xr:uid="{00000000-0005-0000-0000-0000B6C20000}"/>
    <cellStyle name="Style 32 3 2 8" xfId="49842" xr:uid="{00000000-0005-0000-0000-0000B7C20000}"/>
    <cellStyle name="Style 32 3 2 9" xfId="49843" xr:uid="{00000000-0005-0000-0000-0000B8C20000}"/>
    <cellStyle name="Style 32 3 3" xfId="49844" xr:uid="{00000000-0005-0000-0000-0000B9C20000}"/>
    <cellStyle name="Style 32 3 3 2" xfId="49845" xr:uid="{00000000-0005-0000-0000-0000BAC20000}"/>
    <cellStyle name="Style 32 3 3 2 2" xfId="49846" xr:uid="{00000000-0005-0000-0000-0000BBC20000}"/>
    <cellStyle name="Style 32 3 3 2 2 2" xfId="49847" xr:uid="{00000000-0005-0000-0000-0000BCC20000}"/>
    <cellStyle name="Style 32 3 3 2 2 3" xfId="49848" xr:uid="{00000000-0005-0000-0000-0000BDC20000}"/>
    <cellStyle name="Style 32 3 3 2 3" xfId="49849" xr:uid="{00000000-0005-0000-0000-0000BEC20000}"/>
    <cellStyle name="Style 32 3 3 2 3 2" xfId="49850" xr:uid="{00000000-0005-0000-0000-0000BFC20000}"/>
    <cellStyle name="Style 32 3 3 2 3 3" xfId="49851" xr:uid="{00000000-0005-0000-0000-0000C0C20000}"/>
    <cellStyle name="Style 32 3 3 2 4" xfId="49852" xr:uid="{00000000-0005-0000-0000-0000C1C20000}"/>
    <cellStyle name="Style 32 3 3 2 5" xfId="49853" xr:uid="{00000000-0005-0000-0000-0000C2C20000}"/>
    <cellStyle name="Style 32 3 3 2 6" xfId="49854" xr:uid="{00000000-0005-0000-0000-0000C3C20000}"/>
    <cellStyle name="Style 32 3 3 3" xfId="49855" xr:uid="{00000000-0005-0000-0000-0000C4C20000}"/>
    <cellStyle name="Style 32 3 3 3 2" xfId="49856" xr:uid="{00000000-0005-0000-0000-0000C5C20000}"/>
    <cellStyle name="Style 32 3 3 3 3" xfId="49857" xr:uid="{00000000-0005-0000-0000-0000C6C20000}"/>
    <cellStyle name="Style 32 3 3 4" xfId="49858" xr:uid="{00000000-0005-0000-0000-0000C7C20000}"/>
    <cellStyle name="Style 32 3 3 4 2" xfId="49859" xr:uid="{00000000-0005-0000-0000-0000C8C20000}"/>
    <cellStyle name="Style 32 3 3 4 3" xfId="49860" xr:uid="{00000000-0005-0000-0000-0000C9C20000}"/>
    <cellStyle name="Style 32 3 3 5" xfId="49861" xr:uid="{00000000-0005-0000-0000-0000CAC20000}"/>
    <cellStyle name="Style 32 3 3 5 2" xfId="49862" xr:uid="{00000000-0005-0000-0000-0000CBC20000}"/>
    <cellStyle name="Style 32 3 3 5 3" xfId="49863" xr:uid="{00000000-0005-0000-0000-0000CCC20000}"/>
    <cellStyle name="Style 32 3 3 6" xfId="49864" xr:uid="{00000000-0005-0000-0000-0000CDC20000}"/>
    <cellStyle name="Style 32 3 3 7" xfId="49865" xr:uid="{00000000-0005-0000-0000-0000CEC20000}"/>
    <cellStyle name="Style 32 3 3 8" xfId="49866" xr:uid="{00000000-0005-0000-0000-0000CFC20000}"/>
    <cellStyle name="Style 32 3 4" xfId="49867" xr:uid="{00000000-0005-0000-0000-0000D0C20000}"/>
    <cellStyle name="Style 32 3 4 2" xfId="49868" xr:uid="{00000000-0005-0000-0000-0000D1C20000}"/>
    <cellStyle name="Style 32 3 4 2 2" xfId="49869" xr:uid="{00000000-0005-0000-0000-0000D2C20000}"/>
    <cellStyle name="Style 32 3 4 2 2 2" xfId="49870" xr:uid="{00000000-0005-0000-0000-0000D3C20000}"/>
    <cellStyle name="Style 32 3 4 2 2 3" xfId="49871" xr:uid="{00000000-0005-0000-0000-0000D4C20000}"/>
    <cellStyle name="Style 32 3 4 2 3" xfId="49872" xr:uid="{00000000-0005-0000-0000-0000D5C20000}"/>
    <cellStyle name="Style 32 3 4 2 3 2" xfId="49873" xr:uid="{00000000-0005-0000-0000-0000D6C20000}"/>
    <cellStyle name="Style 32 3 4 2 3 3" xfId="49874" xr:uid="{00000000-0005-0000-0000-0000D7C20000}"/>
    <cellStyle name="Style 32 3 4 2 4" xfId="49875" xr:uid="{00000000-0005-0000-0000-0000D8C20000}"/>
    <cellStyle name="Style 32 3 4 2 5" xfId="49876" xr:uid="{00000000-0005-0000-0000-0000D9C20000}"/>
    <cellStyle name="Style 32 3 4 2 6" xfId="49877" xr:uid="{00000000-0005-0000-0000-0000DAC20000}"/>
    <cellStyle name="Style 32 3 4 3" xfId="49878" xr:uid="{00000000-0005-0000-0000-0000DBC20000}"/>
    <cellStyle name="Style 32 3 4 3 2" xfId="49879" xr:uid="{00000000-0005-0000-0000-0000DCC20000}"/>
    <cellStyle name="Style 32 3 4 3 3" xfId="49880" xr:uid="{00000000-0005-0000-0000-0000DDC20000}"/>
    <cellStyle name="Style 32 3 4 4" xfId="49881" xr:uid="{00000000-0005-0000-0000-0000DEC20000}"/>
    <cellStyle name="Style 32 3 4 4 2" xfId="49882" xr:uid="{00000000-0005-0000-0000-0000DFC20000}"/>
    <cellStyle name="Style 32 3 4 4 3" xfId="49883" xr:uid="{00000000-0005-0000-0000-0000E0C20000}"/>
    <cellStyle name="Style 32 3 4 5" xfId="49884" xr:uid="{00000000-0005-0000-0000-0000E1C20000}"/>
    <cellStyle name="Style 32 3 4 5 2" xfId="49885" xr:uid="{00000000-0005-0000-0000-0000E2C20000}"/>
    <cellStyle name="Style 32 3 4 5 3" xfId="49886" xr:uid="{00000000-0005-0000-0000-0000E3C20000}"/>
    <cellStyle name="Style 32 3 4 6" xfId="49887" xr:uid="{00000000-0005-0000-0000-0000E4C20000}"/>
    <cellStyle name="Style 32 3 4 7" xfId="49888" xr:uid="{00000000-0005-0000-0000-0000E5C20000}"/>
    <cellStyle name="Style 32 3 4 8" xfId="49889" xr:uid="{00000000-0005-0000-0000-0000E6C20000}"/>
    <cellStyle name="Style 32 3 5" xfId="49890" xr:uid="{00000000-0005-0000-0000-0000E7C20000}"/>
    <cellStyle name="Style 32 3 5 2" xfId="49891" xr:uid="{00000000-0005-0000-0000-0000E8C20000}"/>
    <cellStyle name="Style 32 3 5 2 2" xfId="49892" xr:uid="{00000000-0005-0000-0000-0000E9C20000}"/>
    <cellStyle name="Style 32 3 5 2 2 2" xfId="49893" xr:uid="{00000000-0005-0000-0000-0000EAC20000}"/>
    <cellStyle name="Style 32 3 5 2 2 3" xfId="49894" xr:uid="{00000000-0005-0000-0000-0000EBC20000}"/>
    <cellStyle name="Style 32 3 5 2 3" xfId="49895" xr:uid="{00000000-0005-0000-0000-0000ECC20000}"/>
    <cellStyle name="Style 32 3 5 2 3 2" xfId="49896" xr:uid="{00000000-0005-0000-0000-0000EDC20000}"/>
    <cellStyle name="Style 32 3 5 2 3 3" xfId="49897" xr:uid="{00000000-0005-0000-0000-0000EEC20000}"/>
    <cellStyle name="Style 32 3 5 2 4" xfId="49898" xr:uid="{00000000-0005-0000-0000-0000EFC20000}"/>
    <cellStyle name="Style 32 3 5 2 5" xfId="49899" xr:uid="{00000000-0005-0000-0000-0000F0C20000}"/>
    <cellStyle name="Style 32 3 5 2 6" xfId="49900" xr:uid="{00000000-0005-0000-0000-0000F1C20000}"/>
    <cellStyle name="Style 32 3 5 3" xfId="49901" xr:uid="{00000000-0005-0000-0000-0000F2C20000}"/>
    <cellStyle name="Style 32 3 5 3 2" xfId="49902" xr:uid="{00000000-0005-0000-0000-0000F3C20000}"/>
    <cellStyle name="Style 32 3 5 3 3" xfId="49903" xr:uid="{00000000-0005-0000-0000-0000F4C20000}"/>
    <cellStyle name="Style 32 3 5 4" xfId="49904" xr:uid="{00000000-0005-0000-0000-0000F5C20000}"/>
    <cellStyle name="Style 32 3 5 4 2" xfId="49905" xr:uid="{00000000-0005-0000-0000-0000F6C20000}"/>
    <cellStyle name="Style 32 3 5 4 3" xfId="49906" xr:uid="{00000000-0005-0000-0000-0000F7C20000}"/>
    <cellStyle name="Style 32 3 5 5" xfId="49907" xr:uid="{00000000-0005-0000-0000-0000F8C20000}"/>
    <cellStyle name="Style 32 3 5 5 2" xfId="49908" xr:uid="{00000000-0005-0000-0000-0000F9C20000}"/>
    <cellStyle name="Style 32 3 5 5 3" xfId="49909" xr:uid="{00000000-0005-0000-0000-0000FAC20000}"/>
    <cellStyle name="Style 32 3 5 6" xfId="49910" xr:uid="{00000000-0005-0000-0000-0000FBC20000}"/>
    <cellStyle name="Style 32 3 5 7" xfId="49911" xr:uid="{00000000-0005-0000-0000-0000FCC20000}"/>
    <cellStyle name="Style 32 3 5 8" xfId="49912" xr:uid="{00000000-0005-0000-0000-0000FDC20000}"/>
    <cellStyle name="Style 32 3 6" xfId="49913" xr:uid="{00000000-0005-0000-0000-0000FEC20000}"/>
    <cellStyle name="Style 32 3 6 2" xfId="49914" xr:uid="{00000000-0005-0000-0000-0000FFC20000}"/>
    <cellStyle name="Style 32 3 6 2 2" xfId="49915" xr:uid="{00000000-0005-0000-0000-000000C30000}"/>
    <cellStyle name="Style 32 3 6 2 3" xfId="49916" xr:uid="{00000000-0005-0000-0000-000001C30000}"/>
    <cellStyle name="Style 32 3 6 3" xfId="49917" xr:uid="{00000000-0005-0000-0000-000002C30000}"/>
    <cellStyle name="Style 32 3 6 3 2" xfId="49918" xr:uid="{00000000-0005-0000-0000-000003C30000}"/>
    <cellStyle name="Style 32 3 6 3 3" xfId="49919" xr:uid="{00000000-0005-0000-0000-000004C30000}"/>
    <cellStyle name="Style 32 3 6 4" xfId="49920" xr:uid="{00000000-0005-0000-0000-000005C30000}"/>
    <cellStyle name="Style 32 3 6 5" xfId="49921" xr:uid="{00000000-0005-0000-0000-000006C30000}"/>
    <cellStyle name="Style 32 3 6 6" xfId="49922" xr:uid="{00000000-0005-0000-0000-000007C30000}"/>
    <cellStyle name="Style 32 3 7" xfId="49923" xr:uid="{00000000-0005-0000-0000-000008C30000}"/>
    <cellStyle name="Style 32 3 7 2" xfId="49924" xr:uid="{00000000-0005-0000-0000-000009C30000}"/>
    <cellStyle name="Style 32 3 7 3" xfId="49925" xr:uid="{00000000-0005-0000-0000-00000AC30000}"/>
    <cellStyle name="Style 32 3 8" xfId="49926" xr:uid="{00000000-0005-0000-0000-00000BC30000}"/>
    <cellStyle name="Style 32 3 8 2" xfId="49927" xr:uid="{00000000-0005-0000-0000-00000CC30000}"/>
    <cellStyle name="Style 32 3 8 3" xfId="49928" xr:uid="{00000000-0005-0000-0000-00000DC30000}"/>
    <cellStyle name="Style 32 3 9" xfId="49929" xr:uid="{00000000-0005-0000-0000-00000EC30000}"/>
    <cellStyle name="Style 32 3 9 2" xfId="49930" xr:uid="{00000000-0005-0000-0000-00000FC30000}"/>
    <cellStyle name="Style 32 3 9 3" xfId="49931" xr:uid="{00000000-0005-0000-0000-000010C30000}"/>
    <cellStyle name="Style 32 4" xfId="49932" xr:uid="{00000000-0005-0000-0000-000011C30000}"/>
    <cellStyle name="Style 32 4 10" xfId="49933" xr:uid="{00000000-0005-0000-0000-000012C30000}"/>
    <cellStyle name="Style 32 4 11" xfId="49934" xr:uid="{00000000-0005-0000-0000-000013C30000}"/>
    <cellStyle name="Style 32 4 12" xfId="49935" xr:uid="{00000000-0005-0000-0000-000014C30000}"/>
    <cellStyle name="Style 32 4 2" xfId="49936" xr:uid="{00000000-0005-0000-0000-000015C30000}"/>
    <cellStyle name="Style 32 4 2 10" xfId="49937" xr:uid="{00000000-0005-0000-0000-000016C30000}"/>
    <cellStyle name="Style 32 4 2 2" xfId="49938" xr:uid="{00000000-0005-0000-0000-000017C30000}"/>
    <cellStyle name="Style 32 4 2 2 2" xfId="49939" xr:uid="{00000000-0005-0000-0000-000018C30000}"/>
    <cellStyle name="Style 32 4 2 2 2 2" xfId="49940" xr:uid="{00000000-0005-0000-0000-000019C30000}"/>
    <cellStyle name="Style 32 4 2 2 2 2 2" xfId="49941" xr:uid="{00000000-0005-0000-0000-00001AC30000}"/>
    <cellStyle name="Style 32 4 2 2 2 2 3" xfId="49942" xr:uid="{00000000-0005-0000-0000-00001BC30000}"/>
    <cellStyle name="Style 32 4 2 2 2 3" xfId="49943" xr:uid="{00000000-0005-0000-0000-00001CC30000}"/>
    <cellStyle name="Style 32 4 2 2 2 3 2" xfId="49944" xr:uid="{00000000-0005-0000-0000-00001DC30000}"/>
    <cellStyle name="Style 32 4 2 2 2 3 3" xfId="49945" xr:uid="{00000000-0005-0000-0000-00001EC30000}"/>
    <cellStyle name="Style 32 4 2 2 2 4" xfId="49946" xr:uid="{00000000-0005-0000-0000-00001FC30000}"/>
    <cellStyle name="Style 32 4 2 2 2 5" xfId="49947" xr:uid="{00000000-0005-0000-0000-000020C30000}"/>
    <cellStyle name="Style 32 4 2 2 2 6" xfId="49948" xr:uid="{00000000-0005-0000-0000-000021C30000}"/>
    <cellStyle name="Style 32 4 2 2 3" xfId="49949" xr:uid="{00000000-0005-0000-0000-000022C30000}"/>
    <cellStyle name="Style 32 4 2 2 3 2" xfId="49950" xr:uid="{00000000-0005-0000-0000-000023C30000}"/>
    <cellStyle name="Style 32 4 2 2 3 3" xfId="49951" xr:uid="{00000000-0005-0000-0000-000024C30000}"/>
    <cellStyle name="Style 32 4 2 2 4" xfId="49952" xr:uid="{00000000-0005-0000-0000-000025C30000}"/>
    <cellStyle name="Style 32 4 2 2 4 2" xfId="49953" xr:uid="{00000000-0005-0000-0000-000026C30000}"/>
    <cellStyle name="Style 32 4 2 2 4 3" xfId="49954" xr:uid="{00000000-0005-0000-0000-000027C30000}"/>
    <cellStyle name="Style 32 4 2 2 5" xfId="49955" xr:uid="{00000000-0005-0000-0000-000028C30000}"/>
    <cellStyle name="Style 32 4 2 2 5 2" xfId="49956" xr:uid="{00000000-0005-0000-0000-000029C30000}"/>
    <cellStyle name="Style 32 4 2 2 5 3" xfId="49957" xr:uid="{00000000-0005-0000-0000-00002AC30000}"/>
    <cellStyle name="Style 32 4 2 2 6" xfId="49958" xr:uid="{00000000-0005-0000-0000-00002BC30000}"/>
    <cellStyle name="Style 32 4 2 2 7" xfId="49959" xr:uid="{00000000-0005-0000-0000-00002CC30000}"/>
    <cellStyle name="Style 32 4 2 2 8" xfId="49960" xr:uid="{00000000-0005-0000-0000-00002DC30000}"/>
    <cellStyle name="Style 32 4 2 3" xfId="49961" xr:uid="{00000000-0005-0000-0000-00002EC30000}"/>
    <cellStyle name="Style 32 4 2 3 2" xfId="49962" xr:uid="{00000000-0005-0000-0000-00002FC30000}"/>
    <cellStyle name="Style 32 4 2 3 2 2" xfId="49963" xr:uid="{00000000-0005-0000-0000-000030C30000}"/>
    <cellStyle name="Style 32 4 2 3 2 2 2" xfId="49964" xr:uid="{00000000-0005-0000-0000-000031C30000}"/>
    <cellStyle name="Style 32 4 2 3 2 2 3" xfId="49965" xr:uid="{00000000-0005-0000-0000-000032C30000}"/>
    <cellStyle name="Style 32 4 2 3 2 3" xfId="49966" xr:uid="{00000000-0005-0000-0000-000033C30000}"/>
    <cellStyle name="Style 32 4 2 3 2 3 2" xfId="49967" xr:uid="{00000000-0005-0000-0000-000034C30000}"/>
    <cellStyle name="Style 32 4 2 3 2 3 3" xfId="49968" xr:uid="{00000000-0005-0000-0000-000035C30000}"/>
    <cellStyle name="Style 32 4 2 3 2 4" xfId="49969" xr:uid="{00000000-0005-0000-0000-000036C30000}"/>
    <cellStyle name="Style 32 4 2 3 2 5" xfId="49970" xr:uid="{00000000-0005-0000-0000-000037C30000}"/>
    <cellStyle name="Style 32 4 2 3 2 6" xfId="49971" xr:uid="{00000000-0005-0000-0000-000038C30000}"/>
    <cellStyle name="Style 32 4 2 3 3" xfId="49972" xr:uid="{00000000-0005-0000-0000-000039C30000}"/>
    <cellStyle name="Style 32 4 2 3 3 2" xfId="49973" xr:uid="{00000000-0005-0000-0000-00003AC30000}"/>
    <cellStyle name="Style 32 4 2 3 3 3" xfId="49974" xr:uid="{00000000-0005-0000-0000-00003BC30000}"/>
    <cellStyle name="Style 32 4 2 3 4" xfId="49975" xr:uid="{00000000-0005-0000-0000-00003CC30000}"/>
    <cellStyle name="Style 32 4 2 3 4 2" xfId="49976" xr:uid="{00000000-0005-0000-0000-00003DC30000}"/>
    <cellStyle name="Style 32 4 2 3 4 3" xfId="49977" xr:uid="{00000000-0005-0000-0000-00003EC30000}"/>
    <cellStyle name="Style 32 4 2 3 5" xfId="49978" xr:uid="{00000000-0005-0000-0000-00003FC30000}"/>
    <cellStyle name="Style 32 4 2 3 5 2" xfId="49979" xr:uid="{00000000-0005-0000-0000-000040C30000}"/>
    <cellStyle name="Style 32 4 2 3 5 3" xfId="49980" xr:uid="{00000000-0005-0000-0000-000041C30000}"/>
    <cellStyle name="Style 32 4 2 3 6" xfId="49981" xr:uid="{00000000-0005-0000-0000-000042C30000}"/>
    <cellStyle name="Style 32 4 2 3 7" xfId="49982" xr:uid="{00000000-0005-0000-0000-000043C30000}"/>
    <cellStyle name="Style 32 4 2 3 8" xfId="49983" xr:uid="{00000000-0005-0000-0000-000044C30000}"/>
    <cellStyle name="Style 32 4 2 4" xfId="49984" xr:uid="{00000000-0005-0000-0000-000045C30000}"/>
    <cellStyle name="Style 32 4 2 4 2" xfId="49985" xr:uid="{00000000-0005-0000-0000-000046C30000}"/>
    <cellStyle name="Style 32 4 2 4 2 2" xfId="49986" xr:uid="{00000000-0005-0000-0000-000047C30000}"/>
    <cellStyle name="Style 32 4 2 4 2 3" xfId="49987" xr:uid="{00000000-0005-0000-0000-000048C30000}"/>
    <cellStyle name="Style 32 4 2 4 3" xfId="49988" xr:uid="{00000000-0005-0000-0000-000049C30000}"/>
    <cellStyle name="Style 32 4 2 4 3 2" xfId="49989" xr:uid="{00000000-0005-0000-0000-00004AC30000}"/>
    <cellStyle name="Style 32 4 2 4 3 3" xfId="49990" xr:uid="{00000000-0005-0000-0000-00004BC30000}"/>
    <cellStyle name="Style 32 4 2 4 4" xfId="49991" xr:uid="{00000000-0005-0000-0000-00004CC30000}"/>
    <cellStyle name="Style 32 4 2 4 5" xfId="49992" xr:uid="{00000000-0005-0000-0000-00004DC30000}"/>
    <cellStyle name="Style 32 4 2 4 6" xfId="49993" xr:uid="{00000000-0005-0000-0000-00004EC30000}"/>
    <cellStyle name="Style 32 4 2 5" xfId="49994" xr:uid="{00000000-0005-0000-0000-00004FC30000}"/>
    <cellStyle name="Style 32 4 2 5 2" xfId="49995" xr:uid="{00000000-0005-0000-0000-000050C30000}"/>
    <cellStyle name="Style 32 4 2 5 3" xfId="49996" xr:uid="{00000000-0005-0000-0000-000051C30000}"/>
    <cellStyle name="Style 32 4 2 6" xfId="49997" xr:uid="{00000000-0005-0000-0000-000052C30000}"/>
    <cellStyle name="Style 32 4 2 6 2" xfId="49998" xr:uid="{00000000-0005-0000-0000-000053C30000}"/>
    <cellStyle name="Style 32 4 2 6 3" xfId="49999" xr:uid="{00000000-0005-0000-0000-000054C30000}"/>
    <cellStyle name="Style 32 4 2 7" xfId="50000" xr:uid="{00000000-0005-0000-0000-000055C30000}"/>
    <cellStyle name="Style 32 4 2 7 2" xfId="50001" xr:uid="{00000000-0005-0000-0000-000056C30000}"/>
    <cellStyle name="Style 32 4 2 7 3" xfId="50002" xr:uid="{00000000-0005-0000-0000-000057C30000}"/>
    <cellStyle name="Style 32 4 2 8" xfId="50003" xr:uid="{00000000-0005-0000-0000-000058C30000}"/>
    <cellStyle name="Style 32 4 2 9" xfId="50004" xr:uid="{00000000-0005-0000-0000-000059C30000}"/>
    <cellStyle name="Style 32 4 3" xfId="50005" xr:uid="{00000000-0005-0000-0000-00005AC30000}"/>
    <cellStyle name="Style 32 4 3 2" xfId="50006" xr:uid="{00000000-0005-0000-0000-00005BC30000}"/>
    <cellStyle name="Style 32 4 3 2 2" xfId="50007" xr:uid="{00000000-0005-0000-0000-00005CC30000}"/>
    <cellStyle name="Style 32 4 3 2 2 2" xfId="50008" xr:uid="{00000000-0005-0000-0000-00005DC30000}"/>
    <cellStyle name="Style 32 4 3 2 2 3" xfId="50009" xr:uid="{00000000-0005-0000-0000-00005EC30000}"/>
    <cellStyle name="Style 32 4 3 2 3" xfId="50010" xr:uid="{00000000-0005-0000-0000-00005FC30000}"/>
    <cellStyle name="Style 32 4 3 2 3 2" xfId="50011" xr:uid="{00000000-0005-0000-0000-000060C30000}"/>
    <cellStyle name="Style 32 4 3 2 3 3" xfId="50012" xr:uid="{00000000-0005-0000-0000-000061C30000}"/>
    <cellStyle name="Style 32 4 3 2 4" xfId="50013" xr:uid="{00000000-0005-0000-0000-000062C30000}"/>
    <cellStyle name="Style 32 4 3 2 5" xfId="50014" xr:uid="{00000000-0005-0000-0000-000063C30000}"/>
    <cellStyle name="Style 32 4 3 2 6" xfId="50015" xr:uid="{00000000-0005-0000-0000-000064C30000}"/>
    <cellStyle name="Style 32 4 3 3" xfId="50016" xr:uid="{00000000-0005-0000-0000-000065C30000}"/>
    <cellStyle name="Style 32 4 3 3 2" xfId="50017" xr:uid="{00000000-0005-0000-0000-000066C30000}"/>
    <cellStyle name="Style 32 4 3 3 3" xfId="50018" xr:uid="{00000000-0005-0000-0000-000067C30000}"/>
    <cellStyle name="Style 32 4 3 4" xfId="50019" xr:uid="{00000000-0005-0000-0000-000068C30000}"/>
    <cellStyle name="Style 32 4 3 4 2" xfId="50020" xr:uid="{00000000-0005-0000-0000-000069C30000}"/>
    <cellStyle name="Style 32 4 3 4 3" xfId="50021" xr:uid="{00000000-0005-0000-0000-00006AC30000}"/>
    <cellStyle name="Style 32 4 3 5" xfId="50022" xr:uid="{00000000-0005-0000-0000-00006BC30000}"/>
    <cellStyle name="Style 32 4 3 5 2" xfId="50023" xr:uid="{00000000-0005-0000-0000-00006CC30000}"/>
    <cellStyle name="Style 32 4 3 5 3" xfId="50024" xr:uid="{00000000-0005-0000-0000-00006DC30000}"/>
    <cellStyle name="Style 32 4 3 6" xfId="50025" xr:uid="{00000000-0005-0000-0000-00006EC30000}"/>
    <cellStyle name="Style 32 4 3 7" xfId="50026" xr:uid="{00000000-0005-0000-0000-00006FC30000}"/>
    <cellStyle name="Style 32 4 3 8" xfId="50027" xr:uid="{00000000-0005-0000-0000-000070C30000}"/>
    <cellStyle name="Style 32 4 4" xfId="50028" xr:uid="{00000000-0005-0000-0000-000071C30000}"/>
    <cellStyle name="Style 32 4 4 2" xfId="50029" xr:uid="{00000000-0005-0000-0000-000072C30000}"/>
    <cellStyle name="Style 32 4 4 2 2" xfId="50030" xr:uid="{00000000-0005-0000-0000-000073C30000}"/>
    <cellStyle name="Style 32 4 4 2 2 2" xfId="50031" xr:uid="{00000000-0005-0000-0000-000074C30000}"/>
    <cellStyle name="Style 32 4 4 2 2 3" xfId="50032" xr:uid="{00000000-0005-0000-0000-000075C30000}"/>
    <cellStyle name="Style 32 4 4 2 3" xfId="50033" xr:uid="{00000000-0005-0000-0000-000076C30000}"/>
    <cellStyle name="Style 32 4 4 2 3 2" xfId="50034" xr:uid="{00000000-0005-0000-0000-000077C30000}"/>
    <cellStyle name="Style 32 4 4 2 3 3" xfId="50035" xr:uid="{00000000-0005-0000-0000-000078C30000}"/>
    <cellStyle name="Style 32 4 4 2 4" xfId="50036" xr:uid="{00000000-0005-0000-0000-000079C30000}"/>
    <cellStyle name="Style 32 4 4 2 5" xfId="50037" xr:uid="{00000000-0005-0000-0000-00007AC30000}"/>
    <cellStyle name="Style 32 4 4 2 6" xfId="50038" xr:uid="{00000000-0005-0000-0000-00007BC30000}"/>
    <cellStyle name="Style 32 4 4 3" xfId="50039" xr:uid="{00000000-0005-0000-0000-00007CC30000}"/>
    <cellStyle name="Style 32 4 4 3 2" xfId="50040" xr:uid="{00000000-0005-0000-0000-00007DC30000}"/>
    <cellStyle name="Style 32 4 4 3 3" xfId="50041" xr:uid="{00000000-0005-0000-0000-00007EC30000}"/>
    <cellStyle name="Style 32 4 4 4" xfId="50042" xr:uid="{00000000-0005-0000-0000-00007FC30000}"/>
    <cellStyle name="Style 32 4 4 4 2" xfId="50043" xr:uid="{00000000-0005-0000-0000-000080C30000}"/>
    <cellStyle name="Style 32 4 4 4 3" xfId="50044" xr:uid="{00000000-0005-0000-0000-000081C30000}"/>
    <cellStyle name="Style 32 4 4 5" xfId="50045" xr:uid="{00000000-0005-0000-0000-000082C30000}"/>
    <cellStyle name="Style 32 4 4 5 2" xfId="50046" xr:uid="{00000000-0005-0000-0000-000083C30000}"/>
    <cellStyle name="Style 32 4 4 5 3" xfId="50047" xr:uid="{00000000-0005-0000-0000-000084C30000}"/>
    <cellStyle name="Style 32 4 4 6" xfId="50048" xr:uid="{00000000-0005-0000-0000-000085C30000}"/>
    <cellStyle name="Style 32 4 4 7" xfId="50049" xr:uid="{00000000-0005-0000-0000-000086C30000}"/>
    <cellStyle name="Style 32 4 4 8" xfId="50050" xr:uid="{00000000-0005-0000-0000-000087C30000}"/>
    <cellStyle name="Style 32 4 5" xfId="50051" xr:uid="{00000000-0005-0000-0000-000088C30000}"/>
    <cellStyle name="Style 32 4 5 2" xfId="50052" xr:uid="{00000000-0005-0000-0000-000089C30000}"/>
    <cellStyle name="Style 32 4 5 2 2" xfId="50053" xr:uid="{00000000-0005-0000-0000-00008AC30000}"/>
    <cellStyle name="Style 32 4 5 2 2 2" xfId="50054" xr:uid="{00000000-0005-0000-0000-00008BC30000}"/>
    <cellStyle name="Style 32 4 5 2 2 3" xfId="50055" xr:uid="{00000000-0005-0000-0000-00008CC30000}"/>
    <cellStyle name="Style 32 4 5 2 3" xfId="50056" xr:uid="{00000000-0005-0000-0000-00008DC30000}"/>
    <cellStyle name="Style 32 4 5 2 3 2" xfId="50057" xr:uid="{00000000-0005-0000-0000-00008EC30000}"/>
    <cellStyle name="Style 32 4 5 2 3 3" xfId="50058" xr:uid="{00000000-0005-0000-0000-00008FC30000}"/>
    <cellStyle name="Style 32 4 5 2 4" xfId="50059" xr:uid="{00000000-0005-0000-0000-000090C30000}"/>
    <cellStyle name="Style 32 4 5 2 5" xfId="50060" xr:uid="{00000000-0005-0000-0000-000091C30000}"/>
    <cellStyle name="Style 32 4 5 2 6" xfId="50061" xr:uid="{00000000-0005-0000-0000-000092C30000}"/>
    <cellStyle name="Style 32 4 5 3" xfId="50062" xr:uid="{00000000-0005-0000-0000-000093C30000}"/>
    <cellStyle name="Style 32 4 5 3 2" xfId="50063" xr:uid="{00000000-0005-0000-0000-000094C30000}"/>
    <cellStyle name="Style 32 4 5 3 3" xfId="50064" xr:uid="{00000000-0005-0000-0000-000095C30000}"/>
    <cellStyle name="Style 32 4 5 4" xfId="50065" xr:uid="{00000000-0005-0000-0000-000096C30000}"/>
    <cellStyle name="Style 32 4 5 4 2" xfId="50066" xr:uid="{00000000-0005-0000-0000-000097C30000}"/>
    <cellStyle name="Style 32 4 5 4 3" xfId="50067" xr:uid="{00000000-0005-0000-0000-000098C30000}"/>
    <cellStyle name="Style 32 4 5 5" xfId="50068" xr:uid="{00000000-0005-0000-0000-000099C30000}"/>
    <cellStyle name="Style 32 4 5 5 2" xfId="50069" xr:uid="{00000000-0005-0000-0000-00009AC30000}"/>
    <cellStyle name="Style 32 4 5 5 3" xfId="50070" xr:uid="{00000000-0005-0000-0000-00009BC30000}"/>
    <cellStyle name="Style 32 4 5 6" xfId="50071" xr:uid="{00000000-0005-0000-0000-00009CC30000}"/>
    <cellStyle name="Style 32 4 5 7" xfId="50072" xr:uid="{00000000-0005-0000-0000-00009DC30000}"/>
    <cellStyle name="Style 32 4 5 8" xfId="50073" xr:uid="{00000000-0005-0000-0000-00009EC30000}"/>
    <cellStyle name="Style 32 4 6" xfId="50074" xr:uid="{00000000-0005-0000-0000-00009FC30000}"/>
    <cellStyle name="Style 32 4 6 2" xfId="50075" xr:uid="{00000000-0005-0000-0000-0000A0C30000}"/>
    <cellStyle name="Style 32 4 6 2 2" xfId="50076" xr:uid="{00000000-0005-0000-0000-0000A1C30000}"/>
    <cellStyle name="Style 32 4 6 2 3" xfId="50077" xr:uid="{00000000-0005-0000-0000-0000A2C30000}"/>
    <cellStyle name="Style 32 4 6 3" xfId="50078" xr:uid="{00000000-0005-0000-0000-0000A3C30000}"/>
    <cellStyle name="Style 32 4 6 3 2" xfId="50079" xr:uid="{00000000-0005-0000-0000-0000A4C30000}"/>
    <cellStyle name="Style 32 4 6 3 3" xfId="50080" xr:uid="{00000000-0005-0000-0000-0000A5C30000}"/>
    <cellStyle name="Style 32 4 6 4" xfId="50081" xr:uid="{00000000-0005-0000-0000-0000A6C30000}"/>
    <cellStyle name="Style 32 4 6 5" xfId="50082" xr:uid="{00000000-0005-0000-0000-0000A7C30000}"/>
    <cellStyle name="Style 32 4 6 6" xfId="50083" xr:uid="{00000000-0005-0000-0000-0000A8C30000}"/>
    <cellStyle name="Style 32 4 7" xfId="50084" xr:uid="{00000000-0005-0000-0000-0000A9C30000}"/>
    <cellStyle name="Style 32 4 7 2" xfId="50085" xr:uid="{00000000-0005-0000-0000-0000AAC30000}"/>
    <cellStyle name="Style 32 4 7 3" xfId="50086" xr:uid="{00000000-0005-0000-0000-0000ABC30000}"/>
    <cellStyle name="Style 32 4 8" xfId="50087" xr:uid="{00000000-0005-0000-0000-0000ACC30000}"/>
    <cellStyle name="Style 32 4 8 2" xfId="50088" xr:uid="{00000000-0005-0000-0000-0000ADC30000}"/>
    <cellStyle name="Style 32 4 8 3" xfId="50089" xr:uid="{00000000-0005-0000-0000-0000AEC30000}"/>
    <cellStyle name="Style 32 4 9" xfId="50090" xr:uid="{00000000-0005-0000-0000-0000AFC30000}"/>
    <cellStyle name="Style 32 4 9 2" xfId="50091" xr:uid="{00000000-0005-0000-0000-0000B0C30000}"/>
    <cellStyle name="Style 32 4 9 3" xfId="50092" xr:uid="{00000000-0005-0000-0000-0000B1C30000}"/>
    <cellStyle name="Style 32 5" xfId="50093" xr:uid="{00000000-0005-0000-0000-0000B2C30000}"/>
    <cellStyle name="Style 32 5 10" xfId="50094" xr:uid="{00000000-0005-0000-0000-0000B3C30000}"/>
    <cellStyle name="Style 32 5 11" xfId="50095" xr:uid="{00000000-0005-0000-0000-0000B4C30000}"/>
    <cellStyle name="Style 32 5 12" xfId="50096" xr:uid="{00000000-0005-0000-0000-0000B5C30000}"/>
    <cellStyle name="Style 32 5 2" xfId="50097" xr:uid="{00000000-0005-0000-0000-0000B6C30000}"/>
    <cellStyle name="Style 32 5 2 10" xfId="50098" xr:uid="{00000000-0005-0000-0000-0000B7C30000}"/>
    <cellStyle name="Style 32 5 2 2" xfId="50099" xr:uid="{00000000-0005-0000-0000-0000B8C30000}"/>
    <cellStyle name="Style 32 5 2 2 2" xfId="50100" xr:uid="{00000000-0005-0000-0000-0000B9C30000}"/>
    <cellStyle name="Style 32 5 2 2 2 2" xfId="50101" xr:uid="{00000000-0005-0000-0000-0000BAC30000}"/>
    <cellStyle name="Style 32 5 2 2 2 2 2" xfId="50102" xr:uid="{00000000-0005-0000-0000-0000BBC30000}"/>
    <cellStyle name="Style 32 5 2 2 2 2 3" xfId="50103" xr:uid="{00000000-0005-0000-0000-0000BCC30000}"/>
    <cellStyle name="Style 32 5 2 2 2 3" xfId="50104" xr:uid="{00000000-0005-0000-0000-0000BDC30000}"/>
    <cellStyle name="Style 32 5 2 2 2 3 2" xfId="50105" xr:uid="{00000000-0005-0000-0000-0000BEC30000}"/>
    <cellStyle name="Style 32 5 2 2 2 3 3" xfId="50106" xr:uid="{00000000-0005-0000-0000-0000BFC30000}"/>
    <cellStyle name="Style 32 5 2 2 2 4" xfId="50107" xr:uid="{00000000-0005-0000-0000-0000C0C30000}"/>
    <cellStyle name="Style 32 5 2 2 2 5" xfId="50108" xr:uid="{00000000-0005-0000-0000-0000C1C30000}"/>
    <cellStyle name="Style 32 5 2 2 2 6" xfId="50109" xr:uid="{00000000-0005-0000-0000-0000C2C30000}"/>
    <cellStyle name="Style 32 5 2 2 3" xfId="50110" xr:uid="{00000000-0005-0000-0000-0000C3C30000}"/>
    <cellStyle name="Style 32 5 2 2 3 2" xfId="50111" xr:uid="{00000000-0005-0000-0000-0000C4C30000}"/>
    <cellStyle name="Style 32 5 2 2 3 3" xfId="50112" xr:uid="{00000000-0005-0000-0000-0000C5C30000}"/>
    <cellStyle name="Style 32 5 2 2 4" xfId="50113" xr:uid="{00000000-0005-0000-0000-0000C6C30000}"/>
    <cellStyle name="Style 32 5 2 2 4 2" xfId="50114" xr:uid="{00000000-0005-0000-0000-0000C7C30000}"/>
    <cellStyle name="Style 32 5 2 2 4 3" xfId="50115" xr:uid="{00000000-0005-0000-0000-0000C8C30000}"/>
    <cellStyle name="Style 32 5 2 2 5" xfId="50116" xr:uid="{00000000-0005-0000-0000-0000C9C30000}"/>
    <cellStyle name="Style 32 5 2 2 5 2" xfId="50117" xr:uid="{00000000-0005-0000-0000-0000CAC30000}"/>
    <cellStyle name="Style 32 5 2 2 5 3" xfId="50118" xr:uid="{00000000-0005-0000-0000-0000CBC30000}"/>
    <cellStyle name="Style 32 5 2 2 6" xfId="50119" xr:uid="{00000000-0005-0000-0000-0000CCC30000}"/>
    <cellStyle name="Style 32 5 2 2 7" xfId="50120" xr:uid="{00000000-0005-0000-0000-0000CDC30000}"/>
    <cellStyle name="Style 32 5 2 2 8" xfId="50121" xr:uid="{00000000-0005-0000-0000-0000CEC30000}"/>
    <cellStyle name="Style 32 5 2 3" xfId="50122" xr:uid="{00000000-0005-0000-0000-0000CFC30000}"/>
    <cellStyle name="Style 32 5 2 3 2" xfId="50123" xr:uid="{00000000-0005-0000-0000-0000D0C30000}"/>
    <cellStyle name="Style 32 5 2 3 2 2" xfId="50124" xr:uid="{00000000-0005-0000-0000-0000D1C30000}"/>
    <cellStyle name="Style 32 5 2 3 2 2 2" xfId="50125" xr:uid="{00000000-0005-0000-0000-0000D2C30000}"/>
    <cellStyle name="Style 32 5 2 3 2 2 3" xfId="50126" xr:uid="{00000000-0005-0000-0000-0000D3C30000}"/>
    <cellStyle name="Style 32 5 2 3 2 3" xfId="50127" xr:uid="{00000000-0005-0000-0000-0000D4C30000}"/>
    <cellStyle name="Style 32 5 2 3 2 3 2" xfId="50128" xr:uid="{00000000-0005-0000-0000-0000D5C30000}"/>
    <cellStyle name="Style 32 5 2 3 2 3 3" xfId="50129" xr:uid="{00000000-0005-0000-0000-0000D6C30000}"/>
    <cellStyle name="Style 32 5 2 3 2 4" xfId="50130" xr:uid="{00000000-0005-0000-0000-0000D7C30000}"/>
    <cellStyle name="Style 32 5 2 3 2 5" xfId="50131" xr:uid="{00000000-0005-0000-0000-0000D8C30000}"/>
    <cellStyle name="Style 32 5 2 3 2 6" xfId="50132" xr:uid="{00000000-0005-0000-0000-0000D9C30000}"/>
    <cellStyle name="Style 32 5 2 3 3" xfId="50133" xr:uid="{00000000-0005-0000-0000-0000DAC30000}"/>
    <cellStyle name="Style 32 5 2 3 3 2" xfId="50134" xr:uid="{00000000-0005-0000-0000-0000DBC30000}"/>
    <cellStyle name="Style 32 5 2 3 3 3" xfId="50135" xr:uid="{00000000-0005-0000-0000-0000DCC30000}"/>
    <cellStyle name="Style 32 5 2 3 4" xfId="50136" xr:uid="{00000000-0005-0000-0000-0000DDC30000}"/>
    <cellStyle name="Style 32 5 2 3 4 2" xfId="50137" xr:uid="{00000000-0005-0000-0000-0000DEC30000}"/>
    <cellStyle name="Style 32 5 2 3 4 3" xfId="50138" xr:uid="{00000000-0005-0000-0000-0000DFC30000}"/>
    <cellStyle name="Style 32 5 2 3 5" xfId="50139" xr:uid="{00000000-0005-0000-0000-0000E0C30000}"/>
    <cellStyle name="Style 32 5 2 3 5 2" xfId="50140" xr:uid="{00000000-0005-0000-0000-0000E1C30000}"/>
    <cellStyle name="Style 32 5 2 3 5 3" xfId="50141" xr:uid="{00000000-0005-0000-0000-0000E2C30000}"/>
    <cellStyle name="Style 32 5 2 3 6" xfId="50142" xr:uid="{00000000-0005-0000-0000-0000E3C30000}"/>
    <cellStyle name="Style 32 5 2 3 7" xfId="50143" xr:uid="{00000000-0005-0000-0000-0000E4C30000}"/>
    <cellStyle name="Style 32 5 2 3 8" xfId="50144" xr:uid="{00000000-0005-0000-0000-0000E5C30000}"/>
    <cellStyle name="Style 32 5 2 4" xfId="50145" xr:uid="{00000000-0005-0000-0000-0000E6C30000}"/>
    <cellStyle name="Style 32 5 2 4 2" xfId="50146" xr:uid="{00000000-0005-0000-0000-0000E7C30000}"/>
    <cellStyle name="Style 32 5 2 4 2 2" xfId="50147" xr:uid="{00000000-0005-0000-0000-0000E8C30000}"/>
    <cellStyle name="Style 32 5 2 4 2 3" xfId="50148" xr:uid="{00000000-0005-0000-0000-0000E9C30000}"/>
    <cellStyle name="Style 32 5 2 4 3" xfId="50149" xr:uid="{00000000-0005-0000-0000-0000EAC30000}"/>
    <cellStyle name="Style 32 5 2 4 3 2" xfId="50150" xr:uid="{00000000-0005-0000-0000-0000EBC30000}"/>
    <cellStyle name="Style 32 5 2 4 3 3" xfId="50151" xr:uid="{00000000-0005-0000-0000-0000ECC30000}"/>
    <cellStyle name="Style 32 5 2 4 4" xfId="50152" xr:uid="{00000000-0005-0000-0000-0000EDC30000}"/>
    <cellStyle name="Style 32 5 2 4 5" xfId="50153" xr:uid="{00000000-0005-0000-0000-0000EEC30000}"/>
    <cellStyle name="Style 32 5 2 4 6" xfId="50154" xr:uid="{00000000-0005-0000-0000-0000EFC30000}"/>
    <cellStyle name="Style 32 5 2 5" xfId="50155" xr:uid="{00000000-0005-0000-0000-0000F0C30000}"/>
    <cellStyle name="Style 32 5 2 5 2" xfId="50156" xr:uid="{00000000-0005-0000-0000-0000F1C30000}"/>
    <cellStyle name="Style 32 5 2 5 3" xfId="50157" xr:uid="{00000000-0005-0000-0000-0000F2C30000}"/>
    <cellStyle name="Style 32 5 2 6" xfId="50158" xr:uid="{00000000-0005-0000-0000-0000F3C30000}"/>
    <cellStyle name="Style 32 5 2 6 2" xfId="50159" xr:uid="{00000000-0005-0000-0000-0000F4C30000}"/>
    <cellStyle name="Style 32 5 2 6 3" xfId="50160" xr:uid="{00000000-0005-0000-0000-0000F5C30000}"/>
    <cellStyle name="Style 32 5 2 7" xfId="50161" xr:uid="{00000000-0005-0000-0000-0000F6C30000}"/>
    <cellStyle name="Style 32 5 2 7 2" xfId="50162" xr:uid="{00000000-0005-0000-0000-0000F7C30000}"/>
    <cellStyle name="Style 32 5 2 7 3" xfId="50163" xr:uid="{00000000-0005-0000-0000-0000F8C30000}"/>
    <cellStyle name="Style 32 5 2 8" xfId="50164" xr:uid="{00000000-0005-0000-0000-0000F9C30000}"/>
    <cellStyle name="Style 32 5 2 9" xfId="50165" xr:uid="{00000000-0005-0000-0000-0000FAC30000}"/>
    <cellStyle name="Style 32 5 3" xfId="50166" xr:uid="{00000000-0005-0000-0000-0000FBC30000}"/>
    <cellStyle name="Style 32 5 3 2" xfId="50167" xr:uid="{00000000-0005-0000-0000-0000FCC30000}"/>
    <cellStyle name="Style 32 5 3 2 2" xfId="50168" xr:uid="{00000000-0005-0000-0000-0000FDC30000}"/>
    <cellStyle name="Style 32 5 3 2 2 2" xfId="50169" xr:uid="{00000000-0005-0000-0000-0000FEC30000}"/>
    <cellStyle name="Style 32 5 3 2 2 3" xfId="50170" xr:uid="{00000000-0005-0000-0000-0000FFC30000}"/>
    <cellStyle name="Style 32 5 3 2 3" xfId="50171" xr:uid="{00000000-0005-0000-0000-000000C40000}"/>
    <cellStyle name="Style 32 5 3 2 3 2" xfId="50172" xr:uid="{00000000-0005-0000-0000-000001C40000}"/>
    <cellStyle name="Style 32 5 3 2 3 3" xfId="50173" xr:uid="{00000000-0005-0000-0000-000002C40000}"/>
    <cellStyle name="Style 32 5 3 2 4" xfId="50174" xr:uid="{00000000-0005-0000-0000-000003C40000}"/>
    <cellStyle name="Style 32 5 3 2 5" xfId="50175" xr:uid="{00000000-0005-0000-0000-000004C40000}"/>
    <cellStyle name="Style 32 5 3 2 6" xfId="50176" xr:uid="{00000000-0005-0000-0000-000005C40000}"/>
    <cellStyle name="Style 32 5 3 3" xfId="50177" xr:uid="{00000000-0005-0000-0000-000006C40000}"/>
    <cellStyle name="Style 32 5 3 3 2" xfId="50178" xr:uid="{00000000-0005-0000-0000-000007C40000}"/>
    <cellStyle name="Style 32 5 3 3 3" xfId="50179" xr:uid="{00000000-0005-0000-0000-000008C40000}"/>
    <cellStyle name="Style 32 5 3 4" xfId="50180" xr:uid="{00000000-0005-0000-0000-000009C40000}"/>
    <cellStyle name="Style 32 5 3 4 2" xfId="50181" xr:uid="{00000000-0005-0000-0000-00000AC40000}"/>
    <cellStyle name="Style 32 5 3 4 3" xfId="50182" xr:uid="{00000000-0005-0000-0000-00000BC40000}"/>
    <cellStyle name="Style 32 5 3 5" xfId="50183" xr:uid="{00000000-0005-0000-0000-00000CC40000}"/>
    <cellStyle name="Style 32 5 3 5 2" xfId="50184" xr:uid="{00000000-0005-0000-0000-00000DC40000}"/>
    <cellStyle name="Style 32 5 3 5 3" xfId="50185" xr:uid="{00000000-0005-0000-0000-00000EC40000}"/>
    <cellStyle name="Style 32 5 3 6" xfId="50186" xr:uid="{00000000-0005-0000-0000-00000FC40000}"/>
    <cellStyle name="Style 32 5 3 7" xfId="50187" xr:uid="{00000000-0005-0000-0000-000010C40000}"/>
    <cellStyle name="Style 32 5 3 8" xfId="50188" xr:uid="{00000000-0005-0000-0000-000011C40000}"/>
    <cellStyle name="Style 32 5 4" xfId="50189" xr:uid="{00000000-0005-0000-0000-000012C40000}"/>
    <cellStyle name="Style 32 5 4 2" xfId="50190" xr:uid="{00000000-0005-0000-0000-000013C40000}"/>
    <cellStyle name="Style 32 5 4 2 2" xfId="50191" xr:uid="{00000000-0005-0000-0000-000014C40000}"/>
    <cellStyle name="Style 32 5 4 2 2 2" xfId="50192" xr:uid="{00000000-0005-0000-0000-000015C40000}"/>
    <cellStyle name="Style 32 5 4 2 2 3" xfId="50193" xr:uid="{00000000-0005-0000-0000-000016C40000}"/>
    <cellStyle name="Style 32 5 4 2 3" xfId="50194" xr:uid="{00000000-0005-0000-0000-000017C40000}"/>
    <cellStyle name="Style 32 5 4 2 3 2" xfId="50195" xr:uid="{00000000-0005-0000-0000-000018C40000}"/>
    <cellStyle name="Style 32 5 4 2 3 3" xfId="50196" xr:uid="{00000000-0005-0000-0000-000019C40000}"/>
    <cellStyle name="Style 32 5 4 2 4" xfId="50197" xr:uid="{00000000-0005-0000-0000-00001AC40000}"/>
    <cellStyle name="Style 32 5 4 2 5" xfId="50198" xr:uid="{00000000-0005-0000-0000-00001BC40000}"/>
    <cellStyle name="Style 32 5 4 2 6" xfId="50199" xr:uid="{00000000-0005-0000-0000-00001CC40000}"/>
    <cellStyle name="Style 32 5 4 3" xfId="50200" xr:uid="{00000000-0005-0000-0000-00001DC40000}"/>
    <cellStyle name="Style 32 5 4 3 2" xfId="50201" xr:uid="{00000000-0005-0000-0000-00001EC40000}"/>
    <cellStyle name="Style 32 5 4 3 3" xfId="50202" xr:uid="{00000000-0005-0000-0000-00001FC40000}"/>
    <cellStyle name="Style 32 5 4 4" xfId="50203" xr:uid="{00000000-0005-0000-0000-000020C40000}"/>
    <cellStyle name="Style 32 5 4 4 2" xfId="50204" xr:uid="{00000000-0005-0000-0000-000021C40000}"/>
    <cellStyle name="Style 32 5 4 4 3" xfId="50205" xr:uid="{00000000-0005-0000-0000-000022C40000}"/>
    <cellStyle name="Style 32 5 4 5" xfId="50206" xr:uid="{00000000-0005-0000-0000-000023C40000}"/>
    <cellStyle name="Style 32 5 4 5 2" xfId="50207" xr:uid="{00000000-0005-0000-0000-000024C40000}"/>
    <cellStyle name="Style 32 5 4 5 3" xfId="50208" xr:uid="{00000000-0005-0000-0000-000025C40000}"/>
    <cellStyle name="Style 32 5 4 6" xfId="50209" xr:uid="{00000000-0005-0000-0000-000026C40000}"/>
    <cellStyle name="Style 32 5 4 7" xfId="50210" xr:uid="{00000000-0005-0000-0000-000027C40000}"/>
    <cellStyle name="Style 32 5 4 8" xfId="50211" xr:uid="{00000000-0005-0000-0000-000028C40000}"/>
    <cellStyle name="Style 32 5 5" xfId="50212" xr:uid="{00000000-0005-0000-0000-000029C40000}"/>
    <cellStyle name="Style 32 5 5 2" xfId="50213" xr:uid="{00000000-0005-0000-0000-00002AC40000}"/>
    <cellStyle name="Style 32 5 5 2 2" xfId="50214" xr:uid="{00000000-0005-0000-0000-00002BC40000}"/>
    <cellStyle name="Style 32 5 5 2 2 2" xfId="50215" xr:uid="{00000000-0005-0000-0000-00002CC40000}"/>
    <cellStyle name="Style 32 5 5 2 2 3" xfId="50216" xr:uid="{00000000-0005-0000-0000-00002DC40000}"/>
    <cellStyle name="Style 32 5 5 2 3" xfId="50217" xr:uid="{00000000-0005-0000-0000-00002EC40000}"/>
    <cellStyle name="Style 32 5 5 2 3 2" xfId="50218" xr:uid="{00000000-0005-0000-0000-00002FC40000}"/>
    <cellStyle name="Style 32 5 5 2 3 3" xfId="50219" xr:uid="{00000000-0005-0000-0000-000030C40000}"/>
    <cellStyle name="Style 32 5 5 2 4" xfId="50220" xr:uid="{00000000-0005-0000-0000-000031C40000}"/>
    <cellStyle name="Style 32 5 5 2 5" xfId="50221" xr:uid="{00000000-0005-0000-0000-000032C40000}"/>
    <cellStyle name="Style 32 5 5 2 6" xfId="50222" xr:uid="{00000000-0005-0000-0000-000033C40000}"/>
    <cellStyle name="Style 32 5 5 3" xfId="50223" xr:uid="{00000000-0005-0000-0000-000034C40000}"/>
    <cellStyle name="Style 32 5 5 3 2" xfId="50224" xr:uid="{00000000-0005-0000-0000-000035C40000}"/>
    <cellStyle name="Style 32 5 5 3 3" xfId="50225" xr:uid="{00000000-0005-0000-0000-000036C40000}"/>
    <cellStyle name="Style 32 5 5 4" xfId="50226" xr:uid="{00000000-0005-0000-0000-000037C40000}"/>
    <cellStyle name="Style 32 5 5 4 2" xfId="50227" xr:uid="{00000000-0005-0000-0000-000038C40000}"/>
    <cellStyle name="Style 32 5 5 4 3" xfId="50228" xr:uid="{00000000-0005-0000-0000-000039C40000}"/>
    <cellStyle name="Style 32 5 5 5" xfId="50229" xr:uid="{00000000-0005-0000-0000-00003AC40000}"/>
    <cellStyle name="Style 32 5 5 5 2" xfId="50230" xr:uid="{00000000-0005-0000-0000-00003BC40000}"/>
    <cellStyle name="Style 32 5 5 5 3" xfId="50231" xr:uid="{00000000-0005-0000-0000-00003CC40000}"/>
    <cellStyle name="Style 32 5 5 6" xfId="50232" xr:uid="{00000000-0005-0000-0000-00003DC40000}"/>
    <cellStyle name="Style 32 5 5 7" xfId="50233" xr:uid="{00000000-0005-0000-0000-00003EC40000}"/>
    <cellStyle name="Style 32 5 5 8" xfId="50234" xr:uid="{00000000-0005-0000-0000-00003FC40000}"/>
    <cellStyle name="Style 32 5 6" xfId="50235" xr:uid="{00000000-0005-0000-0000-000040C40000}"/>
    <cellStyle name="Style 32 5 6 2" xfId="50236" xr:uid="{00000000-0005-0000-0000-000041C40000}"/>
    <cellStyle name="Style 32 5 6 2 2" xfId="50237" xr:uid="{00000000-0005-0000-0000-000042C40000}"/>
    <cellStyle name="Style 32 5 6 2 3" xfId="50238" xr:uid="{00000000-0005-0000-0000-000043C40000}"/>
    <cellStyle name="Style 32 5 6 3" xfId="50239" xr:uid="{00000000-0005-0000-0000-000044C40000}"/>
    <cellStyle name="Style 32 5 6 3 2" xfId="50240" xr:uid="{00000000-0005-0000-0000-000045C40000}"/>
    <cellStyle name="Style 32 5 6 3 3" xfId="50241" xr:uid="{00000000-0005-0000-0000-000046C40000}"/>
    <cellStyle name="Style 32 5 6 4" xfId="50242" xr:uid="{00000000-0005-0000-0000-000047C40000}"/>
    <cellStyle name="Style 32 5 6 5" xfId="50243" xr:uid="{00000000-0005-0000-0000-000048C40000}"/>
    <cellStyle name="Style 32 5 6 6" xfId="50244" xr:uid="{00000000-0005-0000-0000-000049C40000}"/>
    <cellStyle name="Style 32 5 7" xfId="50245" xr:uid="{00000000-0005-0000-0000-00004AC40000}"/>
    <cellStyle name="Style 32 5 7 2" xfId="50246" xr:uid="{00000000-0005-0000-0000-00004BC40000}"/>
    <cellStyle name="Style 32 5 7 3" xfId="50247" xr:uid="{00000000-0005-0000-0000-00004CC40000}"/>
    <cellStyle name="Style 32 5 8" xfId="50248" xr:uid="{00000000-0005-0000-0000-00004DC40000}"/>
    <cellStyle name="Style 32 5 8 2" xfId="50249" xr:uid="{00000000-0005-0000-0000-00004EC40000}"/>
    <cellStyle name="Style 32 5 8 3" xfId="50250" xr:uid="{00000000-0005-0000-0000-00004FC40000}"/>
    <cellStyle name="Style 32 5 9" xfId="50251" xr:uid="{00000000-0005-0000-0000-000050C40000}"/>
    <cellStyle name="Style 32 5 9 2" xfId="50252" xr:uid="{00000000-0005-0000-0000-000051C40000}"/>
    <cellStyle name="Style 32 5 9 3" xfId="50253" xr:uid="{00000000-0005-0000-0000-000052C40000}"/>
    <cellStyle name="Style 32 6" xfId="50254" xr:uid="{00000000-0005-0000-0000-000053C40000}"/>
    <cellStyle name="Style 32 6 10" xfId="50255" xr:uid="{00000000-0005-0000-0000-000054C40000}"/>
    <cellStyle name="Style 32 6 11" xfId="50256" xr:uid="{00000000-0005-0000-0000-000055C40000}"/>
    <cellStyle name="Style 32 6 12" xfId="50257" xr:uid="{00000000-0005-0000-0000-000056C40000}"/>
    <cellStyle name="Style 32 6 2" xfId="50258" xr:uid="{00000000-0005-0000-0000-000057C40000}"/>
    <cellStyle name="Style 32 6 2 10" xfId="50259" xr:uid="{00000000-0005-0000-0000-000058C40000}"/>
    <cellStyle name="Style 32 6 2 2" xfId="50260" xr:uid="{00000000-0005-0000-0000-000059C40000}"/>
    <cellStyle name="Style 32 6 2 2 2" xfId="50261" xr:uid="{00000000-0005-0000-0000-00005AC40000}"/>
    <cellStyle name="Style 32 6 2 2 2 2" xfId="50262" xr:uid="{00000000-0005-0000-0000-00005BC40000}"/>
    <cellStyle name="Style 32 6 2 2 2 2 2" xfId="50263" xr:uid="{00000000-0005-0000-0000-00005CC40000}"/>
    <cellStyle name="Style 32 6 2 2 2 2 3" xfId="50264" xr:uid="{00000000-0005-0000-0000-00005DC40000}"/>
    <cellStyle name="Style 32 6 2 2 2 3" xfId="50265" xr:uid="{00000000-0005-0000-0000-00005EC40000}"/>
    <cellStyle name="Style 32 6 2 2 2 3 2" xfId="50266" xr:uid="{00000000-0005-0000-0000-00005FC40000}"/>
    <cellStyle name="Style 32 6 2 2 2 3 3" xfId="50267" xr:uid="{00000000-0005-0000-0000-000060C40000}"/>
    <cellStyle name="Style 32 6 2 2 2 4" xfId="50268" xr:uid="{00000000-0005-0000-0000-000061C40000}"/>
    <cellStyle name="Style 32 6 2 2 2 5" xfId="50269" xr:uid="{00000000-0005-0000-0000-000062C40000}"/>
    <cellStyle name="Style 32 6 2 2 2 6" xfId="50270" xr:uid="{00000000-0005-0000-0000-000063C40000}"/>
    <cellStyle name="Style 32 6 2 2 3" xfId="50271" xr:uid="{00000000-0005-0000-0000-000064C40000}"/>
    <cellStyle name="Style 32 6 2 2 3 2" xfId="50272" xr:uid="{00000000-0005-0000-0000-000065C40000}"/>
    <cellStyle name="Style 32 6 2 2 3 3" xfId="50273" xr:uid="{00000000-0005-0000-0000-000066C40000}"/>
    <cellStyle name="Style 32 6 2 2 4" xfId="50274" xr:uid="{00000000-0005-0000-0000-000067C40000}"/>
    <cellStyle name="Style 32 6 2 2 4 2" xfId="50275" xr:uid="{00000000-0005-0000-0000-000068C40000}"/>
    <cellStyle name="Style 32 6 2 2 4 3" xfId="50276" xr:uid="{00000000-0005-0000-0000-000069C40000}"/>
    <cellStyle name="Style 32 6 2 2 5" xfId="50277" xr:uid="{00000000-0005-0000-0000-00006AC40000}"/>
    <cellStyle name="Style 32 6 2 2 5 2" xfId="50278" xr:uid="{00000000-0005-0000-0000-00006BC40000}"/>
    <cellStyle name="Style 32 6 2 2 5 3" xfId="50279" xr:uid="{00000000-0005-0000-0000-00006CC40000}"/>
    <cellStyle name="Style 32 6 2 2 6" xfId="50280" xr:uid="{00000000-0005-0000-0000-00006DC40000}"/>
    <cellStyle name="Style 32 6 2 2 7" xfId="50281" xr:uid="{00000000-0005-0000-0000-00006EC40000}"/>
    <cellStyle name="Style 32 6 2 2 8" xfId="50282" xr:uid="{00000000-0005-0000-0000-00006FC40000}"/>
    <cellStyle name="Style 32 6 2 3" xfId="50283" xr:uid="{00000000-0005-0000-0000-000070C40000}"/>
    <cellStyle name="Style 32 6 2 3 2" xfId="50284" xr:uid="{00000000-0005-0000-0000-000071C40000}"/>
    <cellStyle name="Style 32 6 2 3 2 2" xfId="50285" xr:uid="{00000000-0005-0000-0000-000072C40000}"/>
    <cellStyle name="Style 32 6 2 3 2 2 2" xfId="50286" xr:uid="{00000000-0005-0000-0000-000073C40000}"/>
    <cellStyle name="Style 32 6 2 3 2 2 3" xfId="50287" xr:uid="{00000000-0005-0000-0000-000074C40000}"/>
    <cellStyle name="Style 32 6 2 3 2 3" xfId="50288" xr:uid="{00000000-0005-0000-0000-000075C40000}"/>
    <cellStyle name="Style 32 6 2 3 2 3 2" xfId="50289" xr:uid="{00000000-0005-0000-0000-000076C40000}"/>
    <cellStyle name="Style 32 6 2 3 2 3 3" xfId="50290" xr:uid="{00000000-0005-0000-0000-000077C40000}"/>
    <cellStyle name="Style 32 6 2 3 2 4" xfId="50291" xr:uid="{00000000-0005-0000-0000-000078C40000}"/>
    <cellStyle name="Style 32 6 2 3 2 5" xfId="50292" xr:uid="{00000000-0005-0000-0000-000079C40000}"/>
    <cellStyle name="Style 32 6 2 3 2 6" xfId="50293" xr:uid="{00000000-0005-0000-0000-00007AC40000}"/>
    <cellStyle name="Style 32 6 2 3 3" xfId="50294" xr:uid="{00000000-0005-0000-0000-00007BC40000}"/>
    <cellStyle name="Style 32 6 2 3 3 2" xfId="50295" xr:uid="{00000000-0005-0000-0000-00007CC40000}"/>
    <cellStyle name="Style 32 6 2 3 3 3" xfId="50296" xr:uid="{00000000-0005-0000-0000-00007DC40000}"/>
    <cellStyle name="Style 32 6 2 3 4" xfId="50297" xr:uid="{00000000-0005-0000-0000-00007EC40000}"/>
    <cellStyle name="Style 32 6 2 3 4 2" xfId="50298" xr:uid="{00000000-0005-0000-0000-00007FC40000}"/>
    <cellStyle name="Style 32 6 2 3 4 3" xfId="50299" xr:uid="{00000000-0005-0000-0000-000080C40000}"/>
    <cellStyle name="Style 32 6 2 3 5" xfId="50300" xr:uid="{00000000-0005-0000-0000-000081C40000}"/>
    <cellStyle name="Style 32 6 2 3 5 2" xfId="50301" xr:uid="{00000000-0005-0000-0000-000082C40000}"/>
    <cellStyle name="Style 32 6 2 3 5 3" xfId="50302" xr:uid="{00000000-0005-0000-0000-000083C40000}"/>
    <cellStyle name="Style 32 6 2 3 6" xfId="50303" xr:uid="{00000000-0005-0000-0000-000084C40000}"/>
    <cellStyle name="Style 32 6 2 3 7" xfId="50304" xr:uid="{00000000-0005-0000-0000-000085C40000}"/>
    <cellStyle name="Style 32 6 2 3 8" xfId="50305" xr:uid="{00000000-0005-0000-0000-000086C40000}"/>
    <cellStyle name="Style 32 6 2 4" xfId="50306" xr:uid="{00000000-0005-0000-0000-000087C40000}"/>
    <cellStyle name="Style 32 6 2 4 2" xfId="50307" xr:uid="{00000000-0005-0000-0000-000088C40000}"/>
    <cellStyle name="Style 32 6 2 4 2 2" xfId="50308" xr:uid="{00000000-0005-0000-0000-000089C40000}"/>
    <cellStyle name="Style 32 6 2 4 2 3" xfId="50309" xr:uid="{00000000-0005-0000-0000-00008AC40000}"/>
    <cellStyle name="Style 32 6 2 4 3" xfId="50310" xr:uid="{00000000-0005-0000-0000-00008BC40000}"/>
    <cellStyle name="Style 32 6 2 4 3 2" xfId="50311" xr:uid="{00000000-0005-0000-0000-00008CC40000}"/>
    <cellStyle name="Style 32 6 2 4 3 3" xfId="50312" xr:uid="{00000000-0005-0000-0000-00008DC40000}"/>
    <cellStyle name="Style 32 6 2 4 4" xfId="50313" xr:uid="{00000000-0005-0000-0000-00008EC40000}"/>
    <cellStyle name="Style 32 6 2 4 5" xfId="50314" xr:uid="{00000000-0005-0000-0000-00008FC40000}"/>
    <cellStyle name="Style 32 6 2 4 6" xfId="50315" xr:uid="{00000000-0005-0000-0000-000090C40000}"/>
    <cellStyle name="Style 32 6 2 5" xfId="50316" xr:uid="{00000000-0005-0000-0000-000091C40000}"/>
    <cellStyle name="Style 32 6 2 5 2" xfId="50317" xr:uid="{00000000-0005-0000-0000-000092C40000}"/>
    <cellStyle name="Style 32 6 2 5 3" xfId="50318" xr:uid="{00000000-0005-0000-0000-000093C40000}"/>
    <cellStyle name="Style 32 6 2 6" xfId="50319" xr:uid="{00000000-0005-0000-0000-000094C40000}"/>
    <cellStyle name="Style 32 6 2 6 2" xfId="50320" xr:uid="{00000000-0005-0000-0000-000095C40000}"/>
    <cellStyle name="Style 32 6 2 6 3" xfId="50321" xr:uid="{00000000-0005-0000-0000-000096C40000}"/>
    <cellStyle name="Style 32 6 2 7" xfId="50322" xr:uid="{00000000-0005-0000-0000-000097C40000}"/>
    <cellStyle name="Style 32 6 2 7 2" xfId="50323" xr:uid="{00000000-0005-0000-0000-000098C40000}"/>
    <cellStyle name="Style 32 6 2 7 3" xfId="50324" xr:uid="{00000000-0005-0000-0000-000099C40000}"/>
    <cellStyle name="Style 32 6 2 8" xfId="50325" xr:uid="{00000000-0005-0000-0000-00009AC40000}"/>
    <cellStyle name="Style 32 6 2 9" xfId="50326" xr:uid="{00000000-0005-0000-0000-00009BC40000}"/>
    <cellStyle name="Style 32 6 3" xfId="50327" xr:uid="{00000000-0005-0000-0000-00009CC40000}"/>
    <cellStyle name="Style 32 6 3 2" xfId="50328" xr:uid="{00000000-0005-0000-0000-00009DC40000}"/>
    <cellStyle name="Style 32 6 3 2 2" xfId="50329" xr:uid="{00000000-0005-0000-0000-00009EC40000}"/>
    <cellStyle name="Style 32 6 3 2 2 2" xfId="50330" xr:uid="{00000000-0005-0000-0000-00009FC40000}"/>
    <cellStyle name="Style 32 6 3 2 2 3" xfId="50331" xr:uid="{00000000-0005-0000-0000-0000A0C40000}"/>
    <cellStyle name="Style 32 6 3 2 3" xfId="50332" xr:uid="{00000000-0005-0000-0000-0000A1C40000}"/>
    <cellStyle name="Style 32 6 3 2 3 2" xfId="50333" xr:uid="{00000000-0005-0000-0000-0000A2C40000}"/>
    <cellStyle name="Style 32 6 3 2 3 3" xfId="50334" xr:uid="{00000000-0005-0000-0000-0000A3C40000}"/>
    <cellStyle name="Style 32 6 3 2 4" xfId="50335" xr:uid="{00000000-0005-0000-0000-0000A4C40000}"/>
    <cellStyle name="Style 32 6 3 2 5" xfId="50336" xr:uid="{00000000-0005-0000-0000-0000A5C40000}"/>
    <cellStyle name="Style 32 6 3 2 6" xfId="50337" xr:uid="{00000000-0005-0000-0000-0000A6C40000}"/>
    <cellStyle name="Style 32 6 3 3" xfId="50338" xr:uid="{00000000-0005-0000-0000-0000A7C40000}"/>
    <cellStyle name="Style 32 6 3 3 2" xfId="50339" xr:uid="{00000000-0005-0000-0000-0000A8C40000}"/>
    <cellStyle name="Style 32 6 3 3 3" xfId="50340" xr:uid="{00000000-0005-0000-0000-0000A9C40000}"/>
    <cellStyle name="Style 32 6 3 4" xfId="50341" xr:uid="{00000000-0005-0000-0000-0000AAC40000}"/>
    <cellStyle name="Style 32 6 3 4 2" xfId="50342" xr:uid="{00000000-0005-0000-0000-0000ABC40000}"/>
    <cellStyle name="Style 32 6 3 4 3" xfId="50343" xr:uid="{00000000-0005-0000-0000-0000ACC40000}"/>
    <cellStyle name="Style 32 6 3 5" xfId="50344" xr:uid="{00000000-0005-0000-0000-0000ADC40000}"/>
    <cellStyle name="Style 32 6 3 5 2" xfId="50345" xr:uid="{00000000-0005-0000-0000-0000AEC40000}"/>
    <cellStyle name="Style 32 6 3 5 3" xfId="50346" xr:uid="{00000000-0005-0000-0000-0000AFC40000}"/>
    <cellStyle name="Style 32 6 3 6" xfId="50347" xr:uid="{00000000-0005-0000-0000-0000B0C40000}"/>
    <cellStyle name="Style 32 6 3 7" xfId="50348" xr:uid="{00000000-0005-0000-0000-0000B1C40000}"/>
    <cellStyle name="Style 32 6 3 8" xfId="50349" xr:uid="{00000000-0005-0000-0000-0000B2C40000}"/>
    <cellStyle name="Style 32 6 4" xfId="50350" xr:uid="{00000000-0005-0000-0000-0000B3C40000}"/>
    <cellStyle name="Style 32 6 4 2" xfId="50351" xr:uid="{00000000-0005-0000-0000-0000B4C40000}"/>
    <cellStyle name="Style 32 6 4 2 2" xfId="50352" xr:uid="{00000000-0005-0000-0000-0000B5C40000}"/>
    <cellStyle name="Style 32 6 4 2 2 2" xfId="50353" xr:uid="{00000000-0005-0000-0000-0000B6C40000}"/>
    <cellStyle name="Style 32 6 4 2 2 3" xfId="50354" xr:uid="{00000000-0005-0000-0000-0000B7C40000}"/>
    <cellStyle name="Style 32 6 4 2 3" xfId="50355" xr:uid="{00000000-0005-0000-0000-0000B8C40000}"/>
    <cellStyle name="Style 32 6 4 2 3 2" xfId="50356" xr:uid="{00000000-0005-0000-0000-0000B9C40000}"/>
    <cellStyle name="Style 32 6 4 2 3 3" xfId="50357" xr:uid="{00000000-0005-0000-0000-0000BAC40000}"/>
    <cellStyle name="Style 32 6 4 2 4" xfId="50358" xr:uid="{00000000-0005-0000-0000-0000BBC40000}"/>
    <cellStyle name="Style 32 6 4 2 5" xfId="50359" xr:uid="{00000000-0005-0000-0000-0000BCC40000}"/>
    <cellStyle name="Style 32 6 4 2 6" xfId="50360" xr:uid="{00000000-0005-0000-0000-0000BDC40000}"/>
    <cellStyle name="Style 32 6 4 3" xfId="50361" xr:uid="{00000000-0005-0000-0000-0000BEC40000}"/>
    <cellStyle name="Style 32 6 4 3 2" xfId="50362" xr:uid="{00000000-0005-0000-0000-0000BFC40000}"/>
    <cellStyle name="Style 32 6 4 3 3" xfId="50363" xr:uid="{00000000-0005-0000-0000-0000C0C40000}"/>
    <cellStyle name="Style 32 6 4 4" xfId="50364" xr:uid="{00000000-0005-0000-0000-0000C1C40000}"/>
    <cellStyle name="Style 32 6 4 4 2" xfId="50365" xr:uid="{00000000-0005-0000-0000-0000C2C40000}"/>
    <cellStyle name="Style 32 6 4 4 3" xfId="50366" xr:uid="{00000000-0005-0000-0000-0000C3C40000}"/>
    <cellStyle name="Style 32 6 4 5" xfId="50367" xr:uid="{00000000-0005-0000-0000-0000C4C40000}"/>
    <cellStyle name="Style 32 6 4 5 2" xfId="50368" xr:uid="{00000000-0005-0000-0000-0000C5C40000}"/>
    <cellStyle name="Style 32 6 4 5 3" xfId="50369" xr:uid="{00000000-0005-0000-0000-0000C6C40000}"/>
    <cellStyle name="Style 32 6 4 6" xfId="50370" xr:uid="{00000000-0005-0000-0000-0000C7C40000}"/>
    <cellStyle name="Style 32 6 4 7" xfId="50371" xr:uid="{00000000-0005-0000-0000-0000C8C40000}"/>
    <cellStyle name="Style 32 6 4 8" xfId="50372" xr:uid="{00000000-0005-0000-0000-0000C9C40000}"/>
    <cellStyle name="Style 32 6 5" xfId="50373" xr:uid="{00000000-0005-0000-0000-0000CAC40000}"/>
    <cellStyle name="Style 32 6 5 2" xfId="50374" xr:uid="{00000000-0005-0000-0000-0000CBC40000}"/>
    <cellStyle name="Style 32 6 5 2 2" xfId="50375" xr:uid="{00000000-0005-0000-0000-0000CCC40000}"/>
    <cellStyle name="Style 32 6 5 2 2 2" xfId="50376" xr:uid="{00000000-0005-0000-0000-0000CDC40000}"/>
    <cellStyle name="Style 32 6 5 2 2 3" xfId="50377" xr:uid="{00000000-0005-0000-0000-0000CEC40000}"/>
    <cellStyle name="Style 32 6 5 2 3" xfId="50378" xr:uid="{00000000-0005-0000-0000-0000CFC40000}"/>
    <cellStyle name="Style 32 6 5 2 3 2" xfId="50379" xr:uid="{00000000-0005-0000-0000-0000D0C40000}"/>
    <cellStyle name="Style 32 6 5 2 3 3" xfId="50380" xr:uid="{00000000-0005-0000-0000-0000D1C40000}"/>
    <cellStyle name="Style 32 6 5 2 4" xfId="50381" xr:uid="{00000000-0005-0000-0000-0000D2C40000}"/>
    <cellStyle name="Style 32 6 5 2 5" xfId="50382" xr:uid="{00000000-0005-0000-0000-0000D3C40000}"/>
    <cellStyle name="Style 32 6 5 2 6" xfId="50383" xr:uid="{00000000-0005-0000-0000-0000D4C40000}"/>
    <cellStyle name="Style 32 6 5 3" xfId="50384" xr:uid="{00000000-0005-0000-0000-0000D5C40000}"/>
    <cellStyle name="Style 32 6 5 3 2" xfId="50385" xr:uid="{00000000-0005-0000-0000-0000D6C40000}"/>
    <cellStyle name="Style 32 6 5 3 3" xfId="50386" xr:uid="{00000000-0005-0000-0000-0000D7C40000}"/>
    <cellStyle name="Style 32 6 5 4" xfId="50387" xr:uid="{00000000-0005-0000-0000-0000D8C40000}"/>
    <cellStyle name="Style 32 6 5 4 2" xfId="50388" xr:uid="{00000000-0005-0000-0000-0000D9C40000}"/>
    <cellStyle name="Style 32 6 5 4 3" xfId="50389" xr:uid="{00000000-0005-0000-0000-0000DAC40000}"/>
    <cellStyle name="Style 32 6 5 5" xfId="50390" xr:uid="{00000000-0005-0000-0000-0000DBC40000}"/>
    <cellStyle name="Style 32 6 5 5 2" xfId="50391" xr:uid="{00000000-0005-0000-0000-0000DCC40000}"/>
    <cellStyle name="Style 32 6 5 5 3" xfId="50392" xr:uid="{00000000-0005-0000-0000-0000DDC40000}"/>
    <cellStyle name="Style 32 6 5 6" xfId="50393" xr:uid="{00000000-0005-0000-0000-0000DEC40000}"/>
    <cellStyle name="Style 32 6 5 7" xfId="50394" xr:uid="{00000000-0005-0000-0000-0000DFC40000}"/>
    <cellStyle name="Style 32 6 5 8" xfId="50395" xr:uid="{00000000-0005-0000-0000-0000E0C40000}"/>
    <cellStyle name="Style 32 6 6" xfId="50396" xr:uid="{00000000-0005-0000-0000-0000E1C40000}"/>
    <cellStyle name="Style 32 6 6 2" xfId="50397" xr:uid="{00000000-0005-0000-0000-0000E2C40000}"/>
    <cellStyle name="Style 32 6 6 2 2" xfId="50398" xr:uid="{00000000-0005-0000-0000-0000E3C40000}"/>
    <cellStyle name="Style 32 6 6 2 3" xfId="50399" xr:uid="{00000000-0005-0000-0000-0000E4C40000}"/>
    <cellStyle name="Style 32 6 6 3" xfId="50400" xr:uid="{00000000-0005-0000-0000-0000E5C40000}"/>
    <cellStyle name="Style 32 6 6 3 2" xfId="50401" xr:uid="{00000000-0005-0000-0000-0000E6C40000}"/>
    <cellStyle name="Style 32 6 6 3 3" xfId="50402" xr:uid="{00000000-0005-0000-0000-0000E7C40000}"/>
    <cellStyle name="Style 32 6 6 4" xfId="50403" xr:uid="{00000000-0005-0000-0000-0000E8C40000}"/>
    <cellStyle name="Style 32 6 6 5" xfId="50404" xr:uid="{00000000-0005-0000-0000-0000E9C40000}"/>
    <cellStyle name="Style 32 6 6 6" xfId="50405" xr:uid="{00000000-0005-0000-0000-0000EAC40000}"/>
    <cellStyle name="Style 32 6 7" xfId="50406" xr:uid="{00000000-0005-0000-0000-0000EBC40000}"/>
    <cellStyle name="Style 32 6 7 2" xfId="50407" xr:uid="{00000000-0005-0000-0000-0000ECC40000}"/>
    <cellStyle name="Style 32 6 7 3" xfId="50408" xr:uid="{00000000-0005-0000-0000-0000EDC40000}"/>
    <cellStyle name="Style 32 6 8" xfId="50409" xr:uid="{00000000-0005-0000-0000-0000EEC40000}"/>
    <cellStyle name="Style 32 6 8 2" xfId="50410" xr:uid="{00000000-0005-0000-0000-0000EFC40000}"/>
    <cellStyle name="Style 32 6 8 3" xfId="50411" xr:uid="{00000000-0005-0000-0000-0000F0C40000}"/>
    <cellStyle name="Style 32 6 9" xfId="50412" xr:uid="{00000000-0005-0000-0000-0000F1C40000}"/>
    <cellStyle name="Style 32 6 9 2" xfId="50413" xr:uid="{00000000-0005-0000-0000-0000F2C40000}"/>
    <cellStyle name="Style 32 6 9 3" xfId="50414" xr:uid="{00000000-0005-0000-0000-0000F3C40000}"/>
    <cellStyle name="Style 32 7" xfId="50415" xr:uid="{00000000-0005-0000-0000-0000F4C40000}"/>
    <cellStyle name="Style 32 7 10" xfId="50416" xr:uid="{00000000-0005-0000-0000-0000F5C40000}"/>
    <cellStyle name="Style 32 7 11" xfId="50417" xr:uid="{00000000-0005-0000-0000-0000F6C40000}"/>
    <cellStyle name="Style 32 7 12" xfId="50418" xr:uid="{00000000-0005-0000-0000-0000F7C40000}"/>
    <cellStyle name="Style 32 7 2" xfId="50419" xr:uid="{00000000-0005-0000-0000-0000F8C40000}"/>
    <cellStyle name="Style 32 7 2 10" xfId="50420" xr:uid="{00000000-0005-0000-0000-0000F9C40000}"/>
    <cellStyle name="Style 32 7 2 2" xfId="50421" xr:uid="{00000000-0005-0000-0000-0000FAC40000}"/>
    <cellStyle name="Style 32 7 2 2 2" xfId="50422" xr:uid="{00000000-0005-0000-0000-0000FBC40000}"/>
    <cellStyle name="Style 32 7 2 2 2 2" xfId="50423" xr:uid="{00000000-0005-0000-0000-0000FCC40000}"/>
    <cellStyle name="Style 32 7 2 2 2 2 2" xfId="50424" xr:uid="{00000000-0005-0000-0000-0000FDC40000}"/>
    <cellStyle name="Style 32 7 2 2 2 2 3" xfId="50425" xr:uid="{00000000-0005-0000-0000-0000FEC40000}"/>
    <cellStyle name="Style 32 7 2 2 2 3" xfId="50426" xr:uid="{00000000-0005-0000-0000-0000FFC40000}"/>
    <cellStyle name="Style 32 7 2 2 2 3 2" xfId="50427" xr:uid="{00000000-0005-0000-0000-000000C50000}"/>
    <cellStyle name="Style 32 7 2 2 2 3 3" xfId="50428" xr:uid="{00000000-0005-0000-0000-000001C50000}"/>
    <cellStyle name="Style 32 7 2 2 2 4" xfId="50429" xr:uid="{00000000-0005-0000-0000-000002C50000}"/>
    <cellStyle name="Style 32 7 2 2 2 5" xfId="50430" xr:uid="{00000000-0005-0000-0000-000003C50000}"/>
    <cellStyle name="Style 32 7 2 2 2 6" xfId="50431" xr:uid="{00000000-0005-0000-0000-000004C50000}"/>
    <cellStyle name="Style 32 7 2 2 3" xfId="50432" xr:uid="{00000000-0005-0000-0000-000005C50000}"/>
    <cellStyle name="Style 32 7 2 2 3 2" xfId="50433" xr:uid="{00000000-0005-0000-0000-000006C50000}"/>
    <cellStyle name="Style 32 7 2 2 3 3" xfId="50434" xr:uid="{00000000-0005-0000-0000-000007C50000}"/>
    <cellStyle name="Style 32 7 2 2 4" xfId="50435" xr:uid="{00000000-0005-0000-0000-000008C50000}"/>
    <cellStyle name="Style 32 7 2 2 4 2" xfId="50436" xr:uid="{00000000-0005-0000-0000-000009C50000}"/>
    <cellStyle name="Style 32 7 2 2 4 3" xfId="50437" xr:uid="{00000000-0005-0000-0000-00000AC50000}"/>
    <cellStyle name="Style 32 7 2 2 5" xfId="50438" xr:uid="{00000000-0005-0000-0000-00000BC50000}"/>
    <cellStyle name="Style 32 7 2 2 5 2" xfId="50439" xr:uid="{00000000-0005-0000-0000-00000CC50000}"/>
    <cellStyle name="Style 32 7 2 2 5 3" xfId="50440" xr:uid="{00000000-0005-0000-0000-00000DC50000}"/>
    <cellStyle name="Style 32 7 2 2 6" xfId="50441" xr:uid="{00000000-0005-0000-0000-00000EC50000}"/>
    <cellStyle name="Style 32 7 2 2 7" xfId="50442" xr:uid="{00000000-0005-0000-0000-00000FC50000}"/>
    <cellStyle name="Style 32 7 2 2 8" xfId="50443" xr:uid="{00000000-0005-0000-0000-000010C50000}"/>
    <cellStyle name="Style 32 7 2 3" xfId="50444" xr:uid="{00000000-0005-0000-0000-000011C50000}"/>
    <cellStyle name="Style 32 7 2 3 2" xfId="50445" xr:uid="{00000000-0005-0000-0000-000012C50000}"/>
    <cellStyle name="Style 32 7 2 3 2 2" xfId="50446" xr:uid="{00000000-0005-0000-0000-000013C50000}"/>
    <cellStyle name="Style 32 7 2 3 2 2 2" xfId="50447" xr:uid="{00000000-0005-0000-0000-000014C50000}"/>
    <cellStyle name="Style 32 7 2 3 2 2 3" xfId="50448" xr:uid="{00000000-0005-0000-0000-000015C50000}"/>
    <cellStyle name="Style 32 7 2 3 2 3" xfId="50449" xr:uid="{00000000-0005-0000-0000-000016C50000}"/>
    <cellStyle name="Style 32 7 2 3 2 3 2" xfId="50450" xr:uid="{00000000-0005-0000-0000-000017C50000}"/>
    <cellStyle name="Style 32 7 2 3 2 3 3" xfId="50451" xr:uid="{00000000-0005-0000-0000-000018C50000}"/>
    <cellStyle name="Style 32 7 2 3 2 4" xfId="50452" xr:uid="{00000000-0005-0000-0000-000019C50000}"/>
    <cellStyle name="Style 32 7 2 3 2 5" xfId="50453" xr:uid="{00000000-0005-0000-0000-00001AC50000}"/>
    <cellStyle name="Style 32 7 2 3 2 6" xfId="50454" xr:uid="{00000000-0005-0000-0000-00001BC50000}"/>
    <cellStyle name="Style 32 7 2 3 3" xfId="50455" xr:uid="{00000000-0005-0000-0000-00001CC50000}"/>
    <cellStyle name="Style 32 7 2 3 3 2" xfId="50456" xr:uid="{00000000-0005-0000-0000-00001DC50000}"/>
    <cellStyle name="Style 32 7 2 3 3 3" xfId="50457" xr:uid="{00000000-0005-0000-0000-00001EC50000}"/>
    <cellStyle name="Style 32 7 2 3 4" xfId="50458" xr:uid="{00000000-0005-0000-0000-00001FC50000}"/>
    <cellStyle name="Style 32 7 2 3 4 2" xfId="50459" xr:uid="{00000000-0005-0000-0000-000020C50000}"/>
    <cellStyle name="Style 32 7 2 3 4 3" xfId="50460" xr:uid="{00000000-0005-0000-0000-000021C50000}"/>
    <cellStyle name="Style 32 7 2 3 5" xfId="50461" xr:uid="{00000000-0005-0000-0000-000022C50000}"/>
    <cellStyle name="Style 32 7 2 3 5 2" xfId="50462" xr:uid="{00000000-0005-0000-0000-000023C50000}"/>
    <cellStyle name="Style 32 7 2 3 5 3" xfId="50463" xr:uid="{00000000-0005-0000-0000-000024C50000}"/>
    <cellStyle name="Style 32 7 2 3 6" xfId="50464" xr:uid="{00000000-0005-0000-0000-000025C50000}"/>
    <cellStyle name="Style 32 7 2 3 7" xfId="50465" xr:uid="{00000000-0005-0000-0000-000026C50000}"/>
    <cellStyle name="Style 32 7 2 3 8" xfId="50466" xr:uid="{00000000-0005-0000-0000-000027C50000}"/>
    <cellStyle name="Style 32 7 2 4" xfId="50467" xr:uid="{00000000-0005-0000-0000-000028C50000}"/>
    <cellStyle name="Style 32 7 2 4 2" xfId="50468" xr:uid="{00000000-0005-0000-0000-000029C50000}"/>
    <cellStyle name="Style 32 7 2 4 2 2" xfId="50469" xr:uid="{00000000-0005-0000-0000-00002AC50000}"/>
    <cellStyle name="Style 32 7 2 4 2 3" xfId="50470" xr:uid="{00000000-0005-0000-0000-00002BC50000}"/>
    <cellStyle name="Style 32 7 2 4 3" xfId="50471" xr:uid="{00000000-0005-0000-0000-00002CC50000}"/>
    <cellStyle name="Style 32 7 2 4 3 2" xfId="50472" xr:uid="{00000000-0005-0000-0000-00002DC50000}"/>
    <cellStyle name="Style 32 7 2 4 3 3" xfId="50473" xr:uid="{00000000-0005-0000-0000-00002EC50000}"/>
    <cellStyle name="Style 32 7 2 4 4" xfId="50474" xr:uid="{00000000-0005-0000-0000-00002FC50000}"/>
    <cellStyle name="Style 32 7 2 4 5" xfId="50475" xr:uid="{00000000-0005-0000-0000-000030C50000}"/>
    <cellStyle name="Style 32 7 2 4 6" xfId="50476" xr:uid="{00000000-0005-0000-0000-000031C50000}"/>
    <cellStyle name="Style 32 7 2 5" xfId="50477" xr:uid="{00000000-0005-0000-0000-000032C50000}"/>
    <cellStyle name="Style 32 7 2 5 2" xfId="50478" xr:uid="{00000000-0005-0000-0000-000033C50000}"/>
    <cellStyle name="Style 32 7 2 5 3" xfId="50479" xr:uid="{00000000-0005-0000-0000-000034C50000}"/>
    <cellStyle name="Style 32 7 2 6" xfId="50480" xr:uid="{00000000-0005-0000-0000-000035C50000}"/>
    <cellStyle name="Style 32 7 2 6 2" xfId="50481" xr:uid="{00000000-0005-0000-0000-000036C50000}"/>
    <cellStyle name="Style 32 7 2 6 3" xfId="50482" xr:uid="{00000000-0005-0000-0000-000037C50000}"/>
    <cellStyle name="Style 32 7 2 7" xfId="50483" xr:uid="{00000000-0005-0000-0000-000038C50000}"/>
    <cellStyle name="Style 32 7 2 7 2" xfId="50484" xr:uid="{00000000-0005-0000-0000-000039C50000}"/>
    <cellStyle name="Style 32 7 2 7 3" xfId="50485" xr:uid="{00000000-0005-0000-0000-00003AC50000}"/>
    <cellStyle name="Style 32 7 2 8" xfId="50486" xr:uid="{00000000-0005-0000-0000-00003BC50000}"/>
    <cellStyle name="Style 32 7 2 9" xfId="50487" xr:uid="{00000000-0005-0000-0000-00003CC50000}"/>
    <cellStyle name="Style 32 7 3" xfId="50488" xr:uid="{00000000-0005-0000-0000-00003DC50000}"/>
    <cellStyle name="Style 32 7 3 2" xfId="50489" xr:uid="{00000000-0005-0000-0000-00003EC50000}"/>
    <cellStyle name="Style 32 7 3 2 2" xfId="50490" xr:uid="{00000000-0005-0000-0000-00003FC50000}"/>
    <cellStyle name="Style 32 7 3 2 2 2" xfId="50491" xr:uid="{00000000-0005-0000-0000-000040C50000}"/>
    <cellStyle name="Style 32 7 3 2 2 3" xfId="50492" xr:uid="{00000000-0005-0000-0000-000041C50000}"/>
    <cellStyle name="Style 32 7 3 2 3" xfId="50493" xr:uid="{00000000-0005-0000-0000-000042C50000}"/>
    <cellStyle name="Style 32 7 3 2 3 2" xfId="50494" xr:uid="{00000000-0005-0000-0000-000043C50000}"/>
    <cellStyle name="Style 32 7 3 2 3 3" xfId="50495" xr:uid="{00000000-0005-0000-0000-000044C50000}"/>
    <cellStyle name="Style 32 7 3 2 4" xfId="50496" xr:uid="{00000000-0005-0000-0000-000045C50000}"/>
    <cellStyle name="Style 32 7 3 2 5" xfId="50497" xr:uid="{00000000-0005-0000-0000-000046C50000}"/>
    <cellStyle name="Style 32 7 3 2 6" xfId="50498" xr:uid="{00000000-0005-0000-0000-000047C50000}"/>
    <cellStyle name="Style 32 7 3 3" xfId="50499" xr:uid="{00000000-0005-0000-0000-000048C50000}"/>
    <cellStyle name="Style 32 7 3 3 2" xfId="50500" xr:uid="{00000000-0005-0000-0000-000049C50000}"/>
    <cellStyle name="Style 32 7 3 3 3" xfId="50501" xr:uid="{00000000-0005-0000-0000-00004AC50000}"/>
    <cellStyle name="Style 32 7 3 4" xfId="50502" xr:uid="{00000000-0005-0000-0000-00004BC50000}"/>
    <cellStyle name="Style 32 7 3 4 2" xfId="50503" xr:uid="{00000000-0005-0000-0000-00004CC50000}"/>
    <cellStyle name="Style 32 7 3 4 3" xfId="50504" xr:uid="{00000000-0005-0000-0000-00004DC50000}"/>
    <cellStyle name="Style 32 7 3 5" xfId="50505" xr:uid="{00000000-0005-0000-0000-00004EC50000}"/>
    <cellStyle name="Style 32 7 3 5 2" xfId="50506" xr:uid="{00000000-0005-0000-0000-00004FC50000}"/>
    <cellStyle name="Style 32 7 3 5 3" xfId="50507" xr:uid="{00000000-0005-0000-0000-000050C50000}"/>
    <cellStyle name="Style 32 7 3 6" xfId="50508" xr:uid="{00000000-0005-0000-0000-000051C50000}"/>
    <cellStyle name="Style 32 7 3 7" xfId="50509" xr:uid="{00000000-0005-0000-0000-000052C50000}"/>
    <cellStyle name="Style 32 7 3 8" xfId="50510" xr:uid="{00000000-0005-0000-0000-000053C50000}"/>
    <cellStyle name="Style 32 7 4" xfId="50511" xr:uid="{00000000-0005-0000-0000-000054C50000}"/>
    <cellStyle name="Style 32 7 4 2" xfId="50512" xr:uid="{00000000-0005-0000-0000-000055C50000}"/>
    <cellStyle name="Style 32 7 4 2 2" xfId="50513" xr:uid="{00000000-0005-0000-0000-000056C50000}"/>
    <cellStyle name="Style 32 7 4 2 2 2" xfId="50514" xr:uid="{00000000-0005-0000-0000-000057C50000}"/>
    <cellStyle name="Style 32 7 4 2 2 3" xfId="50515" xr:uid="{00000000-0005-0000-0000-000058C50000}"/>
    <cellStyle name="Style 32 7 4 2 3" xfId="50516" xr:uid="{00000000-0005-0000-0000-000059C50000}"/>
    <cellStyle name="Style 32 7 4 2 3 2" xfId="50517" xr:uid="{00000000-0005-0000-0000-00005AC50000}"/>
    <cellStyle name="Style 32 7 4 2 3 3" xfId="50518" xr:uid="{00000000-0005-0000-0000-00005BC50000}"/>
    <cellStyle name="Style 32 7 4 2 4" xfId="50519" xr:uid="{00000000-0005-0000-0000-00005CC50000}"/>
    <cellStyle name="Style 32 7 4 2 5" xfId="50520" xr:uid="{00000000-0005-0000-0000-00005DC50000}"/>
    <cellStyle name="Style 32 7 4 2 6" xfId="50521" xr:uid="{00000000-0005-0000-0000-00005EC50000}"/>
    <cellStyle name="Style 32 7 4 3" xfId="50522" xr:uid="{00000000-0005-0000-0000-00005FC50000}"/>
    <cellStyle name="Style 32 7 4 3 2" xfId="50523" xr:uid="{00000000-0005-0000-0000-000060C50000}"/>
    <cellStyle name="Style 32 7 4 3 3" xfId="50524" xr:uid="{00000000-0005-0000-0000-000061C50000}"/>
    <cellStyle name="Style 32 7 4 4" xfId="50525" xr:uid="{00000000-0005-0000-0000-000062C50000}"/>
    <cellStyle name="Style 32 7 4 4 2" xfId="50526" xr:uid="{00000000-0005-0000-0000-000063C50000}"/>
    <cellStyle name="Style 32 7 4 4 3" xfId="50527" xr:uid="{00000000-0005-0000-0000-000064C50000}"/>
    <cellStyle name="Style 32 7 4 5" xfId="50528" xr:uid="{00000000-0005-0000-0000-000065C50000}"/>
    <cellStyle name="Style 32 7 4 5 2" xfId="50529" xr:uid="{00000000-0005-0000-0000-000066C50000}"/>
    <cellStyle name="Style 32 7 4 5 3" xfId="50530" xr:uid="{00000000-0005-0000-0000-000067C50000}"/>
    <cellStyle name="Style 32 7 4 6" xfId="50531" xr:uid="{00000000-0005-0000-0000-000068C50000}"/>
    <cellStyle name="Style 32 7 4 7" xfId="50532" xr:uid="{00000000-0005-0000-0000-000069C50000}"/>
    <cellStyle name="Style 32 7 4 8" xfId="50533" xr:uid="{00000000-0005-0000-0000-00006AC50000}"/>
    <cellStyle name="Style 32 7 5" xfId="50534" xr:uid="{00000000-0005-0000-0000-00006BC50000}"/>
    <cellStyle name="Style 32 7 5 2" xfId="50535" xr:uid="{00000000-0005-0000-0000-00006CC50000}"/>
    <cellStyle name="Style 32 7 5 2 2" xfId="50536" xr:uid="{00000000-0005-0000-0000-00006DC50000}"/>
    <cellStyle name="Style 32 7 5 2 2 2" xfId="50537" xr:uid="{00000000-0005-0000-0000-00006EC50000}"/>
    <cellStyle name="Style 32 7 5 2 2 3" xfId="50538" xr:uid="{00000000-0005-0000-0000-00006FC50000}"/>
    <cellStyle name="Style 32 7 5 2 3" xfId="50539" xr:uid="{00000000-0005-0000-0000-000070C50000}"/>
    <cellStyle name="Style 32 7 5 2 3 2" xfId="50540" xr:uid="{00000000-0005-0000-0000-000071C50000}"/>
    <cellStyle name="Style 32 7 5 2 3 3" xfId="50541" xr:uid="{00000000-0005-0000-0000-000072C50000}"/>
    <cellStyle name="Style 32 7 5 2 4" xfId="50542" xr:uid="{00000000-0005-0000-0000-000073C50000}"/>
    <cellStyle name="Style 32 7 5 2 5" xfId="50543" xr:uid="{00000000-0005-0000-0000-000074C50000}"/>
    <cellStyle name="Style 32 7 5 2 6" xfId="50544" xr:uid="{00000000-0005-0000-0000-000075C50000}"/>
    <cellStyle name="Style 32 7 5 3" xfId="50545" xr:uid="{00000000-0005-0000-0000-000076C50000}"/>
    <cellStyle name="Style 32 7 5 3 2" xfId="50546" xr:uid="{00000000-0005-0000-0000-000077C50000}"/>
    <cellStyle name="Style 32 7 5 3 3" xfId="50547" xr:uid="{00000000-0005-0000-0000-000078C50000}"/>
    <cellStyle name="Style 32 7 5 4" xfId="50548" xr:uid="{00000000-0005-0000-0000-000079C50000}"/>
    <cellStyle name="Style 32 7 5 4 2" xfId="50549" xr:uid="{00000000-0005-0000-0000-00007AC50000}"/>
    <cellStyle name="Style 32 7 5 4 3" xfId="50550" xr:uid="{00000000-0005-0000-0000-00007BC50000}"/>
    <cellStyle name="Style 32 7 5 5" xfId="50551" xr:uid="{00000000-0005-0000-0000-00007CC50000}"/>
    <cellStyle name="Style 32 7 5 5 2" xfId="50552" xr:uid="{00000000-0005-0000-0000-00007DC50000}"/>
    <cellStyle name="Style 32 7 5 5 3" xfId="50553" xr:uid="{00000000-0005-0000-0000-00007EC50000}"/>
    <cellStyle name="Style 32 7 5 6" xfId="50554" xr:uid="{00000000-0005-0000-0000-00007FC50000}"/>
    <cellStyle name="Style 32 7 5 7" xfId="50555" xr:uid="{00000000-0005-0000-0000-000080C50000}"/>
    <cellStyle name="Style 32 7 5 8" xfId="50556" xr:uid="{00000000-0005-0000-0000-000081C50000}"/>
    <cellStyle name="Style 32 7 6" xfId="50557" xr:uid="{00000000-0005-0000-0000-000082C50000}"/>
    <cellStyle name="Style 32 7 6 2" xfId="50558" xr:uid="{00000000-0005-0000-0000-000083C50000}"/>
    <cellStyle name="Style 32 7 6 2 2" xfId="50559" xr:uid="{00000000-0005-0000-0000-000084C50000}"/>
    <cellStyle name="Style 32 7 6 2 3" xfId="50560" xr:uid="{00000000-0005-0000-0000-000085C50000}"/>
    <cellStyle name="Style 32 7 6 3" xfId="50561" xr:uid="{00000000-0005-0000-0000-000086C50000}"/>
    <cellStyle name="Style 32 7 6 3 2" xfId="50562" xr:uid="{00000000-0005-0000-0000-000087C50000}"/>
    <cellStyle name="Style 32 7 6 3 3" xfId="50563" xr:uid="{00000000-0005-0000-0000-000088C50000}"/>
    <cellStyle name="Style 32 7 6 4" xfId="50564" xr:uid="{00000000-0005-0000-0000-000089C50000}"/>
    <cellStyle name="Style 32 7 6 5" xfId="50565" xr:uid="{00000000-0005-0000-0000-00008AC50000}"/>
    <cellStyle name="Style 32 7 6 6" xfId="50566" xr:uid="{00000000-0005-0000-0000-00008BC50000}"/>
    <cellStyle name="Style 32 7 7" xfId="50567" xr:uid="{00000000-0005-0000-0000-00008CC50000}"/>
    <cellStyle name="Style 32 7 7 2" xfId="50568" xr:uid="{00000000-0005-0000-0000-00008DC50000}"/>
    <cellStyle name="Style 32 7 7 3" xfId="50569" xr:uid="{00000000-0005-0000-0000-00008EC50000}"/>
    <cellStyle name="Style 32 7 8" xfId="50570" xr:uid="{00000000-0005-0000-0000-00008FC50000}"/>
    <cellStyle name="Style 32 7 8 2" xfId="50571" xr:uid="{00000000-0005-0000-0000-000090C50000}"/>
    <cellStyle name="Style 32 7 8 3" xfId="50572" xr:uid="{00000000-0005-0000-0000-000091C50000}"/>
    <cellStyle name="Style 32 7 9" xfId="50573" xr:uid="{00000000-0005-0000-0000-000092C50000}"/>
    <cellStyle name="Style 32 7 9 2" xfId="50574" xr:uid="{00000000-0005-0000-0000-000093C50000}"/>
    <cellStyle name="Style 32 7 9 3" xfId="50575" xr:uid="{00000000-0005-0000-0000-000094C50000}"/>
    <cellStyle name="Style 32 8" xfId="50576" xr:uid="{00000000-0005-0000-0000-000095C50000}"/>
    <cellStyle name="Style 32 8 10" xfId="50577" xr:uid="{00000000-0005-0000-0000-000096C50000}"/>
    <cellStyle name="Style 32 8 11" xfId="50578" xr:uid="{00000000-0005-0000-0000-000097C50000}"/>
    <cellStyle name="Style 32 8 12" xfId="50579" xr:uid="{00000000-0005-0000-0000-000098C50000}"/>
    <cellStyle name="Style 32 8 2" xfId="50580" xr:uid="{00000000-0005-0000-0000-000099C50000}"/>
    <cellStyle name="Style 32 8 2 10" xfId="50581" xr:uid="{00000000-0005-0000-0000-00009AC50000}"/>
    <cellStyle name="Style 32 8 2 2" xfId="50582" xr:uid="{00000000-0005-0000-0000-00009BC50000}"/>
    <cellStyle name="Style 32 8 2 2 2" xfId="50583" xr:uid="{00000000-0005-0000-0000-00009CC50000}"/>
    <cellStyle name="Style 32 8 2 2 2 2" xfId="50584" xr:uid="{00000000-0005-0000-0000-00009DC50000}"/>
    <cellStyle name="Style 32 8 2 2 2 2 2" xfId="50585" xr:uid="{00000000-0005-0000-0000-00009EC50000}"/>
    <cellStyle name="Style 32 8 2 2 2 2 3" xfId="50586" xr:uid="{00000000-0005-0000-0000-00009FC50000}"/>
    <cellStyle name="Style 32 8 2 2 2 3" xfId="50587" xr:uid="{00000000-0005-0000-0000-0000A0C50000}"/>
    <cellStyle name="Style 32 8 2 2 2 3 2" xfId="50588" xr:uid="{00000000-0005-0000-0000-0000A1C50000}"/>
    <cellStyle name="Style 32 8 2 2 2 3 3" xfId="50589" xr:uid="{00000000-0005-0000-0000-0000A2C50000}"/>
    <cellStyle name="Style 32 8 2 2 2 4" xfId="50590" xr:uid="{00000000-0005-0000-0000-0000A3C50000}"/>
    <cellStyle name="Style 32 8 2 2 2 5" xfId="50591" xr:uid="{00000000-0005-0000-0000-0000A4C50000}"/>
    <cellStyle name="Style 32 8 2 2 2 6" xfId="50592" xr:uid="{00000000-0005-0000-0000-0000A5C50000}"/>
    <cellStyle name="Style 32 8 2 2 3" xfId="50593" xr:uid="{00000000-0005-0000-0000-0000A6C50000}"/>
    <cellStyle name="Style 32 8 2 2 3 2" xfId="50594" xr:uid="{00000000-0005-0000-0000-0000A7C50000}"/>
    <cellStyle name="Style 32 8 2 2 3 3" xfId="50595" xr:uid="{00000000-0005-0000-0000-0000A8C50000}"/>
    <cellStyle name="Style 32 8 2 2 4" xfId="50596" xr:uid="{00000000-0005-0000-0000-0000A9C50000}"/>
    <cellStyle name="Style 32 8 2 2 4 2" xfId="50597" xr:uid="{00000000-0005-0000-0000-0000AAC50000}"/>
    <cellStyle name="Style 32 8 2 2 4 3" xfId="50598" xr:uid="{00000000-0005-0000-0000-0000ABC50000}"/>
    <cellStyle name="Style 32 8 2 2 5" xfId="50599" xr:uid="{00000000-0005-0000-0000-0000ACC50000}"/>
    <cellStyle name="Style 32 8 2 2 5 2" xfId="50600" xr:uid="{00000000-0005-0000-0000-0000ADC50000}"/>
    <cellStyle name="Style 32 8 2 2 5 3" xfId="50601" xr:uid="{00000000-0005-0000-0000-0000AEC50000}"/>
    <cellStyle name="Style 32 8 2 2 6" xfId="50602" xr:uid="{00000000-0005-0000-0000-0000AFC50000}"/>
    <cellStyle name="Style 32 8 2 2 7" xfId="50603" xr:uid="{00000000-0005-0000-0000-0000B0C50000}"/>
    <cellStyle name="Style 32 8 2 2 8" xfId="50604" xr:uid="{00000000-0005-0000-0000-0000B1C50000}"/>
    <cellStyle name="Style 32 8 2 3" xfId="50605" xr:uid="{00000000-0005-0000-0000-0000B2C50000}"/>
    <cellStyle name="Style 32 8 2 3 2" xfId="50606" xr:uid="{00000000-0005-0000-0000-0000B3C50000}"/>
    <cellStyle name="Style 32 8 2 3 2 2" xfId="50607" xr:uid="{00000000-0005-0000-0000-0000B4C50000}"/>
    <cellStyle name="Style 32 8 2 3 2 2 2" xfId="50608" xr:uid="{00000000-0005-0000-0000-0000B5C50000}"/>
    <cellStyle name="Style 32 8 2 3 2 2 3" xfId="50609" xr:uid="{00000000-0005-0000-0000-0000B6C50000}"/>
    <cellStyle name="Style 32 8 2 3 2 3" xfId="50610" xr:uid="{00000000-0005-0000-0000-0000B7C50000}"/>
    <cellStyle name="Style 32 8 2 3 2 3 2" xfId="50611" xr:uid="{00000000-0005-0000-0000-0000B8C50000}"/>
    <cellStyle name="Style 32 8 2 3 2 3 3" xfId="50612" xr:uid="{00000000-0005-0000-0000-0000B9C50000}"/>
    <cellStyle name="Style 32 8 2 3 2 4" xfId="50613" xr:uid="{00000000-0005-0000-0000-0000BAC50000}"/>
    <cellStyle name="Style 32 8 2 3 2 5" xfId="50614" xr:uid="{00000000-0005-0000-0000-0000BBC50000}"/>
    <cellStyle name="Style 32 8 2 3 2 6" xfId="50615" xr:uid="{00000000-0005-0000-0000-0000BCC50000}"/>
    <cellStyle name="Style 32 8 2 3 3" xfId="50616" xr:uid="{00000000-0005-0000-0000-0000BDC50000}"/>
    <cellStyle name="Style 32 8 2 3 3 2" xfId="50617" xr:uid="{00000000-0005-0000-0000-0000BEC50000}"/>
    <cellStyle name="Style 32 8 2 3 3 3" xfId="50618" xr:uid="{00000000-0005-0000-0000-0000BFC50000}"/>
    <cellStyle name="Style 32 8 2 3 4" xfId="50619" xr:uid="{00000000-0005-0000-0000-0000C0C50000}"/>
    <cellStyle name="Style 32 8 2 3 4 2" xfId="50620" xr:uid="{00000000-0005-0000-0000-0000C1C50000}"/>
    <cellStyle name="Style 32 8 2 3 4 3" xfId="50621" xr:uid="{00000000-0005-0000-0000-0000C2C50000}"/>
    <cellStyle name="Style 32 8 2 3 5" xfId="50622" xr:uid="{00000000-0005-0000-0000-0000C3C50000}"/>
    <cellStyle name="Style 32 8 2 3 5 2" xfId="50623" xr:uid="{00000000-0005-0000-0000-0000C4C50000}"/>
    <cellStyle name="Style 32 8 2 3 5 3" xfId="50624" xr:uid="{00000000-0005-0000-0000-0000C5C50000}"/>
    <cellStyle name="Style 32 8 2 3 6" xfId="50625" xr:uid="{00000000-0005-0000-0000-0000C6C50000}"/>
    <cellStyle name="Style 32 8 2 3 7" xfId="50626" xr:uid="{00000000-0005-0000-0000-0000C7C50000}"/>
    <cellStyle name="Style 32 8 2 3 8" xfId="50627" xr:uid="{00000000-0005-0000-0000-0000C8C50000}"/>
    <cellStyle name="Style 32 8 2 4" xfId="50628" xr:uid="{00000000-0005-0000-0000-0000C9C50000}"/>
    <cellStyle name="Style 32 8 2 4 2" xfId="50629" xr:uid="{00000000-0005-0000-0000-0000CAC50000}"/>
    <cellStyle name="Style 32 8 2 4 2 2" xfId="50630" xr:uid="{00000000-0005-0000-0000-0000CBC50000}"/>
    <cellStyle name="Style 32 8 2 4 2 3" xfId="50631" xr:uid="{00000000-0005-0000-0000-0000CCC50000}"/>
    <cellStyle name="Style 32 8 2 4 3" xfId="50632" xr:uid="{00000000-0005-0000-0000-0000CDC50000}"/>
    <cellStyle name="Style 32 8 2 4 3 2" xfId="50633" xr:uid="{00000000-0005-0000-0000-0000CEC50000}"/>
    <cellStyle name="Style 32 8 2 4 3 3" xfId="50634" xr:uid="{00000000-0005-0000-0000-0000CFC50000}"/>
    <cellStyle name="Style 32 8 2 4 4" xfId="50635" xr:uid="{00000000-0005-0000-0000-0000D0C50000}"/>
    <cellStyle name="Style 32 8 2 4 5" xfId="50636" xr:uid="{00000000-0005-0000-0000-0000D1C50000}"/>
    <cellStyle name="Style 32 8 2 4 6" xfId="50637" xr:uid="{00000000-0005-0000-0000-0000D2C50000}"/>
    <cellStyle name="Style 32 8 2 5" xfId="50638" xr:uid="{00000000-0005-0000-0000-0000D3C50000}"/>
    <cellStyle name="Style 32 8 2 5 2" xfId="50639" xr:uid="{00000000-0005-0000-0000-0000D4C50000}"/>
    <cellStyle name="Style 32 8 2 5 3" xfId="50640" xr:uid="{00000000-0005-0000-0000-0000D5C50000}"/>
    <cellStyle name="Style 32 8 2 6" xfId="50641" xr:uid="{00000000-0005-0000-0000-0000D6C50000}"/>
    <cellStyle name="Style 32 8 2 6 2" xfId="50642" xr:uid="{00000000-0005-0000-0000-0000D7C50000}"/>
    <cellStyle name="Style 32 8 2 6 3" xfId="50643" xr:uid="{00000000-0005-0000-0000-0000D8C50000}"/>
    <cellStyle name="Style 32 8 2 7" xfId="50644" xr:uid="{00000000-0005-0000-0000-0000D9C50000}"/>
    <cellStyle name="Style 32 8 2 7 2" xfId="50645" xr:uid="{00000000-0005-0000-0000-0000DAC50000}"/>
    <cellStyle name="Style 32 8 2 7 3" xfId="50646" xr:uid="{00000000-0005-0000-0000-0000DBC50000}"/>
    <cellStyle name="Style 32 8 2 8" xfId="50647" xr:uid="{00000000-0005-0000-0000-0000DCC50000}"/>
    <cellStyle name="Style 32 8 2 9" xfId="50648" xr:uid="{00000000-0005-0000-0000-0000DDC50000}"/>
    <cellStyle name="Style 32 8 3" xfId="50649" xr:uid="{00000000-0005-0000-0000-0000DEC50000}"/>
    <cellStyle name="Style 32 8 3 2" xfId="50650" xr:uid="{00000000-0005-0000-0000-0000DFC50000}"/>
    <cellStyle name="Style 32 8 3 2 2" xfId="50651" xr:uid="{00000000-0005-0000-0000-0000E0C50000}"/>
    <cellStyle name="Style 32 8 3 2 2 2" xfId="50652" xr:uid="{00000000-0005-0000-0000-0000E1C50000}"/>
    <cellStyle name="Style 32 8 3 2 2 3" xfId="50653" xr:uid="{00000000-0005-0000-0000-0000E2C50000}"/>
    <cellStyle name="Style 32 8 3 2 3" xfId="50654" xr:uid="{00000000-0005-0000-0000-0000E3C50000}"/>
    <cellStyle name="Style 32 8 3 2 3 2" xfId="50655" xr:uid="{00000000-0005-0000-0000-0000E4C50000}"/>
    <cellStyle name="Style 32 8 3 2 3 3" xfId="50656" xr:uid="{00000000-0005-0000-0000-0000E5C50000}"/>
    <cellStyle name="Style 32 8 3 2 4" xfId="50657" xr:uid="{00000000-0005-0000-0000-0000E6C50000}"/>
    <cellStyle name="Style 32 8 3 2 5" xfId="50658" xr:uid="{00000000-0005-0000-0000-0000E7C50000}"/>
    <cellStyle name="Style 32 8 3 2 6" xfId="50659" xr:uid="{00000000-0005-0000-0000-0000E8C50000}"/>
    <cellStyle name="Style 32 8 3 3" xfId="50660" xr:uid="{00000000-0005-0000-0000-0000E9C50000}"/>
    <cellStyle name="Style 32 8 3 3 2" xfId="50661" xr:uid="{00000000-0005-0000-0000-0000EAC50000}"/>
    <cellStyle name="Style 32 8 3 3 3" xfId="50662" xr:uid="{00000000-0005-0000-0000-0000EBC50000}"/>
    <cellStyle name="Style 32 8 3 4" xfId="50663" xr:uid="{00000000-0005-0000-0000-0000ECC50000}"/>
    <cellStyle name="Style 32 8 3 4 2" xfId="50664" xr:uid="{00000000-0005-0000-0000-0000EDC50000}"/>
    <cellStyle name="Style 32 8 3 4 3" xfId="50665" xr:uid="{00000000-0005-0000-0000-0000EEC50000}"/>
    <cellStyle name="Style 32 8 3 5" xfId="50666" xr:uid="{00000000-0005-0000-0000-0000EFC50000}"/>
    <cellStyle name="Style 32 8 3 5 2" xfId="50667" xr:uid="{00000000-0005-0000-0000-0000F0C50000}"/>
    <cellStyle name="Style 32 8 3 5 3" xfId="50668" xr:uid="{00000000-0005-0000-0000-0000F1C50000}"/>
    <cellStyle name="Style 32 8 3 6" xfId="50669" xr:uid="{00000000-0005-0000-0000-0000F2C50000}"/>
    <cellStyle name="Style 32 8 3 7" xfId="50670" xr:uid="{00000000-0005-0000-0000-0000F3C50000}"/>
    <cellStyle name="Style 32 8 3 8" xfId="50671" xr:uid="{00000000-0005-0000-0000-0000F4C50000}"/>
    <cellStyle name="Style 32 8 4" xfId="50672" xr:uid="{00000000-0005-0000-0000-0000F5C50000}"/>
    <cellStyle name="Style 32 8 4 2" xfId="50673" xr:uid="{00000000-0005-0000-0000-0000F6C50000}"/>
    <cellStyle name="Style 32 8 4 2 2" xfId="50674" xr:uid="{00000000-0005-0000-0000-0000F7C50000}"/>
    <cellStyle name="Style 32 8 4 2 2 2" xfId="50675" xr:uid="{00000000-0005-0000-0000-0000F8C50000}"/>
    <cellStyle name="Style 32 8 4 2 2 3" xfId="50676" xr:uid="{00000000-0005-0000-0000-0000F9C50000}"/>
    <cellStyle name="Style 32 8 4 2 3" xfId="50677" xr:uid="{00000000-0005-0000-0000-0000FAC50000}"/>
    <cellStyle name="Style 32 8 4 2 3 2" xfId="50678" xr:uid="{00000000-0005-0000-0000-0000FBC50000}"/>
    <cellStyle name="Style 32 8 4 2 3 3" xfId="50679" xr:uid="{00000000-0005-0000-0000-0000FCC50000}"/>
    <cellStyle name="Style 32 8 4 2 4" xfId="50680" xr:uid="{00000000-0005-0000-0000-0000FDC50000}"/>
    <cellStyle name="Style 32 8 4 2 5" xfId="50681" xr:uid="{00000000-0005-0000-0000-0000FEC50000}"/>
    <cellStyle name="Style 32 8 4 2 6" xfId="50682" xr:uid="{00000000-0005-0000-0000-0000FFC50000}"/>
    <cellStyle name="Style 32 8 4 3" xfId="50683" xr:uid="{00000000-0005-0000-0000-000000C60000}"/>
    <cellStyle name="Style 32 8 4 3 2" xfId="50684" xr:uid="{00000000-0005-0000-0000-000001C60000}"/>
    <cellStyle name="Style 32 8 4 3 3" xfId="50685" xr:uid="{00000000-0005-0000-0000-000002C60000}"/>
    <cellStyle name="Style 32 8 4 4" xfId="50686" xr:uid="{00000000-0005-0000-0000-000003C60000}"/>
    <cellStyle name="Style 32 8 4 4 2" xfId="50687" xr:uid="{00000000-0005-0000-0000-000004C60000}"/>
    <cellStyle name="Style 32 8 4 4 3" xfId="50688" xr:uid="{00000000-0005-0000-0000-000005C60000}"/>
    <cellStyle name="Style 32 8 4 5" xfId="50689" xr:uid="{00000000-0005-0000-0000-000006C60000}"/>
    <cellStyle name="Style 32 8 4 5 2" xfId="50690" xr:uid="{00000000-0005-0000-0000-000007C60000}"/>
    <cellStyle name="Style 32 8 4 5 3" xfId="50691" xr:uid="{00000000-0005-0000-0000-000008C60000}"/>
    <cellStyle name="Style 32 8 4 6" xfId="50692" xr:uid="{00000000-0005-0000-0000-000009C60000}"/>
    <cellStyle name="Style 32 8 4 7" xfId="50693" xr:uid="{00000000-0005-0000-0000-00000AC60000}"/>
    <cellStyle name="Style 32 8 4 8" xfId="50694" xr:uid="{00000000-0005-0000-0000-00000BC60000}"/>
    <cellStyle name="Style 32 8 5" xfId="50695" xr:uid="{00000000-0005-0000-0000-00000CC60000}"/>
    <cellStyle name="Style 32 8 5 2" xfId="50696" xr:uid="{00000000-0005-0000-0000-00000DC60000}"/>
    <cellStyle name="Style 32 8 5 2 2" xfId="50697" xr:uid="{00000000-0005-0000-0000-00000EC60000}"/>
    <cellStyle name="Style 32 8 5 2 2 2" xfId="50698" xr:uid="{00000000-0005-0000-0000-00000FC60000}"/>
    <cellStyle name="Style 32 8 5 2 2 3" xfId="50699" xr:uid="{00000000-0005-0000-0000-000010C60000}"/>
    <cellStyle name="Style 32 8 5 2 3" xfId="50700" xr:uid="{00000000-0005-0000-0000-000011C60000}"/>
    <cellStyle name="Style 32 8 5 2 3 2" xfId="50701" xr:uid="{00000000-0005-0000-0000-000012C60000}"/>
    <cellStyle name="Style 32 8 5 2 3 3" xfId="50702" xr:uid="{00000000-0005-0000-0000-000013C60000}"/>
    <cellStyle name="Style 32 8 5 2 4" xfId="50703" xr:uid="{00000000-0005-0000-0000-000014C60000}"/>
    <cellStyle name="Style 32 8 5 2 5" xfId="50704" xr:uid="{00000000-0005-0000-0000-000015C60000}"/>
    <cellStyle name="Style 32 8 5 2 6" xfId="50705" xr:uid="{00000000-0005-0000-0000-000016C60000}"/>
    <cellStyle name="Style 32 8 5 3" xfId="50706" xr:uid="{00000000-0005-0000-0000-000017C60000}"/>
    <cellStyle name="Style 32 8 5 3 2" xfId="50707" xr:uid="{00000000-0005-0000-0000-000018C60000}"/>
    <cellStyle name="Style 32 8 5 3 3" xfId="50708" xr:uid="{00000000-0005-0000-0000-000019C60000}"/>
    <cellStyle name="Style 32 8 5 4" xfId="50709" xr:uid="{00000000-0005-0000-0000-00001AC60000}"/>
    <cellStyle name="Style 32 8 5 4 2" xfId="50710" xr:uid="{00000000-0005-0000-0000-00001BC60000}"/>
    <cellStyle name="Style 32 8 5 4 3" xfId="50711" xr:uid="{00000000-0005-0000-0000-00001CC60000}"/>
    <cellStyle name="Style 32 8 5 5" xfId="50712" xr:uid="{00000000-0005-0000-0000-00001DC60000}"/>
    <cellStyle name="Style 32 8 5 5 2" xfId="50713" xr:uid="{00000000-0005-0000-0000-00001EC60000}"/>
    <cellStyle name="Style 32 8 5 5 3" xfId="50714" xr:uid="{00000000-0005-0000-0000-00001FC60000}"/>
    <cellStyle name="Style 32 8 5 6" xfId="50715" xr:uid="{00000000-0005-0000-0000-000020C60000}"/>
    <cellStyle name="Style 32 8 5 7" xfId="50716" xr:uid="{00000000-0005-0000-0000-000021C60000}"/>
    <cellStyle name="Style 32 8 5 8" xfId="50717" xr:uid="{00000000-0005-0000-0000-000022C60000}"/>
    <cellStyle name="Style 32 8 6" xfId="50718" xr:uid="{00000000-0005-0000-0000-000023C60000}"/>
    <cellStyle name="Style 32 8 6 2" xfId="50719" xr:uid="{00000000-0005-0000-0000-000024C60000}"/>
    <cellStyle name="Style 32 8 6 2 2" xfId="50720" xr:uid="{00000000-0005-0000-0000-000025C60000}"/>
    <cellStyle name="Style 32 8 6 2 3" xfId="50721" xr:uid="{00000000-0005-0000-0000-000026C60000}"/>
    <cellStyle name="Style 32 8 6 3" xfId="50722" xr:uid="{00000000-0005-0000-0000-000027C60000}"/>
    <cellStyle name="Style 32 8 6 3 2" xfId="50723" xr:uid="{00000000-0005-0000-0000-000028C60000}"/>
    <cellStyle name="Style 32 8 6 3 3" xfId="50724" xr:uid="{00000000-0005-0000-0000-000029C60000}"/>
    <cellStyle name="Style 32 8 6 4" xfId="50725" xr:uid="{00000000-0005-0000-0000-00002AC60000}"/>
    <cellStyle name="Style 32 8 6 5" xfId="50726" xr:uid="{00000000-0005-0000-0000-00002BC60000}"/>
    <cellStyle name="Style 32 8 6 6" xfId="50727" xr:uid="{00000000-0005-0000-0000-00002CC60000}"/>
    <cellStyle name="Style 32 8 7" xfId="50728" xr:uid="{00000000-0005-0000-0000-00002DC60000}"/>
    <cellStyle name="Style 32 8 7 2" xfId="50729" xr:uid="{00000000-0005-0000-0000-00002EC60000}"/>
    <cellStyle name="Style 32 8 7 3" xfId="50730" xr:uid="{00000000-0005-0000-0000-00002FC60000}"/>
    <cellStyle name="Style 32 8 8" xfId="50731" xr:uid="{00000000-0005-0000-0000-000030C60000}"/>
    <cellStyle name="Style 32 8 8 2" xfId="50732" xr:uid="{00000000-0005-0000-0000-000031C60000}"/>
    <cellStyle name="Style 32 8 8 3" xfId="50733" xr:uid="{00000000-0005-0000-0000-000032C60000}"/>
    <cellStyle name="Style 32 8 9" xfId="50734" xr:uid="{00000000-0005-0000-0000-000033C60000}"/>
    <cellStyle name="Style 32 8 9 2" xfId="50735" xr:uid="{00000000-0005-0000-0000-000034C60000}"/>
    <cellStyle name="Style 32 8 9 3" xfId="50736" xr:uid="{00000000-0005-0000-0000-000035C60000}"/>
    <cellStyle name="Style 32 9" xfId="50737" xr:uid="{00000000-0005-0000-0000-000036C60000}"/>
    <cellStyle name="Style 32 9 10" xfId="50738" xr:uid="{00000000-0005-0000-0000-000037C60000}"/>
    <cellStyle name="Style 32 9 11" xfId="50739" xr:uid="{00000000-0005-0000-0000-000038C60000}"/>
    <cellStyle name="Style 32 9 12" xfId="50740" xr:uid="{00000000-0005-0000-0000-000039C60000}"/>
    <cellStyle name="Style 32 9 2" xfId="50741" xr:uid="{00000000-0005-0000-0000-00003AC60000}"/>
    <cellStyle name="Style 32 9 2 10" xfId="50742" xr:uid="{00000000-0005-0000-0000-00003BC60000}"/>
    <cellStyle name="Style 32 9 2 2" xfId="50743" xr:uid="{00000000-0005-0000-0000-00003CC60000}"/>
    <cellStyle name="Style 32 9 2 2 2" xfId="50744" xr:uid="{00000000-0005-0000-0000-00003DC60000}"/>
    <cellStyle name="Style 32 9 2 2 2 2" xfId="50745" xr:uid="{00000000-0005-0000-0000-00003EC60000}"/>
    <cellStyle name="Style 32 9 2 2 2 2 2" xfId="50746" xr:uid="{00000000-0005-0000-0000-00003FC60000}"/>
    <cellStyle name="Style 32 9 2 2 2 2 3" xfId="50747" xr:uid="{00000000-0005-0000-0000-000040C60000}"/>
    <cellStyle name="Style 32 9 2 2 2 3" xfId="50748" xr:uid="{00000000-0005-0000-0000-000041C60000}"/>
    <cellStyle name="Style 32 9 2 2 2 3 2" xfId="50749" xr:uid="{00000000-0005-0000-0000-000042C60000}"/>
    <cellStyle name="Style 32 9 2 2 2 3 3" xfId="50750" xr:uid="{00000000-0005-0000-0000-000043C60000}"/>
    <cellStyle name="Style 32 9 2 2 2 4" xfId="50751" xr:uid="{00000000-0005-0000-0000-000044C60000}"/>
    <cellStyle name="Style 32 9 2 2 2 5" xfId="50752" xr:uid="{00000000-0005-0000-0000-000045C60000}"/>
    <cellStyle name="Style 32 9 2 2 2 6" xfId="50753" xr:uid="{00000000-0005-0000-0000-000046C60000}"/>
    <cellStyle name="Style 32 9 2 2 3" xfId="50754" xr:uid="{00000000-0005-0000-0000-000047C60000}"/>
    <cellStyle name="Style 32 9 2 2 3 2" xfId="50755" xr:uid="{00000000-0005-0000-0000-000048C60000}"/>
    <cellStyle name="Style 32 9 2 2 3 3" xfId="50756" xr:uid="{00000000-0005-0000-0000-000049C60000}"/>
    <cellStyle name="Style 32 9 2 2 4" xfId="50757" xr:uid="{00000000-0005-0000-0000-00004AC60000}"/>
    <cellStyle name="Style 32 9 2 2 4 2" xfId="50758" xr:uid="{00000000-0005-0000-0000-00004BC60000}"/>
    <cellStyle name="Style 32 9 2 2 4 3" xfId="50759" xr:uid="{00000000-0005-0000-0000-00004CC60000}"/>
    <cellStyle name="Style 32 9 2 2 5" xfId="50760" xr:uid="{00000000-0005-0000-0000-00004DC60000}"/>
    <cellStyle name="Style 32 9 2 2 5 2" xfId="50761" xr:uid="{00000000-0005-0000-0000-00004EC60000}"/>
    <cellStyle name="Style 32 9 2 2 5 3" xfId="50762" xr:uid="{00000000-0005-0000-0000-00004FC60000}"/>
    <cellStyle name="Style 32 9 2 2 6" xfId="50763" xr:uid="{00000000-0005-0000-0000-000050C60000}"/>
    <cellStyle name="Style 32 9 2 2 7" xfId="50764" xr:uid="{00000000-0005-0000-0000-000051C60000}"/>
    <cellStyle name="Style 32 9 2 2 8" xfId="50765" xr:uid="{00000000-0005-0000-0000-000052C60000}"/>
    <cellStyle name="Style 32 9 2 3" xfId="50766" xr:uid="{00000000-0005-0000-0000-000053C60000}"/>
    <cellStyle name="Style 32 9 2 3 2" xfId="50767" xr:uid="{00000000-0005-0000-0000-000054C60000}"/>
    <cellStyle name="Style 32 9 2 3 2 2" xfId="50768" xr:uid="{00000000-0005-0000-0000-000055C60000}"/>
    <cellStyle name="Style 32 9 2 3 2 2 2" xfId="50769" xr:uid="{00000000-0005-0000-0000-000056C60000}"/>
    <cellStyle name="Style 32 9 2 3 2 2 3" xfId="50770" xr:uid="{00000000-0005-0000-0000-000057C60000}"/>
    <cellStyle name="Style 32 9 2 3 2 3" xfId="50771" xr:uid="{00000000-0005-0000-0000-000058C60000}"/>
    <cellStyle name="Style 32 9 2 3 2 3 2" xfId="50772" xr:uid="{00000000-0005-0000-0000-000059C60000}"/>
    <cellStyle name="Style 32 9 2 3 2 3 3" xfId="50773" xr:uid="{00000000-0005-0000-0000-00005AC60000}"/>
    <cellStyle name="Style 32 9 2 3 2 4" xfId="50774" xr:uid="{00000000-0005-0000-0000-00005BC60000}"/>
    <cellStyle name="Style 32 9 2 3 2 5" xfId="50775" xr:uid="{00000000-0005-0000-0000-00005CC60000}"/>
    <cellStyle name="Style 32 9 2 3 2 6" xfId="50776" xr:uid="{00000000-0005-0000-0000-00005DC60000}"/>
    <cellStyle name="Style 32 9 2 3 3" xfId="50777" xr:uid="{00000000-0005-0000-0000-00005EC60000}"/>
    <cellStyle name="Style 32 9 2 3 3 2" xfId="50778" xr:uid="{00000000-0005-0000-0000-00005FC60000}"/>
    <cellStyle name="Style 32 9 2 3 3 3" xfId="50779" xr:uid="{00000000-0005-0000-0000-000060C60000}"/>
    <cellStyle name="Style 32 9 2 3 4" xfId="50780" xr:uid="{00000000-0005-0000-0000-000061C60000}"/>
    <cellStyle name="Style 32 9 2 3 4 2" xfId="50781" xr:uid="{00000000-0005-0000-0000-000062C60000}"/>
    <cellStyle name="Style 32 9 2 3 4 3" xfId="50782" xr:uid="{00000000-0005-0000-0000-000063C60000}"/>
    <cellStyle name="Style 32 9 2 3 5" xfId="50783" xr:uid="{00000000-0005-0000-0000-000064C60000}"/>
    <cellStyle name="Style 32 9 2 3 5 2" xfId="50784" xr:uid="{00000000-0005-0000-0000-000065C60000}"/>
    <cellStyle name="Style 32 9 2 3 5 3" xfId="50785" xr:uid="{00000000-0005-0000-0000-000066C60000}"/>
    <cellStyle name="Style 32 9 2 3 6" xfId="50786" xr:uid="{00000000-0005-0000-0000-000067C60000}"/>
    <cellStyle name="Style 32 9 2 3 7" xfId="50787" xr:uid="{00000000-0005-0000-0000-000068C60000}"/>
    <cellStyle name="Style 32 9 2 3 8" xfId="50788" xr:uid="{00000000-0005-0000-0000-000069C60000}"/>
    <cellStyle name="Style 32 9 2 4" xfId="50789" xr:uid="{00000000-0005-0000-0000-00006AC60000}"/>
    <cellStyle name="Style 32 9 2 4 2" xfId="50790" xr:uid="{00000000-0005-0000-0000-00006BC60000}"/>
    <cellStyle name="Style 32 9 2 4 2 2" xfId="50791" xr:uid="{00000000-0005-0000-0000-00006CC60000}"/>
    <cellStyle name="Style 32 9 2 4 2 3" xfId="50792" xr:uid="{00000000-0005-0000-0000-00006DC60000}"/>
    <cellStyle name="Style 32 9 2 4 3" xfId="50793" xr:uid="{00000000-0005-0000-0000-00006EC60000}"/>
    <cellStyle name="Style 32 9 2 4 3 2" xfId="50794" xr:uid="{00000000-0005-0000-0000-00006FC60000}"/>
    <cellStyle name="Style 32 9 2 4 3 3" xfId="50795" xr:uid="{00000000-0005-0000-0000-000070C60000}"/>
    <cellStyle name="Style 32 9 2 4 4" xfId="50796" xr:uid="{00000000-0005-0000-0000-000071C60000}"/>
    <cellStyle name="Style 32 9 2 4 5" xfId="50797" xr:uid="{00000000-0005-0000-0000-000072C60000}"/>
    <cellStyle name="Style 32 9 2 4 6" xfId="50798" xr:uid="{00000000-0005-0000-0000-000073C60000}"/>
    <cellStyle name="Style 32 9 2 5" xfId="50799" xr:uid="{00000000-0005-0000-0000-000074C60000}"/>
    <cellStyle name="Style 32 9 2 5 2" xfId="50800" xr:uid="{00000000-0005-0000-0000-000075C60000}"/>
    <cellStyle name="Style 32 9 2 5 3" xfId="50801" xr:uid="{00000000-0005-0000-0000-000076C60000}"/>
    <cellStyle name="Style 32 9 2 6" xfId="50802" xr:uid="{00000000-0005-0000-0000-000077C60000}"/>
    <cellStyle name="Style 32 9 2 6 2" xfId="50803" xr:uid="{00000000-0005-0000-0000-000078C60000}"/>
    <cellStyle name="Style 32 9 2 6 3" xfId="50804" xr:uid="{00000000-0005-0000-0000-000079C60000}"/>
    <cellStyle name="Style 32 9 2 7" xfId="50805" xr:uid="{00000000-0005-0000-0000-00007AC60000}"/>
    <cellStyle name="Style 32 9 2 7 2" xfId="50806" xr:uid="{00000000-0005-0000-0000-00007BC60000}"/>
    <cellStyle name="Style 32 9 2 7 3" xfId="50807" xr:uid="{00000000-0005-0000-0000-00007CC60000}"/>
    <cellStyle name="Style 32 9 2 8" xfId="50808" xr:uid="{00000000-0005-0000-0000-00007DC60000}"/>
    <cellStyle name="Style 32 9 2 9" xfId="50809" xr:uid="{00000000-0005-0000-0000-00007EC60000}"/>
    <cellStyle name="Style 32 9 3" xfId="50810" xr:uid="{00000000-0005-0000-0000-00007FC60000}"/>
    <cellStyle name="Style 32 9 3 2" xfId="50811" xr:uid="{00000000-0005-0000-0000-000080C60000}"/>
    <cellStyle name="Style 32 9 3 2 2" xfId="50812" xr:uid="{00000000-0005-0000-0000-000081C60000}"/>
    <cellStyle name="Style 32 9 3 2 2 2" xfId="50813" xr:uid="{00000000-0005-0000-0000-000082C60000}"/>
    <cellStyle name="Style 32 9 3 2 2 3" xfId="50814" xr:uid="{00000000-0005-0000-0000-000083C60000}"/>
    <cellStyle name="Style 32 9 3 2 3" xfId="50815" xr:uid="{00000000-0005-0000-0000-000084C60000}"/>
    <cellStyle name="Style 32 9 3 2 3 2" xfId="50816" xr:uid="{00000000-0005-0000-0000-000085C60000}"/>
    <cellStyle name="Style 32 9 3 2 3 3" xfId="50817" xr:uid="{00000000-0005-0000-0000-000086C60000}"/>
    <cellStyle name="Style 32 9 3 2 4" xfId="50818" xr:uid="{00000000-0005-0000-0000-000087C60000}"/>
    <cellStyle name="Style 32 9 3 2 5" xfId="50819" xr:uid="{00000000-0005-0000-0000-000088C60000}"/>
    <cellStyle name="Style 32 9 3 2 6" xfId="50820" xr:uid="{00000000-0005-0000-0000-000089C60000}"/>
    <cellStyle name="Style 32 9 3 3" xfId="50821" xr:uid="{00000000-0005-0000-0000-00008AC60000}"/>
    <cellStyle name="Style 32 9 3 3 2" xfId="50822" xr:uid="{00000000-0005-0000-0000-00008BC60000}"/>
    <cellStyle name="Style 32 9 3 3 3" xfId="50823" xr:uid="{00000000-0005-0000-0000-00008CC60000}"/>
    <cellStyle name="Style 32 9 3 4" xfId="50824" xr:uid="{00000000-0005-0000-0000-00008DC60000}"/>
    <cellStyle name="Style 32 9 3 4 2" xfId="50825" xr:uid="{00000000-0005-0000-0000-00008EC60000}"/>
    <cellStyle name="Style 32 9 3 4 3" xfId="50826" xr:uid="{00000000-0005-0000-0000-00008FC60000}"/>
    <cellStyle name="Style 32 9 3 5" xfId="50827" xr:uid="{00000000-0005-0000-0000-000090C60000}"/>
    <cellStyle name="Style 32 9 3 5 2" xfId="50828" xr:uid="{00000000-0005-0000-0000-000091C60000}"/>
    <cellStyle name="Style 32 9 3 5 3" xfId="50829" xr:uid="{00000000-0005-0000-0000-000092C60000}"/>
    <cellStyle name="Style 32 9 3 6" xfId="50830" xr:uid="{00000000-0005-0000-0000-000093C60000}"/>
    <cellStyle name="Style 32 9 3 7" xfId="50831" xr:uid="{00000000-0005-0000-0000-000094C60000}"/>
    <cellStyle name="Style 32 9 3 8" xfId="50832" xr:uid="{00000000-0005-0000-0000-000095C60000}"/>
    <cellStyle name="Style 32 9 4" xfId="50833" xr:uid="{00000000-0005-0000-0000-000096C60000}"/>
    <cellStyle name="Style 32 9 4 2" xfId="50834" xr:uid="{00000000-0005-0000-0000-000097C60000}"/>
    <cellStyle name="Style 32 9 4 2 2" xfId="50835" xr:uid="{00000000-0005-0000-0000-000098C60000}"/>
    <cellStyle name="Style 32 9 4 2 2 2" xfId="50836" xr:uid="{00000000-0005-0000-0000-000099C60000}"/>
    <cellStyle name="Style 32 9 4 2 2 3" xfId="50837" xr:uid="{00000000-0005-0000-0000-00009AC60000}"/>
    <cellStyle name="Style 32 9 4 2 3" xfId="50838" xr:uid="{00000000-0005-0000-0000-00009BC60000}"/>
    <cellStyle name="Style 32 9 4 2 3 2" xfId="50839" xr:uid="{00000000-0005-0000-0000-00009CC60000}"/>
    <cellStyle name="Style 32 9 4 2 3 3" xfId="50840" xr:uid="{00000000-0005-0000-0000-00009DC60000}"/>
    <cellStyle name="Style 32 9 4 2 4" xfId="50841" xr:uid="{00000000-0005-0000-0000-00009EC60000}"/>
    <cellStyle name="Style 32 9 4 2 5" xfId="50842" xr:uid="{00000000-0005-0000-0000-00009FC60000}"/>
    <cellStyle name="Style 32 9 4 2 6" xfId="50843" xr:uid="{00000000-0005-0000-0000-0000A0C60000}"/>
    <cellStyle name="Style 32 9 4 3" xfId="50844" xr:uid="{00000000-0005-0000-0000-0000A1C60000}"/>
    <cellStyle name="Style 32 9 4 3 2" xfId="50845" xr:uid="{00000000-0005-0000-0000-0000A2C60000}"/>
    <cellStyle name="Style 32 9 4 3 3" xfId="50846" xr:uid="{00000000-0005-0000-0000-0000A3C60000}"/>
    <cellStyle name="Style 32 9 4 4" xfId="50847" xr:uid="{00000000-0005-0000-0000-0000A4C60000}"/>
    <cellStyle name="Style 32 9 4 4 2" xfId="50848" xr:uid="{00000000-0005-0000-0000-0000A5C60000}"/>
    <cellStyle name="Style 32 9 4 4 3" xfId="50849" xr:uid="{00000000-0005-0000-0000-0000A6C60000}"/>
    <cellStyle name="Style 32 9 4 5" xfId="50850" xr:uid="{00000000-0005-0000-0000-0000A7C60000}"/>
    <cellStyle name="Style 32 9 4 5 2" xfId="50851" xr:uid="{00000000-0005-0000-0000-0000A8C60000}"/>
    <cellStyle name="Style 32 9 4 5 3" xfId="50852" xr:uid="{00000000-0005-0000-0000-0000A9C60000}"/>
    <cellStyle name="Style 32 9 4 6" xfId="50853" xr:uid="{00000000-0005-0000-0000-0000AAC60000}"/>
    <cellStyle name="Style 32 9 4 7" xfId="50854" xr:uid="{00000000-0005-0000-0000-0000ABC60000}"/>
    <cellStyle name="Style 32 9 4 8" xfId="50855" xr:uid="{00000000-0005-0000-0000-0000ACC60000}"/>
    <cellStyle name="Style 32 9 5" xfId="50856" xr:uid="{00000000-0005-0000-0000-0000ADC60000}"/>
    <cellStyle name="Style 32 9 5 2" xfId="50857" xr:uid="{00000000-0005-0000-0000-0000AEC60000}"/>
    <cellStyle name="Style 32 9 5 2 2" xfId="50858" xr:uid="{00000000-0005-0000-0000-0000AFC60000}"/>
    <cellStyle name="Style 32 9 5 2 2 2" xfId="50859" xr:uid="{00000000-0005-0000-0000-0000B0C60000}"/>
    <cellStyle name="Style 32 9 5 2 2 3" xfId="50860" xr:uid="{00000000-0005-0000-0000-0000B1C60000}"/>
    <cellStyle name="Style 32 9 5 2 3" xfId="50861" xr:uid="{00000000-0005-0000-0000-0000B2C60000}"/>
    <cellStyle name="Style 32 9 5 2 3 2" xfId="50862" xr:uid="{00000000-0005-0000-0000-0000B3C60000}"/>
    <cellStyle name="Style 32 9 5 2 3 3" xfId="50863" xr:uid="{00000000-0005-0000-0000-0000B4C60000}"/>
    <cellStyle name="Style 32 9 5 2 4" xfId="50864" xr:uid="{00000000-0005-0000-0000-0000B5C60000}"/>
    <cellStyle name="Style 32 9 5 2 5" xfId="50865" xr:uid="{00000000-0005-0000-0000-0000B6C60000}"/>
    <cellStyle name="Style 32 9 5 2 6" xfId="50866" xr:uid="{00000000-0005-0000-0000-0000B7C60000}"/>
    <cellStyle name="Style 32 9 5 3" xfId="50867" xr:uid="{00000000-0005-0000-0000-0000B8C60000}"/>
    <cellStyle name="Style 32 9 5 3 2" xfId="50868" xr:uid="{00000000-0005-0000-0000-0000B9C60000}"/>
    <cellStyle name="Style 32 9 5 3 3" xfId="50869" xr:uid="{00000000-0005-0000-0000-0000BAC60000}"/>
    <cellStyle name="Style 32 9 5 4" xfId="50870" xr:uid="{00000000-0005-0000-0000-0000BBC60000}"/>
    <cellStyle name="Style 32 9 5 4 2" xfId="50871" xr:uid="{00000000-0005-0000-0000-0000BCC60000}"/>
    <cellStyle name="Style 32 9 5 4 3" xfId="50872" xr:uid="{00000000-0005-0000-0000-0000BDC60000}"/>
    <cellStyle name="Style 32 9 5 5" xfId="50873" xr:uid="{00000000-0005-0000-0000-0000BEC60000}"/>
    <cellStyle name="Style 32 9 5 5 2" xfId="50874" xr:uid="{00000000-0005-0000-0000-0000BFC60000}"/>
    <cellStyle name="Style 32 9 5 5 3" xfId="50875" xr:uid="{00000000-0005-0000-0000-0000C0C60000}"/>
    <cellStyle name="Style 32 9 5 6" xfId="50876" xr:uid="{00000000-0005-0000-0000-0000C1C60000}"/>
    <cellStyle name="Style 32 9 5 7" xfId="50877" xr:uid="{00000000-0005-0000-0000-0000C2C60000}"/>
    <cellStyle name="Style 32 9 5 8" xfId="50878" xr:uid="{00000000-0005-0000-0000-0000C3C60000}"/>
    <cellStyle name="Style 32 9 6" xfId="50879" xr:uid="{00000000-0005-0000-0000-0000C4C60000}"/>
    <cellStyle name="Style 32 9 6 2" xfId="50880" xr:uid="{00000000-0005-0000-0000-0000C5C60000}"/>
    <cellStyle name="Style 32 9 6 2 2" xfId="50881" xr:uid="{00000000-0005-0000-0000-0000C6C60000}"/>
    <cellStyle name="Style 32 9 6 2 3" xfId="50882" xr:uid="{00000000-0005-0000-0000-0000C7C60000}"/>
    <cellStyle name="Style 32 9 6 3" xfId="50883" xr:uid="{00000000-0005-0000-0000-0000C8C60000}"/>
    <cellStyle name="Style 32 9 6 3 2" xfId="50884" xr:uid="{00000000-0005-0000-0000-0000C9C60000}"/>
    <cellStyle name="Style 32 9 6 3 3" xfId="50885" xr:uid="{00000000-0005-0000-0000-0000CAC60000}"/>
    <cellStyle name="Style 32 9 6 4" xfId="50886" xr:uid="{00000000-0005-0000-0000-0000CBC60000}"/>
    <cellStyle name="Style 32 9 6 5" xfId="50887" xr:uid="{00000000-0005-0000-0000-0000CCC60000}"/>
    <cellStyle name="Style 32 9 6 6" xfId="50888" xr:uid="{00000000-0005-0000-0000-0000CDC60000}"/>
    <cellStyle name="Style 32 9 7" xfId="50889" xr:uid="{00000000-0005-0000-0000-0000CEC60000}"/>
    <cellStyle name="Style 32 9 7 2" xfId="50890" xr:uid="{00000000-0005-0000-0000-0000CFC60000}"/>
    <cellStyle name="Style 32 9 7 3" xfId="50891" xr:uid="{00000000-0005-0000-0000-0000D0C60000}"/>
    <cellStyle name="Style 32 9 8" xfId="50892" xr:uid="{00000000-0005-0000-0000-0000D1C60000}"/>
    <cellStyle name="Style 32 9 8 2" xfId="50893" xr:uid="{00000000-0005-0000-0000-0000D2C60000}"/>
    <cellStyle name="Style 32 9 8 3" xfId="50894" xr:uid="{00000000-0005-0000-0000-0000D3C60000}"/>
    <cellStyle name="Style 32 9 9" xfId="50895" xr:uid="{00000000-0005-0000-0000-0000D4C60000}"/>
    <cellStyle name="Style 32 9 9 2" xfId="50896" xr:uid="{00000000-0005-0000-0000-0000D5C60000}"/>
    <cellStyle name="Style 32 9 9 3" xfId="50897" xr:uid="{00000000-0005-0000-0000-0000D6C60000}"/>
    <cellStyle name="Style 33" xfId="50898" xr:uid="{00000000-0005-0000-0000-0000D7C60000}"/>
    <cellStyle name="Style 33 10" xfId="50899" xr:uid="{00000000-0005-0000-0000-0000D8C60000}"/>
    <cellStyle name="Style 33 10 10" xfId="50900" xr:uid="{00000000-0005-0000-0000-0000D9C60000}"/>
    <cellStyle name="Style 33 10 11" xfId="50901" xr:uid="{00000000-0005-0000-0000-0000DAC60000}"/>
    <cellStyle name="Style 33 10 12" xfId="50902" xr:uid="{00000000-0005-0000-0000-0000DBC60000}"/>
    <cellStyle name="Style 33 10 2" xfId="50903" xr:uid="{00000000-0005-0000-0000-0000DCC60000}"/>
    <cellStyle name="Style 33 10 2 10" xfId="50904" xr:uid="{00000000-0005-0000-0000-0000DDC60000}"/>
    <cellStyle name="Style 33 10 2 2" xfId="50905" xr:uid="{00000000-0005-0000-0000-0000DEC60000}"/>
    <cellStyle name="Style 33 10 2 2 2" xfId="50906" xr:uid="{00000000-0005-0000-0000-0000DFC60000}"/>
    <cellStyle name="Style 33 10 2 2 2 2" xfId="50907" xr:uid="{00000000-0005-0000-0000-0000E0C60000}"/>
    <cellStyle name="Style 33 10 2 2 2 2 2" xfId="50908" xr:uid="{00000000-0005-0000-0000-0000E1C60000}"/>
    <cellStyle name="Style 33 10 2 2 2 2 3" xfId="50909" xr:uid="{00000000-0005-0000-0000-0000E2C60000}"/>
    <cellStyle name="Style 33 10 2 2 2 3" xfId="50910" xr:uid="{00000000-0005-0000-0000-0000E3C60000}"/>
    <cellStyle name="Style 33 10 2 2 2 3 2" xfId="50911" xr:uid="{00000000-0005-0000-0000-0000E4C60000}"/>
    <cellStyle name="Style 33 10 2 2 2 3 3" xfId="50912" xr:uid="{00000000-0005-0000-0000-0000E5C60000}"/>
    <cellStyle name="Style 33 10 2 2 2 4" xfId="50913" xr:uid="{00000000-0005-0000-0000-0000E6C60000}"/>
    <cellStyle name="Style 33 10 2 2 2 5" xfId="50914" xr:uid="{00000000-0005-0000-0000-0000E7C60000}"/>
    <cellStyle name="Style 33 10 2 2 2 6" xfId="50915" xr:uid="{00000000-0005-0000-0000-0000E8C60000}"/>
    <cellStyle name="Style 33 10 2 2 3" xfId="50916" xr:uid="{00000000-0005-0000-0000-0000E9C60000}"/>
    <cellStyle name="Style 33 10 2 2 3 2" xfId="50917" xr:uid="{00000000-0005-0000-0000-0000EAC60000}"/>
    <cellStyle name="Style 33 10 2 2 3 3" xfId="50918" xr:uid="{00000000-0005-0000-0000-0000EBC60000}"/>
    <cellStyle name="Style 33 10 2 2 4" xfId="50919" xr:uid="{00000000-0005-0000-0000-0000ECC60000}"/>
    <cellStyle name="Style 33 10 2 2 4 2" xfId="50920" xr:uid="{00000000-0005-0000-0000-0000EDC60000}"/>
    <cellStyle name="Style 33 10 2 2 4 3" xfId="50921" xr:uid="{00000000-0005-0000-0000-0000EEC60000}"/>
    <cellStyle name="Style 33 10 2 2 5" xfId="50922" xr:uid="{00000000-0005-0000-0000-0000EFC60000}"/>
    <cellStyle name="Style 33 10 2 2 5 2" xfId="50923" xr:uid="{00000000-0005-0000-0000-0000F0C60000}"/>
    <cellStyle name="Style 33 10 2 2 5 3" xfId="50924" xr:uid="{00000000-0005-0000-0000-0000F1C60000}"/>
    <cellStyle name="Style 33 10 2 2 6" xfId="50925" xr:uid="{00000000-0005-0000-0000-0000F2C60000}"/>
    <cellStyle name="Style 33 10 2 2 7" xfId="50926" xr:uid="{00000000-0005-0000-0000-0000F3C60000}"/>
    <cellStyle name="Style 33 10 2 2 8" xfId="50927" xr:uid="{00000000-0005-0000-0000-0000F4C60000}"/>
    <cellStyle name="Style 33 10 2 3" xfId="50928" xr:uid="{00000000-0005-0000-0000-0000F5C60000}"/>
    <cellStyle name="Style 33 10 2 3 2" xfId="50929" xr:uid="{00000000-0005-0000-0000-0000F6C60000}"/>
    <cellStyle name="Style 33 10 2 3 2 2" xfId="50930" xr:uid="{00000000-0005-0000-0000-0000F7C60000}"/>
    <cellStyle name="Style 33 10 2 3 2 2 2" xfId="50931" xr:uid="{00000000-0005-0000-0000-0000F8C60000}"/>
    <cellStyle name="Style 33 10 2 3 2 2 3" xfId="50932" xr:uid="{00000000-0005-0000-0000-0000F9C60000}"/>
    <cellStyle name="Style 33 10 2 3 2 3" xfId="50933" xr:uid="{00000000-0005-0000-0000-0000FAC60000}"/>
    <cellStyle name="Style 33 10 2 3 2 3 2" xfId="50934" xr:uid="{00000000-0005-0000-0000-0000FBC60000}"/>
    <cellStyle name="Style 33 10 2 3 2 3 3" xfId="50935" xr:uid="{00000000-0005-0000-0000-0000FCC60000}"/>
    <cellStyle name="Style 33 10 2 3 2 4" xfId="50936" xr:uid="{00000000-0005-0000-0000-0000FDC60000}"/>
    <cellStyle name="Style 33 10 2 3 2 5" xfId="50937" xr:uid="{00000000-0005-0000-0000-0000FEC60000}"/>
    <cellStyle name="Style 33 10 2 3 2 6" xfId="50938" xr:uid="{00000000-0005-0000-0000-0000FFC60000}"/>
    <cellStyle name="Style 33 10 2 3 3" xfId="50939" xr:uid="{00000000-0005-0000-0000-000000C70000}"/>
    <cellStyle name="Style 33 10 2 3 3 2" xfId="50940" xr:uid="{00000000-0005-0000-0000-000001C70000}"/>
    <cellStyle name="Style 33 10 2 3 3 3" xfId="50941" xr:uid="{00000000-0005-0000-0000-000002C70000}"/>
    <cellStyle name="Style 33 10 2 3 4" xfId="50942" xr:uid="{00000000-0005-0000-0000-000003C70000}"/>
    <cellStyle name="Style 33 10 2 3 4 2" xfId="50943" xr:uid="{00000000-0005-0000-0000-000004C70000}"/>
    <cellStyle name="Style 33 10 2 3 4 3" xfId="50944" xr:uid="{00000000-0005-0000-0000-000005C70000}"/>
    <cellStyle name="Style 33 10 2 3 5" xfId="50945" xr:uid="{00000000-0005-0000-0000-000006C70000}"/>
    <cellStyle name="Style 33 10 2 3 5 2" xfId="50946" xr:uid="{00000000-0005-0000-0000-000007C70000}"/>
    <cellStyle name="Style 33 10 2 3 5 3" xfId="50947" xr:uid="{00000000-0005-0000-0000-000008C70000}"/>
    <cellStyle name="Style 33 10 2 3 6" xfId="50948" xr:uid="{00000000-0005-0000-0000-000009C70000}"/>
    <cellStyle name="Style 33 10 2 3 7" xfId="50949" xr:uid="{00000000-0005-0000-0000-00000AC70000}"/>
    <cellStyle name="Style 33 10 2 3 8" xfId="50950" xr:uid="{00000000-0005-0000-0000-00000BC70000}"/>
    <cellStyle name="Style 33 10 2 4" xfId="50951" xr:uid="{00000000-0005-0000-0000-00000CC70000}"/>
    <cellStyle name="Style 33 10 2 4 2" xfId="50952" xr:uid="{00000000-0005-0000-0000-00000DC70000}"/>
    <cellStyle name="Style 33 10 2 4 2 2" xfId="50953" xr:uid="{00000000-0005-0000-0000-00000EC70000}"/>
    <cellStyle name="Style 33 10 2 4 2 3" xfId="50954" xr:uid="{00000000-0005-0000-0000-00000FC70000}"/>
    <cellStyle name="Style 33 10 2 4 3" xfId="50955" xr:uid="{00000000-0005-0000-0000-000010C70000}"/>
    <cellStyle name="Style 33 10 2 4 3 2" xfId="50956" xr:uid="{00000000-0005-0000-0000-000011C70000}"/>
    <cellStyle name="Style 33 10 2 4 3 3" xfId="50957" xr:uid="{00000000-0005-0000-0000-000012C70000}"/>
    <cellStyle name="Style 33 10 2 4 4" xfId="50958" xr:uid="{00000000-0005-0000-0000-000013C70000}"/>
    <cellStyle name="Style 33 10 2 4 5" xfId="50959" xr:uid="{00000000-0005-0000-0000-000014C70000}"/>
    <cellStyle name="Style 33 10 2 4 6" xfId="50960" xr:uid="{00000000-0005-0000-0000-000015C70000}"/>
    <cellStyle name="Style 33 10 2 5" xfId="50961" xr:uid="{00000000-0005-0000-0000-000016C70000}"/>
    <cellStyle name="Style 33 10 2 5 2" xfId="50962" xr:uid="{00000000-0005-0000-0000-000017C70000}"/>
    <cellStyle name="Style 33 10 2 5 3" xfId="50963" xr:uid="{00000000-0005-0000-0000-000018C70000}"/>
    <cellStyle name="Style 33 10 2 6" xfId="50964" xr:uid="{00000000-0005-0000-0000-000019C70000}"/>
    <cellStyle name="Style 33 10 2 6 2" xfId="50965" xr:uid="{00000000-0005-0000-0000-00001AC70000}"/>
    <cellStyle name="Style 33 10 2 6 3" xfId="50966" xr:uid="{00000000-0005-0000-0000-00001BC70000}"/>
    <cellStyle name="Style 33 10 2 7" xfId="50967" xr:uid="{00000000-0005-0000-0000-00001CC70000}"/>
    <cellStyle name="Style 33 10 2 7 2" xfId="50968" xr:uid="{00000000-0005-0000-0000-00001DC70000}"/>
    <cellStyle name="Style 33 10 2 7 3" xfId="50969" xr:uid="{00000000-0005-0000-0000-00001EC70000}"/>
    <cellStyle name="Style 33 10 2 8" xfId="50970" xr:uid="{00000000-0005-0000-0000-00001FC70000}"/>
    <cellStyle name="Style 33 10 2 9" xfId="50971" xr:uid="{00000000-0005-0000-0000-000020C70000}"/>
    <cellStyle name="Style 33 10 3" xfId="50972" xr:uid="{00000000-0005-0000-0000-000021C70000}"/>
    <cellStyle name="Style 33 10 3 2" xfId="50973" xr:uid="{00000000-0005-0000-0000-000022C70000}"/>
    <cellStyle name="Style 33 10 3 2 2" xfId="50974" xr:uid="{00000000-0005-0000-0000-000023C70000}"/>
    <cellStyle name="Style 33 10 3 2 2 2" xfId="50975" xr:uid="{00000000-0005-0000-0000-000024C70000}"/>
    <cellStyle name="Style 33 10 3 2 2 3" xfId="50976" xr:uid="{00000000-0005-0000-0000-000025C70000}"/>
    <cellStyle name="Style 33 10 3 2 3" xfId="50977" xr:uid="{00000000-0005-0000-0000-000026C70000}"/>
    <cellStyle name="Style 33 10 3 2 3 2" xfId="50978" xr:uid="{00000000-0005-0000-0000-000027C70000}"/>
    <cellStyle name="Style 33 10 3 2 3 3" xfId="50979" xr:uid="{00000000-0005-0000-0000-000028C70000}"/>
    <cellStyle name="Style 33 10 3 2 4" xfId="50980" xr:uid="{00000000-0005-0000-0000-000029C70000}"/>
    <cellStyle name="Style 33 10 3 2 5" xfId="50981" xr:uid="{00000000-0005-0000-0000-00002AC70000}"/>
    <cellStyle name="Style 33 10 3 2 6" xfId="50982" xr:uid="{00000000-0005-0000-0000-00002BC70000}"/>
    <cellStyle name="Style 33 10 3 3" xfId="50983" xr:uid="{00000000-0005-0000-0000-00002CC70000}"/>
    <cellStyle name="Style 33 10 3 3 2" xfId="50984" xr:uid="{00000000-0005-0000-0000-00002DC70000}"/>
    <cellStyle name="Style 33 10 3 3 3" xfId="50985" xr:uid="{00000000-0005-0000-0000-00002EC70000}"/>
    <cellStyle name="Style 33 10 3 4" xfId="50986" xr:uid="{00000000-0005-0000-0000-00002FC70000}"/>
    <cellStyle name="Style 33 10 3 4 2" xfId="50987" xr:uid="{00000000-0005-0000-0000-000030C70000}"/>
    <cellStyle name="Style 33 10 3 4 3" xfId="50988" xr:uid="{00000000-0005-0000-0000-000031C70000}"/>
    <cellStyle name="Style 33 10 3 5" xfId="50989" xr:uid="{00000000-0005-0000-0000-000032C70000}"/>
    <cellStyle name="Style 33 10 3 5 2" xfId="50990" xr:uid="{00000000-0005-0000-0000-000033C70000}"/>
    <cellStyle name="Style 33 10 3 5 3" xfId="50991" xr:uid="{00000000-0005-0000-0000-000034C70000}"/>
    <cellStyle name="Style 33 10 3 6" xfId="50992" xr:uid="{00000000-0005-0000-0000-000035C70000}"/>
    <cellStyle name="Style 33 10 3 7" xfId="50993" xr:uid="{00000000-0005-0000-0000-000036C70000}"/>
    <cellStyle name="Style 33 10 3 8" xfId="50994" xr:uid="{00000000-0005-0000-0000-000037C70000}"/>
    <cellStyle name="Style 33 10 4" xfId="50995" xr:uid="{00000000-0005-0000-0000-000038C70000}"/>
    <cellStyle name="Style 33 10 4 2" xfId="50996" xr:uid="{00000000-0005-0000-0000-000039C70000}"/>
    <cellStyle name="Style 33 10 4 2 2" xfId="50997" xr:uid="{00000000-0005-0000-0000-00003AC70000}"/>
    <cellStyle name="Style 33 10 4 2 2 2" xfId="50998" xr:uid="{00000000-0005-0000-0000-00003BC70000}"/>
    <cellStyle name="Style 33 10 4 2 2 3" xfId="50999" xr:uid="{00000000-0005-0000-0000-00003CC70000}"/>
    <cellStyle name="Style 33 10 4 2 3" xfId="51000" xr:uid="{00000000-0005-0000-0000-00003DC70000}"/>
    <cellStyle name="Style 33 10 4 2 3 2" xfId="51001" xr:uid="{00000000-0005-0000-0000-00003EC70000}"/>
    <cellStyle name="Style 33 10 4 2 3 3" xfId="51002" xr:uid="{00000000-0005-0000-0000-00003FC70000}"/>
    <cellStyle name="Style 33 10 4 2 4" xfId="51003" xr:uid="{00000000-0005-0000-0000-000040C70000}"/>
    <cellStyle name="Style 33 10 4 2 5" xfId="51004" xr:uid="{00000000-0005-0000-0000-000041C70000}"/>
    <cellStyle name="Style 33 10 4 2 6" xfId="51005" xr:uid="{00000000-0005-0000-0000-000042C70000}"/>
    <cellStyle name="Style 33 10 4 3" xfId="51006" xr:uid="{00000000-0005-0000-0000-000043C70000}"/>
    <cellStyle name="Style 33 10 4 3 2" xfId="51007" xr:uid="{00000000-0005-0000-0000-000044C70000}"/>
    <cellStyle name="Style 33 10 4 3 3" xfId="51008" xr:uid="{00000000-0005-0000-0000-000045C70000}"/>
    <cellStyle name="Style 33 10 4 4" xfId="51009" xr:uid="{00000000-0005-0000-0000-000046C70000}"/>
    <cellStyle name="Style 33 10 4 4 2" xfId="51010" xr:uid="{00000000-0005-0000-0000-000047C70000}"/>
    <cellStyle name="Style 33 10 4 4 3" xfId="51011" xr:uid="{00000000-0005-0000-0000-000048C70000}"/>
    <cellStyle name="Style 33 10 4 5" xfId="51012" xr:uid="{00000000-0005-0000-0000-000049C70000}"/>
    <cellStyle name="Style 33 10 4 5 2" xfId="51013" xr:uid="{00000000-0005-0000-0000-00004AC70000}"/>
    <cellStyle name="Style 33 10 4 5 3" xfId="51014" xr:uid="{00000000-0005-0000-0000-00004BC70000}"/>
    <cellStyle name="Style 33 10 4 6" xfId="51015" xr:uid="{00000000-0005-0000-0000-00004CC70000}"/>
    <cellStyle name="Style 33 10 4 7" xfId="51016" xr:uid="{00000000-0005-0000-0000-00004DC70000}"/>
    <cellStyle name="Style 33 10 4 8" xfId="51017" xr:uid="{00000000-0005-0000-0000-00004EC70000}"/>
    <cellStyle name="Style 33 10 5" xfId="51018" xr:uid="{00000000-0005-0000-0000-00004FC70000}"/>
    <cellStyle name="Style 33 10 5 2" xfId="51019" xr:uid="{00000000-0005-0000-0000-000050C70000}"/>
    <cellStyle name="Style 33 10 5 2 2" xfId="51020" xr:uid="{00000000-0005-0000-0000-000051C70000}"/>
    <cellStyle name="Style 33 10 5 2 2 2" xfId="51021" xr:uid="{00000000-0005-0000-0000-000052C70000}"/>
    <cellStyle name="Style 33 10 5 2 2 3" xfId="51022" xr:uid="{00000000-0005-0000-0000-000053C70000}"/>
    <cellStyle name="Style 33 10 5 2 3" xfId="51023" xr:uid="{00000000-0005-0000-0000-000054C70000}"/>
    <cellStyle name="Style 33 10 5 2 3 2" xfId="51024" xr:uid="{00000000-0005-0000-0000-000055C70000}"/>
    <cellStyle name="Style 33 10 5 2 3 3" xfId="51025" xr:uid="{00000000-0005-0000-0000-000056C70000}"/>
    <cellStyle name="Style 33 10 5 2 4" xfId="51026" xr:uid="{00000000-0005-0000-0000-000057C70000}"/>
    <cellStyle name="Style 33 10 5 2 5" xfId="51027" xr:uid="{00000000-0005-0000-0000-000058C70000}"/>
    <cellStyle name="Style 33 10 5 2 6" xfId="51028" xr:uid="{00000000-0005-0000-0000-000059C70000}"/>
    <cellStyle name="Style 33 10 5 3" xfId="51029" xr:uid="{00000000-0005-0000-0000-00005AC70000}"/>
    <cellStyle name="Style 33 10 5 3 2" xfId="51030" xr:uid="{00000000-0005-0000-0000-00005BC70000}"/>
    <cellStyle name="Style 33 10 5 3 3" xfId="51031" xr:uid="{00000000-0005-0000-0000-00005CC70000}"/>
    <cellStyle name="Style 33 10 5 4" xfId="51032" xr:uid="{00000000-0005-0000-0000-00005DC70000}"/>
    <cellStyle name="Style 33 10 5 4 2" xfId="51033" xr:uid="{00000000-0005-0000-0000-00005EC70000}"/>
    <cellStyle name="Style 33 10 5 4 3" xfId="51034" xr:uid="{00000000-0005-0000-0000-00005FC70000}"/>
    <cellStyle name="Style 33 10 5 5" xfId="51035" xr:uid="{00000000-0005-0000-0000-000060C70000}"/>
    <cellStyle name="Style 33 10 5 5 2" xfId="51036" xr:uid="{00000000-0005-0000-0000-000061C70000}"/>
    <cellStyle name="Style 33 10 5 5 3" xfId="51037" xr:uid="{00000000-0005-0000-0000-000062C70000}"/>
    <cellStyle name="Style 33 10 5 6" xfId="51038" xr:uid="{00000000-0005-0000-0000-000063C70000}"/>
    <cellStyle name="Style 33 10 5 7" xfId="51039" xr:uid="{00000000-0005-0000-0000-000064C70000}"/>
    <cellStyle name="Style 33 10 5 8" xfId="51040" xr:uid="{00000000-0005-0000-0000-000065C70000}"/>
    <cellStyle name="Style 33 10 6" xfId="51041" xr:uid="{00000000-0005-0000-0000-000066C70000}"/>
    <cellStyle name="Style 33 10 6 2" xfId="51042" xr:uid="{00000000-0005-0000-0000-000067C70000}"/>
    <cellStyle name="Style 33 10 6 2 2" xfId="51043" xr:uid="{00000000-0005-0000-0000-000068C70000}"/>
    <cellStyle name="Style 33 10 6 2 3" xfId="51044" xr:uid="{00000000-0005-0000-0000-000069C70000}"/>
    <cellStyle name="Style 33 10 6 3" xfId="51045" xr:uid="{00000000-0005-0000-0000-00006AC70000}"/>
    <cellStyle name="Style 33 10 6 3 2" xfId="51046" xr:uid="{00000000-0005-0000-0000-00006BC70000}"/>
    <cellStyle name="Style 33 10 6 3 3" xfId="51047" xr:uid="{00000000-0005-0000-0000-00006CC70000}"/>
    <cellStyle name="Style 33 10 6 4" xfId="51048" xr:uid="{00000000-0005-0000-0000-00006DC70000}"/>
    <cellStyle name="Style 33 10 6 5" xfId="51049" xr:uid="{00000000-0005-0000-0000-00006EC70000}"/>
    <cellStyle name="Style 33 10 6 6" xfId="51050" xr:uid="{00000000-0005-0000-0000-00006FC70000}"/>
    <cellStyle name="Style 33 10 7" xfId="51051" xr:uid="{00000000-0005-0000-0000-000070C70000}"/>
    <cellStyle name="Style 33 10 7 2" xfId="51052" xr:uid="{00000000-0005-0000-0000-000071C70000}"/>
    <cellStyle name="Style 33 10 7 3" xfId="51053" xr:uid="{00000000-0005-0000-0000-000072C70000}"/>
    <cellStyle name="Style 33 10 8" xfId="51054" xr:uid="{00000000-0005-0000-0000-000073C70000}"/>
    <cellStyle name="Style 33 10 8 2" xfId="51055" xr:uid="{00000000-0005-0000-0000-000074C70000}"/>
    <cellStyle name="Style 33 10 8 3" xfId="51056" xr:uid="{00000000-0005-0000-0000-000075C70000}"/>
    <cellStyle name="Style 33 10 9" xfId="51057" xr:uid="{00000000-0005-0000-0000-000076C70000}"/>
    <cellStyle name="Style 33 10 9 2" xfId="51058" xr:uid="{00000000-0005-0000-0000-000077C70000}"/>
    <cellStyle name="Style 33 10 9 3" xfId="51059" xr:uid="{00000000-0005-0000-0000-000078C70000}"/>
    <cellStyle name="Style 33 11" xfId="51060" xr:uid="{00000000-0005-0000-0000-000079C70000}"/>
    <cellStyle name="Style 33 11 10" xfId="51061" xr:uid="{00000000-0005-0000-0000-00007AC70000}"/>
    <cellStyle name="Style 33 11 11" xfId="51062" xr:uid="{00000000-0005-0000-0000-00007BC70000}"/>
    <cellStyle name="Style 33 11 12" xfId="51063" xr:uid="{00000000-0005-0000-0000-00007CC70000}"/>
    <cellStyle name="Style 33 11 2" xfId="51064" xr:uid="{00000000-0005-0000-0000-00007DC70000}"/>
    <cellStyle name="Style 33 11 2 10" xfId="51065" xr:uid="{00000000-0005-0000-0000-00007EC70000}"/>
    <cellStyle name="Style 33 11 2 2" xfId="51066" xr:uid="{00000000-0005-0000-0000-00007FC70000}"/>
    <cellStyle name="Style 33 11 2 2 2" xfId="51067" xr:uid="{00000000-0005-0000-0000-000080C70000}"/>
    <cellStyle name="Style 33 11 2 2 2 2" xfId="51068" xr:uid="{00000000-0005-0000-0000-000081C70000}"/>
    <cellStyle name="Style 33 11 2 2 2 2 2" xfId="51069" xr:uid="{00000000-0005-0000-0000-000082C70000}"/>
    <cellStyle name="Style 33 11 2 2 2 2 3" xfId="51070" xr:uid="{00000000-0005-0000-0000-000083C70000}"/>
    <cellStyle name="Style 33 11 2 2 2 3" xfId="51071" xr:uid="{00000000-0005-0000-0000-000084C70000}"/>
    <cellStyle name="Style 33 11 2 2 2 3 2" xfId="51072" xr:uid="{00000000-0005-0000-0000-000085C70000}"/>
    <cellStyle name="Style 33 11 2 2 2 3 3" xfId="51073" xr:uid="{00000000-0005-0000-0000-000086C70000}"/>
    <cellStyle name="Style 33 11 2 2 2 4" xfId="51074" xr:uid="{00000000-0005-0000-0000-000087C70000}"/>
    <cellStyle name="Style 33 11 2 2 2 5" xfId="51075" xr:uid="{00000000-0005-0000-0000-000088C70000}"/>
    <cellStyle name="Style 33 11 2 2 2 6" xfId="51076" xr:uid="{00000000-0005-0000-0000-000089C70000}"/>
    <cellStyle name="Style 33 11 2 2 3" xfId="51077" xr:uid="{00000000-0005-0000-0000-00008AC70000}"/>
    <cellStyle name="Style 33 11 2 2 3 2" xfId="51078" xr:uid="{00000000-0005-0000-0000-00008BC70000}"/>
    <cellStyle name="Style 33 11 2 2 3 3" xfId="51079" xr:uid="{00000000-0005-0000-0000-00008CC70000}"/>
    <cellStyle name="Style 33 11 2 2 4" xfId="51080" xr:uid="{00000000-0005-0000-0000-00008DC70000}"/>
    <cellStyle name="Style 33 11 2 2 4 2" xfId="51081" xr:uid="{00000000-0005-0000-0000-00008EC70000}"/>
    <cellStyle name="Style 33 11 2 2 4 3" xfId="51082" xr:uid="{00000000-0005-0000-0000-00008FC70000}"/>
    <cellStyle name="Style 33 11 2 2 5" xfId="51083" xr:uid="{00000000-0005-0000-0000-000090C70000}"/>
    <cellStyle name="Style 33 11 2 2 5 2" xfId="51084" xr:uid="{00000000-0005-0000-0000-000091C70000}"/>
    <cellStyle name="Style 33 11 2 2 5 3" xfId="51085" xr:uid="{00000000-0005-0000-0000-000092C70000}"/>
    <cellStyle name="Style 33 11 2 2 6" xfId="51086" xr:uid="{00000000-0005-0000-0000-000093C70000}"/>
    <cellStyle name="Style 33 11 2 2 7" xfId="51087" xr:uid="{00000000-0005-0000-0000-000094C70000}"/>
    <cellStyle name="Style 33 11 2 2 8" xfId="51088" xr:uid="{00000000-0005-0000-0000-000095C70000}"/>
    <cellStyle name="Style 33 11 2 3" xfId="51089" xr:uid="{00000000-0005-0000-0000-000096C70000}"/>
    <cellStyle name="Style 33 11 2 3 2" xfId="51090" xr:uid="{00000000-0005-0000-0000-000097C70000}"/>
    <cellStyle name="Style 33 11 2 3 2 2" xfId="51091" xr:uid="{00000000-0005-0000-0000-000098C70000}"/>
    <cellStyle name="Style 33 11 2 3 2 2 2" xfId="51092" xr:uid="{00000000-0005-0000-0000-000099C70000}"/>
    <cellStyle name="Style 33 11 2 3 2 2 3" xfId="51093" xr:uid="{00000000-0005-0000-0000-00009AC70000}"/>
    <cellStyle name="Style 33 11 2 3 2 3" xfId="51094" xr:uid="{00000000-0005-0000-0000-00009BC70000}"/>
    <cellStyle name="Style 33 11 2 3 2 3 2" xfId="51095" xr:uid="{00000000-0005-0000-0000-00009CC70000}"/>
    <cellStyle name="Style 33 11 2 3 2 3 3" xfId="51096" xr:uid="{00000000-0005-0000-0000-00009DC70000}"/>
    <cellStyle name="Style 33 11 2 3 2 4" xfId="51097" xr:uid="{00000000-0005-0000-0000-00009EC70000}"/>
    <cellStyle name="Style 33 11 2 3 2 5" xfId="51098" xr:uid="{00000000-0005-0000-0000-00009FC70000}"/>
    <cellStyle name="Style 33 11 2 3 2 6" xfId="51099" xr:uid="{00000000-0005-0000-0000-0000A0C70000}"/>
    <cellStyle name="Style 33 11 2 3 3" xfId="51100" xr:uid="{00000000-0005-0000-0000-0000A1C70000}"/>
    <cellStyle name="Style 33 11 2 3 3 2" xfId="51101" xr:uid="{00000000-0005-0000-0000-0000A2C70000}"/>
    <cellStyle name="Style 33 11 2 3 3 3" xfId="51102" xr:uid="{00000000-0005-0000-0000-0000A3C70000}"/>
    <cellStyle name="Style 33 11 2 3 4" xfId="51103" xr:uid="{00000000-0005-0000-0000-0000A4C70000}"/>
    <cellStyle name="Style 33 11 2 3 4 2" xfId="51104" xr:uid="{00000000-0005-0000-0000-0000A5C70000}"/>
    <cellStyle name="Style 33 11 2 3 4 3" xfId="51105" xr:uid="{00000000-0005-0000-0000-0000A6C70000}"/>
    <cellStyle name="Style 33 11 2 3 5" xfId="51106" xr:uid="{00000000-0005-0000-0000-0000A7C70000}"/>
    <cellStyle name="Style 33 11 2 3 5 2" xfId="51107" xr:uid="{00000000-0005-0000-0000-0000A8C70000}"/>
    <cellStyle name="Style 33 11 2 3 5 3" xfId="51108" xr:uid="{00000000-0005-0000-0000-0000A9C70000}"/>
    <cellStyle name="Style 33 11 2 3 6" xfId="51109" xr:uid="{00000000-0005-0000-0000-0000AAC70000}"/>
    <cellStyle name="Style 33 11 2 3 7" xfId="51110" xr:uid="{00000000-0005-0000-0000-0000ABC70000}"/>
    <cellStyle name="Style 33 11 2 3 8" xfId="51111" xr:uid="{00000000-0005-0000-0000-0000ACC70000}"/>
    <cellStyle name="Style 33 11 2 4" xfId="51112" xr:uid="{00000000-0005-0000-0000-0000ADC70000}"/>
    <cellStyle name="Style 33 11 2 4 2" xfId="51113" xr:uid="{00000000-0005-0000-0000-0000AEC70000}"/>
    <cellStyle name="Style 33 11 2 4 2 2" xfId="51114" xr:uid="{00000000-0005-0000-0000-0000AFC70000}"/>
    <cellStyle name="Style 33 11 2 4 2 3" xfId="51115" xr:uid="{00000000-0005-0000-0000-0000B0C70000}"/>
    <cellStyle name="Style 33 11 2 4 3" xfId="51116" xr:uid="{00000000-0005-0000-0000-0000B1C70000}"/>
    <cellStyle name="Style 33 11 2 4 3 2" xfId="51117" xr:uid="{00000000-0005-0000-0000-0000B2C70000}"/>
    <cellStyle name="Style 33 11 2 4 3 3" xfId="51118" xr:uid="{00000000-0005-0000-0000-0000B3C70000}"/>
    <cellStyle name="Style 33 11 2 4 4" xfId="51119" xr:uid="{00000000-0005-0000-0000-0000B4C70000}"/>
    <cellStyle name="Style 33 11 2 4 5" xfId="51120" xr:uid="{00000000-0005-0000-0000-0000B5C70000}"/>
    <cellStyle name="Style 33 11 2 4 6" xfId="51121" xr:uid="{00000000-0005-0000-0000-0000B6C70000}"/>
    <cellStyle name="Style 33 11 2 5" xfId="51122" xr:uid="{00000000-0005-0000-0000-0000B7C70000}"/>
    <cellStyle name="Style 33 11 2 5 2" xfId="51123" xr:uid="{00000000-0005-0000-0000-0000B8C70000}"/>
    <cellStyle name="Style 33 11 2 5 3" xfId="51124" xr:uid="{00000000-0005-0000-0000-0000B9C70000}"/>
    <cellStyle name="Style 33 11 2 6" xfId="51125" xr:uid="{00000000-0005-0000-0000-0000BAC70000}"/>
    <cellStyle name="Style 33 11 2 6 2" xfId="51126" xr:uid="{00000000-0005-0000-0000-0000BBC70000}"/>
    <cellStyle name="Style 33 11 2 6 3" xfId="51127" xr:uid="{00000000-0005-0000-0000-0000BCC70000}"/>
    <cellStyle name="Style 33 11 2 7" xfId="51128" xr:uid="{00000000-0005-0000-0000-0000BDC70000}"/>
    <cellStyle name="Style 33 11 2 7 2" xfId="51129" xr:uid="{00000000-0005-0000-0000-0000BEC70000}"/>
    <cellStyle name="Style 33 11 2 7 3" xfId="51130" xr:uid="{00000000-0005-0000-0000-0000BFC70000}"/>
    <cellStyle name="Style 33 11 2 8" xfId="51131" xr:uid="{00000000-0005-0000-0000-0000C0C70000}"/>
    <cellStyle name="Style 33 11 2 9" xfId="51132" xr:uid="{00000000-0005-0000-0000-0000C1C70000}"/>
    <cellStyle name="Style 33 11 3" xfId="51133" xr:uid="{00000000-0005-0000-0000-0000C2C70000}"/>
    <cellStyle name="Style 33 11 3 2" xfId="51134" xr:uid="{00000000-0005-0000-0000-0000C3C70000}"/>
    <cellStyle name="Style 33 11 3 2 2" xfId="51135" xr:uid="{00000000-0005-0000-0000-0000C4C70000}"/>
    <cellStyle name="Style 33 11 3 2 2 2" xfId="51136" xr:uid="{00000000-0005-0000-0000-0000C5C70000}"/>
    <cellStyle name="Style 33 11 3 2 2 3" xfId="51137" xr:uid="{00000000-0005-0000-0000-0000C6C70000}"/>
    <cellStyle name="Style 33 11 3 2 3" xfId="51138" xr:uid="{00000000-0005-0000-0000-0000C7C70000}"/>
    <cellStyle name="Style 33 11 3 2 3 2" xfId="51139" xr:uid="{00000000-0005-0000-0000-0000C8C70000}"/>
    <cellStyle name="Style 33 11 3 2 3 3" xfId="51140" xr:uid="{00000000-0005-0000-0000-0000C9C70000}"/>
    <cellStyle name="Style 33 11 3 2 4" xfId="51141" xr:uid="{00000000-0005-0000-0000-0000CAC70000}"/>
    <cellStyle name="Style 33 11 3 2 5" xfId="51142" xr:uid="{00000000-0005-0000-0000-0000CBC70000}"/>
    <cellStyle name="Style 33 11 3 2 6" xfId="51143" xr:uid="{00000000-0005-0000-0000-0000CCC70000}"/>
    <cellStyle name="Style 33 11 3 3" xfId="51144" xr:uid="{00000000-0005-0000-0000-0000CDC70000}"/>
    <cellStyle name="Style 33 11 3 3 2" xfId="51145" xr:uid="{00000000-0005-0000-0000-0000CEC70000}"/>
    <cellStyle name="Style 33 11 3 3 3" xfId="51146" xr:uid="{00000000-0005-0000-0000-0000CFC70000}"/>
    <cellStyle name="Style 33 11 3 4" xfId="51147" xr:uid="{00000000-0005-0000-0000-0000D0C70000}"/>
    <cellStyle name="Style 33 11 3 4 2" xfId="51148" xr:uid="{00000000-0005-0000-0000-0000D1C70000}"/>
    <cellStyle name="Style 33 11 3 4 3" xfId="51149" xr:uid="{00000000-0005-0000-0000-0000D2C70000}"/>
    <cellStyle name="Style 33 11 3 5" xfId="51150" xr:uid="{00000000-0005-0000-0000-0000D3C70000}"/>
    <cellStyle name="Style 33 11 3 5 2" xfId="51151" xr:uid="{00000000-0005-0000-0000-0000D4C70000}"/>
    <cellStyle name="Style 33 11 3 5 3" xfId="51152" xr:uid="{00000000-0005-0000-0000-0000D5C70000}"/>
    <cellStyle name="Style 33 11 3 6" xfId="51153" xr:uid="{00000000-0005-0000-0000-0000D6C70000}"/>
    <cellStyle name="Style 33 11 3 7" xfId="51154" xr:uid="{00000000-0005-0000-0000-0000D7C70000}"/>
    <cellStyle name="Style 33 11 3 8" xfId="51155" xr:uid="{00000000-0005-0000-0000-0000D8C70000}"/>
    <cellStyle name="Style 33 11 4" xfId="51156" xr:uid="{00000000-0005-0000-0000-0000D9C70000}"/>
    <cellStyle name="Style 33 11 4 2" xfId="51157" xr:uid="{00000000-0005-0000-0000-0000DAC70000}"/>
    <cellStyle name="Style 33 11 4 2 2" xfId="51158" xr:uid="{00000000-0005-0000-0000-0000DBC70000}"/>
    <cellStyle name="Style 33 11 4 2 2 2" xfId="51159" xr:uid="{00000000-0005-0000-0000-0000DCC70000}"/>
    <cellStyle name="Style 33 11 4 2 2 3" xfId="51160" xr:uid="{00000000-0005-0000-0000-0000DDC70000}"/>
    <cellStyle name="Style 33 11 4 2 3" xfId="51161" xr:uid="{00000000-0005-0000-0000-0000DEC70000}"/>
    <cellStyle name="Style 33 11 4 2 3 2" xfId="51162" xr:uid="{00000000-0005-0000-0000-0000DFC70000}"/>
    <cellStyle name="Style 33 11 4 2 3 3" xfId="51163" xr:uid="{00000000-0005-0000-0000-0000E0C70000}"/>
    <cellStyle name="Style 33 11 4 2 4" xfId="51164" xr:uid="{00000000-0005-0000-0000-0000E1C70000}"/>
    <cellStyle name="Style 33 11 4 2 5" xfId="51165" xr:uid="{00000000-0005-0000-0000-0000E2C70000}"/>
    <cellStyle name="Style 33 11 4 2 6" xfId="51166" xr:uid="{00000000-0005-0000-0000-0000E3C70000}"/>
    <cellStyle name="Style 33 11 4 3" xfId="51167" xr:uid="{00000000-0005-0000-0000-0000E4C70000}"/>
    <cellStyle name="Style 33 11 4 3 2" xfId="51168" xr:uid="{00000000-0005-0000-0000-0000E5C70000}"/>
    <cellStyle name="Style 33 11 4 3 3" xfId="51169" xr:uid="{00000000-0005-0000-0000-0000E6C70000}"/>
    <cellStyle name="Style 33 11 4 4" xfId="51170" xr:uid="{00000000-0005-0000-0000-0000E7C70000}"/>
    <cellStyle name="Style 33 11 4 4 2" xfId="51171" xr:uid="{00000000-0005-0000-0000-0000E8C70000}"/>
    <cellStyle name="Style 33 11 4 4 3" xfId="51172" xr:uid="{00000000-0005-0000-0000-0000E9C70000}"/>
    <cellStyle name="Style 33 11 4 5" xfId="51173" xr:uid="{00000000-0005-0000-0000-0000EAC70000}"/>
    <cellStyle name="Style 33 11 4 5 2" xfId="51174" xr:uid="{00000000-0005-0000-0000-0000EBC70000}"/>
    <cellStyle name="Style 33 11 4 5 3" xfId="51175" xr:uid="{00000000-0005-0000-0000-0000ECC70000}"/>
    <cellStyle name="Style 33 11 4 6" xfId="51176" xr:uid="{00000000-0005-0000-0000-0000EDC70000}"/>
    <cellStyle name="Style 33 11 4 7" xfId="51177" xr:uid="{00000000-0005-0000-0000-0000EEC70000}"/>
    <cellStyle name="Style 33 11 4 8" xfId="51178" xr:uid="{00000000-0005-0000-0000-0000EFC70000}"/>
    <cellStyle name="Style 33 11 5" xfId="51179" xr:uid="{00000000-0005-0000-0000-0000F0C70000}"/>
    <cellStyle name="Style 33 11 5 2" xfId="51180" xr:uid="{00000000-0005-0000-0000-0000F1C70000}"/>
    <cellStyle name="Style 33 11 5 2 2" xfId="51181" xr:uid="{00000000-0005-0000-0000-0000F2C70000}"/>
    <cellStyle name="Style 33 11 5 2 2 2" xfId="51182" xr:uid="{00000000-0005-0000-0000-0000F3C70000}"/>
    <cellStyle name="Style 33 11 5 2 2 3" xfId="51183" xr:uid="{00000000-0005-0000-0000-0000F4C70000}"/>
    <cellStyle name="Style 33 11 5 2 3" xfId="51184" xr:uid="{00000000-0005-0000-0000-0000F5C70000}"/>
    <cellStyle name="Style 33 11 5 2 3 2" xfId="51185" xr:uid="{00000000-0005-0000-0000-0000F6C70000}"/>
    <cellStyle name="Style 33 11 5 2 3 3" xfId="51186" xr:uid="{00000000-0005-0000-0000-0000F7C70000}"/>
    <cellStyle name="Style 33 11 5 2 4" xfId="51187" xr:uid="{00000000-0005-0000-0000-0000F8C70000}"/>
    <cellStyle name="Style 33 11 5 2 5" xfId="51188" xr:uid="{00000000-0005-0000-0000-0000F9C70000}"/>
    <cellStyle name="Style 33 11 5 2 6" xfId="51189" xr:uid="{00000000-0005-0000-0000-0000FAC70000}"/>
    <cellStyle name="Style 33 11 5 3" xfId="51190" xr:uid="{00000000-0005-0000-0000-0000FBC70000}"/>
    <cellStyle name="Style 33 11 5 3 2" xfId="51191" xr:uid="{00000000-0005-0000-0000-0000FCC70000}"/>
    <cellStyle name="Style 33 11 5 3 3" xfId="51192" xr:uid="{00000000-0005-0000-0000-0000FDC70000}"/>
    <cellStyle name="Style 33 11 5 4" xfId="51193" xr:uid="{00000000-0005-0000-0000-0000FEC70000}"/>
    <cellStyle name="Style 33 11 5 4 2" xfId="51194" xr:uid="{00000000-0005-0000-0000-0000FFC70000}"/>
    <cellStyle name="Style 33 11 5 4 3" xfId="51195" xr:uid="{00000000-0005-0000-0000-000000C80000}"/>
    <cellStyle name="Style 33 11 5 5" xfId="51196" xr:uid="{00000000-0005-0000-0000-000001C80000}"/>
    <cellStyle name="Style 33 11 5 5 2" xfId="51197" xr:uid="{00000000-0005-0000-0000-000002C80000}"/>
    <cellStyle name="Style 33 11 5 5 3" xfId="51198" xr:uid="{00000000-0005-0000-0000-000003C80000}"/>
    <cellStyle name="Style 33 11 5 6" xfId="51199" xr:uid="{00000000-0005-0000-0000-000004C80000}"/>
    <cellStyle name="Style 33 11 5 7" xfId="51200" xr:uid="{00000000-0005-0000-0000-000005C80000}"/>
    <cellStyle name="Style 33 11 5 8" xfId="51201" xr:uid="{00000000-0005-0000-0000-000006C80000}"/>
    <cellStyle name="Style 33 11 6" xfId="51202" xr:uid="{00000000-0005-0000-0000-000007C80000}"/>
    <cellStyle name="Style 33 11 6 2" xfId="51203" xr:uid="{00000000-0005-0000-0000-000008C80000}"/>
    <cellStyle name="Style 33 11 6 2 2" xfId="51204" xr:uid="{00000000-0005-0000-0000-000009C80000}"/>
    <cellStyle name="Style 33 11 6 2 3" xfId="51205" xr:uid="{00000000-0005-0000-0000-00000AC80000}"/>
    <cellStyle name="Style 33 11 6 3" xfId="51206" xr:uid="{00000000-0005-0000-0000-00000BC80000}"/>
    <cellStyle name="Style 33 11 6 3 2" xfId="51207" xr:uid="{00000000-0005-0000-0000-00000CC80000}"/>
    <cellStyle name="Style 33 11 6 3 3" xfId="51208" xr:uid="{00000000-0005-0000-0000-00000DC80000}"/>
    <cellStyle name="Style 33 11 6 4" xfId="51209" xr:uid="{00000000-0005-0000-0000-00000EC80000}"/>
    <cellStyle name="Style 33 11 6 5" xfId="51210" xr:uid="{00000000-0005-0000-0000-00000FC80000}"/>
    <cellStyle name="Style 33 11 6 6" xfId="51211" xr:uid="{00000000-0005-0000-0000-000010C80000}"/>
    <cellStyle name="Style 33 11 7" xfId="51212" xr:uid="{00000000-0005-0000-0000-000011C80000}"/>
    <cellStyle name="Style 33 11 7 2" xfId="51213" xr:uid="{00000000-0005-0000-0000-000012C80000}"/>
    <cellStyle name="Style 33 11 7 3" xfId="51214" xr:uid="{00000000-0005-0000-0000-000013C80000}"/>
    <cellStyle name="Style 33 11 8" xfId="51215" xr:uid="{00000000-0005-0000-0000-000014C80000}"/>
    <cellStyle name="Style 33 11 8 2" xfId="51216" xr:uid="{00000000-0005-0000-0000-000015C80000}"/>
    <cellStyle name="Style 33 11 8 3" xfId="51217" xr:uid="{00000000-0005-0000-0000-000016C80000}"/>
    <cellStyle name="Style 33 11 9" xfId="51218" xr:uid="{00000000-0005-0000-0000-000017C80000}"/>
    <cellStyle name="Style 33 11 9 2" xfId="51219" xr:uid="{00000000-0005-0000-0000-000018C80000}"/>
    <cellStyle name="Style 33 11 9 3" xfId="51220" xr:uid="{00000000-0005-0000-0000-000019C80000}"/>
    <cellStyle name="Style 33 12" xfId="51221" xr:uid="{00000000-0005-0000-0000-00001AC80000}"/>
    <cellStyle name="Style 33 12 10" xfId="51222" xr:uid="{00000000-0005-0000-0000-00001BC80000}"/>
    <cellStyle name="Style 33 12 2" xfId="51223" xr:uid="{00000000-0005-0000-0000-00001CC80000}"/>
    <cellStyle name="Style 33 12 2 2" xfId="51224" xr:uid="{00000000-0005-0000-0000-00001DC80000}"/>
    <cellStyle name="Style 33 12 2 2 2" xfId="51225" xr:uid="{00000000-0005-0000-0000-00001EC80000}"/>
    <cellStyle name="Style 33 12 2 2 2 2" xfId="51226" xr:uid="{00000000-0005-0000-0000-00001FC80000}"/>
    <cellStyle name="Style 33 12 2 2 2 3" xfId="51227" xr:uid="{00000000-0005-0000-0000-000020C80000}"/>
    <cellStyle name="Style 33 12 2 2 3" xfId="51228" xr:uid="{00000000-0005-0000-0000-000021C80000}"/>
    <cellStyle name="Style 33 12 2 2 3 2" xfId="51229" xr:uid="{00000000-0005-0000-0000-000022C80000}"/>
    <cellStyle name="Style 33 12 2 2 3 3" xfId="51230" xr:uid="{00000000-0005-0000-0000-000023C80000}"/>
    <cellStyle name="Style 33 12 2 2 4" xfId="51231" xr:uid="{00000000-0005-0000-0000-000024C80000}"/>
    <cellStyle name="Style 33 12 2 2 5" xfId="51232" xr:uid="{00000000-0005-0000-0000-000025C80000}"/>
    <cellStyle name="Style 33 12 2 2 6" xfId="51233" xr:uid="{00000000-0005-0000-0000-000026C80000}"/>
    <cellStyle name="Style 33 12 2 3" xfId="51234" xr:uid="{00000000-0005-0000-0000-000027C80000}"/>
    <cellStyle name="Style 33 12 2 3 2" xfId="51235" xr:uid="{00000000-0005-0000-0000-000028C80000}"/>
    <cellStyle name="Style 33 12 2 3 3" xfId="51236" xr:uid="{00000000-0005-0000-0000-000029C80000}"/>
    <cellStyle name="Style 33 12 2 4" xfId="51237" xr:uid="{00000000-0005-0000-0000-00002AC80000}"/>
    <cellStyle name="Style 33 12 2 4 2" xfId="51238" xr:uid="{00000000-0005-0000-0000-00002BC80000}"/>
    <cellStyle name="Style 33 12 2 4 3" xfId="51239" xr:uid="{00000000-0005-0000-0000-00002CC80000}"/>
    <cellStyle name="Style 33 12 2 5" xfId="51240" xr:uid="{00000000-0005-0000-0000-00002DC80000}"/>
    <cellStyle name="Style 33 12 2 5 2" xfId="51241" xr:uid="{00000000-0005-0000-0000-00002EC80000}"/>
    <cellStyle name="Style 33 12 2 5 3" xfId="51242" xr:uid="{00000000-0005-0000-0000-00002FC80000}"/>
    <cellStyle name="Style 33 12 2 6" xfId="51243" xr:uid="{00000000-0005-0000-0000-000030C80000}"/>
    <cellStyle name="Style 33 12 2 7" xfId="51244" xr:uid="{00000000-0005-0000-0000-000031C80000}"/>
    <cellStyle name="Style 33 12 2 8" xfId="51245" xr:uid="{00000000-0005-0000-0000-000032C80000}"/>
    <cellStyle name="Style 33 12 3" xfId="51246" xr:uid="{00000000-0005-0000-0000-000033C80000}"/>
    <cellStyle name="Style 33 12 3 2" xfId="51247" xr:uid="{00000000-0005-0000-0000-000034C80000}"/>
    <cellStyle name="Style 33 12 3 2 2" xfId="51248" xr:uid="{00000000-0005-0000-0000-000035C80000}"/>
    <cellStyle name="Style 33 12 3 2 2 2" xfId="51249" xr:uid="{00000000-0005-0000-0000-000036C80000}"/>
    <cellStyle name="Style 33 12 3 2 2 3" xfId="51250" xr:uid="{00000000-0005-0000-0000-000037C80000}"/>
    <cellStyle name="Style 33 12 3 2 3" xfId="51251" xr:uid="{00000000-0005-0000-0000-000038C80000}"/>
    <cellStyle name="Style 33 12 3 2 3 2" xfId="51252" xr:uid="{00000000-0005-0000-0000-000039C80000}"/>
    <cellStyle name="Style 33 12 3 2 3 3" xfId="51253" xr:uid="{00000000-0005-0000-0000-00003AC80000}"/>
    <cellStyle name="Style 33 12 3 2 4" xfId="51254" xr:uid="{00000000-0005-0000-0000-00003BC80000}"/>
    <cellStyle name="Style 33 12 3 2 5" xfId="51255" xr:uid="{00000000-0005-0000-0000-00003CC80000}"/>
    <cellStyle name="Style 33 12 3 2 6" xfId="51256" xr:uid="{00000000-0005-0000-0000-00003DC80000}"/>
    <cellStyle name="Style 33 12 3 3" xfId="51257" xr:uid="{00000000-0005-0000-0000-00003EC80000}"/>
    <cellStyle name="Style 33 12 3 3 2" xfId="51258" xr:uid="{00000000-0005-0000-0000-00003FC80000}"/>
    <cellStyle name="Style 33 12 3 3 3" xfId="51259" xr:uid="{00000000-0005-0000-0000-000040C80000}"/>
    <cellStyle name="Style 33 12 3 4" xfId="51260" xr:uid="{00000000-0005-0000-0000-000041C80000}"/>
    <cellStyle name="Style 33 12 3 4 2" xfId="51261" xr:uid="{00000000-0005-0000-0000-000042C80000}"/>
    <cellStyle name="Style 33 12 3 4 3" xfId="51262" xr:uid="{00000000-0005-0000-0000-000043C80000}"/>
    <cellStyle name="Style 33 12 3 5" xfId="51263" xr:uid="{00000000-0005-0000-0000-000044C80000}"/>
    <cellStyle name="Style 33 12 3 5 2" xfId="51264" xr:uid="{00000000-0005-0000-0000-000045C80000}"/>
    <cellStyle name="Style 33 12 3 5 3" xfId="51265" xr:uid="{00000000-0005-0000-0000-000046C80000}"/>
    <cellStyle name="Style 33 12 3 6" xfId="51266" xr:uid="{00000000-0005-0000-0000-000047C80000}"/>
    <cellStyle name="Style 33 12 3 7" xfId="51267" xr:uid="{00000000-0005-0000-0000-000048C80000}"/>
    <cellStyle name="Style 33 12 3 8" xfId="51268" xr:uid="{00000000-0005-0000-0000-000049C80000}"/>
    <cellStyle name="Style 33 12 4" xfId="51269" xr:uid="{00000000-0005-0000-0000-00004AC80000}"/>
    <cellStyle name="Style 33 12 4 2" xfId="51270" xr:uid="{00000000-0005-0000-0000-00004BC80000}"/>
    <cellStyle name="Style 33 12 4 2 2" xfId="51271" xr:uid="{00000000-0005-0000-0000-00004CC80000}"/>
    <cellStyle name="Style 33 12 4 2 3" xfId="51272" xr:uid="{00000000-0005-0000-0000-00004DC80000}"/>
    <cellStyle name="Style 33 12 4 3" xfId="51273" xr:uid="{00000000-0005-0000-0000-00004EC80000}"/>
    <cellStyle name="Style 33 12 4 3 2" xfId="51274" xr:uid="{00000000-0005-0000-0000-00004FC80000}"/>
    <cellStyle name="Style 33 12 4 3 3" xfId="51275" xr:uid="{00000000-0005-0000-0000-000050C80000}"/>
    <cellStyle name="Style 33 12 4 4" xfId="51276" xr:uid="{00000000-0005-0000-0000-000051C80000}"/>
    <cellStyle name="Style 33 12 4 5" xfId="51277" xr:uid="{00000000-0005-0000-0000-000052C80000}"/>
    <cellStyle name="Style 33 12 4 6" xfId="51278" xr:uid="{00000000-0005-0000-0000-000053C80000}"/>
    <cellStyle name="Style 33 12 5" xfId="51279" xr:uid="{00000000-0005-0000-0000-000054C80000}"/>
    <cellStyle name="Style 33 12 5 2" xfId="51280" xr:uid="{00000000-0005-0000-0000-000055C80000}"/>
    <cellStyle name="Style 33 12 5 3" xfId="51281" xr:uid="{00000000-0005-0000-0000-000056C80000}"/>
    <cellStyle name="Style 33 12 6" xfId="51282" xr:uid="{00000000-0005-0000-0000-000057C80000}"/>
    <cellStyle name="Style 33 12 6 2" xfId="51283" xr:uid="{00000000-0005-0000-0000-000058C80000}"/>
    <cellStyle name="Style 33 12 6 3" xfId="51284" xr:uid="{00000000-0005-0000-0000-000059C80000}"/>
    <cellStyle name="Style 33 12 7" xfId="51285" xr:uid="{00000000-0005-0000-0000-00005AC80000}"/>
    <cellStyle name="Style 33 12 7 2" xfId="51286" xr:uid="{00000000-0005-0000-0000-00005BC80000}"/>
    <cellStyle name="Style 33 12 7 3" xfId="51287" xr:uid="{00000000-0005-0000-0000-00005CC80000}"/>
    <cellStyle name="Style 33 12 8" xfId="51288" xr:uid="{00000000-0005-0000-0000-00005DC80000}"/>
    <cellStyle name="Style 33 12 9" xfId="51289" xr:uid="{00000000-0005-0000-0000-00005EC80000}"/>
    <cellStyle name="Style 33 13" xfId="51290" xr:uid="{00000000-0005-0000-0000-00005FC80000}"/>
    <cellStyle name="Style 33 13 2" xfId="51291" xr:uid="{00000000-0005-0000-0000-000060C80000}"/>
    <cellStyle name="Style 33 13 2 2" xfId="51292" xr:uid="{00000000-0005-0000-0000-000061C80000}"/>
    <cellStyle name="Style 33 13 2 2 2" xfId="51293" xr:uid="{00000000-0005-0000-0000-000062C80000}"/>
    <cellStyle name="Style 33 13 2 2 3" xfId="51294" xr:uid="{00000000-0005-0000-0000-000063C80000}"/>
    <cellStyle name="Style 33 13 2 3" xfId="51295" xr:uid="{00000000-0005-0000-0000-000064C80000}"/>
    <cellStyle name="Style 33 13 2 3 2" xfId="51296" xr:uid="{00000000-0005-0000-0000-000065C80000}"/>
    <cellStyle name="Style 33 13 2 3 3" xfId="51297" xr:uid="{00000000-0005-0000-0000-000066C80000}"/>
    <cellStyle name="Style 33 13 2 4" xfId="51298" xr:uid="{00000000-0005-0000-0000-000067C80000}"/>
    <cellStyle name="Style 33 13 2 5" xfId="51299" xr:uid="{00000000-0005-0000-0000-000068C80000}"/>
    <cellStyle name="Style 33 13 2 6" xfId="51300" xr:uid="{00000000-0005-0000-0000-000069C80000}"/>
    <cellStyle name="Style 33 13 3" xfId="51301" xr:uid="{00000000-0005-0000-0000-00006AC80000}"/>
    <cellStyle name="Style 33 13 3 2" xfId="51302" xr:uid="{00000000-0005-0000-0000-00006BC80000}"/>
    <cellStyle name="Style 33 13 3 3" xfId="51303" xr:uid="{00000000-0005-0000-0000-00006CC80000}"/>
    <cellStyle name="Style 33 13 4" xfId="51304" xr:uid="{00000000-0005-0000-0000-00006DC80000}"/>
    <cellStyle name="Style 33 13 4 2" xfId="51305" xr:uid="{00000000-0005-0000-0000-00006EC80000}"/>
    <cellStyle name="Style 33 13 4 3" xfId="51306" xr:uid="{00000000-0005-0000-0000-00006FC80000}"/>
    <cellStyle name="Style 33 13 5" xfId="51307" xr:uid="{00000000-0005-0000-0000-000070C80000}"/>
    <cellStyle name="Style 33 13 5 2" xfId="51308" xr:uid="{00000000-0005-0000-0000-000071C80000}"/>
    <cellStyle name="Style 33 13 5 3" xfId="51309" xr:uid="{00000000-0005-0000-0000-000072C80000}"/>
    <cellStyle name="Style 33 13 6" xfId="51310" xr:uid="{00000000-0005-0000-0000-000073C80000}"/>
    <cellStyle name="Style 33 13 7" xfId="51311" xr:uid="{00000000-0005-0000-0000-000074C80000}"/>
    <cellStyle name="Style 33 13 8" xfId="51312" xr:uid="{00000000-0005-0000-0000-000075C80000}"/>
    <cellStyle name="Style 33 14" xfId="51313" xr:uid="{00000000-0005-0000-0000-000076C80000}"/>
    <cellStyle name="Style 33 14 2" xfId="51314" xr:uid="{00000000-0005-0000-0000-000077C80000}"/>
    <cellStyle name="Style 33 14 2 2" xfId="51315" xr:uid="{00000000-0005-0000-0000-000078C80000}"/>
    <cellStyle name="Style 33 14 2 2 2" xfId="51316" xr:uid="{00000000-0005-0000-0000-000079C80000}"/>
    <cellStyle name="Style 33 14 2 2 3" xfId="51317" xr:uid="{00000000-0005-0000-0000-00007AC80000}"/>
    <cellStyle name="Style 33 14 2 3" xfId="51318" xr:uid="{00000000-0005-0000-0000-00007BC80000}"/>
    <cellStyle name="Style 33 14 2 3 2" xfId="51319" xr:uid="{00000000-0005-0000-0000-00007CC80000}"/>
    <cellStyle name="Style 33 14 2 3 3" xfId="51320" xr:uid="{00000000-0005-0000-0000-00007DC80000}"/>
    <cellStyle name="Style 33 14 2 4" xfId="51321" xr:uid="{00000000-0005-0000-0000-00007EC80000}"/>
    <cellStyle name="Style 33 14 2 5" xfId="51322" xr:uid="{00000000-0005-0000-0000-00007FC80000}"/>
    <cellStyle name="Style 33 14 2 6" xfId="51323" xr:uid="{00000000-0005-0000-0000-000080C80000}"/>
    <cellStyle name="Style 33 14 3" xfId="51324" xr:uid="{00000000-0005-0000-0000-000081C80000}"/>
    <cellStyle name="Style 33 14 3 2" xfId="51325" xr:uid="{00000000-0005-0000-0000-000082C80000}"/>
    <cellStyle name="Style 33 14 3 3" xfId="51326" xr:uid="{00000000-0005-0000-0000-000083C80000}"/>
    <cellStyle name="Style 33 14 4" xfId="51327" xr:uid="{00000000-0005-0000-0000-000084C80000}"/>
    <cellStyle name="Style 33 14 4 2" xfId="51328" xr:uid="{00000000-0005-0000-0000-000085C80000}"/>
    <cellStyle name="Style 33 14 4 3" xfId="51329" xr:uid="{00000000-0005-0000-0000-000086C80000}"/>
    <cellStyle name="Style 33 14 5" xfId="51330" xr:uid="{00000000-0005-0000-0000-000087C80000}"/>
    <cellStyle name="Style 33 14 5 2" xfId="51331" xr:uid="{00000000-0005-0000-0000-000088C80000}"/>
    <cellStyle name="Style 33 14 5 3" xfId="51332" xr:uid="{00000000-0005-0000-0000-000089C80000}"/>
    <cellStyle name="Style 33 14 6" xfId="51333" xr:uid="{00000000-0005-0000-0000-00008AC80000}"/>
    <cellStyle name="Style 33 14 7" xfId="51334" xr:uid="{00000000-0005-0000-0000-00008BC80000}"/>
    <cellStyle name="Style 33 14 8" xfId="51335" xr:uid="{00000000-0005-0000-0000-00008CC80000}"/>
    <cellStyle name="Style 33 15" xfId="51336" xr:uid="{00000000-0005-0000-0000-00008DC80000}"/>
    <cellStyle name="Style 33 15 2" xfId="51337" xr:uid="{00000000-0005-0000-0000-00008EC80000}"/>
    <cellStyle name="Style 33 15 2 2" xfId="51338" xr:uid="{00000000-0005-0000-0000-00008FC80000}"/>
    <cellStyle name="Style 33 15 2 2 2" xfId="51339" xr:uid="{00000000-0005-0000-0000-000090C80000}"/>
    <cellStyle name="Style 33 15 2 2 3" xfId="51340" xr:uid="{00000000-0005-0000-0000-000091C80000}"/>
    <cellStyle name="Style 33 15 2 3" xfId="51341" xr:uid="{00000000-0005-0000-0000-000092C80000}"/>
    <cellStyle name="Style 33 15 2 3 2" xfId="51342" xr:uid="{00000000-0005-0000-0000-000093C80000}"/>
    <cellStyle name="Style 33 15 2 3 3" xfId="51343" xr:uid="{00000000-0005-0000-0000-000094C80000}"/>
    <cellStyle name="Style 33 15 2 4" xfId="51344" xr:uid="{00000000-0005-0000-0000-000095C80000}"/>
    <cellStyle name="Style 33 15 2 5" xfId="51345" xr:uid="{00000000-0005-0000-0000-000096C80000}"/>
    <cellStyle name="Style 33 15 2 6" xfId="51346" xr:uid="{00000000-0005-0000-0000-000097C80000}"/>
    <cellStyle name="Style 33 15 3" xfId="51347" xr:uid="{00000000-0005-0000-0000-000098C80000}"/>
    <cellStyle name="Style 33 15 3 2" xfId="51348" xr:uid="{00000000-0005-0000-0000-000099C80000}"/>
    <cellStyle name="Style 33 15 3 3" xfId="51349" xr:uid="{00000000-0005-0000-0000-00009AC80000}"/>
    <cellStyle name="Style 33 15 4" xfId="51350" xr:uid="{00000000-0005-0000-0000-00009BC80000}"/>
    <cellStyle name="Style 33 15 4 2" xfId="51351" xr:uid="{00000000-0005-0000-0000-00009CC80000}"/>
    <cellStyle name="Style 33 15 4 3" xfId="51352" xr:uid="{00000000-0005-0000-0000-00009DC80000}"/>
    <cellStyle name="Style 33 15 5" xfId="51353" xr:uid="{00000000-0005-0000-0000-00009EC80000}"/>
    <cellStyle name="Style 33 15 5 2" xfId="51354" xr:uid="{00000000-0005-0000-0000-00009FC80000}"/>
    <cellStyle name="Style 33 15 5 3" xfId="51355" xr:uid="{00000000-0005-0000-0000-0000A0C80000}"/>
    <cellStyle name="Style 33 15 6" xfId="51356" xr:uid="{00000000-0005-0000-0000-0000A1C80000}"/>
    <cellStyle name="Style 33 15 7" xfId="51357" xr:uid="{00000000-0005-0000-0000-0000A2C80000}"/>
    <cellStyle name="Style 33 15 8" xfId="51358" xr:uid="{00000000-0005-0000-0000-0000A3C80000}"/>
    <cellStyle name="Style 33 16" xfId="51359" xr:uid="{00000000-0005-0000-0000-0000A4C80000}"/>
    <cellStyle name="Style 33 16 2" xfId="51360" xr:uid="{00000000-0005-0000-0000-0000A5C80000}"/>
    <cellStyle name="Style 33 16 2 2" xfId="51361" xr:uid="{00000000-0005-0000-0000-0000A6C80000}"/>
    <cellStyle name="Style 33 16 2 3" xfId="51362" xr:uid="{00000000-0005-0000-0000-0000A7C80000}"/>
    <cellStyle name="Style 33 16 3" xfId="51363" xr:uid="{00000000-0005-0000-0000-0000A8C80000}"/>
    <cellStyle name="Style 33 16 3 2" xfId="51364" xr:uid="{00000000-0005-0000-0000-0000A9C80000}"/>
    <cellStyle name="Style 33 16 3 3" xfId="51365" xr:uid="{00000000-0005-0000-0000-0000AAC80000}"/>
    <cellStyle name="Style 33 16 4" xfId="51366" xr:uid="{00000000-0005-0000-0000-0000ABC80000}"/>
    <cellStyle name="Style 33 16 5" xfId="51367" xr:uid="{00000000-0005-0000-0000-0000ACC80000}"/>
    <cellStyle name="Style 33 16 6" xfId="51368" xr:uid="{00000000-0005-0000-0000-0000ADC80000}"/>
    <cellStyle name="Style 33 17" xfId="51369" xr:uid="{00000000-0005-0000-0000-0000AEC80000}"/>
    <cellStyle name="Style 33 17 2" xfId="51370" xr:uid="{00000000-0005-0000-0000-0000AFC80000}"/>
    <cellStyle name="Style 33 17 3" xfId="51371" xr:uid="{00000000-0005-0000-0000-0000B0C80000}"/>
    <cellStyle name="Style 33 18" xfId="51372" xr:uid="{00000000-0005-0000-0000-0000B1C80000}"/>
    <cellStyle name="Style 33 18 2" xfId="51373" xr:uid="{00000000-0005-0000-0000-0000B2C80000}"/>
    <cellStyle name="Style 33 18 3" xfId="51374" xr:uid="{00000000-0005-0000-0000-0000B3C80000}"/>
    <cellStyle name="Style 33 19" xfId="51375" xr:uid="{00000000-0005-0000-0000-0000B4C80000}"/>
    <cellStyle name="Style 33 19 2" xfId="51376" xr:uid="{00000000-0005-0000-0000-0000B5C80000}"/>
    <cellStyle name="Style 33 19 3" xfId="51377" xr:uid="{00000000-0005-0000-0000-0000B6C80000}"/>
    <cellStyle name="Style 33 2" xfId="51378" xr:uid="{00000000-0005-0000-0000-0000B7C80000}"/>
    <cellStyle name="Style 33 2 10" xfId="51379" xr:uid="{00000000-0005-0000-0000-0000B8C80000}"/>
    <cellStyle name="Style 33 2 11" xfId="51380" xr:uid="{00000000-0005-0000-0000-0000B9C80000}"/>
    <cellStyle name="Style 33 2 12" xfId="51381" xr:uid="{00000000-0005-0000-0000-0000BAC80000}"/>
    <cellStyle name="Style 33 2 2" xfId="51382" xr:uid="{00000000-0005-0000-0000-0000BBC80000}"/>
    <cellStyle name="Style 33 2 2 10" xfId="51383" xr:uid="{00000000-0005-0000-0000-0000BCC80000}"/>
    <cellStyle name="Style 33 2 2 2" xfId="51384" xr:uid="{00000000-0005-0000-0000-0000BDC80000}"/>
    <cellStyle name="Style 33 2 2 2 2" xfId="51385" xr:uid="{00000000-0005-0000-0000-0000BEC80000}"/>
    <cellStyle name="Style 33 2 2 2 2 2" xfId="51386" xr:uid="{00000000-0005-0000-0000-0000BFC80000}"/>
    <cellStyle name="Style 33 2 2 2 2 2 2" xfId="51387" xr:uid="{00000000-0005-0000-0000-0000C0C80000}"/>
    <cellStyle name="Style 33 2 2 2 2 2 3" xfId="51388" xr:uid="{00000000-0005-0000-0000-0000C1C80000}"/>
    <cellStyle name="Style 33 2 2 2 2 3" xfId="51389" xr:uid="{00000000-0005-0000-0000-0000C2C80000}"/>
    <cellStyle name="Style 33 2 2 2 2 3 2" xfId="51390" xr:uid="{00000000-0005-0000-0000-0000C3C80000}"/>
    <cellStyle name="Style 33 2 2 2 2 3 3" xfId="51391" xr:uid="{00000000-0005-0000-0000-0000C4C80000}"/>
    <cellStyle name="Style 33 2 2 2 2 4" xfId="51392" xr:uid="{00000000-0005-0000-0000-0000C5C80000}"/>
    <cellStyle name="Style 33 2 2 2 2 5" xfId="51393" xr:uid="{00000000-0005-0000-0000-0000C6C80000}"/>
    <cellStyle name="Style 33 2 2 2 2 6" xfId="51394" xr:uid="{00000000-0005-0000-0000-0000C7C80000}"/>
    <cellStyle name="Style 33 2 2 2 3" xfId="51395" xr:uid="{00000000-0005-0000-0000-0000C8C80000}"/>
    <cellStyle name="Style 33 2 2 2 3 2" xfId="51396" xr:uid="{00000000-0005-0000-0000-0000C9C80000}"/>
    <cellStyle name="Style 33 2 2 2 3 3" xfId="51397" xr:uid="{00000000-0005-0000-0000-0000CAC80000}"/>
    <cellStyle name="Style 33 2 2 2 4" xfId="51398" xr:uid="{00000000-0005-0000-0000-0000CBC80000}"/>
    <cellStyle name="Style 33 2 2 2 4 2" xfId="51399" xr:uid="{00000000-0005-0000-0000-0000CCC80000}"/>
    <cellStyle name="Style 33 2 2 2 4 3" xfId="51400" xr:uid="{00000000-0005-0000-0000-0000CDC80000}"/>
    <cellStyle name="Style 33 2 2 2 5" xfId="51401" xr:uid="{00000000-0005-0000-0000-0000CEC80000}"/>
    <cellStyle name="Style 33 2 2 2 5 2" xfId="51402" xr:uid="{00000000-0005-0000-0000-0000CFC80000}"/>
    <cellStyle name="Style 33 2 2 2 5 3" xfId="51403" xr:uid="{00000000-0005-0000-0000-0000D0C80000}"/>
    <cellStyle name="Style 33 2 2 2 6" xfId="51404" xr:uid="{00000000-0005-0000-0000-0000D1C80000}"/>
    <cellStyle name="Style 33 2 2 2 7" xfId="51405" xr:uid="{00000000-0005-0000-0000-0000D2C80000}"/>
    <cellStyle name="Style 33 2 2 2 8" xfId="51406" xr:uid="{00000000-0005-0000-0000-0000D3C80000}"/>
    <cellStyle name="Style 33 2 2 3" xfId="51407" xr:uid="{00000000-0005-0000-0000-0000D4C80000}"/>
    <cellStyle name="Style 33 2 2 3 2" xfId="51408" xr:uid="{00000000-0005-0000-0000-0000D5C80000}"/>
    <cellStyle name="Style 33 2 2 3 2 2" xfId="51409" xr:uid="{00000000-0005-0000-0000-0000D6C80000}"/>
    <cellStyle name="Style 33 2 2 3 2 2 2" xfId="51410" xr:uid="{00000000-0005-0000-0000-0000D7C80000}"/>
    <cellStyle name="Style 33 2 2 3 2 2 3" xfId="51411" xr:uid="{00000000-0005-0000-0000-0000D8C80000}"/>
    <cellStyle name="Style 33 2 2 3 2 3" xfId="51412" xr:uid="{00000000-0005-0000-0000-0000D9C80000}"/>
    <cellStyle name="Style 33 2 2 3 2 3 2" xfId="51413" xr:uid="{00000000-0005-0000-0000-0000DAC80000}"/>
    <cellStyle name="Style 33 2 2 3 2 3 3" xfId="51414" xr:uid="{00000000-0005-0000-0000-0000DBC80000}"/>
    <cellStyle name="Style 33 2 2 3 2 4" xfId="51415" xr:uid="{00000000-0005-0000-0000-0000DCC80000}"/>
    <cellStyle name="Style 33 2 2 3 2 5" xfId="51416" xr:uid="{00000000-0005-0000-0000-0000DDC80000}"/>
    <cellStyle name="Style 33 2 2 3 2 6" xfId="51417" xr:uid="{00000000-0005-0000-0000-0000DEC80000}"/>
    <cellStyle name="Style 33 2 2 3 3" xfId="51418" xr:uid="{00000000-0005-0000-0000-0000DFC80000}"/>
    <cellStyle name="Style 33 2 2 3 3 2" xfId="51419" xr:uid="{00000000-0005-0000-0000-0000E0C80000}"/>
    <cellStyle name="Style 33 2 2 3 3 3" xfId="51420" xr:uid="{00000000-0005-0000-0000-0000E1C80000}"/>
    <cellStyle name="Style 33 2 2 3 4" xfId="51421" xr:uid="{00000000-0005-0000-0000-0000E2C80000}"/>
    <cellStyle name="Style 33 2 2 3 4 2" xfId="51422" xr:uid="{00000000-0005-0000-0000-0000E3C80000}"/>
    <cellStyle name="Style 33 2 2 3 4 3" xfId="51423" xr:uid="{00000000-0005-0000-0000-0000E4C80000}"/>
    <cellStyle name="Style 33 2 2 3 5" xfId="51424" xr:uid="{00000000-0005-0000-0000-0000E5C80000}"/>
    <cellStyle name="Style 33 2 2 3 5 2" xfId="51425" xr:uid="{00000000-0005-0000-0000-0000E6C80000}"/>
    <cellStyle name="Style 33 2 2 3 5 3" xfId="51426" xr:uid="{00000000-0005-0000-0000-0000E7C80000}"/>
    <cellStyle name="Style 33 2 2 3 6" xfId="51427" xr:uid="{00000000-0005-0000-0000-0000E8C80000}"/>
    <cellStyle name="Style 33 2 2 3 7" xfId="51428" xr:uid="{00000000-0005-0000-0000-0000E9C80000}"/>
    <cellStyle name="Style 33 2 2 3 8" xfId="51429" xr:uid="{00000000-0005-0000-0000-0000EAC80000}"/>
    <cellStyle name="Style 33 2 2 4" xfId="51430" xr:uid="{00000000-0005-0000-0000-0000EBC80000}"/>
    <cellStyle name="Style 33 2 2 4 2" xfId="51431" xr:uid="{00000000-0005-0000-0000-0000ECC80000}"/>
    <cellStyle name="Style 33 2 2 4 2 2" xfId="51432" xr:uid="{00000000-0005-0000-0000-0000EDC80000}"/>
    <cellStyle name="Style 33 2 2 4 2 3" xfId="51433" xr:uid="{00000000-0005-0000-0000-0000EEC80000}"/>
    <cellStyle name="Style 33 2 2 4 3" xfId="51434" xr:uid="{00000000-0005-0000-0000-0000EFC80000}"/>
    <cellStyle name="Style 33 2 2 4 3 2" xfId="51435" xr:uid="{00000000-0005-0000-0000-0000F0C80000}"/>
    <cellStyle name="Style 33 2 2 4 3 3" xfId="51436" xr:uid="{00000000-0005-0000-0000-0000F1C80000}"/>
    <cellStyle name="Style 33 2 2 4 4" xfId="51437" xr:uid="{00000000-0005-0000-0000-0000F2C80000}"/>
    <cellStyle name="Style 33 2 2 4 5" xfId="51438" xr:uid="{00000000-0005-0000-0000-0000F3C80000}"/>
    <cellStyle name="Style 33 2 2 4 6" xfId="51439" xr:uid="{00000000-0005-0000-0000-0000F4C80000}"/>
    <cellStyle name="Style 33 2 2 5" xfId="51440" xr:uid="{00000000-0005-0000-0000-0000F5C80000}"/>
    <cellStyle name="Style 33 2 2 5 2" xfId="51441" xr:uid="{00000000-0005-0000-0000-0000F6C80000}"/>
    <cellStyle name="Style 33 2 2 5 3" xfId="51442" xr:uid="{00000000-0005-0000-0000-0000F7C80000}"/>
    <cellStyle name="Style 33 2 2 6" xfId="51443" xr:uid="{00000000-0005-0000-0000-0000F8C80000}"/>
    <cellStyle name="Style 33 2 2 6 2" xfId="51444" xr:uid="{00000000-0005-0000-0000-0000F9C80000}"/>
    <cellStyle name="Style 33 2 2 6 3" xfId="51445" xr:uid="{00000000-0005-0000-0000-0000FAC80000}"/>
    <cellStyle name="Style 33 2 2 7" xfId="51446" xr:uid="{00000000-0005-0000-0000-0000FBC80000}"/>
    <cellStyle name="Style 33 2 2 7 2" xfId="51447" xr:uid="{00000000-0005-0000-0000-0000FCC80000}"/>
    <cellStyle name="Style 33 2 2 7 3" xfId="51448" xr:uid="{00000000-0005-0000-0000-0000FDC80000}"/>
    <cellStyle name="Style 33 2 2 8" xfId="51449" xr:uid="{00000000-0005-0000-0000-0000FEC80000}"/>
    <cellStyle name="Style 33 2 2 9" xfId="51450" xr:uid="{00000000-0005-0000-0000-0000FFC80000}"/>
    <cellStyle name="Style 33 2 3" xfId="51451" xr:uid="{00000000-0005-0000-0000-000000C90000}"/>
    <cellStyle name="Style 33 2 3 2" xfId="51452" xr:uid="{00000000-0005-0000-0000-000001C90000}"/>
    <cellStyle name="Style 33 2 3 2 2" xfId="51453" xr:uid="{00000000-0005-0000-0000-000002C90000}"/>
    <cellStyle name="Style 33 2 3 2 2 2" xfId="51454" xr:uid="{00000000-0005-0000-0000-000003C90000}"/>
    <cellStyle name="Style 33 2 3 2 2 3" xfId="51455" xr:uid="{00000000-0005-0000-0000-000004C90000}"/>
    <cellStyle name="Style 33 2 3 2 3" xfId="51456" xr:uid="{00000000-0005-0000-0000-000005C90000}"/>
    <cellStyle name="Style 33 2 3 2 3 2" xfId="51457" xr:uid="{00000000-0005-0000-0000-000006C90000}"/>
    <cellStyle name="Style 33 2 3 2 3 3" xfId="51458" xr:uid="{00000000-0005-0000-0000-000007C90000}"/>
    <cellStyle name="Style 33 2 3 2 4" xfId="51459" xr:uid="{00000000-0005-0000-0000-000008C90000}"/>
    <cellStyle name="Style 33 2 3 2 5" xfId="51460" xr:uid="{00000000-0005-0000-0000-000009C90000}"/>
    <cellStyle name="Style 33 2 3 2 6" xfId="51461" xr:uid="{00000000-0005-0000-0000-00000AC90000}"/>
    <cellStyle name="Style 33 2 3 3" xfId="51462" xr:uid="{00000000-0005-0000-0000-00000BC90000}"/>
    <cellStyle name="Style 33 2 3 3 2" xfId="51463" xr:uid="{00000000-0005-0000-0000-00000CC90000}"/>
    <cellStyle name="Style 33 2 3 3 3" xfId="51464" xr:uid="{00000000-0005-0000-0000-00000DC90000}"/>
    <cellStyle name="Style 33 2 3 4" xfId="51465" xr:uid="{00000000-0005-0000-0000-00000EC90000}"/>
    <cellStyle name="Style 33 2 3 4 2" xfId="51466" xr:uid="{00000000-0005-0000-0000-00000FC90000}"/>
    <cellStyle name="Style 33 2 3 4 3" xfId="51467" xr:uid="{00000000-0005-0000-0000-000010C90000}"/>
    <cellStyle name="Style 33 2 3 5" xfId="51468" xr:uid="{00000000-0005-0000-0000-000011C90000}"/>
    <cellStyle name="Style 33 2 3 5 2" xfId="51469" xr:uid="{00000000-0005-0000-0000-000012C90000}"/>
    <cellStyle name="Style 33 2 3 5 3" xfId="51470" xr:uid="{00000000-0005-0000-0000-000013C90000}"/>
    <cellStyle name="Style 33 2 3 6" xfId="51471" xr:uid="{00000000-0005-0000-0000-000014C90000}"/>
    <cellStyle name="Style 33 2 3 7" xfId="51472" xr:uid="{00000000-0005-0000-0000-000015C90000}"/>
    <cellStyle name="Style 33 2 3 8" xfId="51473" xr:uid="{00000000-0005-0000-0000-000016C90000}"/>
    <cellStyle name="Style 33 2 4" xfId="51474" xr:uid="{00000000-0005-0000-0000-000017C90000}"/>
    <cellStyle name="Style 33 2 4 2" xfId="51475" xr:uid="{00000000-0005-0000-0000-000018C90000}"/>
    <cellStyle name="Style 33 2 4 2 2" xfId="51476" xr:uid="{00000000-0005-0000-0000-000019C90000}"/>
    <cellStyle name="Style 33 2 4 2 2 2" xfId="51477" xr:uid="{00000000-0005-0000-0000-00001AC90000}"/>
    <cellStyle name="Style 33 2 4 2 2 3" xfId="51478" xr:uid="{00000000-0005-0000-0000-00001BC90000}"/>
    <cellStyle name="Style 33 2 4 2 3" xfId="51479" xr:uid="{00000000-0005-0000-0000-00001CC90000}"/>
    <cellStyle name="Style 33 2 4 2 3 2" xfId="51480" xr:uid="{00000000-0005-0000-0000-00001DC90000}"/>
    <cellStyle name="Style 33 2 4 2 3 3" xfId="51481" xr:uid="{00000000-0005-0000-0000-00001EC90000}"/>
    <cellStyle name="Style 33 2 4 2 4" xfId="51482" xr:uid="{00000000-0005-0000-0000-00001FC90000}"/>
    <cellStyle name="Style 33 2 4 2 5" xfId="51483" xr:uid="{00000000-0005-0000-0000-000020C90000}"/>
    <cellStyle name="Style 33 2 4 2 6" xfId="51484" xr:uid="{00000000-0005-0000-0000-000021C90000}"/>
    <cellStyle name="Style 33 2 4 3" xfId="51485" xr:uid="{00000000-0005-0000-0000-000022C90000}"/>
    <cellStyle name="Style 33 2 4 3 2" xfId="51486" xr:uid="{00000000-0005-0000-0000-000023C90000}"/>
    <cellStyle name="Style 33 2 4 3 3" xfId="51487" xr:uid="{00000000-0005-0000-0000-000024C90000}"/>
    <cellStyle name="Style 33 2 4 4" xfId="51488" xr:uid="{00000000-0005-0000-0000-000025C90000}"/>
    <cellStyle name="Style 33 2 4 4 2" xfId="51489" xr:uid="{00000000-0005-0000-0000-000026C90000}"/>
    <cellStyle name="Style 33 2 4 4 3" xfId="51490" xr:uid="{00000000-0005-0000-0000-000027C90000}"/>
    <cellStyle name="Style 33 2 4 5" xfId="51491" xr:uid="{00000000-0005-0000-0000-000028C90000}"/>
    <cellStyle name="Style 33 2 4 5 2" xfId="51492" xr:uid="{00000000-0005-0000-0000-000029C90000}"/>
    <cellStyle name="Style 33 2 4 5 3" xfId="51493" xr:uid="{00000000-0005-0000-0000-00002AC90000}"/>
    <cellStyle name="Style 33 2 4 6" xfId="51494" xr:uid="{00000000-0005-0000-0000-00002BC90000}"/>
    <cellStyle name="Style 33 2 4 7" xfId="51495" xr:uid="{00000000-0005-0000-0000-00002CC90000}"/>
    <cellStyle name="Style 33 2 4 8" xfId="51496" xr:uid="{00000000-0005-0000-0000-00002DC90000}"/>
    <cellStyle name="Style 33 2 5" xfId="51497" xr:uid="{00000000-0005-0000-0000-00002EC90000}"/>
    <cellStyle name="Style 33 2 5 2" xfId="51498" xr:uid="{00000000-0005-0000-0000-00002FC90000}"/>
    <cellStyle name="Style 33 2 5 2 2" xfId="51499" xr:uid="{00000000-0005-0000-0000-000030C90000}"/>
    <cellStyle name="Style 33 2 5 2 2 2" xfId="51500" xr:uid="{00000000-0005-0000-0000-000031C90000}"/>
    <cellStyle name="Style 33 2 5 2 2 3" xfId="51501" xr:uid="{00000000-0005-0000-0000-000032C90000}"/>
    <cellStyle name="Style 33 2 5 2 3" xfId="51502" xr:uid="{00000000-0005-0000-0000-000033C90000}"/>
    <cellStyle name="Style 33 2 5 2 3 2" xfId="51503" xr:uid="{00000000-0005-0000-0000-000034C90000}"/>
    <cellStyle name="Style 33 2 5 2 3 3" xfId="51504" xr:uid="{00000000-0005-0000-0000-000035C90000}"/>
    <cellStyle name="Style 33 2 5 2 4" xfId="51505" xr:uid="{00000000-0005-0000-0000-000036C90000}"/>
    <cellStyle name="Style 33 2 5 2 5" xfId="51506" xr:uid="{00000000-0005-0000-0000-000037C90000}"/>
    <cellStyle name="Style 33 2 5 2 6" xfId="51507" xr:uid="{00000000-0005-0000-0000-000038C90000}"/>
    <cellStyle name="Style 33 2 5 3" xfId="51508" xr:uid="{00000000-0005-0000-0000-000039C90000}"/>
    <cellStyle name="Style 33 2 5 3 2" xfId="51509" xr:uid="{00000000-0005-0000-0000-00003AC90000}"/>
    <cellStyle name="Style 33 2 5 3 3" xfId="51510" xr:uid="{00000000-0005-0000-0000-00003BC90000}"/>
    <cellStyle name="Style 33 2 5 4" xfId="51511" xr:uid="{00000000-0005-0000-0000-00003CC90000}"/>
    <cellStyle name="Style 33 2 5 4 2" xfId="51512" xr:uid="{00000000-0005-0000-0000-00003DC90000}"/>
    <cellStyle name="Style 33 2 5 4 3" xfId="51513" xr:uid="{00000000-0005-0000-0000-00003EC90000}"/>
    <cellStyle name="Style 33 2 5 5" xfId="51514" xr:uid="{00000000-0005-0000-0000-00003FC90000}"/>
    <cellStyle name="Style 33 2 5 5 2" xfId="51515" xr:uid="{00000000-0005-0000-0000-000040C90000}"/>
    <cellStyle name="Style 33 2 5 5 3" xfId="51516" xr:uid="{00000000-0005-0000-0000-000041C90000}"/>
    <cellStyle name="Style 33 2 5 6" xfId="51517" xr:uid="{00000000-0005-0000-0000-000042C90000}"/>
    <cellStyle name="Style 33 2 5 7" xfId="51518" xr:uid="{00000000-0005-0000-0000-000043C90000}"/>
    <cellStyle name="Style 33 2 5 8" xfId="51519" xr:uid="{00000000-0005-0000-0000-000044C90000}"/>
    <cellStyle name="Style 33 2 6" xfId="51520" xr:uid="{00000000-0005-0000-0000-000045C90000}"/>
    <cellStyle name="Style 33 2 6 2" xfId="51521" xr:uid="{00000000-0005-0000-0000-000046C90000}"/>
    <cellStyle name="Style 33 2 6 2 2" xfId="51522" xr:uid="{00000000-0005-0000-0000-000047C90000}"/>
    <cellStyle name="Style 33 2 6 2 3" xfId="51523" xr:uid="{00000000-0005-0000-0000-000048C90000}"/>
    <cellStyle name="Style 33 2 6 3" xfId="51524" xr:uid="{00000000-0005-0000-0000-000049C90000}"/>
    <cellStyle name="Style 33 2 6 3 2" xfId="51525" xr:uid="{00000000-0005-0000-0000-00004AC90000}"/>
    <cellStyle name="Style 33 2 6 3 3" xfId="51526" xr:uid="{00000000-0005-0000-0000-00004BC90000}"/>
    <cellStyle name="Style 33 2 6 4" xfId="51527" xr:uid="{00000000-0005-0000-0000-00004CC90000}"/>
    <cellStyle name="Style 33 2 6 5" xfId="51528" xr:uid="{00000000-0005-0000-0000-00004DC90000}"/>
    <cellStyle name="Style 33 2 6 6" xfId="51529" xr:uid="{00000000-0005-0000-0000-00004EC90000}"/>
    <cellStyle name="Style 33 2 7" xfId="51530" xr:uid="{00000000-0005-0000-0000-00004FC90000}"/>
    <cellStyle name="Style 33 2 7 2" xfId="51531" xr:uid="{00000000-0005-0000-0000-000050C90000}"/>
    <cellStyle name="Style 33 2 7 3" xfId="51532" xr:uid="{00000000-0005-0000-0000-000051C90000}"/>
    <cellStyle name="Style 33 2 8" xfId="51533" xr:uid="{00000000-0005-0000-0000-000052C90000}"/>
    <cellStyle name="Style 33 2 8 2" xfId="51534" xr:uid="{00000000-0005-0000-0000-000053C90000}"/>
    <cellStyle name="Style 33 2 8 3" xfId="51535" xr:uid="{00000000-0005-0000-0000-000054C90000}"/>
    <cellStyle name="Style 33 2 9" xfId="51536" xr:uid="{00000000-0005-0000-0000-000055C90000}"/>
    <cellStyle name="Style 33 2 9 2" xfId="51537" xr:uid="{00000000-0005-0000-0000-000056C90000}"/>
    <cellStyle name="Style 33 2 9 3" xfId="51538" xr:uid="{00000000-0005-0000-0000-000057C90000}"/>
    <cellStyle name="Style 33 20" xfId="51539" xr:uid="{00000000-0005-0000-0000-000058C90000}"/>
    <cellStyle name="Style 33 21" xfId="51540" xr:uid="{00000000-0005-0000-0000-000059C90000}"/>
    <cellStyle name="Style 33 22" xfId="51541" xr:uid="{00000000-0005-0000-0000-00005AC90000}"/>
    <cellStyle name="Style 33 3" xfId="51542" xr:uid="{00000000-0005-0000-0000-00005BC90000}"/>
    <cellStyle name="Style 33 3 10" xfId="51543" xr:uid="{00000000-0005-0000-0000-00005CC90000}"/>
    <cellStyle name="Style 33 3 11" xfId="51544" xr:uid="{00000000-0005-0000-0000-00005DC90000}"/>
    <cellStyle name="Style 33 3 12" xfId="51545" xr:uid="{00000000-0005-0000-0000-00005EC90000}"/>
    <cellStyle name="Style 33 3 2" xfId="51546" xr:uid="{00000000-0005-0000-0000-00005FC90000}"/>
    <cellStyle name="Style 33 3 2 10" xfId="51547" xr:uid="{00000000-0005-0000-0000-000060C90000}"/>
    <cellStyle name="Style 33 3 2 2" xfId="51548" xr:uid="{00000000-0005-0000-0000-000061C90000}"/>
    <cellStyle name="Style 33 3 2 2 2" xfId="51549" xr:uid="{00000000-0005-0000-0000-000062C90000}"/>
    <cellStyle name="Style 33 3 2 2 2 2" xfId="51550" xr:uid="{00000000-0005-0000-0000-000063C90000}"/>
    <cellStyle name="Style 33 3 2 2 2 2 2" xfId="51551" xr:uid="{00000000-0005-0000-0000-000064C90000}"/>
    <cellStyle name="Style 33 3 2 2 2 2 3" xfId="51552" xr:uid="{00000000-0005-0000-0000-000065C90000}"/>
    <cellStyle name="Style 33 3 2 2 2 3" xfId="51553" xr:uid="{00000000-0005-0000-0000-000066C90000}"/>
    <cellStyle name="Style 33 3 2 2 2 3 2" xfId="51554" xr:uid="{00000000-0005-0000-0000-000067C90000}"/>
    <cellStyle name="Style 33 3 2 2 2 3 3" xfId="51555" xr:uid="{00000000-0005-0000-0000-000068C90000}"/>
    <cellStyle name="Style 33 3 2 2 2 4" xfId="51556" xr:uid="{00000000-0005-0000-0000-000069C90000}"/>
    <cellStyle name="Style 33 3 2 2 2 5" xfId="51557" xr:uid="{00000000-0005-0000-0000-00006AC90000}"/>
    <cellStyle name="Style 33 3 2 2 2 6" xfId="51558" xr:uid="{00000000-0005-0000-0000-00006BC90000}"/>
    <cellStyle name="Style 33 3 2 2 3" xfId="51559" xr:uid="{00000000-0005-0000-0000-00006CC90000}"/>
    <cellStyle name="Style 33 3 2 2 3 2" xfId="51560" xr:uid="{00000000-0005-0000-0000-00006DC90000}"/>
    <cellStyle name="Style 33 3 2 2 3 3" xfId="51561" xr:uid="{00000000-0005-0000-0000-00006EC90000}"/>
    <cellStyle name="Style 33 3 2 2 4" xfId="51562" xr:uid="{00000000-0005-0000-0000-00006FC90000}"/>
    <cellStyle name="Style 33 3 2 2 4 2" xfId="51563" xr:uid="{00000000-0005-0000-0000-000070C90000}"/>
    <cellStyle name="Style 33 3 2 2 4 3" xfId="51564" xr:uid="{00000000-0005-0000-0000-000071C90000}"/>
    <cellStyle name="Style 33 3 2 2 5" xfId="51565" xr:uid="{00000000-0005-0000-0000-000072C90000}"/>
    <cellStyle name="Style 33 3 2 2 5 2" xfId="51566" xr:uid="{00000000-0005-0000-0000-000073C90000}"/>
    <cellStyle name="Style 33 3 2 2 5 3" xfId="51567" xr:uid="{00000000-0005-0000-0000-000074C90000}"/>
    <cellStyle name="Style 33 3 2 2 6" xfId="51568" xr:uid="{00000000-0005-0000-0000-000075C90000}"/>
    <cellStyle name="Style 33 3 2 2 7" xfId="51569" xr:uid="{00000000-0005-0000-0000-000076C90000}"/>
    <cellStyle name="Style 33 3 2 2 8" xfId="51570" xr:uid="{00000000-0005-0000-0000-000077C90000}"/>
    <cellStyle name="Style 33 3 2 3" xfId="51571" xr:uid="{00000000-0005-0000-0000-000078C90000}"/>
    <cellStyle name="Style 33 3 2 3 2" xfId="51572" xr:uid="{00000000-0005-0000-0000-000079C90000}"/>
    <cellStyle name="Style 33 3 2 3 2 2" xfId="51573" xr:uid="{00000000-0005-0000-0000-00007AC90000}"/>
    <cellStyle name="Style 33 3 2 3 2 2 2" xfId="51574" xr:uid="{00000000-0005-0000-0000-00007BC90000}"/>
    <cellStyle name="Style 33 3 2 3 2 2 3" xfId="51575" xr:uid="{00000000-0005-0000-0000-00007CC90000}"/>
    <cellStyle name="Style 33 3 2 3 2 3" xfId="51576" xr:uid="{00000000-0005-0000-0000-00007DC90000}"/>
    <cellStyle name="Style 33 3 2 3 2 3 2" xfId="51577" xr:uid="{00000000-0005-0000-0000-00007EC90000}"/>
    <cellStyle name="Style 33 3 2 3 2 3 3" xfId="51578" xr:uid="{00000000-0005-0000-0000-00007FC90000}"/>
    <cellStyle name="Style 33 3 2 3 2 4" xfId="51579" xr:uid="{00000000-0005-0000-0000-000080C90000}"/>
    <cellStyle name="Style 33 3 2 3 2 5" xfId="51580" xr:uid="{00000000-0005-0000-0000-000081C90000}"/>
    <cellStyle name="Style 33 3 2 3 2 6" xfId="51581" xr:uid="{00000000-0005-0000-0000-000082C90000}"/>
    <cellStyle name="Style 33 3 2 3 3" xfId="51582" xr:uid="{00000000-0005-0000-0000-000083C90000}"/>
    <cellStyle name="Style 33 3 2 3 3 2" xfId="51583" xr:uid="{00000000-0005-0000-0000-000084C90000}"/>
    <cellStyle name="Style 33 3 2 3 3 3" xfId="51584" xr:uid="{00000000-0005-0000-0000-000085C90000}"/>
    <cellStyle name="Style 33 3 2 3 4" xfId="51585" xr:uid="{00000000-0005-0000-0000-000086C90000}"/>
    <cellStyle name="Style 33 3 2 3 4 2" xfId="51586" xr:uid="{00000000-0005-0000-0000-000087C90000}"/>
    <cellStyle name="Style 33 3 2 3 4 3" xfId="51587" xr:uid="{00000000-0005-0000-0000-000088C90000}"/>
    <cellStyle name="Style 33 3 2 3 5" xfId="51588" xr:uid="{00000000-0005-0000-0000-000089C90000}"/>
    <cellStyle name="Style 33 3 2 3 5 2" xfId="51589" xr:uid="{00000000-0005-0000-0000-00008AC90000}"/>
    <cellStyle name="Style 33 3 2 3 5 3" xfId="51590" xr:uid="{00000000-0005-0000-0000-00008BC90000}"/>
    <cellStyle name="Style 33 3 2 3 6" xfId="51591" xr:uid="{00000000-0005-0000-0000-00008CC90000}"/>
    <cellStyle name="Style 33 3 2 3 7" xfId="51592" xr:uid="{00000000-0005-0000-0000-00008DC90000}"/>
    <cellStyle name="Style 33 3 2 3 8" xfId="51593" xr:uid="{00000000-0005-0000-0000-00008EC90000}"/>
    <cellStyle name="Style 33 3 2 4" xfId="51594" xr:uid="{00000000-0005-0000-0000-00008FC90000}"/>
    <cellStyle name="Style 33 3 2 4 2" xfId="51595" xr:uid="{00000000-0005-0000-0000-000090C90000}"/>
    <cellStyle name="Style 33 3 2 4 2 2" xfId="51596" xr:uid="{00000000-0005-0000-0000-000091C90000}"/>
    <cellStyle name="Style 33 3 2 4 2 3" xfId="51597" xr:uid="{00000000-0005-0000-0000-000092C90000}"/>
    <cellStyle name="Style 33 3 2 4 3" xfId="51598" xr:uid="{00000000-0005-0000-0000-000093C90000}"/>
    <cellStyle name="Style 33 3 2 4 3 2" xfId="51599" xr:uid="{00000000-0005-0000-0000-000094C90000}"/>
    <cellStyle name="Style 33 3 2 4 3 3" xfId="51600" xr:uid="{00000000-0005-0000-0000-000095C90000}"/>
    <cellStyle name="Style 33 3 2 4 4" xfId="51601" xr:uid="{00000000-0005-0000-0000-000096C90000}"/>
    <cellStyle name="Style 33 3 2 4 5" xfId="51602" xr:uid="{00000000-0005-0000-0000-000097C90000}"/>
    <cellStyle name="Style 33 3 2 4 6" xfId="51603" xr:uid="{00000000-0005-0000-0000-000098C90000}"/>
    <cellStyle name="Style 33 3 2 5" xfId="51604" xr:uid="{00000000-0005-0000-0000-000099C90000}"/>
    <cellStyle name="Style 33 3 2 5 2" xfId="51605" xr:uid="{00000000-0005-0000-0000-00009AC90000}"/>
    <cellStyle name="Style 33 3 2 5 3" xfId="51606" xr:uid="{00000000-0005-0000-0000-00009BC90000}"/>
    <cellStyle name="Style 33 3 2 6" xfId="51607" xr:uid="{00000000-0005-0000-0000-00009CC90000}"/>
    <cellStyle name="Style 33 3 2 6 2" xfId="51608" xr:uid="{00000000-0005-0000-0000-00009DC90000}"/>
    <cellStyle name="Style 33 3 2 6 3" xfId="51609" xr:uid="{00000000-0005-0000-0000-00009EC90000}"/>
    <cellStyle name="Style 33 3 2 7" xfId="51610" xr:uid="{00000000-0005-0000-0000-00009FC90000}"/>
    <cellStyle name="Style 33 3 2 7 2" xfId="51611" xr:uid="{00000000-0005-0000-0000-0000A0C90000}"/>
    <cellStyle name="Style 33 3 2 7 3" xfId="51612" xr:uid="{00000000-0005-0000-0000-0000A1C90000}"/>
    <cellStyle name="Style 33 3 2 8" xfId="51613" xr:uid="{00000000-0005-0000-0000-0000A2C90000}"/>
    <cellStyle name="Style 33 3 2 9" xfId="51614" xr:uid="{00000000-0005-0000-0000-0000A3C90000}"/>
    <cellStyle name="Style 33 3 3" xfId="51615" xr:uid="{00000000-0005-0000-0000-0000A4C90000}"/>
    <cellStyle name="Style 33 3 3 2" xfId="51616" xr:uid="{00000000-0005-0000-0000-0000A5C90000}"/>
    <cellStyle name="Style 33 3 3 2 2" xfId="51617" xr:uid="{00000000-0005-0000-0000-0000A6C90000}"/>
    <cellStyle name="Style 33 3 3 2 2 2" xfId="51618" xr:uid="{00000000-0005-0000-0000-0000A7C90000}"/>
    <cellStyle name="Style 33 3 3 2 2 3" xfId="51619" xr:uid="{00000000-0005-0000-0000-0000A8C90000}"/>
    <cellStyle name="Style 33 3 3 2 3" xfId="51620" xr:uid="{00000000-0005-0000-0000-0000A9C90000}"/>
    <cellStyle name="Style 33 3 3 2 3 2" xfId="51621" xr:uid="{00000000-0005-0000-0000-0000AAC90000}"/>
    <cellStyle name="Style 33 3 3 2 3 3" xfId="51622" xr:uid="{00000000-0005-0000-0000-0000ABC90000}"/>
    <cellStyle name="Style 33 3 3 2 4" xfId="51623" xr:uid="{00000000-0005-0000-0000-0000ACC90000}"/>
    <cellStyle name="Style 33 3 3 2 5" xfId="51624" xr:uid="{00000000-0005-0000-0000-0000ADC90000}"/>
    <cellStyle name="Style 33 3 3 2 6" xfId="51625" xr:uid="{00000000-0005-0000-0000-0000AEC90000}"/>
    <cellStyle name="Style 33 3 3 3" xfId="51626" xr:uid="{00000000-0005-0000-0000-0000AFC90000}"/>
    <cellStyle name="Style 33 3 3 3 2" xfId="51627" xr:uid="{00000000-0005-0000-0000-0000B0C90000}"/>
    <cellStyle name="Style 33 3 3 3 3" xfId="51628" xr:uid="{00000000-0005-0000-0000-0000B1C90000}"/>
    <cellStyle name="Style 33 3 3 4" xfId="51629" xr:uid="{00000000-0005-0000-0000-0000B2C90000}"/>
    <cellStyle name="Style 33 3 3 4 2" xfId="51630" xr:uid="{00000000-0005-0000-0000-0000B3C90000}"/>
    <cellStyle name="Style 33 3 3 4 3" xfId="51631" xr:uid="{00000000-0005-0000-0000-0000B4C90000}"/>
    <cellStyle name="Style 33 3 3 5" xfId="51632" xr:uid="{00000000-0005-0000-0000-0000B5C90000}"/>
    <cellStyle name="Style 33 3 3 5 2" xfId="51633" xr:uid="{00000000-0005-0000-0000-0000B6C90000}"/>
    <cellStyle name="Style 33 3 3 5 3" xfId="51634" xr:uid="{00000000-0005-0000-0000-0000B7C90000}"/>
    <cellStyle name="Style 33 3 3 6" xfId="51635" xr:uid="{00000000-0005-0000-0000-0000B8C90000}"/>
    <cellStyle name="Style 33 3 3 7" xfId="51636" xr:uid="{00000000-0005-0000-0000-0000B9C90000}"/>
    <cellStyle name="Style 33 3 3 8" xfId="51637" xr:uid="{00000000-0005-0000-0000-0000BAC90000}"/>
    <cellStyle name="Style 33 3 4" xfId="51638" xr:uid="{00000000-0005-0000-0000-0000BBC90000}"/>
    <cellStyle name="Style 33 3 4 2" xfId="51639" xr:uid="{00000000-0005-0000-0000-0000BCC90000}"/>
    <cellStyle name="Style 33 3 4 2 2" xfId="51640" xr:uid="{00000000-0005-0000-0000-0000BDC90000}"/>
    <cellStyle name="Style 33 3 4 2 2 2" xfId="51641" xr:uid="{00000000-0005-0000-0000-0000BEC90000}"/>
    <cellStyle name="Style 33 3 4 2 2 3" xfId="51642" xr:uid="{00000000-0005-0000-0000-0000BFC90000}"/>
    <cellStyle name="Style 33 3 4 2 3" xfId="51643" xr:uid="{00000000-0005-0000-0000-0000C0C90000}"/>
    <cellStyle name="Style 33 3 4 2 3 2" xfId="51644" xr:uid="{00000000-0005-0000-0000-0000C1C90000}"/>
    <cellStyle name="Style 33 3 4 2 3 3" xfId="51645" xr:uid="{00000000-0005-0000-0000-0000C2C90000}"/>
    <cellStyle name="Style 33 3 4 2 4" xfId="51646" xr:uid="{00000000-0005-0000-0000-0000C3C90000}"/>
    <cellStyle name="Style 33 3 4 2 5" xfId="51647" xr:uid="{00000000-0005-0000-0000-0000C4C90000}"/>
    <cellStyle name="Style 33 3 4 2 6" xfId="51648" xr:uid="{00000000-0005-0000-0000-0000C5C90000}"/>
    <cellStyle name="Style 33 3 4 3" xfId="51649" xr:uid="{00000000-0005-0000-0000-0000C6C90000}"/>
    <cellStyle name="Style 33 3 4 3 2" xfId="51650" xr:uid="{00000000-0005-0000-0000-0000C7C90000}"/>
    <cellStyle name="Style 33 3 4 3 3" xfId="51651" xr:uid="{00000000-0005-0000-0000-0000C8C90000}"/>
    <cellStyle name="Style 33 3 4 4" xfId="51652" xr:uid="{00000000-0005-0000-0000-0000C9C90000}"/>
    <cellStyle name="Style 33 3 4 4 2" xfId="51653" xr:uid="{00000000-0005-0000-0000-0000CAC90000}"/>
    <cellStyle name="Style 33 3 4 4 3" xfId="51654" xr:uid="{00000000-0005-0000-0000-0000CBC90000}"/>
    <cellStyle name="Style 33 3 4 5" xfId="51655" xr:uid="{00000000-0005-0000-0000-0000CCC90000}"/>
    <cellStyle name="Style 33 3 4 5 2" xfId="51656" xr:uid="{00000000-0005-0000-0000-0000CDC90000}"/>
    <cellStyle name="Style 33 3 4 5 3" xfId="51657" xr:uid="{00000000-0005-0000-0000-0000CEC90000}"/>
    <cellStyle name="Style 33 3 4 6" xfId="51658" xr:uid="{00000000-0005-0000-0000-0000CFC90000}"/>
    <cellStyle name="Style 33 3 4 7" xfId="51659" xr:uid="{00000000-0005-0000-0000-0000D0C90000}"/>
    <cellStyle name="Style 33 3 4 8" xfId="51660" xr:uid="{00000000-0005-0000-0000-0000D1C90000}"/>
    <cellStyle name="Style 33 3 5" xfId="51661" xr:uid="{00000000-0005-0000-0000-0000D2C90000}"/>
    <cellStyle name="Style 33 3 5 2" xfId="51662" xr:uid="{00000000-0005-0000-0000-0000D3C90000}"/>
    <cellStyle name="Style 33 3 5 2 2" xfId="51663" xr:uid="{00000000-0005-0000-0000-0000D4C90000}"/>
    <cellStyle name="Style 33 3 5 2 2 2" xfId="51664" xr:uid="{00000000-0005-0000-0000-0000D5C90000}"/>
    <cellStyle name="Style 33 3 5 2 2 3" xfId="51665" xr:uid="{00000000-0005-0000-0000-0000D6C90000}"/>
    <cellStyle name="Style 33 3 5 2 3" xfId="51666" xr:uid="{00000000-0005-0000-0000-0000D7C90000}"/>
    <cellStyle name="Style 33 3 5 2 3 2" xfId="51667" xr:uid="{00000000-0005-0000-0000-0000D8C90000}"/>
    <cellStyle name="Style 33 3 5 2 3 3" xfId="51668" xr:uid="{00000000-0005-0000-0000-0000D9C90000}"/>
    <cellStyle name="Style 33 3 5 2 4" xfId="51669" xr:uid="{00000000-0005-0000-0000-0000DAC90000}"/>
    <cellStyle name="Style 33 3 5 2 5" xfId="51670" xr:uid="{00000000-0005-0000-0000-0000DBC90000}"/>
    <cellStyle name="Style 33 3 5 2 6" xfId="51671" xr:uid="{00000000-0005-0000-0000-0000DCC90000}"/>
    <cellStyle name="Style 33 3 5 3" xfId="51672" xr:uid="{00000000-0005-0000-0000-0000DDC90000}"/>
    <cellStyle name="Style 33 3 5 3 2" xfId="51673" xr:uid="{00000000-0005-0000-0000-0000DEC90000}"/>
    <cellStyle name="Style 33 3 5 3 3" xfId="51674" xr:uid="{00000000-0005-0000-0000-0000DFC90000}"/>
    <cellStyle name="Style 33 3 5 4" xfId="51675" xr:uid="{00000000-0005-0000-0000-0000E0C90000}"/>
    <cellStyle name="Style 33 3 5 4 2" xfId="51676" xr:uid="{00000000-0005-0000-0000-0000E1C90000}"/>
    <cellStyle name="Style 33 3 5 4 3" xfId="51677" xr:uid="{00000000-0005-0000-0000-0000E2C90000}"/>
    <cellStyle name="Style 33 3 5 5" xfId="51678" xr:uid="{00000000-0005-0000-0000-0000E3C90000}"/>
    <cellStyle name="Style 33 3 5 5 2" xfId="51679" xr:uid="{00000000-0005-0000-0000-0000E4C90000}"/>
    <cellStyle name="Style 33 3 5 5 3" xfId="51680" xr:uid="{00000000-0005-0000-0000-0000E5C90000}"/>
    <cellStyle name="Style 33 3 5 6" xfId="51681" xr:uid="{00000000-0005-0000-0000-0000E6C90000}"/>
    <cellStyle name="Style 33 3 5 7" xfId="51682" xr:uid="{00000000-0005-0000-0000-0000E7C90000}"/>
    <cellStyle name="Style 33 3 5 8" xfId="51683" xr:uid="{00000000-0005-0000-0000-0000E8C90000}"/>
    <cellStyle name="Style 33 3 6" xfId="51684" xr:uid="{00000000-0005-0000-0000-0000E9C90000}"/>
    <cellStyle name="Style 33 3 6 2" xfId="51685" xr:uid="{00000000-0005-0000-0000-0000EAC90000}"/>
    <cellStyle name="Style 33 3 6 2 2" xfId="51686" xr:uid="{00000000-0005-0000-0000-0000EBC90000}"/>
    <cellStyle name="Style 33 3 6 2 3" xfId="51687" xr:uid="{00000000-0005-0000-0000-0000ECC90000}"/>
    <cellStyle name="Style 33 3 6 3" xfId="51688" xr:uid="{00000000-0005-0000-0000-0000EDC90000}"/>
    <cellStyle name="Style 33 3 6 3 2" xfId="51689" xr:uid="{00000000-0005-0000-0000-0000EEC90000}"/>
    <cellStyle name="Style 33 3 6 3 3" xfId="51690" xr:uid="{00000000-0005-0000-0000-0000EFC90000}"/>
    <cellStyle name="Style 33 3 6 4" xfId="51691" xr:uid="{00000000-0005-0000-0000-0000F0C90000}"/>
    <cellStyle name="Style 33 3 6 5" xfId="51692" xr:uid="{00000000-0005-0000-0000-0000F1C90000}"/>
    <cellStyle name="Style 33 3 6 6" xfId="51693" xr:uid="{00000000-0005-0000-0000-0000F2C90000}"/>
    <cellStyle name="Style 33 3 7" xfId="51694" xr:uid="{00000000-0005-0000-0000-0000F3C90000}"/>
    <cellStyle name="Style 33 3 7 2" xfId="51695" xr:uid="{00000000-0005-0000-0000-0000F4C90000}"/>
    <cellStyle name="Style 33 3 7 3" xfId="51696" xr:uid="{00000000-0005-0000-0000-0000F5C90000}"/>
    <cellStyle name="Style 33 3 8" xfId="51697" xr:uid="{00000000-0005-0000-0000-0000F6C90000}"/>
    <cellStyle name="Style 33 3 8 2" xfId="51698" xr:uid="{00000000-0005-0000-0000-0000F7C90000}"/>
    <cellStyle name="Style 33 3 8 3" xfId="51699" xr:uid="{00000000-0005-0000-0000-0000F8C90000}"/>
    <cellStyle name="Style 33 3 9" xfId="51700" xr:uid="{00000000-0005-0000-0000-0000F9C90000}"/>
    <cellStyle name="Style 33 3 9 2" xfId="51701" xr:uid="{00000000-0005-0000-0000-0000FAC90000}"/>
    <cellStyle name="Style 33 3 9 3" xfId="51702" xr:uid="{00000000-0005-0000-0000-0000FBC90000}"/>
    <cellStyle name="Style 33 4" xfId="51703" xr:uid="{00000000-0005-0000-0000-0000FCC90000}"/>
    <cellStyle name="Style 33 4 10" xfId="51704" xr:uid="{00000000-0005-0000-0000-0000FDC90000}"/>
    <cellStyle name="Style 33 4 11" xfId="51705" xr:uid="{00000000-0005-0000-0000-0000FEC90000}"/>
    <cellStyle name="Style 33 4 12" xfId="51706" xr:uid="{00000000-0005-0000-0000-0000FFC90000}"/>
    <cellStyle name="Style 33 4 2" xfId="51707" xr:uid="{00000000-0005-0000-0000-000000CA0000}"/>
    <cellStyle name="Style 33 4 2 10" xfId="51708" xr:uid="{00000000-0005-0000-0000-000001CA0000}"/>
    <cellStyle name="Style 33 4 2 2" xfId="51709" xr:uid="{00000000-0005-0000-0000-000002CA0000}"/>
    <cellStyle name="Style 33 4 2 2 2" xfId="51710" xr:uid="{00000000-0005-0000-0000-000003CA0000}"/>
    <cellStyle name="Style 33 4 2 2 2 2" xfId="51711" xr:uid="{00000000-0005-0000-0000-000004CA0000}"/>
    <cellStyle name="Style 33 4 2 2 2 2 2" xfId="51712" xr:uid="{00000000-0005-0000-0000-000005CA0000}"/>
    <cellStyle name="Style 33 4 2 2 2 2 3" xfId="51713" xr:uid="{00000000-0005-0000-0000-000006CA0000}"/>
    <cellStyle name="Style 33 4 2 2 2 3" xfId="51714" xr:uid="{00000000-0005-0000-0000-000007CA0000}"/>
    <cellStyle name="Style 33 4 2 2 2 3 2" xfId="51715" xr:uid="{00000000-0005-0000-0000-000008CA0000}"/>
    <cellStyle name="Style 33 4 2 2 2 3 3" xfId="51716" xr:uid="{00000000-0005-0000-0000-000009CA0000}"/>
    <cellStyle name="Style 33 4 2 2 2 4" xfId="51717" xr:uid="{00000000-0005-0000-0000-00000ACA0000}"/>
    <cellStyle name="Style 33 4 2 2 2 5" xfId="51718" xr:uid="{00000000-0005-0000-0000-00000BCA0000}"/>
    <cellStyle name="Style 33 4 2 2 2 6" xfId="51719" xr:uid="{00000000-0005-0000-0000-00000CCA0000}"/>
    <cellStyle name="Style 33 4 2 2 3" xfId="51720" xr:uid="{00000000-0005-0000-0000-00000DCA0000}"/>
    <cellStyle name="Style 33 4 2 2 3 2" xfId="51721" xr:uid="{00000000-0005-0000-0000-00000ECA0000}"/>
    <cellStyle name="Style 33 4 2 2 3 3" xfId="51722" xr:uid="{00000000-0005-0000-0000-00000FCA0000}"/>
    <cellStyle name="Style 33 4 2 2 4" xfId="51723" xr:uid="{00000000-0005-0000-0000-000010CA0000}"/>
    <cellStyle name="Style 33 4 2 2 4 2" xfId="51724" xr:uid="{00000000-0005-0000-0000-000011CA0000}"/>
    <cellStyle name="Style 33 4 2 2 4 3" xfId="51725" xr:uid="{00000000-0005-0000-0000-000012CA0000}"/>
    <cellStyle name="Style 33 4 2 2 5" xfId="51726" xr:uid="{00000000-0005-0000-0000-000013CA0000}"/>
    <cellStyle name="Style 33 4 2 2 5 2" xfId="51727" xr:uid="{00000000-0005-0000-0000-000014CA0000}"/>
    <cellStyle name="Style 33 4 2 2 5 3" xfId="51728" xr:uid="{00000000-0005-0000-0000-000015CA0000}"/>
    <cellStyle name="Style 33 4 2 2 6" xfId="51729" xr:uid="{00000000-0005-0000-0000-000016CA0000}"/>
    <cellStyle name="Style 33 4 2 2 7" xfId="51730" xr:uid="{00000000-0005-0000-0000-000017CA0000}"/>
    <cellStyle name="Style 33 4 2 2 8" xfId="51731" xr:uid="{00000000-0005-0000-0000-000018CA0000}"/>
    <cellStyle name="Style 33 4 2 3" xfId="51732" xr:uid="{00000000-0005-0000-0000-000019CA0000}"/>
    <cellStyle name="Style 33 4 2 3 2" xfId="51733" xr:uid="{00000000-0005-0000-0000-00001ACA0000}"/>
    <cellStyle name="Style 33 4 2 3 2 2" xfId="51734" xr:uid="{00000000-0005-0000-0000-00001BCA0000}"/>
    <cellStyle name="Style 33 4 2 3 2 2 2" xfId="51735" xr:uid="{00000000-0005-0000-0000-00001CCA0000}"/>
    <cellStyle name="Style 33 4 2 3 2 2 3" xfId="51736" xr:uid="{00000000-0005-0000-0000-00001DCA0000}"/>
    <cellStyle name="Style 33 4 2 3 2 3" xfId="51737" xr:uid="{00000000-0005-0000-0000-00001ECA0000}"/>
    <cellStyle name="Style 33 4 2 3 2 3 2" xfId="51738" xr:uid="{00000000-0005-0000-0000-00001FCA0000}"/>
    <cellStyle name="Style 33 4 2 3 2 3 3" xfId="51739" xr:uid="{00000000-0005-0000-0000-000020CA0000}"/>
    <cellStyle name="Style 33 4 2 3 2 4" xfId="51740" xr:uid="{00000000-0005-0000-0000-000021CA0000}"/>
    <cellStyle name="Style 33 4 2 3 2 5" xfId="51741" xr:uid="{00000000-0005-0000-0000-000022CA0000}"/>
    <cellStyle name="Style 33 4 2 3 2 6" xfId="51742" xr:uid="{00000000-0005-0000-0000-000023CA0000}"/>
    <cellStyle name="Style 33 4 2 3 3" xfId="51743" xr:uid="{00000000-0005-0000-0000-000024CA0000}"/>
    <cellStyle name="Style 33 4 2 3 3 2" xfId="51744" xr:uid="{00000000-0005-0000-0000-000025CA0000}"/>
    <cellStyle name="Style 33 4 2 3 3 3" xfId="51745" xr:uid="{00000000-0005-0000-0000-000026CA0000}"/>
    <cellStyle name="Style 33 4 2 3 4" xfId="51746" xr:uid="{00000000-0005-0000-0000-000027CA0000}"/>
    <cellStyle name="Style 33 4 2 3 4 2" xfId="51747" xr:uid="{00000000-0005-0000-0000-000028CA0000}"/>
    <cellStyle name="Style 33 4 2 3 4 3" xfId="51748" xr:uid="{00000000-0005-0000-0000-000029CA0000}"/>
    <cellStyle name="Style 33 4 2 3 5" xfId="51749" xr:uid="{00000000-0005-0000-0000-00002ACA0000}"/>
    <cellStyle name="Style 33 4 2 3 5 2" xfId="51750" xr:uid="{00000000-0005-0000-0000-00002BCA0000}"/>
    <cellStyle name="Style 33 4 2 3 5 3" xfId="51751" xr:uid="{00000000-0005-0000-0000-00002CCA0000}"/>
    <cellStyle name="Style 33 4 2 3 6" xfId="51752" xr:uid="{00000000-0005-0000-0000-00002DCA0000}"/>
    <cellStyle name="Style 33 4 2 3 7" xfId="51753" xr:uid="{00000000-0005-0000-0000-00002ECA0000}"/>
    <cellStyle name="Style 33 4 2 3 8" xfId="51754" xr:uid="{00000000-0005-0000-0000-00002FCA0000}"/>
    <cellStyle name="Style 33 4 2 4" xfId="51755" xr:uid="{00000000-0005-0000-0000-000030CA0000}"/>
    <cellStyle name="Style 33 4 2 4 2" xfId="51756" xr:uid="{00000000-0005-0000-0000-000031CA0000}"/>
    <cellStyle name="Style 33 4 2 4 2 2" xfId="51757" xr:uid="{00000000-0005-0000-0000-000032CA0000}"/>
    <cellStyle name="Style 33 4 2 4 2 3" xfId="51758" xr:uid="{00000000-0005-0000-0000-000033CA0000}"/>
    <cellStyle name="Style 33 4 2 4 3" xfId="51759" xr:uid="{00000000-0005-0000-0000-000034CA0000}"/>
    <cellStyle name="Style 33 4 2 4 3 2" xfId="51760" xr:uid="{00000000-0005-0000-0000-000035CA0000}"/>
    <cellStyle name="Style 33 4 2 4 3 3" xfId="51761" xr:uid="{00000000-0005-0000-0000-000036CA0000}"/>
    <cellStyle name="Style 33 4 2 4 4" xfId="51762" xr:uid="{00000000-0005-0000-0000-000037CA0000}"/>
    <cellStyle name="Style 33 4 2 4 5" xfId="51763" xr:uid="{00000000-0005-0000-0000-000038CA0000}"/>
    <cellStyle name="Style 33 4 2 4 6" xfId="51764" xr:uid="{00000000-0005-0000-0000-000039CA0000}"/>
    <cellStyle name="Style 33 4 2 5" xfId="51765" xr:uid="{00000000-0005-0000-0000-00003ACA0000}"/>
    <cellStyle name="Style 33 4 2 5 2" xfId="51766" xr:uid="{00000000-0005-0000-0000-00003BCA0000}"/>
    <cellStyle name="Style 33 4 2 5 3" xfId="51767" xr:uid="{00000000-0005-0000-0000-00003CCA0000}"/>
    <cellStyle name="Style 33 4 2 6" xfId="51768" xr:uid="{00000000-0005-0000-0000-00003DCA0000}"/>
    <cellStyle name="Style 33 4 2 6 2" xfId="51769" xr:uid="{00000000-0005-0000-0000-00003ECA0000}"/>
    <cellStyle name="Style 33 4 2 6 3" xfId="51770" xr:uid="{00000000-0005-0000-0000-00003FCA0000}"/>
    <cellStyle name="Style 33 4 2 7" xfId="51771" xr:uid="{00000000-0005-0000-0000-000040CA0000}"/>
    <cellStyle name="Style 33 4 2 7 2" xfId="51772" xr:uid="{00000000-0005-0000-0000-000041CA0000}"/>
    <cellStyle name="Style 33 4 2 7 3" xfId="51773" xr:uid="{00000000-0005-0000-0000-000042CA0000}"/>
    <cellStyle name="Style 33 4 2 8" xfId="51774" xr:uid="{00000000-0005-0000-0000-000043CA0000}"/>
    <cellStyle name="Style 33 4 2 9" xfId="51775" xr:uid="{00000000-0005-0000-0000-000044CA0000}"/>
    <cellStyle name="Style 33 4 3" xfId="51776" xr:uid="{00000000-0005-0000-0000-000045CA0000}"/>
    <cellStyle name="Style 33 4 3 2" xfId="51777" xr:uid="{00000000-0005-0000-0000-000046CA0000}"/>
    <cellStyle name="Style 33 4 3 2 2" xfId="51778" xr:uid="{00000000-0005-0000-0000-000047CA0000}"/>
    <cellStyle name="Style 33 4 3 2 2 2" xfId="51779" xr:uid="{00000000-0005-0000-0000-000048CA0000}"/>
    <cellStyle name="Style 33 4 3 2 2 3" xfId="51780" xr:uid="{00000000-0005-0000-0000-000049CA0000}"/>
    <cellStyle name="Style 33 4 3 2 3" xfId="51781" xr:uid="{00000000-0005-0000-0000-00004ACA0000}"/>
    <cellStyle name="Style 33 4 3 2 3 2" xfId="51782" xr:uid="{00000000-0005-0000-0000-00004BCA0000}"/>
    <cellStyle name="Style 33 4 3 2 3 3" xfId="51783" xr:uid="{00000000-0005-0000-0000-00004CCA0000}"/>
    <cellStyle name="Style 33 4 3 2 4" xfId="51784" xr:uid="{00000000-0005-0000-0000-00004DCA0000}"/>
    <cellStyle name="Style 33 4 3 2 5" xfId="51785" xr:uid="{00000000-0005-0000-0000-00004ECA0000}"/>
    <cellStyle name="Style 33 4 3 2 6" xfId="51786" xr:uid="{00000000-0005-0000-0000-00004FCA0000}"/>
    <cellStyle name="Style 33 4 3 3" xfId="51787" xr:uid="{00000000-0005-0000-0000-000050CA0000}"/>
    <cellStyle name="Style 33 4 3 3 2" xfId="51788" xr:uid="{00000000-0005-0000-0000-000051CA0000}"/>
    <cellStyle name="Style 33 4 3 3 3" xfId="51789" xr:uid="{00000000-0005-0000-0000-000052CA0000}"/>
    <cellStyle name="Style 33 4 3 4" xfId="51790" xr:uid="{00000000-0005-0000-0000-000053CA0000}"/>
    <cellStyle name="Style 33 4 3 4 2" xfId="51791" xr:uid="{00000000-0005-0000-0000-000054CA0000}"/>
    <cellStyle name="Style 33 4 3 4 3" xfId="51792" xr:uid="{00000000-0005-0000-0000-000055CA0000}"/>
    <cellStyle name="Style 33 4 3 5" xfId="51793" xr:uid="{00000000-0005-0000-0000-000056CA0000}"/>
    <cellStyle name="Style 33 4 3 5 2" xfId="51794" xr:uid="{00000000-0005-0000-0000-000057CA0000}"/>
    <cellStyle name="Style 33 4 3 5 3" xfId="51795" xr:uid="{00000000-0005-0000-0000-000058CA0000}"/>
    <cellStyle name="Style 33 4 3 6" xfId="51796" xr:uid="{00000000-0005-0000-0000-000059CA0000}"/>
    <cellStyle name="Style 33 4 3 7" xfId="51797" xr:uid="{00000000-0005-0000-0000-00005ACA0000}"/>
    <cellStyle name="Style 33 4 3 8" xfId="51798" xr:uid="{00000000-0005-0000-0000-00005BCA0000}"/>
    <cellStyle name="Style 33 4 4" xfId="51799" xr:uid="{00000000-0005-0000-0000-00005CCA0000}"/>
    <cellStyle name="Style 33 4 4 2" xfId="51800" xr:uid="{00000000-0005-0000-0000-00005DCA0000}"/>
    <cellStyle name="Style 33 4 4 2 2" xfId="51801" xr:uid="{00000000-0005-0000-0000-00005ECA0000}"/>
    <cellStyle name="Style 33 4 4 2 2 2" xfId="51802" xr:uid="{00000000-0005-0000-0000-00005FCA0000}"/>
    <cellStyle name="Style 33 4 4 2 2 3" xfId="51803" xr:uid="{00000000-0005-0000-0000-000060CA0000}"/>
    <cellStyle name="Style 33 4 4 2 3" xfId="51804" xr:uid="{00000000-0005-0000-0000-000061CA0000}"/>
    <cellStyle name="Style 33 4 4 2 3 2" xfId="51805" xr:uid="{00000000-0005-0000-0000-000062CA0000}"/>
    <cellStyle name="Style 33 4 4 2 3 3" xfId="51806" xr:uid="{00000000-0005-0000-0000-000063CA0000}"/>
    <cellStyle name="Style 33 4 4 2 4" xfId="51807" xr:uid="{00000000-0005-0000-0000-000064CA0000}"/>
    <cellStyle name="Style 33 4 4 2 5" xfId="51808" xr:uid="{00000000-0005-0000-0000-000065CA0000}"/>
    <cellStyle name="Style 33 4 4 2 6" xfId="51809" xr:uid="{00000000-0005-0000-0000-000066CA0000}"/>
    <cellStyle name="Style 33 4 4 3" xfId="51810" xr:uid="{00000000-0005-0000-0000-000067CA0000}"/>
    <cellStyle name="Style 33 4 4 3 2" xfId="51811" xr:uid="{00000000-0005-0000-0000-000068CA0000}"/>
    <cellStyle name="Style 33 4 4 3 3" xfId="51812" xr:uid="{00000000-0005-0000-0000-000069CA0000}"/>
    <cellStyle name="Style 33 4 4 4" xfId="51813" xr:uid="{00000000-0005-0000-0000-00006ACA0000}"/>
    <cellStyle name="Style 33 4 4 4 2" xfId="51814" xr:uid="{00000000-0005-0000-0000-00006BCA0000}"/>
    <cellStyle name="Style 33 4 4 4 3" xfId="51815" xr:uid="{00000000-0005-0000-0000-00006CCA0000}"/>
    <cellStyle name="Style 33 4 4 5" xfId="51816" xr:uid="{00000000-0005-0000-0000-00006DCA0000}"/>
    <cellStyle name="Style 33 4 4 5 2" xfId="51817" xr:uid="{00000000-0005-0000-0000-00006ECA0000}"/>
    <cellStyle name="Style 33 4 4 5 3" xfId="51818" xr:uid="{00000000-0005-0000-0000-00006FCA0000}"/>
    <cellStyle name="Style 33 4 4 6" xfId="51819" xr:uid="{00000000-0005-0000-0000-000070CA0000}"/>
    <cellStyle name="Style 33 4 4 7" xfId="51820" xr:uid="{00000000-0005-0000-0000-000071CA0000}"/>
    <cellStyle name="Style 33 4 4 8" xfId="51821" xr:uid="{00000000-0005-0000-0000-000072CA0000}"/>
    <cellStyle name="Style 33 4 5" xfId="51822" xr:uid="{00000000-0005-0000-0000-000073CA0000}"/>
    <cellStyle name="Style 33 4 5 2" xfId="51823" xr:uid="{00000000-0005-0000-0000-000074CA0000}"/>
    <cellStyle name="Style 33 4 5 2 2" xfId="51824" xr:uid="{00000000-0005-0000-0000-000075CA0000}"/>
    <cellStyle name="Style 33 4 5 2 2 2" xfId="51825" xr:uid="{00000000-0005-0000-0000-000076CA0000}"/>
    <cellStyle name="Style 33 4 5 2 2 3" xfId="51826" xr:uid="{00000000-0005-0000-0000-000077CA0000}"/>
    <cellStyle name="Style 33 4 5 2 3" xfId="51827" xr:uid="{00000000-0005-0000-0000-000078CA0000}"/>
    <cellStyle name="Style 33 4 5 2 3 2" xfId="51828" xr:uid="{00000000-0005-0000-0000-000079CA0000}"/>
    <cellStyle name="Style 33 4 5 2 3 3" xfId="51829" xr:uid="{00000000-0005-0000-0000-00007ACA0000}"/>
    <cellStyle name="Style 33 4 5 2 4" xfId="51830" xr:uid="{00000000-0005-0000-0000-00007BCA0000}"/>
    <cellStyle name="Style 33 4 5 2 5" xfId="51831" xr:uid="{00000000-0005-0000-0000-00007CCA0000}"/>
    <cellStyle name="Style 33 4 5 2 6" xfId="51832" xr:uid="{00000000-0005-0000-0000-00007DCA0000}"/>
    <cellStyle name="Style 33 4 5 3" xfId="51833" xr:uid="{00000000-0005-0000-0000-00007ECA0000}"/>
    <cellStyle name="Style 33 4 5 3 2" xfId="51834" xr:uid="{00000000-0005-0000-0000-00007FCA0000}"/>
    <cellStyle name="Style 33 4 5 3 3" xfId="51835" xr:uid="{00000000-0005-0000-0000-000080CA0000}"/>
    <cellStyle name="Style 33 4 5 4" xfId="51836" xr:uid="{00000000-0005-0000-0000-000081CA0000}"/>
    <cellStyle name="Style 33 4 5 4 2" xfId="51837" xr:uid="{00000000-0005-0000-0000-000082CA0000}"/>
    <cellStyle name="Style 33 4 5 4 3" xfId="51838" xr:uid="{00000000-0005-0000-0000-000083CA0000}"/>
    <cellStyle name="Style 33 4 5 5" xfId="51839" xr:uid="{00000000-0005-0000-0000-000084CA0000}"/>
    <cellStyle name="Style 33 4 5 5 2" xfId="51840" xr:uid="{00000000-0005-0000-0000-000085CA0000}"/>
    <cellStyle name="Style 33 4 5 5 3" xfId="51841" xr:uid="{00000000-0005-0000-0000-000086CA0000}"/>
    <cellStyle name="Style 33 4 5 6" xfId="51842" xr:uid="{00000000-0005-0000-0000-000087CA0000}"/>
    <cellStyle name="Style 33 4 5 7" xfId="51843" xr:uid="{00000000-0005-0000-0000-000088CA0000}"/>
    <cellStyle name="Style 33 4 5 8" xfId="51844" xr:uid="{00000000-0005-0000-0000-000089CA0000}"/>
    <cellStyle name="Style 33 4 6" xfId="51845" xr:uid="{00000000-0005-0000-0000-00008ACA0000}"/>
    <cellStyle name="Style 33 4 6 2" xfId="51846" xr:uid="{00000000-0005-0000-0000-00008BCA0000}"/>
    <cellStyle name="Style 33 4 6 2 2" xfId="51847" xr:uid="{00000000-0005-0000-0000-00008CCA0000}"/>
    <cellStyle name="Style 33 4 6 2 3" xfId="51848" xr:uid="{00000000-0005-0000-0000-00008DCA0000}"/>
    <cellStyle name="Style 33 4 6 3" xfId="51849" xr:uid="{00000000-0005-0000-0000-00008ECA0000}"/>
    <cellStyle name="Style 33 4 6 3 2" xfId="51850" xr:uid="{00000000-0005-0000-0000-00008FCA0000}"/>
    <cellStyle name="Style 33 4 6 3 3" xfId="51851" xr:uid="{00000000-0005-0000-0000-000090CA0000}"/>
    <cellStyle name="Style 33 4 6 4" xfId="51852" xr:uid="{00000000-0005-0000-0000-000091CA0000}"/>
    <cellStyle name="Style 33 4 6 5" xfId="51853" xr:uid="{00000000-0005-0000-0000-000092CA0000}"/>
    <cellStyle name="Style 33 4 6 6" xfId="51854" xr:uid="{00000000-0005-0000-0000-000093CA0000}"/>
    <cellStyle name="Style 33 4 7" xfId="51855" xr:uid="{00000000-0005-0000-0000-000094CA0000}"/>
    <cellStyle name="Style 33 4 7 2" xfId="51856" xr:uid="{00000000-0005-0000-0000-000095CA0000}"/>
    <cellStyle name="Style 33 4 7 3" xfId="51857" xr:uid="{00000000-0005-0000-0000-000096CA0000}"/>
    <cellStyle name="Style 33 4 8" xfId="51858" xr:uid="{00000000-0005-0000-0000-000097CA0000}"/>
    <cellStyle name="Style 33 4 8 2" xfId="51859" xr:uid="{00000000-0005-0000-0000-000098CA0000}"/>
    <cellStyle name="Style 33 4 8 3" xfId="51860" xr:uid="{00000000-0005-0000-0000-000099CA0000}"/>
    <cellStyle name="Style 33 4 9" xfId="51861" xr:uid="{00000000-0005-0000-0000-00009ACA0000}"/>
    <cellStyle name="Style 33 4 9 2" xfId="51862" xr:uid="{00000000-0005-0000-0000-00009BCA0000}"/>
    <cellStyle name="Style 33 4 9 3" xfId="51863" xr:uid="{00000000-0005-0000-0000-00009CCA0000}"/>
    <cellStyle name="Style 33 5" xfId="51864" xr:uid="{00000000-0005-0000-0000-00009DCA0000}"/>
    <cellStyle name="Style 33 5 10" xfId="51865" xr:uid="{00000000-0005-0000-0000-00009ECA0000}"/>
    <cellStyle name="Style 33 5 11" xfId="51866" xr:uid="{00000000-0005-0000-0000-00009FCA0000}"/>
    <cellStyle name="Style 33 5 12" xfId="51867" xr:uid="{00000000-0005-0000-0000-0000A0CA0000}"/>
    <cellStyle name="Style 33 5 2" xfId="51868" xr:uid="{00000000-0005-0000-0000-0000A1CA0000}"/>
    <cellStyle name="Style 33 5 2 10" xfId="51869" xr:uid="{00000000-0005-0000-0000-0000A2CA0000}"/>
    <cellStyle name="Style 33 5 2 2" xfId="51870" xr:uid="{00000000-0005-0000-0000-0000A3CA0000}"/>
    <cellStyle name="Style 33 5 2 2 2" xfId="51871" xr:uid="{00000000-0005-0000-0000-0000A4CA0000}"/>
    <cellStyle name="Style 33 5 2 2 2 2" xfId="51872" xr:uid="{00000000-0005-0000-0000-0000A5CA0000}"/>
    <cellStyle name="Style 33 5 2 2 2 2 2" xfId="51873" xr:uid="{00000000-0005-0000-0000-0000A6CA0000}"/>
    <cellStyle name="Style 33 5 2 2 2 2 3" xfId="51874" xr:uid="{00000000-0005-0000-0000-0000A7CA0000}"/>
    <cellStyle name="Style 33 5 2 2 2 3" xfId="51875" xr:uid="{00000000-0005-0000-0000-0000A8CA0000}"/>
    <cellStyle name="Style 33 5 2 2 2 3 2" xfId="51876" xr:uid="{00000000-0005-0000-0000-0000A9CA0000}"/>
    <cellStyle name="Style 33 5 2 2 2 3 3" xfId="51877" xr:uid="{00000000-0005-0000-0000-0000AACA0000}"/>
    <cellStyle name="Style 33 5 2 2 2 4" xfId="51878" xr:uid="{00000000-0005-0000-0000-0000ABCA0000}"/>
    <cellStyle name="Style 33 5 2 2 2 5" xfId="51879" xr:uid="{00000000-0005-0000-0000-0000ACCA0000}"/>
    <cellStyle name="Style 33 5 2 2 2 6" xfId="51880" xr:uid="{00000000-0005-0000-0000-0000ADCA0000}"/>
    <cellStyle name="Style 33 5 2 2 3" xfId="51881" xr:uid="{00000000-0005-0000-0000-0000AECA0000}"/>
    <cellStyle name="Style 33 5 2 2 3 2" xfId="51882" xr:uid="{00000000-0005-0000-0000-0000AFCA0000}"/>
    <cellStyle name="Style 33 5 2 2 3 3" xfId="51883" xr:uid="{00000000-0005-0000-0000-0000B0CA0000}"/>
    <cellStyle name="Style 33 5 2 2 4" xfId="51884" xr:uid="{00000000-0005-0000-0000-0000B1CA0000}"/>
    <cellStyle name="Style 33 5 2 2 4 2" xfId="51885" xr:uid="{00000000-0005-0000-0000-0000B2CA0000}"/>
    <cellStyle name="Style 33 5 2 2 4 3" xfId="51886" xr:uid="{00000000-0005-0000-0000-0000B3CA0000}"/>
    <cellStyle name="Style 33 5 2 2 5" xfId="51887" xr:uid="{00000000-0005-0000-0000-0000B4CA0000}"/>
    <cellStyle name="Style 33 5 2 2 5 2" xfId="51888" xr:uid="{00000000-0005-0000-0000-0000B5CA0000}"/>
    <cellStyle name="Style 33 5 2 2 5 3" xfId="51889" xr:uid="{00000000-0005-0000-0000-0000B6CA0000}"/>
    <cellStyle name="Style 33 5 2 2 6" xfId="51890" xr:uid="{00000000-0005-0000-0000-0000B7CA0000}"/>
    <cellStyle name="Style 33 5 2 2 7" xfId="51891" xr:uid="{00000000-0005-0000-0000-0000B8CA0000}"/>
    <cellStyle name="Style 33 5 2 2 8" xfId="51892" xr:uid="{00000000-0005-0000-0000-0000B9CA0000}"/>
    <cellStyle name="Style 33 5 2 3" xfId="51893" xr:uid="{00000000-0005-0000-0000-0000BACA0000}"/>
    <cellStyle name="Style 33 5 2 3 2" xfId="51894" xr:uid="{00000000-0005-0000-0000-0000BBCA0000}"/>
    <cellStyle name="Style 33 5 2 3 2 2" xfId="51895" xr:uid="{00000000-0005-0000-0000-0000BCCA0000}"/>
    <cellStyle name="Style 33 5 2 3 2 2 2" xfId="51896" xr:uid="{00000000-0005-0000-0000-0000BDCA0000}"/>
    <cellStyle name="Style 33 5 2 3 2 2 3" xfId="51897" xr:uid="{00000000-0005-0000-0000-0000BECA0000}"/>
    <cellStyle name="Style 33 5 2 3 2 3" xfId="51898" xr:uid="{00000000-0005-0000-0000-0000BFCA0000}"/>
    <cellStyle name="Style 33 5 2 3 2 3 2" xfId="51899" xr:uid="{00000000-0005-0000-0000-0000C0CA0000}"/>
    <cellStyle name="Style 33 5 2 3 2 3 3" xfId="51900" xr:uid="{00000000-0005-0000-0000-0000C1CA0000}"/>
    <cellStyle name="Style 33 5 2 3 2 4" xfId="51901" xr:uid="{00000000-0005-0000-0000-0000C2CA0000}"/>
    <cellStyle name="Style 33 5 2 3 2 5" xfId="51902" xr:uid="{00000000-0005-0000-0000-0000C3CA0000}"/>
    <cellStyle name="Style 33 5 2 3 2 6" xfId="51903" xr:uid="{00000000-0005-0000-0000-0000C4CA0000}"/>
    <cellStyle name="Style 33 5 2 3 3" xfId="51904" xr:uid="{00000000-0005-0000-0000-0000C5CA0000}"/>
    <cellStyle name="Style 33 5 2 3 3 2" xfId="51905" xr:uid="{00000000-0005-0000-0000-0000C6CA0000}"/>
    <cellStyle name="Style 33 5 2 3 3 3" xfId="51906" xr:uid="{00000000-0005-0000-0000-0000C7CA0000}"/>
    <cellStyle name="Style 33 5 2 3 4" xfId="51907" xr:uid="{00000000-0005-0000-0000-0000C8CA0000}"/>
    <cellStyle name="Style 33 5 2 3 4 2" xfId="51908" xr:uid="{00000000-0005-0000-0000-0000C9CA0000}"/>
    <cellStyle name="Style 33 5 2 3 4 3" xfId="51909" xr:uid="{00000000-0005-0000-0000-0000CACA0000}"/>
    <cellStyle name="Style 33 5 2 3 5" xfId="51910" xr:uid="{00000000-0005-0000-0000-0000CBCA0000}"/>
    <cellStyle name="Style 33 5 2 3 5 2" xfId="51911" xr:uid="{00000000-0005-0000-0000-0000CCCA0000}"/>
    <cellStyle name="Style 33 5 2 3 5 3" xfId="51912" xr:uid="{00000000-0005-0000-0000-0000CDCA0000}"/>
    <cellStyle name="Style 33 5 2 3 6" xfId="51913" xr:uid="{00000000-0005-0000-0000-0000CECA0000}"/>
    <cellStyle name="Style 33 5 2 3 7" xfId="51914" xr:uid="{00000000-0005-0000-0000-0000CFCA0000}"/>
    <cellStyle name="Style 33 5 2 3 8" xfId="51915" xr:uid="{00000000-0005-0000-0000-0000D0CA0000}"/>
    <cellStyle name="Style 33 5 2 4" xfId="51916" xr:uid="{00000000-0005-0000-0000-0000D1CA0000}"/>
    <cellStyle name="Style 33 5 2 4 2" xfId="51917" xr:uid="{00000000-0005-0000-0000-0000D2CA0000}"/>
    <cellStyle name="Style 33 5 2 4 2 2" xfId="51918" xr:uid="{00000000-0005-0000-0000-0000D3CA0000}"/>
    <cellStyle name="Style 33 5 2 4 2 3" xfId="51919" xr:uid="{00000000-0005-0000-0000-0000D4CA0000}"/>
    <cellStyle name="Style 33 5 2 4 3" xfId="51920" xr:uid="{00000000-0005-0000-0000-0000D5CA0000}"/>
    <cellStyle name="Style 33 5 2 4 3 2" xfId="51921" xr:uid="{00000000-0005-0000-0000-0000D6CA0000}"/>
    <cellStyle name="Style 33 5 2 4 3 3" xfId="51922" xr:uid="{00000000-0005-0000-0000-0000D7CA0000}"/>
    <cellStyle name="Style 33 5 2 4 4" xfId="51923" xr:uid="{00000000-0005-0000-0000-0000D8CA0000}"/>
    <cellStyle name="Style 33 5 2 4 5" xfId="51924" xr:uid="{00000000-0005-0000-0000-0000D9CA0000}"/>
    <cellStyle name="Style 33 5 2 4 6" xfId="51925" xr:uid="{00000000-0005-0000-0000-0000DACA0000}"/>
    <cellStyle name="Style 33 5 2 5" xfId="51926" xr:uid="{00000000-0005-0000-0000-0000DBCA0000}"/>
    <cellStyle name="Style 33 5 2 5 2" xfId="51927" xr:uid="{00000000-0005-0000-0000-0000DCCA0000}"/>
    <cellStyle name="Style 33 5 2 5 3" xfId="51928" xr:uid="{00000000-0005-0000-0000-0000DDCA0000}"/>
    <cellStyle name="Style 33 5 2 6" xfId="51929" xr:uid="{00000000-0005-0000-0000-0000DECA0000}"/>
    <cellStyle name="Style 33 5 2 6 2" xfId="51930" xr:uid="{00000000-0005-0000-0000-0000DFCA0000}"/>
    <cellStyle name="Style 33 5 2 6 3" xfId="51931" xr:uid="{00000000-0005-0000-0000-0000E0CA0000}"/>
    <cellStyle name="Style 33 5 2 7" xfId="51932" xr:uid="{00000000-0005-0000-0000-0000E1CA0000}"/>
    <cellStyle name="Style 33 5 2 7 2" xfId="51933" xr:uid="{00000000-0005-0000-0000-0000E2CA0000}"/>
    <cellStyle name="Style 33 5 2 7 3" xfId="51934" xr:uid="{00000000-0005-0000-0000-0000E3CA0000}"/>
    <cellStyle name="Style 33 5 2 8" xfId="51935" xr:uid="{00000000-0005-0000-0000-0000E4CA0000}"/>
    <cellStyle name="Style 33 5 2 9" xfId="51936" xr:uid="{00000000-0005-0000-0000-0000E5CA0000}"/>
    <cellStyle name="Style 33 5 3" xfId="51937" xr:uid="{00000000-0005-0000-0000-0000E6CA0000}"/>
    <cellStyle name="Style 33 5 3 2" xfId="51938" xr:uid="{00000000-0005-0000-0000-0000E7CA0000}"/>
    <cellStyle name="Style 33 5 3 2 2" xfId="51939" xr:uid="{00000000-0005-0000-0000-0000E8CA0000}"/>
    <cellStyle name="Style 33 5 3 2 2 2" xfId="51940" xr:uid="{00000000-0005-0000-0000-0000E9CA0000}"/>
    <cellStyle name="Style 33 5 3 2 2 3" xfId="51941" xr:uid="{00000000-0005-0000-0000-0000EACA0000}"/>
    <cellStyle name="Style 33 5 3 2 3" xfId="51942" xr:uid="{00000000-0005-0000-0000-0000EBCA0000}"/>
    <cellStyle name="Style 33 5 3 2 3 2" xfId="51943" xr:uid="{00000000-0005-0000-0000-0000ECCA0000}"/>
    <cellStyle name="Style 33 5 3 2 3 3" xfId="51944" xr:uid="{00000000-0005-0000-0000-0000EDCA0000}"/>
    <cellStyle name="Style 33 5 3 2 4" xfId="51945" xr:uid="{00000000-0005-0000-0000-0000EECA0000}"/>
    <cellStyle name="Style 33 5 3 2 5" xfId="51946" xr:uid="{00000000-0005-0000-0000-0000EFCA0000}"/>
    <cellStyle name="Style 33 5 3 2 6" xfId="51947" xr:uid="{00000000-0005-0000-0000-0000F0CA0000}"/>
    <cellStyle name="Style 33 5 3 3" xfId="51948" xr:uid="{00000000-0005-0000-0000-0000F1CA0000}"/>
    <cellStyle name="Style 33 5 3 3 2" xfId="51949" xr:uid="{00000000-0005-0000-0000-0000F2CA0000}"/>
    <cellStyle name="Style 33 5 3 3 3" xfId="51950" xr:uid="{00000000-0005-0000-0000-0000F3CA0000}"/>
    <cellStyle name="Style 33 5 3 4" xfId="51951" xr:uid="{00000000-0005-0000-0000-0000F4CA0000}"/>
    <cellStyle name="Style 33 5 3 4 2" xfId="51952" xr:uid="{00000000-0005-0000-0000-0000F5CA0000}"/>
    <cellStyle name="Style 33 5 3 4 3" xfId="51953" xr:uid="{00000000-0005-0000-0000-0000F6CA0000}"/>
    <cellStyle name="Style 33 5 3 5" xfId="51954" xr:uid="{00000000-0005-0000-0000-0000F7CA0000}"/>
    <cellStyle name="Style 33 5 3 5 2" xfId="51955" xr:uid="{00000000-0005-0000-0000-0000F8CA0000}"/>
    <cellStyle name="Style 33 5 3 5 3" xfId="51956" xr:uid="{00000000-0005-0000-0000-0000F9CA0000}"/>
    <cellStyle name="Style 33 5 3 6" xfId="51957" xr:uid="{00000000-0005-0000-0000-0000FACA0000}"/>
    <cellStyle name="Style 33 5 3 7" xfId="51958" xr:uid="{00000000-0005-0000-0000-0000FBCA0000}"/>
    <cellStyle name="Style 33 5 3 8" xfId="51959" xr:uid="{00000000-0005-0000-0000-0000FCCA0000}"/>
    <cellStyle name="Style 33 5 4" xfId="51960" xr:uid="{00000000-0005-0000-0000-0000FDCA0000}"/>
    <cellStyle name="Style 33 5 4 2" xfId="51961" xr:uid="{00000000-0005-0000-0000-0000FECA0000}"/>
    <cellStyle name="Style 33 5 4 2 2" xfId="51962" xr:uid="{00000000-0005-0000-0000-0000FFCA0000}"/>
    <cellStyle name="Style 33 5 4 2 2 2" xfId="51963" xr:uid="{00000000-0005-0000-0000-000000CB0000}"/>
    <cellStyle name="Style 33 5 4 2 2 3" xfId="51964" xr:uid="{00000000-0005-0000-0000-000001CB0000}"/>
    <cellStyle name="Style 33 5 4 2 3" xfId="51965" xr:uid="{00000000-0005-0000-0000-000002CB0000}"/>
    <cellStyle name="Style 33 5 4 2 3 2" xfId="51966" xr:uid="{00000000-0005-0000-0000-000003CB0000}"/>
    <cellStyle name="Style 33 5 4 2 3 3" xfId="51967" xr:uid="{00000000-0005-0000-0000-000004CB0000}"/>
    <cellStyle name="Style 33 5 4 2 4" xfId="51968" xr:uid="{00000000-0005-0000-0000-000005CB0000}"/>
    <cellStyle name="Style 33 5 4 2 5" xfId="51969" xr:uid="{00000000-0005-0000-0000-000006CB0000}"/>
    <cellStyle name="Style 33 5 4 2 6" xfId="51970" xr:uid="{00000000-0005-0000-0000-000007CB0000}"/>
    <cellStyle name="Style 33 5 4 3" xfId="51971" xr:uid="{00000000-0005-0000-0000-000008CB0000}"/>
    <cellStyle name="Style 33 5 4 3 2" xfId="51972" xr:uid="{00000000-0005-0000-0000-000009CB0000}"/>
    <cellStyle name="Style 33 5 4 3 3" xfId="51973" xr:uid="{00000000-0005-0000-0000-00000ACB0000}"/>
    <cellStyle name="Style 33 5 4 4" xfId="51974" xr:uid="{00000000-0005-0000-0000-00000BCB0000}"/>
    <cellStyle name="Style 33 5 4 4 2" xfId="51975" xr:uid="{00000000-0005-0000-0000-00000CCB0000}"/>
    <cellStyle name="Style 33 5 4 4 3" xfId="51976" xr:uid="{00000000-0005-0000-0000-00000DCB0000}"/>
    <cellStyle name="Style 33 5 4 5" xfId="51977" xr:uid="{00000000-0005-0000-0000-00000ECB0000}"/>
    <cellStyle name="Style 33 5 4 5 2" xfId="51978" xr:uid="{00000000-0005-0000-0000-00000FCB0000}"/>
    <cellStyle name="Style 33 5 4 5 3" xfId="51979" xr:uid="{00000000-0005-0000-0000-000010CB0000}"/>
    <cellStyle name="Style 33 5 4 6" xfId="51980" xr:uid="{00000000-0005-0000-0000-000011CB0000}"/>
    <cellStyle name="Style 33 5 4 7" xfId="51981" xr:uid="{00000000-0005-0000-0000-000012CB0000}"/>
    <cellStyle name="Style 33 5 4 8" xfId="51982" xr:uid="{00000000-0005-0000-0000-000013CB0000}"/>
    <cellStyle name="Style 33 5 5" xfId="51983" xr:uid="{00000000-0005-0000-0000-000014CB0000}"/>
    <cellStyle name="Style 33 5 5 2" xfId="51984" xr:uid="{00000000-0005-0000-0000-000015CB0000}"/>
    <cellStyle name="Style 33 5 5 2 2" xfId="51985" xr:uid="{00000000-0005-0000-0000-000016CB0000}"/>
    <cellStyle name="Style 33 5 5 2 2 2" xfId="51986" xr:uid="{00000000-0005-0000-0000-000017CB0000}"/>
    <cellStyle name="Style 33 5 5 2 2 3" xfId="51987" xr:uid="{00000000-0005-0000-0000-000018CB0000}"/>
    <cellStyle name="Style 33 5 5 2 3" xfId="51988" xr:uid="{00000000-0005-0000-0000-000019CB0000}"/>
    <cellStyle name="Style 33 5 5 2 3 2" xfId="51989" xr:uid="{00000000-0005-0000-0000-00001ACB0000}"/>
    <cellStyle name="Style 33 5 5 2 3 3" xfId="51990" xr:uid="{00000000-0005-0000-0000-00001BCB0000}"/>
    <cellStyle name="Style 33 5 5 2 4" xfId="51991" xr:uid="{00000000-0005-0000-0000-00001CCB0000}"/>
    <cellStyle name="Style 33 5 5 2 5" xfId="51992" xr:uid="{00000000-0005-0000-0000-00001DCB0000}"/>
    <cellStyle name="Style 33 5 5 2 6" xfId="51993" xr:uid="{00000000-0005-0000-0000-00001ECB0000}"/>
    <cellStyle name="Style 33 5 5 3" xfId="51994" xr:uid="{00000000-0005-0000-0000-00001FCB0000}"/>
    <cellStyle name="Style 33 5 5 3 2" xfId="51995" xr:uid="{00000000-0005-0000-0000-000020CB0000}"/>
    <cellStyle name="Style 33 5 5 3 3" xfId="51996" xr:uid="{00000000-0005-0000-0000-000021CB0000}"/>
    <cellStyle name="Style 33 5 5 4" xfId="51997" xr:uid="{00000000-0005-0000-0000-000022CB0000}"/>
    <cellStyle name="Style 33 5 5 4 2" xfId="51998" xr:uid="{00000000-0005-0000-0000-000023CB0000}"/>
    <cellStyle name="Style 33 5 5 4 3" xfId="51999" xr:uid="{00000000-0005-0000-0000-000024CB0000}"/>
    <cellStyle name="Style 33 5 5 5" xfId="52000" xr:uid="{00000000-0005-0000-0000-000025CB0000}"/>
    <cellStyle name="Style 33 5 5 5 2" xfId="52001" xr:uid="{00000000-0005-0000-0000-000026CB0000}"/>
    <cellStyle name="Style 33 5 5 5 3" xfId="52002" xr:uid="{00000000-0005-0000-0000-000027CB0000}"/>
    <cellStyle name="Style 33 5 5 6" xfId="52003" xr:uid="{00000000-0005-0000-0000-000028CB0000}"/>
    <cellStyle name="Style 33 5 5 7" xfId="52004" xr:uid="{00000000-0005-0000-0000-000029CB0000}"/>
    <cellStyle name="Style 33 5 5 8" xfId="52005" xr:uid="{00000000-0005-0000-0000-00002ACB0000}"/>
    <cellStyle name="Style 33 5 6" xfId="52006" xr:uid="{00000000-0005-0000-0000-00002BCB0000}"/>
    <cellStyle name="Style 33 5 6 2" xfId="52007" xr:uid="{00000000-0005-0000-0000-00002CCB0000}"/>
    <cellStyle name="Style 33 5 6 2 2" xfId="52008" xr:uid="{00000000-0005-0000-0000-00002DCB0000}"/>
    <cellStyle name="Style 33 5 6 2 3" xfId="52009" xr:uid="{00000000-0005-0000-0000-00002ECB0000}"/>
    <cellStyle name="Style 33 5 6 3" xfId="52010" xr:uid="{00000000-0005-0000-0000-00002FCB0000}"/>
    <cellStyle name="Style 33 5 6 3 2" xfId="52011" xr:uid="{00000000-0005-0000-0000-000030CB0000}"/>
    <cellStyle name="Style 33 5 6 3 3" xfId="52012" xr:uid="{00000000-0005-0000-0000-000031CB0000}"/>
    <cellStyle name="Style 33 5 6 4" xfId="52013" xr:uid="{00000000-0005-0000-0000-000032CB0000}"/>
    <cellStyle name="Style 33 5 6 5" xfId="52014" xr:uid="{00000000-0005-0000-0000-000033CB0000}"/>
    <cellStyle name="Style 33 5 6 6" xfId="52015" xr:uid="{00000000-0005-0000-0000-000034CB0000}"/>
    <cellStyle name="Style 33 5 7" xfId="52016" xr:uid="{00000000-0005-0000-0000-000035CB0000}"/>
    <cellStyle name="Style 33 5 7 2" xfId="52017" xr:uid="{00000000-0005-0000-0000-000036CB0000}"/>
    <cellStyle name="Style 33 5 7 3" xfId="52018" xr:uid="{00000000-0005-0000-0000-000037CB0000}"/>
    <cellStyle name="Style 33 5 8" xfId="52019" xr:uid="{00000000-0005-0000-0000-000038CB0000}"/>
    <cellStyle name="Style 33 5 8 2" xfId="52020" xr:uid="{00000000-0005-0000-0000-000039CB0000}"/>
    <cellStyle name="Style 33 5 8 3" xfId="52021" xr:uid="{00000000-0005-0000-0000-00003ACB0000}"/>
    <cellStyle name="Style 33 5 9" xfId="52022" xr:uid="{00000000-0005-0000-0000-00003BCB0000}"/>
    <cellStyle name="Style 33 5 9 2" xfId="52023" xr:uid="{00000000-0005-0000-0000-00003CCB0000}"/>
    <cellStyle name="Style 33 5 9 3" xfId="52024" xr:uid="{00000000-0005-0000-0000-00003DCB0000}"/>
    <cellStyle name="Style 33 6" xfId="52025" xr:uid="{00000000-0005-0000-0000-00003ECB0000}"/>
    <cellStyle name="Style 33 6 10" xfId="52026" xr:uid="{00000000-0005-0000-0000-00003FCB0000}"/>
    <cellStyle name="Style 33 6 11" xfId="52027" xr:uid="{00000000-0005-0000-0000-000040CB0000}"/>
    <cellStyle name="Style 33 6 12" xfId="52028" xr:uid="{00000000-0005-0000-0000-000041CB0000}"/>
    <cellStyle name="Style 33 6 2" xfId="52029" xr:uid="{00000000-0005-0000-0000-000042CB0000}"/>
    <cellStyle name="Style 33 6 2 10" xfId="52030" xr:uid="{00000000-0005-0000-0000-000043CB0000}"/>
    <cellStyle name="Style 33 6 2 2" xfId="52031" xr:uid="{00000000-0005-0000-0000-000044CB0000}"/>
    <cellStyle name="Style 33 6 2 2 2" xfId="52032" xr:uid="{00000000-0005-0000-0000-000045CB0000}"/>
    <cellStyle name="Style 33 6 2 2 2 2" xfId="52033" xr:uid="{00000000-0005-0000-0000-000046CB0000}"/>
    <cellStyle name="Style 33 6 2 2 2 2 2" xfId="52034" xr:uid="{00000000-0005-0000-0000-000047CB0000}"/>
    <cellStyle name="Style 33 6 2 2 2 2 3" xfId="52035" xr:uid="{00000000-0005-0000-0000-000048CB0000}"/>
    <cellStyle name="Style 33 6 2 2 2 3" xfId="52036" xr:uid="{00000000-0005-0000-0000-000049CB0000}"/>
    <cellStyle name="Style 33 6 2 2 2 3 2" xfId="52037" xr:uid="{00000000-0005-0000-0000-00004ACB0000}"/>
    <cellStyle name="Style 33 6 2 2 2 3 3" xfId="52038" xr:uid="{00000000-0005-0000-0000-00004BCB0000}"/>
    <cellStyle name="Style 33 6 2 2 2 4" xfId="52039" xr:uid="{00000000-0005-0000-0000-00004CCB0000}"/>
    <cellStyle name="Style 33 6 2 2 2 5" xfId="52040" xr:uid="{00000000-0005-0000-0000-00004DCB0000}"/>
    <cellStyle name="Style 33 6 2 2 2 6" xfId="52041" xr:uid="{00000000-0005-0000-0000-00004ECB0000}"/>
    <cellStyle name="Style 33 6 2 2 3" xfId="52042" xr:uid="{00000000-0005-0000-0000-00004FCB0000}"/>
    <cellStyle name="Style 33 6 2 2 3 2" xfId="52043" xr:uid="{00000000-0005-0000-0000-000050CB0000}"/>
    <cellStyle name="Style 33 6 2 2 3 3" xfId="52044" xr:uid="{00000000-0005-0000-0000-000051CB0000}"/>
    <cellStyle name="Style 33 6 2 2 4" xfId="52045" xr:uid="{00000000-0005-0000-0000-000052CB0000}"/>
    <cellStyle name="Style 33 6 2 2 4 2" xfId="52046" xr:uid="{00000000-0005-0000-0000-000053CB0000}"/>
    <cellStyle name="Style 33 6 2 2 4 3" xfId="52047" xr:uid="{00000000-0005-0000-0000-000054CB0000}"/>
    <cellStyle name="Style 33 6 2 2 5" xfId="52048" xr:uid="{00000000-0005-0000-0000-000055CB0000}"/>
    <cellStyle name="Style 33 6 2 2 5 2" xfId="52049" xr:uid="{00000000-0005-0000-0000-000056CB0000}"/>
    <cellStyle name="Style 33 6 2 2 5 3" xfId="52050" xr:uid="{00000000-0005-0000-0000-000057CB0000}"/>
    <cellStyle name="Style 33 6 2 2 6" xfId="52051" xr:uid="{00000000-0005-0000-0000-000058CB0000}"/>
    <cellStyle name="Style 33 6 2 2 7" xfId="52052" xr:uid="{00000000-0005-0000-0000-000059CB0000}"/>
    <cellStyle name="Style 33 6 2 2 8" xfId="52053" xr:uid="{00000000-0005-0000-0000-00005ACB0000}"/>
    <cellStyle name="Style 33 6 2 3" xfId="52054" xr:uid="{00000000-0005-0000-0000-00005BCB0000}"/>
    <cellStyle name="Style 33 6 2 3 2" xfId="52055" xr:uid="{00000000-0005-0000-0000-00005CCB0000}"/>
    <cellStyle name="Style 33 6 2 3 2 2" xfId="52056" xr:uid="{00000000-0005-0000-0000-00005DCB0000}"/>
    <cellStyle name="Style 33 6 2 3 2 2 2" xfId="52057" xr:uid="{00000000-0005-0000-0000-00005ECB0000}"/>
    <cellStyle name="Style 33 6 2 3 2 2 3" xfId="52058" xr:uid="{00000000-0005-0000-0000-00005FCB0000}"/>
    <cellStyle name="Style 33 6 2 3 2 3" xfId="52059" xr:uid="{00000000-0005-0000-0000-000060CB0000}"/>
    <cellStyle name="Style 33 6 2 3 2 3 2" xfId="52060" xr:uid="{00000000-0005-0000-0000-000061CB0000}"/>
    <cellStyle name="Style 33 6 2 3 2 3 3" xfId="52061" xr:uid="{00000000-0005-0000-0000-000062CB0000}"/>
    <cellStyle name="Style 33 6 2 3 2 4" xfId="52062" xr:uid="{00000000-0005-0000-0000-000063CB0000}"/>
    <cellStyle name="Style 33 6 2 3 2 5" xfId="52063" xr:uid="{00000000-0005-0000-0000-000064CB0000}"/>
    <cellStyle name="Style 33 6 2 3 2 6" xfId="52064" xr:uid="{00000000-0005-0000-0000-000065CB0000}"/>
    <cellStyle name="Style 33 6 2 3 3" xfId="52065" xr:uid="{00000000-0005-0000-0000-000066CB0000}"/>
    <cellStyle name="Style 33 6 2 3 3 2" xfId="52066" xr:uid="{00000000-0005-0000-0000-000067CB0000}"/>
    <cellStyle name="Style 33 6 2 3 3 3" xfId="52067" xr:uid="{00000000-0005-0000-0000-000068CB0000}"/>
    <cellStyle name="Style 33 6 2 3 4" xfId="52068" xr:uid="{00000000-0005-0000-0000-000069CB0000}"/>
    <cellStyle name="Style 33 6 2 3 4 2" xfId="52069" xr:uid="{00000000-0005-0000-0000-00006ACB0000}"/>
    <cellStyle name="Style 33 6 2 3 4 3" xfId="52070" xr:uid="{00000000-0005-0000-0000-00006BCB0000}"/>
    <cellStyle name="Style 33 6 2 3 5" xfId="52071" xr:uid="{00000000-0005-0000-0000-00006CCB0000}"/>
    <cellStyle name="Style 33 6 2 3 5 2" xfId="52072" xr:uid="{00000000-0005-0000-0000-00006DCB0000}"/>
    <cellStyle name="Style 33 6 2 3 5 3" xfId="52073" xr:uid="{00000000-0005-0000-0000-00006ECB0000}"/>
    <cellStyle name="Style 33 6 2 3 6" xfId="52074" xr:uid="{00000000-0005-0000-0000-00006FCB0000}"/>
    <cellStyle name="Style 33 6 2 3 7" xfId="52075" xr:uid="{00000000-0005-0000-0000-000070CB0000}"/>
    <cellStyle name="Style 33 6 2 3 8" xfId="52076" xr:uid="{00000000-0005-0000-0000-000071CB0000}"/>
    <cellStyle name="Style 33 6 2 4" xfId="52077" xr:uid="{00000000-0005-0000-0000-000072CB0000}"/>
    <cellStyle name="Style 33 6 2 4 2" xfId="52078" xr:uid="{00000000-0005-0000-0000-000073CB0000}"/>
    <cellStyle name="Style 33 6 2 4 2 2" xfId="52079" xr:uid="{00000000-0005-0000-0000-000074CB0000}"/>
    <cellStyle name="Style 33 6 2 4 2 3" xfId="52080" xr:uid="{00000000-0005-0000-0000-000075CB0000}"/>
    <cellStyle name="Style 33 6 2 4 3" xfId="52081" xr:uid="{00000000-0005-0000-0000-000076CB0000}"/>
    <cellStyle name="Style 33 6 2 4 3 2" xfId="52082" xr:uid="{00000000-0005-0000-0000-000077CB0000}"/>
    <cellStyle name="Style 33 6 2 4 3 3" xfId="52083" xr:uid="{00000000-0005-0000-0000-000078CB0000}"/>
    <cellStyle name="Style 33 6 2 4 4" xfId="52084" xr:uid="{00000000-0005-0000-0000-000079CB0000}"/>
    <cellStyle name="Style 33 6 2 4 5" xfId="52085" xr:uid="{00000000-0005-0000-0000-00007ACB0000}"/>
    <cellStyle name="Style 33 6 2 4 6" xfId="52086" xr:uid="{00000000-0005-0000-0000-00007BCB0000}"/>
    <cellStyle name="Style 33 6 2 5" xfId="52087" xr:uid="{00000000-0005-0000-0000-00007CCB0000}"/>
    <cellStyle name="Style 33 6 2 5 2" xfId="52088" xr:uid="{00000000-0005-0000-0000-00007DCB0000}"/>
    <cellStyle name="Style 33 6 2 5 3" xfId="52089" xr:uid="{00000000-0005-0000-0000-00007ECB0000}"/>
    <cellStyle name="Style 33 6 2 6" xfId="52090" xr:uid="{00000000-0005-0000-0000-00007FCB0000}"/>
    <cellStyle name="Style 33 6 2 6 2" xfId="52091" xr:uid="{00000000-0005-0000-0000-000080CB0000}"/>
    <cellStyle name="Style 33 6 2 6 3" xfId="52092" xr:uid="{00000000-0005-0000-0000-000081CB0000}"/>
    <cellStyle name="Style 33 6 2 7" xfId="52093" xr:uid="{00000000-0005-0000-0000-000082CB0000}"/>
    <cellStyle name="Style 33 6 2 7 2" xfId="52094" xr:uid="{00000000-0005-0000-0000-000083CB0000}"/>
    <cellStyle name="Style 33 6 2 7 3" xfId="52095" xr:uid="{00000000-0005-0000-0000-000084CB0000}"/>
    <cellStyle name="Style 33 6 2 8" xfId="52096" xr:uid="{00000000-0005-0000-0000-000085CB0000}"/>
    <cellStyle name="Style 33 6 2 9" xfId="52097" xr:uid="{00000000-0005-0000-0000-000086CB0000}"/>
    <cellStyle name="Style 33 6 3" xfId="52098" xr:uid="{00000000-0005-0000-0000-000087CB0000}"/>
    <cellStyle name="Style 33 6 3 2" xfId="52099" xr:uid="{00000000-0005-0000-0000-000088CB0000}"/>
    <cellStyle name="Style 33 6 3 2 2" xfId="52100" xr:uid="{00000000-0005-0000-0000-000089CB0000}"/>
    <cellStyle name="Style 33 6 3 2 2 2" xfId="52101" xr:uid="{00000000-0005-0000-0000-00008ACB0000}"/>
    <cellStyle name="Style 33 6 3 2 2 3" xfId="52102" xr:uid="{00000000-0005-0000-0000-00008BCB0000}"/>
    <cellStyle name="Style 33 6 3 2 3" xfId="52103" xr:uid="{00000000-0005-0000-0000-00008CCB0000}"/>
    <cellStyle name="Style 33 6 3 2 3 2" xfId="52104" xr:uid="{00000000-0005-0000-0000-00008DCB0000}"/>
    <cellStyle name="Style 33 6 3 2 3 3" xfId="52105" xr:uid="{00000000-0005-0000-0000-00008ECB0000}"/>
    <cellStyle name="Style 33 6 3 2 4" xfId="52106" xr:uid="{00000000-0005-0000-0000-00008FCB0000}"/>
    <cellStyle name="Style 33 6 3 2 5" xfId="52107" xr:uid="{00000000-0005-0000-0000-000090CB0000}"/>
    <cellStyle name="Style 33 6 3 2 6" xfId="52108" xr:uid="{00000000-0005-0000-0000-000091CB0000}"/>
    <cellStyle name="Style 33 6 3 3" xfId="52109" xr:uid="{00000000-0005-0000-0000-000092CB0000}"/>
    <cellStyle name="Style 33 6 3 3 2" xfId="52110" xr:uid="{00000000-0005-0000-0000-000093CB0000}"/>
    <cellStyle name="Style 33 6 3 3 3" xfId="52111" xr:uid="{00000000-0005-0000-0000-000094CB0000}"/>
    <cellStyle name="Style 33 6 3 4" xfId="52112" xr:uid="{00000000-0005-0000-0000-000095CB0000}"/>
    <cellStyle name="Style 33 6 3 4 2" xfId="52113" xr:uid="{00000000-0005-0000-0000-000096CB0000}"/>
    <cellStyle name="Style 33 6 3 4 3" xfId="52114" xr:uid="{00000000-0005-0000-0000-000097CB0000}"/>
    <cellStyle name="Style 33 6 3 5" xfId="52115" xr:uid="{00000000-0005-0000-0000-000098CB0000}"/>
    <cellStyle name="Style 33 6 3 5 2" xfId="52116" xr:uid="{00000000-0005-0000-0000-000099CB0000}"/>
    <cellStyle name="Style 33 6 3 5 3" xfId="52117" xr:uid="{00000000-0005-0000-0000-00009ACB0000}"/>
    <cellStyle name="Style 33 6 3 6" xfId="52118" xr:uid="{00000000-0005-0000-0000-00009BCB0000}"/>
    <cellStyle name="Style 33 6 3 7" xfId="52119" xr:uid="{00000000-0005-0000-0000-00009CCB0000}"/>
    <cellStyle name="Style 33 6 3 8" xfId="52120" xr:uid="{00000000-0005-0000-0000-00009DCB0000}"/>
    <cellStyle name="Style 33 6 4" xfId="52121" xr:uid="{00000000-0005-0000-0000-00009ECB0000}"/>
    <cellStyle name="Style 33 6 4 2" xfId="52122" xr:uid="{00000000-0005-0000-0000-00009FCB0000}"/>
    <cellStyle name="Style 33 6 4 2 2" xfId="52123" xr:uid="{00000000-0005-0000-0000-0000A0CB0000}"/>
    <cellStyle name="Style 33 6 4 2 2 2" xfId="52124" xr:uid="{00000000-0005-0000-0000-0000A1CB0000}"/>
    <cellStyle name="Style 33 6 4 2 2 3" xfId="52125" xr:uid="{00000000-0005-0000-0000-0000A2CB0000}"/>
    <cellStyle name="Style 33 6 4 2 3" xfId="52126" xr:uid="{00000000-0005-0000-0000-0000A3CB0000}"/>
    <cellStyle name="Style 33 6 4 2 3 2" xfId="52127" xr:uid="{00000000-0005-0000-0000-0000A4CB0000}"/>
    <cellStyle name="Style 33 6 4 2 3 3" xfId="52128" xr:uid="{00000000-0005-0000-0000-0000A5CB0000}"/>
    <cellStyle name="Style 33 6 4 2 4" xfId="52129" xr:uid="{00000000-0005-0000-0000-0000A6CB0000}"/>
    <cellStyle name="Style 33 6 4 2 5" xfId="52130" xr:uid="{00000000-0005-0000-0000-0000A7CB0000}"/>
    <cellStyle name="Style 33 6 4 2 6" xfId="52131" xr:uid="{00000000-0005-0000-0000-0000A8CB0000}"/>
    <cellStyle name="Style 33 6 4 3" xfId="52132" xr:uid="{00000000-0005-0000-0000-0000A9CB0000}"/>
    <cellStyle name="Style 33 6 4 3 2" xfId="52133" xr:uid="{00000000-0005-0000-0000-0000AACB0000}"/>
    <cellStyle name="Style 33 6 4 3 3" xfId="52134" xr:uid="{00000000-0005-0000-0000-0000ABCB0000}"/>
    <cellStyle name="Style 33 6 4 4" xfId="52135" xr:uid="{00000000-0005-0000-0000-0000ACCB0000}"/>
    <cellStyle name="Style 33 6 4 4 2" xfId="52136" xr:uid="{00000000-0005-0000-0000-0000ADCB0000}"/>
    <cellStyle name="Style 33 6 4 4 3" xfId="52137" xr:uid="{00000000-0005-0000-0000-0000AECB0000}"/>
    <cellStyle name="Style 33 6 4 5" xfId="52138" xr:uid="{00000000-0005-0000-0000-0000AFCB0000}"/>
    <cellStyle name="Style 33 6 4 5 2" xfId="52139" xr:uid="{00000000-0005-0000-0000-0000B0CB0000}"/>
    <cellStyle name="Style 33 6 4 5 3" xfId="52140" xr:uid="{00000000-0005-0000-0000-0000B1CB0000}"/>
    <cellStyle name="Style 33 6 4 6" xfId="52141" xr:uid="{00000000-0005-0000-0000-0000B2CB0000}"/>
    <cellStyle name="Style 33 6 4 7" xfId="52142" xr:uid="{00000000-0005-0000-0000-0000B3CB0000}"/>
    <cellStyle name="Style 33 6 4 8" xfId="52143" xr:uid="{00000000-0005-0000-0000-0000B4CB0000}"/>
    <cellStyle name="Style 33 6 5" xfId="52144" xr:uid="{00000000-0005-0000-0000-0000B5CB0000}"/>
    <cellStyle name="Style 33 6 5 2" xfId="52145" xr:uid="{00000000-0005-0000-0000-0000B6CB0000}"/>
    <cellStyle name="Style 33 6 5 2 2" xfId="52146" xr:uid="{00000000-0005-0000-0000-0000B7CB0000}"/>
    <cellStyle name="Style 33 6 5 2 2 2" xfId="52147" xr:uid="{00000000-0005-0000-0000-0000B8CB0000}"/>
    <cellStyle name="Style 33 6 5 2 2 3" xfId="52148" xr:uid="{00000000-0005-0000-0000-0000B9CB0000}"/>
    <cellStyle name="Style 33 6 5 2 3" xfId="52149" xr:uid="{00000000-0005-0000-0000-0000BACB0000}"/>
    <cellStyle name="Style 33 6 5 2 3 2" xfId="52150" xr:uid="{00000000-0005-0000-0000-0000BBCB0000}"/>
    <cellStyle name="Style 33 6 5 2 3 3" xfId="52151" xr:uid="{00000000-0005-0000-0000-0000BCCB0000}"/>
    <cellStyle name="Style 33 6 5 2 4" xfId="52152" xr:uid="{00000000-0005-0000-0000-0000BDCB0000}"/>
    <cellStyle name="Style 33 6 5 2 5" xfId="52153" xr:uid="{00000000-0005-0000-0000-0000BECB0000}"/>
    <cellStyle name="Style 33 6 5 2 6" xfId="52154" xr:uid="{00000000-0005-0000-0000-0000BFCB0000}"/>
    <cellStyle name="Style 33 6 5 3" xfId="52155" xr:uid="{00000000-0005-0000-0000-0000C0CB0000}"/>
    <cellStyle name="Style 33 6 5 3 2" xfId="52156" xr:uid="{00000000-0005-0000-0000-0000C1CB0000}"/>
    <cellStyle name="Style 33 6 5 3 3" xfId="52157" xr:uid="{00000000-0005-0000-0000-0000C2CB0000}"/>
    <cellStyle name="Style 33 6 5 4" xfId="52158" xr:uid="{00000000-0005-0000-0000-0000C3CB0000}"/>
    <cellStyle name="Style 33 6 5 4 2" xfId="52159" xr:uid="{00000000-0005-0000-0000-0000C4CB0000}"/>
    <cellStyle name="Style 33 6 5 4 3" xfId="52160" xr:uid="{00000000-0005-0000-0000-0000C5CB0000}"/>
    <cellStyle name="Style 33 6 5 5" xfId="52161" xr:uid="{00000000-0005-0000-0000-0000C6CB0000}"/>
    <cellStyle name="Style 33 6 5 5 2" xfId="52162" xr:uid="{00000000-0005-0000-0000-0000C7CB0000}"/>
    <cellStyle name="Style 33 6 5 5 3" xfId="52163" xr:uid="{00000000-0005-0000-0000-0000C8CB0000}"/>
    <cellStyle name="Style 33 6 5 6" xfId="52164" xr:uid="{00000000-0005-0000-0000-0000C9CB0000}"/>
    <cellStyle name="Style 33 6 5 7" xfId="52165" xr:uid="{00000000-0005-0000-0000-0000CACB0000}"/>
    <cellStyle name="Style 33 6 5 8" xfId="52166" xr:uid="{00000000-0005-0000-0000-0000CBCB0000}"/>
    <cellStyle name="Style 33 6 6" xfId="52167" xr:uid="{00000000-0005-0000-0000-0000CCCB0000}"/>
    <cellStyle name="Style 33 6 6 2" xfId="52168" xr:uid="{00000000-0005-0000-0000-0000CDCB0000}"/>
    <cellStyle name="Style 33 6 6 2 2" xfId="52169" xr:uid="{00000000-0005-0000-0000-0000CECB0000}"/>
    <cellStyle name="Style 33 6 6 2 3" xfId="52170" xr:uid="{00000000-0005-0000-0000-0000CFCB0000}"/>
    <cellStyle name="Style 33 6 6 3" xfId="52171" xr:uid="{00000000-0005-0000-0000-0000D0CB0000}"/>
    <cellStyle name="Style 33 6 6 3 2" xfId="52172" xr:uid="{00000000-0005-0000-0000-0000D1CB0000}"/>
    <cellStyle name="Style 33 6 6 3 3" xfId="52173" xr:uid="{00000000-0005-0000-0000-0000D2CB0000}"/>
    <cellStyle name="Style 33 6 6 4" xfId="52174" xr:uid="{00000000-0005-0000-0000-0000D3CB0000}"/>
    <cellStyle name="Style 33 6 6 5" xfId="52175" xr:uid="{00000000-0005-0000-0000-0000D4CB0000}"/>
    <cellStyle name="Style 33 6 6 6" xfId="52176" xr:uid="{00000000-0005-0000-0000-0000D5CB0000}"/>
    <cellStyle name="Style 33 6 7" xfId="52177" xr:uid="{00000000-0005-0000-0000-0000D6CB0000}"/>
    <cellStyle name="Style 33 6 7 2" xfId="52178" xr:uid="{00000000-0005-0000-0000-0000D7CB0000}"/>
    <cellStyle name="Style 33 6 7 3" xfId="52179" xr:uid="{00000000-0005-0000-0000-0000D8CB0000}"/>
    <cellStyle name="Style 33 6 8" xfId="52180" xr:uid="{00000000-0005-0000-0000-0000D9CB0000}"/>
    <cellStyle name="Style 33 6 8 2" xfId="52181" xr:uid="{00000000-0005-0000-0000-0000DACB0000}"/>
    <cellStyle name="Style 33 6 8 3" xfId="52182" xr:uid="{00000000-0005-0000-0000-0000DBCB0000}"/>
    <cellStyle name="Style 33 6 9" xfId="52183" xr:uid="{00000000-0005-0000-0000-0000DCCB0000}"/>
    <cellStyle name="Style 33 6 9 2" xfId="52184" xr:uid="{00000000-0005-0000-0000-0000DDCB0000}"/>
    <cellStyle name="Style 33 6 9 3" xfId="52185" xr:uid="{00000000-0005-0000-0000-0000DECB0000}"/>
    <cellStyle name="Style 33 7" xfId="52186" xr:uid="{00000000-0005-0000-0000-0000DFCB0000}"/>
    <cellStyle name="Style 33 7 10" xfId="52187" xr:uid="{00000000-0005-0000-0000-0000E0CB0000}"/>
    <cellStyle name="Style 33 7 11" xfId="52188" xr:uid="{00000000-0005-0000-0000-0000E1CB0000}"/>
    <cellStyle name="Style 33 7 12" xfId="52189" xr:uid="{00000000-0005-0000-0000-0000E2CB0000}"/>
    <cellStyle name="Style 33 7 2" xfId="52190" xr:uid="{00000000-0005-0000-0000-0000E3CB0000}"/>
    <cellStyle name="Style 33 7 2 10" xfId="52191" xr:uid="{00000000-0005-0000-0000-0000E4CB0000}"/>
    <cellStyle name="Style 33 7 2 2" xfId="52192" xr:uid="{00000000-0005-0000-0000-0000E5CB0000}"/>
    <cellStyle name="Style 33 7 2 2 2" xfId="52193" xr:uid="{00000000-0005-0000-0000-0000E6CB0000}"/>
    <cellStyle name="Style 33 7 2 2 2 2" xfId="52194" xr:uid="{00000000-0005-0000-0000-0000E7CB0000}"/>
    <cellStyle name="Style 33 7 2 2 2 2 2" xfId="52195" xr:uid="{00000000-0005-0000-0000-0000E8CB0000}"/>
    <cellStyle name="Style 33 7 2 2 2 2 3" xfId="52196" xr:uid="{00000000-0005-0000-0000-0000E9CB0000}"/>
    <cellStyle name="Style 33 7 2 2 2 3" xfId="52197" xr:uid="{00000000-0005-0000-0000-0000EACB0000}"/>
    <cellStyle name="Style 33 7 2 2 2 3 2" xfId="52198" xr:uid="{00000000-0005-0000-0000-0000EBCB0000}"/>
    <cellStyle name="Style 33 7 2 2 2 3 3" xfId="52199" xr:uid="{00000000-0005-0000-0000-0000ECCB0000}"/>
    <cellStyle name="Style 33 7 2 2 2 4" xfId="52200" xr:uid="{00000000-0005-0000-0000-0000EDCB0000}"/>
    <cellStyle name="Style 33 7 2 2 2 5" xfId="52201" xr:uid="{00000000-0005-0000-0000-0000EECB0000}"/>
    <cellStyle name="Style 33 7 2 2 2 6" xfId="52202" xr:uid="{00000000-0005-0000-0000-0000EFCB0000}"/>
    <cellStyle name="Style 33 7 2 2 3" xfId="52203" xr:uid="{00000000-0005-0000-0000-0000F0CB0000}"/>
    <cellStyle name="Style 33 7 2 2 3 2" xfId="52204" xr:uid="{00000000-0005-0000-0000-0000F1CB0000}"/>
    <cellStyle name="Style 33 7 2 2 3 3" xfId="52205" xr:uid="{00000000-0005-0000-0000-0000F2CB0000}"/>
    <cellStyle name="Style 33 7 2 2 4" xfId="52206" xr:uid="{00000000-0005-0000-0000-0000F3CB0000}"/>
    <cellStyle name="Style 33 7 2 2 4 2" xfId="52207" xr:uid="{00000000-0005-0000-0000-0000F4CB0000}"/>
    <cellStyle name="Style 33 7 2 2 4 3" xfId="52208" xr:uid="{00000000-0005-0000-0000-0000F5CB0000}"/>
    <cellStyle name="Style 33 7 2 2 5" xfId="52209" xr:uid="{00000000-0005-0000-0000-0000F6CB0000}"/>
    <cellStyle name="Style 33 7 2 2 5 2" xfId="52210" xr:uid="{00000000-0005-0000-0000-0000F7CB0000}"/>
    <cellStyle name="Style 33 7 2 2 5 3" xfId="52211" xr:uid="{00000000-0005-0000-0000-0000F8CB0000}"/>
    <cellStyle name="Style 33 7 2 2 6" xfId="52212" xr:uid="{00000000-0005-0000-0000-0000F9CB0000}"/>
    <cellStyle name="Style 33 7 2 2 7" xfId="52213" xr:uid="{00000000-0005-0000-0000-0000FACB0000}"/>
    <cellStyle name="Style 33 7 2 2 8" xfId="52214" xr:uid="{00000000-0005-0000-0000-0000FBCB0000}"/>
    <cellStyle name="Style 33 7 2 3" xfId="52215" xr:uid="{00000000-0005-0000-0000-0000FCCB0000}"/>
    <cellStyle name="Style 33 7 2 3 2" xfId="52216" xr:uid="{00000000-0005-0000-0000-0000FDCB0000}"/>
    <cellStyle name="Style 33 7 2 3 2 2" xfId="52217" xr:uid="{00000000-0005-0000-0000-0000FECB0000}"/>
    <cellStyle name="Style 33 7 2 3 2 2 2" xfId="52218" xr:uid="{00000000-0005-0000-0000-0000FFCB0000}"/>
    <cellStyle name="Style 33 7 2 3 2 2 3" xfId="52219" xr:uid="{00000000-0005-0000-0000-000000CC0000}"/>
    <cellStyle name="Style 33 7 2 3 2 3" xfId="52220" xr:uid="{00000000-0005-0000-0000-000001CC0000}"/>
    <cellStyle name="Style 33 7 2 3 2 3 2" xfId="52221" xr:uid="{00000000-0005-0000-0000-000002CC0000}"/>
    <cellStyle name="Style 33 7 2 3 2 3 3" xfId="52222" xr:uid="{00000000-0005-0000-0000-000003CC0000}"/>
    <cellStyle name="Style 33 7 2 3 2 4" xfId="52223" xr:uid="{00000000-0005-0000-0000-000004CC0000}"/>
    <cellStyle name="Style 33 7 2 3 2 5" xfId="52224" xr:uid="{00000000-0005-0000-0000-000005CC0000}"/>
    <cellStyle name="Style 33 7 2 3 2 6" xfId="52225" xr:uid="{00000000-0005-0000-0000-000006CC0000}"/>
    <cellStyle name="Style 33 7 2 3 3" xfId="52226" xr:uid="{00000000-0005-0000-0000-000007CC0000}"/>
    <cellStyle name="Style 33 7 2 3 3 2" xfId="52227" xr:uid="{00000000-0005-0000-0000-000008CC0000}"/>
    <cellStyle name="Style 33 7 2 3 3 3" xfId="52228" xr:uid="{00000000-0005-0000-0000-000009CC0000}"/>
    <cellStyle name="Style 33 7 2 3 4" xfId="52229" xr:uid="{00000000-0005-0000-0000-00000ACC0000}"/>
    <cellStyle name="Style 33 7 2 3 4 2" xfId="52230" xr:uid="{00000000-0005-0000-0000-00000BCC0000}"/>
    <cellStyle name="Style 33 7 2 3 4 3" xfId="52231" xr:uid="{00000000-0005-0000-0000-00000CCC0000}"/>
    <cellStyle name="Style 33 7 2 3 5" xfId="52232" xr:uid="{00000000-0005-0000-0000-00000DCC0000}"/>
    <cellStyle name="Style 33 7 2 3 5 2" xfId="52233" xr:uid="{00000000-0005-0000-0000-00000ECC0000}"/>
    <cellStyle name="Style 33 7 2 3 5 3" xfId="52234" xr:uid="{00000000-0005-0000-0000-00000FCC0000}"/>
    <cellStyle name="Style 33 7 2 3 6" xfId="52235" xr:uid="{00000000-0005-0000-0000-000010CC0000}"/>
    <cellStyle name="Style 33 7 2 3 7" xfId="52236" xr:uid="{00000000-0005-0000-0000-000011CC0000}"/>
    <cellStyle name="Style 33 7 2 3 8" xfId="52237" xr:uid="{00000000-0005-0000-0000-000012CC0000}"/>
    <cellStyle name="Style 33 7 2 4" xfId="52238" xr:uid="{00000000-0005-0000-0000-000013CC0000}"/>
    <cellStyle name="Style 33 7 2 4 2" xfId="52239" xr:uid="{00000000-0005-0000-0000-000014CC0000}"/>
    <cellStyle name="Style 33 7 2 4 2 2" xfId="52240" xr:uid="{00000000-0005-0000-0000-000015CC0000}"/>
    <cellStyle name="Style 33 7 2 4 2 3" xfId="52241" xr:uid="{00000000-0005-0000-0000-000016CC0000}"/>
    <cellStyle name="Style 33 7 2 4 3" xfId="52242" xr:uid="{00000000-0005-0000-0000-000017CC0000}"/>
    <cellStyle name="Style 33 7 2 4 3 2" xfId="52243" xr:uid="{00000000-0005-0000-0000-000018CC0000}"/>
    <cellStyle name="Style 33 7 2 4 3 3" xfId="52244" xr:uid="{00000000-0005-0000-0000-000019CC0000}"/>
    <cellStyle name="Style 33 7 2 4 4" xfId="52245" xr:uid="{00000000-0005-0000-0000-00001ACC0000}"/>
    <cellStyle name="Style 33 7 2 4 5" xfId="52246" xr:uid="{00000000-0005-0000-0000-00001BCC0000}"/>
    <cellStyle name="Style 33 7 2 4 6" xfId="52247" xr:uid="{00000000-0005-0000-0000-00001CCC0000}"/>
    <cellStyle name="Style 33 7 2 5" xfId="52248" xr:uid="{00000000-0005-0000-0000-00001DCC0000}"/>
    <cellStyle name="Style 33 7 2 5 2" xfId="52249" xr:uid="{00000000-0005-0000-0000-00001ECC0000}"/>
    <cellStyle name="Style 33 7 2 5 3" xfId="52250" xr:uid="{00000000-0005-0000-0000-00001FCC0000}"/>
    <cellStyle name="Style 33 7 2 6" xfId="52251" xr:uid="{00000000-0005-0000-0000-000020CC0000}"/>
    <cellStyle name="Style 33 7 2 6 2" xfId="52252" xr:uid="{00000000-0005-0000-0000-000021CC0000}"/>
    <cellStyle name="Style 33 7 2 6 3" xfId="52253" xr:uid="{00000000-0005-0000-0000-000022CC0000}"/>
    <cellStyle name="Style 33 7 2 7" xfId="52254" xr:uid="{00000000-0005-0000-0000-000023CC0000}"/>
    <cellStyle name="Style 33 7 2 7 2" xfId="52255" xr:uid="{00000000-0005-0000-0000-000024CC0000}"/>
    <cellStyle name="Style 33 7 2 7 3" xfId="52256" xr:uid="{00000000-0005-0000-0000-000025CC0000}"/>
    <cellStyle name="Style 33 7 2 8" xfId="52257" xr:uid="{00000000-0005-0000-0000-000026CC0000}"/>
    <cellStyle name="Style 33 7 2 9" xfId="52258" xr:uid="{00000000-0005-0000-0000-000027CC0000}"/>
    <cellStyle name="Style 33 7 3" xfId="52259" xr:uid="{00000000-0005-0000-0000-000028CC0000}"/>
    <cellStyle name="Style 33 7 3 2" xfId="52260" xr:uid="{00000000-0005-0000-0000-000029CC0000}"/>
    <cellStyle name="Style 33 7 3 2 2" xfId="52261" xr:uid="{00000000-0005-0000-0000-00002ACC0000}"/>
    <cellStyle name="Style 33 7 3 2 2 2" xfId="52262" xr:uid="{00000000-0005-0000-0000-00002BCC0000}"/>
    <cellStyle name="Style 33 7 3 2 2 3" xfId="52263" xr:uid="{00000000-0005-0000-0000-00002CCC0000}"/>
    <cellStyle name="Style 33 7 3 2 3" xfId="52264" xr:uid="{00000000-0005-0000-0000-00002DCC0000}"/>
    <cellStyle name="Style 33 7 3 2 3 2" xfId="52265" xr:uid="{00000000-0005-0000-0000-00002ECC0000}"/>
    <cellStyle name="Style 33 7 3 2 3 3" xfId="52266" xr:uid="{00000000-0005-0000-0000-00002FCC0000}"/>
    <cellStyle name="Style 33 7 3 2 4" xfId="52267" xr:uid="{00000000-0005-0000-0000-000030CC0000}"/>
    <cellStyle name="Style 33 7 3 2 5" xfId="52268" xr:uid="{00000000-0005-0000-0000-000031CC0000}"/>
    <cellStyle name="Style 33 7 3 2 6" xfId="52269" xr:uid="{00000000-0005-0000-0000-000032CC0000}"/>
    <cellStyle name="Style 33 7 3 3" xfId="52270" xr:uid="{00000000-0005-0000-0000-000033CC0000}"/>
    <cellStyle name="Style 33 7 3 3 2" xfId="52271" xr:uid="{00000000-0005-0000-0000-000034CC0000}"/>
    <cellStyle name="Style 33 7 3 3 3" xfId="52272" xr:uid="{00000000-0005-0000-0000-000035CC0000}"/>
    <cellStyle name="Style 33 7 3 4" xfId="52273" xr:uid="{00000000-0005-0000-0000-000036CC0000}"/>
    <cellStyle name="Style 33 7 3 4 2" xfId="52274" xr:uid="{00000000-0005-0000-0000-000037CC0000}"/>
    <cellStyle name="Style 33 7 3 4 3" xfId="52275" xr:uid="{00000000-0005-0000-0000-000038CC0000}"/>
    <cellStyle name="Style 33 7 3 5" xfId="52276" xr:uid="{00000000-0005-0000-0000-000039CC0000}"/>
    <cellStyle name="Style 33 7 3 5 2" xfId="52277" xr:uid="{00000000-0005-0000-0000-00003ACC0000}"/>
    <cellStyle name="Style 33 7 3 5 3" xfId="52278" xr:uid="{00000000-0005-0000-0000-00003BCC0000}"/>
    <cellStyle name="Style 33 7 3 6" xfId="52279" xr:uid="{00000000-0005-0000-0000-00003CCC0000}"/>
    <cellStyle name="Style 33 7 3 7" xfId="52280" xr:uid="{00000000-0005-0000-0000-00003DCC0000}"/>
    <cellStyle name="Style 33 7 3 8" xfId="52281" xr:uid="{00000000-0005-0000-0000-00003ECC0000}"/>
    <cellStyle name="Style 33 7 4" xfId="52282" xr:uid="{00000000-0005-0000-0000-00003FCC0000}"/>
    <cellStyle name="Style 33 7 4 2" xfId="52283" xr:uid="{00000000-0005-0000-0000-000040CC0000}"/>
    <cellStyle name="Style 33 7 4 2 2" xfId="52284" xr:uid="{00000000-0005-0000-0000-000041CC0000}"/>
    <cellStyle name="Style 33 7 4 2 2 2" xfId="52285" xr:uid="{00000000-0005-0000-0000-000042CC0000}"/>
    <cellStyle name="Style 33 7 4 2 2 3" xfId="52286" xr:uid="{00000000-0005-0000-0000-000043CC0000}"/>
    <cellStyle name="Style 33 7 4 2 3" xfId="52287" xr:uid="{00000000-0005-0000-0000-000044CC0000}"/>
    <cellStyle name="Style 33 7 4 2 3 2" xfId="52288" xr:uid="{00000000-0005-0000-0000-000045CC0000}"/>
    <cellStyle name="Style 33 7 4 2 3 3" xfId="52289" xr:uid="{00000000-0005-0000-0000-000046CC0000}"/>
    <cellStyle name="Style 33 7 4 2 4" xfId="52290" xr:uid="{00000000-0005-0000-0000-000047CC0000}"/>
    <cellStyle name="Style 33 7 4 2 5" xfId="52291" xr:uid="{00000000-0005-0000-0000-000048CC0000}"/>
    <cellStyle name="Style 33 7 4 2 6" xfId="52292" xr:uid="{00000000-0005-0000-0000-000049CC0000}"/>
    <cellStyle name="Style 33 7 4 3" xfId="52293" xr:uid="{00000000-0005-0000-0000-00004ACC0000}"/>
    <cellStyle name="Style 33 7 4 3 2" xfId="52294" xr:uid="{00000000-0005-0000-0000-00004BCC0000}"/>
    <cellStyle name="Style 33 7 4 3 3" xfId="52295" xr:uid="{00000000-0005-0000-0000-00004CCC0000}"/>
    <cellStyle name="Style 33 7 4 4" xfId="52296" xr:uid="{00000000-0005-0000-0000-00004DCC0000}"/>
    <cellStyle name="Style 33 7 4 4 2" xfId="52297" xr:uid="{00000000-0005-0000-0000-00004ECC0000}"/>
    <cellStyle name="Style 33 7 4 4 3" xfId="52298" xr:uid="{00000000-0005-0000-0000-00004FCC0000}"/>
    <cellStyle name="Style 33 7 4 5" xfId="52299" xr:uid="{00000000-0005-0000-0000-000050CC0000}"/>
    <cellStyle name="Style 33 7 4 5 2" xfId="52300" xr:uid="{00000000-0005-0000-0000-000051CC0000}"/>
    <cellStyle name="Style 33 7 4 5 3" xfId="52301" xr:uid="{00000000-0005-0000-0000-000052CC0000}"/>
    <cellStyle name="Style 33 7 4 6" xfId="52302" xr:uid="{00000000-0005-0000-0000-000053CC0000}"/>
    <cellStyle name="Style 33 7 4 7" xfId="52303" xr:uid="{00000000-0005-0000-0000-000054CC0000}"/>
    <cellStyle name="Style 33 7 4 8" xfId="52304" xr:uid="{00000000-0005-0000-0000-000055CC0000}"/>
    <cellStyle name="Style 33 7 5" xfId="52305" xr:uid="{00000000-0005-0000-0000-000056CC0000}"/>
    <cellStyle name="Style 33 7 5 2" xfId="52306" xr:uid="{00000000-0005-0000-0000-000057CC0000}"/>
    <cellStyle name="Style 33 7 5 2 2" xfId="52307" xr:uid="{00000000-0005-0000-0000-000058CC0000}"/>
    <cellStyle name="Style 33 7 5 2 2 2" xfId="52308" xr:uid="{00000000-0005-0000-0000-000059CC0000}"/>
    <cellStyle name="Style 33 7 5 2 2 3" xfId="52309" xr:uid="{00000000-0005-0000-0000-00005ACC0000}"/>
    <cellStyle name="Style 33 7 5 2 3" xfId="52310" xr:uid="{00000000-0005-0000-0000-00005BCC0000}"/>
    <cellStyle name="Style 33 7 5 2 3 2" xfId="52311" xr:uid="{00000000-0005-0000-0000-00005CCC0000}"/>
    <cellStyle name="Style 33 7 5 2 3 3" xfId="52312" xr:uid="{00000000-0005-0000-0000-00005DCC0000}"/>
    <cellStyle name="Style 33 7 5 2 4" xfId="52313" xr:uid="{00000000-0005-0000-0000-00005ECC0000}"/>
    <cellStyle name="Style 33 7 5 2 5" xfId="52314" xr:uid="{00000000-0005-0000-0000-00005FCC0000}"/>
    <cellStyle name="Style 33 7 5 2 6" xfId="52315" xr:uid="{00000000-0005-0000-0000-000060CC0000}"/>
    <cellStyle name="Style 33 7 5 3" xfId="52316" xr:uid="{00000000-0005-0000-0000-000061CC0000}"/>
    <cellStyle name="Style 33 7 5 3 2" xfId="52317" xr:uid="{00000000-0005-0000-0000-000062CC0000}"/>
    <cellStyle name="Style 33 7 5 3 3" xfId="52318" xr:uid="{00000000-0005-0000-0000-000063CC0000}"/>
    <cellStyle name="Style 33 7 5 4" xfId="52319" xr:uid="{00000000-0005-0000-0000-000064CC0000}"/>
    <cellStyle name="Style 33 7 5 4 2" xfId="52320" xr:uid="{00000000-0005-0000-0000-000065CC0000}"/>
    <cellStyle name="Style 33 7 5 4 3" xfId="52321" xr:uid="{00000000-0005-0000-0000-000066CC0000}"/>
    <cellStyle name="Style 33 7 5 5" xfId="52322" xr:uid="{00000000-0005-0000-0000-000067CC0000}"/>
    <cellStyle name="Style 33 7 5 5 2" xfId="52323" xr:uid="{00000000-0005-0000-0000-000068CC0000}"/>
    <cellStyle name="Style 33 7 5 5 3" xfId="52324" xr:uid="{00000000-0005-0000-0000-000069CC0000}"/>
    <cellStyle name="Style 33 7 5 6" xfId="52325" xr:uid="{00000000-0005-0000-0000-00006ACC0000}"/>
    <cellStyle name="Style 33 7 5 7" xfId="52326" xr:uid="{00000000-0005-0000-0000-00006BCC0000}"/>
    <cellStyle name="Style 33 7 5 8" xfId="52327" xr:uid="{00000000-0005-0000-0000-00006CCC0000}"/>
    <cellStyle name="Style 33 7 6" xfId="52328" xr:uid="{00000000-0005-0000-0000-00006DCC0000}"/>
    <cellStyle name="Style 33 7 6 2" xfId="52329" xr:uid="{00000000-0005-0000-0000-00006ECC0000}"/>
    <cellStyle name="Style 33 7 6 2 2" xfId="52330" xr:uid="{00000000-0005-0000-0000-00006FCC0000}"/>
    <cellStyle name="Style 33 7 6 2 3" xfId="52331" xr:uid="{00000000-0005-0000-0000-000070CC0000}"/>
    <cellStyle name="Style 33 7 6 3" xfId="52332" xr:uid="{00000000-0005-0000-0000-000071CC0000}"/>
    <cellStyle name="Style 33 7 6 3 2" xfId="52333" xr:uid="{00000000-0005-0000-0000-000072CC0000}"/>
    <cellStyle name="Style 33 7 6 3 3" xfId="52334" xr:uid="{00000000-0005-0000-0000-000073CC0000}"/>
    <cellStyle name="Style 33 7 6 4" xfId="52335" xr:uid="{00000000-0005-0000-0000-000074CC0000}"/>
    <cellStyle name="Style 33 7 6 5" xfId="52336" xr:uid="{00000000-0005-0000-0000-000075CC0000}"/>
    <cellStyle name="Style 33 7 6 6" xfId="52337" xr:uid="{00000000-0005-0000-0000-000076CC0000}"/>
    <cellStyle name="Style 33 7 7" xfId="52338" xr:uid="{00000000-0005-0000-0000-000077CC0000}"/>
    <cellStyle name="Style 33 7 7 2" xfId="52339" xr:uid="{00000000-0005-0000-0000-000078CC0000}"/>
    <cellStyle name="Style 33 7 7 3" xfId="52340" xr:uid="{00000000-0005-0000-0000-000079CC0000}"/>
    <cellStyle name="Style 33 7 8" xfId="52341" xr:uid="{00000000-0005-0000-0000-00007ACC0000}"/>
    <cellStyle name="Style 33 7 8 2" xfId="52342" xr:uid="{00000000-0005-0000-0000-00007BCC0000}"/>
    <cellStyle name="Style 33 7 8 3" xfId="52343" xr:uid="{00000000-0005-0000-0000-00007CCC0000}"/>
    <cellStyle name="Style 33 7 9" xfId="52344" xr:uid="{00000000-0005-0000-0000-00007DCC0000}"/>
    <cellStyle name="Style 33 7 9 2" xfId="52345" xr:uid="{00000000-0005-0000-0000-00007ECC0000}"/>
    <cellStyle name="Style 33 7 9 3" xfId="52346" xr:uid="{00000000-0005-0000-0000-00007FCC0000}"/>
    <cellStyle name="Style 33 8" xfId="52347" xr:uid="{00000000-0005-0000-0000-000080CC0000}"/>
    <cellStyle name="Style 33 8 10" xfId="52348" xr:uid="{00000000-0005-0000-0000-000081CC0000}"/>
    <cellStyle name="Style 33 8 11" xfId="52349" xr:uid="{00000000-0005-0000-0000-000082CC0000}"/>
    <cellStyle name="Style 33 8 12" xfId="52350" xr:uid="{00000000-0005-0000-0000-000083CC0000}"/>
    <cellStyle name="Style 33 8 2" xfId="52351" xr:uid="{00000000-0005-0000-0000-000084CC0000}"/>
    <cellStyle name="Style 33 8 2 10" xfId="52352" xr:uid="{00000000-0005-0000-0000-000085CC0000}"/>
    <cellStyle name="Style 33 8 2 2" xfId="52353" xr:uid="{00000000-0005-0000-0000-000086CC0000}"/>
    <cellStyle name="Style 33 8 2 2 2" xfId="52354" xr:uid="{00000000-0005-0000-0000-000087CC0000}"/>
    <cellStyle name="Style 33 8 2 2 2 2" xfId="52355" xr:uid="{00000000-0005-0000-0000-000088CC0000}"/>
    <cellStyle name="Style 33 8 2 2 2 2 2" xfId="52356" xr:uid="{00000000-0005-0000-0000-000089CC0000}"/>
    <cellStyle name="Style 33 8 2 2 2 2 3" xfId="52357" xr:uid="{00000000-0005-0000-0000-00008ACC0000}"/>
    <cellStyle name="Style 33 8 2 2 2 3" xfId="52358" xr:uid="{00000000-0005-0000-0000-00008BCC0000}"/>
    <cellStyle name="Style 33 8 2 2 2 3 2" xfId="52359" xr:uid="{00000000-0005-0000-0000-00008CCC0000}"/>
    <cellStyle name="Style 33 8 2 2 2 3 3" xfId="52360" xr:uid="{00000000-0005-0000-0000-00008DCC0000}"/>
    <cellStyle name="Style 33 8 2 2 2 4" xfId="52361" xr:uid="{00000000-0005-0000-0000-00008ECC0000}"/>
    <cellStyle name="Style 33 8 2 2 2 5" xfId="52362" xr:uid="{00000000-0005-0000-0000-00008FCC0000}"/>
    <cellStyle name="Style 33 8 2 2 2 6" xfId="52363" xr:uid="{00000000-0005-0000-0000-000090CC0000}"/>
    <cellStyle name="Style 33 8 2 2 3" xfId="52364" xr:uid="{00000000-0005-0000-0000-000091CC0000}"/>
    <cellStyle name="Style 33 8 2 2 3 2" xfId="52365" xr:uid="{00000000-0005-0000-0000-000092CC0000}"/>
    <cellStyle name="Style 33 8 2 2 3 3" xfId="52366" xr:uid="{00000000-0005-0000-0000-000093CC0000}"/>
    <cellStyle name="Style 33 8 2 2 4" xfId="52367" xr:uid="{00000000-0005-0000-0000-000094CC0000}"/>
    <cellStyle name="Style 33 8 2 2 4 2" xfId="52368" xr:uid="{00000000-0005-0000-0000-000095CC0000}"/>
    <cellStyle name="Style 33 8 2 2 4 3" xfId="52369" xr:uid="{00000000-0005-0000-0000-000096CC0000}"/>
    <cellStyle name="Style 33 8 2 2 5" xfId="52370" xr:uid="{00000000-0005-0000-0000-000097CC0000}"/>
    <cellStyle name="Style 33 8 2 2 5 2" xfId="52371" xr:uid="{00000000-0005-0000-0000-000098CC0000}"/>
    <cellStyle name="Style 33 8 2 2 5 3" xfId="52372" xr:uid="{00000000-0005-0000-0000-000099CC0000}"/>
    <cellStyle name="Style 33 8 2 2 6" xfId="52373" xr:uid="{00000000-0005-0000-0000-00009ACC0000}"/>
    <cellStyle name="Style 33 8 2 2 7" xfId="52374" xr:uid="{00000000-0005-0000-0000-00009BCC0000}"/>
    <cellStyle name="Style 33 8 2 2 8" xfId="52375" xr:uid="{00000000-0005-0000-0000-00009CCC0000}"/>
    <cellStyle name="Style 33 8 2 3" xfId="52376" xr:uid="{00000000-0005-0000-0000-00009DCC0000}"/>
    <cellStyle name="Style 33 8 2 3 2" xfId="52377" xr:uid="{00000000-0005-0000-0000-00009ECC0000}"/>
    <cellStyle name="Style 33 8 2 3 2 2" xfId="52378" xr:uid="{00000000-0005-0000-0000-00009FCC0000}"/>
    <cellStyle name="Style 33 8 2 3 2 2 2" xfId="52379" xr:uid="{00000000-0005-0000-0000-0000A0CC0000}"/>
    <cellStyle name="Style 33 8 2 3 2 2 3" xfId="52380" xr:uid="{00000000-0005-0000-0000-0000A1CC0000}"/>
    <cellStyle name="Style 33 8 2 3 2 3" xfId="52381" xr:uid="{00000000-0005-0000-0000-0000A2CC0000}"/>
    <cellStyle name="Style 33 8 2 3 2 3 2" xfId="52382" xr:uid="{00000000-0005-0000-0000-0000A3CC0000}"/>
    <cellStyle name="Style 33 8 2 3 2 3 3" xfId="52383" xr:uid="{00000000-0005-0000-0000-0000A4CC0000}"/>
    <cellStyle name="Style 33 8 2 3 2 4" xfId="52384" xr:uid="{00000000-0005-0000-0000-0000A5CC0000}"/>
    <cellStyle name="Style 33 8 2 3 2 5" xfId="52385" xr:uid="{00000000-0005-0000-0000-0000A6CC0000}"/>
    <cellStyle name="Style 33 8 2 3 2 6" xfId="52386" xr:uid="{00000000-0005-0000-0000-0000A7CC0000}"/>
    <cellStyle name="Style 33 8 2 3 3" xfId="52387" xr:uid="{00000000-0005-0000-0000-0000A8CC0000}"/>
    <cellStyle name="Style 33 8 2 3 3 2" xfId="52388" xr:uid="{00000000-0005-0000-0000-0000A9CC0000}"/>
    <cellStyle name="Style 33 8 2 3 3 3" xfId="52389" xr:uid="{00000000-0005-0000-0000-0000AACC0000}"/>
    <cellStyle name="Style 33 8 2 3 4" xfId="52390" xr:uid="{00000000-0005-0000-0000-0000ABCC0000}"/>
    <cellStyle name="Style 33 8 2 3 4 2" xfId="52391" xr:uid="{00000000-0005-0000-0000-0000ACCC0000}"/>
    <cellStyle name="Style 33 8 2 3 4 3" xfId="52392" xr:uid="{00000000-0005-0000-0000-0000ADCC0000}"/>
    <cellStyle name="Style 33 8 2 3 5" xfId="52393" xr:uid="{00000000-0005-0000-0000-0000AECC0000}"/>
    <cellStyle name="Style 33 8 2 3 5 2" xfId="52394" xr:uid="{00000000-0005-0000-0000-0000AFCC0000}"/>
    <cellStyle name="Style 33 8 2 3 5 3" xfId="52395" xr:uid="{00000000-0005-0000-0000-0000B0CC0000}"/>
    <cellStyle name="Style 33 8 2 3 6" xfId="52396" xr:uid="{00000000-0005-0000-0000-0000B1CC0000}"/>
    <cellStyle name="Style 33 8 2 3 7" xfId="52397" xr:uid="{00000000-0005-0000-0000-0000B2CC0000}"/>
    <cellStyle name="Style 33 8 2 3 8" xfId="52398" xr:uid="{00000000-0005-0000-0000-0000B3CC0000}"/>
    <cellStyle name="Style 33 8 2 4" xfId="52399" xr:uid="{00000000-0005-0000-0000-0000B4CC0000}"/>
    <cellStyle name="Style 33 8 2 4 2" xfId="52400" xr:uid="{00000000-0005-0000-0000-0000B5CC0000}"/>
    <cellStyle name="Style 33 8 2 4 2 2" xfId="52401" xr:uid="{00000000-0005-0000-0000-0000B6CC0000}"/>
    <cellStyle name="Style 33 8 2 4 2 3" xfId="52402" xr:uid="{00000000-0005-0000-0000-0000B7CC0000}"/>
    <cellStyle name="Style 33 8 2 4 3" xfId="52403" xr:uid="{00000000-0005-0000-0000-0000B8CC0000}"/>
    <cellStyle name="Style 33 8 2 4 3 2" xfId="52404" xr:uid="{00000000-0005-0000-0000-0000B9CC0000}"/>
    <cellStyle name="Style 33 8 2 4 3 3" xfId="52405" xr:uid="{00000000-0005-0000-0000-0000BACC0000}"/>
    <cellStyle name="Style 33 8 2 4 4" xfId="52406" xr:uid="{00000000-0005-0000-0000-0000BBCC0000}"/>
    <cellStyle name="Style 33 8 2 4 5" xfId="52407" xr:uid="{00000000-0005-0000-0000-0000BCCC0000}"/>
    <cellStyle name="Style 33 8 2 4 6" xfId="52408" xr:uid="{00000000-0005-0000-0000-0000BDCC0000}"/>
    <cellStyle name="Style 33 8 2 5" xfId="52409" xr:uid="{00000000-0005-0000-0000-0000BECC0000}"/>
    <cellStyle name="Style 33 8 2 5 2" xfId="52410" xr:uid="{00000000-0005-0000-0000-0000BFCC0000}"/>
    <cellStyle name="Style 33 8 2 5 3" xfId="52411" xr:uid="{00000000-0005-0000-0000-0000C0CC0000}"/>
    <cellStyle name="Style 33 8 2 6" xfId="52412" xr:uid="{00000000-0005-0000-0000-0000C1CC0000}"/>
    <cellStyle name="Style 33 8 2 6 2" xfId="52413" xr:uid="{00000000-0005-0000-0000-0000C2CC0000}"/>
    <cellStyle name="Style 33 8 2 6 3" xfId="52414" xr:uid="{00000000-0005-0000-0000-0000C3CC0000}"/>
    <cellStyle name="Style 33 8 2 7" xfId="52415" xr:uid="{00000000-0005-0000-0000-0000C4CC0000}"/>
    <cellStyle name="Style 33 8 2 7 2" xfId="52416" xr:uid="{00000000-0005-0000-0000-0000C5CC0000}"/>
    <cellStyle name="Style 33 8 2 7 3" xfId="52417" xr:uid="{00000000-0005-0000-0000-0000C6CC0000}"/>
    <cellStyle name="Style 33 8 2 8" xfId="52418" xr:uid="{00000000-0005-0000-0000-0000C7CC0000}"/>
    <cellStyle name="Style 33 8 2 9" xfId="52419" xr:uid="{00000000-0005-0000-0000-0000C8CC0000}"/>
    <cellStyle name="Style 33 8 3" xfId="52420" xr:uid="{00000000-0005-0000-0000-0000C9CC0000}"/>
    <cellStyle name="Style 33 8 3 2" xfId="52421" xr:uid="{00000000-0005-0000-0000-0000CACC0000}"/>
    <cellStyle name="Style 33 8 3 2 2" xfId="52422" xr:uid="{00000000-0005-0000-0000-0000CBCC0000}"/>
    <cellStyle name="Style 33 8 3 2 2 2" xfId="52423" xr:uid="{00000000-0005-0000-0000-0000CCCC0000}"/>
    <cellStyle name="Style 33 8 3 2 2 3" xfId="52424" xr:uid="{00000000-0005-0000-0000-0000CDCC0000}"/>
    <cellStyle name="Style 33 8 3 2 3" xfId="52425" xr:uid="{00000000-0005-0000-0000-0000CECC0000}"/>
    <cellStyle name="Style 33 8 3 2 3 2" xfId="52426" xr:uid="{00000000-0005-0000-0000-0000CFCC0000}"/>
    <cellStyle name="Style 33 8 3 2 3 3" xfId="52427" xr:uid="{00000000-0005-0000-0000-0000D0CC0000}"/>
    <cellStyle name="Style 33 8 3 2 4" xfId="52428" xr:uid="{00000000-0005-0000-0000-0000D1CC0000}"/>
    <cellStyle name="Style 33 8 3 2 5" xfId="52429" xr:uid="{00000000-0005-0000-0000-0000D2CC0000}"/>
    <cellStyle name="Style 33 8 3 2 6" xfId="52430" xr:uid="{00000000-0005-0000-0000-0000D3CC0000}"/>
    <cellStyle name="Style 33 8 3 3" xfId="52431" xr:uid="{00000000-0005-0000-0000-0000D4CC0000}"/>
    <cellStyle name="Style 33 8 3 3 2" xfId="52432" xr:uid="{00000000-0005-0000-0000-0000D5CC0000}"/>
    <cellStyle name="Style 33 8 3 3 3" xfId="52433" xr:uid="{00000000-0005-0000-0000-0000D6CC0000}"/>
    <cellStyle name="Style 33 8 3 4" xfId="52434" xr:uid="{00000000-0005-0000-0000-0000D7CC0000}"/>
    <cellStyle name="Style 33 8 3 4 2" xfId="52435" xr:uid="{00000000-0005-0000-0000-0000D8CC0000}"/>
    <cellStyle name="Style 33 8 3 4 3" xfId="52436" xr:uid="{00000000-0005-0000-0000-0000D9CC0000}"/>
    <cellStyle name="Style 33 8 3 5" xfId="52437" xr:uid="{00000000-0005-0000-0000-0000DACC0000}"/>
    <cellStyle name="Style 33 8 3 5 2" xfId="52438" xr:uid="{00000000-0005-0000-0000-0000DBCC0000}"/>
    <cellStyle name="Style 33 8 3 5 3" xfId="52439" xr:uid="{00000000-0005-0000-0000-0000DCCC0000}"/>
    <cellStyle name="Style 33 8 3 6" xfId="52440" xr:uid="{00000000-0005-0000-0000-0000DDCC0000}"/>
    <cellStyle name="Style 33 8 3 7" xfId="52441" xr:uid="{00000000-0005-0000-0000-0000DECC0000}"/>
    <cellStyle name="Style 33 8 3 8" xfId="52442" xr:uid="{00000000-0005-0000-0000-0000DFCC0000}"/>
    <cellStyle name="Style 33 8 4" xfId="52443" xr:uid="{00000000-0005-0000-0000-0000E0CC0000}"/>
    <cellStyle name="Style 33 8 4 2" xfId="52444" xr:uid="{00000000-0005-0000-0000-0000E1CC0000}"/>
    <cellStyle name="Style 33 8 4 2 2" xfId="52445" xr:uid="{00000000-0005-0000-0000-0000E2CC0000}"/>
    <cellStyle name="Style 33 8 4 2 2 2" xfId="52446" xr:uid="{00000000-0005-0000-0000-0000E3CC0000}"/>
    <cellStyle name="Style 33 8 4 2 2 3" xfId="52447" xr:uid="{00000000-0005-0000-0000-0000E4CC0000}"/>
    <cellStyle name="Style 33 8 4 2 3" xfId="52448" xr:uid="{00000000-0005-0000-0000-0000E5CC0000}"/>
    <cellStyle name="Style 33 8 4 2 3 2" xfId="52449" xr:uid="{00000000-0005-0000-0000-0000E6CC0000}"/>
    <cellStyle name="Style 33 8 4 2 3 3" xfId="52450" xr:uid="{00000000-0005-0000-0000-0000E7CC0000}"/>
    <cellStyle name="Style 33 8 4 2 4" xfId="52451" xr:uid="{00000000-0005-0000-0000-0000E8CC0000}"/>
    <cellStyle name="Style 33 8 4 2 5" xfId="52452" xr:uid="{00000000-0005-0000-0000-0000E9CC0000}"/>
    <cellStyle name="Style 33 8 4 2 6" xfId="52453" xr:uid="{00000000-0005-0000-0000-0000EACC0000}"/>
    <cellStyle name="Style 33 8 4 3" xfId="52454" xr:uid="{00000000-0005-0000-0000-0000EBCC0000}"/>
    <cellStyle name="Style 33 8 4 3 2" xfId="52455" xr:uid="{00000000-0005-0000-0000-0000ECCC0000}"/>
    <cellStyle name="Style 33 8 4 3 3" xfId="52456" xr:uid="{00000000-0005-0000-0000-0000EDCC0000}"/>
    <cellStyle name="Style 33 8 4 4" xfId="52457" xr:uid="{00000000-0005-0000-0000-0000EECC0000}"/>
    <cellStyle name="Style 33 8 4 4 2" xfId="52458" xr:uid="{00000000-0005-0000-0000-0000EFCC0000}"/>
    <cellStyle name="Style 33 8 4 4 3" xfId="52459" xr:uid="{00000000-0005-0000-0000-0000F0CC0000}"/>
    <cellStyle name="Style 33 8 4 5" xfId="52460" xr:uid="{00000000-0005-0000-0000-0000F1CC0000}"/>
    <cellStyle name="Style 33 8 4 5 2" xfId="52461" xr:uid="{00000000-0005-0000-0000-0000F2CC0000}"/>
    <cellStyle name="Style 33 8 4 5 3" xfId="52462" xr:uid="{00000000-0005-0000-0000-0000F3CC0000}"/>
    <cellStyle name="Style 33 8 4 6" xfId="52463" xr:uid="{00000000-0005-0000-0000-0000F4CC0000}"/>
    <cellStyle name="Style 33 8 4 7" xfId="52464" xr:uid="{00000000-0005-0000-0000-0000F5CC0000}"/>
    <cellStyle name="Style 33 8 4 8" xfId="52465" xr:uid="{00000000-0005-0000-0000-0000F6CC0000}"/>
    <cellStyle name="Style 33 8 5" xfId="52466" xr:uid="{00000000-0005-0000-0000-0000F7CC0000}"/>
    <cellStyle name="Style 33 8 5 2" xfId="52467" xr:uid="{00000000-0005-0000-0000-0000F8CC0000}"/>
    <cellStyle name="Style 33 8 5 2 2" xfId="52468" xr:uid="{00000000-0005-0000-0000-0000F9CC0000}"/>
    <cellStyle name="Style 33 8 5 2 2 2" xfId="52469" xr:uid="{00000000-0005-0000-0000-0000FACC0000}"/>
    <cellStyle name="Style 33 8 5 2 2 3" xfId="52470" xr:uid="{00000000-0005-0000-0000-0000FBCC0000}"/>
    <cellStyle name="Style 33 8 5 2 3" xfId="52471" xr:uid="{00000000-0005-0000-0000-0000FCCC0000}"/>
    <cellStyle name="Style 33 8 5 2 3 2" xfId="52472" xr:uid="{00000000-0005-0000-0000-0000FDCC0000}"/>
    <cellStyle name="Style 33 8 5 2 3 3" xfId="52473" xr:uid="{00000000-0005-0000-0000-0000FECC0000}"/>
    <cellStyle name="Style 33 8 5 2 4" xfId="52474" xr:uid="{00000000-0005-0000-0000-0000FFCC0000}"/>
    <cellStyle name="Style 33 8 5 2 5" xfId="52475" xr:uid="{00000000-0005-0000-0000-000000CD0000}"/>
    <cellStyle name="Style 33 8 5 2 6" xfId="52476" xr:uid="{00000000-0005-0000-0000-000001CD0000}"/>
    <cellStyle name="Style 33 8 5 3" xfId="52477" xr:uid="{00000000-0005-0000-0000-000002CD0000}"/>
    <cellStyle name="Style 33 8 5 3 2" xfId="52478" xr:uid="{00000000-0005-0000-0000-000003CD0000}"/>
    <cellStyle name="Style 33 8 5 3 3" xfId="52479" xr:uid="{00000000-0005-0000-0000-000004CD0000}"/>
    <cellStyle name="Style 33 8 5 4" xfId="52480" xr:uid="{00000000-0005-0000-0000-000005CD0000}"/>
    <cellStyle name="Style 33 8 5 4 2" xfId="52481" xr:uid="{00000000-0005-0000-0000-000006CD0000}"/>
    <cellStyle name="Style 33 8 5 4 3" xfId="52482" xr:uid="{00000000-0005-0000-0000-000007CD0000}"/>
    <cellStyle name="Style 33 8 5 5" xfId="52483" xr:uid="{00000000-0005-0000-0000-000008CD0000}"/>
    <cellStyle name="Style 33 8 5 5 2" xfId="52484" xr:uid="{00000000-0005-0000-0000-000009CD0000}"/>
    <cellStyle name="Style 33 8 5 5 3" xfId="52485" xr:uid="{00000000-0005-0000-0000-00000ACD0000}"/>
    <cellStyle name="Style 33 8 5 6" xfId="52486" xr:uid="{00000000-0005-0000-0000-00000BCD0000}"/>
    <cellStyle name="Style 33 8 5 7" xfId="52487" xr:uid="{00000000-0005-0000-0000-00000CCD0000}"/>
    <cellStyle name="Style 33 8 5 8" xfId="52488" xr:uid="{00000000-0005-0000-0000-00000DCD0000}"/>
    <cellStyle name="Style 33 8 6" xfId="52489" xr:uid="{00000000-0005-0000-0000-00000ECD0000}"/>
    <cellStyle name="Style 33 8 6 2" xfId="52490" xr:uid="{00000000-0005-0000-0000-00000FCD0000}"/>
    <cellStyle name="Style 33 8 6 2 2" xfId="52491" xr:uid="{00000000-0005-0000-0000-000010CD0000}"/>
    <cellStyle name="Style 33 8 6 2 3" xfId="52492" xr:uid="{00000000-0005-0000-0000-000011CD0000}"/>
    <cellStyle name="Style 33 8 6 3" xfId="52493" xr:uid="{00000000-0005-0000-0000-000012CD0000}"/>
    <cellStyle name="Style 33 8 6 3 2" xfId="52494" xr:uid="{00000000-0005-0000-0000-000013CD0000}"/>
    <cellStyle name="Style 33 8 6 3 3" xfId="52495" xr:uid="{00000000-0005-0000-0000-000014CD0000}"/>
    <cellStyle name="Style 33 8 6 4" xfId="52496" xr:uid="{00000000-0005-0000-0000-000015CD0000}"/>
    <cellStyle name="Style 33 8 6 5" xfId="52497" xr:uid="{00000000-0005-0000-0000-000016CD0000}"/>
    <cellStyle name="Style 33 8 6 6" xfId="52498" xr:uid="{00000000-0005-0000-0000-000017CD0000}"/>
    <cellStyle name="Style 33 8 7" xfId="52499" xr:uid="{00000000-0005-0000-0000-000018CD0000}"/>
    <cellStyle name="Style 33 8 7 2" xfId="52500" xr:uid="{00000000-0005-0000-0000-000019CD0000}"/>
    <cellStyle name="Style 33 8 7 3" xfId="52501" xr:uid="{00000000-0005-0000-0000-00001ACD0000}"/>
    <cellStyle name="Style 33 8 8" xfId="52502" xr:uid="{00000000-0005-0000-0000-00001BCD0000}"/>
    <cellStyle name="Style 33 8 8 2" xfId="52503" xr:uid="{00000000-0005-0000-0000-00001CCD0000}"/>
    <cellStyle name="Style 33 8 8 3" xfId="52504" xr:uid="{00000000-0005-0000-0000-00001DCD0000}"/>
    <cellStyle name="Style 33 8 9" xfId="52505" xr:uid="{00000000-0005-0000-0000-00001ECD0000}"/>
    <cellStyle name="Style 33 8 9 2" xfId="52506" xr:uid="{00000000-0005-0000-0000-00001FCD0000}"/>
    <cellStyle name="Style 33 8 9 3" xfId="52507" xr:uid="{00000000-0005-0000-0000-000020CD0000}"/>
    <cellStyle name="Style 33 9" xfId="52508" xr:uid="{00000000-0005-0000-0000-000021CD0000}"/>
    <cellStyle name="Style 33 9 10" xfId="52509" xr:uid="{00000000-0005-0000-0000-000022CD0000}"/>
    <cellStyle name="Style 33 9 11" xfId="52510" xr:uid="{00000000-0005-0000-0000-000023CD0000}"/>
    <cellStyle name="Style 33 9 12" xfId="52511" xr:uid="{00000000-0005-0000-0000-000024CD0000}"/>
    <cellStyle name="Style 33 9 2" xfId="52512" xr:uid="{00000000-0005-0000-0000-000025CD0000}"/>
    <cellStyle name="Style 33 9 2 10" xfId="52513" xr:uid="{00000000-0005-0000-0000-000026CD0000}"/>
    <cellStyle name="Style 33 9 2 2" xfId="52514" xr:uid="{00000000-0005-0000-0000-000027CD0000}"/>
    <cellStyle name="Style 33 9 2 2 2" xfId="52515" xr:uid="{00000000-0005-0000-0000-000028CD0000}"/>
    <cellStyle name="Style 33 9 2 2 2 2" xfId="52516" xr:uid="{00000000-0005-0000-0000-000029CD0000}"/>
    <cellStyle name="Style 33 9 2 2 2 2 2" xfId="52517" xr:uid="{00000000-0005-0000-0000-00002ACD0000}"/>
    <cellStyle name="Style 33 9 2 2 2 2 3" xfId="52518" xr:uid="{00000000-0005-0000-0000-00002BCD0000}"/>
    <cellStyle name="Style 33 9 2 2 2 3" xfId="52519" xr:uid="{00000000-0005-0000-0000-00002CCD0000}"/>
    <cellStyle name="Style 33 9 2 2 2 3 2" xfId="52520" xr:uid="{00000000-0005-0000-0000-00002DCD0000}"/>
    <cellStyle name="Style 33 9 2 2 2 3 3" xfId="52521" xr:uid="{00000000-0005-0000-0000-00002ECD0000}"/>
    <cellStyle name="Style 33 9 2 2 2 4" xfId="52522" xr:uid="{00000000-0005-0000-0000-00002FCD0000}"/>
    <cellStyle name="Style 33 9 2 2 2 5" xfId="52523" xr:uid="{00000000-0005-0000-0000-000030CD0000}"/>
    <cellStyle name="Style 33 9 2 2 2 6" xfId="52524" xr:uid="{00000000-0005-0000-0000-000031CD0000}"/>
    <cellStyle name="Style 33 9 2 2 3" xfId="52525" xr:uid="{00000000-0005-0000-0000-000032CD0000}"/>
    <cellStyle name="Style 33 9 2 2 3 2" xfId="52526" xr:uid="{00000000-0005-0000-0000-000033CD0000}"/>
    <cellStyle name="Style 33 9 2 2 3 3" xfId="52527" xr:uid="{00000000-0005-0000-0000-000034CD0000}"/>
    <cellStyle name="Style 33 9 2 2 4" xfId="52528" xr:uid="{00000000-0005-0000-0000-000035CD0000}"/>
    <cellStyle name="Style 33 9 2 2 4 2" xfId="52529" xr:uid="{00000000-0005-0000-0000-000036CD0000}"/>
    <cellStyle name="Style 33 9 2 2 4 3" xfId="52530" xr:uid="{00000000-0005-0000-0000-000037CD0000}"/>
    <cellStyle name="Style 33 9 2 2 5" xfId="52531" xr:uid="{00000000-0005-0000-0000-000038CD0000}"/>
    <cellStyle name="Style 33 9 2 2 5 2" xfId="52532" xr:uid="{00000000-0005-0000-0000-000039CD0000}"/>
    <cellStyle name="Style 33 9 2 2 5 3" xfId="52533" xr:uid="{00000000-0005-0000-0000-00003ACD0000}"/>
    <cellStyle name="Style 33 9 2 2 6" xfId="52534" xr:uid="{00000000-0005-0000-0000-00003BCD0000}"/>
    <cellStyle name="Style 33 9 2 2 7" xfId="52535" xr:uid="{00000000-0005-0000-0000-00003CCD0000}"/>
    <cellStyle name="Style 33 9 2 2 8" xfId="52536" xr:uid="{00000000-0005-0000-0000-00003DCD0000}"/>
    <cellStyle name="Style 33 9 2 3" xfId="52537" xr:uid="{00000000-0005-0000-0000-00003ECD0000}"/>
    <cellStyle name="Style 33 9 2 3 2" xfId="52538" xr:uid="{00000000-0005-0000-0000-00003FCD0000}"/>
    <cellStyle name="Style 33 9 2 3 2 2" xfId="52539" xr:uid="{00000000-0005-0000-0000-000040CD0000}"/>
    <cellStyle name="Style 33 9 2 3 2 2 2" xfId="52540" xr:uid="{00000000-0005-0000-0000-000041CD0000}"/>
    <cellStyle name="Style 33 9 2 3 2 2 3" xfId="52541" xr:uid="{00000000-0005-0000-0000-000042CD0000}"/>
    <cellStyle name="Style 33 9 2 3 2 3" xfId="52542" xr:uid="{00000000-0005-0000-0000-000043CD0000}"/>
    <cellStyle name="Style 33 9 2 3 2 3 2" xfId="52543" xr:uid="{00000000-0005-0000-0000-000044CD0000}"/>
    <cellStyle name="Style 33 9 2 3 2 3 3" xfId="52544" xr:uid="{00000000-0005-0000-0000-000045CD0000}"/>
    <cellStyle name="Style 33 9 2 3 2 4" xfId="52545" xr:uid="{00000000-0005-0000-0000-000046CD0000}"/>
    <cellStyle name="Style 33 9 2 3 2 5" xfId="52546" xr:uid="{00000000-0005-0000-0000-000047CD0000}"/>
    <cellStyle name="Style 33 9 2 3 2 6" xfId="52547" xr:uid="{00000000-0005-0000-0000-000048CD0000}"/>
    <cellStyle name="Style 33 9 2 3 3" xfId="52548" xr:uid="{00000000-0005-0000-0000-000049CD0000}"/>
    <cellStyle name="Style 33 9 2 3 3 2" xfId="52549" xr:uid="{00000000-0005-0000-0000-00004ACD0000}"/>
    <cellStyle name="Style 33 9 2 3 3 3" xfId="52550" xr:uid="{00000000-0005-0000-0000-00004BCD0000}"/>
    <cellStyle name="Style 33 9 2 3 4" xfId="52551" xr:uid="{00000000-0005-0000-0000-00004CCD0000}"/>
    <cellStyle name="Style 33 9 2 3 4 2" xfId="52552" xr:uid="{00000000-0005-0000-0000-00004DCD0000}"/>
    <cellStyle name="Style 33 9 2 3 4 3" xfId="52553" xr:uid="{00000000-0005-0000-0000-00004ECD0000}"/>
    <cellStyle name="Style 33 9 2 3 5" xfId="52554" xr:uid="{00000000-0005-0000-0000-00004FCD0000}"/>
    <cellStyle name="Style 33 9 2 3 5 2" xfId="52555" xr:uid="{00000000-0005-0000-0000-000050CD0000}"/>
    <cellStyle name="Style 33 9 2 3 5 3" xfId="52556" xr:uid="{00000000-0005-0000-0000-000051CD0000}"/>
    <cellStyle name="Style 33 9 2 3 6" xfId="52557" xr:uid="{00000000-0005-0000-0000-000052CD0000}"/>
    <cellStyle name="Style 33 9 2 3 7" xfId="52558" xr:uid="{00000000-0005-0000-0000-000053CD0000}"/>
    <cellStyle name="Style 33 9 2 3 8" xfId="52559" xr:uid="{00000000-0005-0000-0000-000054CD0000}"/>
    <cellStyle name="Style 33 9 2 4" xfId="52560" xr:uid="{00000000-0005-0000-0000-000055CD0000}"/>
    <cellStyle name="Style 33 9 2 4 2" xfId="52561" xr:uid="{00000000-0005-0000-0000-000056CD0000}"/>
    <cellStyle name="Style 33 9 2 4 2 2" xfId="52562" xr:uid="{00000000-0005-0000-0000-000057CD0000}"/>
    <cellStyle name="Style 33 9 2 4 2 3" xfId="52563" xr:uid="{00000000-0005-0000-0000-000058CD0000}"/>
    <cellStyle name="Style 33 9 2 4 3" xfId="52564" xr:uid="{00000000-0005-0000-0000-000059CD0000}"/>
    <cellStyle name="Style 33 9 2 4 3 2" xfId="52565" xr:uid="{00000000-0005-0000-0000-00005ACD0000}"/>
    <cellStyle name="Style 33 9 2 4 3 3" xfId="52566" xr:uid="{00000000-0005-0000-0000-00005BCD0000}"/>
    <cellStyle name="Style 33 9 2 4 4" xfId="52567" xr:uid="{00000000-0005-0000-0000-00005CCD0000}"/>
    <cellStyle name="Style 33 9 2 4 5" xfId="52568" xr:uid="{00000000-0005-0000-0000-00005DCD0000}"/>
    <cellStyle name="Style 33 9 2 4 6" xfId="52569" xr:uid="{00000000-0005-0000-0000-00005ECD0000}"/>
    <cellStyle name="Style 33 9 2 5" xfId="52570" xr:uid="{00000000-0005-0000-0000-00005FCD0000}"/>
    <cellStyle name="Style 33 9 2 5 2" xfId="52571" xr:uid="{00000000-0005-0000-0000-000060CD0000}"/>
    <cellStyle name="Style 33 9 2 5 3" xfId="52572" xr:uid="{00000000-0005-0000-0000-000061CD0000}"/>
    <cellStyle name="Style 33 9 2 6" xfId="52573" xr:uid="{00000000-0005-0000-0000-000062CD0000}"/>
    <cellStyle name="Style 33 9 2 6 2" xfId="52574" xr:uid="{00000000-0005-0000-0000-000063CD0000}"/>
    <cellStyle name="Style 33 9 2 6 3" xfId="52575" xr:uid="{00000000-0005-0000-0000-000064CD0000}"/>
    <cellStyle name="Style 33 9 2 7" xfId="52576" xr:uid="{00000000-0005-0000-0000-000065CD0000}"/>
    <cellStyle name="Style 33 9 2 7 2" xfId="52577" xr:uid="{00000000-0005-0000-0000-000066CD0000}"/>
    <cellStyle name="Style 33 9 2 7 3" xfId="52578" xr:uid="{00000000-0005-0000-0000-000067CD0000}"/>
    <cellStyle name="Style 33 9 2 8" xfId="52579" xr:uid="{00000000-0005-0000-0000-000068CD0000}"/>
    <cellStyle name="Style 33 9 2 9" xfId="52580" xr:uid="{00000000-0005-0000-0000-000069CD0000}"/>
    <cellStyle name="Style 33 9 3" xfId="52581" xr:uid="{00000000-0005-0000-0000-00006ACD0000}"/>
    <cellStyle name="Style 33 9 3 2" xfId="52582" xr:uid="{00000000-0005-0000-0000-00006BCD0000}"/>
    <cellStyle name="Style 33 9 3 2 2" xfId="52583" xr:uid="{00000000-0005-0000-0000-00006CCD0000}"/>
    <cellStyle name="Style 33 9 3 2 2 2" xfId="52584" xr:uid="{00000000-0005-0000-0000-00006DCD0000}"/>
    <cellStyle name="Style 33 9 3 2 2 3" xfId="52585" xr:uid="{00000000-0005-0000-0000-00006ECD0000}"/>
    <cellStyle name="Style 33 9 3 2 3" xfId="52586" xr:uid="{00000000-0005-0000-0000-00006FCD0000}"/>
    <cellStyle name="Style 33 9 3 2 3 2" xfId="52587" xr:uid="{00000000-0005-0000-0000-000070CD0000}"/>
    <cellStyle name="Style 33 9 3 2 3 3" xfId="52588" xr:uid="{00000000-0005-0000-0000-000071CD0000}"/>
    <cellStyle name="Style 33 9 3 2 4" xfId="52589" xr:uid="{00000000-0005-0000-0000-000072CD0000}"/>
    <cellStyle name="Style 33 9 3 2 5" xfId="52590" xr:uid="{00000000-0005-0000-0000-000073CD0000}"/>
    <cellStyle name="Style 33 9 3 2 6" xfId="52591" xr:uid="{00000000-0005-0000-0000-000074CD0000}"/>
    <cellStyle name="Style 33 9 3 3" xfId="52592" xr:uid="{00000000-0005-0000-0000-000075CD0000}"/>
    <cellStyle name="Style 33 9 3 3 2" xfId="52593" xr:uid="{00000000-0005-0000-0000-000076CD0000}"/>
    <cellStyle name="Style 33 9 3 3 3" xfId="52594" xr:uid="{00000000-0005-0000-0000-000077CD0000}"/>
    <cellStyle name="Style 33 9 3 4" xfId="52595" xr:uid="{00000000-0005-0000-0000-000078CD0000}"/>
    <cellStyle name="Style 33 9 3 4 2" xfId="52596" xr:uid="{00000000-0005-0000-0000-000079CD0000}"/>
    <cellStyle name="Style 33 9 3 4 3" xfId="52597" xr:uid="{00000000-0005-0000-0000-00007ACD0000}"/>
    <cellStyle name="Style 33 9 3 5" xfId="52598" xr:uid="{00000000-0005-0000-0000-00007BCD0000}"/>
    <cellStyle name="Style 33 9 3 5 2" xfId="52599" xr:uid="{00000000-0005-0000-0000-00007CCD0000}"/>
    <cellStyle name="Style 33 9 3 5 3" xfId="52600" xr:uid="{00000000-0005-0000-0000-00007DCD0000}"/>
    <cellStyle name="Style 33 9 3 6" xfId="52601" xr:uid="{00000000-0005-0000-0000-00007ECD0000}"/>
    <cellStyle name="Style 33 9 3 7" xfId="52602" xr:uid="{00000000-0005-0000-0000-00007FCD0000}"/>
    <cellStyle name="Style 33 9 3 8" xfId="52603" xr:uid="{00000000-0005-0000-0000-000080CD0000}"/>
    <cellStyle name="Style 33 9 4" xfId="52604" xr:uid="{00000000-0005-0000-0000-000081CD0000}"/>
    <cellStyle name="Style 33 9 4 2" xfId="52605" xr:uid="{00000000-0005-0000-0000-000082CD0000}"/>
    <cellStyle name="Style 33 9 4 2 2" xfId="52606" xr:uid="{00000000-0005-0000-0000-000083CD0000}"/>
    <cellStyle name="Style 33 9 4 2 2 2" xfId="52607" xr:uid="{00000000-0005-0000-0000-000084CD0000}"/>
    <cellStyle name="Style 33 9 4 2 2 3" xfId="52608" xr:uid="{00000000-0005-0000-0000-000085CD0000}"/>
    <cellStyle name="Style 33 9 4 2 3" xfId="52609" xr:uid="{00000000-0005-0000-0000-000086CD0000}"/>
    <cellStyle name="Style 33 9 4 2 3 2" xfId="52610" xr:uid="{00000000-0005-0000-0000-000087CD0000}"/>
    <cellStyle name="Style 33 9 4 2 3 3" xfId="52611" xr:uid="{00000000-0005-0000-0000-000088CD0000}"/>
    <cellStyle name="Style 33 9 4 2 4" xfId="52612" xr:uid="{00000000-0005-0000-0000-000089CD0000}"/>
    <cellStyle name="Style 33 9 4 2 5" xfId="52613" xr:uid="{00000000-0005-0000-0000-00008ACD0000}"/>
    <cellStyle name="Style 33 9 4 2 6" xfId="52614" xr:uid="{00000000-0005-0000-0000-00008BCD0000}"/>
    <cellStyle name="Style 33 9 4 3" xfId="52615" xr:uid="{00000000-0005-0000-0000-00008CCD0000}"/>
    <cellStyle name="Style 33 9 4 3 2" xfId="52616" xr:uid="{00000000-0005-0000-0000-00008DCD0000}"/>
    <cellStyle name="Style 33 9 4 3 3" xfId="52617" xr:uid="{00000000-0005-0000-0000-00008ECD0000}"/>
    <cellStyle name="Style 33 9 4 4" xfId="52618" xr:uid="{00000000-0005-0000-0000-00008FCD0000}"/>
    <cellStyle name="Style 33 9 4 4 2" xfId="52619" xr:uid="{00000000-0005-0000-0000-000090CD0000}"/>
    <cellStyle name="Style 33 9 4 4 3" xfId="52620" xr:uid="{00000000-0005-0000-0000-000091CD0000}"/>
    <cellStyle name="Style 33 9 4 5" xfId="52621" xr:uid="{00000000-0005-0000-0000-000092CD0000}"/>
    <cellStyle name="Style 33 9 4 5 2" xfId="52622" xr:uid="{00000000-0005-0000-0000-000093CD0000}"/>
    <cellStyle name="Style 33 9 4 5 3" xfId="52623" xr:uid="{00000000-0005-0000-0000-000094CD0000}"/>
    <cellStyle name="Style 33 9 4 6" xfId="52624" xr:uid="{00000000-0005-0000-0000-000095CD0000}"/>
    <cellStyle name="Style 33 9 4 7" xfId="52625" xr:uid="{00000000-0005-0000-0000-000096CD0000}"/>
    <cellStyle name="Style 33 9 4 8" xfId="52626" xr:uid="{00000000-0005-0000-0000-000097CD0000}"/>
    <cellStyle name="Style 33 9 5" xfId="52627" xr:uid="{00000000-0005-0000-0000-000098CD0000}"/>
    <cellStyle name="Style 33 9 5 2" xfId="52628" xr:uid="{00000000-0005-0000-0000-000099CD0000}"/>
    <cellStyle name="Style 33 9 5 2 2" xfId="52629" xr:uid="{00000000-0005-0000-0000-00009ACD0000}"/>
    <cellStyle name="Style 33 9 5 2 2 2" xfId="52630" xr:uid="{00000000-0005-0000-0000-00009BCD0000}"/>
    <cellStyle name="Style 33 9 5 2 2 3" xfId="52631" xr:uid="{00000000-0005-0000-0000-00009CCD0000}"/>
    <cellStyle name="Style 33 9 5 2 3" xfId="52632" xr:uid="{00000000-0005-0000-0000-00009DCD0000}"/>
    <cellStyle name="Style 33 9 5 2 3 2" xfId="52633" xr:uid="{00000000-0005-0000-0000-00009ECD0000}"/>
    <cellStyle name="Style 33 9 5 2 3 3" xfId="52634" xr:uid="{00000000-0005-0000-0000-00009FCD0000}"/>
    <cellStyle name="Style 33 9 5 2 4" xfId="52635" xr:uid="{00000000-0005-0000-0000-0000A0CD0000}"/>
    <cellStyle name="Style 33 9 5 2 5" xfId="52636" xr:uid="{00000000-0005-0000-0000-0000A1CD0000}"/>
    <cellStyle name="Style 33 9 5 2 6" xfId="52637" xr:uid="{00000000-0005-0000-0000-0000A2CD0000}"/>
    <cellStyle name="Style 33 9 5 3" xfId="52638" xr:uid="{00000000-0005-0000-0000-0000A3CD0000}"/>
    <cellStyle name="Style 33 9 5 3 2" xfId="52639" xr:uid="{00000000-0005-0000-0000-0000A4CD0000}"/>
    <cellStyle name="Style 33 9 5 3 3" xfId="52640" xr:uid="{00000000-0005-0000-0000-0000A5CD0000}"/>
    <cellStyle name="Style 33 9 5 4" xfId="52641" xr:uid="{00000000-0005-0000-0000-0000A6CD0000}"/>
    <cellStyle name="Style 33 9 5 4 2" xfId="52642" xr:uid="{00000000-0005-0000-0000-0000A7CD0000}"/>
    <cellStyle name="Style 33 9 5 4 3" xfId="52643" xr:uid="{00000000-0005-0000-0000-0000A8CD0000}"/>
    <cellStyle name="Style 33 9 5 5" xfId="52644" xr:uid="{00000000-0005-0000-0000-0000A9CD0000}"/>
    <cellStyle name="Style 33 9 5 5 2" xfId="52645" xr:uid="{00000000-0005-0000-0000-0000AACD0000}"/>
    <cellStyle name="Style 33 9 5 5 3" xfId="52646" xr:uid="{00000000-0005-0000-0000-0000ABCD0000}"/>
    <cellStyle name="Style 33 9 5 6" xfId="52647" xr:uid="{00000000-0005-0000-0000-0000ACCD0000}"/>
    <cellStyle name="Style 33 9 5 7" xfId="52648" xr:uid="{00000000-0005-0000-0000-0000ADCD0000}"/>
    <cellStyle name="Style 33 9 5 8" xfId="52649" xr:uid="{00000000-0005-0000-0000-0000AECD0000}"/>
    <cellStyle name="Style 33 9 6" xfId="52650" xr:uid="{00000000-0005-0000-0000-0000AFCD0000}"/>
    <cellStyle name="Style 33 9 6 2" xfId="52651" xr:uid="{00000000-0005-0000-0000-0000B0CD0000}"/>
    <cellStyle name="Style 33 9 6 2 2" xfId="52652" xr:uid="{00000000-0005-0000-0000-0000B1CD0000}"/>
    <cellStyle name="Style 33 9 6 2 3" xfId="52653" xr:uid="{00000000-0005-0000-0000-0000B2CD0000}"/>
    <cellStyle name="Style 33 9 6 3" xfId="52654" xr:uid="{00000000-0005-0000-0000-0000B3CD0000}"/>
    <cellStyle name="Style 33 9 6 3 2" xfId="52655" xr:uid="{00000000-0005-0000-0000-0000B4CD0000}"/>
    <cellStyle name="Style 33 9 6 3 3" xfId="52656" xr:uid="{00000000-0005-0000-0000-0000B5CD0000}"/>
    <cellStyle name="Style 33 9 6 4" xfId="52657" xr:uid="{00000000-0005-0000-0000-0000B6CD0000}"/>
    <cellStyle name="Style 33 9 6 5" xfId="52658" xr:uid="{00000000-0005-0000-0000-0000B7CD0000}"/>
    <cellStyle name="Style 33 9 6 6" xfId="52659" xr:uid="{00000000-0005-0000-0000-0000B8CD0000}"/>
    <cellStyle name="Style 33 9 7" xfId="52660" xr:uid="{00000000-0005-0000-0000-0000B9CD0000}"/>
    <cellStyle name="Style 33 9 7 2" xfId="52661" xr:uid="{00000000-0005-0000-0000-0000BACD0000}"/>
    <cellStyle name="Style 33 9 7 3" xfId="52662" xr:uid="{00000000-0005-0000-0000-0000BBCD0000}"/>
    <cellStyle name="Style 33 9 8" xfId="52663" xr:uid="{00000000-0005-0000-0000-0000BCCD0000}"/>
    <cellStyle name="Style 33 9 8 2" xfId="52664" xr:uid="{00000000-0005-0000-0000-0000BDCD0000}"/>
    <cellStyle name="Style 33 9 8 3" xfId="52665" xr:uid="{00000000-0005-0000-0000-0000BECD0000}"/>
    <cellStyle name="Style 33 9 9" xfId="52666" xr:uid="{00000000-0005-0000-0000-0000BFCD0000}"/>
    <cellStyle name="Style 33 9 9 2" xfId="52667" xr:uid="{00000000-0005-0000-0000-0000C0CD0000}"/>
    <cellStyle name="Style 33 9 9 3" xfId="52668" xr:uid="{00000000-0005-0000-0000-0000C1CD0000}"/>
    <cellStyle name="Style 34" xfId="52669" xr:uid="{00000000-0005-0000-0000-0000C2CD0000}"/>
    <cellStyle name="Style 34 10" xfId="52670" xr:uid="{00000000-0005-0000-0000-0000C3CD0000}"/>
    <cellStyle name="Style 34 11" xfId="52671" xr:uid="{00000000-0005-0000-0000-0000C4CD0000}"/>
    <cellStyle name="Style 34 12" xfId="52672" xr:uid="{00000000-0005-0000-0000-0000C5CD0000}"/>
    <cellStyle name="Style 34 13" xfId="52673" xr:uid="{00000000-0005-0000-0000-0000C6CD0000}"/>
    <cellStyle name="Style 34 14" xfId="52674" xr:uid="{00000000-0005-0000-0000-0000C7CD0000}"/>
    <cellStyle name="Style 34 15" xfId="52675" xr:uid="{00000000-0005-0000-0000-0000C8CD0000}"/>
    <cellStyle name="Style 34 2" xfId="52676" xr:uid="{00000000-0005-0000-0000-0000C9CD0000}"/>
    <cellStyle name="Style 34 3" xfId="52677" xr:uid="{00000000-0005-0000-0000-0000CACD0000}"/>
    <cellStyle name="Style 34 4" xfId="52678" xr:uid="{00000000-0005-0000-0000-0000CBCD0000}"/>
    <cellStyle name="Style 34 5" xfId="52679" xr:uid="{00000000-0005-0000-0000-0000CCCD0000}"/>
    <cellStyle name="Style 34 6" xfId="52680" xr:uid="{00000000-0005-0000-0000-0000CDCD0000}"/>
    <cellStyle name="Style 34 7" xfId="52681" xr:uid="{00000000-0005-0000-0000-0000CECD0000}"/>
    <cellStyle name="Style 34 8" xfId="52682" xr:uid="{00000000-0005-0000-0000-0000CFCD0000}"/>
    <cellStyle name="Style 34 9" xfId="52683" xr:uid="{00000000-0005-0000-0000-0000D0CD0000}"/>
    <cellStyle name="Style 35" xfId="52684" xr:uid="{00000000-0005-0000-0000-0000D1CD0000}"/>
    <cellStyle name="Style 35 10" xfId="52685" xr:uid="{00000000-0005-0000-0000-0000D2CD0000}"/>
    <cellStyle name="Style 35 11" xfId="52686" xr:uid="{00000000-0005-0000-0000-0000D3CD0000}"/>
    <cellStyle name="Style 35 12" xfId="52687" xr:uid="{00000000-0005-0000-0000-0000D4CD0000}"/>
    <cellStyle name="Style 35 13" xfId="52688" xr:uid="{00000000-0005-0000-0000-0000D5CD0000}"/>
    <cellStyle name="Style 35 14" xfId="52689" xr:uid="{00000000-0005-0000-0000-0000D6CD0000}"/>
    <cellStyle name="Style 35 15" xfId="52690" xr:uid="{00000000-0005-0000-0000-0000D7CD0000}"/>
    <cellStyle name="Style 35 2" xfId="52691" xr:uid="{00000000-0005-0000-0000-0000D8CD0000}"/>
    <cellStyle name="Style 35 3" xfId="52692" xr:uid="{00000000-0005-0000-0000-0000D9CD0000}"/>
    <cellStyle name="Style 35 4" xfId="52693" xr:uid="{00000000-0005-0000-0000-0000DACD0000}"/>
    <cellStyle name="Style 35 5" xfId="52694" xr:uid="{00000000-0005-0000-0000-0000DBCD0000}"/>
    <cellStyle name="Style 35 6" xfId="52695" xr:uid="{00000000-0005-0000-0000-0000DCCD0000}"/>
    <cellStyle name="Style 35 7" xfId="52696" xr:uid="{00000000-0005-0000-0000-0000DDCD0000}"/>
    <cellStyle name="Style 35 8" xfId="52697" xr:uid="{00000000-0005-0000-0000-0000DECD0000}"/>
    <cellStyle name="Style 35 9" xfId="52698" xr:uid="{00000000-0005-0000-0000-0000DFCD0000}"/>
    <cellStyle name="Style 36" xfId="52699" xr:uid="{00000000-0005-0000-0000-0000E0CD0000}"/>
    <cellStyle name="Style 36 10" xfId="52700" xr:uid="{00000000-0005-0000-0000-0000E1CD0000}"/>
    <cellStyle name="Style 36 11" xfId="52701" xr:uid="{00000000-0005-0000-0000-0000E2CD0000}"/>
    <cellStyle name="Style 36 12" xfId="52702" xr:uid="{00000000-0005-0000-0000-0000E3CD0000}"/>
    <cellStyle name="Style 36 13" xfId="52703" xr:uid="{00000000-0005-0000-0000-0000E4CD0000}"/>
    <cellStyle name="Style 36 14" xfId="52704" xr:uid="{00000000-0005-0000-0000-0000E5CD0000}"/>
    <cellStyle name="Style 36 15" xfId="52705" xr:uid="{00000000-0005-0000-0000-0000E6CD0000}"/>
    <cellStyle name="Style 36 2" xfId="52706" xr:uid="{00000000-0005-0000-0000-0000E7CD0000}"/>
    <cellStyle name="Style 36 3" xfId="52707" xr:uid="{00000000-0005-0000-0000-0000E8CD0000}"/>
    <cellStyle name="Style 36 4" xfId="52708" xr:uid="{00000000-0005-0000-0000-0000E9CD0000}"/>
    <cellStyle name="Style 36 5" xfId="52709" xr:uid="{00000000-0005-0000-0000-0000EACD0000}"/>
    <cellStyle name="Style 36 6" xfId="52710" xr:uid="{00000000-0005-0000-0000-0000EBCD0000}"/>
    <cellStyle name="Style 36 7" xfId="52711" xr:uid="{00000000-0005-0000-0000-0000ECCD0000}"/>
    <cellStyle name="Style 36 8" xfId="52712" xr:uid="{00000000-0005-0000-0000-0000EDCD0000}"/>
    <cellStyle name="Style 36 9" xfId="52713" xr:uid="{00000000-0005-0000-0000-0000EECD0000}"/>
    <cellStyle name="Table Headings Bold" xfId="52714" xr:uid="{00000000-0005-0000-0000-0000EFCD0000}"/>
    <cellStyle name="Title 10" xfId="52715" xr:uid="{00000000-0005-0000-0000-0000F0CD0000}"/>
    <cellStyle name="Title 11" xfId="52716" xr:uid="{00000000-0005-0000-0000-0000F1CD0000}"/>
    <cellStyle name="Title 2" xfId="52717" xr:uid="{00000000-0005-0000-0000-0000F2CD0000}"/>
    <cellStyle name="Title 3" xfId="52718" xr:uid="{00000000-0005-0000-0000-0000F3CD0000}"/>
    <cellStyle name="Title 4" xfId="52719" xr:uid="{00000000-0005-0000-0000-0000F4CD0000}"/>
    <cellStyle name="Title 5" xfId="52720" xr:uid="{00000000-0005-0000-0000-0000F5CD0000}"/>
    <cellStyle name="Title 6" xfId="52721" xr:uid="{00000000-0005-0000-0000-0000F6CD0000}"/>
    <cellStyle name="Title 7" xfId="52722" xr:uid="{00000000-0005-0000-0000-0000F7CD0000}"/>
    <cellStyle name="Title 8" xfId="52723" xr:uid="{00000000-0005-0000-0000-0000F8CD0000}"/>
    <cellStyle name="Title 9" xfId="52724" xr:uid="{00000000-0005-0000-0000-0000F9CD0000}"/>
    <cellStyle name="Total 10" xfId="52725" xr:uid="{00000000-0005-0000-0000-0000FACD0000}"/>
    <cellStyle name="Total 10 10" xfId="52726" xr:uid="{00000000-0005-0000-0000-0000FBCD0000}"/>
    <cellStyle name="Total 10 11" xfId="52727" xr:uid="{00000000-0005-0000-0000-0000FCCD0000}"/>
    <cellStyle name="Total 10 12" xfId="52728" xr:uid="{00000000-0005-0000-0000-0000FDCD0000}"/>
    <cellStyle name="Total 10 2" xfId="52729" xr:uid="{00000000-0005-0000-0000-0000FECD0000}"/>
    <cellStyle name="Total 10 2 10" xfId="52730" xr:uid="{00000000-0005-0000-0000-0000FFCD0000}"/>
    <cellStyle name="Total 10 2 2" xfId="52731" xr:uid="{00000000-0005-0000-0000-000000CE0000}"/>
    <cellStyle name="Total 10 2 2 2" xfId="52732" xr:uid="{00000000-0005-0000-0000-000001CE0000}"/>
    <cellStyle name="Total 10 2 2 2 2" xfId="52733" xr:uid="{00000000-0005-0000-0000-000002CE0000}"/>
    <cellStyle name="Total 10 2 2 2 2 2" xfId="52734" xr:uid="{00000000-0005-0000-0000-000003CE0000}"/>
    <cellStyle name="Total 10 2 2 2 2 3" xfId="52735" xr:uid="{00000000-0005-0000-0000-000004CE0000}"/>
    <cellStyle name="Total 10 2 2 2 3" xfId="52736" xr:uid="{00000000-0005-0000-0000-000005CE0000}"/>
    <cellStyle name="Total 10 2 2 2 3 2" xfId="52737" xr:uid="{00000000-0005-0000-0000-000006CE0000}"/>
    <cellStyle name="Total 10 2 2 2 3 3" xfId="52738" xr:uid="{00000000-0005-0000-0000-000007CE0000}"/>
    <cellStyle name="Total 10 2 2 2 4" xfId="52739" xr:uid="{00000000-0005-0000-0000-000008CE0000}"/>
    <cellStyle name="Total 10 2 2 2 5" xfId="52740" xr:uid="{00000000-0005-0000-0000-000009CE0000}"/>
    <cellStyle name="Total 10 2 2 2 6" xfId="52741" xr:uid="{00000000-0005-0000-0000-00000ACE0000}"/>
    <cellStyle name="Total 10 2 2 3" xfId="52742" xr:uid="{00000000-0005-0000-0000-00000BCE0000}"/>
    <cellStyle name="Total 10 2 2 3 2" xfId="52743" xr:uid="{00000000-0005-0000-0000-00000CCE0000}"/>
    <cellStyle name="Total 10 2 2 3 3" xfId="52744" xr:uid="{00000000-0005-0000-0000-00000DCE0000}"/>
    <cellStyle name="Total 10 2 2 4" xfId="52745" xr:uid="{00000000-0005-0000-0000-00000ECE0000}"/>
    <cellStyle name="Total 10 2 2 4 2" xfId="52746" xr:uid="{00000000-0005-0000-0000-00000FCE0000}"/>
    <cellStyle name="Total 10 2 2 4 3" xfId="52747" xr:uid="{00000000-0005-0000-0000-000010CE0000}"/>
    <cellStyle name="Total 10 2 2 5" xfId="52748" xr:uid="{00000000-0005-0000-0000-000011CE0000}"/>
    <cellStyle name="Total 10 2 2 5 2" xfId="52749" xr:uid="{00000000-0005-0000-0000-000012CE0000}"/>
    <cellStyle name="Total 10 2 2 5 3" xfId="52750" xr:uid="{00000000-0005-0000-0000-000013CE0000}"/>
    <cellStyle name="Total 10 2 2 6" xfId="52751" xr:uid="{00000000-0005-0000-0000-000014CE0000}"/>
    <cellStyle name="Total 10 2 2 7" xfId="52752" xr:uid="{00000000-0005-0000-0000-000015CE0000}"/>
    <cellStyle name="Total 10 2 2 8" xfId="52753" xr:uid="{00000000-0005-0000-0000-000016CE0000}"/>
    <cellStyle name="Total 10 2 3" xfId="52754" xr:uid="{00000000-0005-0000-0000-000017CE0000}"/>
    <cellStyle name="Total 10 2 3 2" xfId="52755" xr:uid="{00000000-0005-0000-0000-000018CE0000}"/>
    <cellStyle name="Total 10 2 3 2 2" xfId="52756" xr:uid="{00000000-0005-0000-0000-000019CE0000}"/>
    <cellStyle name="Total 10 2 3 2 2 2" xfId="52757" xr:uid="{00000000-0005-0000-0000-00001ACE0000}"/>
    <cellStyle name="Total 10 2 3 2 2 3" xfId="52758" xr:uid="{00000000-0005-0000-0000-00001BCE0000}"/>
    <cellStyle name="Total 10 2 3 2 3" xfId="52759" xr:uid="{00000000-0005-0000-0000-00001CCE0000}"/>
    <cellStyle name="Total 10 2 3 2 3 2" xfId="52760" xr:uid="{00000000-0005-0000-0000-00001DCE0000}"/>
    <cellStyle name="Total 10 2 3 2 3 3" xfId="52761" xr:uid="{00000000-0005-0000-0000-00001ECE0000}"/>
    <cellStyle name="Total 10 2 3 2 4" xfId="52762" xr:uid="{00000000-0005-0000-0000-00001FCE0000}"/>
    <cellStyle name="Total 10 2 3 2 5" xfId="52763" xr:uid="{00000000-0005-0000-0000-000020CE0000}"/>
    <cellStyle name="Total 10 2 3 2 6" xfId="52764" xr:uid="{00000000-0005-0000-0000-000021CE0000}"/>
    <cellStyle name="Total 10 2 3 3" xfId="52765" xr:uid="{00000000-0005-0000-0000-000022CE0000}"/>
    <cellStyle name="Total 10 2 3 3 2" xfId="52766" xr:uid="{00000000-0005-0000-0000-000023CE0000}"/>
    <cellStyle name="Total 10 2 3 3 3" xfId="52767" xr:uid="{00000000-0005-0000-0000-000024CE0000}"/>
    <cellStyle name="Total 10 2 3 4" xfId="52768" xr:uid="{00000000-0005-0000-0000-000025CE0000}"/>
    <cellStyle name="Total 10 2 3 4 2" xfId="52769" xr:uid="{00000000-0005-0000-0000-000026CE0000}"/>
    <cellStyle name="Total 10 2 3 4 3" xfId="52770" xr:uid="{00000000-0005-0000-0000-000027CE0000}"/>
    <cellStyle name="Total 10 2 3 5" xfId="52771" xr:uid="{00000000-0005-0000-0000-000028CE0000}"/>
    <cellStyle name="Total 10 2 3 5 2" xfId="52772" xr:uid="{00000000-0005-0000-0000-000029CE0000}"/>
    <cellStyle name="Total 10 2 3 5 3" xfId="52773" xr:uid="{00000000-0005-0000-0000-00002ACE0000}"/>
    <cellStyle name="Total 10 2 3 6" xfId="52774" xr:uid="{00000000-0005-0000-0000-00002BCE0000}"/>
    <cellStyle name="Total 10 2 3 7" xfId="52775" xr:uid="{00000000-0005-0000-0000-00002CCE0000}"/>
    <cellStyle name="Total 10 2 3 8" xfId="52776" xr:uid="{00000000-0005-0000-0000-00002DCE0000}"/>
    <cellStyle name="Total 10 2 4" xfId="52777" xr:uid="{00000000-0005-0000-0000-00002ECE0000}"/>
    <cellStyle name="Total 10 2 4 2" xfId="52778" xr:uid="{00000000-0005-0000-0000-00002FCE0000}"/>
    <cellStyle name="Total 10 2 4 2 2" xfId="52779" xr:uid="{00000000-0005-0000-0000-000030CE0000}"/>
    <cellStyle name="Total 10 2 4 2 3" xfId="52780" xr:uid="{00000000-0005-0000-0000-000031CE0000}"/>
    <cellStyle name="Total 10 2 4 3" xfId="52781" xr:uid="{00000000-0005-0000-0000-000032CE0000}"/>
    <cellStyle name="Total 10 2 4 3 2" xfId="52782" xr:uid="{00000000-0005-0000-0000-000033CE0000}"/>
    <cellStyle name="Total 10 2 4 3 3" xfId="52783" xr:uid="{00000000-0005-0000-0000-000034CE0000}"/>
    <cellStyle name="Total 10 2 4 4" xfId="52784" xr:uid="{00000000-0005-0000-0000-000035CE0000}"/>
    <cellStyle name="Total 10 2 4 5" xfId="52785" xr:uid="{00000000-0005-0000-0000-000036CE0000}"/>
    <cellStyle name="Total 10 2 4 6" xfId="52786" xr:uid="{00000000-0005-0000-0000-000037CE0000}"/>
    <cellStyle name="Total 10 2 5" xfId="52787" xr:uid="{00000000-0005-0000-0000-000038CE0000}"/>
    <cellStyle name="Total 10 2 5 2" xfId="52788" xr:uid="{00000000-0005-0000-0000-000039CE0000}"/>
    <cellStyle name="Total 10 2 5 3" xfId="52789" xr:uid="{00000000-0005-0000-0000-00003ACE0000}"/>
    <cellStyle name="Total 10 2 6" xfId="52790" xr:uid="{00000000-0005-0000-0000-00003BCE0000}"/>
    <cellStyle name="Total 10 2 6 2" xfId="52791" xr:uid="{00000000-0005-0000-0000-00003CCE0000}"/>
    <cellStyle name="Total 10 2 6 3" xfId="52792" xr:uid="{00000000-0005-0000-0000-00003DCE0000}"/>
    <cellStyle name="Total 10 2 7" xfId="52793" xr:uid="{00000000-0005-0000-0000-00003ECE0000}"/>
    <cellStyle name="Total 10 2 7 2" xfId="52794" xr:uid="{00000000-0005-0000-0000-00003FCE0000}"/>
    <cellStyle name="Total 10 2 7 3" xfId="52795" xr:uid="{00000000-0005-0000-0000-000040CE0000}"/>
    <cellStyle name="Total 10 2 8" xfId="52796" xr:uid="{00000000-0005-0000-0000-000041CE0000}"/>
    <cellStyle name="Total 10 2 9" xfId="52797" xr:uid="{00000000-0005-0000-0000-000042CE0000}"/>
    <cellStyle name="Total 10 3" xfId="52798" xr:uid="{00000000-0005-0000-0000-000043CE0000}"/>
    <cellStyle name="Total 10 3 2" xfId="52799" xr:uid="{00000000-0005-0000-0000-000044CE0000}"/>
    <cellStyle name="Total 10 3 2 2" xfId="52800" xr:uid="{00000000-0005-0000-0000-000045CE0000}"/>
    <cellStyle name="Total 10 3 2 2 2" xfId="52801" xr:uid="{00000000-0005-0000-0000-000046CE0000}"/>
    <cellStyle name="Total 10 3 2 2 3" xfId="52802" xr:uid="{00000000-0005-0000-0000-000047CE0000}"/>
    <cellStyle name="Total 10 3 2 3" xfId="52803" xr:uid="{00000000-0005-0000-0000-000048CE0000}"/>
    <cellStyle name="Total 10 3 2 3 2" xfId="52804" xr:uid="{00000000-0005-0000-0000-000049CE0000}"/>
    <cellStyle name="Total 10 3 2 3 3" xfId="52805" xr:uid="{00000000-0005-0000-0000-00004ACE0000}"/>
    <cellStyle name="Total 10 3 2 4" xfId="52806" xr:uid="{00000000-0005-0000-0000-00004BCE0000}"/>
    <cellStyle name="Total 10 3 2 5" xfId="52807" xr:uid="{00000000-0005-0000-0000-00004CCE0000}"/>
    <cellStyle name="Total 10 3 2 6" xfId="52808" xr:uid="{00000000-0005-0000-0000-00004DCE0000}"/>
    <cellStyle name="Total 10 3 3" xfId="52809" xr:uid="{00000000-0005-0000-0000-00004ECE0000}"/>
    <cellStyle name="Total 10 3 3 2" xfId="52810" xr:uid="{00000000-0005-0000-0000-00004FCE0000}"/>
    <cellStyle name="Total 10 3 3 3" xfId="52811" xr:uid="{00000000-0005-0000-0000-000050CE0000}"/>
    <cellStyle name="Total 10 3 4" xfId="52812" xr:uid="{00000000-0005-0000-0000-000051CE0000}"/>
    <cellStyle name="Total 10 3 4 2" xfId="52813" xr:uid="{00000000-0005-0000-0000-000052CE0000}"/>
    <cellStyle name="Total 10 3 4 3" xfId="52814" xr:uid="{00000000-0005-0000-0000-000053CE0000}"/>
    <cellStyle name="Total 10 3 5" xfId="52815" xr:uid="{00000000-0005-0000-0000-000054CE0000}"/>
    <cellStyle name="Total 10 3 5 2" xfId="52816" xr:uid="{00000000-0005-0000-0000-000055CE0000}"/>
    <cellStyle name="Total 10 3 5 3" xfId="52817" xr:uid="{00000000-0005-0000-0000-000056CE0000}"/>
    <cellStyle name="Total 10 3 6" xfId="52818" xr:uid="{00000000-0005-0000-0000-000057CE0000}"/>
    <cellStyle name="Total 10 3 7" xfId="52819" xr:uid="{00000000-0005-0000-0000-000058CE0000}"/>
    <cellStyle name="Total 10 3 8" xfId="52820" xr:uid="{00000000-0005-0000-0000-000059CE0000}"/>
    <cellStyle name="Total 10 4" xfId="52821" xr:uid="{00000000-0005-0000-0000-00005ACE0000}"/>
    <cellStyle name="Total 10 4 2" xfId="52822" xr:uid="{00000000-0005-0000-0000-00005BCE0000}"/>
    <cellStyle name="Total 10 4 2 2" xfId="52823" xr:uid="{00000000-0005-0000-0000-00005CCE0000}"/>
    <cellStyle name="Total 10 4 2 2 2" xfId="52824" xr:uid="{00000000-0005-0000-0000-00005DCE0000}"/>
    <cellStyle name="Total 10 4 2 2 3" xfId="52825" xr:uid="{00000000-0005-0000-0000-00005ECE0000}"/>
    <cellStyle name="Total 10 4 2 3" xfId="52826" xr:uid="{00000000-0005-0000-0000-00005FCE0000}"/>
    <cellStyle name="Total 10 4 2 3 2" xfId="52827" xr:uid="{00000000-0005-0000-0000-000060CE0000}"/>
    <cellStyle name="Total 10 4 2 3 3" xfId="52828" xr:uid="{00000000-0005-0000-0000-000061CE0000}"/>
    <cellStyle name="Total 10 4 2 4" xfId="52829" xr:uid="{00000000-0005-0000-0000-000062CE0000}"/>
    <cellStyle name="Total 10 4 2 5" xfId="52830" xr:uid="{00000000-0005-0000-0000-000063CE0000}"/>
    <cellStyle name="Total 10 4 2 6" xfId="52831" xr:uid="{00000000-0005-0000-0000-000064CE0000}"/>
    <cellStyle name="Total 10 4 3" xfId="52832" xr:uid="{00000000-0005-0000-0000-000065CE0000}"/>
    <cellStyle name="Total 10 4 3 2" xfId="52833" xr:uid="{00000000-0005-0000-0000-000066CE0000}"/>
    <cellStyle name="Total 10 4 3 3" xfId="52834" xr:uid="{00000000-0005-0000-0000-000067CE0000}"/>
    <cellStyle name="Total 10 4 4" xfId="52835" xr:uid="{00000000-0005-0000-0000-000068CE0000}"/>
    <cellStyle name="Total 10 4 4 2" xfId="52836" xr:uid="{00000000-0005-0000-0000-000069CE0000}"/>
    <cellStyle name="Total 10 4 4 3" xfId="52837" xr:uid="{00000000-0005-0000-0000-00006ACE0000}"/>
    <cellStyle name="Total 10 4 5" xfId="52838" xr:uid="{00000000-0005-0000-0000-00006BCE0000}"/>
    <cellStyle name="Total 10 4 5 2" xfId="52839" xr:uid="{00000000-0005-0000-0000-00006CCE0000}"/>
    <cellStyle name="Total 10 4 5 3" xfId="52840" xr:uid="{00000000-0005-0000-0000-00006DCE0000}"/>
    <cellStyle name="Total 10 4 6" xfId="52841" xr:uid="{00000000-0005-0000-0000-00006ECE0000}"/>
    <cellStyle name="Total 10 4 7" xfId="52842" xr:uid="{00000000-0005-0000-0000-00006FCE0000}"/>
    <cellStyle name="Total 10 4 8" xfId="52843" xr:uid="{00000000-0005-0000-0000-000070CE0000}"/>
    <cellStyle name="Total 10 5" xfId="52844" xr:uid="{00000000-0005-0000-0000-000071CE0000}"/>
    <cellStyle name="Total 10 5 2" xfId="52845" xr:uid="{00000000-0005-0000-0000-000072CE0000}"/>
    <cellStyle name="Total 10 5 2 2" xfId="52846" xr:uid="{00000000-0005-0000-0000-000073CE0000}"/>
    <cellStyle name="Total 10 5 2 2 2" xfId="52847" xr:uid="{00000000-0005-0000-0000-000074CE0000}"/>
    <cellStyle name="Total 10 5 2 2 3" xfId="52848" xr:uid="{00000000-0005-0000-0000-000075CE0000}"/>
    <cellStyle name="Total 10 5 2 3" xfId="52849" xr:uid="{00000000-0005-0000-0000-000076CE0000}"/>
    <cellStyle name="Total 10 5 2 3 2" xfId="52850" xr:uid="{00000000-0005-0000-0000-000077CE0000}"/>
    <cellStyle name="Total 10 5 2 3 3" xfId="52851" xr:uid="{00000000-0005-0000-0000-000078CE0000}"/>
    <cellStyle name="Total 10 5 2 4" xfId="52852" xr:uid="{00000000-0005-0000-0000-000079CE0000}"/>
    <cellStyle name="Total 10 5 2 5" xfId="52853" xr:uid="{00000000-0005-0000-0000-00007ACE0000}"/>
    <cellStyle name="Total 10 5 2 6" xfId="52854" xr:uid="{00000000-0005-0000-0000-00007BCE0000}"/>
    <cellStyle name="Total 10 5 3" xfId="52855" xr:uid="{00000000-0005-0000-0000-00007CCE0000}"/>
    <cellStyle name="Total 10 5 3 2" xfId="52856" xr:uid="{00000000-0005-0000-0000-00007DCE0000}"/>
    <cellStyle name="Total 10 5 3 3" xfId="52857" xr:uid="{00000000-0005-0000-0000-00007ECE0000}"/>
    <cellStyle name="Total 10 5 4" xfId="52858" xr:uid="{00000000-0005-0000-0000-00007FCE0000}"/>
    <cellStyle name="Total 10 5 4 2" xfId="52859" xr:uid="{00000000-0005-0000-0000-000080CE0000}"/>
    <cellStyle name="Total 10 5 4 3" xfId="52860" xr:uid="{00000000-0005-0000-0000-000081CE0000}"/>
    <cellStyle name="Total 10 5 5" xfId="52861" xr:uid="{00000000-0005-0000-0000-000082CE0000}"/>
    <cellStyle name="Total 10 5 5 2" xfId="52862" xr:uid="{00000000-0005-0000-0000-000083CE0000}"/>
    <cellStyle name="Total 10 5 5 3" xfId="52863" xr:uid="{00000000-0005-0000-0000-000084CE0000}"/>
    <cellStyle name="Total 10 5 6" xfId="52864" xr:uid="{00000000-0005-0000-0000-000085CE0000}"/>
    <cellStyle name="Total 10 5 7" xfId="52865" xr:uid="{00000000-0005-0000-0000-000086CE0000}"/>
    <cellStyle name="Total 10 5 8" xfId="52866" xr:uid="{00000000-0005-0000-0000-000087CE0000}"/>
    <cellStyle name="Total 10 6" xfId="52867" xr:uid="{00000000-0005-0000-0000-000088CE0000}"/>
    <cellStyle name="Total 10 6 2" xfId="52868" xr:uid="{00000000-0005-0000-0000-000089CE0000}"/>
    <cellStyle name="Total 10 6 2 2" xfId="52869" xr:uid="{00000000-0005-0000-0000-00008ACE0000}"/>
    <cellStyle name="Total 10 6 2 3" xfId="52870" xr:uid="{00000000-0005-0000-0000-00008BCE0000}"/>
    <cellStyle name="Total 10 6 3" xfId="52871" xr:uid="{00000000-0005-0000-0000-00008CCE0000}"/>
    <cellStyle name="Total 10 6 3 2" xfId="52872" xr:uid="{00000000-0005-0000-0000-00008DCE0000}"/>
    <cellStyle name="Total 10 6 3 3" xfId="52873" xr:uid="{00000000-0005-0000-0000-00008ECE0000}"/>
    <cellStyle name="Total 10 6 4" xfId="52874" xr:uid="{00000000-0005-0000-0000-00008FCE0000}"/>
    <cellStyle name="Total 10 6 5" xfId="52875" xr:uid="{00000000-0005-0000-0000-000090CE0000}"/>
    <cellStyle name="Total 10 6 6" xfId="52876" xr:uid="{00000000-0005-0000-0000-000091CE0000}"/>
    <cellStyle name="Total 10 7" xfId="52877" xr:uid="{00000000-0005-0000-0000-000092CE0000}"/>
    <cellStyle name="Total 10 7 2" xfId="52878" xr:uid="{00000000-0005-0000-0000-000093CE0000}"/>
    <cellStyle name="Total 10 7 3" xfId="52879" xr:uid="{00000000-0005-0000-0000-000094CE0000}"/>
    <cellStyle name="Total 10 8" xfId="52880" xr:uid="{00000000-0005-0000-0000-000095CE0000}"/>
    <cellStyle name="Total 10 8 2" xfId="52881" xr:uid="{00000000-0005-0000-0000-000096CE0000}"/>
    <cellStyle name="Total 10 8 3" xfId="52882" xr:uid="{00000000-0005-0000-0000-000097CE0000}"/>
    <cellStyle name="Total 10 9" xfId="52883" xr:uid="{00000000-0005-0000-0000-000098CE0000}"/>
    <cellStyle name="Total 10 9 2" xfId="52884" xr:uid="{00000000-0005-0000-0000-000099CE0000}"/>
    <cellStyle name="Total 10 9 3" xfId="52885" xr:uid="{00000000-0005-0000-0000-00009ACE0000}"/>
    <cellStyle name="Total 11" xfId="52886" xr:uid="{00000000-0005-0000-0000-00009BCE0000}"/>
    <cellStyle name="Total 11 10" xfId="52887" xr:uid="{00000000-0005-0000-0000-00009CCE0000}"/>
    <cellStyle name="Total 11 11" xfId="52888" xr:uid="{00000000-0005-0000-0000-00009DCE0000}"/>
    <cellStyle name="Total 11 12" xfId="52889" xr:uid="{00000000-0005-0000-0000-00009ECE0000}"/>
    <cellStyle name="Total 11 2" xfId="52890" xr:uid="{00000000-0005-0000-0000-00009FCE0000}"/>
    <cellStyle name="Total 11 2 10" xfId="52891" xr:uid="{00000000-0005-0000-0000-0000A0CE0000}"/>
    <cellStyle name="Total 11 2 2" xfId="52892" xr:uid="{00000000-0005-0000-0000-0000A1CE0000}"/>
    <cellStyle name="Total 11 2 2 2" xfId="52893" xr:uid="{00000000-0005-0000-0000-0000A2CE0000}"/>
    <cellStyle name="Total 11 2 2 2 2" xfId="52894" xr:uid="{00000000-0005-0000-0000-0000A3CE0000}"/>
    <cellStyle name="Total 11 2 2 2 2 2" xfId="52895" xr:uid="{00000000-0005-0000-0000-0000A4CE0000}"/>
    <cellStyle name="Total 11 2 2 2 2 3" xfId="52896" xr:uid="{00000000-0005-0000-0000-0000A5CE0000}"/>
    <cellStyle name="Total 11 2 2 2 3" xfId="52897" xr:uid="{00000000-0005-0000-0000-0000A6CE0000}"/>
    <cellStyle name="Total 11 2 2 2 3 2" xfId="52898" xr:uid="{00000000-0005-0000-0000-0000A7CE0000}"/>
    <cellStyle name="Total 11 2 2 2 3 3" xfId="52899" xr:uid="{00000000-0005-0000-0000-0000A8CE0000}"/>
    <cellStyle name="Total 11 2 2 2 4" xfId="52900" xr:uid="{00000000-0005-0000-0000-0000A9CE0000}"/>
    <cellStyle name="Total 11 2 2 2 5" xfId="52901" xr:uid="{00000000-0005-0000-0000-0000AACE0000}"/>
    <cellStyle name="Total 11 2 2 2 6" xfId="52902" xr:uid="{00000000-0005-0000-0000-0000ABCE0000}"/>
    <cellStyle name="Total 11 2 2 3" xfId="52903" xr:uid="{00000000-0005-0000-0000-0000ACCE0000}"/>
    <cellStyle name="Total 11 2 2 3 2" xfId="52904" xr:uid="{00000000-0005-0000-0000-0000ADCE0000}"/>
    <cellStyle name="Total 11 2 2 3 3" xfId="52905" xr:uid="{00000000-0005-0000-0000-0000AECE0000}"/>
    <cellStyle name="Total 11 2 2 4" xfId="52906" xr:uid="{00000000-0005-0000-0000-0000AFCE0000}"/>
    <cellStyle name="Total 11 2 2 4 2" xfId="52907" xr:uid="{00000000-0005-0000-0000-0000B0CE0000}"/>
    <cellStyle name="Total 11 2 2 4 3" xfId="52908" xr:uid="{00000000-0005-0000-0000-0000B1CE0000}"/>
    <cellStyle name="Total 11 2 2 5" xfId="52909" xr:uid="{00000000-0005-0000-0000-0000B2CE0000}"/>
    <cellStyle name="Total 11 2 2 5 2" xfId="52910" xr:uid="{00000000-0005-0000-0000-0000B3CE0000}"/>
    <cellStyle name="Total 11 2 2 5 3" xfId="52911" xr:uid="{00000000-0005-0000-0000-0000B4CE0000}"/>
    <cellStyle name="Total 11 2 2 6" xfId="52912" xr:uid="{00000000-0005-0000-0000-0000B5CE0000}"/>
    <cellStyle name="Total 11 2 2 7" xfId="52913" xr:uid="{00000000-0005-0000-0000-0000B6CE0000}"/>
    <cellStyle name="Total 11 2 2 8" xfId="52914" xr:uid="{00000000-0005-0000-0000-0000B7CE0000}"/>
    <cellStyle name="Total 11 2 3" xfId="52915" xr:uid="{00000000-0005-0000-0000-0000B8CE0000}"/>
    <cellStyle name="Total 11 2 3 2" xfId="52916" xr:uid="{00000000-0005-0000-0000-0000B9CE0000}"/>
    <cellStyle name="Total 11 2 3 2 2" xfId="52917" xr:uid="{00000000-0005-0000-0000-0000BACE0000}"/>
    <cellStyle name="Total 11 2 3 2 2 2" xfId="52918" xr:uid="{00000000-0005-0000-0000-0000BBCE0000}"/>
    <cellStyle name="Total 11 2 3 2 2 3" xfId="52919" xr:uid="{00000000-0005-0000-0000-0000BCCE0000}"/>
    <cellStyle name="Total 11 2 3 2 3" xfId="52920" xr:uid="{00000000-0005-0000-0000-0000BDCE0000}"/>
    <cellStyle name="Total 11 2 3 2 3 2" xfId="52921" xr:uid="{00000000-0005-0000-0000-0000BECE0000}"/>
    <cellStyle name="Total 11 2 3 2 3 3" xfId="52922" xr:uid="{00000000-0005-0000-0000-0000BFCE0000}"/>
    <cellStyle name="Total 11 2 3 2 4" xfId="52923" xr:uid="{00000000-0005-0000-0000-0000C0CE0000}"/>
    <cellStyle name="Total 11 2 3 2 5" xfId="52924" xr:uid="{00000000-0005-0000-0000-0000C1CE0000}"/>
    <cellStyle name="Total 11 2 3 2 6" xfId="52925" xr:uid="{00000000-0005-0000-0000-0000C2CE0000}"/>
    <cellStyle name="Total 11 2 3 3" xfId="52926" xr:uid="{00000000-0005-0000-0000-0000C3CE0000}"/>
    <cellStyle name="Total 11 2 3 3 2" xfId="52927" xr:uid="{00000000-0005-0000-0000-0000C4CE0000}"/>
    <cellStyle name="Total 11 2 3 3 3" xfId="52928" xr:uid="{00000000-0005-0000-0000-0000C5CE0000}"/>
    <cellStyle name="Total 11 2 3 4" xfId="52929" xr:uid="{00000000-0005-0000-0000-0000C6CE0000}"/>
    <cellStyle name="Total 11 2 3 4 2" xfId="52930" xr:uid="{00000000-0005-0000-0000-0000C7CE0000}"/>
    <cellStyle name="Total 11 2 3 4 3" xfId="52931" xr:uid="{00000000-0005-0000-0000-0000C8CE0000}"/>
    <cellStyle name="Total 11 2 3 5" xfId="52932" xr:uid="{00000000-0005-0000-0000-0000C9CE0000}"/>
    <cellStyle name="Total 11 2 3 5 2" xfId="52933" xr:uid="{00000000-0005-0000-0000-0000CACE0000}"/>
    <cellStyle name="Total 11 2 3 5 3" xfId="52934" xr:uid="{00000000-0005-0000-0000-0000CBCE0000}"/>
    <cellStyle name="Total 11 2 3 6" xfId="52935" xr:uid="{00000000-0005-0000-0000-0000CCCE0000}"/>
    <cellStyle name="Total 11 2 3 7" xfId="52936" xr:uid="{00000000-0005-0000-0000-0000CDCE0000}"/>
    <cellStyle name="Total 11 2 3 8" xfId="52937" xr:uid="{00000000-0005-0000-0000-0000CECE0000}"/>
    <cellStyle name="Total 11 2 4" xfId="52938" xr:uid="{00000000-0005-0000-0000-0000CFCE0000}"/>
    <cellStyle name="Total 11 2 4 2" xfId="52939" xr:uid="{00000000-0005-0000-0000-0000D0CE0000}"/>
    <cellStyle name="Total 11 2 4 2 2" xfId="52940" xr:uid="{00000000-0005-0000-0000-0000D1CE0000}"/>
    <cellStyle name="Total 11 2 4 2 3" xfId="52941" xr:uid="{00000000-0005-0000-0000-0000D2CE0000}"/>
    <cellStyle name="Total 11 2 4 3" xfId="52942" xr:uid="{00000000-0005-0000-0000-0000D3CE0000}"/>
    <cellStyle name="Total 11 2 4 3 2" xfId="52943" xr:uid="{00000000-0005-0000-0000-0000D4CE0000}"/>
    <cellStyle name="Total 11 2 4 3 3" xfId="52944" xr:uid="{00000000-0005-0000-0000-0000D5CE0000}"/>
    <cellStyle name="Total 11 2 4 4" xfId="52945" xr:uid="{00000000-0005-0000-0000-0000D6CE0000}"/>
    <cellStyle name="Total 11 2 4 5" xfId="52946" xr:uid="{00000000-0005-0000-0000-0000D7CE0000}"/>
    <cellStyle name="Total 11 2 4 6" xfId="52947" xr:uid="{00000000-0005-0000-0000-0000D8CE0000}"/>
    <cellStyle name="Total 11 2 5" xfId="52948" xr:uid="{00000000-0005-0000-0000-0000D9CE0000}"/>
    <cellStyle name="Total 11 2 5 2" xfId="52949" xr:uid="{00000000-0005-0000-0000-0000DACE0000}"/>
    <cellStyle name="Total 11 2 5 3" xfId="52950" xr:uid="{00000000-0005-0000-0000-0000DBCE0000}"/>
    <cellStyle name="Total 11 2 6" xfId="52951" xr:uid="{00000000-0005-0000-0000-0000DCCE0000}"/>
    <cellStyle name="Total 11 2 6 2" xfId="52952" xr:uid="{00000000-0005-0000-0000-0000DDCE0000}"/>
    <cellStyle name="Total 11 2 6 3" xfId="52953" xr:uid="{00000000-0005-0000-0000-0000DECE0000}"/>
    <cellStyle name="Total 11 2 7" xfId="52954" xr:uid="{00000000-0005-0000-0000-0000DFCE0000}"/>
    <cellStyle name="Total 11 2 7 2" xfId="52955" xr:uid="{00000000-0005-0000-0000-0000E0CE0000}"/>
    <cellStyle name="Total 11 2 7 3" xfId="52956" xr:uid="{00000000-0005-0000-0000-0000E1CE0000}"/>
    <cellStyle name="Total 11 2 8" xfId="52957" xr:uid="{00000000-0005-0000-0000-0000E2CE0000}"/>
    <cellStyle name="Total 11 2 9" xfId="52958" xr:uid="{00000000-0005-0000-0000-0000E3CE0000}"/>
    <cellStyle name="Total 11 3" xfId="52959" xr:uid="{00000000-0005-0000-0000-0000E4CE0000}"/>
    <cellStyle name="Total 11 3 2" xfId="52960" xr:uid="{00000000-0005-0000-0000-0000E5CE0000}"/>
    <cellStyle name="Total 11 3 2 2" xfId="52961" xr:uid="{00000000-0005-0000-0000-0000E6CE0000}"/>
    <cellStyle name="Total 11 3 2 2 2" xfId="52962" xr:uid="{00000000-0005-0000-0000-0000E7CE0000}"/>
    <cellStyle name="Total 11 3 2 2 3" xfId="52963" xr:uid="{00000000-0005-0000-0000-0000E8CE0000}"/>
    <cellStyle name="Total 11 3 2 3" xfId="52964" xr:uid="{00000000-0005-0000-0000-0000E9CE0000}"/>
    <cellStyle name="Total 11 3 2 3 2" xfId="52965" xr:uid="{00000000-0005-0000-0000-0000EACE0000}"/>
    <cellStyle name="Total 11 3 2 3 3" xfId="52966" xr:uid="{00000000-0005-0000-0000-0000EBCE0000}"/>
    <cellStyle name="Total 11 3 2 4" xfId="52967" xr:uid="{00000000-0005-0000-0000-0000ECCE0000}"/>
    <cellStyle name="Total 11 3 2 5" xfId="52968" xr:uid="{00000000-0005-0000-0000-0000EDCE0000}"/>
    <cellStyle name="Total 11 3 2 6" xfId="52969" xr:uid="{00000000-0005-0000-0000-0000EECE0000}"/>
    <cellStyle name="Total 11 3 3" xfId="52970" xr:uid="{00000000-0005-0000-0000-0000EFCE0000}"/>
    <cellStyle name="Total 11 3 3 2" xfId="52971" xr:uid="{00000000-0005-0000-0000-0000F0CE0000}"/>
    <cellStyle name="Total 11 3 3 3" xfId="52972" xr:uid="{00000000-0005-0000-0000-0000F1CE0000}"/>
    <cellStyle name="Total 11 3 4" xfId="52973" xr:uid="{00000000-0005-0000-0000-0000F2CE0000}"/>
    <cellStyle name="Total 11 3 4 2" xfId="52974" xr:uid="{00000000-0005-0000-0000-0000F3CE0000}"/>
    <cellStyle name="Total 11 3 4 3" xfId="52975" xr:uid="{00000000-0005-0000-0000-0000F4CE0000}"/>
    <cellStyle name="Total 11 3 5" xfId="52976" xr:uid="{00000000-0005-0000-0000-0000F5CE0000}"/>
    <cellStyle name="Total 11 3 5 2" xfId="52977" xr:uid="{00000000-0005-0000-0000-0000F6CE0000}"/>
    <cellStyle name="Total 11 3 5 3" xfId="52978" xr:uid="{00000000-0005-0000-0000-0000F7CE0000}"/>
    <cellStyle name="Total 11 3 6" xfId="52979" xr:uid="{00000000-0005-0000-0000-0000F8CE0000}"/>
    <cellStyle name="Total 11 3 7" xfId="52980" xr:uid="{00000000-0005-0000-0000-0000F9CE0000}"/>
    <cellStyle name="Total 11 3 8" xfId="52981" xr:uid="{00000000-0005-0000-0000-0000FACE0000}"/>
    <cellStyle name="Total 11 4" xfId="52982" xr:uid="{00000000-0005-0000-0000-0000FBCE0000}"/>
    <cellStyle name="Total 11 4 2" xfId="52983" xr:uid="{00000000-0005-0000-0000-0000FCCE0000}"/>
    <cellStyle name="Total 11 4 2 2" xfId="52984" xr:uid="{00000000-0005-0000-0000-0000FDCE0000}"/>
    <cellStyle name="Total 11 4 2 2 2" xfId="52985" xr:uid="{00000000-0005-0000-0000-0000FECE0000}"/>
    <cellStyle name="Total 11 4 2 2 3" xfId="52986" xr:uid="{00000000-0005-0000-0000-0000FFCE0000}"/>
    <cellStyle name="Total 11 4 2 3" xfId="52987" xr:uid="{00000000-0005-0000-0000-000000CF0000}"/>
    <cellStyle name="Total 11 4 2 3 2" xfId="52988" xr:uid="{00000000-0005-0000-0000-000001CF0000}"/>
    <cellStyle name="Total 11 4 2 3 3" xfId="52989" xr:uid="{00000000-0005-0000-0000-000002CF0000}"/>
    <cellStyle name="Total 11 4 2 4" xfId="52990" xr:uid="{00000000-0005-0000-0000-000003CF0000}"/>
    <cellStyle name="Total 11 4 2 5" xfId="52991" xr:uid="{00000000-0005-0000-0000-000004CF0000}"/>
    <cellStyle name="Total 11 4 2 6" xfId="52992" xr:uid="{00000000-0005-0000-0000-000005CF0000}"/>
    <cellStyle name="Total 11 4 3" xfId="52993" xr:uid="{00000000-0005-0000-0000-000006CF0000}"/>
    <cellStyle name="Total 11 4 3 2" xfId="52994" xr:uid="{00000000-0005-0000-0000-000007CF0000}"/>
    <cellStyle name="Total 11 4 3 3" xfId="52995" xr:uid="{00000000-0005-0000-0000-000008CF0000}"/>
    <cellStyle name="Total 11 4 4" xfId="52996" xr:uid="{00000000-0005-0000-0000-000009CF0000}"/>
    <cellStyle name="Total 11 4 4 2" xfId="52997" xr:uid="{00000000-0005-0000-0000-00000ACF0000}"/>
    <cellStyle name="Total 11 4 4 3" xfId="52998" xr:uid="{00000000-0005-0000-0000-00000BCF0000}"/>
    <cellStyle name="Total 11 4 5" xfId="52999" xr:uid="{00000000-0005-0000-0000-00000CCF0000}"/>
    <cellStyle name="Total 11 4 5 2" xfId="53000" xr:uid="{00000000-0005-0000-0000-00000DCF0000}"/>
    <cellStyle name="Total 11 4 5 3" xfId="53001" xr:uid="{00000000-0005-0000-0000-00000ECF0000}"/>
    <cellStyle name="Total 11 4 6" xfId="53002" xr:uid="{00000000-0005-0000-0000-00000FCF0000}"/>
    <cellStyle name="Total 11 4 7" xfId="53003" xr:uid="{00000000-0005-0000-0000-000010CF0000}"/>
    <cellStyle name="Total 11 4 8" xfId="53004" xr:uid="{00000000-0005-0000-0000-000011CF0000}"/>
    <cellStyle name="Total 11 5" xfId="53005" xr:uid="{00000000-0005-0000-0000-000012CF0000}"/>
    <cellStyle name="Total 11 5 2" xfId="53006" xr:uid="{00000000-0005-0000-0000-000013CF0000}"/>
    <cellStyle name="Total 11 5 2 2" xfId="53007" xr:uid="{00000000-0005-0000-0000-000014CF0000}"/>
    <cellStyle name="Total 11 5 2 2 2" xfId="53008" xr:uid="{00000000-0005-0000-0000-000015CF0000}"/>
    <cellStyle name="Total 11 5 2 2 3" xfId="53009" xr:uid="{00000000-0005-0000-0000-000016CF0000}"/>
    <cellStyle name="Total 11 5 2 3" xfId="53010" xr:uid="{00000000-0005-0000-0000-000017CF0000}"/>
    <cellStyle name="Total 11 5 2 3 2" xfId="53011" xr:uid="{00000000-0005-0000-0000-000018CF0000}"/>
    <cellStyle name="Total 11 5 2 3 3" xfId="53012" xr:uid="{00000000-0005-0000-0000-000019CF0000}"/>
    <cellStyle name="Total 11 5 2 4" xfId="53013" xr:uid="{00000000-0005-0000-0000-00001ACF0000}"/>
    <cellStyle name="Total 11 5 2 5" xfId="53014" xr:uid="{00000000-0005-0000-0000-00001BCF0000}"/>
    <cellStyle name="Total 11 5 2 6" xfId="53015" xr:uid="{00000000-0005-0000-0000-00001CCF0000}"/>
    <cellStyle name="Total 11 5 3" xfId="53016" xr:uid="{00000000-0005-0000-0000-00001DCF0000}"/>
    <cellStyle name="Total 11 5 3 2" xfId="53017" xr:uid="{00000000-0005-0000-0000-00001ECF0000}"/>
    <cellStyle name="Total 11 5 3 3" xfId="53018" xr:uid="{00000000-0005-0000-0000-00001FCF0000}"/>
    <cellStyle name="Total 11 5 4" xfId="53019" xr:uid="{00000000-0005-0000-0000-000020CF0000}"/>
    <cellStyle name="Total 11 5 4 2" xfId="53020" xr:uid="{00000000-0005-0000-0000-000021CF0000}"/>
    <cellStyle name="Total 11 5 4 3" xfId="53021" xr:uid="{00000000-0005-0000-0000-000022CF0000}"/>
    <cellStyle name="Total 11 5 5" xfId="53022" xr:uid="{00000000-0005-0000-0000-000023CF0000}"/>
    <cellStyle name="Total 11 5 5 2" xfId="53023" xr:uid="{00000000-0005-0000-0000-000024CF0000}"/>
    <cellStyle name="Total 11 5 5 3" xfId="53024" xr:uid="{00000000-0005-0000-0000-000025CF0000}"/>
    <cellStyle name="Total 11 5 6" xfId="53025" xr:uid="{00000000-0005-0000-0000-000026CF0000}"/>
    <cellStyle name="Total 11 5 7" xfId="53026" xr:uid="{00000000-0005-0000-0000-000027CF0000}"/>
    <cellStyle name="Total 11 5 8" xfId="53027" xr:uid="{00000000-0005-0000-0000-000028CF0000}"/>
    <cellStyle name="Total 11 6" xfId="53028" xr:uid="{00000000-0005-0000-0000-000029CF0000}"/>
    <cellStyle name="Total 11 6 2" xfId="53029" xr:uid="{00000000-0005-0000-0000-00002ACF0000}"/>
    <cellStyle name="Total 11 6 2 2" xfId="53030" xr:uid="{00000000-0005-0000-0000-00002BCF0000}"/>
    <cellStyle name="Total 11 6 2 3" xfId="53031" xr:uid="{00000000-0005-0000-0000-00002CCF0000}"/>
    <cellStyle name="Total 11 6 3" xfId="53032" xr:uid="{00000000-0005-0000-0000-00002DCF0000}"/>
    <cellStyle name="Total 11 6 3 2" xfId="53033" xr:uid="{00000000-0005-0000-0000-00002ECF0000}"/>
    <cellStyle name="Total 11 6 3 3" xfId="53034" xr:uid="{00000000-0005-0000-0000-00002FCF0000}"/>
    <cellStyle name="Total 11 6 4" xfId="53035" xr:uid="{00000000-0005-0000-0000-000030CF0000}"/>
    <cellStyle name="Total 11 6 5" xfId="53036" xr:uid="{00000000-0005-0000-0000-000031CF0000}"/>
    <cellStyle name="Total 11 6 6" xfId="53037" xr:uid="{00000000-0005-0000-0000-000032CF0000}"/>
    <cellStyle name="Total 11 7" xfId="53038" xr:uid="{00000000-0005-0000-0000-000033CF0000}"/>
    <cellStyle name="Total 11 7 2" xfId="53039" xr:uid="{00000000-0005-0000-0000-000034CF0000}"/>
    <cellStyle name="Total 11 7 3" xfId="53040" xr:uid="{00000000-0005-0000-0000-000035CF0000}"/>
    <cellStyle name="Total 11 8" xfId="53041" xr:uid="{00000000-0005-0000-0000-000036CF0000}"/>
    <cellStyle name="Total 11 8 2" xfId="53042" xr:uid="{00000000-0005-0000-0000-000037CF0000}"/>
    <cellStyle name="Total 11 8 3" xfId="53043" xr:uid="{00000000-0005-0000-0000-000038CF0000}"/>
    <cellStyle name="Total 11 9" xfId="53044" xr:uid="{00000000-0005-0000-0000-000039CF0000}"/>
    <cellStyle name="Total 11 9 2" xfId="53045" xr:uid="{00000000-0005-0000-0000-00003ACF0000}"/>
    <cellStyle name="Total 11 9 3" xfId="53046" xr:uid="{00000000-0005-0000-0000-00003BCF0000}"/>
    <cellStyle name="Total 12" xfId="53047" xr:uid="{00000000-0005-0000-0000-00003CCF0000}"/>
    <cellStyle name="Total 12 10" xfId="53048" xr:uid="{00000000-0005-0000-0000-00003DCF0000}"/>
    <cellStyle name="Total 12 11" xfId="53049" xr:uid="{00000000-0005-0000-0000-00003ECF0000}"/>
    <cellStyle name="Total 12 2" xfId="53050" xr:uid="{00000000-0005-0000-0000-00003FCF0000}"/>
    <cellStyle name="Total 12 2 2" xfId="53051" xr:uid="{00000000-0005-0000-0000-000040CF0000}"/>
    <cellStyle name="Total 12 2 2 2" xfId="53052" xr:uid="{00000000-0005-0000-0000-000041CF0000}"/>
    <cellStyle name="Total 12 2 2 2 2" xfId="53053" xr:uid="{00000000-0005-0000-0000-000042CF0000}"/>
    <cellStyle name="Total 12 2 2 2 3" xfId="53054" xr:uid="{00000000-0005-0000-0000-000043CF0000}"/>
    <cellStyle name="Total 12 2 2 3" xfId="53055" xr:uid="{00000000-0005-0000-0000-000044CF0000}"/>
    <cellStyle name="Total 12 2 2 3 2" xfId="53056" xr:uid="{00000000-0005-0000-0000-000045CF0000}"/>
    <cellStyle name="Total 12 2 2 3 3" xfId="53057" xr:uid="{00000000-0005-0000-0000-000046CF0000}"/>
    <cellStyle name="Total 12 2 2 4" xfId="53058" xr:uid="{00000000-0005-0000-0000-000047CF0000}"/>
    <cellStyle name="Total 12 2 2 5" xfId="53059" xr:uid="{00000000-0005-0000-0000-000048CF0000}"/>
    <cellStyle name="Total 12 2 2 6" xfId="53060" xr:uid="{00000000-0005-0000-0000-000049CF0000}"/>
    <cellStyle name="Total 12 2 3" xfId="53061" xr:uid="{00000000-0005-0000-0000-00004ACF0000}"/>
    <cellStyle name="Total 12 2 3 2" xfId="53062" xr:uid="{00000000-0005-0000-0000-00004BCF0000}"/>
    <cellStyle name="Total 12 2 3 3" xfId="53063" xr:uid="{00000000-0005-0000-0000-00004CCF0000}"/>
    <cellStyle name="Total 12 2 4" xfId="53064" xr:uid="{00000000-0005-0000-0000-00004DCF0000}"/>
    <cellStyle name="Total 12 2 4 2" xfId="53065" xr:uid="{00000000-0005-0000-0000-00004ECF0000}"/>
    <cellStyle name="Total 12 2 4 3" xfId="53066" xr:uid="{00000000-0005-0000-0000-00004FCF0000}"/>
    <cellStyle name="Total 12 2 5" xfId="53067" xr:uid="{00000000-0005-0000-0000-000050CF0000}"/>
    <cellStyle name="Total 12 2 5 2" xfId="53068" xr:uid="{00000000-0005-0000-0000-000051CF0000}"/>
    <cellStyle name="Total 12 2 5 3" xfId="53069" xr:uid="{00000000-0005-0000-0000-000052CF0000}"/>
    <cellStyle name="Total 12 2 6" xfId="53070" xr:uid="{00000000-0005-0000-0000-000053CF0000}"/>
    <cellStyle name="Total 12 2 7" xfId="53071" xr:uid="{00000000-0005-0000-0000-000054CF0000}"/>
    <cellStyle name="Total 12 2 8" xfId="53072" xr:uid="{00000000-0005-0000-0000-000055CF0000}"/>
    <cellStyle name="Total 12 3" xfId="53073" xr:uid="{00000000-0005-0000-0000-000056CF0000}"/>
    <cellStyle name="Total 12 3 2" xfId="53074" xr:uid="{00000000-0005-0000-0000-000057CF0000}"/>
    <cellStyle name="Total 12 3 2 2" xfId="53075" xr:uid="{00000000-0005-0000-0000-000058CF0000}"/>
    <cellStyle name="Total 12 3 2 2 2" xfId="53076" xr:uid="{00000000-0005-0000-0000-000059CF0000}"/>
    <cellStyle name="Total 12 3 2 2 3" xfId="53077" xr:uid="{00000000-0005-0000-0000-00005ACF0000}"/>
    <cellStyle name="Total 12 3 2 3" xfId="53078" xr:uid="{00000000-0005-0000-0000-00005BCF0000}"/>
    <cellStyle name="Total 12 3 2 3 2" xfId="53079" xr:uid="{00000000-0005-0000-0000-00005CCF0000}"/>
    <cellStyle name="Total 12 3 2 3 3" xfId="53080" xr:uid="{00000000-0005-0000-0000-00005DCF0000}"/>
    <cellStyle name="Total 12 3 2 4" xfId="53081" xr:uid="{00000000-0005-0000-0000-00005ECF0000}"/>
    <cellStyle name="Total 12 3 2 5" xfId="53082" xr:uid="{00000000-0005-0000-0000-00005FCF0000}"/>
    <cellStyle name="Total 12 3 2 6" xfId="53083" xr:uid="{00000000-0005-0000-0000-000060CF0000}"/>
    <cellStyle name="Total 12 3 3" xfId="53084" xr:uid="{00000000-0005-0000-0000-000061CF0000}"/>
    <cellStyle name="Total 12 3 3 2" xfId="53085" xr:uid="{00000000-0005-0000-0000-000062CF0000}"/>
    <cellStyle name="Total 12 3 3 3" xfId="53086" xr:uid="{00000000-0005-0000-0000-000063CF0000}"/>
    <cellStyle name="Total 12 3 4" xfId="53087" xr:uid="{00000000-0005-0000-0000-000064CF0000}"/>
    <cellStyle name="Total 12 3 4 2" xfId="53088" xr:uid="{00000000-0005-0000-0000-000065CF0000}"/>
    <cellStyle name="Total 12 3 4 3" xfId="53089" xr:uid="{00000000-0005-0000-0000-000066CF0000}"/>
    <cellStyle name="Total 12 3 5" xfId="53090" xr:uid="{00000000-0005-0000-0000-000067CF0000}"/>
    <cellStyle name="Total 12 3 5 2" xfId="53091" xr:uid="{00000000-0005-0000-0000-000068CF0000}"/>
    <cellStyle name="Total 12 3 5 3" xfId="53092" xr:uid="{00000000-0005-0000-0000-000069CF0000}"/>
    <cellStyle name="Total 12 3 6" xfId="53093" xr:uid="{00000000-0005-0000-0000-00006ACF0000}"/>
    <cellStyle name="Total 12 3 7" xfId="53094" xr:uid="{00000000-0005-0000-0000-00006BCF0000}"/>
    <cellStyle name="Total 12 3 8" xfId="53095" xr:uid="{00000000-0005-0000-0000-00006CCF0000}"/>
    <cellStyle name="Total 12 4" xfId="53096" xr:uid="{00000000-0005-0000-0000-00006DCF0000}"/>
    <cellStyle name="Total 12 4 2" xfId="53097" xr:uid="{00000000-0005-0000-0000-00006ECF0000}"/>
    <cellStyle name="Total 12 4 2 2" xfId="53098" xr:uid="{00000000-0005-0000-0000-00006FCF0000}"/>
    <cellStyle name="Total 12 4 2 2 2" xfId="53099" xr:uid="{00000000-0005-0000-0000-000070CF0000}"/>
    <cellStyle name="Total 12 4 2 2 3" xfId="53100" xr:uid="{00000000-0005-0000-0000-000071CF0000}"/>
    <cellStyle name="Total 12 4 2 3" xfId="53101" xr:uid="{00000000-0005-0000-0000-000072CF0000}"/>
    <cellStyle name="Total 12 4 2 3 2" xfId="53102" xr:uid="{00000000-0005-0000-0000-000073CF0000}"/>
    <cellStyle name="Total 12 4 2 3 3" xfId="53103" xr:uid="{00000000-0005-0000-0000-000074CF0000}"/>
    <cellStyle name="Total 12 4 2 4" xfId="53104" xr:uid="{00000000-0005-0000-0000-000075CF0000}"/>
    <cellStyle name="Total 12 4 2 5" xfId="53105" xr:uid="{00000000-0005-0000-0000-000076CF0000}"/>
    <cellStyle name="Total 12 4 2 6" xfId="53106" xr:uid="{00000000-0005-0000-0000-000077CF0000}"/>
    <cellStyle name="Total 12 4 3" xfId="53107" xr:uid="{00000000-0005-0000-0000-000078CF0000}"/>
    <cellStyle name="Total 12 4 3 2" xfId="53108" xr:uid="{00000000-0005-0000-0000-000079CF0000}"/>
    <cellStyle name="Total 12 4 3 3" xfId="53109" xr:uid="{00000000-0005-0000-0000-00007ACF0000}"/>
    <cellStyle name="Total 12 4 4" xfId="53110" xr:uid="{00000000-0005-0000-0000-00007BCF0000}"/>
    <cellStyle name="Total 12 4 4 2" xfId="53111" xr:uid="{00000000-0005-0000-0000-00007CCF0000}"/>
    <cellStyle name="Total 12 4 4 3" xfId="53112" xr:uid="{00000000-0005-0000-0000-00007DCF0000}"/>
    <cellStyle name="Total 12 4 5" xfId="53113" xr:uid="{00000000-0005-0000-0000-00007ECF0000}"/>
    <cellStyle name="Total 12 4 5 2" xfId="53114" xr:uid="{00000000-0005-0000-0000-00007FCF0000}"/>
    <cellStyle name="Total 12 4 5 3" xfId="53115" xr:uid="{00000000-0005-0000-0000-000080CF0000}"/>
    <cellStyle name="Total 12 4 6" xfId="53116" xr:uid="{00000000-0005-0000-0000-000081CF0000}"/>
    <cellStyle name="Total 12 4 7" xfId="53117" xr:uid="{00000000-0005-0000-0000-000082CF0000}"/>
    <cellStyle name="Total 12 4 8" xfId="53118" xr:uid="{00000000-0005-0000-0000-000083CF0000}"/>
    <cellStyle name="Total 12 5" xfId="53119" xr:uid="{00000000-0005-0000-0000-000084CF0000}"/>
    <cellStyle name="Total 12 5 2" xfId="53120" xr:uid="{00000000-0005-0000-0000-000085CF0000}"/>
    <cellStyle name="Total 12 5 2 2" xfId="53121" xr:uid="{00000000-0005-0000-0000-000086CF0000}"/>
    <cellStyle name="Total 12 5 2 3" xfId="53122" xr:uid="{00000000-0005-0000-0000-000087CF0000}"/>
    <cellStyle name="Total 12 5 3" xfId="53123" xr:uid="{00000000-0005-0000-0000-000088CF0000}"/>
    <cellStyle name="Total 12 5 3 2" xfId="53124" xr:uid="{00000000-0005-0000-0000-000089CF0000}"/>
    <cellStyle name="Total 12 5 3 3" xfId="53125" xr:uid="{00000000-0005-0000-0000-00008ACF0000}"/>
    <cellStyle name="Total 12 5 4" xfId="53126" xr:uid="{00000000-0005-0000-0000-00008BCF0000}"/>
    <cellStyle name="Total 12 5 5" xfId="53127" xr:uid="{00000000-0005-0000-0000-00008CCF0000}"/>
    <cellStyle name="Total 12 5 6" xfId="53128" xr:uid="{00000000-0005-0000-0000-00008DCF0000}"/>
    <cellStyle name="Total 12 6" xfId="53129" xr:uid="{00000000-0005-0000-0000-00008ECF0000}"/>
    <cellStyle name="Total 12 6 2" xfId="53130" xr:uid="{00000000-0005-0000-0000-00008FCF0000}"/>
    <cellStyle name="Total 12 6 3" xfId="53131" xr:uid="{00000000-0005-0000-0000-000090CF0000}"/>
    <cellStyle name="Total 12 7" xfId="53132" xr:uid="{00000000-0005-0000-0000-000091CF0000}"/>
    <cellStyle name="Total 12 7 2" xfId="53133" xr:uid="{00000000-0005-0000-0000-000092CF0000}"/>
    <cellStyle name="Total 12 7 3" xfId="53134" xr:uid="{00000000-0005-0000-0000-000093CF0000}"/>
    <cellStyle name="Total 12 8" xfId="53135" xr:uid="{00000000-0005-0000-0000-000094CF0000}"/>
    <cellStyle name="Total 12 8 2" xfId="53136" xr:uid="{00000000-0005-0000-0000-000095CF0000}"/>
    <cellStyle name="Total 12 8 3" xfId="53137" xr:uid="{00000000-0005-0000-0000-000096CF0000}"/>
    <cellStyle name="Total 12 9" xfId="53138" xr:uid="{00000000-0005-0000-0000-000097CF0000}"/>
    <cellStyle name="Total 13" xfId="53139" xr:uid="{00000000-0005-0000-0000-000098CF0000}"/>
    <cellStyle name="Total 13 2" xfId="53140" xr:uid="{00000000-0005-0000-0000-000099CF0000}"/>
    <cellStyle name="Total 13 2 2" xfId="53141" xr:uid="{00000000-0005-0000-0000-00009ACF0000}"/>
    <cellStyle name="Total 13 2 2 2" xfId="53142" xr:uid="{00000000-0005-0000-0000-00009BCF0000}"/>
    <cellStyle name="Total 13 2 2 3" xfId="53143" xr:uid="{00000000-0005-0000-0000-00009CCF0000}"/>
    <cellStyle name="Total 13 2 3" xfId="53144" xr:uid="{00000000-0005-0000-0000-00009DCF0000}"/>
    <cellStyle name="Total 13 2 3 2" xfId="53145" xr:uid="{00000000-0005-0000-0000-00009ECF0000}"/>
    <cellStyle name="Total 13 2 3 3" xfId="53146" xr:uid="{00000000-0005-0000-0000-00009FCF0000}"/>
    <cellStyle name="Total 13 2 4" xfId="53147" xr:uid="{00000000-0005-0000-0000-0000A0CF0000}"/>
    <cellStyle name="Total 13 2 5" xfId="53148" xr:uid="{00000000-0005-0000-0000-0000A1CF0000}"/>
    <cellStyle name="Total 13 2 6" xfId="53149" xr:uid="{00000000-0005-0000-0000-0000A2CF0000}"/>
    <cellStyle name="Total 13 3" xfId="53150" xr:uid="{00000000-0005-0000-0000-0000A3CF0000}"/>
    <cellStyle name="Total 13 3 2" xfId="53151" xr:uid="{00000000-0005-0000-0000-0000A4CF0000}"/>
    <cellStyle name="Total 13 3 3" xfId="53152" xr:uid="{00000000-0005-0000-0000-0000A5CF0000}"/>
    <cellStyle name="Total 13 4" xfId="53153" xr:uid="{00000000-0005-0000-0000-0000A6CF0000}"/>
    <cellStyle name="Total 13 4 2" xfId="53154" xr:uid="{00000000-0005-0000-0000-0000A7CF0000}"/>
    <cellStyle name="Total 13 4 3" xfId="53155" xr:uid="{00000000-0005-0000-0000-0000A8CF0000}"/>
    <cellStyle name="Total 13 5" xfId="53156" xr:uid="{00000000-0005-0000-0000-0000A9CF0000}"/>
    <cellStyle name="Total 13 5 2" xfId="53157" xr:uid="{00000000-0005-0000-0000-0000AACF0000}"/>
    <cellStyle name="Total 13 5 3" xfId="53158" xr:uid="{00000000-0005-0000-0000-0000ABCF0000}"/>
    <cellStyle name="Total 13 6" xfId="53159" xr:uid="{00000000-0005-0000-0000-0000ACCF0000}"/>
    <cellStyle name="Total 13 7" xfId="53160" xr:uid="{00000000-0005-0000-0000-0000ADCF0000}"/>
    <cellStyle name="Total 13 8" xfId="53161" xr:uid="{00000000-0005-0000-0000-0000AECF0000}"/>
    <cellStyle name="Total 14" xfId="53162" xr:uid="{00000000-0005-0000-0000-0000AFCF0000}"/>
    <cellStyle name="Total 14 2" xfId="53163" xr:uid="{00000000-0005-0000-0000-0000B0CF0000}"/>
    <cellStyle name="Total 14 2 2" xfId="53164" xr:uid="{00000000-0005-0000-0000-0000B1CF0000}"/>
    <cellStyle name="Total 14 2 2 2" xfId="53165" xr:uid="{00000000-0005-0000-0000-0000B2CF0000}"/>
    <cellStyle name="Total 14 2 2 3" xfId="53166" xr:uid="{00000000-0005-0000-0000-0000B3CF0000}"/>
    <cellStyle name="Total 14 2 3" xfId="53167" xr:uid="{00000000-0005-0000-0000-0000B4CF0000}"/>
    <cellStyle name="Total 14 2 3 2" xfId="53168" xr:uid="{00000000-0005-0000-0000-0000B5CF0000}"/>
    <cellStyle name="Total 14 2 3 3" xfId="53169" xr:uid="{00000000-0005-0000-0000-0000B6CF0000}"/>
    <cellStyle name="Total 14 2 4" xfId="53170" xr:uid="{00000000-0005-0000-0000-0000B7CF0000}"/>
    <cellStyle name="Total 14 2 5" xfId="53171" xr:uid="{00000000-0005-0000-0000-0000B8CF0000}"/>
    <cellStyle name="Total 14 2 6" xfId="53172" xr:uid="{00000000-0005-0000-0000-0000B9CF0000}"/>
    <cellStyle name="Total 14 3" xfId="53173" xr:uid="{00000000-0005-0000-0000-0000BACF0000}"/>
    <cellStyle name="Total 14 3 2" xfId="53174" xr:uid="{00000000-0005-0000-0000-0000BBCF0000}"/>
    <cellStyle name="Total 14 3 3" xfId="53175" xr:uid="{00000000-0005-0000-0000-0000BCCF0000}"/>
    <cellStyle name="Total 14 4" xfId="53176" xr:uid="{00000000-0005-0000-0000-0000BDCF0000}"/>
    <cellStyle name="Total 14 4 2" xfId="53177" xr:uid="{00000000-0005-0000-0000-0000BECF0000}"/>
    <cellStyle name="Total 14 4 3" xfId="53178" xr:uid="{00000000-0005-0000-0000-0000BFCF0000}"/>
    <cellStyle name="Total 14 5" xfId="53179" xr:uid="{00000000-0005-0000-0000-0000C0CF0000}"/>
    <cellStyle name="Total 14 5 2" xfId="53180" xr:uid="{00000000-0005-0000-0000-0000C1CF0000}"/>
    <cellStyle name="Total 14 5 3" xfId="53181" xr:uid="{00000000-0005-0000-0000-0000C2CF0000}"/>
    <cellStyle name="Total 14 6" xfId="53182" xr:uid="{00000000-0005-0000-0000-0000C3CF0000}"/>
    <cellStyle name="Total 14 7" xfId="53183" xr:uid="{00000000-0005-0000-0000-0000C4CF0000}"/>
    <cellStyle name="Total 14 8" xfId="53184" xr:uid="{00000000-0005-0000-0000-0000C5CF0000}"/>
    <cellStyle name="Total 15" xfId="53185" xr:uid="{00000000-0005-0000-0000-0000C6CF0000}"/>
    <cellStyle name="Total 15 2" xfId="53186" xr:uid="{00000000-0005-0000-0000-0000C7CF0000}"/>
    <cellStyle name="Total 15 2 2" xfId="53187" xr:uid="{00000000-0005-0000-0000-0000C8CF0000}"/>
    <cellStyle name="Total 15 2 2 2" xfId="53188" xr:uid="{00000000-0005-0000-0000-0000C9CF0000}"/>
    <cellStyle name="Total 15 2 2 3" xfId="53189" xr:uid="{00000000-0005-0000-0000-0000CACF0000}"/>
    <cellStyle name="Total 15 2 3" xfId="53190" xr:uid="{00000000-0005-0000-0000-0000CBCF0000}"/>
    <cellStyle name="Total 15 2 3 2" xfId="53191" xr:uid="{00000000-0005-0000-0000-0000CCCF0000}"/>
    <cellStyle name="Total 15 2 3 3" xfId="53192" xr:uid="{00000000-0005-0000-0000-0000CDCF0000}"/>
    <cellStyle name="Total 15 2 4" xfId="53193" xr:uid="{00000000-0005-0000-0000-0000CECF0000}"/>
    <cellStyle name="Total 15 2 5" xfId="53194" xr:uid="{00000000-0005-0000-0000-0000CFCF0000}"/>
    <cellStyle name="Total 15 2 6" xfId="53195" xr:uid="{00000000-0005-0000-0000-0000D0CF0000}"/>
    <cellStyle name="Total 15 3" xfId="53196" xr:uid="{00000000-0005-0000-0000-0000D1CF0000}"/>
    <cellStyle name="Total 15 3 2" xfId="53197" xr:uid="{00000000-0005-0000-0000-0000D2CF0000}"/>
    <cellStyle name="Total 15 3 3" xfId="53198" xr:uid="{00000000-0005-0000-0000-0000D3CF0000}"/>
    <cellStyle name="Total 15 4" xfId="53199" xr:uid="{00000000-0005-0000-0000-0000D4CF0000}"/>
    <cellStyle name="Total 15 4 2" xfId="53200" xr:uid="{00000000-0005-0000-0000-0000D5CF0000}"/>
    <cellStyle name="Total 15 4 3" xfId="53201" xr:uid="{00000000-0005-0000-0000-0000D6CF0000}"/>
    <cellStyle name="Total 15 5" xfId="53202" xr:uid="{00000000-0005-0000-0000-0000D7CF0000}"/>
    <cellStyle name="Total 15 5 2" xfId="53203" xr:uid="{00000000-0005-0000-0000-0000D8CF0000}"/>
    <cellStyle name="Total 15 5 3" xfId="53204" xr:uid="{00000000-0005-0000-0000-0000D9CF0000}"/>
    <cellStyle name="Total 15 6" xfId="53205" xr:uid="{00000000-0005-0000-0000-0000DACF0000}"/>
    <cellStyle name="Total 15 7" xfId="53206" xr:uid="{00000000-0005-0000-0000-0000DBCF0000}"/>
    <cellStyle name="Total 15 8" xfId="53207" xr:uid="{00000000-0005-0000-0000-0000DCCF0000}"/>
    <cellStyle name="Total 16" xfId="53208" xr:uid="{00000000-0005-0000-0000-0000DDCF0000}"/>
    <cellStyle name="Total 16 2" xfId="53209" xr:uid="{00000000-0005-0000-0000-0000DECF0000}"/>
    <cellStyle name="Total 16 2 2" xfId="53210" xr:uid="{00000000-0005-0000-0000-0000DFCF0000}"/>
    <cellStyle name="Total 16 2 3" xfId="53211" xr:uid="{00000000-0005-0000-0000-0000E0CF0000}"/>
    <cellStyle name="Total 16 3" xfId="53212" xr:uid="{00000000-0005-0000-0000-0000E1CF0000}"/>
    <cellStyle name="Total 16 3 2" xfId="53213" xr:uid="{00000000-0005-0000-0000-0000E2CF0000}"/>
    <cellStyle name="Total 16 3 3" xfId="53214" xr:uid="{00000000-0005-0000-0000-0000E3CF0000}"/>
    <cellStyle name="Total 16 4" xfId="53215" xr:uid="{00000000-0005-0000-0000-0000E4CF0000}"/>
    <cellStyle name="Total 16 5" xfId="53216" xr:uid="{00000000-0005-0000-0000-0000E5CF0000}"/>
    <cellStyle name="Total 16 6" xfId="53217" xr:uid="{00000000-0005-0000-0000-0000E6CF0000}"/>
    <cellStyle name="Total 17" xfId="53218" xr:uid="{00000000-0005-0000-0000-0000E7CF0000}"/>
    <cellStyle name="Total 17 2" xfId="53219" xr:uid="{00000000-0005-0000-0000-0000E8CF0000}"/>
    <cellStyle name="Total 17 3" xfId="53220" xr:uid="{00000000-0005-0000-0000-0000E9CF0000}"/>
    <cellStyle name="Total 18" xfId="53221" xr:uid="{00000000-0005-0000-0000-0000EACF0000}"/>
    <cellStyle name="Total 18 2" xfId="53222" xr:uid="{00000000-0005-0000-0000-0000EBCF0000}"/>
    <cellStyle name="Total 18 3" xfId="53223" xr:uid="{00000000-0005-0000-0000-0000ECCF0000}"/>
    <cellStyle name="Total 19" xfId="53224" xr:uid="{00000000-0005-0000-0000-0000EDCF0000}"/>
    <cellStyle name="Total 19 2" xfId="53225" xr:uid="{00000000-0005-0000-0000-0000EECF0000}"/>
    <cellStyle name="Total 19 3" xfId="53226" xr:uid="{00000000-0005-0000-0000-0000EFCF0000}"/>
    <cellStyle name="Total 2" xfId="53227" xr:uid="{00000000-0005-0000-0000-0000F0CF0000}"/>
    <cellStyle name="Total 2 10" xfId="53228" xr:uid="{00000000-0005-0000-0000-0000F1CF0000}"/>
    <cellStyle name="Total 2 11" xfId="53229" xr:uid="{00000000-0005-0000-0000-0000F2CF0000}"/>
    <cellStyle name="Total 2 12" xfId="53230" xr:uid="{00000000-0005-0000-0000-0000F3CF0000}"/>
    <cellStyle name="Total 2 2" xfId="53231" xr:uid="{00000000-0005-0000-0000-0000F4CF0000}"/>
    <cellStyle name="Total 2 2 10" xfId="53232" xr:uid="{00000000-0005-0000-0000-0000F5CF0000}"/>
    <cellStyle name="Total 2 2 2" xfId="53233" xr:uid="{00000000-0005-0000-0000-0000F6CF0000}"/>
    <cellStyle name="Total 2 2 2 2" xfId="53234" xr:uid="{00000000-0005-0000-0000-0000F7CF0000}"/>
    <cellStyle name="Total 2 2 2 2 2" xfId="53235" xr:uid="{00000000-0005-0000-0000-0000F8CF0000}"/>
    <cellStyle name="Total 2 2 2 2 2 2" xfId="53236" xr:uid="{00000000-0005-0000-0000-0000F9CF0000}"/>
    <cellStyle name="Total 2 2 2 2 2 3" xfId="53237" xr:uid="{00000000-0005-0000-0000-0000FACF0000}"/>
    <cellStyle name="Total 2 2 2 2 3" xfId="53238" xr:uid="{00000000-0005-0000-0000-0000FBCF0000}"/>
    <cellStyle name="Total 2 2 2 2 3 2" xfId="53239" xr:uid="{00000000-0005-0000-0000-0000FCCF0000}"/>
    <cellStyle name="Total 2 2 2 2 3 3" xfId="53240" xr:uid="{00000000-0005-0000-0000-0000FDCF0000}"/>
    <cellStyle name="Total 2 2 2 2 4" xfId="53241" xr:uid="{00000000-0005-0000-0000-0000FECF0000}"/>
    <cellStyle name="Total 2 2 2 2 5" xfId="53242" xr:uid="{00000000-0005-0000-0000-0000FFCF0000}"/>
    <cellStyle name="Total 2 2 2 2 6" xfId="53243" xr:uid="{00000000-0005-0000-0000-000000D00000}"/>
    <cellStyle name="Total 2 2 2 3" xfId="53244" xr:uid="{00000000-0005-0000-0000-000001D00000}"/>
    <cellStyle name="Total 2 2 2 3 2" xfId="53245" xr:uid="{00000000-0005-0000-0000-000002D00000}"/>
    <cellStyle name="Total 2 2 2 3 3" xfId="53246" xr:uid="{00000000-0005-0000-0000-000003D00000}"/>
    <cellStyle name="Total 2 2 2 4" xfId="53247" xr:uid="{00000000-0005-0000-0000-000004D00000}"/>
    <cellStyle name="Total 2 2 2 4 2" xfId="53248" xr:uid="{00000000-0005-0000-0000-000005D00000}"/>
    <cellStyle name="Total 2 2 2 4 3" xfId="53249" xr:uid="{00000000-0005-0000-0000-000006D00000}"/>
    <cellStyle name="Total 2 2 2 5" xfId="53250" xr:uid="{00000000-0005-0000-0000-000007D00000}"/>
    <cellStyle name="Total 2 2 2 5 2" xfId="53251" xr:uid="{00000000-0005-0000-0000-000008D00000}"/>
    <cellStyle name="Total 2 2 2 5 3" xfId="53252" xr:uid="{00000000-0005-0000-0000-000009D00000}"/>
    <cellStyle name="Total 2 2 2 6" xfId="53253" xr:uid="{00000000-0005-0000-0000-00000AD00000}"/>
    <cellStyle name="Total 2 2 2 7" xfId="53254" xr:uid="{00000000-0005-0000-0000-00000BD00000}"/>
    <cellStyle name="Total 2 2 2 8" xfId="53255" xr:uid="{00000000-0005-0000-0000-00000CD00000}"/>
    <cellStyle name="Total 2 2 3" xfId="53256" xr:uid="{00000000-0005-0000-0000-00000DD00000}"/>
    <cellStyle name="Total 2 2 3 2" xfId="53257" xr:uid="{00000000-0005-0000-0000-00000ED00000}"/>
    <cellStyle name="Total 2 2 3 2 2" xfId="53258" xr:uid="{00000000-0005-0000-0000-00000FD00000}"/>
    <cellStyle name="Total 2 2 3 2 2 2" xfId="53259" xr:uid="{00000000-0005-0000-0000-000010D00000}"/>
    <cellStyle name="Total 2 2 3 2 2 3" xfId="53260" xr:uid="{00000000-0005-0000-0000-000011D00000}"/>
    <cellStyle name="Total 2 2 3 2 3" xfId="53261" xr:uid="{00000000-0005-0000-0000-000012D00000}"/>
    <cellStyle name="Total 2 2 3 2 3 2" xfId="53262" xr:uid="{00000000-0005-0000-0000-000013D00000}"/>
    <cellStyle name="Total 2 2 3 2 3 3" xfId="53263" xr:uid="{00000000-0005-0000-0000-000014D00000}"/>
    <cellStyle name="Total 2 2 3 2 4" xfId="53264" xr:uid="{00000000-0005-0000-0000-000015D00000}"/>
    <cellStyle name="Total 2 2 3 2 5" xfId="53265" xr:uid="{00000000-0005-0000-0000-000016D00000}"/>
    <cellStyle name="Total 2 2 3 2 6" xfId="53266" xr:uid="{00000000-0005-0000-0000-000017D00000}"/>
    <cellStyle name="Total 2 2 3 3" xfId="53267" xr:uid="{00000000-0005-0000-0000-000018D00000}"/>
    <cellStyle name="Total 2 2 3 3 2" xfId="53268" xr:uid="{00000000-0005-0000-0000-000019D00000}"/>
    <cellStyle name="Total 2 2 3 3 3" xfId="53269" xr:uid="{00000000-0005-0000-0000-00001AD00000}"/>
    <cellStyle name="Total 2 2 3 4" xfId="53270" xr:uid="{00000000-0005-0000-0000-00001BD00000}"/>
    <cellStyle name="Total 2 2 3 4 2" xfId="53271" xr:uid="{00000000-0005-0000-0000-00001CD00000}"/>
    <cellStyle name="Total 2 2 3 4 3" xfId="53272" xr:uid="{00000000-0005-0000-0000-00001DD00000}"/>
    <cellStyle name="Total 2 2 3 5" xfId="53273" xr:uid="{00000000-0005-0000-0000-00001ED00000}"/>
    <cellStyle name="Total 2 2 3 5 2" xfId="53274" xr:uid="{00000000-0005-0000-0000-00001FD00000}"/>
    <cellStyle name="Total 2 2 3 5 3" xfId="53275" xr:uid="{00000000-0005-0000-0000-000020D00000}"/>
    <cellStyle name="Total 2 2 3 6" xfId="53276" xr:uid="{00000000-0005-0000-0000-000021D00000}"/>
    <cellStyle name="Total 2 2 3 7" xfId="53277" xr:uid="{00000000-0005-0000-0000-000022D00000}"/>
    <cellStyle name="Total 2 2 3 8" xfId="53278" xr:uid="{00000000-0005-0000-0000-000023D00000}"/>
    <cellStyle name="Total 2 2 4" xfId="53279" xr:uid="{00000000-0005-0000-0000-000024D00000}"/>
    <cellStyle name="Total 2 2 4 2" xfId="53280" xr:uid="{00000000-0005-0000-0000-000025D00000}"/>
    <cellStyle name="Total 2 2 4 2 2" xfId="53281" xr:uid="{00000000-0005-0000-0000-000026D00000}"/>
    <cellStyle name="Total 2 2 4 2 3" xfId="53282" xr:uid="{00000000-0005-0000-0000-000027D00000}"/>
    <cellStyle name="Total 2 2 4 3" xfId="53283" xr:uid="{00000000-0005-0000-0000-000028D00000}"/>
    <cellStyle name="Total 2 2 4 3 2" xfId="53284" xr:uid="{00000000-0005-0000-0000-000029D00000}"/>
    <cellStyle name="Total 2 2 4 3 3" xfId="53285" xr:uid="{00000000-0005-0000-0000-00002AD00000}"/>
    <cellStyle name="Total 2 2 4 4" xfId="53286" xr:uid="{00000000-0005-0000-0000-00002BD00000}"/>
    <cellStyle name="Total 2 2 4 5" xfId="53287" xr:uid="{00000000-0005-0000-0000-00002CD00000}"/>
    <cellStyle name="Total 2 2 4 6" xfId="53288" xr:uid="{00000000-0005-0000-0000-00002DD00000}"/>
    <cellStyle name="Total 2 2 5" xfId="53289" xr:uid="{00000000-0005-0000-0000-00002ED00000}"/>
    <cellStyle name="Total 2 2 5 2" xfId="53290" xr:uid="{00000000-0005-0000-0000-00002FD00000}"/>
    <cellStyle name="Total 2 2 5 3" xfId="53291" xr:uid="{00000000-0005-0000-0000-000030D00000}"/>
    <cellStyle name="Total 2 2 6" xfId="53292" xr:uid="{00000000-0005-0000-0000-000031D00000}"/>
    <cellStyle name="Total 2 2 6 2" xfId="53293" xr:uid="{00000000-0005-0000-0000-000032D00000}"/>
    <cellStyle name="Total 2 2 6 3" xfId="53294" xr:uid="{00000000-0005-0000-0000-000033D00000}"/>
    <cellStyle name="Total 2 2 7" xfId="53295" xr:uid="{00000000-0005-0000-0000-000034D00000}"/>
    <cellStyle name="Total 2 2 7 2" xfId="53296" xr:uid="{00000000-0005-0000-0000-000035D00000}"/>
    <cellStyle name="Total 2 2 7 3" xfId="53297" xr:uid="{00000000-0005-0000-0000-000036D00000}"/>
    <cellStyle name="Total 2 2 8" xfId="53298" xr:uid="{00000000-0005-0000-0000-000037D00000}"/>
    <cellStyle name="Total 2 2 9" xfId="53299" xr:uid="{00000000-0005-0000-0000-000038D00000}"/>
    <cellStyle name="Total 2 3" xfId="53300" xr:uid="{00000000-0005-0000-0000-000039D00000}"/>
    <cellStyle name="Total 2 3 2" xfId="53301" xr:uid="{00000000-0005-0000-0000-00003AD00000}"/>
    <cellStyle name="Total 2 3 2 2" xfId="53302" xr:uid="{00000000-0005-0000-0000-00003BD00000}"/>
    <cellStyle name="Total 2 3 2 2 2" xfId="53303" xr:uid="{00000000-0005-0000-0000-00003CD00000}"/>
    <cellStyle name="Total 2 3 2 2 3" xfId="53304" xr:uid="{00000000-0005-0000-0000-00003DD00000}"/>
    <cellStyle name="Total 2 3 2 3" xfId="53305" xr:uid="{00000000-0005-0000-0000-00003ED00000}"/>
    <cellStyle name="Total 2 3 2 3 2" xfId="53306" xr:uid="{00000000-0005-0000-0000-00003FD00000}"/>
    <cellStyle name="Total 2 3 2 3 3" xfId="53307" xr:uid="{00000000-0005-0000-0000-000040D00000}"/>
    <cellStyle name="Total 2 3 2 4" xfId="53308" xr:uid="{00000000-0005-0000-0000-000041D00000}"/>
    <cellStyle name="Total 2 3 2 5" xfId="53309" xr:uid="{00000000-0005-0000-0000-000042D00000}"/>
    <cellStyle name="Total 2 3 2 6" xfId="53310" xr:uid="{00000000-0005-0000-0000-000043D00000}"/>
    <cellStyle name="Total 2 3 3" xfId="53311" xr:uid="{00000000-0005-0000-0000-000044D00000}"/>
    <cellStyle name="Total 2 3 3 2" xfId="53312" xr:uid="{00000000-0005-0000-0000-000045D00000}"/>
    <cellStyle name="Total 2 3 3 3" xfId="53313" xr:uid="{00000000-0005-0000-0000-000046D00000}"/>
    <cellStyle name="Total 2 3 4" xfId="53314" xr:uid="{00000000-0005-0000-0000-000047D00000}"/>
    <cellStyle name="Total 2 3 4 2" xfId="53315" xr:uid="{00000000-0005-0000-0000-000048D00000}"/>
    <cellStyle name="Total 2 3 4 3" xfId="53316" xr:uid="{00000000-0005-0000-0000-000049D00000}"/>
    <cellStyle name="Total 2 3 5" xfId="53317" xr:uid="{00000000-0005-0000-0000-00004AD00000}"/>
    <cellStyle name="Total 2 3 5 2" xfId="53318" xr:uid="{00000000-0005-0000-0000-00004BD00000}"/>
    <cellStyle name="Total 2 3 5 3" xfId="53319" xr:uid="{00000000-0005-0000-0000-00004CD00000}"/>
    <cellStyle name="Total 2 3 6" xfId="53320" xr:uid="{00000000-0005-0000-0000-00004DD00000}"/>
    <cellStyle name="Total 2 3 7" xfId="53321" xr:uid="{00000000-0005-0000-0000-00004ED00000}"/>
    <cellStyle name="Total 2 3 8" xfId="53322" xr:uid="{00000000-0005-0000-0000-00004FD00000}"/>
    <cellStyle name="Total 2 4" xfId="53323" xr:uid="{00000000-0005-0000-0000-000050D00000}"/>
    <cellStyle name="Total 2 4 2" xfId="53324" xr:uid="{00000000-0005-0000-0000-000051D00000}"/>
    <cellStyle name="Total 2 4 2 2" xfId="53325" xr:uid="{00000000-0005-0000-0000-000052D00000}"/>
    <cellStyle name="Total 2 4 2 2 2" xfId="53326" xr:uid="{00000000-0005-0000-0000-000053D00000}"/>
    <cellStyle name="Total 2 4 2 2 3" xfId="53327" xr:uid="{00000000-0005-0000-0000-000054D00000}"/>
    <cellStyle name="Total 2 4 2 3" xfId="53328" xr:uid="{00000000-0005-0000-0000-000055D00000}"/>
    <cellStyle name="Total 2 4 2 3 2" xfId="53329" xr:uid="{00000000-0005-0000-0000-000056D00000}"/>
    <cellStyle name="Total 2 4 2 3 3" xfId="53330" xr:uid="{00000000-0005-0000-0000-000057D00000}"/>
    <cellStyle name="Total 2 4 2 4" xfId="53331" xr:uid="{00000000-0005-0000-0000-000058D00000}"/>
    <cellStyle name="Total 2 4 2 5" xfId="53332" xr:uid="{00000000-0005-0000-0000-000059D00000}"/>
    <cellStyle name="Total 2 4 2 6" xfId="53333" xr:uid="{00000000-0005-0000-0000-00005AD00000}"/>
    <cellStyle name="Total 2 4 3" xfId="53334" xr:uid="{00000000-0005-0000-0000-00005BD00000}"/>
    <cellStyle name="Total 2 4 3 2" xfId="53335" xr:uid="{00000000-0005-0000-0000-00005CD00000}"/>
    <cellStyle name="Total 2 4 3 3" xfId="53336" xr:uid="{00000000-0005-0000-0000-00005DD00000}"/>
    <cellStyle name="Total 2 4 4" xfId="53337" xr:uid="{00000000-0005-0000-0000-00005ED00000}"/>
    <cellStyle name="Total 2 4 4 2" xfId="53338" xr:uid="{00000000-0005-0000-0000-00005FD00000}"/>
    <cellStyle name="Total 2 4 4 3" xfId="53339" xr:uid="{00000000-0005-0000-0000-000060D00000}"/>
    <cellStyle name="Total 2 4 5" xfId="53340" xr:uid="{00000000-0005-0000-0000-000061D00000}"/>
    <cellStyle name="Total 2 4 5 2" xfId="53341" xr:uid="{00000000-0005-0000-0000-000062D00000}"/>
    <cellStyle name="Total 2 4 5 3" xfId="53342" xr:uid="{00000000-0005-0000-0000-000063D00000}"/>
    <cellStyle name="Total 2 4 6" xfId="53343" xr:uid="{00000000-0005-0000-0000-000064D00000}"/>
    <cellStyle name="Total 2 4 7" xfId="53344" xr:uid="{00000000-0005-0000-0000-000065D00000}"/>
    <cellStyle name="Total 2 4 8" xfId="53345" xr:uid="{00000000-0005-0000-0000-000066D00000}"/>
    <cellStyle name="Total 2 5" xfId="53346" xr:uid="{00000000-0005-0000-0000-000067D00000}"/>
    <cellStyle name="Total 2 5 2" xfId="53347" xr:uid="{00000000-0005-0000-0000-000068D00000}"/>
    <cellStyle name="Total 2 5 2 2" xfId="53348" xr:uid="{00000000-0005-0000-0000-000069D00000}"/>
    <cellStyle name="Total 2 5 2 2 2" xfId="53349" xr:uid="{00000000-0005-0000-0000-00006AD00000}"/>
    <cellStyle name="Total 2 5 2 2 3" xfId="53350" xr:uid="{00000000-0005-0000-0000-00006BD00000}"/>
    <cellStyle name="Total 2 5 2 3" xfId="53351" xr:uid="{00000000-0005-0000-0000-00006CD00000}"/>
    <cellStyle name="Total 2 5 2 3 2" xfId="53352" xr:uid="{00000000-0005-0000-0000-00006DD00000}"/>
    <cellStyle name="Total 2 5 2 3 3" xfId="53353" xr:uid="{00000000-0005-0000-0000-00006ED00000}"/>
    <cellStyle name="Total 2 5 2 4" xfId="53354" xr:uid="{00000000-0005-0000-0000-00006FD00000}"/>
    <cellStyle name="Total 2 5 2 5" xfId="53355" xr:uid="{00000000-0005-0000-0000-000070D00000}"/>
    <cellStyle name="Total 2 5 2 6" xfId="53356" xr:uid="{00000000-0005-0000-0000-000071D00000}"/>
    <cellStyle name="Total 2 5 3" xfId="53357" xr:uid="{00000000-0005-0000-0000-000072D00000}"/>
    <cellStyle name="Total 2 5 3 2" xfId="53358" xr:uid="{00000000-0005-0000-0000-000073D00000}"/>
    <cellStyle name="Total 2 5 3 3" xfId="53359" xr:uid="{00000000-0005-0000-0000-000074D00000}"/>
    <cellStyle name="Total 2 5 4" xfId="53360" xr:uid="{00000000-0005-0000-0000-000075D00000}"/>
    <cellStyle name="Total 2 5 4 2" xfId="53361" xr:uid="{00000000-0005-0000-0000-000076D00000}"/>
    <cellStyle name="Total 2 5 4 3" xfId="53362" xr:uid="{00000000-0005-0000-0000-000077D00000}"/>
    <cellStyle name="Total 2 5 5" xfId="53363" xr:uid="{00000000-0005-0000-0000-000078D00000}"/>
    <cellStyle name="Total 2 5 5 2" xfId="53364" xr:uid="{00000000-0005-0000-0000-000079D00000}"/>
    <cellStyle name="Total 2 5 5 3" xfId="53365" xr:uid="{00000000-0005-0000-0000-00007AD00000}"/>
    <cellStyle name="Total 2 5 6" xfId="53366" xr:uid="{00000000-0005-0000-0000-00007BD00000}"/>
    <cellStyle name="Total 2 5 7" xfId="53367" xr:uid="{00000000-0005-0000-0000-00007CD00000}"/>
    <cellStyle name="Total 2 5 8" xfId="53368" xr:uid="{00000000-0005-0000-0000-00007DD00000}"/>
    <cellStyle name="Total 2 6" xfId="53369" xr:uid="{00000000-0005-0000-0000-00007ED00000}"/>
    <cellStyle name="Total 2 6 2" xfId="53370" xr:uid="{00000000-0005-0000-0000-00007FD00000}"/>
    <cellStyle name="Total 2 6 2 2" xfId="53371" xr:uid="{00000000-0005-0000-0000-000080D00000}"/>
    <cellStyle name="Total 2 6 2 3" xfId="53372" xr:uid="{00000000-0005-0000-0000-000081D00000}"/>
    <cellStyle name="Total 2 6 3" xfId="53373" xr:uid="{00000000-0005-0000-0000-000082D00000}"/>
    <cellStyle name="Total 2 6 3 2" xfId="53374" xr:uid="{00000000-0005-0000-0000-000083D00000}"/>
    <cellStyle name="Total 2 6 3 3" xfId="53375" xr:uid="{00000000-0005-0000-0000-000084D00000}"/>
    <cellStyle name="Total 2 6 4" xfId="53376" xr:uid="{00000000-0005-0000-0000-000085D00000}"/>
    <cellStyle name="Total 2 6 5" xfId="53377" xr:uid="{00000000-0005-0000-0000-000086D00000}"/>
    <cellStyle name="Total 2 6 6" xfId="53378" xr:uid="{00000000-0005-0000-0000-000087D00000}"/>
    <cellStyle name="Total 2 7" xfId="53379" xr:uid="{00000000-0005-0000-0000-000088D00000}"/>
    <cellStyle name="Total 2 7 2" xfId="53380" xr:uid="{00000000-0005-0000-0000-000089D00000}"/>
    <cellStyle name="Total 2 7 3" xfId="53381" xr:uid="{00000000-0005-0000-0000-00008AD00000}"/>
    <cellStyle name="Total 2 7 4" xfId="53382" xr:uid="{00000000-0005-0000-0000-00008BD00000}"/>
    <cellStyle name="Total 2 8" xfId="53383" xr:uid="{00000000-0005-0000-0000-00008CD00000}"/>
    <cellStyle name="Total 2 8 2" xfId="53384" xr:uid="{00000000-0005-0000-0000-00008DD00000}"/>
    <cellStyle name="Total 2 8 3" xfId="53385" xr:uid="{00000000-0005-0000-0000-00008ED00000}"/>
    <cellStyle name="Total 2 9" xfId="53386" xr:uid="{00000000-0005-0000-0000-00008FD00000}"/>
    <cellStyle name="Total 2 9 2" xfId="53387" xr:uid="{00000000-0005-0000-0000-000090D00000}"/>
    <cellStyle name="Total 2 9 3" xfId="53388" xr:uid="{00000000-0005-0000-0000-000091D00000}"/>
    <cellStyle name="Total 20" xfId="53389" xr:uid="{00000000-0005-0000-0000-000092D00000}"/>
    <cellStyle name="Total 21" xfId="53390" xr:uid="{00000000-0005-0000-0000-000093D00000}"/>
    <cellStyle name="Total 3" xfId="53391" xr:uid="{00000000-0005-0000-0000-000094D00000}"/>
    <cellStyle name="Total 3 10" xfId="53392" xr:uid="{00000000-0005-0000-0000-000095D00000}"/>
    <cellStyle name="Total 3 11" xfId="53393" xr:uid="{00000000-0005-0000-0000-000096D00000}"/>
    <cellStyle name="Total 3 12" xfId="53394" xr:uid="{00000000-0005-0000-0000-000097D00000}"/>
    <cellStyle name="Total 3 2" xfId="53395" xr:uid="{00000000-0005-0000-0000-000098D00000}"/>
    <cellStyle name="Total 3 2 10" xfId="53396" xr:uid="{00000000-0005-0000-0000-000099D00000}"/>
    <cellStyle name="Total 3 2 2" xfId="53397" xr:uid="{00000000-0005-0000-0000-00009AD00000}"/>
    <cellStyle name="Total 3 2 2 2" xfId="53398" xr:uid="{00000000-0005-0000-0000-00009BD00000}"/>
    <cellStyle name="Total 3 2 2 2 2" xfId="53399" xr:uid="{00000000-0005-0000-0000-00009CD00000}"/>
    <cellStyle name="Total 3 2 2 2 2 2" xfId="53400" xr:uid="{00000000-0005-0000-0000-00009DD00000}"/>
    <cellStyle name="Total 3 2 2 2 2 3" xfId="53401" xr:uid="{00000000-0005-0000-0000-00009ED00000}"/>
    <cellStyle name="Total 3 2 2 2 3" xfId="53402" xr:uid="{00000000-0005-0000-0000-00009FD00000}"/>
    <cellStyle name="Total 3 2 2 2 3 2" xfId="53403" xr:uid="{00000000-0005-0000-0000-0000A0D00000}"/>
    <cellStyle name="Total 3 2 2 2 3 3" xfId="53404" xr:uid="{00000000-0005-0000-0000-0000A1D00000}"/>
    <cellStyle name="Total 3 2 2 2 4" xfId="53405" xr:uid="{00000000-0005-0000-0000-0000A2D00000}"/>
    <cellStyle name="Total 3 2 2 2 5" xfId="53406" xr:uid="{00000000-0005-0000-0000-0000A3D00000}"/>
    <cellStyle name="Total 3 2 2 2 6" xfId="53407" xr:uid="{00000000-0005-0000-0000-0000A4D00000}"/>
    <cellStyle name="Total 3 2 2 3" xfId="53408" xr:uid="{00000000-0005-0000-0000-0000A5D00000}"/>
    <cellStyle name="Total 3 2 2 3 2" xfId="53409" xr:uid="{00000000-0005-0000-0000-0000A6D00000}"/>
    <cellStyle name="Total 3 2 2 3 3" xfId="53410" xr:uid="{00000000-0005-0000-0000-0000A7D00000}"/>
    <cellStyle name="Total 3 2 2 4" xfId="53411" xr:uid="{00000000-0005-0000-0000-0000A8D00000}"/>
    <cellStyle name="Total 3 2 2 4 2" xfId="53412" xr:uid="{00000000-0005-0000-0000-0000A9D00000}"/>
    <cellStyle name="Total 3 2 2 4 3" xfId="53413" xr:uid="{00000000-0005-0000-0000-0000AAD00000}"/>
    <cellStyle name="Total 3 2 2 5" xfId="53414" xr:uid="{00000000-0005-0000-0000-0000ABD00000}"/>
    <cellStyle name="Total 3 2 2 5 2" xfId="53415" xr:uid="{00000000-0005-0000-0000-0000ACD00000}"/>
    <cellStyle name="Total 3 2 2 5 3" xfId="53416" xr:uid="{00000000-0005-0000-0000-0000ADD00000}"/>
    <cellStyle name="Total 3 2 2 6" xfId="53417" xr:uid="{00000000-0005-0000-0000-0000AED00000}"/>
    <cellStyle name="Total 3 2 2 7" xfId="53418" xr:uid="{00000000-0005-0000-0000-0000AFD00000}"/>
    <cellStyle name="Total 3 2 2 8" xfId="53419" xr:uid="{00000000-0005-0000-0000-0000B0D00000}"/>
    <cellStyle name="Total 3 2 3" xfId="53420" xr:uid="{00000000-0005-0000-0000-0000B1D00000}"/>
    <cellStyle name="Total 3 2 3 2" xfId="53421" xr:uid="{00000000-0005-0000-0000-0000B2D00000}"/>
    <cellStyle name="Total 3 2 3 2 2" xfId="53422" xr:uid="{00000000-0005-0000-0000-0000B3D00000}"/>
    <cellStyle name="Total 3 2 3 2 2 2" xfId="53423" xr:uid="{00000000-0005-0000-0000-0000B4D00000}"/>
    <cellStyle name="Total 3 2 3 2 2 3" xfId="53424" xr:uid="{00000000-0005-0000-0000-0000B5D00000}"/>
    <cellStyle name="Total 3 2 3 2 3" xfId="53425" xr:uid="{00000000-0005-0000-0000-0000B6D00000}"/>
    <cellStyle name="Total 3 2 3 2 3 2" xfId="53426" xr:uid="{00000000-0005-0000-0000-0000B7D00000}"/>
    <cellStyle name="Total 3 2 3 2 3 3" xfId="53427" xr:uid="{00000000-0005-0000-0000-0000B8D00000}"/>
    <cellStyle name="Total 3 2 3 2 4" xfId="53428" xr:uid="{00000000-0005-0000-0000-0000B9D00000}"/>
    <cellStyle name="Total 3 2 3 2 5" xfId="53429" xr:uid="{00000000-0005-0000-0000-0000BAD00000}"/>
    <cellStyle name="Total 3 2 3 2 6" xfId="53430" xr:uid="{00000000-0005-0000-0000-0000BBD00000}"/>
    <cellStyle name="Total 3 2 3 3" xfId="53431" xr:uid="{00000000-0005-0000-0000-0000BCD00000}"/>
    <cellStyle name="Total 3 2 3 3 2" xfId="53432" xr:uid="{00000000-0005-0000-0000-0000BDD00000}"/>
    <cellStyle name="Total 3 2 3 3 3" xfId="53433" xr:uid="{00000000-0005-0000-0000-0000BED00000}"/>
    <cellStyle name="Total 3 2 3 4" xfId="53434" xr:uid="{00000000-0005-0000-0000-0000BFD00000}"/>
    <cellStyle name="Total 3 2 3 4 2" xfId="53435" xr:uid="{00000000-0005-0000-0000-0000C0D00000}"/>
    <cellStyle name="Total 3 2 3 4 3" xfId="53436" xr:uid="{00000000-0005-0000-0000-0000C1D00000}"/>
    <cellStyle name="Total 3 2 3 5" xfId="53437" xr:uid="{00000000-0005-0000-0000-0000C2D00000}"/>
    <cellStyle name="Total 3 2 3 5 2" xfId="53438" xr:uid="{00000000-0005-0000-0000-0000C3D00000}"/>
    <cellStyle name="Total 3 2 3 5 3" xfId="53439" xr:uid="{00000000-0005-0000-0000-0000C4D00000}"/>
    <cellStyle name="Total 3 2 3 6" xfId="53440" xr:uid="{00000000-0005-0000-0000-0000C5D00000}"/>
    <cellStyle name="Total 3 2 3 7" xfId="53441" xr:uid="{00000000-0005-0000-0000-0000C6D00000}"/>
    <cellStyle name="Total 3 2 3 8" xfId="53442" xr:uid="{00000000-0005-0000-0000-0000C7D00000}"/>
    <cellStyle name="Total 3 2 4" xfId="53443" xr:uid="{00000000-0005-0000-0000-0000C8D00000}"/>
    <cellStyle name="Total 3 2 4 2" xfId="53444" xr:uid="{00000000-0005-0000-0000-0000C9D00000}"/>
    <cellStyle name="Total 3 2 4 2 2" xfId="53445" xr:uid="{00000000-0005-0000-0000-0000CAD00000}"/>
    <cellStyle name="Total 3 2 4 2 3" xfId="53446" xr:uid="{00000000-0005-0000-0000-0000CBD00000}"/>
    <cellStyle name="Total 3 2 4 3" xfId="53447" xr:uid="{00000000-0005-0000-0000-0000CCD00000}"/>
    <cellStyle name="Total 3 2 4 3 2" xfId="53448" xr:uid="{00000000-0005-0000-0000-0000CDD00000}"/>
    <cellStyle name="Total 3 2 4 3 3" xfId="53449" xr:uid="{00000000-0005-0000-0000-0000CED00000}"/>
    <cellStyle name="Total 3 2 4 4" xfId="53450" xr:uid="{00000000-0005-0000-0000-0000CFD00000}"/>
    <cellStyle name="Total 3 2 4 5" xfId="53451" xr:uid="{00000000-0005-0000-0000-0000D0D00000}"/>
    <cellStyle name="Total 3 2 4 6" xfId="53452" xr:uid="{00000000-0005-0000-0000-0000D1D00000}"/>
    <cellStyle name="Total 3 2 5" xfId="53453" xr:uid="{00000000-0005-0000-0000-0000D2D00000}"/>
    <cellStyle name="Total 3 2 5 2" xfId="53454" xr:uid="{00000000-0005-0000-0000-0000D3D00000}"/>
    <cellStyle name="Total 3 2 5 3" xfId="53455" xr:uid="{00000000-0005-0000-0000-0000D4D00000}"/>
    <cellStyle name="Total 3 2 6" xfId="53456" xr:uid="{00000000-0005-0000-0000-0000D5D00000}"/>
    <cellStyle name="Total 3 2 6 2" xfId="53457" xr:uid="{00000000-0005-0000-0000-0000D6D00000}"/>
    <cellStyle name="Total 3 2 6 3" xfId="53458" xr:uid="{00000000-0005-0000-0000-0000D7D00000}"/>
    <cellStyle name="Total 3 2 7" xfId="53459" xr:uid="{00000000-0005-0000-0000-0000D8D00000}"/>
    <cellStyle name="Total 3 2 7 2" xfId="53460" xr:uid="{00000000-0005-0000-0000-0000D9D00000}"/>
    <cellStyle name="Total 3 2 7 3" xfId="53461" xr:uid="{00000000-0005-0000-0000-0000DAD00000}"/>
    <cellStyle name="Total 3 2 8" xfId="53462" xr:uid="{00000000-0005-0000-0000-0000DBD00000}"/>
    <cellStyle name="Total 3 2 9" xfId="53463" xr:uid="{00000000-0005-0000-0000-0000DCD00000}"/>
    <cellStyle name="Total 3 3" xfId="53464" xr:uid="{00000000-0005-0000-0000-0000DDD00000}"/>
    <cellStyle name="Total 3 3 2" xfId="53465" xr:uid="{00000000-0005-0000-0000-0000DED00000}"/>
    <cellStyle name="Total 3 3 2 2" xfId="53466" xr:uid="{00000000-0005-0000-0000-0000DFD00000}"/>
    <cellStyle name="Total 3 3 2 2 2" xfId="53467" xr:uid="{00000000-0005-0000-0000-0000E0D00000}"/>
    <cellStyle name="Total 3 3 2 2 3" xfId="53468" xr:uid="{00000000-0005-0000-0000-0000E1D00000}"/>
    <cellStyle name="Total 3 3 2 3" xfId="53469" xr:uid="{00000000-0005-0000-0000-0000E2D00000}"/>
    <cellStyle name="Total 3 3 2 3 2" xfId="53470" xr:uid="{00000000-0005-0000-0000-0000E3D00000}"/>
    <cellStyle name="Total 3 3 2 3 3" xfId="53471" xr:uid="{00000000-0005-0000-0000-0000E4D00000}"/>
    <cellStyle name="Total 3 3 2 4" xfId="53472" xr:uid="{00000000-0005-0000-0000-0000E5D00000}"/>
    <cellStyle name="Total 3 3 2 5" xfId="53473" xr:uid="{00000000-0005-0000-0000-0000E6D00000}"/>
    <cellStyle name="Total 3 3 2 6" xfId="53474" xr:uid="{00000000-0005-0000-0000-0000E7D00000}"/>
    <cellStyle name="Total 3 3 3" xfId="53475" xr:uid="{00000000-0005-0000-0000-0000E8D00000}"/>
    <cellStyle name="Total 3 3 3 2" xfId="53476" xr:uid="{00000000-0005-0000-0000-0000E9D00000}"/>
    <cellStyle name="Total 3 3 3 3" xfId="53477" xr:uid="{00000000-0005-0000-0000-0000EAD00000}"/>
    <cellStyle name="Total 3 3 4" xfId="53478" xr:uid="{00000000-0005-0000-0000-0000EBD00000}"/>
    <cellStyle name="Total 3 3 4 2" xfId="53479" xr:uid="{00000000-0005-0000-0000-0000ECD00000}"/>
    <cellStyle name="Total 3 3 4 3" xfId="53480" xr:uid="{00000000-0005-0000-0000-0000EDD00000}"/>
    <cellStyle name="Total 3 3 5" xfId="53481" xr:uid="{00000000-0005-0000-0000-0000EED00000}"/>
    <cellStyle name="Total 3 3 5 2" xfId="53482" xr:uid="{00000000-0005-0000-0000-0000EFD00000}"/>
    <cellStyle name="Total 3 3 5 3" xfId="53483" xr:uid="{00000000-0005-0000-0000-0000F0D00000}"/>
    <cellStyle name="Total 3 3 6" xfId="53484" xr:uid="{00000000-0005-0000-0000-0000F1D00000}"/>
    <cellStyle name="Total 3 3 7" xfId="53485" xr:uid="{00000000-0005-0000-0000-0000F2D00000}"/>
    <cellStyle name="Total 3 3 8" xfId="53486" xr:uid="{00000000-0005-0000-0000-0000F3D00000}"/>
    <cellStyle name="Total 3 4" xfId="53487" xr:uid="{00000000-0005-0000-0000-0000F4D00000}"/>
    <cellStyle name="Total 3 4 2" xfId="53488" xr:uid="{00000000-0005-0000-0000-0000F5D00000}"/>
    <cellStyle name="Total 3 4 2 2" xfId="53489" xr:uid="{00000000-0005-0000-0000-0000F6D00000}"/>
    <cellStyle name="Total 3 4 2 2 2" xfId="53490" xr:uid="{00000000-0005-0000-0000-0000F7D00000}"/>
    <cellStyle name="Total 3 4 2 2 3" xfId="53491" xr:uid="{00000000-0005-0000-0000-0000F8D00000}"/>
    <cellStyle name="Total 3 4 2 3" xfId="53492" xr:uid="{00000000-0005-0000-0000-0000F9D00000}"/>
    <cellStyle name="Total 3 4 2 3 2" xfId="53493" xr:uid="{00000000-0005-0000-0000-0000FAD00000}"/>
    <cellStyle name="Total 3 4 2 3 3" xfId="53494" xr:uid="{00000000-0005-0000-0000-0000FBD00000}"/>
    <cellStyle name="Total 3 4 2 4" xfId="53495" xr:uid="{00000000-0005-0000-0000-0000FCD00000}"/>
    <cellStyle name="Total 3 4 2 5" xfId="53496" xr:uid="{00000000-0005-0000-0000-0000FDD00000}"/>
    <cellStyle name="Total 3 4 2 6" xfId="53497" xr:uid="{00000000-0005-0000-0000-0000FED00000}"/>
    <cellStyle name="Total 3 4 3" xfId="53498" xr:uid="{00000000-0005-0000-0000-0000FFD00000}"/>
    <cellStyle name="Total 3 4 3 2" xfId="53499" xr:uid="{00000000-0005-0000-0000-000000D10000}"/>
    <cellStyle name="Total 3 4 3 3" xfId="53500" xr:uid="{00000000-0005-0000-0000-000001D10000}"/>
    <cellStyle name="Total 3 4 4" xfId="53501" xr:uid="{00000000-0005-0000-0000-000002D10000}"/>
    <cellStyle name="Total 3 4 4 2" xfId="53502" xr:uid="{00000000-0005-0000-0000-000003D10000}"/>
    <cellStyle name="Total 3 4 4 3" xfId="53503" xr:uid="{00000000-0005-0000-0000-000004D10000}"/>
    <cellStyle name="Total 3 4 5" xfId="53504" xr:uid="{00000000-0005-0000-0000-000005D10000}"/>
    <cellStyle name="Total 3 4 5 2" xfId="53505" xr:uid="{00000000-0005-0000-0000-000006D10000}"/>
    <cellStyle name="Total 3 4 5 3" xfId="53506" xr:uid="{00000000-0005-0000-0000-000007D10000}"/>
    <cellStyle name="Total 3 4 6" xfId="53507" xr:uid="{00000000-0005-0000-0000-000008D10000}"/>
    <cellStyle name="Total 3 4 7" xfId="53508" xr:uid="{00000000-0005-0000-0000-000009D10000}"/>
    <cellStyle name="Total 3 4 8" xfId="53509" xr:uid="{00000000-0005-0000-0000-00000AD10000}"/>
    <cellStyle name="Total 3 5" xfId="53510" xr:uid="{00000000-0005-0000-0000-00000BD10000}"/>
    <cellStyle name="Total 3 5 2" xfId="53511" xr:uid="{00000000-0005-0000-0000-00000CD10000}"/>
    <cellStyle name="Total 3 5 2 2" xfId="53512" xr:uid="{00000000-0005-0000-0000-00000DD10000}"/>
    <cellStyle name="Total 3 5 2 2 2" xfId="53513" xr:uid="{00000000-0005-0000-0000-00000ED10000}"/>
    <cellStyle name="Total 3 5 2 2 3" xfId="53514" xr:uid="{00000000-0005-0000-0000-00000FD10000}"/>
    <cellStyle name="Total 3 5 2 3" xfId="53515" xr:uid="{00000000-0005-0000-0000-000010D10000}"/>
    <cellStyle name="Total 3 5 2 3 2" xfId="53516" xr:uid="{00000000-0005-0000-0000-000011D10000}"/>
    <cellStyle name="Total 3 5 2 3 3" xfId="53517" xr:uid="{00000000-0005-0000-0000-000012D10000}"/>
    <cellStyle name="Total 3 5 2 4" xfId="53518" xr:uid="{00000000-0005-0000-0000-000013D10000}"/>
    <cellStyle name="Total 3 5 2 5" xfId="53519" xr:uid="{00000000-0005-0000-0000-000014D10000}"/>
    <cellStyle name="Total 3 5 2 6" xfId="53520" xr:uid="{00000000-0005-0000-0000-000015D10000}"/>
    <cellStyle name="Total 3 5 3" xfId="53521" xr:uid="{00000000-0005-0000-0000-000016D10000}"/>
    <cellStyle name="Total 3 5 3 2" xfId="53522" xr:uid="{00000000-0005-0000-0000-000017D10000}"/>
    <cellStyle name="Total 3 5 3 3" xfId="53523" xr:uid="{00000000-0005-0000-0000-000018D10000}"/>
    <cellStyle name="Total 3 5 4" xfId="53524" xr:uid="{00000000-0005-0000-0000-000019D10000}"/>
    <cellStyle name="Total 3 5 4 2" xfId="53525" xr:uid="{00000000-0005-0000-0000-00001AD10000}"/>
    <cellStyle name="Total 3 5 4 3" xfId="53526" xr:uid="{00000000-0005-0000-0000-00001BD10000}"/>
    <cellStyle name="Total 3 5 5" xfId="53527" xr:uid="{00000000-0005-0000-0000-00001CD10000}"/>
    <cellStyle name="Total 3 5 5 2" xfId="53528" xr:uid="{00000000-0005-0000-0000-00001DD10000}"/>
    <cellStyle name="Total 3 5 5 3" xfId="53529" xr:uid="{00000000-0005-0000-0000-00001ED10000}"/>
    <cellStyle name="Total 3 5 6" xfId="53530" xr:uid="{00000000-0005-0000-0000-00001FD10000}"/>
    <cellStyle name="Total 3 5 7" xfId="53531" xr:uid="{00000000-0005-0000-0000-000020D10000}"/>
    <cellStyle name="Total 3 5 8" xfId="53532" xr:uid="{00000000-0005-0000-0000-000021D10000}"/>
    <cellStyle name="Total 3 6" xfId="53533" xr:uid="{00000000-0005-0000-0000-000022D10000}"/>
    <cellStyle name="Total 3 6 2" xfId="53534" xr:uid="{00000000-0005-0000-0000-000023D10000}"/>
    <cellStyle name="Total 3 6 2 2" xfId="53535" xr:uid="{00000000-0005-0000-0000-000024D10000}"/>
    <cellStyle name="Total 3 6 2 3" xfId="53536" xr:uid="{00000000-0005-0000-0000-000025D10000}"/>
    <cellStyle name="Total 3 6 3" xfId="53537" xr:uid="{00000000-0005-0000-0000-000026D10000}"/>
    <cellStyle name="Total 3 6 3 2" xfId="53538" xr:uid="{00000000-0005-0000-0000-000027D10000}"/>
    <cellStyle name="Total 3 6 3 3" xfId="53539" xr:uid="{00000000-0005-0000-0000-000028D10000}"/>
    <cellStyle name="Total 3 6 4" xfId="53540" xr:uid="{00000000-0005-0000-0000-000029D10000}"/>
    <cellStyle name="Total 3 6 5" xfId="53541" xr:uid="{00000000-0005-0000-0000-00002AD10000}"/>
    <cellStyle name="Total 3 6 6" xfId="53542" xr:uid="{00000000-0005-0000-0000-00002BD10000}"/>
    <cellStyle name="Total 3 7" xfId="53543" xr:uid="{00000000-0005-0000-0000-00002CD10000}"/>
    <cellStyle name="Total 3 7 2" xfId="53544" xr:uid="{00000000-0005-0000-0000-00002DD10000}"/>
    <cellStyle name="Total 3 7 3" xfId="53545" xr:uid="{00000000-0005-0000-0000-00002ED10000}"/>
    <cellStyle name="Total 3 7 4" xfId="53546" xr:uid="{00000000-0005-0000-0000-00002FD10000}"/>
    <cellStyle name="Total 3 8" xfId="53547" xr:uid="{00000000-0005-0000-0000-000030D10000}"/>
    <cellStyle name="Total 3 8 2" xfId="53548" xr:uid="{00000000-0005-0000-0000-000031D10000}"/>
    <cellStyle name="Total 3 8 3" xfId="53549" xr:uid="{00000000-0005-0000-0000-000032D10000}"/>
    <cellStyle name="Total 3 9" xfId="53550" xr:uid="{00000000-0005-0000-0000-000033D10000}"/>
    <cellStyle name="Total 3 9 2" xfId="53551" xr:uid="{00000000-0005-0000-0000-000034D10000}"/>
    <cellStyle name="Total 3 9 3" xfId="53552" xr:uid="{00000000-0005-0000-0000-000035D10000}"/>
    <cellStyle name="Total 4" xfId="53553" xr:uid="{00000000-0005-0000-0000-000036D10000}"/>
    <cellStyle name="Total 4 10" xfId="53554" xr:uid="{00000000-0005-0000-0000-000037D10000}"/>
    <cellStyle name="Total 4 10 2" xfId="53555" xr:uid="{00000000-0005-0000-0000-000038D10000}"/>
    <cellStyle name="Total 4 10 3" xfId="53556" xr:uid="{00000000-0005-0000-0000-000039D10000}"/>
    <cellStyle name="Total 4 11" xfId="53557" xr:uid="{00000000-0005-0000-0000-00003AD10000}"/>
    <cellStyle name="Total 4 12" xfId="53558" xr:uid="{00000000-0005-0000-0000-00003BD10000}"/>
    <cellStyle name="Total 4 13" xfId="53559" xr:uid="{00000000-0005-0000-0000-00003CD10000}"/>
    <cellStyle name="Total 4 2" xfId="53560" xr:uid="{00000000-0005-0000-0000-00003DD10000}"/>
    <cellStyle name="Total 4 2 10" xfId="53561" xr:uid="{00000000-0005-0000-0000-00003ED10000}"/>
    <cellStyle name="Total 4 2 11" xfId="53562" xr:uid="{00000000-0005-0000-0000-00003FD10000}"/>
    <cellStyle name="Total 4 2 12" xfId="53563" xr:uid="{00000000-0005-0000-0000-000040D10000}"/>
    <cellStyle name="Total 4 2 2" xfId="53564" xr:uid="{00000000-0005-0000-0000-000041D10000}"/>
    <cellStyle name="Total 4 2 2 10" xfId="53565" xr:uid="{00000000-0005-0000-0000-000042D10000}"/>
    <cellStyle name="Total 4 2 2 2" xfId="53566" xr:uid="{00000000-0005-0000-0000-000043D10000}"/>
    <cellStyle name="Total 4 2 2 2 2" xfId="53567" xr:uid="{00000000-0005-0000-0000-000044D10000}"/>
    <cellStyle name="Total 4 2 2 2 2 2" xfId="53568" xr:uid="{00000000-0005-0000-0000-000045D10000}"/>
    <cellStyle name="Total 4 2 2 2 2 2 2" xfId="53569" xr:uid="{00000000-0005-0000-0000-000046D10000}"/>
    <cellStyle name="Total 4 2 2 2 2 2 3" xfId="53570" xr:uid="{00000000-0005-0000-0000-000047D10000}"/>
    <cellStyle name="Total 4 2 2 2 2 3" xfId="53571" xr:uid="{00000000-0005-0000-0000-000048D10000}"/>
    <cellStyle name="Total 4 2 2 2 2 3 2" xfId="53572" xr:uid="{00000000-0005-0000-0000-000049D10000}"/>
    <cellStyle name="Total 4 2 2 2 2 3 3" xfId="53573" xr:uid="{00000000-0005-0000-0000-00004AD10000}"/>
    <cellStyle name="Total 4 2 2 2 2 4" xfId="53574" xr:uid="{00000000-0005-0000-0000-00004BD10000}"/>
    <cellStyle name="Total 4 2 2 2 2 5" xfId="53575" xr:uid="{00000000-0005-0000-0000-00004CD10000}"/>
    <cellStyle name="Total 4 2 2 2 2 6" xfId="53576" xr:uid="{00000000-0005-0000-0000-00004DD10000}"/>
    <cellStyle name="Total 4 2 2 2 3" xfId="53577" xr:uid="{00000000-0005-0000-0000-00004ED10000}"/>
    <cellStyle name="Total 4 2 2 2 3 2" xfId="53578" xr:uid="{00000000-0005-0000-0000-00004FD10000}"/>
    <cellStyle name="Total 4 2 2 2 3 3" xfId="53579" xr:uid="{00000000-0005-0000-0000-000050D10000}"/>
    <cellStyle name="Total 4 2 2 2 4" xfId="53580" xr:uid="{00000000-0005-0000-0000-000051D10000}"/>
    <cellStyle name="Total 4 2 2 2 4 2" xfId="53581" xr:uid="{00000000-0005-0000-0000-000052D10000}"/>
    <cellStyle name="Total 4 2 2 2 4 3" xfId="53582" xr:uid="{00000000-0005-0000-0000-000053D10000}"/>
    <cellStyle name="Total 4 2 2 2 5" xfId="53583" xr:uid="{00000000-0005-0000-0000-000054D10000}"/>
    <cellStyle name="Total 4 2 2 2 5 2" xfId="53584" xr:uid="{00000000-0005-0000-0000-000055D10000}"/>
    <cellStyle name="Total 4 2 2 2 5 3" xfId="53585" xr:uid="{00000000-0005-0000-0000-000056D10000}"/>
    <cellStyle name="Total 4 2 2 2 6" xfId="53586" xr:uid="{00000000-0005-0000-0000-000057D10000}"/>
    <cellStyle name="Total 4 2 2 2 7" xfId="53587" xr:uid="{00000000-0005-0000-0000-000058D10000}"/>
    <cellStyle name="Total 4 2 2 2 8" xfId="53588" xr:uid="{00000000-0005-0000-0000-000059D10000}"/>
    <cellStyle name="Total 4 2 2 3" xfId="53589" xr:uid="{00000000-0005-0000-0000-00005AD10000}"/>
    <cellStyle name="Total 4 2 2 3 2" xfId="53590" xr:uid="{00000000-0005-0000-0000-00005BD10000}"/>
    <cellStyle name="Total 4 2 2 3 2 2" xfId="53591" xr:uid="{00000000-0005-0000-0000-00005CD10000}"/>
    <cellStyle name="Total 4 2 2 3 2 2 2" xfId="53592" xr:uid="{00000000-0005-0000-0000-00005DD10000}"/>
    <cellStyle name="Total 4 2 2 3 2 2 3" xfId="53593" xr:uid="{00000000-0005-0000-0000-00005ED10000}"/>
    <cellStyle name="Total 4 2 2 3 2 3" xfId="53594" xr:uid="{00000000-0005-0000-0000-00005FD10000}"/>
    <cellStyle name="Total 4 2 2 3 2 3 2" xfId="53595" xr:uid="{00000000-0005-0000-0000-000060D10000}"/>
    <cellStyle name="Total 4 2 2 3 2 3 3" xfId="53596" xr:uid="{00000000-0005-0000-0000-000061D10000}"/>
    <cellStyle name="Total 4 2 2 3 2 4" xfId="53597" xr:uid="{00000000-0005-0000-0000-000062D10000}"/>
    <cellStyle name="Total 4 2 2 3 2 5" xfId="53598" xr:uid="{00000000-0005-0000-0000-000063D10000}"/>
    <cellStyle name="Total 4 2 2 3 2 6" xfId="53599" xr:uid="{00000000-0005-0000-0000-000064D10000}"/>
    <cellStyle name="Total 4 2 2 3 3" xfId="53600" xr:uid="{00000000-0005-0000-0000-000065D10000}"/>
    <cellStyle name="Total 4 2 2 3 3 2" xfId="53601" xr:uid="{00000000-0005-0000-0000-000066D10000}"/>
    <cellStyle name="Total 4 2 2 3 3 3" xfId="53602" xr:uid="{00000000-0005-0000-0000-000067D10000}"/>
    <cellStyle name="Total 4 2 2 3 4" xfId="53603" xr:uid="{00000000-0005-0000-0000-000068D10000}"/>
    <cellStyle name="Total 4 2 2 3 4 2" xfId="53604" xr:uid="{00000000-0005-0000-0000-000069D10000}"/>
    <cellStyle name="Total 4 2 2 3 4 3" xfId="53605" xr:uid="{00000000-0005-0000-0000-00006AD10000}"/>
    <cellStyle name="Total 4 2 2 3 5" xfId="53606" xr:uid="{00000000-0005-0000-0000-00006BD10000}"/>
    <cellStyle name="Total 4 2 2 3 5 2" xfId="53607" xr:uid="{00000000-0005-0000-0000-00006CD10000}"/>
    <cellStyle name="Total 4 2 2 3 5 3" xfId="53608" xr:uid="{00000000-0005-0000-0000-00006DD10000}"/>
    <cellStyle name="Total 4 2 2 3 6" xfId="53609" xr:uid="{00000000-0005-0000-0000-00006ED10000}"/>
    <cellStyle name="Total 4 2 2 3 7" xfId="53610" xr:uid="{00000000-0005-0000-0000-00006FD10000}"/>
    <cellStyle name="Total 4 2 2 3 8" xfId="53611" xr:uid="{00000000-0005-0000-0000-000070D10000}"/>
    <cellStyle name="Total 4 2 2 4" xfId="53612" xr:uid="{00000000-0005-0000-0000-000071D10000}"/>
    <cellStyle name="Total 4 2 2 4 2" xfId="53613" xr:uid="{00000000-0005-0000-0000-000072D10000}"/>
    <cellStyle name="Total 4 2 2 4 2 2" xfId="53614" xr:uid="{00000000-0005-0000-0000-000073D10000}"/>
    <cellStyle name="Total 4 2 2 4 2 3" xfId="53615" xr:uid="{00000000-0005-0000-0000-000074D10000}"/>
    <cellStyle name="Total 4 2 2 4 3" xfId="53616" xr:uid="{00000000-0005-0000-0000-000075D10000}"/>
    <cellStyle name="Total 4 2 2 4 3 2" xfId="53617" xr:uid="{00000000-0005-0000-0000-000076D10000}"/>
    <cellStyle name="Total 4 2 2 4 3 3" xfId="53618" xr:uid="{00000000-0005-0000-0000-000077D10000}"/>
    <cellStyle name="Total 4 2 2 4 4" xfId="53619" xr:uid="{00000000-0005-0000-0000-000078D10000}"/>
    <cellStyle name="Total 4 2 2 4 5" xfId="53620" xr:uid="{00000000-0005-0000-0000-000079D10000}"/>
    <cellStyle name="Total 4 2 2 4 6" xfId="53621" xr:uid="{00000000-0005-0000-0000-00007AD10000}"/>
    <cellStyle name="Total 4 2 2 5" xfId="53622" xr:uid="{00000000-0005-0000-0000-00007BD10000}"/>
    <cellStyle name="Total 4 2 2 5 2" xfId="53623" xr:uid="{00000000-0005-0000-0000-00007CD10000}"/>
    <cellStyle name="Total 4 2 2 5 3" xfId="53624" xr:uid="{00000000-0005-0000-0000-00007DD10000}"/>
    <cellStyle name="Total 4 2 2 6" xfId="53625" xr:uid="{00000000-0005-0000-0000-00007ED10000}"/>
    <cellStyle name="Total 4 2 2 6 2" xfId="53626" xr:uid="{00000000-0005-0000-0000-00007FD10000}"/>
    <cellStyle name="Total 4 2 2 6 3" xfId="53627" xr:uid="{00000000-0005-0000-0000-000080D10000}"/>
    <cellStyle name="Total 4 2 2 7" xfId="53628" xr:uid="{00000000-0005-0000-0000-000081D10000}"/>
    <cellStyle name="Total 4 2 2 7 2" xfId="53629" xr:uid="{00000000-0005-0000-0000-000082D10000}"/>
    <cellStyle name="Total 4 2 2 7 3" xfId="53630" xr:uid="{00000000-0005-0000-0000-000083D10000}"/>
    <cellStyle name="Total 4 2 2 8" xfId="53631" xr:uid="{00000000-0005-0000-0000-000084D10000}"/>
    <cellStyle name="Total 4 2 2 9" xfId="53632" xr:uid="{00000000-0005-0000-0000-000085D10000}"/>
    <cellStyle name="Total 4 2 3" xfId="53633" xr:uid="{00000000-0005-0000-0000-000086D10000}"/>
    <cellStyle name="Total 4 2 3 2" xfId="53634" xr:uid="{00000000-0005-0000-0000-000087D10000}"/>
    <cellStyle name="Total 4 2 3 2 2" xfId="53635" xr:uid="{00000000-0005-0000-0000-000088D10000}"/>
    <cellStyle name="Total 4 2 3 2 2 2" xfId="53636" xr:uid="{00000000-0005-0000-0000-000089D10000}"/>
    <cellStyle name="Total 4 2 3 2 2 3" xfId="53637" xr:uid="{00000000-0005-0000-0000-00008AD10000}"/>
    <cellStyle name="Total 4 2 3 2 3" xfId="53638" xr:uid="{00000000-0005-0000-0000-00008BD10000}"/>
    <cellStyle name="Total 4 2 3 2 3 2" xfId="53639" xr:uid="{00000000-0005-0000-0000-00008CD10000}"/>
    <cellStyle name="Total 4 2 3 2 3 3" xfId="53640" xr:uid="{00000000-0005-0000-0000-00008DD10000}"/>
    <cellStyle name="Total 4 2 3 2 4" xfId="53641" xr:uid="{00000000-0005-0000-0000-00008ED10000}"/>
    <cellStyle name="Total 4 2 3 2 5" xfId="53642" xr:uid="{00000000-0005-0000-0000-00008FD10000}"/>
    <cellStyle name="Total 4 2 3 2 6" xfId="53643" xr:uid="{00000000-0005-0000-0000-000090D10000}"/>
    <cellStyle name="Total 4 2 3 3" xfId="53644" xr:uid="{00000000-0005-0000-0000-000091D10000}"/>
    <cellStyle name="Total 4 2 3 3 2" xfId="53645" xr:uid="{00000000-0005-0000-0000-000092D10000}"/>
    <cellStyle name="Total 4 2 3 3 3" xfId="53646" xr:uid="{00000000-0005-0000-0000-000093D10000}"/>
    <cellStyle name="Total 4 2 3 4" xfId="53647" xr:uid="{00000000-0005-0000-0000-000094D10000}"/>
    <cellStyle name="Total 4 2 3 4 2" xfId="53648" xr:uid="{00000000-0005-0000-0000-000095D10000}"/>
    <cellStyle name="Total 4 2 3 4 3" xfId="53649" xr:uid="{00000000-0005-0000-0000-000096D10000}"/>
    <cellStyle name="Total 4 2 3 5" xfId="53650" xr:uid="{00000000-0005-0000-0000-000097D10000}"/>
    <cellStyle name="Total 4 2 3 5 2" xfId="53651" xr:uid="{00000000-0005-0000-0000-000098D10000}"/>
    <cellStyle name="Total 4 2 3 5 3" xfId="53652" xr:uid="{00000000-0005-0000-0000-000099D10000}"/>
    <cellStyle name="Total 4 2 3 6" xfId="53653" xr:uid="{00000000-0005-0000-0000-00009AD10000}"/>
    <cellStyle name="Total 4 2 3 7" xfId="53654" xr:uid="{00000000-0005-0000-0000-00009BD10000}"/>
    <cellStyle name="Total 4 2 3 8" xfId="53655" xr:uid="{00000000-0005-0000-0000-00009CD10000}"/>
    <cellStyle name="Total 4 2 4" xfId="53656" xr:uid="{00000000-0005-0000-0000-00009DD10000}"/>
    <cellStyle name="Total 4 2 4 2" xfId="53657" xr:uid="{00000000-0005-0000-0000-00009ED10000}"/>
    <cellStyle name="Total 4 2 4 2 2" xfId="53658" xr:uid="{00000000-0005-0000-0000-00009FD10000}"/>
    <cellStyle name="Total 4 2 4 2 2 2" xfId="53659" xr:uid="{00000000-0005-0000-0000-0000A0D10000}"/>
    <cellStyle name="Total 4 2 4 2 2 3" xfId="53660" xr:uid="{00000000-0005-0000-0000-0000A1D10000}"/>
    <cellStyle name="Total 4 2 4 2 3" xfId="53661" xr:uid="{00000000-0005-0000-0000-0000A2D10000}"/>
    <cellStyle name="Total 4 2 4 2 3 2" xfId="53662" xr:uid="{00000000-0005-0000-0000-0000A3D10000}"/>
    <cellStyle name="Total 4 2 4 2 3 3" xfId="53663" xr:uid="{00000000-0005-0000-0000-0000A4D10000}"/>
    <cellStyle name="Total 4 2 4 2 4" xfId="53664" xr:uid="{00000000-0005-0000-0000-0000A5D10000}"/>
    <cellStyle name="Total 4 2 4 2 5" xfId="53665" xr:uid="{00000000-0005-0000-0000-0000A6D10000}"/>
    <cellStyle name="Total 4 2 4 2 6" xfId="53666" xr:uid="{00000000-0005-0000-0000-0000A7D10000}"/>
    <cellStyle name="Total 4 2 4 3" xfId="53667" xr:uid="{00000000-0005-0000-0000-0000A8D10000}"/>
    <cellStyle name="Total 4 2 4 3 2" xfId="53668" xr:uid="{00000000-0005-0000-0000-0000A9D10000}"/>
    <cellStyle name="Total 4 2 4 3 3" xfId="53669" xr:uid="{00000000-0005-0000-0000-0000AAD10000}"/>
    <cellStyle name="Total 4 2 4 4" xfId="53670" xr:uid="{00000000-0005-0000-0000-0000ABD10000}"/>
    <cellStyle name="Total 4 2 4 4 2" xfId="53671" xr:uid="{00000000-0005-0000-0000-0000ACD10000}"/>
    <cellStyle name="Total 4 2 4 4 3" xfId="53672" xr:uid="{00000000-0005-0000-0000-0000ADD10000}"/>
    <cellStyle name="Total 4 2 4 5" xfId="53673" xr:uid="{00000000-0005-0000-0000-0000AED10000}"/>
    <cellStyle name="Total 4 2 4 5 2" xfId="53674" xr:uid="{00000000-0005-0000-0000-0000AFD10000}"/>
    <cellStyle name="Total 4 2 4 5 3" xfId="53675" xr:uid="{00000000-0005-0000-0000-0000B0D10000}"/>
    <cellStyle name="Total 4 2 4 6" xfId="53676" xr:uid="{00000000-0005-0000-0000-0000B1D10000}"/>
    <cellStyle name="Total 4 2 4 7" xfId="53677" xr:uid="{00000000-0005-0000-0000-0000B2D10000}"/>
    <cellStyle name="Total 4 2 4 8" xfId="53678" xr:uid="{00000000-0005-0000-0000-0000B3D10000}"/>
    <cellStyle name="Total 4 2 5" xfId="53679" xr:uid="{00000000-0005-0000-0000-0000B4D10000}"/>
    <cellStyle name="Total 4 2 5 2" xfId="53680" xr:uid="{00000000-0005-0000-0000-0000B5D10000}"/>
    <cellStyle name="Total 4 2 5 2 2" xfId="53681" xr:uid="{00000000-0005-0000-0000-0000B6D10000}"/>
    <cellStyle name="Total 4 2 5 2 2 2" xfId="53682" xr:uid="{00000000-0005-0000-0000-0000B7D10000}"/>
    <cellStyle name="Total 4 2 5 2 2 3" xfId="53683" xr:uid="{00000000-0005-0000-0000-0000B8D10000}"/>
    <cellStyle name="Total 4 2 5 2 3" xfId="53684" xr:uid="{00000000-0005-0000-0000-0000B9D10000}"/>
    <cellStyle name="Total 4 2 5 2 3 2" xfId="53685" xr:uid="{00000000-0005-0000-0000-0000BAD10000}"/>
    <cellStyle name="Total 4 2 5 2 3 3" xfId="53686" xr:uid="{00000000-0005-0000-0000-0000BBD10000}"/>
    <cellStyle name="Total 4 2 5 2 4" xfId="53687" xr:uid="{00000000-0005-0000-0000-0000BCD10000}"/>
    <cellStyle name="Total 4 2 5 2 5" xfId="53688" xr:uid="{00000000-0005-0000-0000-0000BDD10000}"/>
    <cellStyle name="Total 4 2 5 2 6" xfId="53689" xr:uid="{00000000-0005-0000-0000-0000BED10000}"/>
    <cellStyle name="Total 4 2 5 3" xfId="53690" xr:uid="{00000000-0005-0000-0000-0000BFD10000}"/>
    <cellStyle name="Total 4 2 5 3 2" xfId="53691" xr:uid="{00000000-0005-0000-0000-0000C0D10000}"/>
    <cellStyle name="Total 4 2 5 3 3" xfId="53692" xr:uid="{00000000-0005-0000-0000-0000C1D10000}"/>
    <cellStyle name="Total 4 2 5 4" xfId="53693" xr:uid="{00000000-0005-0000-0000-0000C2D10000}"/>
    <cellStyle name="Total 4 2 5 4 2" xfId="53694" xr:uid="{00000000-0005-0000-0000-0000C3D10000}"/>
    <cellStyle name="Total 4 2 5 4 3" xfId="53695" xr:uid="{00000000-0005-0000-0000-0000C4D10000}"/>
    <cellStyle name="Total 4 2 5 5" xfId="53696" xr:uid="{00000000-0005-0000-0000-0000C5D10000}"/>
    <cellStyle name="Total 4 2 5 5 2" xfId="53697" xr:uid="{00000000-0005-0000-0000-0000C6D10000}"/>
    <cellStyle name="Total 4 2 5 5 3" xfId="53698" xr:uid="{00000000-0005-0000-0000-0000C7D10000}"/>
    <cellStyle name="Total 4 2 5 6" xfId="53699" xr:uid="{00000000-0005-0000-0000-0000C8D10000}"/>
    <cellStyle name="Total 4 2 5 7" xfId="53700" xr:uid="{00000000-0005-0000-0000-0000C9D10000}"/>
    <cellStyle name="Total 4 2 5 8" xfId="53701" xr:uid="{00000000-0005-0000-0000-0000CAD10000}"/>
    <cellStyle name="Total 4 2 6" xfId="53702" xr:uid="{00000000-0005-0000-0000-0000CBD10000}"/>
    <cellStyle name="Total 4 2 6 2" xfId="53703" xr:uid="{00000000-0005-0000-0000-0000CCD10000}"/>
    <cellStyle name="Total 4 2 6 2 2" xfId="53704" xr:uid="{00000000-0005-0000-0000-0000CDD10000}"/>
    <cellStyle name="Total 4 2 6 2 3" xfId="53705" xr:uid="{00000000-0005-0000-0000-0000CED10000}"/>
    <cellStyle name="Total 4 2 6 3" xfId="53706" xr:uid="{00000000-0005-0000-0000-0000CFD10000}"/>
    <cellStyle name="Total 4 2 6 3 2" xfId="53707" xr:uid="{00000000-0005-0000-0000-0000D0D10000}"/>
    <cellStyle name="Total 4 2 6 3 3" xfId="53708" xr:uid="{00000000-0005-0000-0000-0000D1D10000}"/>
    <cellStyle name="Total 4 2 6 4" xfId="53709" xr:uid="{00000000-0005-0000-0000-0000D2D10000}"/>
    <cellStyle name="Total 4 2 6 5" xfId="53710" xr:uid="{00000000-0005-0000-0000-0000D3D10000}"/>
    <cellStyle name="Total 4 2 6 6" xfId="53711" xr:uid="{00000000-0005-0000-0000-0000D4D10000}"/>
    <cellStyle name="Total 4 2 7" xfId="53712" xr:uid="{00000000-0005-0000-0000-0000D5D10000}"/>
    <cellStyle name="Total 4 2 7 2" xfId="53713" xr:uid="{00000000-0005-0000-0000-0000D6D10000}"/>
    <cellStyle name="Total 4 2 7 3" xfId="53714" xr:uid="{00000000-0005-0000-0000-0000D7D10000}"/>
    <cellStyle name="Total 4 2 8" xfId="53715" xr:uid="{00000000-0005-0000-0000-0000D8D10000}"/>
    <cellStyle name="Total 4 2 8 2" xfId="53716" xr:uid="{00000000-0005-0000-0000-0000D9D10000}"/>
    <cellStyle name="Total 4 2 8 3" xfId="53717" xr:uid="{00000000-0005-0000-0000-0000DAD10000}"/>
    <cellStyle name="Total 4 2 9" xfId="53718" xr:uid="{00000000-0005-0000-0000-0000DBD10000}"/>
    <cellStyle name="Total 4 2 9 2" xfId="53719" xr:uid="{00000000-0005-0000-0000-0000DCD10000}"/>
    <cellStyle name="Total 4 2 9 3" xfId="53720" xr:uid="{00000000-0005-0000-0000-0000DDD10000}"/>
    <cellStyle name="Total 4 3" xfId="53721" xr:uid="{00000000-0005-0000-0000-0000DED10000}"/>
    <cellStyle name="Total 4 3 10" xfId="53722" xr:uid="{00000000-0005-0000-0000-0000DFD10000}"/>
    <cellStyle name="Total 4 3 2" xfId="53723" xr:uid="{00000000-0005-0000-0000-0000E0D10000}"/>
    <cellStyle name="Total 4 3 2 2" xfId="53724" xr:uid="{00000000-0005-0000-0000-0000E1D10000}"/>
    <cellStyle name="Total 4 3 2 2 2" xfId="53725" xr:uid="{00000000-0005-0000-0000-0000E2D10000}"/>
    <cellStyle name="Total 4 3 2 2 2 2" xfId="53726" xr:uid="{00000000-0005-0000-0000-0000E3D10000}"/>
    <cellStyle name="Total 4 3 2 2 2 3" xfId="53727" xr:uid="{00000000-0005-0000-0000-0000E4D10000}"/>
    <cellStyle name="Total 4 3 2 2 3" xfId="53728" xr:uid="{00000000-0005-0000-0000-0000E5D10000}"/>
    <cellStyle name="Total 4 3 2 2 3 2" xfId="53729" xr:uid="{00000000-0005-0000-0000-0000E6D10000}"/>
    <cellStyle name="Total 4 3 2 2 3 3" xfId="53730" xr:uid="{00000000-0005-0000-0000-0000E7D10000}"/>
    <cellStyle name="Total 4 3 2 2 4" xfId="53731" xr:uid="{00000000-0005-0000-0000-0000E8D10000}"/>
    <cellStyle name="Total 4 3 2 2 5" xfId="53732" xr:uid="{00000000-0005-0000-0000-0000E9D10000}"/>
    <cellStyle name="Total 4 3 2 2 6" xfId="53733" xr:uid="{00000000-0005-0000-0000-0000EAD10000}"/>
    <cellStyle name="Total 4 3 2 3" xfId="53734" xr:uid="{00000000-0005-0000-0000-0000EBD10000}"/>
    <cellStyle name="Total 4 3 2 3 2" xfId="53735" xr:uid="{00000000-0005-0000-0000-0000ECD10000}"/>
    <cellStyle name="Total 4 3 2 3 3" xfId="53736" xr:uid="{00000000-0005-0000-0000-0000EDD10000}"/>
    <cellStyle name="Total 4 3 2 4" xfId="53737" xr:uid="{00000000-0005-0000-0000-0000EED10000}"/>
    <cellStyle name="Total 4 3 2 4 2" xfId="53738" xr:uid="{00000000-0005-0000-0000-0000EFD10000}"/>
    <cellStyle name="Total 4 3 2 4 3" xfId="53739" xr:uid="{00000000-0005-0000-0000-0000F0D10000}"/>
    <cellStyle name="Total 4 3 2 5" xfId="53740" xr:uid="{00000000-0005-0000-0000-0000F1D10000}"/>
    <cellStyle name="Total 4 3 2 5 2" xfId="53741" xr:uid="{00000000-0005-0000-0000-0000F2D10000}"/>
    <cellStyle name="Total 4 3 2 5 3" xfId="53742" xr:uid="{00000000-0005-0000-0000-0000F3D10000}"/>
    <cellStyle name="Total 4 3 2 6" xfId="53743" xr:uid="{00000000-0005-0000-0000-0000F4D10000}"/>
    <cellStyle name="Total 4 3 2 7" xfId="53744" xr:uid="{00000000-0005-0000-0000-0000F5D10000}"/>
    <cellStyle name="Total 4 3 2 8" xfId="53745" xr:uid="{00000000-0005-0000-0000-0000F6D10000}"/>
    <cellStyle name="Total 4 3 3" xfId="53746" xr:uid="{00000000-0005-0000-0000-0000F7D10000}"/>
    <cellStyle name="Total 4 3 3 2" xfId="53747" xr:uid="{00000000-0005-0000-0000-0000F8D10000}"/>
    <cellStyle name="Total 4 3 3 2 2" xfId="53748" xr:uid="{00000000-0005-0000-0000-0000F9D10000}"/>
    <cellStyle name="Total 4 3 3 2 2 2" xfId="53749" xr:uid="{00000000-0005-0000-0000-0000FAD10000}"/>
    <cellStyle name="Total 4 3 3 2 2 3" xfId="53750" xr:uid="{00000000-0005-0000-0000-0000FBD10000}"/>
    <cellStyle name="Total 4 3 3 2 3" xfId="53751" xr:uid="{00000000-0005-0000-0000-0000FCD10000}"/>
    <cellStyle name="Total 4 3 3 2 3 2" xfId="53752" xr:uid="{00000000-0005-0000-0000-0000FDD10000}"/>
    <cellStyle name="Total 4 3 3 2 3 3" xfId="53753" xr:uid="{00000000-0005-0000-0000-0000FED10000}"/>
    <cellStyle name="Total 4 3 3 2 4" xfId="53754" xr:uid="{00000000-0005-0000-0000-0000FFD10000}"/>
    <cellStyle name="Total 4 3 3 2 5" xfId="53755" xr:uid="{00000000-0005-0000-0000-000000D20000}"/>
    <cellStyle name="Total 4 3 3 2 6" xfId="53756" xr:uid="{00000000-0005-0000-0000-000001D20000}"/>
    <cellStyle name="Total 4 3 3 3" xfId="53757" xr:uid="{00000000-0005-0000-0000-000002D20000}"/>
    <cellStyle name="Total 4 3 3 3 2" xfId="53758" xr:uid="{00000000-0005-0000-0000-000003D20000}"/>
    <cellStyle name="Total 4 3 3 3 3" xfId="53759" xr:uid="{00000000-0005-0000-0000-000004D20000}"/>
    <cellStyle name="Total 4 3 3 4" xfId="53760" xr:uid="{00000000-0005-0000-0000-000005D20000}"/>
    <cellStyle name="Total 4 3 3 4 2" xfId="53761" xr:uid="{00000000-0005-0000-0000-000006D20000}"/>
    <cellStyle name="Total 4 3 3 4 3" xfId="53762" xr:uid="{00000000-0005-0000-0000-000007D20000}"/>
    <cellStyle name="Total 4 3 3 5" xfId="53763" xr:uid="{00000000-0005-0000-0000-000008D20000}"/>
    <cellStyle name="Total 4 3 3 5 2" xfId="53764" xr:uid="{00000000-0005-0000-0000-000009D20000}"/>
    <cellStyle name="Total 4 3 3 5 3" xfId="53765" xr:uid="{00000000-0005-0000-0000-00000AD20000}"/>
    <cellStyle name="Total 4 3 3 6" xfId="53766" xr:uid="{00000000-0005-0000-0000-00000BD20000}"/>
    <cellStyle name="Total 4 3 3 7" xfId="53767" xr:uid="{00000000-0005-0000-0000-00000CD20000}"/>
    <cellStyle name="Total 4 3 3 8" xfId="53768" xr:uid="{00000000-0005-0000-0000-00000DD20000}"/>
    <cellStyle name="Total 4 3 4" xfId="53769" xr:uid="{00000000-0005-0000-0000-00000ED20000}"/>
    <cellStyle name="Total 4 3 4 2" xfId="53770" xr:uid="{00000000-0005-0000-0000-00000FD20000}"/>
    <cellStyle name="Total 4 3 4 2 2" xfId="53771" xr:uid="{00000000-0005-0000-0000-000010D20000}"/>
    <cellStyle name="Total 4 3 4 2 3" xfId="53772" xr:uid="{00000000-0005-0000-0000-000011D20000}"/>
    <cellStyle name="Total 4 3 4 3" xfId="53773" xr:uid="{00000000-0005-0000-0000-000012D20000}"/>
    <cellStyle name="Total 4 3 4 3 2" xfId="53774" xr:uid="{00000000-0005-0000-0000-000013D20000}"/>
    <cellStyle name="Total 4 3 4 3 3" xfId="53775" xr:uid="{00000000-0005-0000-0000-000014D20000}"/>
    <cellStyle name="Total 4 3 4 4" xfId="53776" xr:uid="{00000000-0005-0000-0000-000015D20000}"/>
    <cellStyle name="Total 4 3 4 5" xfId="53777" xr:uid="{00000000-0005-0000-0000-000016D20000}"/>
    <cellStyle name="Total 4 3 4 6" xfId="53778" xr:uid="{00000000-0005-0000-0000-000017D20000}"/>
    <cellStyle name="Total 4 3 5" xfId="53779" xr:uid="{00000000-0005-0000-0000-000018D20000}"/>
    <cellStyle name="Total 4 3 5 2" xfId="53780" xr:uid="{00000000-0005-0000-0000-000019D20000}"/>
    <cellStyle name="Total 4 3 5 3" xfId="53781" xr:uid="{00000000-0005-0000-0000-00001AD20000}"/>
    <cellStyle name="Total 4 3 6" xfId="53782" xr:uid="{00000000-0005-0000-0000-00001BD20000}"/>
    <cellStyle name="Total 4 3 6 2" xfId="53783" xr:uid="{00000000-0005-0000-0000-00001CD20000}"/>
    <cellStyle name="Total 4 3 6 3" xfId="53784" xr:uid="{00000000-0005-0000-0000-00001DD20000}"/>
    <cellStyle name="Total 4 3 7" xfId="53785" xr:uid="{00000000-0005-0000-0000-00001ED20000}"/>
    <cellStyle name="Total 4 3 7 2" xfId="53786" xr:uid="{00000000-0005-0000-0000-00001FD20000}"/>
    <cellStyle name="Total 4 3 7 3" xfId="53787" xr:uid="{00000000-0005-0000-0000-000020D20000}"/>
    <cellStyle name="Total 4 3 8" xfId="53788" xr:uid="{00000000-0005-0000-0000-000021D20000}"/>
    <cellStyle name="Total 4 3 9" xfId="53789" xr:uid="{00000000-0005-0000-0000-000022D20000}"/>
    <cellStyle name="Total 4 4" xfId="53790" xr:uid="{00000000-0005-0000-0000-000023D20000}"/>
    <cellStyle name="Total 4 4 2" xfId="53791" xr:uid="{00000000-0005-0000-0000-000024D20000}"/>
    <cellStyle name="Total 4 4 2 2" xfId="53792" xr:uid="{00000000-0005-0000-0000-000025D20000}"/>
    <cellStyle name="Total 4 4 2 2 2" xfId="53793" xr:uid="{00000000-0005-0000-0000-000026D20000}"/>
    <cellStyle name="Total 4 4 2 2 3" xfId="53794" xr:uid="{00000000-0005-0000-0000-000027D20000}"/>
    <cellStyle name="Total 4 4 2 3" xfId="53795" xr:uid="{00000000-0005-0000-0000-000028D20000}"/>
    <cellStyle name="Total 4 4 2 3 2" xfId="53796" xr:uid="{00000000-0005-0000-0000-000029D20000}"/>
    <cellStyle name="Total 4 4 2 3 3" xfId="53797" xr:uid="{00000000-0005-0000-0000-00002AD20000}"/>
    <cellStyle name="Total 4 4 2 4" xfId="53798" xr:uid="{00000000-0005-0000-0000-00002BD20000}"/>
    <cellStyle name="Total 4 4 2 5" xfId="53799" xr:uid="{00000000-0005-0000-0000-00002CD20000}"/>
    <cellStyle name="Total 4 4 2 6" xfId="53800" xr:uid="{00000000-0005-0000-0000-00002DD20000}"/>
    <cellStyle name="Total 4 4 3" xfId="53801" xr:uid="{00000000-0005-0000-0000-00002ED20000}"/>
    <cellStyle name="Total 4 4 3 2" xfId="53802" xr:uid="{00000000-0005-0000-0000-00002FD20000}"/>
    <cellStyle name="Total 4 4 3 3" xfId="53803" xr:uid="{00000000-0005-0000-0000-000030D20000}"/>
    <cellStyle name="Total 4 4 4" xfId="53804" xr:uid="{00000000-0005-0000-0000-000031D20000}"/>
    <cellStyle name="Total 4 4 4 2" xfId="53805" xr:uid="{00000000-0005-0000-0000-000032D20000}"/>
    <cellStyle name="Total 4 4 4 3" xfId="53806" xr:uid="{00000000-0005-0000-0000-000033D20000}"/>
    <cellStyle name="Total 4 4 5" xfId="53807" xr:uid="{00000000-0005-0000-0000-000034D20000}"/>
    <cellStyle name="Total 4 4 5 2" xfId="53808" xr:uid="{00000000-0005-0000-0000-000035D20000}"/>
    <cellStyle name="Total 4 4 5 3" xfId="53809" xr:uid="{00000000-0005-0000-0000-000036D20000}"/>
    <cellStyle name="Total 4 4 6" xfId="53810" xr:uid="{00000000-0005-0000-0000-000037D20000}"/>
    <cellStyle name="Total 4 4 7" xfId="53811" xr:uid="{00000000-0005-0000-0000-000038D20000}"/>
    <cellStyle name="Total 4 4 8" xfId="53812" xr:uid="{00000000-0005-0000-0000-000039D20000}"/>
    <cellStyle name="Total 4 5" xfId="53813" xr:uid="{00000000-0005-0000-0000-00003AD20000}"/>
    <cellStyle name="Total 4 5 2" xfId="53814" xr:uid="{00000000-0005-0000-0000-00003BD20000}"/>
    <cellStyle name="Total 4 5 2 2" xfId="53815" xr:uid="{00000000-0005-0000-0000-00003CD20000}"/>
    <cellStyle name="Total 4 5 2 2 2" xfId="53816" xr:uid="{00000000-0005-0000-0000-00003DD20000}"/>
    <cellStyle name="Total 4 5 2 2 3" xfId="53817" xr:uid="{00000000-0005-0000-0000-00003ED20000}"/>
    <cellStyle name="Total 4 5 2 3" xfId="53818" xr:uid="{00000000-0005-0000-0000-00003FD20000}"/>
    <cellStyle name="Total 4 5 2 3 2" xfId="53819" xr:uid="{00000000-0005-0000-0000-000040D20000}"/>
    <cellStyle name="Total 4 5 2 3 3" xfId="53820" xr:uid="{00000000-0005-0000-0000-000041D20000}"/>
    <cellStyle name="Total 4 5 2 4" xfId="53821" xr:uid="{00000000-0005-0000-0000-000042D20000}"/>
    <cellStyle name="Total 4 5 2 5" xfId="53822" xr:uid="{00000000-0005-0000-0000-000043D20000}"/>
    <cellStyle name="Total 4 5 2 6" xfId="53823" xr:uid="{00000000-0005-0000-0000-000044D20000}"/>
    <cellStyle name="Total 4 5 3" xfId="53824" xr:uid="{00000000-0005-0000-0000-000045D20000}"/>
    <cellStyle name="Total 4 5 3 2" xfId="53825" xr:uid="{00000000-0005-0000-0000-000046D20000}"/>
    <cellStyle name="Total 4 5 3 3" xfId="53826" xr:uid="{00000000-0005-0000-0000-000047D20000}"/>
    <cellStyle name="Total 4 5 4" xfId="53827" xr:uid="{00000000-0005-0000-0000-000048D20000}"/>
    <cellStyle name="Total 4 5 4 2" xfId="53828" xr:uid="{00000000-0005-0000-0000-000049D20000}"/>
    <cellStyle name="Total 4 5 4 3" xfId="53829" xr:uid="{00000000-0005-0000-0000-00004AD20000}"/>
    <cellStyle name="Total 4 5 5" xfId="53830" xr:uid="{00000000-0005-0000-0000-00004BD20000}"/>
    <cellStyle name="Total 4 5 5 2" xfId="53831" xr:uid="{00000000-0005-0000-0000-00004CD20000}"/>
    <cellStyle name="Total 4 5 5 3" xfId="53832" xr:uid="{00000000-0005-0000-0000-00004DD20000}"/>
    <cellStyle name="Total 4 5 6" xfId="53833" xr:uid="{00000000-0005-0000-0000-00004ED20000}"/>
    <cellStyle name="Total 4 5 7" xfId="53834" xr:uid="{00000000-0005-0000-0000-00004FD20000}"/>
    <cellStyle name="Total 4 5 8" xfId="53835" xr:uid="{00000000-0005-0000-0000-000050D20000}"/>
    <cellStyle name="Total 4 6" xfId="53836" xr:uid="{00000000-0005-0000-0000-000051D20000}"/>
    <cellStyle name="Total 4 6 2" xfId="53837" xr:uid="{00000000-0005-0000-0000-000052D20000}"/>
    <cellStyle name="Total 4 6 2 2" xfId="53838" xr:uid="{00000000-0005-0000-0000-000053D20000}"/>
    <cellStyle name="Total 4 6 2 2 2" xfId="53839" xr:uid="{00000000-0005-0000-0000-000054D20000}"/>
    <cellStyle name="Total 4 6 2 2 3" xfId="53840" xr:uid="{00000000-0005-0000-0000-000055D20000}"/>
    <cellStyle name="Total 4 6 2 3" xfId="53841" xr:uid="{00000000-0005-0000-0000-000056D20000}"/>
    <cellStyle name="Total 4 6 2 3 2" xfId="53842" xr:uid="{00000000-0005-0000-0000-000057D20000}"/>
    <cellStyle name="Total 4 6 2 3 3" xfId="53843" xr:uid="{00000000-0005-0000-0000-000058D20000}"/>
    <cellStyle name="Total 4 6 2 4" xfId="53844" xr:uid="{00000000-0005-0000-0000-000059D20000}"/>
    <cellStyle name="Total 4 6 2 5" xfId="53845" xr:uid="{00000000-0005-0000-0000-00005AD20000}"/>
    <cellStyle name="Total 4 6 2 6" xfId="53846" xr:uid="{00000000-0005-0000-0000-00005BD20000}"/>
    <cellStyle name="Total 4 6 3" xfId="53847" xr:uid="{00000000-0005-0000-0000-00005CD20000}"/>
    <cellStyle name="Total 4 6 3 2" xfId="53848" xr:uid="{00000000-0005-0000-0000-00005DD20000}"/>
    <cellStyle name="Total 4 6 3 3" xfId="53849" xr:uid="{00000000-0005-0000-0000-00005ED20000}"/>
    <cellStyle name="Total 4 6 4" xfId="53850" xr:uid="{00000000-0005-0000-0000-00005FD20000}"/>
    <cellStyle name="Total 4 6 4 2" xfId="53851" xr:uid="{00000000-0005-0000-0000-000060D20000}"/>
    <cellStyle name="Total 4 6 4 3" xfId="53852" xr:uid="{00000000-0005-0000-0000-000061D20000}"/>
    <cellStyle name="Total 4 6 5" xfId="53853" xr:uid="{00000000-0005-0000-0000-000062D20000}"/>
    <cellStyle name="Total 4 6 5 2" xfId="53854" xr:uid="{00000000-0005-0000-0000-000063D20000}"/>
    <cellStyle name="Total 4 6 5 3" xfId="53855" xr:uid="{00000000-0005-0000-0000-000064D20000}"/>
    <cellStyle name="Total 4 6 6" xfId="53856" xr:uid="{00000000-0005-0000-0000-000065D20000}"/>
    <cellStyle name="Total 4 6 7" xfId="53857" xr:uid="{00000000-0005-0000-0000-000066D20000}"/>
    <cellStyle name="Total 4 6 8" xfId="53858" xr:uid="{00000000-0005-0000-0000-000067D20000}"/>
    <cellStyle name="Total 4 7" xfId="53859" xr:uid="{00000000-0005-0000-0000-000068D20000}"/>
    <cellStyle name="Total 4 7 2" xfId="53860" xr:uid="{00000000-0005-0000-0000-000069D20000}"/>
    <cellStyle name="Total 4 7 2 2" xfId="53861" xr:uid="{00000000-0005-0000-0000-00006AD20000}"/>
    <cellStyle name="Total 4 7 2 3" xfId="53862" xr:uid="{00000000-0005-0000-0000-00006BD20000}"/>
    <cellStyle name="Total 4 7 3" xfId="53863" xr:uid="{00000000-0005-0000-0000-00006CD20000}"/>
    <cellStyle name="Total 4 7 3 2" xfId="53864" xr:uid="{00000000-0005-0000-0000-00006DD20000}"/>
    <cellStyle name="Total 4 7 3 3" xfId="53865" xr:uid="{00000000-0005-0000-0000-00006ED20000}"/>
    <cellStyle name="Total 4 7 4" xfId="53866" xr:uid="{00000000-0005-0000-0000-00006FD20000}"/>
    <cellStyle name="Total 4 7 5" xfId="53867" xr:uid="{00000000-0005-0000-0000-000070D20000}"/>
    <cellStyle name="Total 4 7 6" xfId="53868" xr:uid="{00000000-0005-0000-0000-000071D20000}"/>
    <cellStyle name="Total 4 8" xfId="53869" xr:uid="{00000000-0005-0000-0000-000072D20000}"/>
    <cellStyle name="Total 4 8 2" xfId="53870" xr:uid="{00000000-0005-0000-0000-000073D20000}"/>
    <cellStyle name="Total 4 8 3" xfId="53871" xr:uid="{00000000-0005-0000-0000-000074D20000}"/>
    <cellStyle name="Total 4 8 4" xfId="53872" xr:uid="{00000000-0005-0000-0000-000075D20000}"/>
    <cellStyle name="Total 4 9" xfId="53873" xr:uid="{00000000-0005-0000-0000-000076D20000}"/>
    <cellStyle name="Total 4 9 2" xfId="53874" xr:uid="{00000000-0005-0000-0000-000077D20000}"/>
    <cellStyle name="Total 4 9 3" xfId="53875" xr:uid="{00000000-0005-0000-0000-000078D20000}"/>
    <cellStyle name="Total 5" xfId="53876" xr:uid="{00000000-0005-0000-0000-000079D20000}"/>
    <cellStyle name="Total 5 10" xfId="53877" xr:uid="{00000000-0005-0000-0000-00007AD20000}"/>
    <cellStyle name="Total 5 11" xfId="53878" xr:uid="{00000000-0005-0000-0000-00007BD20000}"/>
    <cellStyle name="Total 5 12" xfId="53879" xr:uid="{00000000-0005-0000-0000-00007CD20000}"/>
    <cellStyle name="Total 5 2" xfId="53880" xr:uid="{00000000-0005-0000-0000-00007DD20000}"/>
    <cellStyle name="Total 5 2 10" xfId="53881" xr:uid="{00000000-0005-0000-0000-00007ED20000}"/>
    <cellStyle name="Total 5 2 2" xfId="53882" xr:uid="{00000000-0005-0000-0000-00007FD20000}"/>
    <cellStyle name="Total 5 2 2 2" xfId="53883" xr:uid="{00000000-0005-0000-0000-000080D20000}"/>
    <cellStyle name="Total 5 2 2 2 2" xfId="53884" xr:uid="{00000000-0005-0000-0000-000081D20000}"/>
    <cellStyle name="Total 5 2 2 2 2 2" xfId="53885" xr:uid="{00000000-0005-0000-0000-000082D20000}"/>
    <cellStyle name="Total 5 2 2 2 2 3" xfId="53886" xr:uid="{00000000-0005-0000-0000-000083D20000}"/>
    <cellStyle name="Total 5 2 2 2 3" xfId="53887" xr:uid="{00000000-0005-0000-0000-000084D20000}"/>
    <cellStyle name="Total 5 2 2 2 3 2" xfId="53888" xr:uid="{00000000-0005-0000-0000-000085D20000}"/>
    <cellStyle name="Total 5 2 2 2 3 3" xfId="53889" xr:uid="{00000000-0005-0000-0000-000086D20000}"/>
    <cellStyle name="Total 5 2 2 2 4" xfId="53890" xr:uid="{00000000-0005-0000-0000-000087D20000}"/>
    <cellStyle name="Total 5 2 2 2 5" xfId="53891" xr:uid="{00000000-0005-0000-0000-000088D20000}"/>
    <cellStyle name="Total 5 2 2 2 6" xfId="53892" xr:uid="{00000000-0005-0000-0000-000089D20000}"/>
    <cellStyle name="Total 5 2 2 3" xfId="53893" xr:uid="{00000000-0005-0000-0000-00008AD20000}"/>
    <cellStyle name="Total 5 2 2 3 2" xfId="53894" xr:uid="{00000000-0005-0000-0000-00008BD20000}"/>
    <cellStyle name="Total 5 2 2 3 3" xfId="53895" xr:uid="{00000000-0005-0000-0000-00008CD20000}"/>
    <cellStyle name="Total 5 2 2 4" xfId="53896" xr:uid="{00000000-0005-0000-0000-00008DD20000}"/>
    <cellStyle name="Total 5 2 2 4 2" xfId="53897" xr:uid="{00000000-0005-0000-0000-00008ED20000}"/>
    <cellStyle name="Total 5 2 2 4 3" xfId="53898" xr:uid="{00000000-0005-0000-0000-00008FD20000}"/>
    <cellStyle name="Total 5 2 2 5" xfId="53899" xr:uid="{00000000-0005-0000-0000-000090D20000}"/>
    <cellStyle name="Total 5 2 2 5 2" xfId="53900" xr:uid="{00000000-0005-0000-0000-000091D20000}"/>
    <cellStyle name="Total 5 2 2 5 3" xfId="53901" xr:uid="{00000000-0005-0000-0000-000092D20000}"/>
    <cellStyle name="Total 5 2 2 6" xfId="53902" xr:uid="{00000000-0005-0000-0000-000093D20000}"/>
    <cellStyle name="Total 5 2 2 7" xfId="53903" xr:uid="{00000000-0005-0000-0000-000094D20000}"/>
    <cellStyle name="Total 5 2 2 8" xfId="53904" xr:uid="{00000000-0005-0000-0000-000095D20000}"/>
    <cellStyle name="Total 5 2 3" xfId="53905" xr:uid="{00000000-0005-0000-0000-000096D20000}"/>
    <cellStyle name="Total 5 2 3 2" xfId="53906" xr:uid="{00000000-0005-0000-0000-000097D20000}"/>
    <cellStyle name="Total 5 2 3 2 2" xfId="53907" xr:uid="{00000000-0005-0000-0000-000098D20000}"/>
    <cellStyle name="Total 5 2 3 2 2 2" xfId="53908" xr:uid="{00000000-0005-0000-0000-000099D20000}"/>
    <cellStyle name="Total 5 2 3 2 2 3" xfId="53909" xr:uid="{00000000-0005-0000-0000-00009AD20000}"/>
    <cellStyle name="Total 5 2 3 2 3" xfId="53910" xr:uid="{00000000-0005-0000-0000-00009BD20000}"/>
    <cellStyle name="Total 5 2 3 2 3 2" xfId="53911" xr:uid="{00000000-0005-0000-0000-00009CD20000}"/>
    <cellStyle name="Total 5 2 3 2 3 3" xfId="53912" xr:uid="{00000000-0005-0000-0000-00009DD20000}"/>
    <cellStyle name="Total 5 2 3 2 4" xfId="53913" xr:uid="{00000000-0005-0000-0000-00009ED20000}"/>
    <cellStyle name="Total 5 2 3 2 5" xfId="53914" xr:uid="{00000000-0005-0000-0000-00009FD20000}"/>
    <cellStyle name="Total 5 2 3 2 6" xfId="53915" xr:uid="{00000000-0005-0000-0000-0000A0D20000}"/>
    <cellStyle name="Total 5 2 3 3" xfId="53916" xr:uid="{00000000-0005-0000-0000-0000A1D20000}"/>
    <cellStyle name="Total 5 2 3 3 2" xfId="53917" xr:uid="{00000000-0005-0000-0000-0000A2D20000}"/>
    <cellStyle name="Total 5 2 3 3 3" xfId="53918" xr:uid="{00000000-0005-0000-0000-0000A3D20000}"/>
    <cellStyle name="Total 5 2 3 4" xfId="53919" xr:uid="{00000000-0005-0000-0000-0000A4D20000}"/>
    <cellStyle name="Total 5 2 3 4 2" xfId="53920" xr:uid="{00000000-0005-0000-0000-0000A5D20000}"/>
    <cellStyle name="Total 5 2 3 4 3" xfId="53921" xr:uid="{00000000-0005-0000-0000-0000A6D20000}"/>
    <cellStyle name="Total 5 2 3 5" xfId="53922" xr:uid="{00000000-0005-0000-0000-0000A7D20000}"/>
    <cellStyle name="Total 5 2 3 5 2" xfId="53923" xr:uid="{00000000-0005-0000-0000-0000A8D20000}"/>
    <cellStyle name="Total 5 2 3 5 3" xfId="53924" xr:uid="{00000000-0005-0000-0000-0000A9D20000}"/>
    <cellStyle name="Total 5 2 3 6" xfId="53925" xr:uid="{00000000-0005-0000-0000-0000AAD20000}"/>
    <cellStyle name="Total 5 2 3 7" xfId="53926" xr:uid="{00000000-0005-0000-0000-0000ABD20000}"/>
    <cellStyle name="Total 5 2 3 8" xfId="53927" xr:uid="{00000000-0005-0000-0000-0000ACD20000}"/>
    <cellStyle name="Total 5 2 4" xfId="53928" xr:uid="{00000000-0005-0000-0000-0000ADD20000}"/>
    <cellStyle name="Total 5 2 4 2" xfId="53929" xr:uid="{00000000-0005-0000-0000-0000AED20000}"/>
    <cellStyle name="Total 5 2 4 2 2" xfId="53930" xr:uid="{00000000-0005-0000-0000-0000AFD20000}"/>
    <cellStyle name="Total 5 2 4 2 3" xfId="53931" xr:uid="{00000000-0005-0000-0000-0000B0D20000}"/>
    <cellStyle name="Total 5 2 4 3" xfId="53932" xr:uid="{00000000-0005-0000-0000-0000B1D20000}"/>
    <cellStyle name="Total 5 2 4 3 2" xfId="53933" xr:uid="{00000000-0005-0000-0000-0000B2D20000}"/>
    <cellStyle name="Total 5 2 4 3 3" xfId="53934" xr:uid="{00000000-0005-0000-0000-0000B3D20000}"/>
    <cellStyle name="Total 5 2 4 4" xfId="53935" xr:uid="{00000000-0005-0000-0000-0000B4D20000}"/>
    <cellStyle name="Total 5 2 4 5" xfId="53936" xr:uid="{00000000-0005-0000-0000-0000B5D20000}"/>
    <cellStyle name="Total 5 2 4 6" xfId="53937" xr:uid="{00000000-0005-0000-0000-0000B6D20000}"/>
    <cellStyle name="Total 5 2 5" xfId="53938" xr:uid="{00000000-0005-0000-0000-0000B7D20000}"/>
    <cellStyle name="Total 5 2 5 2" xfId="53939" xr:uid="{00000000-0005-0000-0000-0000B8D20000}"/>
    <cellStyle name="Total 5 2 5 3" xfId="53940" xr:uid="{00000000-0005-0000-0000-0000B9D20000}"/>
    <cellStyle name="Total 5 2 6" xfId="53941" xr:uid="{00000000-0005-0000-0000-0000BAD20000}"/>
    <cellStyle name="Total 5 2 6 2" xfId="53942" xr:uid="{00000000-0005-0000-0000-0000BBD20000}"/>
    <cellStyle name="Total 5 2 6 3" xfId="53943" xr:uid="{00000000-0005-0000-0000-0000BCD20000}"/>
    <cellStyle name="Total 5 2 7" xfId="53944" xr:uid="{00000000-0005-0000-0000-0000BDD20000}"/>
    <cellStyle name="Total 5 2 7 2" xfId="53945" xr:uid="{00000000-0005-0000-0000-0000BED20000}"/>
    <cellStyle name="Total 5 2 7 3" xfId="53946" xr:uid="{00000000-0005-0000-0000-0000BFD20000}"/>
    <cellStyle name="Total 5 2 8" xfId="53947" xr:uid="{00000000-0005-0000-0000-0000C0D20000}"/>
    <cellStyle name="Total 5 2 9" xfId="53948" xr:uid="{00000000-0005-0000-0000-0000C1D20000}"/>
    <cellStyle name="Total 5 3" xfId="53949" xr:uid="{00000000-0005-0000-0000-0000C2D20000}"/>
    <cellStyle name="Total 5 3 2" xfId="53950" xr:uid="{00000000-0005-0000-0000-0000C3D20000}"/>
    <cellStyle name="Total 5 3 2 2" xfId="53951" xr:uid="{00000000-0005-0000-0000-0000C4D20000}"/>
    <cellStyle name="Total 5 3 2 2 2" xfId="53952" xr:uid="{00000000-0005-0000-0000-0000C5D20000}"/>
    <cellStyle name="Total 5 3 2 2 3" xfId="53953" xr:uid="{00000000-0005-0000-0000-0000C6D20000}"/>
    <cellStyle name="Total 5 3 2 3" xfId="53954" xr:uid="{00000000-0005-0000-0000-0000C7D20000}"/>
    <cellStyle name="Total 5 3 2 3 2" xfId="53955" xr:uid="{00000000-0005-0000-0000-0000C8D20000}"/>
    <cellStyle name="Total 5 3 2 3 3" xfId="53956" xr:uid="{00000000-0005-0000-0000-0000C9D20000}"/>
    <cellStyle name="Total 5 3 2 4" xfId="53957" xr:uid="{00000000-0005-0000-0000-0000CAD20000}"/>
    <cellStyle name="Total 5 3 2 5" xfId="53958" xr:uid="{00000000-0005-0000-0000-0000CBD20000}"/>
    <cellStyle name="Total 5 3 2 6" xfId="53959" xr:uid="{00000000-0005-0000-0000-0000CCD20000}"/>
    <cellStyle name="Total 5 3 3" xfId="53960" xr:uid="{00000000-0005-0000-0000-0000CDD20000}"/>
    <cellStyle name="Total 5 3 3 2" xfId="53961" xr:uid="{00000000-0005-0000-0000-0000CED20000}"/>
    <cellStyle name="Total 5 3 3 3" xfId="53962" xr:uid="{00000000-0005-0000-0000-0000CFD20000}"/>
    <cellStyle name="Total 5 3 4" xfId="53963" xr:uid="{00000000-0005-0000-0000-0000D0D20000}"/>
    <cellStyle name="Total 5 3 4 2" xfId="53964" xr:uid="{00000000-0005-0000-0000-0000D1D20000}"/>
    <cellStyle name="Total 5 3 4 3" xfId="53965" xr:uid="{00000000-0005-0000-0000-0000D2D20000}"/>
    <cellStyle name="Total 5 3 5" xfId="53966" xr:uid="{00000000-0005-0000-0000-0000D3D20000}"/>
    <cellStyle name="Total 5 3 5 2" xfId="53967" xr:uid="{00000000-0005-0000-0000-0000D4D20000}"/>
    <cellStyle name="Total 5 3 5 3" xfId="53968" xr:uid="{00000000-0005-0000-0000-0000D5D20000}"/>
    <cellStyle name="Total 5 3 6" xfId="53969" xr:uid="{00000000-0005-0000-0000-0000D6D20000}"/>
    <cellStyle name="Total 5 3 7" xfId="53970" xr:uid="{00000000-0005-0000-0000-0000D7D20000}"/>
    <cellStyle name="Total 5 3 8" xfId="53971" xr:uid="{00000000-0005-0000-0000-0000D8D20000}"/>
    <cellStyle name="Total 5 4" xfId="53972" xr:uid="{00000000-0005-0000-0000-0000D9D20000}"/>
    <cellStyle name="Total 5 4 2" xfId="53973" xr:uid="{00000000-0005-0000-0000-0000DAD20000}"/>
    <cellStyle name="Total 5 4 2 2" xfId="53974" xr:uid="{00000000-0005-0000-0000-0000DBD20000}"/>
    <cellStyle name="Total 5 4 2 2 2" xfId="53975" xr:uid="{00000000-0005-0000-0000-0000DCD20000}"/>
    <cellStyle name="Total 5 4 2 2 3" xfId="53976" xr:uid="{00000000-0005-0000-0000-0000DDD20000}"/>
    <cellStyle name="Total 5 4 2 3" xfId="53977" xr:uid="{00000000-0005-0000-0000-0000DED20000}"/>
    <cellStyle name="Total 5 4 2 3 2" xfId="53978" xr:uid="{00000000-0005-0000-0000-0000DFD20000}"/>
    <cellStyle name="Total 5 4 2 3 3" xfId="53979" xr:uid="{00000000-0005-0000-0000-0000E0D20000}"/>
    <cellStyle name="Total 5 4 2 4" xfId="53980" xr:uid="{00000000-0005-0000-0000-0000E1D20000}"/>
    <cellStyle name="Total 5 4 2 5" xfId="53981" xr:uid="{00000000-0005-0000-0000-0000E2D20000}"/>
    <cellStyle name="Total 5 4 2 6" xfId="53982" xr:uid="{00000000-0005-0000-0000-0000E3D20000}"/>
    <cellStyle name="Total 5 4 3" xfId="53983" xr:uid="{00000000-0005-0000-0000-0000E4D20000}"/>
    <cellStyle name="Total 5 4 3 2" xfId="53984" xr:uid="{00000000-0005-0000-0000-0000E5D20000}"/>
    <cellStyle name="Total 5 4 3 3" xfId="53985" xr:uid="{00000000-0005-0000-0000-0000E6D20000}"/>
    <cellStyle name="Total 5 4 4" xfId="53986" xr:uid="{00000000-0005-0000-0000-0000E7D20000}"/>
    <cellStyle name="Total 5 4 4 2" xfId="53987" xr:uid="{00000000-0005-0000-0000-0000E8D20000}"/>
    <cellStyle name="Total 5 4 4 3" xfId="53988" xr:uid="{00000000-0005-0000-0000-0000E9D20000}"/>
    <cellStyle name="Total 5 4 5" xfId="53989" xr:uid="{00000000-0005-0000-0000-0000EAD20000}"/>
    <cellStyle name="Total 5 4 5 2" xfId="53990" xr:uid="{00000000-0005-0000-0000-0000EBD20000}"/>
    <cellStyle name="Total 5 4 5 3" xfId="53991" xr:uid="{00000000-0005-0000-0000-0000ECD20000}"/>
    <cellStyle name="Total 5 4 6" xfId="53992" xr:uid="{00000000-0005-0000-0000-0000EDD20000}"/>
    <cellStyle name="Total 5 4 7" xfId="53993" xr:uid="{00000000-0005-0000-0000-0000EED20000}"/>
    <cellStyle name="Total 5 4 8" xfId="53994" xr:uid="{00000000-0005-0000-0000-0000EFD20000}"/>
    <cellStyle name="Total 5 5" xfId="53995" xr:uid="{00000000-0005-0000-0000-0000F0D20000}"/>
    <cellStyle name="Total 5 5 2" xfId="53996" xr:uid="{00000000-0005-0000-0000-0000F1D20000}"/>
    <cellStyle name="Total 5 5 2 2" xfId="53997" xr:uid="{00000000-0005-0000-0000-0000F2D20000}"/>
    <cellStyle name="Total 5 5 2 2 2" xfId="53998" xr:uid="{00000000-0005-0000-0000-0000F3D20000}"/>
    <cellStyle name="Total 5 5 2 2 3" xfId="53999" xr:uid="{00000000-0005-0000-0000-0000F4D20000}"/>
    <cellStyle name="Total 5 5 2 3" xfId="54000" xr:uid="{00000000-0005-0000-0000-0000F5D20000}"/>
    <cellStyle name="Total 5 5 2 3 2" xfId="54001" xr:uid="{00000000-0005-0000-0000-0000F6D20000}"/>
    <cellStyle name="Total 5 5 2 3 3" xfId="54002" xr:uid="{00000000-0005-0000-0000-0000F7D20000}"/>
    <cellStyle name="Total 5 5 2 4" xfId="54003" xr:uid="{00000000-0005-0000-0000-0000F8D20000}"/>
    <cellStyle name="Total 5 5 2 5" xfId="54004" xr:uid="{00000000-0005-0000-0000-0000F9D20000}"/>
    <cellStyle name="Total 5 5 2 6" xfId="54005" xr:uid="{00000000-0005-0000-0000-0000FAD20000}"/>
    <cellStyle name="Total 5 5 3" xfId="54006" xr:uid="{00000000-0005-0000-0000-0000FBD20000}"/>
    <cellStyle name="Total 5 5 3 2" xfId="54007" xr:uid="{00000000-0005-0000-0000-0000FCD20000}"/>
    <cellStyle name="Total 5 5 3 3" xfId="54008" xr:uid="{00000000-0005-0000-0000-0000FDD20000}"/>
    <cellStyle name="Total 5 5 4" xfId="54009" xr:uid="{00000000-0005-0000-0000-0000FED20000}"/>
    <cellStyle name="Total 5 5 4 2" xfId="54010" xr:uid="{00000000-0005-0000-0000-0000FFD20000}"/>
    <cellStyle name="Total 5 5 4 3" xfId="54011" xr:uid="{00000000-0005-0000-0000-000000D30000}"/>
    <cellStyle name="Total 5 5 5" xfId="54012" xr:uid="{00000000-0005-0000-0000-000001D30000}"/>
    <cellStyle name="Total 5 5 5 2" xfId="54013" xr:uid="{00000000-0005-0000-0000-000002D30000}"/>
    <cellStyle name="Total 5 5 5 3" xfId="54014" xr:uid="{00000000-0005-0000-0000-000003D30000}"/>
    <cellStyle name="Total 5 5 6" xfId="54015" xr:uid="{00000000-0005-0000-0000-000004D30000}"/>
    <cellStyle name="Total 5 5 7" xfId="54016" xr:uid="{00000000-0005-0000-0000-000005D30000}"/>
    <cellStyle name="Total 5 5 8" xfId="54017" xr:uid="{00000000-0005-0000-0000-000006D30000}"/>
    <cellStyle name="Total 5 6" xfId="54018" xr:uid="{00000000-0005-0000-0000-000007D30000}"/>
    <cellStyle name="Total 5 6 2" xfId="54019" xr:uid="{00000000-0005-0000-0000-000008D30000}"/>
    <cellStyle name="Total 5 6 2 2" xfId="54020" xr:uid="{00000000-0005-0000-0000-000009D30000}"/>
    <cellStyle name="Total 5 6 2 3" xfId="54021" xr:uid="{00000000-0005-0000-0000-00000AD30000}"/>
    <cellStyle name="Total 5 6 3" xfId="54022" xr:uid="{00000000-0005-0000-0000-00000BD30000}"/>
    <cellStyle name="Total 5 6 3 2" xfId="54023" xr:uid="{00000000-0005-0000-0000-00000CD30000}"/>
    <cellStyle name="Total 5 6 3 3" xfId="54024" xr:uid="{00000000-0005-0000-0000-00000DD30000}"/>
    <cellStyle name="Total 5 6 4" xfId="54025" xr:uid="{00000000-0005-0000-0000-00000ED30000}"/>
    <cellStyle name="Total 5 6 5" xfId="54026" xr:uid="{00000000-0005-0000-0000-00000FD30000}"/>
    <cellStyle name="Total 5 6 6" xfId="54027" xr:uid="{00000000-0005-0000-0000-000010D30000}"/>
    <cellStyle name="Total 5 7" xfId="54028" xr:uid="{00000000-0005-0000-0000-000011D30000}"/>
    <cellStyle name="Total 5 7 2" xfId="54029" xr:uid="{00000000-0005-0000-0000-000012D30000}"/>
    <cellStyle name="Total 5 7 3" xfId="54030" xr:uid="{00000000-0005-0000-0000-000013D30000}"/>
    <cellStyle name="Total 5 7 4" xfId="54031" xr:uid="{00000000-0005-0000-0000-000014D30000}"/>
    <cellStyle name="Total 5 8" xfId="54032" xr:uid="{00000000-0005-0000-0000-000015D30000}"/>
    <cellStyle name="Total 5 8 2" xfId="54033" xr:uid="{00000000-0005-0000-0000-000016D30000}"/>
    <cellStyle name="Total 5 8 3" xfId="54034" xr:uid="{00000000-0005-0000-0000-000017D30000}"/>
    <cellStyle name="Total 5 9" xfId="54035" xr:uid="{00000000-0005-0000-0000-000018D30000}"/>
    <cellStyle name="Total 5 9 2" xfId="54036" xr:uid="{00000000-0005-0000-0000-000019D30000}"/>
    <cellStyle name="Total 5 9 3" xfId="54037" xr:uid="{00000000-0005-0000-0000-00001AD30000}"/>
    <cellStyle name="Total 6" xfId="54038" xr:uid="{00000000-0005-0000-0000-00001BD30000}"/>
    <cellStyle name="Total 6 10" xfId="54039" xr:uid="{00000000-0005-0000-0000-00001CD30000}"/>
    <cellStyle name="Total 6 11" xfId="54040" xr:uid="{00000000-0005-0000-0000-00001DD30000}"/>
    <cellStyle name="Total 6 12" xfId="54041" xr:uid="{00000000-0005-0000-0000-00001ED30000}"/>
    <cellStyle name="Total 6 2" xfId="54042" xr:uid="{00000000-0005-0000-0000-00001FD30000}"/>
    <cellStyle name="Total 6 2 10" xfId="54043" xr:uid="{00000000-0005-0000-0000-000020D30000}"/>
    <cellStyle name="Total 6 2 2" xfId="54044" xr:uid="{00000000-0005-0000-0000-000021D30000}"/>
    <cellStyle name="Total 6 2 2 2" xfId="54045" xr:uid="{00000000-0005-0000-0000-000022D30000}"/>
    <cellStyle name="Total 6 2 2 2 2" xfId="54046" xr:uid="{00000000-0005-0000-0000-000023D30000}"/>
    <cellStyle name="Total 6 2 2 2 2 2" xfId="54047" xr:uid="{00000000-0005-0000-0000-000024D30000}"/>
    <cellStyle name="Total 6 2 2 2 2 3" xfId="54048" xr:uid="{00000000-0005-0000-0000-000025D30000}"/>
    <cellStyle name="Total 6 2 2 2 3" xfId="54049" xr:uid="{00000000-0005-0000-0000-000026D30000}"/>
    <cellStyle name="Total 6 2 2 2 3 2" xfId="54050" xr:uid="{00000000-0005-0000-0000-000027D30000}"/>
    <cellStyle name="Total 6 2 2 2 3 3" xfId="54051" xr:uid="{00000000-0005-0000-0000-000028D30000}"/>
    <cellStyle name="Total 6 2 2 2 4" xfId="54052" xr:uid="{00000000-0005-0000-0000-000029D30000}"/>
    <cellStyle name="Total 6 2 2 2 5" xfId="54053" xr:uid="{00000000-0005-0000-0000-00002AD30000}"/>
    <cellStyle name="Total 6 2 2 2 6" xfId="54054" xr:uid="{00000000-0005-0000-0000-00002BD30000}"/>
    <cellStyle name="Total 6 2 2 3" xfId="54055" xr:uid="{00000000-0005-0000-0000-00002CD30000}"/>
    <cellStyle name="Total 6 2 2 3 2" xfId="54056" xr:uid="{00000000-0005-0000-0000-00002DD30000}"/>
    <cellStyle name="Total 6 2 2 3 3" xfId="54057" xr:uid="{00000000-0005-0000-0000-00002ED30000}"/>
    <cellStyle name="Total 6 2 2 4" xfId="54058" xr:uid="{00000000-0005-0000-0000-00002FD30000}"/>
    <cellStyle name="Total 6 2 2 4 2" xfId="54059" xr:uid="{00000000-0005-0000-0000-000030D30000}"/>
    <cellStyle name="Total 6 2 2 4 3" xfId="54060" xr:uid="{00000000-0005-0000-0000-000031D30000}"/>
    <cellStyle name="Total 6 2 2 5" xfId="54061" xr:uid="{00000000-0005-0000-0000-000032D30000}"/>
    <cellStyle name="Total 6 2 2 5 2" xfId="54062" xr:uid="{00000000-0005-0000-0000-000033D30000}"/>
    <cellStyle name="Total 6 2 2 5 3" xfId="54063" xr:uid="{00000000-0005-0000-0000-000034D30000}"/>
    <cellStyle name="Total 6 2 2 6" xfId="54064" xr:uid="{00000000-0005-0000-0000-000035D30000}"/>
    <cellStyle name="Total 6 2 2 7" xfId="54065" xr:uid="{00000000-0005-0000-0000-000036D30000}"/>
    <cellStyle name="Total 6 2 2 8" xfId="54066" xr:uid="{00000000-0005-0000-0000-000037D30000}"/>
    <cellStyle name="Total 6 2 3" xfId="54067" xr:uid="{00000000-0005-0000-0000-000038D30000}"/>
    <cellStyle name="Total 6 2 3 2" xfId="54068" xr:uid="{00000000-0005-0000-0000-000039D30000}"/>
    <cellStyle name="Total 6 2 3 2 2" xfId="54069" xr:uid="{00000000-0005-0000-0000-00003AD30000}"/>
    <cellStyle name="Total 6 2 3 2 2 2" xfId="54070" xr:uid="{00000000-0005-0000-0000-00003BD30000}"/>
    <cellStyle name="Total 6 2 3 2 2 3" xfId="54071" xr:uid="{00000000-0005-0000-0000-00003CD30000}"/>
    <cellStyle name="Total 6 2 3 2 3" xfId="54072" xr:uid="{00000000-0005-0000-0000-00003DD30000}"/>
    <cellStyle name="Total 6 2 3 2 3 2" xfId="54073" xr:uid="{00000000-0005-0000-0000-00003ED30000}"/>
    <cellStyle name="Total 6 2 3 2 3 3" xfId="54074" xr:uid="{00000000-0005-0000-0000-00003FD30000}"/>
    <cellStyle name="Total 6 2 3 2 4" xfId="54075" xr:uid="{00000000-0005-0000-0000-000040D30000}"/>
    <cellStyle name="Total 6 2 3 2 5" xfId="54076" xr:uid="{00000000-0005-0000-0000-000041D30000}"/>
    <cellStyle name="Total 6 2 3 2 6" xfId="54077" xr:uid="{00000000-0005-0000-0000-000042D30000}"/>
    <cellStyle name="Total 6 2 3 3" xfId="54078" xr:uid="{00000000-0005-0000-0000-000043D30000}"/>
    <cellStyle name="Total 6 2 3 3 2" xfId="54079" xr:uid="{00000000-0005-0000-0000-000044D30000}"/>
    <cellStyle name="Total 6 2 3 3 3" xfId="54080" xr:uid="{00000000-0005-0000-0000-000045D30000}"/>
    <cellStyle name="Total 6 2 3 4" xfId="54081" xr:uid="{00000000-0005-0000-0000-000046D30000}"/>
    <cellStyle name="Total 6 2 3 4 2" xfId="54082" xr:uid="{00000000-0005-0000-0000-000047D30000}"/>
    <cellStyle name="Total 6 2 3 4 3" xfId="54083" xr:uid="{00000000-0005-0000-0000-000048D30000}"/>
    <cellStyle name="Total 6 2 3 5" xfId="54084" xr:uid="{00000000-0005-0000-0000-000049D30000}"/>
    <cellStyle name="Total 6 2 3 5 2" xfId="54085" xr:uid="{00000000-0005-0000-0000-00004AD30000}"/>
    <cellStyle name="Total 6 2 3 5 3" xfId="54086" xr:uid="{00000000-0005-0000-0000-00004BD30000}"/>
    <cellStyle name="Total 6 2 3 6" xfId="54087" xr:uid="{00000000-0005-0000-0000-00004CD30000}"/>
    <cellStyle name="Total 6 2 3 7" xfId="54088" xr:uid="{00000000-0005-0000-0000-00004DD30000}"/>
    <cellStyle name="Total 6 2 3 8" xfId="54089" xr:uid="{00000000-0005-0000-0000-00004ED30000}"/>
    <cellStyle name="Total 6 2 4" xfId="54090" xr:uid="{00000000-0005-0000-0000-00004FD30000}"/>
    <cellStyle name="Total 6 2 4 2" xfId="54091" xr:uid="{00000000-0005-0000-0000-000050D30000}"/>
    <cellStyle name="Total 6 2 4 2 2" xfId="54092" xr:uid="{00000000-0005-0000-0000-000051D30000}"/>
    <cellStyle name="Total 6 2 4 2 3" xfId="54093" xr:uid="{00000000-0005-0000-0000-000052D30000}"/>
    <cellStyle name="Total 6 2 4 3" xfId="54094" xr:uid="{00000000-0005-0000-0000-000053D30000}"/>
    <cellStyle name="Total 6 2 4 3 2" xfId="54095" xr:uid="{00000000-0005-0000-0000-000054D30000}"/>
    <cellStyle name="Total 6 2 4 3 3" xfId="54096" xr:uid="{00000000-0005-0000-0000-000055D30000}"/>
    <cellStyle name="Total 6 2 4 4" xfId="54097" xr:uid="{00000000-0005-0000-0000-000056D30000}"/>
    <cellStyle name="Total 6 2 4 5" xfId="54098" xr:uid="{00000000-0005-0000-0000-000057D30000}"/>
    <cellStyle name="Total 6 2 4 6" xfId="54099" xr:uid="{00000000-0005-0000-0000-000058D30000}"/>
    <cellStyle name="Total 6 2 5" xfId="54100" xr:uid="{00000000-0005-0000-0000-000059D30000}"/>
    <cellStyle name="Total 6 2 5 2" xfId="54101" xr:uid="{00000000-0005-0000-0000-00005AD30000}"/>
    <cellStyle name="Total 6 2 5 3" xfId="54102" xr:uid="{00000000-0005-0000-0000-00005BD30000}"/>
    <cellStyle name="Total 6 2 6" xfId="54103" xr:uid="{00000000-0005-0000-0000-00005CD30000}"/>
    <cellStyle name="Total 6 2 6 2" xfId="54104" xr:uid="{00000000-0005-0000-0000-00005DD30000}"/>
    <cellStyle name="Total 6 2 6 3" xfId="54105" xr:uid="{00000000-0005-0000-0000-00005ED30000}"/>
    <cellStyle name="Total 6 2 7" xfId="54106" xr:uid="{00000000-0005-0000-0000-00005FD30000}"/>
    <cellStyle name="Total 6 2 7 2" xfId="54107" xr:uid="{00000000-0005-0000-0000-000060D30000}"/>
    <cellStyle name="Total 6 2 7 3" xfId="54108" xr:uid="{00000000-0005-0000-0000-000061D30000}"/>
    <cellStyle name="Total 6 2 8" xfId="54109" xr:uid="{00000000-0005-0000-0000-000062D30000}"/>
    <cellStyle name="Total 6 2 9" xfId="54110" xr:uid="{00000000-0005-0000-0000-000063D30000}"/>
    <cellStyle name="Total 6 3" xfId="54111" xr:uid="{00000000-0005-0000-0000-000064D30000}"/>
    <cellStyle name="Total 6 3 2" xfId="54112" xr:uid="{00000000-0005-0000-0000-000065D30000}"/>
    <cellStyle name="Total 6 3 2 2" xfId="54113" xr:uid="{00000000-0005-0000-0000-000066D30000}"/>
    <cellStyle name="Total 6 3 2 2 2" xfId="54114" xr:uid="{00000000-0005-0000-0000-000067D30000}"/>
    <cellStyle name="Total 6 3 2 2 3" xfId="54115" xr:uid="{00000000-0005-0000-0000-000068D30000}"/>
    <cellStyle name="Total 6 3 2 3" xfId="54116" xr:uid="{00000000-0005-0000-0000-000069D30000}"/>
    <cellStyle name="Total 6 3 2 3 2" xfId="54117" xr:uid="{00000000-0005-0000-0000-00006AD30000}"/>
    <cellStyle name="Total 6 3 2 3 3" xfId="54118" xr:uid="{00000000-0005-0000-0000-00006BD30000}"/>
    <cellStyle name="Total 6 3 2 4" xfId="54119" xr:uid="{00000000-0005-0000-0000-00006CD30000}"/>
    <cellStyle name="Total 6 3 2 5" xfId="54120" xr:uid="{00000000-0005-0000-0000-00006DD30000}"/>
    <cellStyle name="Total 6 3 2 6" xfId="54121" xr:uid="{00000000-0005-0000-0000-00006ED30000}"/>
    <cellStyle name="Total 6 3 3" xfId="54122" xr:uid="{00000000-0005-0000-0000-00006FD30000}"/>
    <cellStyle name="Total 6 3 3 2" xfId="54123" xr:uid="{00000000-0005-0000-0000-000070D30000}"/>
    <cellStyle name="Total 6 3 3 3" xfId="54124" xr:uid="{00000000-0005-0000-0000-000071D30000}"/>
    <cellStyle name="Total 6 3 4" xfId="54125" xr:uid="{00000000-0005-0000-0000-000072D30000}"/>
    <cellStyle name="Total 6 3 4 2" xfId="54126" xr:uid="{00000000-0005-0000-0000-000073D30000}"/>
    <cellStyle name="Total 6 3 4 3" xfId="54127" xr:uid="{00000000-0005-0000-0000-000074D30000}"/>
    <cellStyle name="Total 6 3 5" xfId="54128" xr:uid="{00000000-0005-0000-0000-000075D30000}"/>
    <cellStyle name="Total 6 3 5 2" xfId="54129" xr:uid="{00000000-0005-0000-0000-000076D30000}"/>
    <cellStyle name="Total 6 3 5 3" xfId="54130" xr:uid="{00000000-0005-0000-0000-000077D30000}"/>
    <cellStyle name="Total 6 3 6" xfId="54131" xr:uid="{00000000-0005-0000-0000-000078D30000}"/>
    <cellStyle name="Total 6 3 7" xfId="54132" xr:uid="{00000000-0005-0000-0000-000079D30000}"/>
    <cellStyle name="Total 6 3 8" xfId="54133" xr:uid="{00000000-0005-0000-0000-00007AD30000}"/>
    <cellStyle name="Total 6 4" xfId="54134" xr:uid="{00000000-0005-0000-0000-00007BD30000}"/>
    <cellStyle name="Total 6 4 2" xfId="54135" xr:uid="{00000000-0005-0000-0000-00007CD30000}"/>
    <cellStyle name="Total 6 4 2 2" xfId="54136" xr:uid="{00000000-0005-0000-0000-00007DD30000}"/>
    <cellStyle name="Total 6 4 2 2 2" xfId="54137" xr:uid="{00000000-0005-0000-0000-00007ED30000}"/>
    <cellStyle name="Total 6 4 2 2 3" xfId="54138" xr:uid="{00000000-0005-0000-0000-00007FD30000}"/>
    <cellStyle name="Total 6 4 2 3" xfId="54139" xr:uid="{00000000-0005-0000-0000-000080D30000}"/>
    <cellStyle name="Total 6 4 2 3 2" xfId="54140" xr:uid="{00000000-0005-0000-0000-000081D30000}"/>
    <cellStyle name="Total 6 4 2 3 3" xfId="54141" xr:uid="{00000000-0005-0000-0000-000082D30000}"/>
    <cellStyle name="Total 6 4 2 4" xfId="54142" xr:uid="{00000000-0005-0000-0000-000083D30000}"/>
    <cellStyle name="Total 6 4 2 5" xfId="54143" xr:uid="{00000000-0005-0000-0000-000084D30000}"/>
    <cellStyle name="Total 6 4 2 6" xfId="54144" xr:uid="{00000000-0005-0000-0000-000085D30000}"/>
    <cellStyle name="Total 6 4 3" xfId="54145" xr:uid="{00000000-0005-0000-0000-000086D30000}"/>
    <cellStyle name="Total 6 4 3 2" xfId="54146" xr:uid="{00000000-0005-0000-0000-000087D30000}"/>
    <cellStyle name="Total 6 4 3 3" xfId="54147" xr:uid="{00000000-0005-0000-0000-000088D30000}"/>
    <cellStyle name="Total 6 4 4" xfId="54148" xr:uid="{00000000-0005-0000-0000-000089D30000}"/>
    <cellStyle name="Total 6 4 4 2" xfId="54149" xr:uid="{00000000-0005-0000-0000-00008AD30000}"/>
    <cellStyle name="Total 6 4 4 3" xfId="54150" xr:uid="{00000000-0005-0000-0000-00008BD30000}"/>
    <cellStyle name="Total 6 4 5" xfId="54151" xr:uid="{00000000-0005-0000-0000-00008CD30000}"/>
    <cellStyle name="Total 6 4 5 2" xfId="54152" xr:uid="{00000000-0005-0000-0000-00008DD30000}"/>
    <cellStyle name="Total 6 4 5 3" xfId="54153" xr:uid="{00000000-0005-0000-0000-00008ED30000}"/>
    <cellStyle name="Total 6 4 6" xfId="54154" xr:uid="{00000000-0005-0000-0000-00008FD30000}"/>
    <cellStyle name="Total 6 4 7" xfId="54155" xr:uid="{00000000-0005-0000-0000-000090D30000}"/>
    <cellStyle name="Total 6 4 8" xfId="54156" xr:uid="{00000000-0005-0000-0000-000091D30000}"/>
    <cellStyle name="Total 6 5" xfId="54157" xr:uid="{00000000-0005-0000-0000-000092D30000}"/>
    <cellStyle name="Total 6 5 2" xfId="54158" xr:uid="{00000000-0005-0000-0000-000093D30000}"/>
    <cellStyle name="Total 6 5 2 2" xfId="54159" xr:uid="{00000000-0005-0000-0000-000094D30000}"/>
    <cellStyle name="Total 6 5 2 2 2" xfId="54160" xr:uid="{00000000-0005-0000-0000-000095D30000}"/>
    <cellStyle name="Total 6 5 2 2 3" xfId="54161" xr:uid="{00000000-0005-0000-0000-000096D30000}"/>
    <cellStyle name="Total 6 5 2 3" xfId="54162" xr:uid="{00000000-0005-0000-0000-000097D30000}"/>
    <cellStyle name="Total 6 5 2 3 2" xfId="54163" xr:uid="{00000000-0005-0000-0000-000098D30000}"/>
    <cellStyle name="Total 6 5 2 3 3" xfId="54164" xr:uid="{00000000-0005-0000-0000-000099D30000}"/>
    <cellStyle name="Total 6 5 2 4" xfId="54165" xr:uid="{00000000-0005-0000-0000-00009AD30000}"/>
    <cellStyle name="Total 6 5 2 5" xfId="54166" xr:uid="{00000000-0005-0000-0000-00009BD30000}"/>
    <cellStyle name="Total 6 5 2 6" xfId="54167" xr:uid="{00000000-0005-0000-0000-00009CD30000}"/>
    <cellStyle name="Total 6 5 3" xfId="54168" xr:uid="{00000000-0005-0000-0000-00009DD30000}"/>
    <cellStyle name="Total 6 5 3 2" xfId="54169" xr:uid="{00000000-0005-0000-0000-00009ED30000}"/>
    <cellStyle name="Total 6 5 3 3" xfId="54170" xr:uid="{00000000-0005-0000-0000-00009FD30000}"/>
    <cellStyle name="Total 6 5 4" xfId="54171" xr:uid="{00000000-0005-0000-0000-0000A0D30000}"/>
    <cellStyle name="Total 6 5 4 2" xfId="54172" xr:uid="{00000000-0005-0000-0000-0000A1D30000}"/>
    <cellStyle name="Total 6 5 4 3" xfId="54173" xr:uid="{00000000-0005-0000-0000-0000A2D30000}"/>
    <cellStyle name="Total 6 5 5" xfId="54174" xr:uid="{00000000-0005-0000-0000-0000A3D30000}"/>
    <cellStyle name="Total 6 5 5 2" xfId="54175" xr:uid="{00000000-0005-0000-0000-0000A4D30000}"/>
    <cellStyle name="Total 6 5 5 3" xfId="54176" xr:uid="{00000000-0005-0000-0000-0000A5D30000}"/>
    <cellStyle name="Total 6 5 6" xfId="54177" xr:uid="{00000000-0005-0000-0000-0000A6D30000}"/>
    <cellStyle name="Total 6 5 7" xfId="54178" xr:uid="{00000000-0005-0000-0000-0000A7D30000}"/>
    <cellStyle name="Total 6 5 8" xfId="54179" xr:uid="{00000000-0005-0000-0000-0000A8D30000}"/>
    <cellStyle name="Total 6 6" xfId="54180" xr:uid="{00000000-0005-0000-0000-0000A9D30000}"/>
    <cellStyle name="Total 6 6 2" xfId="54181" xr:uid="{00000000-0005-0000-0000-0000AAD30000}"/>
    <cellStyle name="Total 6 6 2 2" xfId="54182" xr:uid="{00000000-0005-0000-0000-0000ABD30000}"/>
    <cellStyle name="Total 6 6 2 3" xfId="54183" xr:uid="{00000000-0005-0000-0000-0000ACD30000}"/>
    <cellStyle name="Total 6 6 3" xfId="54184" xr:uid="{00000000-0005-0000-0000-0000ADD30000}"/>
    <cellStyle name="Total 6 6 3 2" xfId="54185" xr:uid="{00000000-0005-0000-0000-0000AED30000}"/>
    <cellStyle name="Total 6 6 3 3" xfId="54186" xr:uid="{00000000-0005-0000-0000-0000AFD30000}"/>
    <cellStyle name="Total 6 6 4" xfId="54187" xr:uid="{00000000-0005-0000-0000-0000B0D30000}"/>
    <cellStyle name="Total 6 6 5" xfId="54188" xr:uid="{00000000-0005-0000-0000-0000B1D30000}"/>
    <cellStyle name="Total 6 6 6" xfId="54189" xr:uid="{00000000-0005-0000-0000-0000B2D30000}"/>
    <cellStyle name="Total 6 7" xfId="54190" xr:uid="{00000000-0005-0000-0000-0000B3D30000}"/>
    <cellStyle name="Total 6 7 2" xfId="54191" xr:uid="{00000000-0005-0000-0000-0000B4D30000}"/>
    <cellStyle name="Total 6 7 3" xfId="54192" xr:uid="{00000000-0005-0000-0000-0000B5D30000}"/>
    <cellStyle name="Total 6 7 4" xfId="54193" xr:uid="{00000000-0005-0000-0000-0000B6D30000}"/>
    <cellStyle name="Total 6 8" xfId="54194" xr:uid="{00000000-0005-0000-0000-0000B7D30000}"/>
    <cellStyle name="Total 6 8 2" xfId="54195" xr:uid="{00000000-0005-0000-0000-0000B8D30000}"/>
    <cellStyle name="Total 6 8 3" xfId="54196" xr:uid="{00000000-0005-0000-0000-0000B9D30000}"/>
    <cellStyle name="Total 6 9" xfId="54197" xr:uid="{00000000-0005-0000-0000-0000BAD30000}"/>
    <cellStyle name="Total 6 9 2" xfId="54198" xr:uid="{00000000-0005-0000-0000-0000BBD30000}"/>
    <cellStyle name="Total 6 9 3" xfId="54199" xr:uid="{00000000-0005-0000-0000-0000BCD30000}"/>
    <cellStyle name="Total 7" xfId="54200" xr:uid="{00000000-0005-0000-0000-0000BDD30000}"/>
    <cellStyle name="Total 7 10" xfId="54201" xr:uid="{00000000-0005-0000-0000-0000BED30000}"/>
    <cellStyle name="Total 7 11" xfId="54202" xr:uid="{00000000-0005-0000-0000-0000BFD30000}"/>
    <cellStyle name="Total 7 12" xfId="54203" xr:uid="{00000000-0005-0000-0000-0000C0D30000}"/>
    <cellStyle name="Total 7 2" xfId="54204" xr:uid="{00000000-0005-0000-0000-0000C1D30000}"/>
    <cellStyle name="Total 7 2 10" xfId="54205" xr:uid="{00000000-0005-0000-0000-0000C2D30000}"/>
    <cellStyle name="Total 7 2 2" xfId="54206" xr:uid="{00000000-0005-0000-0000-0000C3D30000}"/>
    <cellStyle name="Total 7 2 2 2" xfId="54207" xr:uid="{00000000-0005-0000-0000-0000C4D30000}"/>
    <cellStyle name="Total 7 2 2 2 2" xfId="54208" xr:uid="{00000000-0005-0000-0000-0000C5D30000}"/>
    <cellStyle name="Total 7 2 2 2 2 2" xfId="54209" xr:uid="{00000000-0005-0000-0000-0000C6D30000}"/>
    <cellStyle name="Total 7 2 2 2 2 3" xfId="54210" xr:uid="{00000000-0005-0000-0000-0000C7D30000}"/>
    <cellStyle name="Total 7 2 2 2 3" xfId="54211" xr:uid="{00000000-0005-0000-0000-0000C8D30000}"/>
    <cellStyle name="Total 7 2 2 2 3 2" xfId="54212" xr:uid="{00000000-0005-0000-0000-0000C9D30000}"/>
    <cellStyle name="Total 7 2 2 2 3 3" xfId="54213" xr:uid="{00000000-0005-0000-0000-0000CAD30000}"/>
    <cellStyle name="Total 7 2 2 2 4" xfId="54214" xr:uid="{00000000-0005-0000-0000-0000CBD30000}"/>
    <cellStyle name="Total 7 2 2 2 5" xfId="54215" xr:uid="{00000000-0005-0000-0000-0000CCD30000}"/>
    <cellStyle name="Total 7 2 2 2 6" xfId="54216" xr:uid="{00000000-0005-0000-0000-0000CDD30000}"/>
    <cellStyle name="Total 7 2 2 3" xfId="54217" xr:uid="{00000000-0005-0000-0000-0000CED30000}"/>
    <cellStyle name="Total 7 2 2 3 2" xfId="54218" xr:uid="{00000000-0005-0000-0000-0000CFD30000}"/>
    <cellStyle name="Total 7 2 2 3 3" xfId="54219" xr:uid="{00000000-0005-0000-0000-0000D0D30000}"/>
    <cellStyle name="Total 7 2 2 4" xfId="54220" xr:uid="{00000000-0005-0000-0000-0000D1D30000}"/>
    <cellStyle name="Total 7 2 2 4 2" xfId="54221" xr:uid="{00000000-0005-0000-0000-0000D2D30000}"/>
    <cellStyle name="Total 7 2 2 4 3" xfId="54222" xr:uid="{00000000-0005-0000-0000-0000D3D30000}"/>
    <cellStyle name="Total 7 2 2 5" xfId="54223" xr:uid="{00000000-0005-0000-0000-0000D4D30000}"/>
    <cellStyle name="Total 7 2 2 5 2" xfId="54224" xr:uid="{00000000-0005-0000-0000-0000D5D30000}"/>
    <cellStyle name="Total 7 2 2 5 3" xfId="54225" xr:uid="{00000000-0005-0000-0000-0000D6D30000}"/>
    <cellStyle name="Total 7 2 2 6" xfId="54226" xr:uid="{00000000-0005-0000-0000-0000D7D30000}"/>
    <cellStyle name="Total 7 2 2 7" xfId="54227" xr:uid="{00000000-0005-0000-0000-0000D8D30000}"/>
    <cellStyle name="Total 7 2 2 8" xfId="54228" xr:uid="{00000000-0005-0000-0000-0000D9D30000}"/>
    <cellStyle name="Total 7 2 3" xfId="54229" xr:uid="{00000000-0005-0000-0000-0000DAD30000}"/>
    <cellStyle name="Total 7 2 3 2" xfId="54230" xr:uid="{00000000-0005-0000-0000-0000DBD30000}"/>
    <cellStyle name="Total 7 2 3 2 2" xfId="54231" xr:uid="{00000000-0005-0000-0000-0000DCD30000}"/>
    <cellStyle name="Total 7 2 3 2 2 2" xfId="54232" xr:uid="{00000000-0005-0000-0000-0000DDD30000}"/>
    <cellStyle name="Total 7 2 3 2 2 3" xfId="54233" xr:uid="{00000000-0005-0000-0000-0000DED30000}"/>
    <cellStyle name="Total 7 2 3 2 3" xfId="54234" xr:uid="{00000000-0005-0000-0000-0000DFD30000}"/>
    <cellStyle name="Total 7 2 3 2 3 2" xfId="54235" xr:uid="{00000000-0005-0000-0000-0000E0D30000}"/>
    <cellStyle name="Total 7 2 3 2 3 3" xfId="54236" xr:uid="{00000000-0005-0000-0000-0000E1D30000}"/>
    <cellStyle name="Total 7 2 3 2 4" xfId="54237" xr:uid="{00000000-0005-0000-0000-0000E2D30000}"/>
    <cellStyle name="Total 7 2 3 2 5" xfId="54238" xr:uid="{00000000-0005-0000-0000-0000E3D30000}"/>
    <cellStyle name="Total 7 2 3 2 6" xfId="54239" xr:uid="{00000000-0005-0000-0000-0000E4D30000}"/>
    <cellStyle name="Total 7 2 3 3" xfId="54240" xr:uid="{00000000-0005-0000-0000-0000E5D30000}"/>
    <cellStyle name="Total 7 2 3 3 2" xfId="54241" xr:uid="{00000000-0005-0000-0000-0000E6D30000}"/>
    <cellStyle name="Total 7 2 3 3 3" xfId="54242" xr:uid="{00000000-0005-0000-0000-0000E7D30000}"/>
    <cellStyle name="Total 7 2 3 4" xfId="54243" xr:uid="{00000000-0005-0000-0000-0000E8D30000}"/>
    <cellStyle name="Total 7 2 3 4 2" xfId="54244" xr:uid="{00000000-0005-0000-0000-0000E9D30000}"/>
    <cellStyle name="Total 7 2 3 4 3" xfId="54245" xr:uid="{00000000-0005-0000-0000-0000EAD30000}"/>
    <cellStyle name="Total 7 2 3 5" xfId="54246" xr:uid="{00000000-0005-0000-0000-0000EBD30000}"/>
    <cellStyle name="Total 7 2 3 5 2" xfId="54247" xr:uid="{00000000-0005-0000-0000-0000ECD30000}"/>
    <cellStyle name="Total 7 2 3 5 3" xfId="54248" xr:uid="{00000000-0005-0000-0000-0000EDD30000}"/>
    <cellStyle name="Total 7 2 3 6" xfId="54249" xr:uid="{00000000-0005-0000-0000-0000EED30000}"/>
    <cellStyle name="Total 7 2 3 7" xfId="54250" xr:uid="{00000000-0005-0000-0000-0000EFD30000}"/>
    <cellStyle name="Total 7 2 3 8" xfId="54251" xr:uid="{00000000-0005-0000-0000-0000F0D30000}"/>
    <cellStyle name="Total 7 2 4" xfId="54252" xr:uid="{00000000-0005-0000-0000-0000F1D30000}"/>
    <cellStyle name="Total 7 2 4 2" xfId="54253" xr:uid="{00000000-0005-0000-0000-0000F2D30000}"/>
    <cellStyle name="Total 7 2 4 2 2" xfId="54254" xr:uid="{00000000-0005-0000-0000-0000F3D30000}"/>
    <cellStyle name="Total 7 2 4 2 3" xfId="54255" xr:uid="{00000000-0005-0000-0000-0000F4D30000}"/>
    <cellStyle name="Total 7 2 4 3" xfId="54256" xr:uid="{00000000-0005-0000-0000-0000F5D30000}"/>
    <cellStyle name="Total 7 2 4 3 2" xfId="54257" xr:uid="{00000000-0005-0000-0000-0000F6D30000}"/>
    <cellStyle name="Total 7 2 4 3 3" xfId="54258" xr:uid="{00000000-0005-0000-0000-0000F7D30000}"/>
    <cellStyle name="Total 7 2 4 4" xfId="54259" xr:uid="{00000000-0005-0000-0000-0000F8D30000}"/>
    <cellStyle name="Total 7 2 4 5" xfId="54260" xr:uid="{00000000-0005-0000-0000-0000F9D30000}"/>
    <cellStyle name="Total 7 2 4 6" xfId="54261" xr:uid="{00000000-0005-0000-0000-0000FAD30000}"/>
    <cellStyle name="Total 7 2 5" xfId="54262" xr:uid="{00000000-0005-0000-0000-0000FBD30000}"/>
    <cellStyle name="Total 7 2 5 2" xfId="54263" xr:uid="{00000000-0005-0000-0000-0000FCD30000}"/>
    <cellStyle name="Total 7 2 5 3" xfId="54264" xr:uid="{00000000-0005-0000-0000-0000FDD30000}"/>
    <cellStyle name="Total 7 2 6" xfId="54265" xr:uid="{00000000-0005-0000-0000-0000FED30000}"/>
    <cellStyle name="Total 7 2 6 2" xfId="54266" xr:uid="{00000000-0005-0000-0000-0000FFD30000}"/>
    <cellStyle name="Total 7 2 6 3" xfId="54267" xr:uid="{00000000-0005-0000-0000-000000D40000}"/>
    <cellStyle name="Total 7 2 7" xfId="54268" xr:uid="{00000000-0005-0000-0000-000001D40000}"/>
    <cellStyle name="Total 7 2 7 2" xfId="54269" xr:uid="{00000000-0005-0000-0000-000002D40000}"/>
    <cellStyle name="Total 7 2 7 3" xfId="54270" xr:uid="{00000000-0005-0000-0000-000003D40000}"/>
    <cellStyle name="Total 7 2 8" xfId="54271" xr:uid="{00000000-0005-0000-0000-000004D40000}"/>
    <cellStyle name="Total 7 2 9" xfId="54272" xr:uid="{00000000-0005-0000-0000-000005D40000}"/>
    <cellStyle name="Total 7 3" xfId="54273" xr:uid="{00000000-0005-0000-0000-000006D40000}"/>
    <cellStyle name="Total 7 3 2" xfId="54274" xr:uid="{00000000-0005-0000-0000-000007D40000}"/>
    <cellStyle name="Total 7 3 2 2" xfId="54275" xr:uid="{00000000-0005-0000-0000-000008D40000}"/>
    <cellStyle name="Total 7 3 2 2 2" xfId="54276" xr:uid="{00000000-0005-0000-0000-000009D40000}"/>
    <cellStyle name="Total 7 3 2 2 3" xfId="54277" xr:uid="{00000000-0005-0000-0000-00000AD40000}"/>
    <cellStyle name="Total 7 3 2 3" xfId="54278" xr:uid="{00000000-0005-0000-0000-00000BD40000}"/>
    <cellStyle name="Total 7 3 2 3 2" xfId="54279" xr:uid="{00000000-0005-0000-0000-00000CD40000}"/>
    <cellStyle name="Total 7 3 2 3 3" xfId="54280" xr:uid="{00000000-0005-0000-0000-00000DD40000}"/>
    <cellStyle name="Total 7 3 2 4" xfId="54281" xr:uid="{00000000-0005-0000-0000-00000ED40000}"/>
    <cellStyle name="Total 7 3 2 5" xfId="54282" xr:uid="{00000000-0005-0000-0000-00000FD40000}"/>
    <cellStyle name="Total 7 3 2 6" xfId="54283" xr:uid="{00000000-0005-0000-0000-000010D40000}"/>
    <cellStyle name="Total 7 3 3" xfId="54284" xr:uid="{00000000-0005-0000-0000-000011D40000}"/>
    <cellStyle name="Total 7 3 3 2" xfId="54285" xr:uid="{00000000-0005-0000-0000-000012D40000}"/>
    <cellStyle name="Total 7 3 3 3" xfId="54286" xr:uid="{00000000-0005-0000-0000-000013D40000}"/>
    <cellStyle name="Total 7 3 4" xfId="54287" xr:uid="{00000000-0005-0000-0000-000014D40000}"/>
    <cellStyle name="Total 7 3 4 2" xfId="54288" xr:uid="{00000000-0005-0000-0000-000015D40000}"/>
    <cellStyle name="Total 7 3 4 3" xfId="54289" xr:uid="{00000000-0005-0000-0000-000016D40000}"/>
    <cellStyle name="Total 7 3 5" xfId="54290" xr:uid="{00000000-0005-0000-0000-000017D40000}"/>
    <cellStyle name="Total 7 3 5 2" xfId="54291" xr:uid="{00000000-0005-0000-0000-000018D40000}"/>
    <cellStyle name="Total 7 3 5 3" xfId="54292" xr:uid="{00000000-0005-0000-0000-000019D40000}"/>
    <cellStyle name="Total 7 3 6" xfId="54293" xr:uid="{00000000-0005-0000-0000-00001AD40000}"/>
    <cellStyle name="Total 7 3 7" xfId="54294" xr:uid="{00000000-0005-0000-0000-00001BD40000}"/>
    <cellStyle name="Total 7 3 8" xfId="54295" xr:uid="{00000000-0005-0000-0000-00001CD40000}"/>
    <cellStyle name="Total 7 4" xfId="54296" xr:uid="{00000000-0005-0000-0000-00001DD40000}"/>
    <cellStyle name="Total 7 4 2" xfId="54297" xr:uid="{00000000-0005-0000-0000-00001ED40000}"/>
    <cellStyle name="Total 7 4 2 2" xfId="54298" xr:uid="{00000000-0005-0000-0000-00001FD40000}"/>
    <cellStyle name="Total 7 4 2 2 2" xfId="54299" xr:uid="{00000000-0005-0000-0000-000020D40000}"/>
    <cellStyle name="Total 7 4 2 2 3" xfId="54300" xr:uid="{00000000-0005-0000-0000-000021D40000}"/>
    <cellStyle name="Total 7 4 2 3" xfId="54301" xr:uid="{00000000-0005-0000-0000-000022D40000}"/>
    <cellStyle name="Total 7 4 2 3 2" xfId="54302" xr:uid="{00000000-0005-0000-0000-000023D40000}"/>
    <cellStyle name="Total 7 4 2 3 3" xfId="54303" xr:uid="{00000000-0005-0000-0000-000024D40000}"/>
    <cellStyle name="Total 7 4 2 4" xfId="54304" xr:uid="{00000000-0005-0000-0000-000025D40000}"/>
    <cellStyle name="Total 7 4 2 5" xfId="54305" xr:uid="{00000000-0005-0000-0000-000026D40000}"/>
    <cellStyle name="Total 7 4 2 6" xfId="54306" xr:uid="{00000000-0005-0000-0000-000027D40000}"/>
    <cellStyle name="Total 7 4 3" xfId="54307" xr:uid="{00000000-0005-0000-0000-000028D40000}"/>
    <cellStyle name="Total 7 4 3 2" xfId="54308" xr:uid="{00000000-0005-0000-0000-000029D40000}"/>
    <cellStyle name="Total 7 4 3 3" xfId="54309" xr:uid="{00000000-0005-0000-0000-00002AD40000}"/>
    <cellStyle name="Total 7 4 4" xfId="54310" xr:uid="{00000000-0005-0000-0000-00002BD40000}"/>
    <cellStyle name="Total 7 4 4 2" xfId="54311" xr:uid="{00000000-0005-0000-0000-00002CD40000}"/>
    <cellStyle name="Total 7 4 4 3" xfId="54312" xr:uid="{00000000-0005-0000-0000-00002DD40000}"/>
    <cellStyle name="Total 7 4 5" xfId="54313" xr:uid="{00000000-0005-0000-0000-00002ED40000}"/>
    <cellStyle name="Total 7 4 5 2" xfId="54314" xr:uid="{00000000-0005-0000-0000-00002FD40000}"/>
    <cellStyle name="Total 7 4 5 3" xfId="54315" xr:uid="{00000000-0005-0000-0000-000030D40000}"/>
    <cellStyle name="Total 7 4 6" xfId="54316" xr:uid="{00000000-0005-0000-0000-000031D40000}"/>
    <cellStyle name="Total 7 4 7" xfId="54317" xr:uid="{00000000-0005-0000-0000-000032D40000}"/>
    <cellStyle name="Total 7 4 8" xfId="54318" xr:uid="{00000000-0005-0000-0000-000033D40000}"/>
    <cellStyle name="Total 7 5" xfId="54319" xr:uid="{00000000-0005-0000-0000-000034D40000}"/>
    <cellStyle name="Total 7 5 2" xfId="54320" xr:uid="{00000000-0005-0000-0000-000035D40000}"/>
    <cellStyle name="Total 7 5 2 2" xfId="54321" xr:uid="{00000000-0005-0000-0000-000036D40000}"/>
    <cellStyle name="Total 7 5 2 2 2" xfId="54322" xr:uid="{00000000-0005-0000-0000-000037D40000}"/>
    <cellStyle name="Total 7 5 2 2 3" xfId="54323" xr:uid="{00000000-0005-0000-0000-000038D40000}"/>
    <cellStyle name="Total 7 5 2 3" xfId="54324" xr:uid="{00000000-0005-0000-0000-000039D40000}"/>
    <cellStyle name="Total 7 5 2 3 2" xfId="54325" xr:uid="{00000000-0005-0000-0000-00003AD40000}"/>
    <cellStyle name="Total 7 5 2 3 3" xfId="54326" xr:uid="{00000000-0005-0000-0000-00003BD40000}"/>
    <cellStyle name="Total 7 5 2 4" xfId="54327" xr:uid="{00000000-0005-0000-0000-00003CD40000}"/>
    <cellStyle name="Total 7 5 2 5" xfId="54328" xr:uid="{00000000-0005-0000-0000-00003DD40000}"/>
    <cellStyle name="Total 7 5 2 6" xfId="54329" xr:uid="{00000000-0005-0000-0000-00003ED40000}"/>
    <cellStyle name="Total 7 5 3" xfId="54330" xr:uid="{00000000-0005-0000-0000-00003FD40000}"/>
    <cellStyle name="Total 7 5 3 2" xfId="54331" xr:uid="{00000000-0005-0000-0000-000040D40000}"/>
    <cellStyle name="Total 7 5 3 3" xfId="54332" xr:uid="{00000000-0005-0000-0000-000041D40000}"/>
    <cellStyle name="Total 7 5 4" xfId="54333" xr:uid="{00000000-0005-0000-0000-000042D40000}"/>
    <cellStyle name="Total 7 5 4 2" xfId="54334" xr:uid="{00000000-0005-0000-0000-000043D40000}"/>
    <cellStyle name="Total 7 5 4 3" xfId="54335" xr:uid="{00000000-0005-0000-0000-000044D40000}"/>
    <cellStyle name="Total 7 5 5" xfId="54336" xr:uid="{00000000-0005-0000-0000-000045D40000}"/>
    <cellStyle name="Total 7 5 5 2" xfId="54337" xr:uid="{00000000-0005-0000-0000-000046D40000}"/>
    <cellStyle name="Total 7 5 5 3" xfId="54338" xr:uid="{00000000-0005-0000-0000-000047D40000}"/>
    <cellStyle name="Total 7 5 6" xfId="54339" xr:uid="{00000000-0005-0000-0000-000048D40000}"/>
    <cellStyle name="Total 7 5 7" xfId="54340" xr:uid="{00000000-0005-0000-0000-000049D40000}"/>
    <cellStyle name="Total 7 5 8" xfId="54341" xr:uid="{00000000-0005-0000-0000-00004AD40000}"/>
    <cellStyle name="Total 7 6" xfId="54342" xr:uid="{00000000-0005-0000-0000-00004BD40000}"/>
    <cellStyle name="Total 7 6 2" xfId="54343" xr:uid="{00000000-0005-0000-0000-00004CD40000}"/>
    <cellStyle name="Total 7 6 2 2" xfId="54344" xr:uid="{00000000-0005-0000-0000-00004DD40000}"/>
    <cellStyle name="Total 7 6 2 3" xfId="54345" xr:uid="{00000000-0005-0000-0000-00004ED40000}"/>
    <cellStyle name="Total 7 6 3" xfId="54346" xr:uid="{00000000-0005-0000-0000-00004FD40000}"/>
    <cellStyle name="Total 7 6 3 2" xfId="54347" xr:uid="{00000000-0005-0000-0000-000050D40000}"/>
    <cellStyle name="Total 7 6 3 3" xfId="54348" xr:uid="{00000000-0005-0000-0000-000051D40000}"/>
    <cellStyle name="Total 7 6 4" xfId="54349" xr:uid="{00000000-0005-0000-0000-000052D40000}"/>
    <cellStyle name="Total 7 6 5" xfId="54350" xr:uid="{00000000-0005-0000-0000-000053D40000}"/>
    <cellStyle name="Total 7 6 6" xfId="54351" xr:uid="{00000000-0005-0000-0000-000054D40000}"/>
    <cellStyle name="Total 7 7" xfId="54352" xr:uid="{00000000-0005-0000-0000-000055D40000}"/>
    <cellStyle name="Total 7 7 2" xfId="54353" xr:uid="{00000000-0005-0000-0000-000056D40000}"/>
    <cellStyle name="Total 7 7 3" xfId="54354" xr:uid="{00000000-0005-0000-0000-000057D40000}"/>
    <cellStyle name="Total 7 7 4" xfId="54355" xr:uid="{00000000-0005-0000-0000-000058D40000}"/>
    <cellStyle name="Total 7 8" xfId="54356" xr:uid="{00000000-0005-0000-0000-000059D40000}"/>
    <cellStyle name="Total 7 8 2" xfId="54357" xr:uid="{00000000-0005-0000-0000-00005AD40000}"/>
    <cellStyle name="Total 7 8 3" xfId="54358" xr:uid="{00000000-0005-0000-0000-00005BD40000}"/>
    <cellStyle name="Total 7 9" xfId="54359" xr:uid="{00000000-0005-0000-0000-00005CD40000}"/>
    <cellStyle name="Total 7 9 2" xfId="54360" xr:uid="{00000000-0005-0000-0000-00005DD40000}"/>
    <cellStyle name="Total 7 9 3" xfId="54361" xr:uid="{00000000-0005-0000-0000-00005ED40000}"/>
    <cellStyle name="Total 8" xfId="54362" xr:uid="{00000000-0005-0000-0000-00005FD40000}"/>
    <cellStyle name="Total 8 10" xfId="54363" xr:uid="{00000000-0005-0000-0000-000060D40000}"/>
    <cellStyle name="Total 8 11" xfId="54364" xr:uid="{00000000-0005-0000-0000-000061D40000}"/>
    <cellStyle name="Total 8 12" xfId="54365" xr:uid="{00000000-0005-0000-0000-000062D40000}"/>
    <cellStyle name="Total 8 2" xfId="54366" xr:uid="{00000000-0005-0000-0000-000063D40000}"/>
    <cellStyle name="Total 8 2 10" xfId="54367" xr:uid="{00000000-0005-0000-0000-000064D40000}"/>
    <cellStyle name="Total 8 2 2" xfId="54368" xr:uid="{00000000-0005-0000-0000-000065D40000}"/>
    <cellStyle name="Total 8 2 2 2" xfId="54369" xr:uid="{00000000-0005-0000-0000-000066D40000}"/>
    <cellStyle name="Total 8 2 2 2 2" xfId="54370" xr:uid="{00000000-0005-0000-0000-000067D40000}"/>
    <cellStyle name="Total 8 2 2 2 2 2" xfId="54371" xr:uid="{00000000-0005-0000-0000-000068D40000}"/>
    <cellStyle name="Total 8 2 2 2 2 3" xfId="54372" xr:uid="{00000000-0005-0000-0000-000069D40000}"/>
    <cellStyle name="Total 8 2 2 2 3" xfId="54373" xr:uid="{00000000-0005-0000-0000-00006AD40000}"/>
    <cellStyle name="Total 8 2 2 2 3 2" xfId="54374" xr:uid="{00000000-0005-0000-0000-00006BD40000}"/>
    <cellStyle name="Total 8 2 2 2 3 3" xfId="54375" xr:uid="{00000000-0005-0000-0000-00006CD40000}"/>
    <cellStyle name="Total 8 2 2 2 4" xfId="54376" xr:uid="{00000000-0005-0000-0000-00006DD40000}"/>
    <cellStyle name="Total 8 2 2 2 5" xfId="54377" xr:uid="{00000000-0005-0000-0000-00006ED40000}"/>
    <cellStyle name="Total 8 2 2 2 6" xfId="54378" xr:uid="{00000000-0005-0000-0000-00006FD40000}"/>
    <cellStyle name="Total 8 2 2 3" xfId="54379" xr:uid="{00000000-0005-0000-0000-000070D40000}"/>
    <cellStyle name="Total 8 2 2 3 2" xfId="54380" xr:uid="{00000000-0005-0000-0000-000071D40000}"/>
    <cellStyle name="Total 8 2 2 3 3" xfId="54381" xr:uid="{00000000-0005-0000-0000-000072D40000}"/>
    <cellStyle name="Total 8 2 2 4" xfId="54382" xr:uid="{00000000-0005-0000-0000-000073D40000}"/>
    <cellStyle name="Total 8 2 2 4 2" xfId="54383" xr:uid="{00000000-0005-0000-0000-000074D40000}"/>
    <cellStyle name="Total 8 2 2 4 3" xfId="54384" xr:uid="{00000000-0005-0000-0000-000075D40000}"/>
    <cellStyle name="Total 8 2 2 5" xfId="54385" xr:uid="{00000000-0005-0000-0000-000076D40000}"/>
    <cellStyle name="Total 8 2 2 5 2" xfId="54386" xr:uid="{00000000-0005-0000-0000-000077D40000}"/>
    <cellStyle name="Total 8 2 2 5 3" xfId="54387" xr:uid="{00000000-0005-0000-0000-000078D40000}"/>
    <cellStyle name="Total 8 2 2 6" xfId="54388" xr:uid="{00000000-0005-0000-0000-000079D40000}"/>
    <cellStyle name="Total 8 2 2 7" xfId="54389" xr:uid="{00000000-0005-0000-0000-00007AD40000}"/>
    <cellStyle name="Total 8 2 2 8" xfId="54390" xr:uid="{00000000-0005-0000-0000-00007BD40000}"/>
    <cellStyle name="Total 8 2 3" xfId="54391" xr:uid="{00000000-0005-0000-0000-00007CD40000}"/>
    <cellStyle name="Total 8 2 3 2" xfId="54392" xr:uid="{00000000-0005-0000-0000-00007DD40000}"/>
    <cellStyle name="Total 8 2 3 2 2" xfId="54393" xr:uid="{00000000-0005-0000-0000-00007ED40000}"/>
    <cellStyle name="Total 8 2 3 2 2 2" xfId="54394" xr:uid="{00000000-0005-0000-0000-00007FD40000}"/>
    <cellStyle name="Total 8 2 3 2 2 3" xfId="54395" xr:uid="{00000000-0005-0000-0000-000080D40000}"/>
    <cellStyle name="Total 8 2 3 2 3" xfId="54396" xr:uid="{00000000-0005-0000-0000-000081D40000}"/>
    <cellStyle name="Total 8 2 3 2 3 2" xfId="54397" xr:uid="{00000000-0005-0000-0000-000082D40000}"/>
    <cellStyle name="Total 8 2 3 2 3 3" xfId="54398" xr:uid="{00000000-0005-0000-0000-000083D40000}"/>
    <cellStyle name="Total 8 2 3 2 4" xfId="54399" xr:uid="{00000000-0005-0000-0000-000084D40000}"/>
    <cellStyle name="Total 8 2 3 2 5" xfId="54400" xr:uid="{00000000-0005-0000-0000-000085D40000}"/>
    <cellStyle name="Total 8 2 3 2 6" xfId="54401" xr:uid="{00000000-0005-0000-0000-000086D40000}"/>
    <cellStyle name="Total 8 2 3 3" xfId="54402" xr:uid="{00000000-0005-0000-0000-000087D40000}"/>
    <cellStyle name="Total 8 2 3 3 2" xfId="54403" xr:uid="{00000000-0005-0000-0000-000088D40000}"/>
    <cellStyle name="Total 8 2 3 3 3" xfId="54404" xr:uid="{00000000-0005-0000-0000-000089D40000}"/>
    <cellStyle name="Total 8 2 3 4" xfId="54405" xr:uid="{00000000-0005-0000-0000-00008AD40000}"/>
    <cellStyle name="Total 8 2 3 4 2" xfId="54406" xr:uid="{00000000-0005-0000-0000-00008BD40000}"/>
    <cellStyle name="Total 8 2 3 4 3" xfId="54407" xr:uid="{00000000-0005-0000-0000-00008CD40000}"/>
    <cellStyle name="Total 8 2 3 5" xfId="54408" xr:uid="{00000000-0005-0000-0000-00008DD40000}"/>
    <cellStyle name="Total 8 2 3 5 2" xfId="54409" xr:uid="{00000000-0005-0000-0000-00008ED40000}"/>
    <cellStyle name="Total 8 2 3 5 3" xfId="54410" xr:uid="{00000000-0005-0000-0000-00008FD40000}"/>
    <cellStyle name="Total 8 2 3 6" xfId="54411" xr:uid="{00000000-0005-0000-0000-000090D40000}"/>
    <cellStyle name="Total 8 2 3 7" xfId="54412" xr:uid="{00000000-0005-0000-0000-000091D40000}"/>
    <cellStyle name="Total 8 2 3 8" xfId="54413" xr:uid="{00000000-0005-0000-0000-000092D40000}"/>
    <cellStyle name="Total 8 2 4" xfId="54414" xr:uid="{00000000-0005-0000-0000-000093D40000}"/>
    <cellStyle name="Total 8 2 4 2" xfId="54415" xr:uid="{00000000-0005-0000-0000-000094D40000}"/>
    <cellStyle name="Total 8 2 4 2 2" xfId="54416" xr:uid="{00000000-0005-0000-0000-000095D40000}"/>
    <cellStyle name="Total 8 2 4 2 3" xfId="54417" xr:uid="{00000000-0005-0000-0000-000096D40000}"/>
    <cellStyle name="Total 8 2 4 3" xfId="54418" xr:uid="{00000000-0005-0000-0000-000097D40000}"/>
    <cellStyle name="Total 8 2 4 3 2" xfId="54419" xr:uid="{00000000-0005-0000-0000-000098D40000}"/>
    <cellStyle name="Total 8 2 4 3 3" xfId="54420" xr:uid="{00000000-0005-0000-0000-000099D40000}"/>
    <cellStyle name="Total 8 2 4 4" xfId="54421" xr:uid="{00000000-0005-0000-0000-00009AD40000}"/>
    <cellStyle name="Total 8 2 4 5" xfId="54422" xr:uid="{00000000-0005-0000-0000-00009BD40000}"/>
    <cellStyle name="Total 8 2 4 6" xfId="54423" xr:uid="{00000000-0005-0000-0000-00009CD40000}"/>
    <cellStyle name="Total 8 2 5" xfId="54424" xr:uid="{00000000-0005-0000-0000-00009DD40000}"/>
    <cellStyle name="Total 8 2 5 2" xfId="54425" xr:uid="{00000000-0005-0000-0000-00009ED40000}"/>
    <cellStyle name="Total 8 2 5 3" xfId="54426" xr:uid="{00000000-0005-0000-0000-00009FD40000}"/>
    <cellStyle name="Total 8 2 6" xfId="54427" xr:uid="{00000000-0005-0000-0000-0000A0D40000}"/>
    <cellStyle name="Total 8 2 6 2" xfId="54428" xr:uid="{00000000-0005-0000-0000-0000A1D40000}"/>
    <cellStyle name="Total 8 2 6 3" xfId="54429" xr:uid="{00000000-0005-0000-0000-0000A2D40000}"/>
    <cellStyle name="Total 8 2 7" xfId="54430" xr:uid="{00000000-0005-0000-0000-0000A3D40000}"/>
    <cellStyle name="Total 8 2 7 2" xfId="54431" xr:uid="{00000000-0005-0000-0000-0000A4D40000}"/>
    <cellStyle name="Total 8 2 7 3" xfId="54432" xr:uid="{00000000-0005-0000-0000-0000A5D40000}"/>
    <cellStyle name="Total 8 2 8" xfId="54433" xr:uid="{00000000-0005-0000-0000-0000A6D40000}"/>
    <cellStyle name="Total 8 2 9" xfId="54434" xr:uid="{00000000-0005-0000-0000-0000A7D40000}"/>
    <cellStyle name="Total 8 3" xfId="54435" xr:uid="{00000000-0005-0000-0000-0000A8D40000}"/>
    <cellStyle name="Total 8 3 2" xfId="54436" xr:uid="{00000000-0005-0000-0000-0000A9D40000}"/>
    <cellStyle name="Total 8 3 2 2" xfId="54437" xr:uid="{00000000-0005-0000-0000-0000AAD40000}"/>
    <cellStyle name="Total 8 3 2 2 2" xfId="54438" xr:uid="{00000000-0005-0000-0000-0000ABD40000}"/>
    <cellStyle name="Total 8 3 2 2 3" xfId="54439" xr:uid="{00000000-0005-0000-0000-0000ACD40000}"/>
    <cellStyle name="Total 8 3 2 3" xfId="54440" xr:uid="{00000000-0005-0000-0000-0000ADD40000}"/>
    <cellStyle name="Total 8 3 2 3 2" xfId="54441" xr:uid="{00000000-0005-0000-0000-0000AED40000}"/>
    <cellStyle name="Total 8 3 2 3 3" xfId="54442" xr:uid="{00000000-0005-0000-0000-0000AFD40000}"/>
    <cellStyle name="Total 8 3 2 4" xfId="54443" xr:uid="{00000000-0005-0000-0000-0000B0D40000}"/>
    <cellStyle name="Total 8 3 2 5" xfId="54444" xr:uid="{00000000-0005-0000-0000-0000B1D40000}"/>
    <cellStyle name="Total 8 3 2 6" xfId="54445" xr:uid="{00000000-0005-0000-0000-0000B2D40000}"/>
    <cellStyle name="Total 8 3 3" xfId="54446" xr:uid="{00000000-0005-0000-0000-0000B3D40000}"/>
    <cellStyle name="Total 8 3 3 2" xfId="54447" xr:uid="{00000000-0005-0000-0000-0000B4D40000}"/>
    <cellStyle name="Total 8 3 3 3" xfId="54448" xr:uid="{00000000-0005-0000-0000-0000B5D40000}"/>
    <cellStyle name="Total 8 3 4" xfId="54449" xr:uid="{00000000-0005-0000-0000-0000B6D40000}"/>
    <cellStyle name="Total 8 3 4 2" xfId="54450" xr:uid="{00000000-0005-0000-0000-0000B7D40000}"/>
    <cellStyle name="Total 8 3 4 3" xfId="54451" xr:uid="{00000000-0005-0000-0000-0000B8D40000}"/>
    <cellStyle name="Total 8 3 5" xfId="54452" xr:uid="{00000000-0005-0000-0000-0000B9D40000}"/>
    <cellStyle name="Total 8 3 5 2" xfId="54453" xr:uid="{00000000-0005-0000-0000-0000BAD40000}"/>
    <cellStyle name="Total 8 3 5 3" xfId="54454" xr:uid="{00000000-0005-0000-0000-0000BBD40000}"/>
    <cellStyle name="Total 8 3 6" xfId="54455" xr:uid="{00000000-0005-0000-0000-0000BCD40000}"/>
    <cellStyle name="Total 8 3 7" xfId="54456" xr:uid="{00000000-0005-0000-0000-0000BDD40000}"/>
    <cellStyle name="Total 8 3 8" xfId="54457" xr:uid="{00000000-0005-0000-0000-0000BED40000}"/>
    <cellStyle name="Total 8 4" xfId="54458" xr:uid="{00000000-0005-0000-0000-0000BFD40000}"/>
    <cellStyle name="Total 8 4 2" xfId="54459" xr:uid="{00000000-0005-0000-0000-0000C0D40000}"/>
    <cellStyle name="Total 8 4 2 2" xfId="54460" xr:uid="{00000000-0005-0000-0000-0000C1D40000}"/>
    <cellStyle name="Total 8 4 2 2 2" xfId="54461" xr:uid="{00000000-0005-0000-0000-0000C2D40000}"/>
    <cellStyle name="Total 8 4 2 2 3" xfId="54462" xr:uid="{00000000-0005-0000-0000-0000C3D40000}"/>
    <cellStyle name="Total 8 4 2 3" xfId="54463" xr:uid="{00000000-0005-0000-0000-0000C4D40000}"/>
    <cellStyle name="Total 8 4 2 3 2" xfId="54464" xr:uid="{00000000-0005-0000-0000-0000C5D40000}"/>
    <cellStyle name="Total 8 4 2 3 3" xfId="54465" xr:uid="{00000000-0005-0000-0000-0000C6D40000}"/>
    <cellStyle name="Total 8 4 2 4" xfId="54466" xr:uid="{00000000-0005-0000-0000-0000C7D40000}"/>
    <cellStyle name="Total 8 4 2 5" xfId="54467" xr:uid="{00000000-0005-0000-0000-0000C8D40000}"/>
    <cellStyle name="Total 8 4 2 6" xfId="54468" xr:uid="{00000000-0005-0000-0000-0000C9D40000}"/>
    <cellStyle name="Total 8 4 3" xfId="54469" xr:uid="{00000000-0005-0000-0000-0000CAD40000}"/>
    <cellStyle name="Total 8 4 3 2" xfId="54470" xr:uid="{00000000-0005-0000-0000-0000CBD40000}"/>
    <cellStyle name="Total 8 4 3 3" xfId="54471" xr:uid="{00000000-0005-0000-0000-0000CCD40000}"/>
    <cellStyle name="Total 8 4 4" xfId="54472" xr:uid="{00000000-0005-0000-0000-0000CDD40000}"/>
    <cellStyle name="Total 8 4 4 2" xfId="54473" xr:uid="{00000000-0005-0000-0000-0000CED40000}"/>
    <cellStyle name="Total 8 4 4 3" xfId="54474" xr:uid="{00000000-0005-0000-0000-0000CFD40000}"/>
    <cellStyle name="Total 8 4 5" xfId="54475" xr:uid="{00000000-0005-0000-0000-0000D0D40000}"/>
    <cellStyle name="Total 8 4 5 2" xfId="54476" xr:uid="{00000000-0005-0000-0000-0000D1D40000}"/>
    <cellStyle name="Total 8 4 5 3" xfId="54477" xr:uid="{00000000-0005-0000-0000-0000D2D40000}"/>
    <cellStyle name="Total 8 4 6" xfId="54478" xr:uid="{00000000-0005-0000-0000-0000D3D40000}"/>
    <cellStyle name="Total 8 4 7" xfId="54479" xr:uid="{00000000-0005-0000-0000-0000D4D40000}"/>
    <cellStyle name="Total 8 4 8" xfId="54480" xr:uid="{00000000-0005-0000-0000-0000D5D40000}"/>
    <cellStyle name="Total 8 5" xfId="54481" xr:uid="{00000000-0005-0000-0000-0000D6D40000}"/>
    <cellStyle name="Total 8 5 2" xfId="54482" xr:uid="{00000000-0005-0000-0000-0000D7D40000}"/>
    <cellStyle name="Total 8 5 2 2" xfId="54483" xr:uid="{00000000-0005-0000-0000-0000D8D40000}"/>
    <cellStyle name="Total 8 5 2 2 2" xfId="54484" xr:uid="{00000000-0005-0000-0000-0000D9D40000}"/>
    <cellStyle name="Total 8 5 2 2 3" xfId="54485" xr:uid="{00000000-0005-0000-0000-0000DAD40000}"/>
    <cellStyle name="Total 8 5 2 3" xfId="54486" xr:uid="{00000000-0005-0000-0000-0000DBD40000}"/>
    <cellStyle name="Total 8 5 2 3 2" xfId="54487" xr:uid="{00000000-0005-0000-0000-0000DCD40000}"/>
    <cellStyle name="Total 8 5 2 3 3" xfId="54488" xr:uid="{00000000-0005-0000-0000-0000DDD40000}"/>
    <cellStyle name="Total 8 5 2 4" xfId="54489" xr:uid="{00000000-0005-0000-0000-0000DED40000}"/>
    <cellStyle name="Total 8 5 2 5" xfId="54490" xr:uid="{00000000-0005-0000-0000-0000DFD40000}"/>
    <cellStyle name="Total 8 5 2 6" xfId="54491" xr:uid="{00000000-0005-0000-0000-0000E0D40000}"/>
    <cellStyle name="Total 8 5 3" xfId="54492" xr:uid="{00000000-0005-0000-0000-0000E1D40000}"/>
    <cellStyle name="Total 8 5 3 2" xfId="54493" xr:uid="{00000000-0005-0000-0000-0000E2D40000}"/>
    <cellStyle name="Total 8 5 3 3" xfId="54494" xr:uid="{00000000-0005-0000-0000-0000E3D40000}"/>
    <cellStyle name="Total 8 5 4" xfId="54495" xr:uid="{00000000-0005-0000-0000-0000E4D40000}"/>
    <cellStyle name="Total 8 5 4 2" xfId="54496" xr:uid="{00000000-0005-0000-0000-0000E5D40000}"/>
    <cellStyle name="Total 8 5 4 3" xfId="54497" xr:uid="{00000000-0005-0000-0000-0000E6D40000}"/>
    <cellStyle name="Total 8 5 5" xfId="54498" xr:uid="{00000000-0005-0000-0000-0000E7D40000}"/>
    <cellStyle name="Total 8 5 5 2" xfId="54499" xr:uid="{00000000-0005-0000-0000-0000E8D40000}"/>
    <cellStyle name="Total 8 5 5 3" xfId="54500" xr:uid="{00000000-0005-0000-0000-0000E9D40000}"/>
    <cellStyle name="Total 8 5 6" xfId="54501" xr:uid="{00000000-0005-0000-0000-0000EAD40000}"/>
    <cellStyle name="Total 8 5 7" xfId="54502" xr:uid="{00000000-0005-0000-0000-0000EBD40000}"/>
    <cellStyle name="Total 8 5 8" xfId="54503" xr:uid="{00000000-0005-0000-0000-0000ECD40000}"/>
    <cellStyle name="Total 8 6" xfId="54504" xr:uid="{00000000-0005-0000-0000-0000EDD40000}"/>
    <cellStyle name="Total 8 6 2" xfId="54505" xr:uid="{00000000-0005-0000-0000-0000EED40000}"/>
    <cellStyle name="Total 8 6 2 2" xfId="54506" xr:uid="{00000000-0005-0000-0000-0000EFD40000}"/>
    <cellStyle name="Total 8 6 2 3" xfId="54507" xr:uid="{00000000-0005-0000-0000-0000F0D40000}"/>
    <cellStyle name="Total 8 6 3" xfId="54508" xr:uid="{00000000-0005-0000-0000-0000F1D40000}"/>
    <cellStyle name="Total 8 6 3 2" xfId="54509" xr:uid="{00000000-0005-0000-0000-0000F2D40000}"/>
    <cellStyle name="Total 8 6 3 3" xfId="54510" xr:uid="{00000000-0005-0000-0000-0000F3D40000}"/>
    <cellStyle name="Total 8 6 4" xfId="54511" xr:uid="{00000000-0005-0000-0000-0000F4D40000}"/>
    <cellStyle name="Total 8 6 5" xfId="54512" xr:uid="{00000000-0005-0000-0000-0000F5D40000}"/>
    <cellStyle name="Total 8 6 6" xfId="54513" xr:uid="{00000000-0005-0000-0000-0000F6D40000}"/>
    <cellStyle name="Total 8 7" xfId="54514" xr:uid="{00000000-0005-0000-0000-0000F7D40000}"/>
    <cellStyle name="Total 8 7 2" xfId="54515" xr:uid="{00000000-0005-0000-0000-0000F8D40000}"/>
    <cellStyle name="Total 8 7 3" xfId="54516" xr:uid="{00000000-0005-0000-0000-0000F9D40000}"/>
    <cellStyle name="Total 8 7 4" xfId="54517" xr:uid="{00000000-0005-0000-0000-0000FAD40000}"/>
    <cellStyle name="Total 8 8" xfId="54518" xr:uid="{00000000-0005-0000-0000-0000FBD40000}"/>
    <cellStyle name="Total 8 8 2" xfId="54519" xr:uid="{00000000-0005-0000-0000-0000FCD40000}"/>
    <cellStyle name="Total 8 8 3" xfId="54520" xr:uid="{00000000-0005-0000-0000-0000FDD40000}"/>
    <cellStyle name="Total 8 9" xfId="54521" xr:uid="{00000000-0005-0000-0000-0000FED40000}"/>
    <cellStyle name="Total 8 9 2" xfId="54522" xr:uid="{00000000-0005-0000-0000-0000FFD40000}"/>
    <cellStyle name="Total 8 9 3" xfId="54523" xr:uid="{00000000-0005-0000-0000-000000D50000}"/>
    <cellStyle name="Total 9" xfId="54524" xr:uid="{00000000-0005-0000-0000-000001D50000}"/>
    <cellStyle name="Total 9 10" xfId="54525" xr:uid="{00000000-0005-0000-0000-000002D50000}"/>
    <cellStyle name="Total 9 11" xfId="54526" xr:uid="{00000000-0005-0000-0000-000003D50000}"/>
    <cellStyle name="Total 9 12" xfId="54527" xr:uid="{00000000-0005-0000-0000-000004D50000}"/>
    <cellStyle name="Total 9 2" xfId="54528" xr:uid="{00000000-0005-0000-0000-000005D50000}"/>
    <cellStyle name="Total 9 2 10" xfId="54529" xr:uid="{00000000-0005-0000-0000-000006D50000}"/>
    <cellStyle name="Total 9 2 2" xfId="54530" xr:uid="{00000000-0005-0000-0000-000007D50000}"/>
    <cellStyle name="Total 9 2 2 2" xfId="54531" xr:uid="{00000000-0005-0000-0000-000008D50000}"/>
    <cellStyle name="Total 9 2 2 2 2" xfId="54532" xr:uid="{00000000-0005-0000-0000-000009D50000}"/>
    <cellStyle name="Total 9 2 2 2 2 2" xfId="54533" xr:uid="{00000000-0005-0000-0000-00000AD50000}"/>
    <cellStyle name="Total 9 2 2 2 2 3" xfId="54534" xr:uid="{00000000-0005-0000-0000-00000BD50000}"/>
    <cellStyle name="Total 9 2 2 2 3" xfId="54535" xr:uid="{00000000-0005-0000-0000-00000CD50000}"/>
    <cellStyle name="Total 9 2 2 2 3 2" xfId="54536" xr:uid="{00000000-0005-0000-0000-00000DD50000}"/>
    <cellStyle name="Total 9 2 2 2 3 3" xfId="54537" xr:uid="{00000000-0005-0000-0000-00000ED50000}"/>
    <cellStyle name="Total 9 2 2 2 4" xfId="54538" xr:uid="{00000000-0005-0000-0000-00000FD50000}"/>
    <cellStyle name="Total 9 2 2 2 5" xfId="54539" xr:uid="{00000000-0005-0000-0000-000010D50000}"/>
    <cellStyle name="Total 9 2 2 2 6" xfId="54540" xr:uid="{00000000-0005-0000-0000-000011D50000}"/>
    <cellStyle name="Total 9 2 2 3" xfId="54541" xr:uid="{00000000-0005-0000-0000-000012D50000}"/>
    <cellStyle name="Total 9 2 2 3 2" xfId="54542" xr:uid="{00000000-0005-0000-0000-000013D50000}"/>
    <cellStyle name="Total 9 2 2 3 3" xfId="54543" xr:uid="{00000000-0005-0000-0000-000014D50000}"/>
    <cellStyle name="Total 9 2 2 4" xfId="54544" xr:uid="{00000000-0005-0000-0000-000015D50000}"/>
    <cellStyle name="Total 9 2 2 4 2" xfId="54545" xr:uid="{00000000-0005-0000-0000-000016D50000}"/>
    <cellStyle name="Total 9 2 2 4 3" xfId="54546" xr:uid="{00000000-0005-0000-0000-000017D50000}"/>
    <cellStyle name="Total 9 2 2 5" xfId="54547" xr:uid="{00000000-0005-0000-0000-000018D50000}"/>
    <cellStyle name="Total 9 2 2 5 2" xfId="54548" xr:uid="{00000000-0005-0000-0000-000019D50000}"/>
    <cellStyle name="Total 9 2 2 5 3" xfId="54549" xr:uid="{00000000-0005-0000-0000-00001AD50000}"/>
    <cellStyle name="Total 9 2 2 6" xfId="54550" xr:uid="{00000000-0005-0000-0000-00001BD50000}"/>
    <cellStyle name="Total 9 2 2 7" xfId="54551" xr:uid="{00000000-0005-0000-0000-00001CD50000}"/>
    <cellStyle name="Total 9 2 2 8" xfId="54552" xr:uid="{00000000-0005-0000-0000-00001DD50000}"/>
    <cellStyle name="Total 9 2 3" xfId="54553" xr:uid="{00000000-0005-0000-0000-00001ED50000}"/>
    <cellStyle name="Total 9 2 3 2" xfId="54554" xr:uid="{00000000-0005-0000-0000-00001FD50000}"/>
    <cellStyle name="Total 9 2 3 2 2" xfId="54555" xr:uid="{00000000-0005-0000-0000-000020D50000}"/>
    <cellStyle name="Total 9 2 3 2 2 2" xfId="54556" xr:uid="{00000000-0005-0000-0000-000021D50000}"/>
    <cellStyle name="Total 9 2 3 2 2 3" xfId="54557" xr:uid="{00000000-0005-0000-0000-000022D50000}"/>
    <cellStyle name="Total 9 2 3 2 3" xfId="54558" xr:uid="{00000000-0005-0000-0000-000023D50000}"/>
    <cellStyle name="Total 9 2 3 2 3 2" xfId="54559" xr:uid="{00000000-0005-0000-0000-000024D50000}"/>
    <cellStyle name="Total 9 2 3 2 3 3" xfId="54560" xr:uid="{00000000-0005-0000-0000-000025D50000}"/>
    <cellStyle name="Total 9 2 3 2 4" xfId="54561" xr:uid="{00000000-0005-0000-0000-000026D50000}"/>
    <cellStyle name="Total 9 2 3 2 5" xfId="54562" xr:uid="{00000000-0005-0000-0000-000027D50000}"/>
    <cellStyle name="Total 9 2 3 2 6" xfId="54563" xr:uid="{00000000-0005-0000-0000-000028D50000}"/>
    <cellStyle name="Total 9 2 3 3" xfId="54564" xr:uid="{00000000-0005-0000-0000-000029D50000}"/>
    <cellStyle name="Total 9 2 3 3 2" xfId="54565" xr:uid="{00000000-0005-0000-0000-00002AD50000}"/>
    <cellStyle name="Total 9 2 3 3 3" xfId="54566" xr:uid="{00000000-0005-0000-0000-00002BD50000}"/>
    <cellStyle name="Total 9 2 3 4" xfId="54567" xr:uid="{00000000-0005-0000-0000-00002CD50000}"/>
    <cellStyle name="Total 9 2 3 4 2" xfId="54568" xr:uid="{00000000-0005-0000-0000-00002DD50000}"/>
    <cellStyle name="Total 9 2 3 4 3" xfId="54569" xr:uid="{00000000-0005-0000-0000-00002ED50000}"/>
    <cellStyle name="Total 9 2 3 5" xfId="54570" xr:uid="{00000000-0005-0000-0000-00002FD50000}"/>
    <cellStyle name="Total 9 2 3 5 2" xfId="54571" xr:uid="{00000000-0005-0000-0000-000030D50000}"/>
    <cellStyle name="Total 9 2 3 5 3" xfId="54572" xr:uid="{00000000-0005-0000-0000-000031D50000}"/>
    <cellStyle name="Total 9 2 3 6" xfId="54573" xr:uid="{00000000-0005-0000-0000-000032D50000}"/>
    <cellStyle name="Total 9 2 3 7" xfId="54574" xr:uid="{00000000-0005-0000-0000-000033D50000}"/>
    <cellStyle name="Total 9 2 3 8" xfId="54575" xr:uid="{00000000-0005-0000-0000-000034D50000}"/>
    <cellStyle name="Total 9 2 4" xfId="54576" xr:uid="{00000000-0005-0000-0000-000035D50000}"/>
    <cellStyle name="Total 9 2 4 2" xfId="54577" xr:uid="{00000000-0005-0000-0000-000036D50000}"/>
    <cellStyle name="Total 9 2 4 2 2" xfId="54578" xr:uid="{00000000-0005-0000-0000-000037D50000}"/>
    <cellStyle name="Total 9 2 4 2 3" xfId="54579" xr:uid="{00000000-0005-0000-0000-000038D50000}"/>
    <cellStyle name="Total 9 2 4 3" xfId="54580" xr:uid="{00000000-0005-0000-0000-000039D50000}"/>
    <cellStyle name="Total 9 2 4 3 2" xfId="54581" xr:uid="{00000000-0005-0000-0000-00003AD50000}"/>
    <cellStyle name="Total 9 2 4 3 3" xfId="54582" xr:uid="{00000000-0005-0000-0000-00003BD50000}"/>
    <cellStyle name="Total 9 2 4 4" xfId="54583" xr:uid="{00000000-0005-0000-0000-00003CD50000}"/>
    <cellStyle name="Total 9 2 4 5" xfId="54584" xr:uid="{00000000-0005-0000-0000-00003DD50000}"/>
    <cellStyle name="Total 9 2 4 6" xfId="54585" xr:uid="{00000000-0005-0000-0000-00003ED50000}"/>
    <cellStyle name="Total 9 2 5" xfId="54586" xr:uid="{00000000-0005-0000-0000-00003FD50000}"/>
    <cellStyle name="Total 9 2 5 2" xfId="54587" xr:uid="{00000000-0005-0000-0000-000040D50000}"/>
    <cellStyle name="Total 9 2 5 3" xfId="54588" xr:uid="{00000000-0005-0000-0000-000041D50000}"/>
    <cellStyle name="Total 9 2 6" xfId="54589" xr:uid="{00000000-0005-0000-0000-000042D50000}"/>
    <cellStyle name="Total 9 2 6 2" xfId="54590" xr:uid="{00000000-0005-0000-0000-000043D50000}"/>
    <cellStyle name="Total 9 2 6 3" xfId="54591" xr:uid="{00000000-0005-0000-0000-000044D50000}"/>
    <cellStyle name="Total 9 2 7" xfId="54592" xr:uid="{00000000-0005-0000-0000-000045D50000}"/>
    <cellStyle name="Total 9 2 7 2" xfId="54593" xr:uid="{00000000-0005-0000-0000-000046D50000}"/>
    <cellStyle name="Total 9 2 7 3" xfId="54594" xr:uid="{00000000-0005-0000-0000-000047D50000}"/>
    <cellStyle name="Total 9 2 8" xfId="54595" xr:uid="{00000000-0005-0000-0000-000048D50000}"/>
    <cellStyle name="Total 9 2 9" xfId="54596" xr:uid="{00000000-0005-0000-0000-000049D50000}"/>
    <cellStyle name="Total 9 3" xfId="54597" xr:uid="{00000000-0005-0000-0000-00004AD50000}"/>
    <cellStyle name="Total 9 3 2" xfId="54598" xr:uid="{00000000-0005-0000-0000-00004BD50000}"/>
    <cellStyle name="Total 9 3 2 2" xfId="54599" xr:uid="{00000000-0005-0000-0000-00004CD50000}"/>
    <cellStyle name="Total 9 3 2 2 2" xfId="54600" xr:uid="{00000000-0005-0000-0000-00004DD50000}"/>
    <cellStyle name="Total 9 3 2 2 3" xfId="54601" xr:uid="{00000000-0005-0000-0000-00004ED50000}"/>
    <cellStyle name="Total 9 3 2 3" xfId="54602" xr:uid="{00000000-0005-0000-0000-00004FD50000}"/>
    <cellStyle name="Total 9 3 2 3 2" xfId="54603" xr:uid="{00000000-0005-0000-0000-000050D50000}"/>
    <cellStyle name="Total 9 3 2 3 3" xfId="54604" xr:uid="{00000000-0005-0000-0000-000051D50000}"/>
    <cellStyle name="Total 9 3 2 4" xfId="54605" xr:uid="{00000000-0005-0000-0000-000052D50000}"/>
    <cellStyle name="Total 9 3 2 5" xfId="54606" xr:uid="{00000000-0005-0000-0000-000053D50000}"/>
    <cellStyle name="Total 9 3 2 6" xfId="54607" xr:uid="{00000000-0005-0000-0000-000054D50000}"/>
    <cellStyle name="Total 9 3 3" xfId="54608" xr:uid="{00000000-0005-0000-0000-000055D50000}"/>
    <cellStyle name="Total 9 3 3 2" xfId="54609" xr:uid="{00000000-0005-0000-0000-000056D50000}"/>
    <cellStyle name="Total 9 3 3 3" xfId="54610" xr:uid="{00000000-0005-0000-0000-000057D50000}"/>
    <cellStyle name="Total 9 3 4" xfId="54611" xr:uid="{00000000-0005-0000-0000-000058D50000}"/>
    <cellStyle name="Total 9 3 4 2" xfId="54612" xr:uid="{00000000-0005-0000-0000-000059D50000}"/>
    <cellStyle name="Total 9 3 4 3" xfId="54613" xr:uid="{00000000-0005-0000-0000-00005AD50000}"/>
    <cellStyle name="Total 9 3 5" xfId="54614" xr:uid="{00000000-0005-0000-0000-00005BD50000}"/>
    <cellStyle name="Total 9 3 5 2" xfId="54615" xr:uid="{00000000-0005-0000-0000-00005CD50000}"/>
    <cellStyle name="Total 9 3 5 3" xfId="54616" xr:uid="{00000000-0005-0000-0000-00005DD50000}"/>
    <cellStyle name="Total 9 3 6" xfId="54617" xr:uid="{00000000-0005-0000-0000-00005ED50000}"/>
    <cellStyle name="Total 9 3 7" xfId="54618" xr:uid="{00000000-0005-0000-0000-00005FD50000}"/>
    <cellStyle name="Total 9 3 8" xfId="54619" xr:uid="{00000000-0005-0000-0000-000060D50000}"/>
    <cellStyle name="Total 9 4" xfId="54620" xr:uid="{00000000-0005-0000-0000-000061D50000}"/>
    <cellStyle name="Total 9 4 2" xfId="54621" xr:uid="{00000000-0005-0000-0000-000062D50000}"/>
    <cellStyle name="Total 9 4 2 2" xfId="54622" xr:uid="{00000000-0005-0000-0000-000063D50000}"/>
    <cellStyle name="Total 9 4 2 2 2" xfId="54623" xr:uid="{00000000-0005-0000-0000-000064D50000}"/>
    <cellStyle name="Total 9 4 2 2 3" xfId="54624" xr:uid="{00000000-0005-0000-0000-000065D50000}"/>
    <cellStyle name="Total 9 4 2 3" xfId="54625" xr:uid="{00000000-0005-0000-0000-000066D50000}"/>
    <cellStyle name="Total 9 4 2 3 2" xfId="54626" xr:uid="{00000000-0005-0000-0000-000067D50000}"/>
    <cellStyle name="Total 9 4 2 3 3" xfId="54627" xr:uid="{00000000-0005-0000-0000-000068D50000}"/>
    <cellStyle name="Total 9 4 2 4" xfId="54628" xr:uid="{00000000-0005-0000-0000-000069D50000}"/>
    <cellStyle name="Total 9 4 2 5" xfId="54629" xr:uid="{00000000-0005-0000-0000-00006AD50000}"/>
    <cellStyle name="Total 9 4 2 6" xfId="54630" xr:uid="{00000000-0005-0000-0000-00006BD50000}"/>
    <cellStyle name="Total 9 4 3" xfId="54631" xr:uid="{00000000-0005-0000-0000-00006CD50000}"/>
    <cellStyle name="Total 9 4 3 2" xfId="54632" xr:uid="{00000000-0005-0000-0000-00006DD50000}"/>
    <cellStyle name="Total 9 4 3 3" xfId="54633" xr:uid="{00000000-0005-0000-0000-00006ED50000}"/>
    <cellStyle name="Total 9 4 4" xfId="54634" xr:uid="{00000000-0005-0000-0000-00006FD50000}"/>
    <cellStyle name="Total 9 4 4 2" xfId="54635" xr:uid="{00000000-0005-0000-0000-000070D50000}"/>
    <cellStyle name="Total 9 4 4 3" xfId="54636" xr:uid="{00000000-0005-0000-0000-000071D50000}"/>
    <cellStyle name="Total 9 4 5" xfId="54637" xr:uid="{00000000-0005-0000-0000-000072D50000}"/>
    <cellStyle name="Total 9 4 5 2" xfId="54638" xr:uid="{00000000-0005-0000-0000-000073D50000}"/>
    <cellStyle name="Total 9 4 5 3" xfId="54639" xr:uid="{00000000-0005-0000-0000-000074D50000}"/>
    <cellStyle name="Total 9 4 6" xfId="54640" xr:uid="{00000000-0005-0000-0000-000075D50000}"/>
    <cellStyle name="Total 9 4 7" xfId="54641" xr:uid="{00000000-0005-0000-0000-000076D50000}"/>
    <cellStyle name="Total 9 4 8" xfId="54642" xr:uid="{00000000-0005-0000-0000-000077D50000}"/>
    <cellStyle name="Total 9 5" xfId="54643" xr:uid="{00000000-0005-0000-0000-000078D50000}"/>
    <cellStyle name="Total 9 5 2" xfId="54644" xr:uid="{00000000-0005-0000-0000-000079D50000}"/>
    <cellStyle name="Total 9 5 2 2" xfId="54645" xr:uid="{00000000-0005-0000-0000-00007AD50000}"/>
    <cellStyle name="Total 9 5 2 2 2" xfId="54646" xr:uid="{00000000-0005-0000-0000-00007BD50000}"/>
    <cellStyle name="Total 9 5 2 2 3" xfId="54647" xr:uid="{00000000-0005-0000-0000-00007CD50000}"/>
    <cellStyle name="Total 9 5 2 3" xfId="54648" xr:uid="{00000000-0005-0000-0000-00007DD50000}"/>
    <cellStyle name="Total 9 5 2 3 2" xfId="54649" xr:uid="{00000000-0005-0000-0000-00007ED50000}"/>
    <cellStyle name="Total 9 5 2 3 3" xfId="54650" xr:uid="{00000000-0005-0000-0000-00007FD50000}"/>
    <cellStyle name="Total 9 5 2 4" xfId="54651" xr:uid="{00000000-0005-0000-0000-000080D50000}"/>
    <cellStyle name="Total 9 5 2 5" xfId="54652" xr:uid="{00000000-0005-0000-0000-000081D50000}"/>
    <cellStyle name="Total 9 5 2 6" xfId="54653" xr:uid="{00000000-0005-0000-0000-000082D50000}"/>
    <cellStyle name="Total 9 5 3" xfId="54654" xr:uid="{00000000-0005-0000-0000-000083D50000}"/>
    <cellStyle name="Total 9 5 3 2" xfId="54655" xr:uid="{00000000-0005-0000-0000-000084D50000}"/>
    <cellStyle name="Total 9 5 3 3" xfId="54656" xr:uid="{00000000-0005-0000-0000-000085D50000}"/>
    <cellStyle name="Total 9 5 4" xfId="54657" xr:uid="{00000000-0005-0000-0000-000086D50000}"/>
    <cellStyle name="Total 9 5 4 2" xfId="54658" xr:uid="{00000000-0005-0000-0000-000087D50000}"/>
    <cellStyle name="Total 9 5 4 3" xfId="54659" xr:uid="{00000000-0005-0000-0000-000088D50000}"/>
    <cellStyle name="Total 9 5 5" xfId="54660" xr:uid="{00000000-0005-0000-0000-000089D50000}"/>
    <cellStyle name="Total 9 5 5 2" xfId="54661" xr:uid="{00000000-0005-0000-0000-00008AD50000}"/>
    <cellStyle name="Total 9 5 5 3" xfId="54662" xr:uid="{00000000-0005-0000-0000-00008BD50000}"/>
    <cellStyle name="Total 9 5 6" xfId="54663" xr:uid="{00000000-0005-0000-0000-00008CD50000}"/>
    <cellStyle name="Total 9 5 7" xfId="54664" xr:uid="{00000000-0005-0000-0000-00008DD50000}"/>
    <cellStyle name="Total 9 5 8" xfId="54665" xr:uid="{00000000-0005-0000-0000-00008ED50000}"/>
    <cellStyle name="Total 9 6" xfId="54666" xr:uid="{00000000-0005-0000-0000-00008FD50000}"/>
    <cellStyle name="Total 9 6 2" xfId="54667" xr:uid="{00000000-0005-0000-0000-000090D50000}"/>
    <cellStyle name="Total 9 6 2 2" xfId="54668" xr:uid="{00000000-0005-0000-0000-000091D50000}"/>
    <cellStyle name="Total 9 6 2 3" xfId="54669" xr:uid="{00000000-0005-0000-0000-000092D50000}"/>
    <cellStyle name="Total 9 6 3" xfId="54670" xr:uid="{00000000-0005-0000-0000-000093D50000}"/>
    <cellStyle name="Total 9 6 3 2" xfId="54671" xr:uid="{00000000-0005-0000-0000-000094D50000}"/>
    <cellStyle name="Total 9 6 3 3" xfId="54672" xr:uid="{00000000-0005-0000-0000-000095D50000}"/>
    <cellStyle name="Total 9 6 4" xfId="54673" xr:uid="{00000000-0005-0000-0000-000096D50000}"/>
    <cellStyle name="Total 9 6 5" xfId="54674" xr:uid="{00000000-0005-0000-0000-000097D50000}"/>
    <cellStyle name="Total 9 6 6" xfId="54675" xr:uid="{00000000-0005-0000-0000-000098D50000}"/>
    <cellStyle name="Total 9 7" xfId="54676" xr:uid="{00000000-0005-0000-0000-000099D50000}"/>
    <cellStyle name="Total 9 7 2" xfId="54677" xr:uid="{00000000-0005-0000-0000-00009AD50000}"/>
    <cellStyle name="Total 9 7 3" xfId="54678" xr:uid="{00000000-0005-0000-0000-00009BD50000}"/>
    <cellStyle name="Total 9 8" xfId="54679" xr:uid="{00000000-0005-0000-0000-00009CD50000}"/>
    <cellStyle name="Total 9 8 2" xfId="54680" xr:uid="{00000000-0005-0000-0000-00009DD50000}"/>
    <cellStyle name="Total 9 8 3" xfId="54681" xr:uid="{00000000-0005-0000-0000-00009ED50000}"/>
    <cellStyle name="Total 9 9" xfId="54682" xr:uid="{00000000-0005-0000-0000-00009FD50000}"/>
    <cellStyle name="Total 9 9 2" xfId="54683" xr:uid="{00000000-0005-0000-0000-0000A0D50000}"/>
    <cellStyle name="Total 9 9 3" xfId="54684" xr:uid="{00000000-0005-0000-0000-0000A1D50000}"/>
    <cellStyle name="Transition" xfId="54685" xr:uid="{00000000-0005-0000-0000-0000A2D50000}"/>
    <cellStyle name="Variable Inputs" xfId="54686" xr:uid="{00000000-0005-0000-0000-0000A3D50000}"/>
    <cellStyle name="Variable Inputs 2" xfId="54687" xr:uid="{00000000-0005-0000-0000-0000A4D50000}"/>
    <cellStyle name="Variable Inputs 2 2" xfId="54688" xr:uid="{00000000-0005-0000-0000-0000A5D50000}"/>
    <cellStyle name="Variable Inputs 2 3" xfId="54689" xr:uid="{00000000-0005-0000-0000-0000A6D50000}"/>
    <cellStyle name="Variable Inputs 2 4" xfId="54690" xr:uid="{00000000-0005-0000-0000-0000A7D50000}"/>
    <cellStyle name="Variable Inputs 3" xfId="54691" xr:uid="{00000000-0005-0000-0000-0000A8D50000}"/>
    <cellStyle name="Variable Inputs 3 2" xfId="54692" xr:uid="{00000000-0005-0000-0000-0000A9D50000}"/>
    <cellStyle name="Variable Inputs 3 3" xfId="54693" xr:uid="{00000000-0005-0000-0000-0000AAD50000}"/>
    <cellStyle name="Variable Inputs 3 4" xfId="54694" xr:uid="{00000000-0005-0000-0000-0000ABD50000}"/>
    <cellStyle name="Warning Text 10" xfId="54695" xr:uid="{00000000-0005-0000-0000-0000ACD50000}"/>
    <cellStyle name="Warning Text 11" xfId="54696" xr:uid="{00000000-0005-0000-0000-0000ADD50000}"/>
    <cellStyle name="Warning Text 2" xfId="54697" xr:uid="{00000000-0005-0000-0000-0000AED50000}"/>
    <cellStyle name="Warning Text 3" xfId="54698" xr:uid="{00000000-0005-0000-0000-0000AFD50000}"/>
    <cellStyle name="Warning Text 4" xfId="54699" xr:uid="{00000000-0005-0000-0000-0000B0D50000}"/>
    <cellStyle name="Warning Text 5" xfId="54700" xr:uid="{00000000-0005-0000-0000-0000B1D50000}"/>
    <cellStyle name="Warning Text 6" xfId="54701" xr:uid="{00000000-0005-0000-0000-0000B2D50000}"/>
    <cellStyle name="Warning Text 7" xfId="54702" xr:uid="{00000000-0005-0000-0000-0000B3D50000}"/>
    <cellStyle name="Warning Text 8" xfId="54703" xr:uid="{00000000-0005-0000-0000-0000B4D50000}"/>
    <cellStyle name="Warning Text 9" xfId="54704" xr:uid="{00000000-0005-0000-0000-0000B5D50000}"/>
    <cellStyle name="WrapText" xfId="54705" xr:uid="{00000000-0005-0000-0000-0000B6D5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worksheet" Target="worksheets/sheet19.xml"/><Relationship Id="rId39" Type="http://schemas.openxmlformats.org/officeDocument/2006/relationships/externalLink" Target="externalLinks/externalLink4.xml"/><Relationship Id="rId21" Type="http://schemas.openxmlformats.org/officeDocument/2006/relationships/chartsheet" Target="chartsheets/sheet6.xml"/><Relationship Id="rId34" Type="http://schemas.openxmlformats.org/officeDocument/2006/relationships/worksheet" Target="worksheets/sheet27.xml"/><Relationship Id="rId42" Type="http://schemas.openxmlformats.org/officeDocument/2006/relationships/externalLink" Target="externalLinks/externalLink7.xml"/><Relationship Id="rId47" Type="http://schemas.openxmlformats.org/officeDocument/2006/relationships/externalLink" Target="externalLinks/externalLink12.xml"/><Relationship Id="rId50" Type="http://schemas.openxmlformats.org/officeDocument/2006/relationships/externalLink" Target="externalLinks/externalLink15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.xml"/><Relationship Id="rId29" Type="http://schemas.openxmlformats.org/officeDocument/2006/relationships/worksheet" Target="worksheets/sheet22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17.xml"/><Relationship Id="rId32" Type="http://schemas.openxmlformats.org/officeDocument/2006/relationships/worksheet" Target="worksheets/sheet25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externalLink" Target="externalLinks/externalLink10.xml"/><Relationship Id="rId53" Type="http://schemas.openxmlformats.org/officeDocument/2006/relationships/externalLink" Target="externalLinks/externalLink18.xml"/><Relationship Id="rId58" Type="http://schemas.microsoft.com/office/2017/10/relationships/person" Target="persons/person.xml"/><Relationship Id="rId5" Type="http://schemas.openxmlformats.org/officeDocument/2006/relationships/worksheet" Target="worksheets/sheet5.xml"/><Relationship Id="rId19" Type="http://schemas.openxmlformats.org/officeDocument/2006/relationships/chartsheet" Target="chartsheets/sheet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hartsheet" Target="chartsheets/sheet7.xml"/><Relationship Id="rId27" Type="http://schemas.openxmlformats.org/officeDocument/2006/relationships/worksheet" Target="worksheets/sheet20.xml"/><Relationship Id="rId30" Type="http://schemas.openxmlformats.org/officeDocument/2006/relationships/worksheet" Target="worksheets/sheet23.xml"/><Relationship Id="rId35" Type="http://schemas.openxmlformats.org/officeDocument/2006/relationships/worksheet" Target="worksheets/sheet28.xml"/><Relationship Id="rId43" Type="http://schemas.openxmlformats.org/officeDocument/2006/relationships/externalLink" Target="externalLinks/externalLink8.xml"/><Relationship Id="rId48" Type="http://schemas.openxmlformats.org/officeDocument/2006/relationships/externalLink" Target="externalLinks/externalLink13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chartsheet" Target="chartsheets/sheet2.xml"/><Relationship Id="rId25" Type="http://schemas.openxmlformats.org/officeDocument/2006/relationships/worksheet" Target="worksheets/sheet18.xml"/><Relationship Id="rId33" Type="http://schemas.openxmlformats.org/officeDocument/2006/relationships/worksheet" Target="worksheets/sheet26.xml"/><Relationship Id="rId38" Type="http://schemas.openxmlformats.org/officeDocument/2006/relationships/externalLink" Target="externalLinks/externalLink3.xml"/><Relationship Id="rId46" Type="http://schemas.openxmlformats.org/officeDocument/2006/relationships/externalLink" Target="externalLinks/externalLink11.xml"/><Relationship Id="rId59" Type="http://schemas.openxmlformats.org/officeDocument/2006/relationships/calcChain" Target="calcChain.xml"/><Relationship Id="rId20" Type="http://schemas.openxmlformats.org/officeDocument/2006/relationships/chartsheet" Target="chartsheets/sheet5.xml"/><Relationship Id="rId41" Type="http://schemas.openxmlformats.org/officeDocument/2006/relationships/externalLink" Target="externalLinks/externalLink6.xml"/><Relationship Id="rId54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16.xml"/><Relationship Id="rId28" Type="http://schemas.openxmlformats.org/officeDocument/2006/relationships/worksheet" Target="worksheets/sheet21.xml"/><Relationship Id="rId36" Type="http://schemas.openxmlformats.org/officeDocument/2006/relationships/externalLink" Target="externalLinks/externalLink1.xml"/><Relationship Id="rId49" Type="http://schemas.openxmlformats.org/officeDocument/2006/relationships/externalLink" Target="externalLinks/externalLink14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24.xml"/><Relationship Id="rId44" Type="http://schemas.openxmlformats.org/officeDocument/2006/relationships/externalLink" Target="externalLinks/externalLink9.xml"/><Relationship Id="rId52" Type="http://schemas.openxmlformats.org/officeDocument/2006/relationships/externalLink" Target="externalLinks/externalLink1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Fish</a:t>
            </a:r>
            <a:r>
              <a:rPr lang="en-US" baseline="0"/>
              <a:t> Curve No Carbon Mid Fuel $M (Clean Energy Connection - SoBra 700MWs</a:t>
            </a:r>
            <a:r>
              <a:rPr lang="en-US" sz="1800" b="1" i="0" u="none" strike="noStrike" baseline="0">
                <a:effectLst/>
              </a:rPr>
              <a:t>) - Addition of 750MWs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Fish_Curves_NC_MF!$A$111</c:f>
              <c:strCache>
                <c:ptCount val="1"/>
                <c:pt idx="0">
                  <c:v>Existing Solar</c:v>
                </c:pt>
              </c:strCache>
            </c:strRef>
          </c:tx>
          <c:invertIfNegative val="0"/>
          <c:dLbls>
            <c:dLbl>
              <c:idx val="3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C8-4533-9369-162314A727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Fish_Curves_NC_MF!$B$111:$AJ$111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C8-4533-9369-162314A72752}"/>
            </c:ext>
          </c:extLst>
        </c:ser>
        <c:ser>
          <c:idx val="1"/>
          <c:order val="1"/>
          <c:tx>
            <c:strRef>
              <c:f>Fish_Curves_NC_MF!$A$112</c:f>
              <c:strCache>
                <c:ptCount val="1"/>
                <c:pt idx="0">
                  <c:v>New Solar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Fish_Curves_NC_MF!$B$112:$AJ$112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27.104402529171068</c:v>
                </c:pt>
                <c:pt idx="3">
                  <c:v>98.781674233069964</c:v>
                </c:pt>
                <c:pt idx="4">
                  <c:v>205.49827041468927</c:v>
                </c:pt>
                <c:pt idx="5">
                  <c:v>300.46649364736896</c:v>
                </c:pt>
                <c:pt idx="6">
                  <c:v>385.39678406731878</c:v>
                </c:pt>
                <c:pt idx="7">
                  <c:v>456.76610212359998</c:v>
                </c:pt>
                <c:pt idx="8">
                  <c:v>521.38216806475043</c:v>
                </c:pt>
                <c:pt idx="9">
                  <c:v>580.22999313960736</c:v>
                </c:pt>
                <c:pt idx="10">
                  <c:v>634.01636784102379</c:v>
                </c:pt>
                <c:pt idx="11">
                  <c:v>683.26715478238884</c:v>
                </c:pt>
                <c:pt idx="12">
                  <c:v>728.35372964352109</c:v>
                </c:pt>
                <c:pt idx="13">
                  <c:v>769.60576167263162</c:v>
                </c:pt>
                <c:pt idx="14">
                  <c:v>807.31002678440973</c:v>
                </c:pt>
                <c:pt idx="15">
                  <c:v>841.7817862456186</c:v>
                </c:pt>
                <c:pt idx="16">
                  <c:v>873.29202848516286</c:v>
                </c:pt>
                <c:pt idx="17">
                  <c:v>902.06344495740177</c:v>
                </c:pt>
                <c:pt idx="18">
                  <c:v>930.24970017284386</c:v>
                </c:pt>
                <c:pt idx="19">
                  <c:v>955.84915294119799</c:v>
                </c:pt>
                <c:pt idx="20">
                  <c:v>979.07310442426649</c:v>
                </c:pt>
                <c:pt idx="21">
                  <c:v>1000.1248911355183</c:v>
                </c:pt>
                <c:pt idx="22">
                  <c:v>1019.2432452792501</c:v>
                </c:pt>
                <c:pt idx="23">
                  <c:v>1036.6317832813522</c:v>
                </c:pt>
                <c:pt idx="24">
                  <c:v>1052.4528204477485</c:v>
                </c:pt>
                <c:pt idx="25">
                  <c:v>1066.8199714822242</c:v>
                </c:pt>
                <c:pt idx="26">
                  <c:v>1079.8900698837747</c:v>
                </c:pt>
                <c:pt idx="27">
                  <c:v>1091.7640225794905</c:v>
                </c:pt>
                <c:pt idx="28">
                  <c:v>1102.5564189601394</c:v>
                </c:pt>
                <c:pt idx="29">
                  <c:v>1112.3456472165315</c:v>
                </c:pt>
                <c:pt idx="30">
                  <c:v>1121.2349572228359</c:v>
                </c:pt>
                <c:pt idx="31">
                  <c:v>1129.7914422876931</c:v>
                </c:pt>
                <c:pt idx="32">
                  <c:v>1136.619048814528</c:v>
                </c:pt>
                <c:pt idx="33">
                  <c:v>1140.2982843495179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C8-4533-9369-162314A72752}"/>
            </c:ext>
          </c:extLst>
        </c:ser>
        <c:ser>
          <c:idx val="2"/>
          <c:order val="2"/>
          <c:tx>
            <c:strRef>
              <c:f>Fish_Curves_NC_MF!$A$113</c:f>
              <c:strCache>
                <c:ptCount val="1"/>
                <c:pt idx="0">
                  <c:v>Conv Gen Capital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Fish_Curves_NC_MF!$B$113:$AJ$113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-6.8065319934405428</c:v>
                </c:pt>
                <c:pt idx="8">
                  <c:v>-23.963273112755651</c:v>
                </c:pt>
                <c:pt idx="9">
                  <c:v>-37.68962653509206</c:v>
                </c:pt>
                <c:pt idx="10">
                  <c:v>-51.938491893392545</c:v>
                </c:pt>
                <c:pt idx="11">
                  <c:v>-63.218316402033011</c:v>
                </c:pt>
                <c:pt idx="12">
                  <c:v>-75.08199699487605</c:v>
                </c:pt>
                <c:pt idx="13">
                  <c:v>-84.363118834522751</c:v>
                </c:pt>
                <c:pt idx="14">
                  <c:v>-95.555131916288076</c:v>
                </c:pt>
                <c:pt idx="15">
                  <c:v>-109.74311048334511</c:v>
                </c:pt>
                <c:pt idx="16">
                  <c:v>-117.75217666752008</c:v>
                </c:pt>
                <c:pt idx="17">
                  <c:v>-121.79306183603046</c:v>
                </c:pt>
                <c:pt idx="18">
                  <c:v>-129.86103987438742</c:v>
                </c:pt>
                <c:pt idx="19">
                  <c:v>-140.0916504003319</c:v>
                </c:pt>
                <c:pt idx="20">
                  <c:v>-149.36500250181143</c:v>
                </c:pt>
                <c:pt idx="21">
                  <c:v>-157.76503353992234</c:v>
                </c:pt>
                <c:pt idx="22">
                  <c:v>-165.37771678192939</c:v>
                </c:pt>
                <c:pt idx="23">
                  <c:v>-172.3006922359657</c:v>
                </c:pt>
                <c:pt idx="24">
                  <c:v>-178.6115897763425</c:v>
                </c:pt>
                <c:pt idx="25">
                  <c:v>-184.36170521052736</c:v>
                </c:pt>
                <c:pt idx="26">
                  <c:v>-186.67226590371502</c:v>
                </c:pt>
                <c:pt idx="27">
                  <c:v>-186.84205217319368</c:v>
                </c:pt>
                <c:pt idx="28">
                  <c:v>-187.00038054764764</c:v>
                </c:pt>
                <c:pt idx="29">
                  <c:v>-187.1452413173879</c:v>
                </c:pt>
                <c:pt idx="30">
                  <c:v>-187.2820530561703</c:v>
                </c:pt>
                <c:pt idx="31">
                  <c:v>-187.40756014500812</c:v>
                </c:pt>
                <c:pt idx="32">
                  <c:v>-187.50714140350556</c:v>
                </c:pt>
                <c:pt idx="33">
                  <c:v>-187.58269552528463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C8-4533-9369-162314A72752}"/>
            </c:ext>
          </c:extLst>
        </c:ser>
        <c:ser>
          <c:idx val="3"/>
          <c:order val="3"/>
          <c:tx>
            <c:strRef>
              <c:f>Fish_Curves_NC_MF!$A$114</c:f>
              <c:strCache>
                <c:ptCount val="1"/>
                <c:pt idx="0">
                  <c:v>Fixed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Fish_Curves_NC_MF!$B$114:$AJ$114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-0.16330587684274178</c:v>
                </c:pt>
                <c:pt idx="8">
                  <c:v>-0.5891213502827668</c:v>
                </c:pt>
                <c:pt idx="9">
                  <c:v>-0.9551235061674106</c:v>
                </c:pt>
                <c:pt idx="10">
                  <c:v>-1.3480835154748547</c:v>
                </c:pt>
                <c:pt idx="11">
                  <c:v>-1.6858319651919373</c:v>
                </c:pt>
                <c:pt idx="12">
                  <c:v>-2.0484601922203183</c:v>
                </c:pt>
                <c:pt idx="13">
                  <c:v>-2.3601402918520762</c:v>
                </c:pt>
                <c:pt idx="14">
                  <c:v>-2.968785690347886</c:v>
                </c:pt>
                <c:pt idx="15">
                  <c:v>-3.8260816941933626</c:v>
                </c:pt>
                <c:pt idx="16">
                  <c:v>-4.4094305986191102</c:v>
                </c:pt>
                <c:pt idx="17">
                  <c:v>-4.8049963842986472</c:v>
                </c:pt>
                <c:pt idx="18">
                  <c:v>-5.4066560985465912</c:v>
                </c:pt>
                <c:pt idx="19">
                  <c:v>-6.1367321643733703</c:v>
                </c:pt>
                <c:pt idx="20">
                  <c:v>-6.8380706023322091</c:v>
                </c:pt>
                <c:pt idx="21">
                  <c:v>-7.5118014416261758</c:v>
                </c:pt>
                <c:pt idx="22">
                  <c:v>-8.1590154177656586</c:v>
                </c:pt>
                <c:pt idx="23">
                  <c:v>-8.7807507171592079</c:v>
                </c:pt>
                <c:pt idx="24">
                  <c:v>-9.3780136805639813</c:v>
                </c:pt>
                <c:pt idx="25">
                  <c:v>-9.9517661686827523</c:v>
                </c:pt>
                <c:pt idx="26">
                  <c:v>-10.342178555049941</c:v>
                </c:pt>
                <c:pt idx="27">
                  <c:v>-10.606914816706649</c:v>
                </c:pt>
                <c:pt idx="28">
                  <c:v>-10.861229775078755</c:v>
                </c:pt>
                <c:pt idx="29">
                  <c:v>-11.105534743956468</c:v>
                </c:pt>
                <c:pt idx="30">
                  <c:v>-11.340224138767098</c:v>
                </c:pt>
                <c:pt idx="31">
                  <c:v>-11.565674855845828</c:v>
                </c:pt>
                <c:pt idx="32">
                  <c:v>-11.782251067264042</c:v>
                </c:pt>
                <c:pt idx="33">
                  <c:v>-11.990301872081091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C8-4533-9369-162314A72752}"/>
            </c:ext>
          </c:extLst>
        </c:ser>
        <c:ser>
          <c:idx val="4"/>
          <c:order val="4"/>
          <c:tx>
            <c:strRef>
              <c:f>Fish_Curves_NC_MF!$A$115</c:f>
              <c:strCache>
                <c:ptCount val="1"/>
                <c:pt idx="0">
                  <c:v>Gas Reservation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Fish_Curves_NC_MF!$B$115:$AJ$115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-10.406972306614989</c:v>
                </c:pt>
                <c:pt idx="15">
                  <c:v>-27.12724599124067</c:v>
                </c:pt>
                <c:pt idx="16">
                  <c:v>-37.995702622427416</c:v>
                </c:pt>
                <c:pt idx="17">
                  <c:v>-44.967141172227457</c:v>
                </c:pt>
                <c:pt idx="18">
                  <c:v>-55.932130000884172</c:v>
                </c:pt>
                <c:pt idx="19">
                  <c:v>-69.175066667597093</c:v>
                </c:pt>
                <c:pt idx="20">
                  <c:v>-81.58644670499325</c:v>
                </c:pt>
                <c:pt idx="21">
                  <c:v>-93.218467670440077</c:v>
                </c:pt>
                <c:pt idx="22">
                  <c:v>-104.12008057151434</c:v>
                </c:pt>
                <c:pt idx="23">
                  <c:v>-114.33714983212849</c:v>
                </c:pt>
                <c:pt idx="24">
                  <c:v>-123.91267046150278</c:v>
                </c:pt>
                <c:pt idx="25">
                  <c:v>-132.88691659962296</c:v>
                </c:pt>
                <c:pt idx="26">
                  <c:v>-138.08391646269411</c:v>
                </c:pt>
                <c:pt idx="27">
                  <c:v>-140.80321552577152</c:v>
                </c:pt>
                <c:pt idx="28">
                  <c:v>-143.35176197664168</c:v>
                </c:pt>
                <c:pt idx="29">
                  <c:v>-145.74027786311763</c:v>
                </c:pt>
                <c:pt idx="30">
                  <c:v>-147.97881196478193</c:v>
                </c:pt>
                <c:pt idx="31">
                  <c:v>-150.07678206943456</c:v>
                </c:pt>
                <c:pt idx="32">
                  <c:v>-152.04301459488215</c:v>
                </c:pt>
                <c:pt idx="33">
                  <c:v>-153.88578172276175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3C8-4533-9369-162314A72752}"/>
            </c:ext>
          </c:extLst>
        </c:ser>
        <c:ser>
          <c:idx val="5"/>
          <c:order val="5"/>
          <c:tx>
            <c:strRef>
              <c:f>Fish_Curves_NC_MF!$A$117</c:f>
              <c:strCache>
                <c:ptCount val="1"/>
                <c:pt idx="0">
                  <c:v>Fuel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Fish_Curves_NC_MF!$B$117:$AJ$117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-7.3073960310553048</c:v>
                </c:pt>
                <c:pt idx="3">
                  <c:v>-27.218238857726192</c:v>
                </c:pt>
                <c:pt idx="4">
                  <c:v>-64.549983713587608</c:v>
                </c:pt>
                <c:pt idx="5">
                  <c:v>-99.706512484962332</c:v>
                </c:pt>
                <c:pt idx="6">
                  <c:v>-134.44655087850606</c:v>
                </c:pt>
                <c:pt idx="7">
                  <c:v>-170.31862730606736</c:v>
                </c:pt>
                <c:pt idx="8">
                  <c:v>-203.61759018352313</c:v>
                </c:pt>
                <c:pt idx="9">
                  <c:v>-240.12507934976838</c:v>
                </c:pt>
                <c:pt idx="10">
                  <c:v>-271.73076281572685</c:v>
                </c:pt>
                <c:pt idx="11">
                  <c:v>-307.32469352732005</c:v>
                </c:pt>
                <c:pt idx="12">
                  <c:v>-339.56141297642898</c:v>
                </c:pt>
                <c:pt idx="13">
                  <c:v>-369.98918162700829</c:v>
                </c:pt>
                <c:pt idx="14">
                  <c:v>-401.65943496930049</c:v>
                </c:pt>
                <c:pt idx="15">
                  <c:v>-431.36945788565026</c:v>
                </c:pt>
                <c:pt idx="16">
                  <c:v>-459.70711480875252</c:v>
                </c:pt>
                <c:pt idx="17">
                  <c:v>-488.6039943674914</c:v>
                </c:pt>
                <c:pt idx="18">
                  <c:v>-516.77714500102047</c:v>
                </c:pt>
                <c:pt idx="19">
                  <c:v>-544.65805749711944</c:v>
                </c:pt>
                <c:pt idx="20">
                  <c:v>-571.66600823965018</c:v>
                </c:pt>
                <c:pt idx="21">
                  <c:v>-597.71529019656373</c:v>
                </c:pt>
                <c:pt idx="22">
                  <c:v>-621.94386493655657</c:v>
                </c:pt>
                <c:pt idx="23">
                  <c:v>-645.56414709656747</c:v>
                </c:pt>
                <c:pt idx="24">
                  <c:v>-667.50971860404752</c:v>
                </c:pt>
                <c:pt idx="25">
                  <c:v>-689.63935713053797</c:v>
                </c:pt>
                <c:pt idx="26">
                  <c:v>-710.55018648978148</c:v>
                </c:pt>
                <c:pt idx="27">
                  <c:v>-729.91404843211785</c:v>
                </c:pt>
                <c:pt idx="28">
                  <c:v>-749.86920633764021</c:v>
                </c:pt>
                <c:pt idx="29">
                  <c:v>-767.47903158307236</c:v>
                </c:pt>
                <c:pt idx="30">
                  <c:v>-784.45420039920282</c:v>
                </c:pt>
                <c:pt idx="31">
                  <c:v>-801.63034392838381</c:v>
                </c:pt>
                <c:pt idx="32">
                  <c:v>-815.27312762132351</c:v>
                </c:pt>
                <c:pt idx="33">
                  <c:v>-821.85360519215101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C8-4533-9369-162314A72752}"/>
            </c:ext>
          </c:extLst>
        </c:ser>
        <c:ser>
          <c:idx val="6"/>
          <c:order val="6"/>
          <c:tx>
            <c:strRef>
              <c:f>Fish_Curves_NC_MF!$A$118</c:f>
              <c:strCache>
                <c:ptCount val="1"/>
                <c:pt idx="0">
                  <c:v>Variable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Fish_Curves_NC_MF!$B$118:$AJ$118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-1.2273285029543217</c:v>
                </c:pt>
                <c:pt idx="3">
                  <c:v>-4.3921309591090676</c:v>
                </c:pt>
                <c:pt idx="4">
                  <c:v>-8.5169161218398131</c:v>
                </c:pt>
                <c:pt idx="5">
                  <c:v>-11.653887075568605</c:v>
                </c:pt>
                <c:pt idx="6">
                  <c:v>-14.52710173000321</c:v>
                </c:pt>
                <c:pt idx="7">
                  <c:v>-17.641440639513235</c:v>
                </c:pt>
                <c:pt idx="8">
                  <c:v>-21.404358252304178</c:v>
                </c:pt>
                <c:pt idx="9">
                  <c:v>-24.419573592609595</c:v>
                </c:pt>
                <c:pt idx="10">
                  <c:v>-27.479241022351971</c:v>
                </c:pt>
                <c:pt idx="11">
                  <c:v>-30.162270724980772</c:v>
                </c:pt>
                <c:pt idx="12">
                  <c:v>-33.108181341954833</c:v>
                </c:pt>
                <c:pt idx="13">
                  <c:v>-35.917042330974255</c:v>
                </c:pt>
                <c:pt idx="14">
                  <c:v>-38.866236892775987</c:v>
                </c:pt>
                <c:pt idx="15">
                  <c:v>-41.642824096538561</c:v>
                </c:pt>
                <c:pt idx="16">
                  <c:v>-43.436339690334535</c:v>
                </c:pt>
                <c:pt idx="17">
                  <c:v>-44.347052809605884</c:v>
                </c:pt>
                <c:pt idx="18">
                  <c:v>-46.597204435983258</c:v>
                </c:pt>
                <c:pt idx="19">
                  <c:v>-48.538743382571738</c:v>
                </c:pt>
                <c:pt idx="20">
                  <c:v>-50.572877970400896</c:v>
                </c:pt>
                <c:pt idx="21">
                  <c:v>-52.286496822758181</c:v>
                </c:pt>
                <c:pt idx="22">
                  <c:v>-53.977201259319372</c:v>
                </c:pt>
                <c:pt idx="23">
                  <c:v>-55.815035899096529</c:v>
                </c:pt>
                <c:pt idx="24">
                  <c:v>-57.07262396449687</c:v>
                </c:pt>
                <c:pt idx="25">
                  <c:v>-58.651593610476084</c:v>
                </c:pt>
                <c:pt idx="26">
                  <c:v>-60.02256690601962</c:v>
                </c:pt>
                <c:pt idx="27">
                  <c:v>-60.779815318708188</c:v>
                </c:pt>
                <c:pt idx="28">
                  <c:v>-62.02650952797012</c:v>
                </c:pt>
                <c:pt idx="29">
                  <c:v>-63.090846554147902</c:v>
                </c:pt>
                <c:pt idx="30">
                  <c:v>-64.175704069578842</c:v>
                </c:pt>
                <c:pt idx="31">
                  <c:v>-63.316246960189801</c:v>
                </c:pt>
                <c:pt idx="32">
                  <c:v>-64.128686737684347</c:v>
                </c:pt>
                <c:pt idx="33">
                  <c:v>-64.773484705745886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3C8-4533-9369-162314A72752}"/>
            </c:ext>
          </c:extLst>
        </c:ser>
        <c:ser>
          <c:idx val="7"/>
          <c:order val="7"/>
          <c:tx>
            <c:strRef>
              <c:f>Fish_Curves_NC_MF!$A$119</c:f>
              <c:strCache>
                <c:ptCount val="1"/>
                <c:pt idx="0">
                  <c:v>Environmental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Fish_Curves_NC_MF!$B$119:$AJ$119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-6.0609896099126814E-2</c:v>
                </c:pt>
                <c:pt idx="3">
                  <c:v>-0.15443227389958381</c:v>
                </c:pt>
                <c:pt idx="4">
                  <c:v>-0.37888892105586081</c:v>
                </c:pt>
                <c:pt idx="5">
                  <c:v>-0.6807969324696046</c:v>
                </c:pt>
                <c:pt idx="6">
                  <c:v>-0.98498142048732262</c:v>
                </c:pt>
                <c:pt idx="7">
                  <c:v>-1.2155269821452706</c:v>
                </c:pt>
                <c:pt idx="8">
                  <c:v>-1.4844240548886205</c:v>
                </c:pt>
                <c:pt idx="9">
                  <c:v>-1.8206252819846966</c:v>
                </c:pt>
                <c:pt idx="10">
                  <c:v>-2.0533081018703427</c:v>
                </c:pt>
                <c:pt idx="11">
                  <c:v>-2.3148165605662285</c:v>
                </c:pt>
                <c:pt idx="12">
                  <c:v>-2.5346796642025282</c:v>
                </c:pt>
                <c:pt idx="13">
                  <c:v>-2.7849865271702612</c:v>
                </c:pt>
                <c:pt idx="14">
                  <c:v>-2.8482709338614711</c:v>
                </c:pt>
                <c:pt idx="15">
                  <c:v>-2.8707754454098335</c:v>
                </c:pt>
                <c:pt idx="16">
                  <c:v>-2.8950130044304103</c:v>
                </c:pt>
                <c:pt idx="17">
                  <c:v>-2.9183893989907546</c:v>
                </c:pt>
                <c:pt idx="18">
                  <c:v>-2.9388477275989544</c:v>
                </c:pt>
                <c:pt idx="19">
                  <c:v>-2.9566506195436375</c:v>
                </c:pt>
                <c:pt idx="20">
                  <c:v>-2.9738358385799017</c:v>
                </c:pt>
                <c:pt idx="21">
                  <c:v>-2.990282669213272</c:v>
                </c:pt>
                <c:pt idx="22">
                  <c:v>-3.0070436879152993</c:v>
                </c:pt>
                <c:pt idx="23">
                  <c:v>-3.020844076585675</c:v>
                </c:pt>
                <c:pt idx="24">
                  <c:v>-3.0351318065443849</c:v>
                </c:pt>
                <c:pt idx="25">
                  <c:v>-3.0494256141383715</c:v>
                </c:pt>
                <c:pt idx="26">
                  <c:v>-3.0624106487904044</c:v>
                </c:pt>
                <c:pt idx="27">
                  <c:v>-3.0741445687645523</c:v>
                </c:pt>
                <c:pt idx="28">
                  <c:v>-3.0848179026539668</c:v>
                </c:pt>
                <c:pt idx="29">
                  <c:v>-3.0953821780879736</c:v>
                </c:pt>
                <c:pt idx="30">
                  <c:v>-3.1049029474718992</c:v>
                </c:pt>
                <c:pt idx="31">
                  <c:v>-3.1140187507122903</c:v>
                </c:pt>
                <c:pt idx="32">
                  <c:v>-3.1207281909355089</c:v>
                </c:pt>
                <c:pt idx="33">
                  <c:v>-3.1240057858045986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3C8-4533-9369-162314A72752}"/>
            </c:ext>
          </c:extLst>
        </c:ser>
        <c:ser>
          <c:idx val="8"/>
          <c:order val="8"/>
          <c:tx>
            <c:strRef>
              <c:f>Fish_Curves_NC_MF!$A$120</c:f>
              <c:strCache>
                <c:ptCount val="1"/>
                <c:pt idx="0">
                  <c:v>CO2 Costs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Fish_Curves_NC_MF!$B$120:$AJ$120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C8-4533-9369-162314A72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639424"/>
        <c:axId val="55538432"/>
      </c:barChart>
      <c:lineChart>
        <c:grouping val="standard"/>
        <c:varyColors val="0"/>
        <c:ser>
          <c:idx val="9"/>
          <c:order val="9"/>
          <c:tx>
            <c:strRef>
              <c:f>Fish_Curves_NC_MF!$A$121</c:f>
              <c:strCache>
                <c:ptCount val="1"/>
                <c:pt idx="0">
                  <c:v>CPVRR With CO2 Costs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dLbls>
            <c:dLbl>
              <c:idx val="3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C8-4533-9369-162314A727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baseline="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Fish_Curves_NC_MF!$B$110:$AG$110</c:f>
              <c:numCache>
                <c:formatCode>General</c:formatCode>
                <c:ptCount val="32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</c:numCache>
            </c:numRef>
          </c:cat>
          <c:val>
            <c:numRef>
              <c:f>Fish_Curves_NC_MF!$B$121:$AJ$121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0.95602539473914416</c:v>
                </c:pt>
                <c:pt idx="2">
                  <c:v>20.016294724069532</c:v>
                </c:pt>
                <c:pt idx="3">
                  <c:v>69.08640887450531</c:v>
                </c:pt>
                <c:pt idx="4">
                  <c:v>134.642567038631</c:v>
                </c:pt>
                <c:pt idx="5">
                  <c:v>191.48985654684572</c:v>
                </c:pt>
                <c:pt idx="6">
                  <c:v>238.84865748274535</c:v>
                </c:pt>
                <c:pt idx="7">
                  <c:v>264.39007261334558</c:v>
                </c:pt>
                <c:pt idx="8">
                  <c:v>274.4047858059086</c:v>
                </c:pt>
                <c:pt idx="9">
                  <c:v>279.6056265268985</c:v>
                </c:pt>
                <c:pt idx="10">
                  <c:v>284.16009659296788</c:v>
                </c:pt>
                <c:pt idx="11">
                  <c:v>283.4373167983822</c:v>
                </c:pt>
                <c:pt idx="12">
                  <c:v>281.0644783128983</c:v>
                </c:pt>
                <c:pt idx="13">
                  <c:v>279.420736819713</c:v>
                </c:pt>
                <c:pt idx="14">
                  <c:v>260.38886602821549</c:v>
                </c:pt>
                <c:pt idx="15">
                  <c:v>230.73695197029218</c:v>
                </c:pt>
                <c:pt idx="16">
                  <c:v>212.78630829920476</c:v>
                </c:pt>
                <c:pt idx="17">
                  <c:v>200.45638538039515</c:v>
                </c:pt>
                <c:pt idx="18">
                  <c:v>178.69242370257689</c:v>
                </c:pt>
                <c:pt idx="19">
                  <c:v>150.38558291009363</c:v>
                </c:pt>
                <c:pt idx="20">
                  <c:v>122.28117720709989</c:v>
                </c:pt>
                <c:pt idx="21">
                  <c:v>94.962190805976846</c:v>
                </c:pt>
                <c:pt idx="22">
                  <c:v>69.09992071575364</c:v>
                </c:pt>
                <c:pt idx="23">
                  <c:v>43.359170279504653</c:v>
                </c:pt>
                <c:pt idx="24">
                  <c:v>19.576763394802967</c:v>
                </c:pt>
                <c:pt idx="25">
                  <c:v>-4.973413362073174</c:v>
                </c:pt>
                <c:pt idx="26">
                  <c:v>-22.013510941659632</c:v>
                </c:pt>
                <c:pt idx="27">
                  <c:v>-33.342758153995931</c:v>
                </c:pt>
                <c:pt idx="28">
                  <c:v>-46.64823455528186</c:v>
                </c:pt>
                <c:pt idx="29">
                  <c:v>-58.24550546286919</c:v>
                </c:pt>
                <c:pt idx="30">
                  <c:v>-69.966066177795781</c:v>
                </c:pt>
                <c:pt idx="31">
                  <c:v>-80.114112738299838</c:v>
                </c:pt>
                <c:pt idx="32">
                  <c:v>-89.968923893788386</c:v>
                </c:pt>
                <c:pt idx="33">
                  <c:v>-95.586385090149435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C8-4533-9369-162314A72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39424"/>
        <c:axId val="55538432"/>
      </c:lineChart>
      <c:catAx>
        <c:axId val="5563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5400000" vert="horz"/>
          <a:lstStyle/>
          <a:p>
            <a:pPr>
              <a:defRPr/>
            </a:pPr>
            <a:endParaRPr lang="en-US"/>
          </a:p>
        </c:txPr>
        <c:crossAx val="55538432"/>
        <c:crosses val="autoZero"/>
        <c:auto val="1"/>
        <c:lblAlgn val="ctr"/>
        <c:lblOffset val="100"/>
        <c:noMultiLvlLbl val="0"/>
      </c:catAx>
      <c:valAx>
        <c:axId val="55538432"/>
        <c:scaling>
          <c:orientation val="minMax"/>
          <c:max val="1600"/>
          <c:min val="-1600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55639424"/>
        <c:crosses val="autoZero"/>
        <c:crossBetween val="between"/>
        <c:majorUnit val="200"/>
      </c:valAx>
    </c:plotArea>
    <c:legend>
      <c:legendPos val="b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Fish</a:t>
            </a:r>
            <a:r>
              <a:rPr lang="en-US" baseline="0"/>
              <a:t> Curve Low Carbon Mid Fuel $M (Clean Energy Connection - SoBra 700MWs</a:t>
            </a:r>
            <a:r>
              <a:rPr lang="en-US" sz="1800" b="1" i="0" u="none" strike="noStrike" baseline="0">
                <a:effectLst/>
              </a:rPr>
              <a:t>) - Addition of 450MWs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Fish_Curves_LC_MF!$A$111</c:f>
              <c:strCache>
                <c:ptCount val="1"/>
                <c:pt idx="0">
                  <c:v>Existing Solar</c:v>
                </c:pt>
              </c:strCache>
            </c:strRef>
          </c:tx>
          <c:invertIfNegative val="0"/>
          <c:dLbls>
            <c:dLbl>
              <c:idx val="3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2F-43DB-A4EE-43D57D7B967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Fish_Curves_LC_MF!$B$111:$AJ$111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2F-43DB-A4EE-43D57D7B9673}"/>
            </c:ext>
          </c:extLst>
        </c:ser>
        <c:ser>
          <c:idx val="1"/>
          <c:order val="1"/>
          <c:tx>
            <c:strRef>
              <c:f>Fish_Curves_LC_MF!$A$112</c:f>
              <c:strCache>
                <c:ptCount val="1"/>
                <c:pt idx="0">
                  <c:v>New Solar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Fish_Curves_LC_MF!$B$112:$AJ$112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27.104402529171068</c:v>
                </c:pt>
                <c:pt idx="3">
                  <c:v>98.781674233069964</c:v>
                </c:pt>
                <c:pt idx="4">
                  <c:v>205.49827041468927</c:v>
                </c:pt>
                <c:pt idx="5">
                  <c:v>300.46649364736896</c:v>
                </c:pt>
                <c:pt idx="6">
                  <c:v>385.39678406731878</c:v>
                </c:pt>
                <c:pt idx="7">
                  <c:v>456.76610212359998</c:v>
                </c:pt>
                <c:pt idx="8">
                  <c:v>521.38216806475043</c:v>
                </c:pt>
                <c:pt idx="9">
                  <c:v>580.22999313960736</c:v>
                </c:pt>
                <c:pt idx="10">
                  <c:v>634.01636784102379</c:v>
                </c:pt>
                <c:pt idx="11">
                  <c:v>683.26715478238884</c:v>
                </c:pt>
                <c:pt idx="12">
                  <c:v>728.35372964352109</c:v>
                </c:pt>
                <c:pt idx="13">
                  <c:v>769.60576167263162</c:v>
                </c:pt>
                <c:pt idx="14">
                  <c:v>807.31002678440973</c:v>
                </c:pt>
                <c:pt idx="15">
                  <c:v>841.7817862456186</c:v>
                </c:pt>
                <c:pt idx="16">
                  <c:v>873.29202848516286</c:v>
                </c:pt>
                <c:pt idx="17">
                  <c:v>902.06344495740177</c:v>
                </c:pt>
                <c:pt idx="18">
                  <c:v>930.24970017284386</c:v>
                </c:pt>
                <c:pt idx="19">
                  <c:v>955.84915294119799</c:v>
                </c:pt>
                <c:pt idx="20">
                  <c:v>979.07310442426649</c:v>
                </c:pt>
                <c:pt idx="21">
                  <c:v>1000.1248911355183</c:v>
                </c:pt>
                <c:pt idx="22">
                  <c:v>1019.2432452792501</c:v>
                </c:pt>
                <c:pt idx="23">
                  <c:v>1036.6317832813522</c:v>
                </c:pt>
                <c:pt idx="24">
                  <c:v>1052.4528204477485</c:v>
                </c:pt>
                <c:pt idx="25">
                  <c:v>1066.8199714822242</c:v>
                </c:pt>
                <c:pt idx="26">
                  <c:v>1079.8900698837747</c:v>
                </c:pt>
                <c:pt idx="27">
                  <c:v>1091.7640225794905</c:v>
                </c:pt>
                <c:pt idx="28">
                  <c:v>1102.5564189601394</c:v>
                </c:pt>
                <c:pt idx="29">
                  <c:v>1112.3456472165315</c:v>
                </c:pt>
                <c:pt idx="30">
                  <c:v>1121.2349572228359</c:v>
                </c:pt>
                <c:pt idx="31">
                  <c:v>1129.7914422876931</c:v>
                </c:pt>
                <c:pt idx="32">
                  <c:v>1136.619048814528</c:v>
                </c:pt>
                <c:pt idx="33">
                  <c:v>1140.2982843495179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2F-43DB-A4EE-43D57D7B9673}"/>
            </c:ext>
          </c:extLst>
        </c:ser>
        <c:ser>
          <c:idx val="2"/>
          <c:order val="2"/>
          <c:tx>
            <c:strRef>
              <c:f>Fish_Curves_LC_MF!$A$113</c:f>
              <c:strCache>
                <c:ptCount val="1"/>
                <c:pt idx="0">
                  <c:v>Conv Gen Capital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Fish_Curves_LC_MF!$B$113:$AJ$113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-6.8065319934405428</c:v>
                </c:pt>
                <c:pt idx="8">
                  <c:v>-23.963273112755651</c:v>
                </c:pt>
                <c:pt idx="9">
                  <c:v>-37.68962653509206</c:v>
                </c:pt>
                <c:pt idx="10">
                  <c:v>-51.938491893392545</c:v>
                </c:pt>
                <c:pt idx="11">
                  <c:v>-63.218316402033011</c:v>
                </c:pt>
                <c:pt idx="12">
                  <c:v>-75.08199699487605</c:v>
                </c:pt>
                <c:pt idx="13">
                  <c:v>-84.363118834522751</c:v>
                </c:pt>
                <c:pt idx="14">
                  <c:v>-95.555131916288076</c:v>
                </c:pt>
                <c:pt idx="15">
                  <c:v>-109.74311048334511</c:v>
                </c:pt>
                <c:pt idx="16">
                  <c:v>-117.75217666752008</c:v>
                </c:pt>
                <c:pt idx="17">
                  <c:v>-121.79306183603046</c:v>
                </c:pt>
                <c:pt idx="18">
                  <c:v>-129.86103987438742</c:v>
                </c:pt>
                <c:pt idx="19">
                  <c:v>-140.0916504003319</c:v>
                </c:pt>
                <c:pt idx="20">
                  <c:v>-149.36500250181143</c:v>
                </c:pt>
                <c:pt idx="21">
                  <c:v>-157.76503353992234</c:v>
                </c:pt>
                <c:pt idx="22">
                  <c:v>-165.37771678192939</c:v>
                </c:pt>
                <c:pt idx="23">
                  <c:v>-172.3006922359657</c:v>
                </c:pt>
                <c:pt idx="24">
                  <c:v>-178.6115897763425</c:v>
                </c:pt>
                <c:pt idx="25">
                  <c:v>-184.36170521052736</c:v>
                </c:pt>
                <c:pt idx="26">
                  <c:v>-186.67226590371502</c:v>
                </c:pt>
                <c:pt idx="27">
                  <c:v>-186.84205217319368</c:v>
                </c:pt>
                <c:pt idx="28">
                  <c:v>-187.00038054764764</c:v>
                </c:pt>
                <c:pt idx="29">
                  <c:v>-187.1452413173879</c:v>
                </c:pt>
                <c:pt idx="30">
                  <c:v>-187.2820530561703</c:v>
                </c:pt>
                <c:pt idx="31">
                  <c:v>-187.40756014500812</c:v>
                </c:pt>
                <c:pt idx="32">
                  <c:v>-187.50714140350556</c:v>
                </c:pt>
                <c:pt idx="33">
                  <c:v>-187.58269552528463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2F-43DB-A4EE-43D57D7B9673}"/>
            </c:ext>
          </c:extLst>
        </c:ser>
        <c:ser>
          <c:idx val="3"/>
          <c:order val="3"/>
          <c:tx>
            <c:strRef>
              <c:f>Fish_Curves_LC_MF!$A$114</c:f>
              <c:strCache>
                <c:ptCount val="1"/>
                <c:pt idx="0">
                  <c:v>Fixed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Fish_Curves_LC_MF!$B$114:$AJ$114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-0.16330587684274178</c:v>
                </c:pt>
                <c:pt idx="8">
                  <c:v>-0.5891213502827668</c:v>
                </c:pt>
                <c:pt idx="9">
                  <c:v>-0.9551235061674106</c:v>
                </c:pt>
                <c:pt idx="10">
                  <c:v>-1.3480835154748547</c:v>
                </c:pt>
                <c:pt idx="11">
                  <c:v>-1.6858319651919373</c:v>
                </c:pt>
                <c:pt idx="12">
                  <c:v>-2.0484601922203183</c:v>
                </c:pt>
                <c:pt idx="13">
                  <c:v>-2.3601402918520762</c:v>
                </c:pt>
                <c:pt idx="14">
                  <c:v>-2.968785690347886</c:v>
                </c:pt>
                <c:pt idx="15">
                  <c:v>-3.8260816941933626</c:v>
                </c:pt>
                <c:pt idx="16">
                  <c:v>-4.4094305986191102</c:v>
                </c:pt>
                <c:pt idx="17">
                  <c:v>-4.8049963842986472</c:v>
                </c:pt>
                <c:pt idx="18">
                  <c:v>-5.4066560985465912</c:v>
                </c:pt>
                <c:pt idx="19">
                  <c:v>-6.1367321643733703</c:v>
                </c:pt>
                <c:pt idx="20">
                  <c:v>-6.8380706023322091</c:v>
                </c:pt>
                <c:pt idx="21">
                  <c:v>-7.5118014416261758</c:v>
                </c:pt>
                <c:pt idx="22">
                  <c:v>-8.1590154177656586</c:v>
                </c:pt>
                <c:pt idx="23">
                  <c:v>-8.7807507171592079</c:v>
                </c:pt>
                <c:pt idx="24">
                  <c:v>-9.3780136805639813</c:v>
                </c:pt>
                <c:pt idx="25">
                  <c:v>-9.9517661686827523</c:v>
                </c:pt>
                <c:pt idx="26">
                  <c:v>-10.342178555049941</c:v>
                </c:pt>
                <c:pt idx="27">
                  <c:v>-10.606914816706649</c:v>
                </c:pt>
                <c:pt idx="28">
                  <c:v>-10.861229775078755</c:v>
                </c:pt>
                <c:pt idx="29">
                  <c:v>-11.105534743956468</c:v>
                </c:pt>
                <c:pt idx="30">
                  <c:v>-11.340224138767098</c:v>
                </c:pt>
                <c:pt idx="31">
                  <c:v>-11.565674855845828</c:v>
                </c:pt>
                <c:pt idx="32">
                  <c:v>-11.782251067264042</c:v>
                </c:pt>
                <c:pt idx="33">
                  <c:v>-11.990301872081091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2F-43DB-A4EE-43D57D7B9673}"/>
            </c:ext>
          </c:extLst>
        </c:ser>
        <c:ser>
          <c:idx val="4"/>
          <c:order val="4"/>
          <c:tx>
            <c:strRef>
              <c:f>Fish_Curves_LC_MF!$A$115</c:f>
              <c:strCache>
                <c:ptCount val="1"/>
                <c:pt idx="0">
                  <c:v>Gas Reservation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Fish_Curves_LC_MF!$B$115:$AJ$115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-10.406972306614989</c:v>
                </c:pt>
                <c:pt idx="15">
                  <c:v>-27.12724599124067</c:v>
                </c:pt>
                <c:pt idx="16">
                  <c:v>-37.995702622427416</c:v>
                </c:pt>
                <c:pt idx="17">
                  <c:v>-44.967141172227457</c:v>
                </c:pt>
                <c:pt idx="18">
                  <c:v>-55.932130000884172</c:v>
                </c:pt>
                <c:pt idx="19">
                  <c:v>-69.175066667597093</c:v>
                </c:pt>
                <c:pt idx="20">
                  <c:v>-81.58644670499325</c:v>
                </c:pt>
                <c:pt idx="21">
                  <c:v>-93.218467670440077</c:v>
                </c:pt>
                <c:pt idx="22">
                  <c:v>-104.12008057151434</c:v>
                </c:pt>
                <c:pt idx="23">
                  <c:v>-114.33714983212849</c:v>
                </c:pt>
                <c:pt idx="24">
                  <c:v>-123.91267046150278</c:v>
                </c:pt>
                <c:pt idx="25">
                  <c:v>-132.88691659962296</c:v>
                </c:pt>
                <c:pt idx="26">
                  <c:v>-138.08391646269411</c:v>
                </c:pt>
                <c:pt idx="27">
                  <c:v>-140.80321552577152</c:v>
                </c:pt>
                <c:pt idx="28">
                  <c:v>-143.35176197664168</c:v>
                </c:pt>
                <c:pt idx="29">
                  <c:v>-145.74027786311763</c:v>
                </c:pt>
                <c:pt idx="30">
                  <c:v>-147.97881196478193</c:v>
                </c:pt>
                <c:pt idx="31">
                  <c:v>-150.07678206943456</c:v>
                </c:pt>
                <c:pt idx="32">
                  <c:v>-152.04301459488215</c:v>
                </c:pt>
                <c:pt idx="33">
                  <c:v>-153.88578172276175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2F-43DB-A4EE-43D57D7B9673}"/>
            </c:ext>
          </c:extLst>
        </c:ser>
        <c:ser>
          <c:idx val="5"/>
          <c:order val="5"/>
          <c:tx>
            <c:strRef>
              <c:f>Fish_Curves_LC_MF!$A$117</c:f>
              <c:strCache>
                <c:ptCount val="1"/>
                <c:pt idx="0">
                  <c:v>Fuel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Fish_Curves_LC_MF!$B$117:$AJ$117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-7.3073960310553048</c:v>
                </c:pt>
                <c:pt idx="3">
                  <c:v>-27.218238857726192</c:v>
                </c:pt>
                <c:pt idx="4">
                  <c:v>-64.549983713587608</c:v>
                </c:pt>
                <c:pt idx="5">
                  <c:v>-99.752477786587406</c:v>
                </c:pt>
                <c:pt idx="6">
                  <c:v>-134.97552693680063</c:v>
                </c:pt>
                <c:pt idx="7">
                  <c:v>-171.32619698063809</c:v>
                </c:pt>
                <c:pt idx="8">
                  <c:v>-205.33294757856129</c:v>
                </c:pt>
                <c:pt idx="9">
                  <c:v>-242.9050612541796</c:v>
                </c:pt>
                <c:pt idx="10">
                  <c:v>-275.46198179805651</c:v>
                </c:pt>
                <c:pt idx="11">
                  <c:v>-312.06613949142229</c:v>
                </c:pt>
                <c:pt idx="12">
                  <c:v>-344.51745090432451</c:v>
                </c:pt>
                <c:pt idx="13">
                  <c:v>-376.37250593012141</c:v>
                </c:pt>
                <c:pt idx="14">
                  <c:v>-408.6603997086786</c:v>
                </c:pt>
                <c:pt idx="15">
                  <c:v>-437.98933539243262</c:v>
                </c:pt>
                <c:pt idx="16">
                  <c:v>-465.93418867666696</c:v>
                </c:pt>
                <c:pt idx="17">
                  <c:v>-494.96471214567282</c:v>
                </c:pt>
                <c:pt idx="18">
                  <c:v>-522.81480852996538</c:v>
                </c:pt>
                <c:pt idx="19">
                  <c:v>-550.36855497085526</c:v>
                </c:pt>
                <c:pt idx="20">
                  <c:v>-577.44459602771713</c:v>
                </c:pt>
                <c:pt idx="21">
                  <c:v>-603.31634187719646</c:v>
                </c:pt>
                <c:pt idx="22">
                  <c:v>-627.59916844051077</c:v>
                </c:pt>
                <c:pt idx="23">
                  <c:v>-651.37060457223924</c:v>
                </c:pt>
                <c:pt idx="24">
                  <c:v>-673.34747411666467</c:v>
                </c:pt>
                <c:pt idx="25">
                  <c:v>-695.43823751849413</c:v>
                </c:pt>
                <c:pt idx="26">
                  <c:v>-716.40054577902629</c:v>
                </c:pt>
                <c:pt idx="27">
                  <c:v>-735.76409696952396</c:v>
                </c:pt>
                <c:pt idx="28">
                  <c:v>-755.73570092062073</c:v>
                </c:pt>
                <c:pt idx="29">
                  <c:v>-773.28757971241794</c:v>
                </c:pt>
                <c:pt idx="30">
                  <c:v>-790.27138896260658</c:v>
                </c:pt>
                <c:pt idx="31">
                  <c:v>-807.44063603705945</c:v>
                </c:pt>
                <c:pt idx="32">
                  <c:v>-821.09440086808536</c:v>
                </c:pt>
                <c:pt idx="33">
                  <c:v>-827.68482416289771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2F-43DB-A4EE-43D57D7B9673}"/>
            </c:ext>
          </c:extLst>
        </c:ser>
        <c:ser>
          <c:idx val="6"/>
          <c:order val="6"/>
          <c:tx>
            <c:strRef>
              <c:f>Fish_Curves_LC_MF!$A$118</c:f>
              <c:strCache>
                <c:ptCount val="1"/>
                <c:pt idx="0">
                  <c:v>Variable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Fish_Curves_LC_MF!$B$118:$AJ$118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-1.2273285029543217</c:v>
                </c:pt>
                <c:pt idx="3">
                  <c:v>-4.3921309591090676</c:v>
                </c:pt>
                <c:pt idx="4">
                  <c:v>-8.5169161218398131</c:v>
                </c:pt>
                <c:pt idx="5">
                  <c:v>-11.72369186114156</c:v>
                </c:pt>
                <c:pt idx="6">
                  <c:v>-14.848231224210167</c:v>
                </c:pt>
                <c:pt idx="7">
                  <c:v>-18.192683248866501</c:v>
                </c:pt>
                <c:pt idx="8">
                  <c:v>-21.751425145675171</c:v>
                </c:pt>
                <c:pt idx="9">
                  <c:v>-24.592751946282078</c:v>
                </c:pt>
                <c:pt idx="10">
                  <c:v>-27.606766353828334</c:v>
                </c:pt>
                <c:pt idx="11">
                  <c:v>-30.302795615961713</c:v>
                </c:pt>
                <c:pt idx="12">
                  <c:v>-32.948748650044308</c:v>
                </c:pt>
                <c:pt idx="13">
                  <c:v>-35.543072950307533</c:v>
                </c:pt>
                <c:pt idx="14">
                  <c:v>-38.294275840018372</c:v>
                </c:pt>
                <c:pt idx="15">
                  <c:v>-41.008490805239489</c:v>
                </c:pt>
                <c:pt idx="16">
                  <c:v>-42.756202691533872</c:v>
                </c:pt>
                <c:pt idx="17">
                  <c:v>-43.582262713799309</c:v>
                </c:pt>
                <c:pt idx="18">
                  <c:v>-45.726472313889872</c:v>
                </c:pt>
                <c:pt idx="19">
                  <c:v>-47.697617609778717</c:v>
                </c:pt>
                <c:pt idx="20">
                  <c:v>-49.414472107072925</c:v>
                </c:pt>
                <c:pt idx="21">
                  <c:v>-51.148185809817733</c:v>
                </c:pt>
                <c:pt idx="22">
                  <c:v>-52.737481401382865</c:v>
                </c:pt>
                <c:pt idx="23">
                  <c:v>-54.504219174956233</c:v>
                </c:pt>
                <c:pt idx="24">
                  <c:v>-55.744136850788436</c:v>
                </c:pt>
                <c:pt idx="25">
                  <c:v>-57.340631827511515</c:v>
                </c:pt>
                <c:pt idx="26">
                  <c:v>-58.729671177685759</c:v>
                </c:pt>
                <c:pt idx="27">
                  <c:v>-59.455707259080555</c:v>
                </c:pt>
                <c:pt idx="28">
                  <c:v>-60.713641009578623</c:v>
                </c:pt>
                <c:pt idx="29">
                  <c:v>-61.818397673303934</c:v>
                </c:pt>
                <c:pt idx="30">
                  <c:v>-62.895452216529065</c:v>
                </c:pt>
                <c:pt idx="31">
                  <c:v>-62.035389708511502</c:v>
                </c:pt>
                <c:pt idx="32">
                  <c:v>-62.794293299648871</c:v>
                </c:pt>
                <c:pt idx="33">
                  <c:v>-63.420006865712367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2F-43DB-A4EE-43D57D7B9673}"/>
            </c:ext>
          </c:extLst>
        </c:ser>
        <c:ser>
          <c:idx val="7"/>
          <c:order val="7"/>
          <c:tx>
            <c:strRef>
              <c:f>Fish_Curves_LC_MF!$A$119</c:f>
              <c:strCache>
                <c:ptCount val="1"/>
                <c:pt idx="0">
                  <c:v>Environmental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Fish_Curves_LC_MF!$B$119:$AJ$119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-6.0609896099126814E-2</c:v>
                </c:pt>
                <c:pt idx="3">
                  <c:v>-0.15443227389958381</c:v>
                </c:pt>
                <c:pt idx="4">
                  <c:v>-0.37888892105586081</c:v>
                </c:pt>
                <c:pt idx="5">
                  <c:v>-0.62579872962479044</c:v>
                </c:pt>
                <c:pt idx="6">
                  <c:v>-0.86217149183199382</c:v>
                </c:pt>
                <c:pt idx="7">
                  <c:v>-1.0138001696614722</c:v>
                </c:pt>
                <c:pt idx="8">
                  <c:v>-1.103879624164442</c:v>
                </c:pt>
                <c:pt idx="9">
                  <c:v>-1.2838213214984364</c:v>
                </c:pt>
                <c:pt idx="10">
                  <c:v>-1.3194680607522926</c:v>
                </c:pt>
                <c:pt idx="11">
                  <c:v>-1.4597392367439639</c:v>
                </c:pt>
                <c:pt idx="12">
                  <c:v>-1.543770573169823</c:v>
                </c:pt>
                <c:pt idx="13">
                  <c:v>-1.5375413181199491</c:v>
                </c:pt>
                <c:pt idx="14">
                  <c:v>-1.5419580026727289</c:v>
                </c:pt>
                <c:pt idx="15">
                  <c:v>-1.5645910466236899</c:v>
                </c:pt>
                <c:pt idx="16">
                  <c:v>-1.589122673382704</c:v>
                </c:pt>
                <c:pt idx="17">
                  <c:v>-1.6128211574703641</c:v>
                </c:pt>
                <c:pt idx="18">
                  <c:v>-1.6335128865418511</c:v>
                </c:pt>
                <c:pt idx="19">
                  <c:v>-1.6512691129768342</c:v>
                </c:pt>
                <c:pt idx="20">
                  <c:v>-1.6682848579268494</c:v>
                </c:pt>
                <c:pt idx="21">
                  <c:v>-1.6851467020434825</c:v>
                </c:pt>
                <c:pt idx="22">
                  <c:v>-1.7016988382606115</c:v>
                </c:pt>
                <c:pt idx="23">
                  <c:v>-1.7156747414126983</c:v>
                </c:pt>
                <c:pt idx="24">
                  <c:v>-1.7299350558010076</c:v>
                </c:pt>
                <c:pt idx="25">
                  <c:v>-1.7439976167843128</c:v>
                </c:pt>
                <c:pt idx="26">
                  <c:v>-1.7569493089793013</c:v>
                </c:pt>
                <c:pt idx="27">
                  <c:v>-1.7686120511580725</c:v>
                </c:pt>
                <c:pt idx="28">
                  <c:v>-1.7791682386999099</c:v>
                </c:pt>
                <c:pt idx="29">
                  <c:v>-1.7896760940716945</c:v>
                </c:pt>
                <c:pt idx="30">
                  <c:v>-1.7991982925714041</c:v>
                </c:pt>
                <c:pt idx="31">
                  <c:v>-1.8082806113743715</c:v>
                </c:pt>
                <c:pt idx="32">
                  <c:v>-1.8149197562463257</c:v>
                </c:pt>
                <c:pt idx="33">
                  <c:v>-1.8181573517523333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02F-43DB-A4EE-43D57D7B9673}"/>
            </c:ext>
          </c:extLst>
        </c:ser>
        <c:ser>
          <c:idx val="8"/>
          <c:order val="8"/>
          <c:tx>
            <c:strRef>
              <c:f>Fish_Curves_LC_MF!$A$120</c:f>
              <c:strCache>
                <c:ptCount val="1"/>
                <c:pt idx="0">
                  <c:v>CO2 Costs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Fish_Curves_LC_MF!$B$120:$AJ$120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-3.3712226253887536</c:v>
                </c:pt>
                <c:pt idx="6">
                  <c:v>-8.4230139409305878</c:v>
                </c:pt>
                <c:pt idx="7">
                  <c:v>-14.657236271695012</c:v>
                </c:pt>
                <c:pt idx="8">
                  <c:v>-21.894831480763571</c:v>
                </c:pt>
                <c:pt idx="9">
                  <c:v>-30.57960759873913</c:v>
                </c:pt>
                <c:pt idx="10">
                  <c:v>-38.939286621663655</c:v>
                </c:pt>
                <c:pt idx="11">
                  <c:v>-49.188138355182446</c:v>
                </c:pt>
                <c:pt idx="12">
                  <c:v>-59.377608080530763</c:v>
                </c:pt>
                <c:pt idx="13">
                  <c:v>-68.965233634752167</c:v>
                </c:pt>
                <c:pt idx="14">
                  <c:v>-79.288890916674291</c:v>
                </c:pt>
                <c:pt idx="15">
                  <c:v>-89.606992090626136</c:v>
                </c:pt>
                <c:pt idx="16">
                  <c:v>-99.986527448291781</c:v>
                </c:pt>
                <c:pt idx="17">
                  <c:v>-110.80987782198326</c:v>
                </c:pt>
                <c:pt idx="18">
                  <c:v>-121.60026132006169</c:v>
                </c:pt>
                <c:pt idx="19">
                  <c:v>-132.88290242188759</c:v>
                </c:pt>
                <c:pt idx="20">
                  <c:v>-144.06268693998163</c:v>
                </c:pt>
                <c:pt idx="21">
                  <c:v>-155.01181858957443</c:v>
                </c:pt>
                <c:pt idx="22">
                  <c:v>-165.4765717805949</c:v>
                </c:pt>
                <c:pt idx="23">
                  <c:v>-175.89183514420802</c:v>
                </c:pt>
                <c:pt idx="24">
                  <c:v>-185.65906442183223</c:v>
                </c:pt>
                <c:pt idx="25">
                  <c:v>-195.34770051670421</c:v>
                </c:pt>
                <c:pt idx="26">
                  <c:v>-204.66620594908909</c:v>
                </c:pt>
                <c:pt idx="27">
                  <c:v>-213.50120014528784</c:v>
                </c:pt>
                <c:pt idx="28">
                  <c:v>-222.67704251156374</c:v>
                </c:pt>
                <c:pt idx="29">
                  <c:v>-230.94007779588901</c:v>
                </c:pt>
                <c:pt idx="30">
                  <c:v>-239.08952340455198</c:v>
                </c:pt>
                <c:pt idx="31">
                  <c:v>-247.54996789657889</c:v>
                </c:pt>
                <c:pt idx="32">
                  <c:v>-254.28318677763127</c:v>
                </c:pt>
                <c:pt idx="33">
                  <c:v>-257.56912269038367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02F-43DB-A4EE-43D57D7B9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639424"/>
        <c:axId val="55538432"/>
      </c:barChart>
      <c:lineChart>
        <c:grouping val="standard"/>
        <c:varyColors val="0"/>
        <c:ser>
          <c:idx val="9"/>
          <c:order val="9"/>
          <c:tx>
            <c:strRef>
              <c:f>Fish_Curves_LC_MF!$A$121</c:f>
              <c:strCache>
                <c:ptCount val="1"/>
                <c:pt idx="0">
                  <c:v>CPVRR With CO2 Costs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dLbls>
            <c:dLbl>
              <c:idx val="3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2F-43DB-A4EE-43D57D7B96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baseline="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Fish_Curves_LC_MF!$B$110:$AG$110</c:f>
              <c:numCache>
                <c:formatCode>General</c:formatCode>
                <c:ptCount val="32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</c:numCache>
            </c:numRef>
          </c:cat>
          <c:val>
            <c:numRef>
              <c:f>Fish_Curves_LC_MF!$B$121:$AJ$121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0.95602539473914416</c:v>
                </c:pt>
                <c:pt idx="2">
                  <c:v>20.016294724069532</c:v>
                </c:pt>
                <c:pt idx="3">
                  <c:v>69.08640887450531</c:v>
                </c:pt>
                <c:pt idx="4">
                  <c:v>134.642567038631</c:v>
                </c:pt>
                <c:pt idx="5">
                  <c:v>188.05786203710375</c:v>
                </c:pt>
                <c:pt idx="6">
                  <c:v>229.69834791796856</c:v>
                </c:pt>
                <c:pt idx="7">
                  <c:v>248.37575087021037</c:v>
                </c:pt>
                <c:pt idx="8">
                  <c:v>250.82807446746006</c:v>
                </c:pt>
                <c:pt idx="9">
                  <c:v>246.60966263056196</c:v>
                </c:pt>
                <c:pt idx="10">
                  <c:v>242.09590569861626</c:v>
                </c:pt>
                <c:pt idx="11">
                  <c:v>230.2222849119388</c:v>
                </c:pt>
                <c:pt idx="12">
                  <c:v>217.88117408741527</c:v>
                </c:pt>
                <c:pt idx="13">
                  <c:v>205.69359347156472</c:v>
                </c:pt>
                <c:pt idx="14">
                  <c:v>175.97728435610946</c:v>
                </c:pt>
                <c:pt idx="15">
                  <c:v>136.4506000629689</c:v>
                </c:pt>
                <c:pt idx="16">
                  <c:v>108.55873431284692</c:v>
                </c:pt>
                <c:pt idx="17">
                  <c:v>85.356148117557439</c:v>
                </c:pt>
                <c:pt idx="18">
                  <c:v>53.230565816720798</c:v>
                </c:pt>
                <c:pt idx="19">
                  <c:v>13.938690293830064</c:v>
                </c:pt>
                <c:pt idx="20">
                  <c:v>-25.096140676967664</c:v>
                </c:pt>
                <c:pt idx="21">
                  <c:v>-63.207232484120084</c:v>
                </c:pt>
                <c:pt idx="22">
                  <c:v>-99.486889861204261</c:v>
                </c:pt>
                <c:pt idx="23">
                  <c:v>-135.72313628106187</c:v>
                </c:pt>
                <c:pt idx="24">
                  <c:v>-169.2863726751946</c:v>
                </c:pt>
                <c:pt idx="25">
                  <c:v>-203.50360448641493</c:v>
                </c:pt>
                <c:pt idx="26">
                  <c:v>-229.93171911184857</c:v>
                </c:pt>
                <c:pt idx="27">
                  <c:v>-250.06436625945577</c:v>
                </c:pt>
                <c:pt idx="28">
                  <c:v>-272.57325346748058</c:v>
                </c:pt>
                <c:pt idx="29">
                  <c:v>-292.41597642324354</c:v>
                </c:pt>
                <c:pt idx="30">
                  <c:v>-312.28682163780127</c:v>
                </c:pt>
                <c:pt idx="31">
                  <c:v>-330.88777735253814</c:v>
                </c:pt>
                <c:pt idx="32">
                  <c:v>-347.43318204545687</c:v>
                </c:pt>
                <c:pt idx="33">
                  <c:v>-356.32740047719403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02F-43DB-A4EE-43D57D7B9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39424"/>
        <c:axId val="55538432"/>
      </c:lineChart>
      <c:catAx>
        <c:axId val="5563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5400000" vert="horz"/>
          <a:lstStyle/>
          <a:p>
            <a:pPr>
              <a:defRPr/>
            </a:pPr>
            <a:endParaRPr lang="en-US"/>
          </a:p>
        </c:txPr>
        <c:crossAx val="55538432"/>
        <c:crosses val="autoZero"/>
        <c:auto val="1"/>
        <c:lblAlgn val="ctr"/>
        <c:lblOffset val="100"/>
        <c:noMultiLvlLbl val="0"/>
      </c:catAx>
      <c:valAx>
        <c:axId val="55538432"/>
        <c:scaling>
          <c:orientation val="minMax"/>
          <c:max val="1600"/>
          <c:min val="-1600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55639424"/>
        <c:crosses val="autoZero"/>
        <c:crossBetween val="between"/>
        <c:majorUnit val="200"/>
      </c:valAx>
    </c:plotArea>
    <c:legend>
      <c:legendPos val="b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Fish</a:t>
            </a:r>
            <a:r>
              <a:rPr lang="en-US" baseline="0"/>
              <a:t> Curve With Carbon Low Fuel $M (Clean Energy Connection - SoBra 700MWs</a:t>
            </a:r>
            <a:r>
              <a:rPr lang="en-US" sz="1800" b="1" i="0" u="none" strike="noStrike" baseline="0">
                <a:effectLst/>
              </a:rPr>
              <a:t>) - Addition of 750MWs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Fish_Curves_WC_LF!$A$111</c:f>
              <c:strCache>
                <c:ptCount val="1"/>
                <c:pt idx="0">
                  <c:v>Existing Solar</c:v>
                </c:pt>
              </c:strCache>
            </c:strRef>
          </c:tx>
          <c:invertIfNegative val="0"/>
          <c:dLbls>
            <c:dLbl>
              <c:idx val="3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1F-4812-9182-15D1B8F3E8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Fish_Curves_WC_LF!$B$111:$AJ$111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F-4812-9182-15D1B8F3E85D}"/>
            </c:ext>
          </c:extLst>
        </c:ser>
        <c:ser>
          <c:idx val="1"/>
          <c:order val="1"/>
          <c:tx>
            <c:strRef>
              <c:f>Fish_Curves_WC_LF!$A$112</c:f>
              <c:strCache>
                <c:ptCount val="1"/>
                <c:pt idx="0">
                  <c:v>New Solar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Fish_Curves_WC_LF!$B$112:$AJ$112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27.104402529171068</c:v>
                </c:pt>
                <c:pt idx="3">
                  <c:v>98.781674233069964</c:v>
                </c:pt>
                <c:pt idx="4">
                  <c:v>205.49827041468927</c:v>
                </c:pt>
                <c:pt idx="5">
                  <c:v>300.46649364736896</c:v>
                </c:pt>
                <c:pt idx="6">
                  <c:v>385.39678406731878</c:v>
                </c:pt>
                <c:pt idx="7">
                  <c:v>456.76610212359998</c:v>
                </c:pt>
                <c:pt idx="8">
                  <c:v>521.38216806475043</c:v>
                </c:pt>
                <c:pt idx="9">
                  <c:v>580.22999313960736</c:v>
                </c:pt>
                <c:pt idx="10">
                  <c:v>634.01636784102379</c:v>
                </c:pt>
                <c:pt idx="11">
                  <c:v>683.26715478238884</c:v>
                </c:pt>
                <c:pt idx="12">
                  <c:v>728.35372964352109</c:v>
                </c:pt>
                <c:pt idx="13">
                  <c:v>769.60576167263162</c:v>
                </c:pt>
                <c:pt idx="14">
                  <c:v>807.31002678440973</c:v>
                </c:pt>
                <c:pt idx="15">
                  <c:v>841.7817862456186</c:v>
                </c:pt>
                <c:pt idx="16">
                  <c:v>873.29202848516286</c:v>
                </c:pt>
                <c:pt idx="17">
                  <c:v>902.06344495740177</c:v>
                </c:pt>
                <c:pt idx="18">
                  <c:v>930.24970017284386</c:v>
                </c:pt>
                <c:pt idx="19">
                  <c:v>955.84915294119799</c:v>
                </c:pt>
                <c:pt idx="20">
                  <c:v>979.07310442426649</c:v>
                </c:pt>
                <c:pt idx="21">
                  <c:v>1000.1248911355183</c:v>
                </c:pt>
                <c:pt idx="22">
                  <c:v>1019.2432452792501</c:v>
                </c:pt>
                <c:pt idx="23">
                  <c:v>1036.6317832813522</c:v>
                </c:pt>
                <c:pt idx="24">
                  <c:v>1052.4528204477485</c:v>
                </c:pt>
                <c:pt idx="25">
                  <c:v>1066.8199714822242</c:v>
                </c:pt>
                <c:pt idx="26">
                  <c:v>1079.8900698837747</c:v>
                </c:pt>
                <c:pt idx="27">
                  <c:v>1091.7640225794905</c:v>
                </c:pt>
                <c:pt idx="28">
                  <c:v>1102.5564189601394</c:v>
                </c:pt>
                <c:pt idx="29">
                  <c:v>1112.3456472165315</c:v>
                </c:pt>
                <c:pt idx="30">
                  <c:v>1121.2349572228359</c:v>
                </c:pt>
                <c:pt idx="31">
                  <c:v>1129.7914422876931</c:v>
                </c:pt>
                <c:pt idx="32">
                  <c:v>1136.619048814528</c:v>
                </c:pt>
                <c:pt idx="33">
                  <c:v>1140.2982843495179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F-4812-9182-15D1B8F3E85D}"/>
            </c:ext>
          </c:extLst>
        </c:ser>
        <c:ser>
          <c:idx val="2"/>
          <c:order val="2"/>
          <c:tx>
            <c:strRef>
              <c:f>Fish_Curves_WC_LF!$A$113</c:f>
              <c:strCache>
                <c:ptCount val="1"/>
                <c:pt idx="0">
                  <c:v>Conv Gen Capital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Fish_Curves_WC_LF!$B$113:$AJ$113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-6.8065319934405428</c:v>
                </c:pt>
                <c:pt idx="8">
                  <c:v>-23.963273112755651</c:v>
                </c:pt>
                <c:pt idx="9">
                  <c:v>-37.68962653509206</c:v>
                </c:pt>
                <c:pt idx="10">
                  <c:v>-51.938491893392545</c:v>
                </c:pt>
                <c:pt idx="11">
                  <c:v>-63.218316402033011</c:v>
                </c:pt>
                <c:pt idx="12">
                  <c:v>-75.08199699487605</c:v>
                </c:pt>
                <c:pt idx="13">
                  <c:v>-84.363118834522751</c:v>
                </c:pt>
                <c:pt idx="14">
                  <c:v>-95.555131916288076</c:v>
                </c:pt>
                <c:pt idx="15">
                  <c:v>-109.74311048334511</c:v>
                </c:pt>
                <c:pt idx="16">
                  <c:v>-117.75217666752008</c:v>
                </c:pt>
                <c:pt idx="17">
                  <c:v>-121.79306183603046</c:v>
                </c:pt>
                <c:pt idx="18">
                  <c:v>-129.86103987438742</c:v>
                </c:pt>
                <c:pt idx="19">
                  <c:v>-140.0916504003319</c:v>
                </c:pt>
                <c:pt idx="20">
                  <c:v>-149.36500250181143</c:v>
                </c:pt>
                <c:pt idx="21">
                  <c:v>-157.76503353992234</c:v>
                </c:pt>
                <c:pt idx="22">
                  <c:v>-165.37771678192939</c:v>
                </c:pt>
                <c:pt idx="23">
                  <c:v>-172.3006922359657</c:v>
                </c:pt>
                <c:pt idx="24">
                  <c:v>-178.6115897763425</c:v>
                </c:pt>
                <c:pt idx="25">
                  <c:v>-184.36170521052736</c:v>
                </c:pt>
                <c:pt idx="26">
                  <c:v>-186.67226590371502</c:v>
                </c:pt>
                <c:pt idx="27">
                  <c:v>-186.84205217319368</c:v>
                </c:pt>
                <c:pt idx="28">
                  <c:v>-187.00038054764764</c:v>
                </c:pt>
                <c:pt idx="29">
                  <c:v>-187.1452413173879</c:v>
                </c:pt>
                <c:pt idx="30">
                  <c:v>-187.2820530561703</c:v>
                </c:pt>
                <c:pt idx="31">
                  <c:v>-187.40756014500812</c:v>
                </c:pt>
                <c:pt idx="32">
                  <c:v>-187.50714140350556</c:v>
                </c:pt>
                <c:pt idx="33">
                  <c:v>-187.58269552528463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F-4812-9182-15D1B8F3E85D}"/>
            </c:ext>
          </c:extLst>
        </c:ser>
        <c:ser>
          <c:idx val="3"/>
          <c:order val="3"/>
          <c:tx>
            <c:strRef>
              <c:f>Fish_Curves_WC_LF!$A$114</c:f>
              <c:strCache>
                <c:ptCount val="1"/>
                <c:pt idx="0">
                  <c:v>Fixed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Fish_Curves_WC_LF!$B$114:$AJ$114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-0.16330587684274178</c:v>
                </c:pt>
                <c:pt idx="8">
                  <c:v>-0.5891213502827668</c:v>
                </c:pt>
                <c:pt idx="9">
                  <c:v>-0.9551235061674106</c:v>
                </c:pt>
                <c:pt idx="10">
                  <c:v>-1.3480835154748547</c:v>
                </c:pt>
                <c:pt idx="11">
                  <c:v>-1.6858319651919373</c:v>
                </c:pt>
                <c:pt idx="12">
                  <c:v>-2.0484601922203183</c:v>
                </c:pt>
                <c:pt idx="13">
                  <c:v>-2.3601402918520762</c:v>
                </c:pt>
                <c:pt idx="14">
                  <c:v>-2.968785690347886</c:v>
                </c:pt>
                <c:pt idx="15">
                  <c:v>-3.8260816941933626</c:v>
                </c:pt>
                <c:pt idx="16">
                  <c:v>-4.4094305986191102</c:v>
                </c:pt>
                <c:pt idx="17">
                  <c:v>-4.8049963842986472</c:v>
                </c:pt>
                <c:pt idx="18">
                  <c:v>-5.4066560985465912</c:v>
                </c:pt>
                <c:pt idx="19">
                  <c:v>-6.1367321643733703</c:v>
                </c:pt>
                <c:pt idx="20">
                  <c:v>-6.8380706023322091</c:v>
                </c:pt>
                <c:pt idx="21">
                  <c:v>-7.5118014416261758</c:v>
                </c:pt>
                <c:pt idx="22">
                  <c:v>-8.1590154177656586</c:v>
                </c:pt>
                <c:pt idx="23">
                  <c:v>-8.7807507171592079</c:v>
                </c:pt>
                <c:pt idx="24">
                  <c:v>-9.3780136805639813</c:v>
                </c:pt>
                <c:pt idx="25">
                  <c:v>-9.9517661686827523</c:v>
                </c:pt>
                <c:pt idx="26">
                  <c:v>-10.342178555049941</c:v>
                </c:pt>
                <c:pt idx="27">
                  <c:v>-10.606914816706649</c:v>
                </c:pt>
                <c:pt idx="28">
                  <c:v>-10.861229775078755</c:v>
                </c:pt>
                <c:pt idx="29">
                  <c:v>-11.105534743956468</c:v>
                </c:pt>
                <c:pt idx="30">
                  <c:v>-11.340224138767098</c:v>
                </c:pt>
                <c:pt idx="31">
                  <c:v>-11.565674855845828</c:v>
                </c:pt>
                <c:pt idx="32">
                  <c:v>-11.782251067264042</c:v>
                </c:pt>
                <c:pt idx="33">
                  <c:v>-11.990301872081091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F-4812-9182-15D1B8F3E85D}"/>
            </c:ext>
          </c:extLst>
        </c:ser>
        <c:ser>
          <c:idx val="4"/>
          <c:order val="4"/>
          <c:tx>
            <c:strRef>
              <c:f>Fish_Curves_WC_LF!$A$115</c:f>
              <c:strCache>
                <c:ptCount val="1"/>
                <c:pt idx="0">
                  <c:v>Gas Reservation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Fish_Curves_WC_LF!$B$115:$AJ$115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-10.406972306614989</c:v>
                </c:pt>
                <c:pt idx="15">
                  <c:v>-27.12724599124067</c:v>
                </c:pt>
                <c:pt idx="16">
                  <c:v>-37.995702622427416</c:v>
                </c:pt>
                <c:pt idx="17">
                  <c:v>-44.967141172227457</c:v>
                </c:pt>
                <c:pt idx="18">
                  <c:v>-55.932130000884172</c:v>
                </c:pt>
                <c:pt idx="19">
                  <c:v>-69.175066667597093</c:v>
                </c:pt>
                <c:pt idx="20">
                  <c:v>-81.58644670499325</c:v>
                </c:pt>
                <c:pt idx="21">
                  <c:v>-93.218467670440077</c:v>
                </c:pt>
                <c:pt idx="22">
                  <c:v>-104.12008057151434</c:v>
                </c:pt>
                <c:pt idx="23">
                  <c:v>-114.33714983212849</c:v>
                </c:pt>
                <c:pt idx="24">
                  <c:v>-123.91267046150278</c:v>
                </c:pt>
                <c:pt idx="25">
                  <c:v>-132.88691659962296</c:v>
                </c:pt>
                <c:pt idx="26">
                  <c:v>-138.08391646269411</c:v>
                </c:pt>
                <c:pt idx="27">
                  <c:v>-140.80321552577152</c:v>
                </c:pt>
                <c:pt idx="28">
                  <c:v>-143.35176197664168</c:v>
                </c:pt>
                <c:pt idx="29">
                  <c:v>-145.74027786311763</c:v>
                </c:pt>
                <c:pt idx="30">
                  <c:v>-147.97881196478193</c:v>
                </c:pt>
                <c:pt idx="31">
                  <c:v>-150.07678206943456</c:v>
                </c:pt>
                <c:pt idx="32">
                  <c:v>-152.04301459488215</c:v>
                </c:pt>
                <c:pt idx="33">
                  <c:v>-153.88578172276175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F-4812-9182-15D1B8F3E85D}"/>
            </c:ext>
          </c:extLst>
        </c:ser>
        <c:ser>
          <c:idx val="5"/>
          <c:order val="5"/>
          <c:tx>
            <c:strRef>
              <c:f>Fish_Curves_WC_LF!$A$117</c:f>
              <c:strCache>
                <c:ptCount val="1"/>
                <c:pt idx="0">
                  <c:v>Fuel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Fish_Curves_WC_LF!$B$117:$AJ$117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-7.2929207045476687</c:v>
                </c:pt>
                <c:pt idx="3">
                  <c:v>-27.234370204471361</c:v>
                </c:pt>
                <c:pt idx="4">
                  <c:v>-64.255550879513066</c:v>
                </c:pt>
                <c:pt idx="5">
                  <c:v>-98.25984515739583</c:v>
                </c:pt>
                <c:pt idx="6">
                  <c:v>-132.04681216886638</c:v>
                </c:pt>
                <c:pt idx="7">
                  <c:v>-165.26017136851078</c:v>
                </c:pt>
                <c:pt idx="8">
                  <c:v>-195.34269113345545</c:v>
                </c:pt>
                <c:pt idx="9">
                  <c:v>-228.53078413734329</c:v>
                </c:pt>
                <c:pt idx="10">
                  <c:v>-256.75103354964631</c:v>
                </c:pt>
                <c:pt idx="11">
                  <c:v>-287.91268776393736</c:v>
                </c:pt>
                <c:pt idx="12">
                  <c:v>-315.56955942855348</c:v>
                </c:pt>
                <c:pt idx="13">
                  <c:v>-342.24187941753735</c:v>
                </c:pt>
                <c:pt idx="14">
                  <c:v>-369.36037742919143</c:v>
                </c:pt>
                <c:pt idx="15">
                  <c:v>-393.73062752997248</c:v>
                </c:pt>
                <c:pt idx="16">
                  <c:v>-416.71190082802605</c:v>
                </c:pt>
                <c:pt idx="17">
                  <c:v>-440.49332130871881</c:v>
                </c:pt>
                <c:pt idx="18">
                  <c:v>-463.29374576580267</c:v>
                </c:pt>
                <c:pt idx="19">
                  <c:v>-485.79768324038014</c:v>
                </c:pt>
                <c:pt idx="20">
                  <c:v>-507.56097683827102</c:v>
                </c:pt>
                <c:pt idx="21">
                  <c:v>-528.65631969971764</c:v>
                </c:pt>
                <c:pt idx="22">
                  <c:v>-547.90477345656836</c:v>
                </c:pt>
                <c:pt idx="23">
                  <c:v>-566.71904607262331</c:v>
                </c:pt>
                <c:pt idx="24">
                  <c:v>-584.07705419603917</c:v>
                </c:pt>
                <c:pt idx="25">
                  <c:v>-601.35886447013399</c:v>
                </c:pt>
                <c:pt idx="26">
                  <c:v>-617.65672600061225</c:v>
                </c:pt>
                <c:pt idx="27">
                  <c:v>-632.67142152841188</c:v>
                </c:pt>
                <c:pt idx="28">
                  <c:v>-647.94074342862586</c:v>
                </c:pt>
                <c:pt idx="29">
                  <c:v>-661.16840871765089</c:v>
                </c:pt>
                <c:pt idx="30">
                  <c:v>-673.92144072129668</c:v>
                </c:pt>
                <c:pt idx="31">
                  <c:v>-686.7813840145318</c:v>
                </c:pt>
                <c:pt idx="32">
                  <c:v>-696.98464253094062</c:v>
                </c:pt>
                <c:pt idx="33">
                  <c:v>-701.92918026877305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1F-4812-9182-15D1B8F3E85D}"/>
            </c:ext>
          </c:extLst>
        </c:ser>
        <c:ser>
          <c:idx val="6"/>
          <c:order val="6"/>
          <c:tx>
            <c:strRef>
              <c:f>Fish_Curves_WC_LF!$A$118</c:f>
              <c:strCache>
                <c:ptCount val="1"/>
                <c:pt idx="0">
                  <c:v>Variable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Fish_Curves_WC_LF!$B$118:$AJ$118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-1.2128443928750698</c:v>
                </c:pt>
                <c:pt idx="3">
                  <c:v>-4.364376822864358</c:v>
                </c:pt>
                <c:pt idx="4">
                  <c:v>-8.2201899819210098</c:v>
                </c:pt>
                <c:pt idx="5">
                  <c:v>-11.627175448561388</c:v>
                </c:pt>
                <c:pt idx="6">
                  <c:v>-14.848173298503866</c:v>
                </c:pt>
                <c:pt idx="7">
                  <c:v>-17.983915420589483</c:v>
                </c:pt>
                <c:pt idx="8">
                  <c:v>-21.665310363970661</c:v>
                </c:pt>
                <c:pt idx="9">
                  <c:v>-25.58372412294807</c:v>
                </c:pt>
                <c:pt idx="10">
                  <c:v>-29.308397984002568</c:v>
                </c:pt>
                <c:pt idx="11">
                  <c:v>-32.47633134593957</c:v>
                </c:pt>
                <c:pt idx="12">
                  <c:v>-35.950628004854934</c:v>
                </c:pt>
                <c:pt idx="13">
                  <c:v>-38.291921501485604</c:v>
                </c:pt>
                <c:pt idx="14">
                  <c:v>-41.171765532203608</c:v>
                </c:pt>
                <c:pt idx="15">
                  <c:v>-43.832495896486535</c:v>
                </c:pt>
                <c:pt idx="16">
                  <c:v>-45.583679907885426</c:v>
                </c:pt>
                <c:pt idx="17">
                  <c:v>-46.432601645569548</c:v>
                </c:pt>
                <c:pt idx="18">
                  <c:v>-48.485517432449114</c:v>
                </c:pt>
                <c:pt idx="19">
                  <c:v>-50.438224018823803</c:v>
                </c:pt>
                <c:pt idx="20">
                  <c:v>-52.189454421096343</c:v>
                </c:pt>
                <c:pt idx="21">
                  <c:v>-53.903992963827022</c:v>
                </c:pt>
                <c:pt idx="22">
                  <c:v>-55.607254358963019</c:v>
                </c:pt>
                <c:pt idx="23">
                  <c:v>-57.404745419990832</c:v>
                </c:pt>
                <c:pt idx="24">
                  <c:v>-58.65996731077621</c:v>
                </c:pt>
                <c:pt idx="25">
                  <c:v>-60.294331390582556</c:v>
                </c:pt>
                <c:pt idx="26">
                  <c:v>-61.79698331070631</c:v>
                </c:pt>
                <c:pt idx="27">
                  <c:v>-62.569416898423242</c:v>
                </c:pt>
                <c:pt idx="28">
                  <c:v>-63.839301203405739</c:v>
                </c:pt>
                <c:pt idx="29">
                  <c:v>-64.976322518388315</c:v>
                </c:pt>
                <c:pt idx="30">
                  <c:v>-66.080012921682282</c:v>
                </c:pt>
                <c:pt idx="31">
                  <c:v>-65.276839133446174</c:v>
                </c:pt>
                <c:pt idx="32">
                  <c:v>-66.061197173385608</c:v>
                </c:pt>
                <c:pt idx="33">
                  <c:v>-66.657405326915978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1F-4812-9182-15D1B8F3E85D}"/>
            </c:ext>
          </c:extLst>
        </c:ser>
        <c:ser>
          <c:idx val="7"/>
          <c:order val="7"/>
          <c:tx>
            <c:strRef>
              <c:f>Fish_Curves_WC_LF!$A$119</c:f>
              <c:strCache>
                <c:ptCount val="1"/>
                <c:pt idx="0">
                  <c:v>Environmental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Fish_Curves_WC_LF!$B$119:$AJ$119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-6.0928476252296804E-2</c:v>
                </c:pt>
                <c:pt idx="3">
                  <c:v>-0.15667064487288229</c:v>
                </c:pt>
                <c:pt idx="4">
                  <c:v>-0.36788576549312779</c:v>
                </c:pt>
                <c:pt idx="5">
                  <c:v>-0.57309166153777014</c:v>
                </c:pt>
                <c:pt idx="6">
                  <c:v>-0.71743330958626217</c:v>
                </c:pt>
                <c:pt idx="7">
                  <c:v>-0.76317476934527662</c:v>
                </c:pt>
                <c:pt idx="8">
                  <c:v>-0.73613895697140208</c:v>
                </c:pt>
                <c:pt idx="9">
                  <c:v>-0.59661090651945869</c:v>
                </c:pt>
                <c:pt idx="10">
                  <c:v>-0.41581929212039626</c:v>
                </c:pt>
                <c:pt idx="11">
                  <c:v>-0.29944069890493807</c:v>
                </c:pt>
                <c:pt idx="12">
                  <c:v>-0.16868242044189685</c:v>
                </c:pt>
                <c:pt idx="13">
                  <c:v>-0.14873937873313281</c:v>
                </c:pt>
                <c:pt idx="14">
                  <c:v>-0.2063192776842655</c:v>
                </c:pt>
                <c:pt idx="15">
                  <c:v>-0.22918292388693828</c:v>
                </c:pt>
                <c:pt idx="16">
                  <c:v>-0.25372517960035168</c:v>
                </c:pt>
                <c:pt idx="17">
                  <c:v>-0.27728752275378099</c:v>
                </c:pt>
                <c:pt idx="18">
                  <c:v>-0.29788589163995027</c:v>
                </c:pt>
                <c:pt idx="19">
                  <c:v>-0.31549045516846519</c:v>
                </c:pt>
                <c:pt idx="20">
                  <c:v>-0.33233125912622796</c:v>
                </c:pt>
                <c:pt idx="21">
                  <c:v>-0.34861669562720721</c:v>
                </c:pt>
                <c:pt idx="22">
                  <c:v>-0.36541132760266493</c:v>
                </c:pt>
                <c:pt idx="23">
                  <c:v>-0.37936247871245854</c:v>
                </c:pt>
                <c:pt idx="24">
                  <c:v>-0.39362490199079758</c:v>
                </c:pt>
                <c:pt idx="25">
                  <c:v>-0.40760445137026124</c:v>
                </c:pt>
                <c:pt idx="26">
                  <c:v>-0.42056170064142862</c:v>
                </c:pt>
                <c:pt idx="27">
                  <c:v>-0.43218624985682652</c:v>
                </c:pt>
                <c:pt idx="28">
                  <c:v>-0.44263505324674668</c:v>
                </c:pt>
                <c:pt idx="29">
                  <c:v>-0.45321610221277808</c:v>
                </c:pt>
                <c:pt idx="30">
                  <c:v>-0.46273258424933772</c:v>
                </c:pt>
                <c:pt idx="31">
                  <c:v>-0.47181356367482863</c:v>
                </c:pt>
                <c:pt idx="32">
                  <c:v>-0.47848660094828688</c:v>
                </c:pt>
                <c:pt idx="33">
                  <c:v>-0.48169125580236027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71F-4812-9182-15D1B8F3E85D}"/>
            </c:ext>
          </c:extLst>
        </c:ser>
        <c:ser>
          <c:idx val="8"/>
          <c:order val="8"/>
          <c:tx>
            <c:strRef>
              <c:f>Fish_Curves_WC_LF!$A$120</c:f>
              <c:strCache>
                <c:ptCount val="1"/>
                <c:pt idx="0">
                  <c:v>CO2 Costs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Fish_Curves_WC_LF!$B$120:$AJ$120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-3.309429410399531</c:v>
                </c:pt>
                <c:pt idx="6">
                  <c:v>-8.6616149795700608</c:v>
                </c:pt>
                <c:pt idx="7">
                  <c:v>-15.416856285664039</c:v>
                </c:pt>
                <c:pt idx="8">
                  <c:v>-23.487767221565036</c:v>
                </c:pt>
                <c:pt idx="9">
                  <c:v>-31.639352465463958</c:v>
                </c:pt>
                <c:pt idx="10">
                  <c:v>-40.395787202472775</c:v>
                </c:pt>
                <c:pt idx="11">
                  <c:v>-50.465369473481587</c:v>
                </c:pt>
                <c:pt idx="12">
                  <c:v>-61.151708524224659</c:v>
                </c:pt>
                <c:pt idx="13">
                  <c:v>-73.336163250674645</c:v>
                </c:pt>
                <c:pt idx="14">
                  <c:v>-87.405487368944705</c:v>
                </c:pt>
                <c:pt idx="15">
                  <c:v>-100.65433146174701</c:v>
                </c:pt>
                <c:pt idx="16">
                  <c:v>-115.41609614459458</c:v>
                </c:pt>
                <c:pt idx="17">
                  <c:v>-132.06221419833446</c:v>
                </c:pt>
                <c:pt idx="18">
                  <c:v>-149.79974070195567</c:v>
                </c:pt>
                <c:pt idx="19">
                  <c:v>-169.29035788604688</c:v>
                </c:pt>
                <c:pt idx="20">
                  <c:v>-189.44987447051517</c:v>
                </c:pt>
                <c:pt idx="21">
                  <c:v>-210.17025008801465</c:v>
                </c:pt>
                <c:pt idx="22">
                  <c:v>-230.26239220611023</c:v>
                </c:pt>
                <c:pt idx="23">
                  <c:v>-250.89468657718044</c:v>
                </c:pt>
                <c:pt idx="24">
                  <c:v>-270.76228438170529</c:v>
                </c:pt>
                <c:pt idx="25">
                  <c:v>-290.83917639211904</c:v>
                </c:pt>
                <c:pt idx="26">
                  <c:v>-310.55185567236731</c:v>
                </c:pt>
                <c:pt idx="27">
                  <c:v>-329.55320736681642</c:v>
                </c:pt>
                <c:pt idx="28">
                  <c:v>-349.63451561834336</c:v>
                </c:pt>
                <c:pt idx="29">
                  <c:v>-368.04283875570582</c:v>
                </c:pt>
                <c:pt idx="30">
                  <c:v>-386.37484725858303</c:v>
                </c:pt>
                <c:pt idx="31">
                  <c:v>-405.64627008302887</c:v>
                </c:pt>
                <c:pt idx="32">
                  <c:v>-421.12507169484888</c:v>
                </c:pt>
                <c:pt idx="33">
                  <c:v>-428.77436283500356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71F-4812-9182-15D1B8F3E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639424"/>
        <c:axId val="55538432"/>
      </c:barChart>
      <c:lineChart>
        <c:grouping val="standard"/>
        <c:varyColors val="0"/>
        <c:ser>
          <c:idx val="9"/>
          <c:order val="9"/>
          <c:tx>
            <c:strRef>
              <c:f>Fish_Curves_WC_LF!$A$121</c:f>
              <c:strCache>
                <c:ptCount val="1"/>
                <c:pt idx="0">
                  <c:v>CPVRR With CO2 Costs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dLbls>
            <c:dLbl>
              <c:idx val="3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1F-4812-9182-15D1B8F3E8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baseline="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Fish_Curves_WC_LF!$B$110:$AG$110</c:f>
              <c:numCache>
                <c:formatCode>General</c:formatCode>
                <c:ptCount val="32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</c:numCache>
            </c:numRef>
          </c:cat>
          <c:val>
            <c:numRef>
              <c:f>Fish_Curves_WC_LF!$B$121:$AJ$121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0.95602539473914416</c:v>
                </c:pt>
                <c:pt idx="2">
                  <c:v>20.04493558050325</c:v>
                </c:pt>
                <c:pt idx="3">
                  <c:v>69.095793293031562</c:v>
                </c:pt>
                <c:pt idx="4">
                  <c:v>135.24472916818709</c:v>
                </c:pt>
                <c:pt idx="5">
                  <c:v>189.76151136195173</c:v>
                </c:pt>
                <c:pt idx="6">
                  <c:v>232.53325775521537</c:v>
                </c:pt>
                <c:pt idx="7">
                  <c:v>254.14154969696187</c:v>
                </c:pt>
                <c:pt idx="8">
                  <c:v>259.679250620662</c:v>
                </c:pt>
                <c:pt idx="9">
                  <c:v>259.6204331189864</c:v>
                </c:pt>
                <c:pt idx="10">
                  <c:v>258.55237050467503</c:v>
                </c:pt>
                <c:pt idx="11">
                  <c:v>252.08526832898576</c:v>
                </c:pt>
                <c:pt idx="12">
                  <c:v>243.42817391740971</c:v>
                </c:pt>
                <c:pt idx="13">
                  <c:v>234.09324375643507</c:v>
                </c:pt>
                <c:pt idx="14">
                  <c:v>205.61885921612947</c:v>
                </c:pt>
                <c:pt idx="15">
                  <c:v>168.1733715857979</c:v>
                </c:pt>
                <c:pt idx="16">
                  <c:v>140.85937374261584</c:v>
                </c:pt>
                <c:pt idx="17">
                  <c:v>117.06039728110659</c:v>
                </c:pt>
                <c:pt idx="18">
                  <c:v>83.128731075332155</c:v>
                </c:pt>
                <c:pt idx="19">
                  <c:v>40.697278808909175</c:v>
                </c:pt>
                <c:pt idx="20">
                  <c:v>-2.038737733277884</c:v>
                </c:pt>
                <c:pt idx="21">
                  <c:v>-45.124918952674506</c:v>
                </c:pt>
                <c:pt idx="22">
                  <c:v>-86.111800749699398</c:v>
                </c:pt>
                <c:pt idx="23">
                  <c:v>-127.63864319675272</c:v>
                </c:pt>
                <c:pt idx="24">
                  <c:v>-166.69869302061971</c:v>
                </c:pt>
                <c:pt idx="25">
                  <c:v>-206.53301371112661</c:v>
                </c:pt>
                <c:pt idx="26">
                  <c:v>-238.80447358139543</c:v>
                </c:pt>
                <c:pt idx="27">
                  <c:v>-264.80098187791373</c:v>
                </c:pt>
                <c:pt idx="28">
                  <c:v>-293.52489609063929</c:v>
                </c:pt>
                <c:pt idx="29">
                  <c:v>-319.22103124151874</c:v>
                </c:pt>
                <c:pt idx="30">
                  <c:v>-345.07029224735356</c:v>
                </c:pt>
                <c:pt idx="31">
                  <c:v>-370.22980989369557</c:v>
                </c:pt>
                <c:pt idx="32">
                  <c:v>-392.09577934396839</c:v>
                </c:pt>
                <c:pt idx="33">
                  <c:v>-403.67792909294292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1F-4812-9182-15D1B8F3E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39424"/>
        <c:axId val="55538432"/>
      </c:lineChart>
      <c:catAx>
        <c:axId val="5563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5400000" vert="horz"/>
          <a:lstStyle/>
          <a:p>
            <a:pPr>
              <a:defRPr/>
            </a:pPr>
            <a:endParaRPr lang="en-US"/>
          </a:p>
        </c:txPr>
        <c:crossAx val="55538432"/>
        <c:crosses val="autoZero"/>
        <c:auto val="1"/>
        <c:lblAlgn val="ctr"/>
        <c:lblOffset val="100"/>
        <c:noMultiLvlLbl val="0"/>
      </c:catAx>
      <c:valAx>
        <c:axId val="55538432"/>
        <c:scaling>
          <c:orientation val="minMax"/>
          <c:max val="1200"/>
          <c:min val="-1200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55639424"/>
        <c:crosses val="autoZero"/>
        <c:crossBetween val="between"/>
        <c:majorUnit val="200"/>
      </c:valAx>
    </c:plotArea>
    <c:legend>
      <c:legendPos val="b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Fish</a:t>
            </a:r>
            <a:r>
              <a:rPr lang="en-US" baseline="0"/>
              <a:t> Curve With Carbon Mid Fuel Costs $M (Clean Energy Connection - SoBra 700MWs</a:t>
            </a:r>
            <a:r>
              <a:rPr lang="en-US" sz="1800" b="1" i="0" u="none" strike="noStrike" baseline="0">
                <a:effectLst/>
              </a:rPr>
              <a:t>) - Addition of 750MWs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Fish_Curves_WC_MF!$A$111</c:f>
              <c:strCache>
                <c:ptCount val="1"/>
                <c:pt idx="0">
                  <c:v>Existing Solar</c:v>
                </c:pt>
              </c:strCache>
            </c:strRef>
          </c:tx>
          <c:invertIfNegative val="0"/>
          <c:dLbls>
            <c:dLbl>
              <c:idx val="3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56-4AF3-B4BA-2C1026A814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Fish_Curves_WC_MF!$B$111:$AJ$111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6-4AF3-B4BA-2C1026A814AE}"/>
            </c:ext>
          </c:extLst>
        </c:ser>
        <c:ser>
          <c:idx val="1"/>
          <c:order val="1"/>
          <c:tx>
            <c:strRef>
              <c:f>Fish_Curves_WC_MF!$A$112</c:f>
              <c:strCache>
                <c:ptCount val="1"/>
                <c:pt idx="0">
                  <c:v>New Solar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Fish_Curves_WC_MF!$B$112:$AJ$112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27.104402529171068</c:v>
                </c:pt>
                <c:pt idx="3">
                  <c:v>98.781674233069964</c:v>
                </c:pt>
                <c:pt idx="4">
                  <c:v>205.49827041468927</c:v>
                </c:pt>
                <c:pt idx="5">
                  <c:v>300.46649364736896</c:v>
                </c:pt>
                <c:pt idx="6">
                  <c:v>385.39678406731878</c:v>
                </c:pt>
                <c:pt idx="7">
                  <c:v>456.76610212359998</c:v>
                </c:pt>
                <c:pt idx="8">
                  <c:v>521.38216806475043</c:v>
                </c:pt>
                <c:pt idx="9">
                  <c:v>580.22999313960736</c:v>
                </c:pt>
                <c:pt idx="10">
                  <c:v>634.01636784102379</c:v>
                </c:pt>
                <c:pt idx="11">
                  <c:v>683.26715478238884</c:v>
                </c:pt>
                <c:pt idx="12">
                  <c:v>728.35372964352109</c:v>
                </c:pt>
                <c:pt idx="13">
                  <c:v>769.60576167263162</c:v>
                </c:pt>
                <c:pt idx="14">
                  <c:v>807.31002678440973</c:v>
                </c:pt>
                <c:pt idx="15">
                  <c:v>841.7817862456186</c:v>
                </c:pt>
                <c:pt idx="16">
                  <c:v>873.29202848516286</c:v>
                </c:pt>
                <c:pt idx="17">
                  <c:v>902.06344495740177</c:v>
                </c:pt>
                <c:pt idx="18">
                  <c:v>930.24970017284386</c:v>
                </c:pt>
                <c:pt idx="19">
                  <c:v>955.84915294119799</c:v>
                </c:pt>
                <c:pt idx="20">
                  <c:v>979.07310442426649</c:v>
                </c:pt>
                <c:pt idx="21">
                  <c:v>1000.1248911355183</c:v>
                </c:pt>
                <c:pt idx="22">
                  <c:v>1019.2432452792501</c:v>
                </c:pt>
                <c:pt idx="23">
                  <c:v>1036.6317832813522</c:v>
                </c:pt>
                <c:pt idx="24">
                  <c:v>1052.4528204477485</c:v>
                </c:pt>
                <c:pt idx="25">
                  <c:v>1066.8199714822242</c:v>
                </c:pt>
                <c:pt idx="26">
                  <c:v>1079.8900698837747</c:v>
                </c:pt>
                <c:pt idx="27">
                  <c:v>1091.7640225794905</c:v>
                </c:pt>
                <c:pt idx="28">
                  <c:v>1102.5564189601394</c:v>
                </c:pt>
                <c:pt idx="29">
                  <c:v>1112.3456472165315</c:v>
                </c:pt>
                <c:pt idx="30">
                  <c:v>1121.2349572228359</c:v>
                </c:pt>
                <c:pt idx="31">
                  <c:v>1129.7914422876931</c:v>
                </c:pt>
                <c:pt idx="32">
                  <c:v>1136.619048814528</c:v>
                </c:pt>
                <c:pt idx="33">
                  <c:v>1140.2982843495179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56-4AF3-B4BA-2C1026A814AE}"/>
            </c:ext>
          </c:extLst>
        </c:ser>
        <c:ser>
          <c:idx val="2"/>
          <c:order val="2"/>
          <c:tx>
            <c:strRef>
              <c:f>Fish_Curves_WC_MF!$A$113</c:f>
              <c:strCache>
                <c:ptCount val="1"/>
                <c:pt idx="0">
                  <c:v>Conv Gen Capital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Fish_Curves_WC_MF!$B$113:$AJ$113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-6.8065319934405428</c:v>
                </c:pt>
                <c:pt idx="8">
                  <c:v>-23.963273112755651</c:v>
                </c:pt>
                <c:pt idx="9">
                  <c:v>-37.68962653509206</c:v>
                </c:pt>
                <c:pt idx="10">
                  <c:v>-51.938491893392545</c:v>
                </c:pt>
                <c:pt idx="11">
                  <c:v>-63.218316402033011</c:v>
                </c:pt>
                <c:pt idx="12">
                  <c:v>-75.08199699487605</c:v>
                </c:pt>
                <c:pt idx="13">
                  <c:v>-84.363118834522751</c:v>
                </c:pt>
                <c:pt idx="14">
                  <c:v>-95.555131916288076</c:v>
                </c:pt>
                <c:pt idx="15">
                  <c:v>-109.74311048334511</c:v>
                </c:pt>
                <c:pt idx="16">
                  <c:v>-117.75217666752008</c:v>
                </c:pt>
                <c:pt idx="17">
                  <c:v>-121.79306183603046</c:v>
                </c:pt>
                <c:pt idx="18">
                  <c:v>-129.86103987438742</c:v>
                </c:pt>
                <c:pt idx="19">
                  <c:v>-140.0916504003319</c:v>
                </c:pt>
                <c:pt idx="20">
                  <c:v>-149.36500250181143</c:v>
                </c:pt>
                <c:pt idx="21">
                  <c:v>-157.76503353992234</c:v>
                </c:pt>
                <c:pt idx="22">
                  <c:v>-165.37771678192939</c:v>
                </c:pt>
                <c:pt idx="23">
                  <c:v>-172.3006922359657</c:v>
                </c:pt>
                <c:pt idx="24">
                  <c:v>-178.6115897763425</c:v>
                </c:pt>
                <c:pt idx="25">
                  <c:v>-184.36170521052736</c:v>
                </c:pt>
                <c:pt idx="26">
                  <c:v>-186.67226590371502</c:v>
                </c:pt>
                <c:pt idx="27">
                  <c:v>-186.84205217319368</c:v>
                </c:pt>
                <c:pt idx="28">
                  <c:v>-187.00038054764764</c:v>
                </c:pt>
                <c:pt idx="29">
                  <c:v>-187.1452413173879</c:v>
                </c:pt>
                <c:pt idx="30">
                  <c:v>-187.2820530561703</c:v>
                </c:pt>
                <c:pt idx="31">
                  <c:v>-187.40756014500812</c:v>
                </c:pt>
                <c:pt idx="32">
                  <c:v>-187.50714140350556</c:v>
                </c:pt>
                <c:pt idx="33">
                  <c:v>-187.58269552528463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56-4AF3-B4BA-2C1026A814AE}"/>
            </c:ext>
          </c:extLst>
        </c:ser>
        <c:ser>
          <c:idx val="3"/>
          <c:order val="3"/>
          <c:tx>
            <c:strRef>
              <c:f>Fish_Curves_WC_MF!$A$114</c:f>
              <c:strCache>
                <c:ptCount val="1"/>
                <c:pt idx="0">
                  <c:v>Fixed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Fish_Curves_WC_MF!$B$114:$AJ$114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-0.16330587684274178</c:v>
                </c:pt>
                <c:pt idx="8">
                  <c:v>-0.5891213502827668</c:v>
                </c:pt>
                <c:pt idx="9">
                  <c:v>-0.9551235061674106</c:v>
                </c:pt>
                <c:pt idx="10">
                  <c:v>-1.3480835154748547</c:v>
                </c:pt>
                <c:pt idx="11">
                  <c:v>-1.6858319651919373</c:v>
                </c:pt>
                <c:pt idx="12">
                  <c:v>-2.0484601922203183</c:v>
                </c:pt>
                <c:pt idx="13">
                  <c:v>-2.3601402918520762</c:v>
                </c:pt>
                <c:pt idx="14">
                  <c:v>-2.968785690347886</c:v>
                </c:pt>
                <c:pt idx="15">
                  <c:v>-3.8260816941933626</c:v>
                </c:pt>
                <c:pt idx="16">
                  <c:v>-4.4094305986191102</c:v>
                </c:pt>
                <c:pt idx="17">
                  <c:v>-4.8049963842986472</c:v>
                </c:pt>
                <c:pt idx="18">
                  <c:v>-5.4066560985465912</c:v>
                </c:pt>
                <c:pt idx="19">
                  <c:v>-6.1367321643733703</c:v>
                </c:pt>
                <c:pt idx="20">
                  <c:v>-6.8380706023322091</c:v>
                </c:pt>
                <c:pt idx="21">
                  <c:v>-7.5118014416261758</c:v>
                </c:pt>
                <c:pt idx="22">
                  <c:v>-8.1590154177656586</c:v>
                </c:pt>
                <c:pt idx="23">
                  <c:v>-8.7807507171592079</c:v>
                </c:pt>
                <c:pt idx="24">
                  <c:v>-9.3780136805639813</c:v>
                </c:pt>
                <c:pt idx="25">
                  <c:v>-9.9517661686827523</c:v>
                </c:pt>
                <c:pt idx="26">
                  <c:v>-10.342178555049941</c:v>
                </c:pt>
                <c:pt idx="27">
                  <c:v>-10.606914816706649</c:v>
                </c:pt>
                <c:pt idx="28">
                  <c:v>-10.861229775078755</c:v>
                </c:pt>
                <c:pt idx="29">
                  <c:v>-11.105534743956468</c:v>
                </c:pt>
                <c:pt idx="30">
                  <c:v>-11.340224138767098</c:v>
                </c:pt>
                <c:pt idx="31">
                  <c:v>-11.565674855845828</c:v>
                </c:pt>
                <c:pt idx="32">
                  <c:v>-11.782251067264042</c:v>
                </c:pt>
                <c:pt idx="33">
                  <c:v>-11.990301872081091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56-4AF3-B4BA-2C1026A814AE}"/>
            </c:ext>
          </c:extLst>
        </c:ser>
        <c:ser>
          <c:idx val="4"/>
          <c:order val="4"/>
          <c:tx>
            <c:strRef>
              <c:f>Fish_Curves_WC_MF!$A$115</c:f>
              <c:strCache>
                <c:ptCount val="1"/>
                <c:pt idx="0">
                  <c:v>Gas Reservation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Fish_Curves_WC_MF!$B$115:$AJ$115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-10.406972306614989</c:v>
                </c:pt>
                <c:pt idx="15">
                  <c:v>-27.12724599124067</c:v>
                </c:pt>
                <c:pt idx="16">
                  <c:v>-37.995702622427416</c:v>
                </c:pt>
                <c:pt idx="17">
                  <c:v>-44.967141172227457</c:v>
                </c:pt>
                <c:pt idx="18">
                  <c:v>-55.932130000884172</c:v>
                </c:pt>
                <c:pt idx="19">
                  <c:v>-69.175066667597093</c:v>
                </c:pt>
                <c:pt idx="20">
                  <c:v>-81.58644670499325</c:v>
                </c:pt>
                <c:pt idx="21">
                  <c:v>-93.218467670440077</c:v>
                </c:pt>
                <c:pt idx="22">
                  <c:v>-104.12008057151434</c:v>
                </c:pt>
                <c:pt idx="23">
                  <c:v>-114.33714983212849</c:v>
                </c:pt>
                <c:pt idx="24">
                  <c:v>-123.91267046150278</c:v>
                </c:pt>
                <c:pt idx="25">
                  <c:v>-132.88691659962296</c:v>
                </c:pt>
                <c:pt idx="26">
                  <c:v>-138.08391646269411</c:v>
                </c:pt>
                <c:pt idx="27">
                  <c:v>-140.80321552577152</c:v>
                </c:pt>
                <c:pt idx="28">
                  <c:v>-143.35176197664168</c:v>
                </c:pt>
                <c:pt idx="29">
                  <c:v>-145.74027786311763</c:v>
                </c:pt>
                <c:pt idx="30">
                  <c:v>-147.97881196478193</c:v>
                </c:pt>
                <c:pt idx="31">
                  <c:v>-150.07678206943456</c:v>
                </c:pt>
                <c:pt idx="32">
                  <c:v>-152.04301459488215</c:v>
                </c:pt>
                <c:pt idx="33">
                  <c:v>-153.88578172276175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456-4AF3-B4BA-2C1026A814AE}"/>
            </c:ext>
          </c:extLst>
        </c:ser>
        <c:ser>
          <c:idx val="5"/>
          <c:order val="5"/>
          <c:tx>
            <c:strRef>
              <c:f>Fish_Curves_WC_MF!$A$117</c:f>
              <c:strCache>
                <c:ptCount val="1"/>
                <c:pt idx="0">
                  <c:v>Fuel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Fish_Curves_WC_MF!$B$117:$AJ$117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-7.3073960310553048</c:v>
                </c:pt>
                <c:pt idx="3">
                  <c:v>-27.218238857726192</c:v>
                </c:pt>
                <c:pt idx="4">
                  <c:v>-64.549983713587608</c:v>
                </c:pt>
                <c:pt idx="5">
                  <c:v>-99.752477786587406</c:v>
                </c:pt>
                <c:pt idx="6">
                  <c:v>-134.81894622879827</c:v>
                </c:pt>
                <c:pt idx="7">
                  <c:v>-171.00258865022442</c:v>
                </c:pt>
                <c:pt idx="8">
                  <c:v>-205.00163102261467</c:v>
                </c:pt>
                <c:pt idx="9">
                  <c:v>-242.44253753600788</c:v>
                </c:pt>
                <c:pt idx="10">
                  <c:v>-275.09066478764908</c:v>
                </c:pt>
                <c:pt idx="11">
                  <c:v>-310.99008759757635</c:v>
                </c:pt>
                <c:pt idx="12">
                  <c:v>-343.8600436892666</c:v>
                </c:pt>
                <c:pt idx="13">
                  <c:v>-375.52177596774709</c:v>
                </c:pt>
                <c:pt idx="14">
                  <c:v>-407.5156126843267</c:v>
                </c:pt>
                <c:pt idx="15">
                  <c:v>-436.8506234142842</c:v>
                </c:pt>
                <c:pt idx="16">
                  <c:v>-464.8085007106456</c:v>
                </c:pt>
                <c:pt idx="17">
                  <c:v>-494.01146493566011</c:v>
                </c:pt>
                <c:pt idx="18">
                  <c:v>-521.99738794155746</c:v>
                </c:pt>
                <c:pt idx="19">
                  <c:v>-549.72746292738339</c:v>
                </c:pt>
                <c:pt idx="20">
                  <c:v>-576.87244713591099</c:v>
                </c:pt>
                <c:pt idx="21">
                  <c:v>-602.99928793977597</c:v>
                </c:pt>
                <c:pt idx="22">
                  <c:v>-627.11581043183651</c:v>
                </c:pt>
                <c:pt idx="23">
                  <c:v>-650.86599806034792</c:v>
                </c:pt>
                <c:pt idx="24">
                  <c:v>-672.87032535297476</c:v>
                </c:pt>
                <c:pt idx="25">
                  <c:v>-694.89176023032996</c:v>
                </c:pt>
                <c:pt idx="26">
                  <c:v>-715.76523492355409</c:v>
                </c:pt>
                <c:pt idx="27">
                  <c:v>-735.06743259048744</c:v>
                </c:pt>
                <c:pt idx="28">
                  <c:v>-754.98173082619905</c:v>
                </c:pt>
                <c:pt idx="29">
                  <c:v>-772.57028723304029</c:v>
                </c:pt>
                <c:pt idx="30">
                  <c:v>-789.52375635503631</c:v>
                </c:pt>
                <c:pt idx="31">
                  <c:v>-806.68368404087232</c:v>
                </c:pt>
                <c:pt idx="32">
                  <c:v>-820.27917025988063</c:v>
                </c:pt>
                <c:pt idx="33">
                  <c:v>-826.87660285484526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456-4AF3-B4BA-2C1026A814AE}"/>
            </c:ext>
          </c:extLst>
        </c:ser>
        <c:ser>
          <c:idx val="6"/>
          <c:order val="6"/>
          <c:tx>
            <c:strRef>
              <c:f>Fish_Curves_WC_MF!$A$118</c:f>
              <c:strCache>
                <c:ptCount val="1"/>
                <c:pt idx="0">
                  <c:v>Variable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Fish_Curves_WC_MF!$B$118:$AJ$118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-1.2273285029543217</c:v>
                </c:pt>
                <c:pt idx="3">
                  <c:v>-4.3921309591090676</c:v>
                </c:pt>
                <c:pt idx="4">
                  <c:v>-8.5169161218398131</c:v>
                </c:pt>
                <c:pt idx="5">
                  <c:v>-11.72369186114156</c:v>
                </c:pt>
                <c:pt idx="6">
                  <c:v>-14.858965398947248</c:v>
                </c:pt>
                <c:pt idx="7">
                  <c:v>-18.098433713254394</c:v>
                </c:pt>
                <c:pt idx="8">
                  <c:v>-21.719198552181297</c:v>
                </c:pt>
                <c:pt idx="9">
                  <c:v>-24.646775094929239</c:v>
                </c:pt>
                <c:pt idx="10">
                  <c:v>-27.659409246193036</c:v>
                </c:pt>
                <c:pt idx="11">
                  <c:v>-30.938733104255334</c:v>
                </c:pt>
                <c:pt idx="12">
                  <c:v>-33.866830324247985</c:v>
                </c:pt>
                <c:pt idx="13">
                  <c:v>-36.345581897904367</c:v>
                </c:pt>
                <c:pt idx="14">
                  <c:v>-39.111757693529398</c:v>
                </c:pt>
                <c:pt idx="15">
                  <c:v>-41.784524739278595</c:v>
                </c:pt>
                <c:pt idx="16">
                  <c:v>-43.592513425984862</c:v>
                </c:pt>
                <c:pt idx="17">
                  <c:v>-44.381011832445438</c:v>
                </c:pt>
                <c:pt idx="18">
                  <c:v>-46.510899980109116</c:v>
                </c:pt>
                <c:pt idx="19">
                  <c:v>-48.485008535863471</c:v>
                </c:pt>
                <c:pt idx="20">
                  <c:v>-50.266921948105846</c:v>
                </c:pt>
                <c:pt idx="21">
                  <c:v>-51.982400675702593</c:v>
                </c:pt>
                <c:pt idx="22">
                  <c:v>-53.696499950572161</c:v>
                </c:pt>
                <c:pt idx="23">
                  <c:v>-55.470316808240568</c:v>
                </c:pt>
                <c:pt idx="24">
                  <c:v>-56.676730548153046</c:v>
                </c:pt>
                <c:pt idx="25">
                  <c:v>-58.254996571966785</c:v>
                </c:pt>
                <c:pt idx="26">
                  <c:v>-59.770316773400737</c:v>
                </c:pt>
                <c:pt idx="27">
                  <c:v>-60.519827638919196</c:v>
                </c:pt>
                <c:pt idx="28">
                  <c:v>-61.787650493591173</c:v>
                </c:pt>
                <c:pt idx="29">
                  <c:v>-62.916394832959213</c:v>
                </c:pt>
                <c:pt idx="30">
                  <c:v>-63.98754998620916</c:v>
                </c:pt>
                <c:pt idx="31">
                  <c:v>-63.188030019782673</c:v>
                </c:pt>
                <c:pt idx="32">
                  <c:v>-63.962964716830356</c:v>
                </c:pt>
                <c:pt idx="33">
                  <c:v>-64.55253650544455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56-4AF3-B4BA-2C1026A814AE}"/>
            </c:ext>
          </c:extLst>
        </c:ser>
        <c:ser>
          <c:idx val="7"/>
          <c:order val="7"/>
          <c:tx>
            <c:strRef>
              <c:f>Fish_Curves_WC_MF!$A$119</c:f>
              <c:strCache>
                <c:ptCount val="1"/>
                <c:pt idx="0">
                  <c:v>Environmental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Fish_Curves_WC_MF!$B$119:$AJ$119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-6.0609896099126814E-2</c:v>
                </c:pt>
                <c:pt idx="3">
                  <c:v>-0.15443227389958381</c:v>
                </c:pt>
                <c:pt idx="4">
                  <c:v>-0.37888892105586081</c:v>
                </c:pt>
                <c:pt idx="5">
                  <c:v>-0.62579872962479044</c:v>
                </c:pt>
                <c:pt idx="6">
                  <c:v>-0.81579409683590853</c:v>
                </c:pt>
                <c:pt idx="7">
                  <c:v>-0.92634727875888956</c:v>
                </c:pt>
                <c:pt idx="8">
                  <c:v>-0.96911388303863077</c:v>
                </c:pt>
                <c:pt idx="9">
                  <c:v>-1.1810928883815777</c:v>
                </c:pt>
                <c:pt idx="10">
                  <c:v>-1.1412493857920722</c:v>
                </c:pt>
                <c:pt idx="11">
                  <c:v>-1.1261731307316651</c:v>
                </c:pt>
                <c:pt idx="12">
                  <c:v>-1.0739523699069409</c:v>
                </c:pt>
                <c:pt idx="13">
                  <c:v>-1.0578542205869041</c:v>
                </c:pt>
                <c:pt idx="14">
                  <c:v>-1.0729271610018998</c:v>
                </c:pt>
                <c:pt idx="15">
                  <c:v>-1.0956244711541672</c:v>
                </c:pt>
                <c:pt idx="16">
                  <c:v>-1.120163183882795</c:v>
                </c:pt>
                <c:pt idx="17">
                  <c:v>-1.1434233605724557</c:v>
                </c:pt>
                <c:pt idx="18">
                  <c:v>-1.1641399856933532</c:v>
                </c:pt>
                <c:pt idx="19">
                  <c:v>-1.1819545440154542</c:v>
                </c:pt>
                <c:pt idx="20">
                  <c:v>-1.1988472835802924</c:v>
                </c:pt>
                <c:pt idx="21">
                  <c:v>-1.2149354605861475</c:v>
                </c:pt>
                <c:pt idx="22">
                  <c:v>-1.2317012811843853</c:v>
                </c:pt>
                <c:pt idx="23">
                  <c:v>-1.2456816847077903</c:v>
                </c:pt>
                <c:pt idx="24">
                  <c:v>-1.2598534257148088</c:v>
                </c:pt>
                <c:pt idx="25">
                  <c:v>-1.2737183400222989</c:v>
                </c:pt>
                <c:pt idx="26">
                  <c:v>-1.2866070520206989</c:v>
                </c:pt>
                <c:pt idx="27">
                  <c:v>-1.2982854185935793</c:v>
                </c:pt>
                <c:pt idx="28">
                  <c:v>-1.3087130705596337</c:v>
                </c:pt>
                <c:pt idx="29">
                  <c:v>-1.3192941195256509</c:v>
                </c:pt>
                <c:pt idx="30">
                  <c:v>-1.3288020268674927</c:v>
                </c:pt>
                <c:pt idx="31">
                  <c:v>-1.3378789881604831</c:v>
                </c:pt>
                <c:pt idx="32">
                  <c:v>-1.3445532807080554</c:v>
                </c:pt>
                <c:pt idx="33">
                  <c:v>-1.3477861704066498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456-4AF3-B4BA-2C1026A814AE}"/>
            </c:ext>
          </c:extLst>
        </c:ser>
        <c:ser>
          <c:idx val="8"/>
          <c:order val="8"/>
          <c:tx>
            <c:strRef>
              <c:f>Fish_Curves_WC_MF!$A$120</c:f>
              <c:strCache>
                <c:ptCount val="1"/>
                <c:pt idx="0">
                  <c:v>CO2 Costs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Fish_Curves_WC_MF!$B$120:$AJ$120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-3.3712226253887536</c:v>
                </c:pt>
                <c:pt idx="6">
                  <c:v>-8.8595709300348062</c:v>
                </c:pt>
                <c:pt idx="7">
                  <c:v>-15.979428982114428</c:v>
                </c:pt>
                <c:pt idx="8">
                  <c:v>-24.427656069730119</c:v>
                </c:pt>
                <c:pt idx="9">
                  <c:v>-35.389568190746104</c:v>
                </c:pt>
                <c:pt idx="10">
                  <c:v>-45.054886005122626</c:v>
                </c:pt>
                <c:pt idx="11">
                  <c:v>-56.025627336677871</c:v>
                </c:pt>
                <c:pt idx="12">
                  <c:v>-67.374859879113956</c:v>
                </c:pt>
                <c:pt idx="13">
                  <c:v>-79.429982298762525</c:v>
                </c:pt>
                <c:pt idx="14">
                  <c:v>-92.745574689648947</c:v>
                </c:pt>
                <c:pt idx="15">
                  <c:v>-106.02332723194058</c:v>
                </c:pt>
                <c:pt idx="16">
                  <c:v>-120.76183576255698</c:v>
                </c:pt>
                <c:pt idx="17">
                  <c:v>-137.47261743954505</c:v>
                </c:pt>
                <c:pt idx="18">
                  <c:v>-155.18265248059834</c:v>
                </c:pt>
                <c:pt idx="19">
                  <c:v>-174.68855845229973</c:v>
                </c:pt>
                <c:pt idx="20">
                  <c:v>-194.84887320504458</c:v>
                </c:pt>
                <c:pt idx="21">
                  <c:v>-215.50890534971404</c:v>
                </c:pt>
                <c:pt idx="22">
                  <c:v>-235.5789899575957</c:v>
                </c:pt>
                <c:pt idx="23">
                  <c:v>-256.23308862773956</c:v>
                </c:pt>
                <c:pt idx="24">
                  <c:v>-276.11343256361033</c:v>
                </c:pt>
                <c:pt idx="25">
                  <c:v>-296.1611598305426</c:v>
                </c:pt>
                <c:pt idx="26">
                  <c:v>-315.87322227533514</c:v>
                </c:pt>
                <c:pt idx="27">
                  <c:v>-334.8770947053672</c:v>
                </c:pt>
                <c:pt idx="28">
                  <c:v>-354.96011947629268</c:v>
                </c:pt>
                <c:pt idx="29">
                  <c:v>-373.38213134064426</c:v>
                </c:pt>
                <c:pt idx="30">
                  <c:v>-391.7137211125937</c:v>
                </c:pt>
                <c:pt idx="31">
                  <c:v>-410.98423182096303</c:v>
                </c:pt>
                <c:pt idx="32">
                  <c:v>-426.45794078563813</c:v>
                </c:pt>
                <c:pt idx="33">
                  <c:v>-434.11859762716631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456-4AF3-B4BA-2C1026A81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639424"/>
        <c:axId val="55538432"/>
      </c:barChart>
      <c:lineChart>
        <c:grouping val="standard"/>
        <c:varyColors val="0"/>
        <c:ser>
          <c:idx val="9"/>
          <c:order val="9"/>
          <c:tx>
            <c:strRef>
              <c:f>Fish_Curves_WC_MF!$A$121</c:f>
              <c:strCache>
                <c:ptCount val="1"/>
                <c:pt idx="0">
                  <c:v>CPVRR With CO2 Costs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dLbls>
            <c:dLbl>
              <c:idx val="3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CA-49E4-93CA-F316B8C88D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baseline="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Fish_Curves_WC_MF!$B$110:$AG$110</c:f>
              <c:numCache>
                <c:formatCode>General</c:formatCode>
                <c:ptCount val="32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</c:numCache>
            </c:numRef>
          </c:cat>
          <c:val>
            <c:numRef>
              <c:f>Fish_Curves_WC_MF!$B$121:$AJ$121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0.95602539473914416</c:v>
                </c:pt>
                <c:pt idx="2">
                  <c:v>20.016294724069532</c:v>
                </c:pt>
                <c:pt idx="3">
                  <c:v>69.08640887450531</c:v>
                </c:pt>
                <c:pt idx="4">
                  <c:v>134.642567038631</c:v>
                </c:pt>
                <c:pt idx="5">
                  <c:v>188.05786203710375</c:v>
                </c:pt>
                <c:pt idx="6">
                  <c:v>229.45401485712571</c:v>
                </c:pt>
                <c:pt idx="7">
                  <c:v>247.55886891671929</c:v>
                </c:pt>
                <c:pt idx="8">
                  <c:v>248.79355876905981</c:v>
                </c:pt>
                <c:pt idx="9">
                  <c:v>242.3109310411964</c:v>
                </c:pt>
                <c:pt idx="10">
                  <c:v>236.47719910816022</c:v>
                </c:pt>
                <c:pt idx="11">
                  <c:v>224.15847644200801</c:v>
                </c:pt>
                <c:pt idx="12">
                  <c:v>210.0930660329492</c:v>
                </c:pt>
                <c:pt idx="13">
                  <c:v>195.75675291986488</c:v>
                </c:pt>
                <c:pt idx="14">
                  <c:v>163.31693659564655</c:v>
                </c:pt>
                <c:pt idx="15">
                  <c:v>120.86590954123329</c:v>
                </c:pt>
                <c:pt idx="16">
                  <c:v>88.541762719651985</c:v>
                </c:pt>
                <c:pt idx="17">
                  <c:v>59.317304388260141</c:v>
                </c:pt>
                <c:pt idx="18">
                  <c:v>20.15054047922132</c:v>
                </c:pt>
                <c:pt idx="19">
                  <c:v>-27.543950050233605</c:v>
                </c:pt>
                <c:pt idx="20">
                  <c:v>-75.693190316910844</c:v>
                </c:pt>
                <c:pt idx="21">
                  <c:v>-123.75126893126672</c:v>
                </c:pt>
                <c:pt idx="22">
                  <c:v>-169.59497102164386</c:v>
                </c:pt>
                <c:pt idx="23">
                  <c:v>-216.05588782928152</c:v>
                </c:pt>
                <c:pt idx="24">
                  <c:v>-259.72610412056122</c:v>
                </c:pt>
                <c:pt idx="25">
                  <c:v>-304.21467197978239</c:v>
                </c:pt>
                <c:pt idx="26">
                  <c:v>-341.0737279213788</c:v>
                </c:pt>
                <c:pt idx="27">
                  <c:v>-371.33739018777277</c:v>
                </c:pt>
                <c:pt idx="28">
                  <c:v>-404.7059146536601</c:v>
                </c:pt>
                <c:pt idx="29">
                  <c:v>-434.76835267373036</c:v>
                </c:pt>
                <c:pt idx="30">
                  <c:v>-464.78508824224889</c:v>
                </c:pt>
                <c:pt idx="31">
                  <c:v>-494.24732796879243</c:v>
                </c:pt>
                <c:pt idx="32">
                  <c:v>-519.49101038690219</c:v>
                </c:pt>
                <c:pt idx="33">
                  <c:v>-532.73081256431067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456-4AF3-B4BA-2C1026A81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39424"/>
        <c:axId val="55538432"/>
      </c:lineChart>
      <c:catAx>
        <c:axId val="5563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5400000" vert="horz"/>
          <a:lstStyle/>
          <a:p>
            <a:pPr>
              <a:defRPr/>
            </a:pPr>
            <a:endParaRPr lang="en-US"/>
          </a:p>
        </c:txPr>
        <c:crossAx val="55538432"/>
        <c:crosses val="autoZero"/>
        <c:auto val="1"/>
        <c:lblAlgn val="ctr"/>
        <c:lblOffset val="100"/>
        <c:noMultiLvlLbl val="0"/>
      </c:catAx>
      <c:valAx>
        <c:axId val="55538432"/>
        <c:scaling>
          <c:orientation val="minMax"/>
          <c:max val="1600"/>
          <c:min val="-1600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55639424"/>
        <c:crosses val="autoZero"/>
        <c:crossBetween val="between"/>
        <c:majorUnit val="200"/>
      </c:valAx>
    </c:plotArea>
    <c:legend>
      <c:legendPos val="b"/>
      <c:overlay val="0"/>
    </c:legend>
    <c:plotVisOnly val="1"/>
    <c:dispBlanksAs val="gap"/>
    <c:showDLblsOverMax val="0"/>
  </c:chart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Fish</a:t>
            </a:r>
            <a:r>
              <a:rPr lang="en-US" baseline="0"/>
              <a:t> Curve With Carbon Mid Fuel Costs $M (Clean Energy Connection - SoBra 700MWs</a:t>
            </a:r>
            <a:r>
              <a:rPr lang="en-US" sz="1800" b="1" i="0" u="none" strike="noStrike" baseline="0">
                <a:effectLst/>
              </a:rPr>
              <a:t>) - Addition of 750MWs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Fish_Curves_WC_MF!$A$97</c:f>
              <c:strCache>
                <c:ptCount val="1"/>
                <c:pt idx="0">
                  <c:v>Existing Solar</c:v>
                </c:pt>
              </c:strCache>
            </c:strRef>
          </c:tx>
          <c:invertIfNegative val="0"/>
          <c:dLbls>
            <c:dLbl>
              <c:idx val="3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FD-46EE-892C-782363C6F2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Fish_Curves_WC_MF!$B$97:$AJ$97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FD-46EE-892C-782363C6F2BB}"/>
            </c:ext>
          </c:extLst>
        </c:ser>
        <c:ser>
          <c:idx val="1"/>
          <c:order val="1"/>
          <c:tx>
            <c:strRef>
              <c:f>Fish_Curves_WC_MF!$A$98</c:f>
              <c:strCache>
                <c:ptCount val="1"/>
                <c:pt idx="0">
                  <c:v>New Solar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Fish_Curves_WC_MF!$B$98:$AJ$98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27.104402529171068</c:v>
                </c:pt>
                <c:pt idx="3">
                  <c:v>71.677271703898896</c:v>
                </c:pt>
                <c:pt idx="4">
                  <c:v>106.71659618161929</c:v>
                </c:pt>
                <c:pt idx="5">
                  <c:v>94.968223232679676</c:v>
                </c:pt>
                <c:pt idx="6">
                  <c:v>84.930290419949785</c:v>
                </c:pt>
                <c:pt idx="7">
                  <c:v>71.369318056281188</c:v>
                </c:pt>
                <c:pt idx="8">
                  <c:v>64.616065941150438</c:v>
                </c:pt>
                <c:pt idx="9">
                  <c:v>58.847825074856878</c:v>
                </c:pt>
                <c:pt idx="10">
                  <c:v>53.786374701416463</c:v>
                </c:pt>
                <c:pt idx="11">
                  <c:v>49.250786941365043</c:v>
                </c:pt>
                <c:pt idx="12">
                  <c:v>45.08657486113227</c:v>
                </c:pt>
                <c:pt idx="13">
                  <c:v>41.252032029110545</c:v>
                </c:pt>
                <c:pt idx="14">
                  <c:v>37.704265111778128</c:v>
                </c:pt>
                <c:pt idx="15">
                  <c:v>34.471759461208883</c:v>
                </c:pt>
                <c:pt idx="16">
                  <c:v>31.510242239544308</c:v>
                </c:pt>
                <c:pt idx="17">
                  <c:v>28.771416472238894</c:v>
                </c:pt>
                <c:pt idx="18">
                  <c:v>28.186255215442095</c:v>
                </c:pt>
                <c:pt idx="19">
                  <c:v>25.599452768354144</c:v>
                </c:pt>
                <c:pt idx="20">
                  <c:v>23.223951483068507</c:v>
                </c:pt>
                <c:pt idx="21">
                  <c:v>21.051786711251751</c:v>
                </c:pt>
                <c:pt idx="22">
                  <c:v>19.118354143731811</c:v>
                </c:pt>
                <c:pt idx="23">
                  <c:v>17.388538002102155</c:v>
                </c:pt>
                <c:pt idx="24">
                  <c:v>15.82103716639633</c:v>
                </c:pt>
                <c:pt idx="25">
                  <c:v>14.367151034475768</c:v>
                </c:pt>
                <c:pt idx="26">
                  <c:v>13.070098401550514</c:v>
                </c:pt>
                <c:pt idx="27">
                  <c:v>11.873952695715952</c:v>
                </c:pt>
                <c:pt idx="28">
                  <c:v>10.792396380648784</c:v>
                </c:pt>
                <c:pt idx="29">
                  <c:v>9.7892282563921427</c:v>
                </c:pt>
                <c:pt idx="30">
                  <c:v>8.8893100063044432</c:v>
                </c:pt>
                <c:pt idx="31">
                  <c:v>8.5564850648572275</c:v>
                </c:pt>
                <c:pt idx="32">
                  <c:v>6.8276065268349155</c:v>
                </c:pt>
                <c:pt idx="33">
                  <c:v>3.6792355349898176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FD-46EE-892C-782363C6F2BB}"/>
            </c:ext>
          </c:extLst>
        </c:ser>
        <c:ser>
          <c:idx val="2"/>
          <c:order val="2"/>
          <c:tx>
            <c:strRef>
              <c:f>Fish_Curves_WC_MF!$A$99</c:f>
              <c:strCache>
                <c:ptCount val="1"/>
                <c:pt idx="0">
                  <c:v>Conv Gen Capital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Fish_Curves_WC_MF!$B$99:$AJ$99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-6.8065319934405428</c:v>
                </c:pt>
                <c:pt idx="8">
                  <c:v>-17.156741119315107</c:v>
                </c:pt>
                <c:pt idx="9">
                  <c:v>-13.726353422336407</c:v>
                </c:pt>
                <c:pt idx="10">
                  <c:v>-14.248865358300485</c:v>
                </c:pt>
                <c:pt idx="11">
                  <c:v>-11.279824508640477</c:v>
                </c:pt>
                <c:pt idx="12">
                  <c:v>-11.863680592843043</c:v>
                </c:pt>
                <c:pt idx="13">
                  <c:v>-9.2811218396467083</c:v>
                </c:pt>
                <c:pt idx="14">
                  <c:v>-11.19201308176531</c:v>
                </c:pt>
                <c:pt idx="15">
                  <c:v>-14.187978567056973</c:v>
                </c:pt>
                <c:pt idx="16">
                  <c:v>-8.0090661841749977</c:v>
                </c:pt>
                <c:pt idx="17">
                  <c:v>-4.0408851685104423</c:v>
                </c:pt>
                <c:pt idx="18">
                  <c:v>-8.0679780383568698</c:v>
                </c:pt>
                <c:pt idx="19">
                  <c:v>-10.230610525944485</c:v>
                </c:pt>
                <c:pt idx="20">
                  <c:v>-9.2733521014794462</c:v>
                </c:pt>
                <c:pt idx="21">
                  <c:v>-8.400031038110825</c:v>
                </c:pt>
                <c:pt idx="22">
                  <c:v>-7.6126832420071935</c:v>
                </c:pt>
                <c:pt idx="23">
                  <c:v>-6.9229754540364183</c:v>
                </c:pt>
                <c:pt idx="24">
                  <c:v>-6.3108975403765442</c:v>
                </c:pt>
                <c:pt idx="25">
                  <c:v>-5.7501154341850054</c:v>
                </c:pt>
                <c:pt idx="26">
                  <c:v>-2.3105606931873979</c:v>
                </c:pt>
                <c:pt idx="27">
                  <c:v>-0.1697862694786636</c:v>
                </c:pt>
                <c:pt idx="28">
                  <c:v>-0.15832837445410064</c:v>
                </c:pt>
                <c:pt idx="29">
                  <c:v>-0.14486076974009165</c:v>
                </c:pt>
                <c:pt idx="30">
                  <c:v>-0.13681173878222808</c:v>
                </c:pt>
                <c:pt idx="31">
                  <c:v>-0.12550708883797768</c:v>
                </c:pt>
                <c:pt idx="32">
                  <c:v>-9.9581258497082104E-2</c:v>
                </c:pt>
                <c:pt idx="33">
                  <c:v>-7.5554121779191519E-2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FD-46EE-892C-782363C6F2BB}"/>
            </c:ext>
          </c:extLst>
        </c:ser>
        <c:ser>
          <c:idx val="3"/>
          <c:order val="3"/>
          <c:tx>
            <c:strRef>
              <c:f>Fish_Curves_WC_MF!$A$100</c:f>
              <c:strCache>
                <c:ptCount val="1"/>
                <c:pt idx="0">
                  <c:v>Fixed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Fish_Curves_WC_MF!$B$100:$AJ$100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-0.16330587684247888</c:v>
                </c:pt>
                <c:pt idx="8">
                  <c:v>-0.42581547344002857</c:v>
                </c:pt>
                <c:pt idx="9">
                  <c:v>-0.36600215588460294</c:v>
                </c:pt>
                <c:pt idx="10">
                  <c:v>-0.39296000930739261</c:v>
                </c:pt>
                <c:pt idx="11">
                  <c:v>-0.33774844971718743</c:v>
                </c:pt>
                <c:pt idx="12">
                  <c:v>-0.36262822702841113</c:v>
                </c:pt>
                <c:pt idx="13">
                  <c:v>-0.31168009963181298</c:v>
                </c:pt>
                <c:pt idx="14">
                  <c:v>-0.60864539849580446</c:v>
                </c:pt>
                <c:pt idx="15">
                  <c:v>-0.85729600384555305</c:v>
                </c:pt>
                <c:pt idx="16">
                  <c:v>-0.58334890442599452</c:v>
                </c:pt>
                <c:pt idx="17">
                  <c:v>-0.39556578567956358</c:v>
                </c:pt>
                <c:pt idx="18">
                  <c:v>-0.60165971424810927</c:v>
                </c:pt>
                <c:pt idx="19">
                  <c:v>-0.73007606582694606</c:v>
                </c:pt>
                <c:pt idx="20">
                  <c:v>-0.70133843795907858</c:v>
                </c:pt>
                <c:pt idx="21">
                  <c:v>-0.67373083929414435</c:v>
                </c:pt>
                <c:pt idx="22">
                  <c:v>-0.64721397613967468</c:v>
                </c:pt>
                <c:pt idx="23">
                  <c:v>-0.62173529939348526</c:v>
                </c:pt>
                <c:pt idx="24">
                  <c:v>-0.59726296340448393</c:v>
                </c:pt>
                <c:pt idx="25">
                  <c:v>-0.57375248811864132</c:v>
                </c:pt>
                <c:pt idx="26">
                  <c:v>-0.3904123863671245</c:v>
                </c:pt>
                <c:pt idx="27">
                  <c:v>-0.26473626165666353</c:v>
                </c:pt>
                <c:pt idx="28">
                  <c:v>-0.25431495837184492</c:v>
                </c:pt>
                <c:pt idx="29">
                  <c:v>-0.24430496887774389</c:v>
                </c:pt>
                <c:pt idx="30">
                  <c:v>-0.23468939481063344</c:v>
                </c:pt>
                <c:pt idx="31">
                  <c:v>-0.22545071707872566</c:v>
                </c:pt>
                <c:pt idx="32">
                  <c:v>-0.21657621141846928</c:v>
                </c:pt>
                <c:pt idx="33">
                  <c:v>-0.20805080481709393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FD-46EE-892C-782363C6F2BB}"/>
            </c:ext>
          </c:extLst>
        </c:ser>
        <c:ser>
          <c:idx val="4"/>
          <c:order val="4"/>
          <c:tx>
            <c:strRef>
              <c:f>Fish_Curves_WC_MF!$A$101</c:f>
              <c:strCache>
                <c:ptCount val="1"/>
                <c:pt idx="0">
                  <c:v>Gas Reservation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Fish_Curves_WC_MF!$B$101:$AJ$101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-10.40697230661479</c:v>
                </c:pt>
                <c:pt idx="15">
                  <c:v>-16.720273684625397</c:v>
                </c:pt>
                <c:pt idx="16">
                  <c:v>-10.868456631186831</c:v>
                </c:pt>
                <c:pt idx="17">
                  <c:v>-6.9714385497996432</c:v>
                </c:pt>
                <c:pt idx="18">
                  <c:v>-10.964988828656743</c:v>
                </c:pt>
                <c:pt idx="19">
                  <c:v>-13.242936666713547</c:v>
                </c:pt>
                <c:pt idx="20">
                  <c:v>-12.411380037396697</c:v>
                </c:pt>
                <c:pt idx="21">
                  <c:v>-11.632020965446713</c:v>
                </c:pt>
                <c:pt idx="22">
                  <c:v>-10.901612901074714</c:v>
                </c:pt>
                <c:pt idx="23">
                  <c:v>-10.217069260613613</c:v>
                </c:pt>
                <c:pt idx="24">
                  <c:v>-9.5755206293738695</c:v>
                </c:pt>
                <c:pt idx="25">
                  <c:v>-8.9742461381198382</c:v>
                </c:pt>
                <c:pt idx="26">
                  <c:v>-5.196999863071369</c:v>
                </c:pt>
                <c:pt idx="27">
                  <c:v>-2.7192990630778127</c:v>
                </c:pt>
                <c:pt idx="28">
                  <c:v>-2.5485464508695372</c:v>
                </c:pt>
                <c:pt idx="29">
                  <c:v>-2.3885158864756875</c:v>
                </c:pt>
                <c:pt idx="30">
                  <c:v>-2.2385341016641718</c:v>
                </c:pt>
                <c:pt idx="31">
                  <c:v>-2.097970104652461</c:v>
                </c:pt>
                <c:pt idx="32">
                  <c:v>-1.9662325254474808</c:v>
                </c:pt>
                <c:pt idx="33">
                  <c:v>-1.8427671278795401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FD-46EE-892C-782363C6F2BB}"/>
            </c:ext>
          </c:extLst>
        </c:ser>
        <c:ser>
          <c:idx val="5"/>
          <c:order val="5"/>
          <c:tx>
            <c:strRef>
              <c:f>Fish_Curves_WC_MF!$A$103</c:f>
              <c:strCache>
                <c:ptCount val="1"/>
                <c:pt idx="0">
                  <c:v>Fuel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Fish_Curves_WC_MF!$B$103:$AJ$103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-7.3073960310556458</c:v>
                </c:pt>
                <c:pt idx="3">
                  <c:v>-19.910842826671114</c:v>
                </c:pt>
                <c:pt idx="4">
                  <c:v>-37.331744855861302</c:v>
                </c:pt>
                <c:pt idx="5">
                  <c:v>-35.202494072999798</c:v>
                </c:pt>
                <c:pt idx="6">
                  <c:v>-35.066468442211089</c:v>
                </c:pt>
                <c:pt idx="7">
                  <c:v>-36.183642421426157</c:v>
                </c:pt>
                <c:pt idx="8">
                  <c:v>-33.99904237239025</c:v>
                </c:pt>
                <c:pt idx="9">
                  <c:v>-37.440906513393656</c:v>
                </c:pt>
                <c:pt idx="10">
                  <c:v>-32.648127251642563</c:v>
                </c:pt>
                <c:pt idx="11">
                  <c:v>-35.899422809926136</c:v>
                </c:pt>
                <c:pt idx="12">
                  <c:v>-32.869956091689232</c:v>
                </c:pt>
                <c:pt idx="13">
                  <c:v>-31.661732278479462</c:v>
                </c:pt>
                <c:pt idx="14">
                  <c:v>-31.993836716579722</c:v>
                </c:pt>
                <c:pt idx="15">
                  <c:v>-29.335010729957617</c:v>
                </c:pt>
                <c:pt idx="16">
                  <c:v>-27.957877296361403</c:v>
                </c:pt>
                <c:pt idx="17">
                  <c:v>-29.202964225014398</c:v>
                </c:pt>
                <c:pt idx="18">
                  <c:v>-27.985923005897803</c:v>
                </c:pt>
                <c:pt idx="19">
                  <c:v>-27.730074985826832</c:v>
                </c:pt>
                <c:pt idx="20">
                  <c:v>-27.14498420852874</c:v>
                </c:pt>
                <c:pt idx="21">
                  <c:v>-26.126840803865093</c:v>
                </c:pt>
                <c:pt idx="22">
                  <c:v>-24.116522492060994</c:v>
                </c:pt>
                <c:pt idx="23">
                  <c:v>-23.750187628513117</c:v>
                </c:pt>
                <c:pt idx="24">
                  <c:v>-22.004327292626954</c:v>
                </c:pt>
                <c:pt idx="25">
                  <c:v>-22.021434877356569</c:v>
                </c:pt>
                <c:pt idx="26">
                  <c:v>-20.873474693224466</c:v>
                </c:pt>
                <c:pt idx="27">
                  <c:v>-19.302197666930056</c:v>
                </c:pt>
                <c:pt idx="28">
                  <c:v>-19.914298235712295</c:v>
                </c:pt>
                <c:pt idx="29">
                  <c:v>-17.588556406841462</c:v>
                </c:pt>
                <c:pt idx="30">
                  <c:v>-16.953469121996136</c:v>
                </c:pt>
                <c:pt idx="31">
                  <c:v>-17.159927685833907</c:v>
                </c:pt>
                <c:pt idx="32">
                  <c:v>-13.595486219008023</c:v>
                </c:pt>
                <c:pt idx="33">
                  <c:v>-6.5974325949663921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FFD-46EE-892C-782363C6F2BB}"/>
            </c:ext>
          </c:extLst>
        </c:ser>
        <c:ser>
          <c:idx val="6"/>
          <c:order val="6"/>
          <c:tx>
            <c:strRef>
              <c:f>Fish_Curves_WC_MF!$A$104</c:f>
              <c:strCache>
                <c:ptCount val="1"/>
                <c:pt idx="0">
                  <c:v>Variable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Fish_Curves_WC_MF!$B$104:$AJ$104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-1.2273285029543501</c:v>
                </c:pt>
                <c:pt idx="3">
                  <c:v>-3.1648024561547174</c:v>
                </c:pt>
                <c:pt idx="4">
                  <c:v>-4.1247851627307028</c:v>
                </c:pt>
                <c:pt idx="5">
                  <c:v>-3.2067757393017189</c:v>
                </c:pt>
                <c:pt idx="6">
                  <c:v>-3.1352735378056735</c:v>
                </c:pt>
                <c:pt idx="7">
                  <c:v>-3.2394683143071887</c:v>
                </c:pt>
                <c:pt idx="8">
                  <c:v>-3.6207648389268314</c:v>
                </c:pt>
                <c:pt idx="9">
                  <c:v>-2.9275765427479143</c:v>
                </c:pt>
                <c:pt idx="10">
                  <c:v>-3.0126341512637538</c:v>
                </c:pt>
                <c:pt idx="11">
                  <c:v>-3.2793238580622983</c:v>
                </c:pt>
                <c:pt idx="12">
                  <c:v>-2.9280972199926509</c:v>
                </c:pt>
                <c:pt idx="13">
                  <c:v>-2.4787515736563819</c:v>
                </c:pt>
                <c:pt idx="14">
                  <c:v>-2.7661757956250739</c:v>
                </c:pt>
                <c:pt idx="15">
                  <c:v>-2.6727670457493389</c:v>
                </c:pt>
                <c:pt idx="16">
                  <c:v>-1.8079886867061816</c:v>
                </c:pt>
                <c:pt idx="17">
                  <c:v>-0.78849840646049074</c:v>
                </c:pt>
                <c:pt idx="18">
                  <c:v>-2.1298881476636353</c:v>
                </c:pt>
                <c:pt idx="19">
                  <c:v>-1.9741085557540003</c:v>
                </c:pt>
                <c:pt idx="20">
                  <c:v>-1.7819134122426732</c:v>
                </c:pt>
                <c:pt idx="21">
                  <c:v>-1.7154787275970023</c:v>
                </c:pt>
                <c:pt idx="22">
                  <c:v>-1.714099274869568</c:v>
                </c:pt>
                <c:pt idx="23">
                  <c:v>-1.7738168576686917</c:v>
                </c:pt>
                <c:pt idx="24">
                  <c:v>-1.2064137399126196</c:v>
                </c:pt>
                <c:pt idx="25">
                  <c:v>-1.5782660238135264</c:v>
                </c:pt>
                <c:pt idx="26">
                  <c:v>-1.5153202014340224</c:v>
                </c:pt>
                <c:pt idx="27">
                  <c:v>-0.74951086551824631</c:v>
                </c:pt>
                <c:pt idx="28">
                  <c:v>-1.2678228546718913</c:v>
                </c:pt>
                <c:pt idx="29">
                  <c:v>-1.1287443393681542</c:v>
                </c:pt>
                <c:pt idx="30">
                  <c:v>-1.071155153249606</c:v>
                </c:pt>
                <c:pt idx="31">
                  <c:v>0.79951996642608947</c:v>
                </c:pt>
                <c:pt idx="32">
                  <c:v>-0.77493469704758411</c:v>
                </c:pt>
                <c:pt idx="33">
                  <c:v>-0.58957178861416537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FD-46EE-892C-782363C6F2BB}"/>
            </c:ext>
          </c:extLst>
        </c:ser>
        <c:ser>
          <c:idx val="7"/>
          <c:order val="7"/>
          <c:tx>
            <c:strRef>
              <c:f>Fish_Curves_WC_MF!$A$105</c:f>
              <c:strCache>
                <c:ptCount val="1"/>
                <c:pt idx="0">
                  <c:v>Environmental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Fish_Curves_WC_MF!$B$105:$AJ$105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-6.0609896099127702E-2</c:v>
                </c:pt>
                <c:pt idx="3">
                  <c:v>-9.3822377800455214E-2</c:v>
                </c:pt>
                <c:pt idx="4">
                  <c:v>-0.22445664715627878</c:v>
                </c:pt>
                <c:pt idx="5">
                  <c:v>-0.24690980856892875</c:v>
                </c:pt>
                <c:pt idx="6">
                  <c:v>-0.18999536721112165</c:v>
                </c:pt>
                <c:pt idx="7">
                  <c:v>-0.11055318192298103</c:v>
                </c:pt>
                <c:pt idx="8">
                  <c:v>-4.2766604279746545E-2</c:v>
                </c:pt>
                <c:pt idx="9">
                  <c:v>-0.21197900534294511</c:v>
                </c:pt>
                <c:pt idx="10">
                  <c:v>3.9843502589506308E-2</c:v>
                </c:pt>
                <c:pt idx="11">
                  <c:v>1.5076255060407107E-2</c:v>
                </c:pt>
                <c:pt idx="12">
                  <c:v>5.2220760824726042E-2</c:v>
                </c:pt>
                <c:pt idx="13">
                  <c:v>1.6098149320042054E-2</c:v>
                </c:pt>
                <c:pt idx="14">
                  <c:v>-1.5072940414993186E-2</c:v>
                </c:pt>
                <c:pt idx="15">
                  <c:v>-2.2697310152259176E-2</c:v>
                </c:pt>
                <c:pt idx="16">
                  <c:v>-2.4538712728619405E-2</c:v>
                </c:pt>
                <c:pt idx="17">
                  <c:v>-2.3260176689655854E-2</c:v>
                </c:pt>
                <c:pt idx="18">
                  <c:v>-2.0716625120902332E-2</c:v>
                </c:pt>
                <c:pt idx="19">
                  <c:v>-1.7814558322098217E-2</c:v>
                </c:pt>
                <c:pt idx="20">
                  <c:v>-1.6892739564834947E-2</c:v>
                </c:pt>
                <c:pt idx="21">
                  <c:v>-1.6088177005845306E-2</c:v>
                </c:pt>
                <c:pt idx="22">
                  <c:v>-1.6765820598233172E-2</c:v>
                </c:pt>
                <c:pt idx="23">
                  <c:v>-1.3980403523407958E-2</c:v>
                </c:pt>
                <c:pt idx="24">
                  <c:v>-1.4171741007012906E-2</c:v>
                </c:pt>
                <c:pt idx="25">
                  <c:v>-1.3864914307498144E-2</c:v>
                </c:pt>
                <c:pt idx="26">
                  <c:v>-1.2888711998398361E-2</c:v>
                </c:pt>
                <c:pt idx="27">
                  <c:v>-1.1678366572877685E-2</c:v>
                </c:pt>
                <c:pt idx="28">
                  <c:v>-1.0427651966048279E-2</c:v>
                </c:pt>
                <c:pt idx="29">
                  <c:v>-1.0581048966024575E-2</c:v>
                </c:pt>
                <c:pt idx="30">
                  <c:v>-9.5079073418288251E-3</c:v>
                </c:pt>
                <c:pt idx="31">
                  <c:v>-9.0769612929899046E-3</c:v>
                </c:pt>
                <c:pt idx="32">
                  <c:v>-6.6742925475822279E-3</c:v>
                </c:pt>
                <c:pt idx="33">
                  <c:v>-3.2328896985929501E-3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FFD-46EE-892C-782363C6F2BB}"/>
            </c:ext>
          </c:extLst>
        </c:ser>
        <c:ser>
          <c:idx val="8"/>
          <c:order val="8"/>
          <c:tx>
            <c:strRef>
              <c:f>Fish_Curves_WC_MF!$A$106</c:f>
              <c:strCache>
                <c:ptCount val="1"/>
                <c:pt idx="0">
                  <c:v>CO2 Costs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Fish_Curves_WC_MF!$B$106:$AJ$106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-3.3712226253887536</c:v>
                </c:pt>
                <c:pt idx="6">
                  <c:v>-5.4883483046460668</c:v>
                </c:pt>
                <c:pt idx="7">
                  <c:v>-7.1198580520796497</c:v>
                </c:pt>
                <c:pt idx="8">
                  <c:v>-8.4482270876156065</c:v>
                </c:pt>
                <c:pt idx="9">
                  <c:v>-10.961912121015985</c:v>
                </c:pt>
                <c:pt idx="10">
                  <c:v>-9.665317814376408</c:v>
                </c:pt>
                <c:pt idx="11">
                  <c:v>-10.970741331555132</c:v>
                </c:pt>
                <c:pt idx="12">
                  <c:v>-11.349232542436141</c:v>
                </c:pt>
                <c:pt idx="13">
                  <c:v>-12.055122419648569</c:v>
                </c:pt>
                <c:pt idx="14">
                  <c:v>-13.315592390886763</c:v>
                </c:pt>
                <c:pt idx="15">
                  <c:v>-13.27775254229158</c:v>
                </c:pt>
                <c:pt idx="16">
                  <c:v>-14.738508530616343</c:v>
                </c:pt>
                <c:pt idx="17">
                  <c:v>-16.710781676988006</c:v>
                </c:pt>
                <c:pt idx="18">
                  <c:v>-17.71003504105289</c:v>
                </c:pt>
                <c:pt idx="19">
                  <c:v>-19.505905971701395</c:v>
                </c:pt>
                <c:pt idx="20">
                  <c:v>-20.16031475274491</c:v>
                </c:pt>
                <c:pt idx="21">
                  <c:v>-20.660032144669572</c:v>
                </c:pt>
                <c:pt idx="22">
                  <c:v>-20.070084607880744</c:v>
                </c:pt>
                <c:pt idx="23">
                  <c:v>-20.654098670143867</c:v>
                </c:pt>
                <c:pt idx="24">
                  <c:v>-19.880343935870883</c:v>
                </c:pt>
                <c:pt idx="25">
                  <c:v>-20.047727266932384</c:v>
                </c:pt>
                <c:pt idx="26">
                  <c:v>-19.712062444792764</c:v>
                </c:pt>
                <c:pt idx="27">
                  <c:v>-19.00387243003172</c:v>
                </c:pt>
                <c:pt idx="28">
                  <c:v>-20.083024770925704</c:v>
                </c:pt>
                <c:pt idx="29">
                  <c:v>-18.422011864349884</c:v>
                </c:pt>
                <c:pt idx="30">
                  <c:v>-18.331589771950917</c:v>
                </c:pt>
                <c:pt idx="31">
                  <c:v>-19.270510708369898</c:v>
                </c:pt>
                <c:pt idx="32">
                  <c:v>-15.473708964674529</c:v>
                </c:pt>
                <c:pt idx="33">
                  <c:v>-7.6606568415282936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FFD-46EE-892C-782363C6F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639424"/>
        <c:axId val="55538432"/>
      </c:barChart>
      <c:lineChart>
        <c:grouping val="standard"/>
        <c:varyColors val="0"/>
        <c:ser>
          <c:idx val="9"/>
          <c:order val="9"/>
          <c:tx>
            <c:strRef>
              <c:f>Fish_Curves_WC_MF!$A$107</c:f>
              <c:strCache>
                <c:ptCount val="1"/>
                <c:pt idx="0">
                  <c:v>Total Costs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FD-46EE-892C-782363C6F2BB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FD-46EE-892C-782363C6F2BB}"/>
                </c:ext>
              </c:extLst>
            </c:dLbl>
            <c:dLbl>
              <c:idx val="2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FD-46EE-892C-782363C6F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baseline="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Fish_Curves_WC_MF!$B$110:$AG$110</c:f>
              <c:numCache>
                <c:formatCode>General</c:formatCode>
                <c:ptCount val="32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</c:numCache>
            </c:numRef>
          </c:cat>
          <c:val>
            <c:numRef>
              <c:f>Fish_Curves_WC_MF!$B$107:$AJ$107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0.95602539473914416</c:v>
                </c:pt>
                <c:pt idx="2">
                  <c:v>19.060269329330016</c:v>
                </c:pt>
                <c:pt idx="3">
                  <c:v>49.070114150435593</c:v>
                </c:pt>
                <c:pt idx="4">
                  <c:v>65.556158164125847</c:v>
                </c:pt>
                <c:pt idx="5">
                  <c:v>53.415294998472731</c:v>
                </c:pt>
                <c:pt idx="6">
                  <c:v>41.396152820021697</c:v>
                </c:pt>
                <c:pt idx="7">
                  <c:v>18.104854059593762</c:v>
                </c:pt>
                <c:pt idx="8">
                  <c:v>1.2346898523406242</c:v>
                </c:pt>
                <c:pt idx="9">
                  <c:v>-6.4826277278638411</c:v>
                </c:pt>
                <c:pt idx="10">
                  <c:v>-5.8337319330372841</c:v>
                </c:pt>
                <c:pt idx="11">
                  <c:v>-12.318722666151061</c:v>
                </c:pt>
                <c:pt idx="12">
                  <c:v>-14.065410409057959</c:v>
                </c:pt>
                <c:pt idx="13">
                  <c:v>-14.336313113083198</c:v>
                </c:pt>
                <c:pt idx="14">
                  <c:v>-32.439816324218697</c:v>
                </c:pt>
                <c:pt idx="15">
                  <c:v>-42.451027054413061</c:v>
                </c:pt>
                <c:pt idx="16">
                  <c:v>-32.324146821581486</c:v>
                </c:pt>
                <c:pt idx="17">
                  <c:v>-29.224458331391347</c:v>
                </c:pt>
                <c:pt idx="18">
                  <c:v>-39.166763909038963</c:v>
                </c:pt>
                <c:pt idx="19">
                  <c:v>-47.694490529456189</c:v>
                </c:pt>
                <c:pt idx="20">
                  <c:v>-48.149240266679385</c:v>
                </c:pt>
                <c:pt idx="21">
                  <c:v>-48.058078614356425</c:v>
                </c:pt>
                <c:pt idx="22">
                  <c:v>-45.843702090377448</c:v>
                </c:pt>
                <c:pt idx="23">
                  <c:v>-46.460916807639101</c:v>
                </c:pt>
                <c:pt idx="24">
                  <c:v>-43.670216291279147</c:v>
                </c:pt>
                <c:pt idx="25">
                  <c:v>-44.488567859221973</c:v>
                </c:pt>
                <c:pt idx="26">
                  <c:v>-36.859055941596914</c:v>
                </c:pt>
                <c:pt idx="27">
                  <c:v>-30.263662266390401</c:v>
                </c:pt>
                <c:pt idx="28">
                  <c:v>-33.368524465887404</c:v>
                </c:pt>
                <c:pt idx="29">
                  <c:v>-30.062438020068466</c:v>
                </c:pt>
                <c:pt idx="30">
                  <c:v>-30.016735568519437</c:v>
                </c:pt>
                <c:pt idx="31">
                  <c:v>-29.462239726542535</c:v>
                </c:pt>
                <c:pt idx="32">
                  <c:v>-25.243682418108541</c:v>
                </c:pt>
                <c:pt idx="33">
                  <c:v>-13.239802177410487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FFD-46EE-892C-782363C6F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39424"/>
        <c:axId val="55538432"/>
      </c:lineChart>
      <c:catAx>
        <c:axId val="5563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5400000" vert="horz"/>
          <a:lstStyle/>
          <a:p>
            <a:pPr>
              <a:defRPr/>
            </a:pPr>
            <a:endParaRPr lang="en-US"/>
          </a:p>
        </c:txPr>
        <c:crossAx val="55538432"/>
        <c:crosses val="autoZero"/>
        <c:auto val="1"/>
        <c:lblAlgn val="ctr"/>
        <c:lblOffset val="100"/>
        <c:noMultiLvlLbl val="0"/>
      </c:catAx>
      <c:valAx>
        <c:axId val="55538432"/>
        <c:scaling>
          <c:orientation val="minMax"/>
          <c:max val="100"/>
          <c:min val="-100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55639424"/>
        <c:crosses val="autoZero"/>
        <c:crossBetween val="between"/>
        <c:majorUnit val="20"/>
      </c:valAx>
    </c:plotArea>
    <c:legend>
      <c:legendPos val="b"/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Fish</a:t>
            </a:r>
            <a:r>
              <a:rPr lang="en-US" baseline="0"/>
              <a:t> Curve With Carbon Mid Fuel Costs $M (Clean Energy Connection - SoBra 700MWs</a:t>
            </a:r>
            <a:r>
              <a:rPr lang="en-US" sz="1800" b="1" i="0" u="none" strike="noStrike" baseline="0">
                <a:effectLst/>
              </a:rPr>
              <a:t>) - Addition of 750MWs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Fish_Curves_WC_MF!$A$83</c:f>
              <c:strCache>
                <c:ptCount val="1"/>
                <c:pt idx="0">
                  <c:v>Existing Solar</c:v>
                </c:pt>
              </c:strCache>
            </c:strRef>
          </c:tx>
          <c:invertIfNegative val="0"/>
          <c:dLbls>
            <c:dLbl>
              <c:idx val="3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D1-467B-88FB-D3595827FF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Fish_Curves_WC_MF!$B$83:$AJ$83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D1-467B-88FB-D3595827FF2C}"/>
            </c:ext>
          </c:extLst>
        </c:ser>
        <c:ser>
          <c:idx val="1"/>
          <c:order val="1"/>
          <c:tx>
            <c:strRef>
              <c:f>Fish_Curves_WC_MF!$A$84</c:f>
              <c:strCache>
                <c:ptCount val="1"/>
                <c:pt idx="0">
                  <c:v>New Solar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Fish_Curves_WC_MF!$B$84:$AJ$84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30.858064131033437</c:v>
                </c:pt>
                <c:pt idx="3">
                  <c:v>87.07123900568844</c:v>
                </c:pt>
                <c:pt idx="4">
                  <c:v>138.32148483336081</c:v>
                </c:pt>
                <c:pt idx="5">
                  <c:v>131.34102763355375</c:v>
                </c:pt>
                <c:pt idx="6">
                  <c:v>125.32829334309196</c:v>
                </c:pt>
                <c:pt idx="7">
                  <c:v>112.37313136938053</c:v>
                </c:pt>
                <c:pt idx="8">
                  <c:v>108.5565089486837</c:v>
                </c:pt>
                <c:pt idx="9">
                  <c:v>105.48973259473424</c:v>
                </c:pt>
                <c:pt idx="10">
                  <c:v>102.87656792502673</c:v>
                </c:pt>
                <c:pt idx="11">
                  <c:v>100.51289638557827</c:v>
                </c:pt>
                <c:pt idx="12">
                  <c:v>98.179378177042935</c:v>
                </c:pt>
                <c:pt idx="13">
                  <c:v>95.847943420614058</c:v>
                </c:pt>
                <c:pt idx="14">
                  <c:v>93.474328160646081</c:v>
                </c:pt>
                <c:pt idx="15">
                  <c:v>91.186331074785173</c:v>
                </c:pt>
                <c:pt idx="16">
                  <c:v>88.936995255073953</c:v>
                </c:pt>
                <c:pt idx="17">
                  <c:v>86.647567246409736</c:v>
                </c:pt>
                <c:pt idx="18">
                  <c:v>90.572619755463975</c:v>
                </c:pt>
                <c:pt idx="19">
                  <c:v>87.77172842682694</c:v>
                </c:pt>
                <c:pt idx="20">
                  <c:v>84.961956356760751</c:v>
                </c:pt>
                <c:pt idx="21">
                  <c:v>82.175389106315691</c:v>
                </c:pt>
                <c:pt idx="22">
                  <c:v>79.628352339490078</c:v>
                </c:pt>
                <c:pt idx="23">
                  <c:v>77.276014548631224</c:v>
                </c:pt>
                <c:pt idx="24">
                  <c:v>75.020683560031301</c:v>
                </c:pt>
                <c:pt idx="25">
                  <c:v>72.691083602545405</c:v>
                </c:pt>
                <c:pt idx="26">
                  <c:v>70.559218554413519</c:v>
                </c:pt>
                <c:pt idx="27">
                  <c:v>68.396619754674475</c:v>
                </c:pt>
                <c:pt idx="28">
                  <c:v>66.331776922346066</c:v>
                </c:pt>
                <c:pt idx="29">
                  <c:v>64.19727863392194</c:v>
                </c:pt>
                <c:pt idx="30">
                  <c:v>62.201468047298263</c:v>
                </c:pt>
                <c:pt idx="31">
                  <c:v>63.884043803646705</c:v>
                </c:pt>
                <c:pt idx="32">
                  <c:v>54.391358551299618</c:v>
                </c:pt>
                <c:pt idx="33">
                  <c:v>31.274000020948147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D1-467B-88FB-D3595827FF2C}"/>
            </c:ext>
          </c:extLst>
        </c:ser>
        <c:ser>
          <c:idx val="2"/>
          <c:order val="2"/>
          <c:tx>
            <c:strRef>
              <c:f>Fish_Curves_WC_MF!$A$85</c:f>
              <c:strCache>
                <c:ptCount val="1"/>
                <c:pt idx="0">
                  <c:v>Conv Gen Capital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Fish_Curves_WC_MF!$B$85:$AJ$85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-10.717088725236454</c:v>
                </c:pt>
                <c:pt idx="8">
                  <c:v>-28.823728181555392</c:v>
                </c:pt>
                <c:pt idx="9">
                  <c:v>-24.60565620192726</c:v>
                </c:pt>
                <c:pt idx="10">
                  <c:v>-27.253637617802788</c:v>
                </c:pt>
                <c:pt idx="11">
                  <c:v>-23.02029881135261</c:v>
                </c:pt>
                <c:pt idx="12">
                  <c:v>-25.834048984290732</c:v>
                </c:pt>
                <c:pt idx="13">
                  <c:v>-21.564427185999726</c:v>
                </c:pt>
                <c:pt idx="14">
                  <c:v>-27.746619659121023</c:v>
                </c:pt>
                <c:pt idx="15">
                  <c:v>-37.530712998664058</c:v>
                </c:pt>
                <c:pt idx="16">
                  <c:v>-22.605420669398427</c:v>
                </c:pt>
                <c:pt idx="17">
                  <c:v>-12.169469296423586</c:v>
                </c:pt>
                <c:pt idx="18">
                  <c:v>-25.925327840755131</c:v>
                </c:pt>
                <c:pt idx="19">
                  <c:v>-35.077248597824905</c:v>
                </c:pt>
                <c:pt idx="20">
                  <c:v>-33.925412611250977</c:v>
                </c:pt>
                <c:pt idx="21">
                  <c:v>-32.789417284612114</c:v>
                </c:pt>
                <c:pt idx="22">
                  <c:v>-31.706987896875262</c:v>
                </c:pt>
                <c:pt idx="23">
                  <c:v>-30.766241063007101</c:v>
                </c:pt>
                <c:pt idx="24">
                  <c:v>-29.925209224712944</c:v>
                </c:pt>
                <c:pt idx="25">
                  <c:v>-29.092902326120793</c:v>
                </c:pt>
                <c:pt idx="26">
                  <c:v>-12.473613581555583</c:v>
                </c:pt>
                <c:pt idx="27">
                  <c:v>-0.97800683653440501</c:v>
                </c:pt>
                <c:pt idx="28">
                  <c:v>-0.97311125762553274</c:v>
                </c:pt>
                <c:pt idx="29">
                  <c:v>-0.94998982090919526</c:v>
                </c:pt>
                <c:pt idx="30">
                  <c:v>-0.95731738372535347</c:v>
                </c:pt>
                <c:pt idx="31">
                  <c:v>-0.93705537965865915</c:v>
                </c:pt>
                <c:pt idx="32">
                  <c:v>-0.79330288214714528</c:v>
                </c:pt>
                <c:pt idx="33">
                  <c:v>-0.64222026114771325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D1-467B-88FB-D3595827FF2C}"/>
            </c:ext>
          </c:extLst>
        </c:ser>
        <c:ser>
          <c:idx val="3"/>
          <c:order val="3"/>
          <c:tx>
            <c:strRef>
              <c:f>Fish_Curves_WC_MF!$A$86</c:f>
              <c:strCache>
                <c:ptCount val="1"/>
                <c:pt idx="0">
                  <c:v>Fixed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Fish_Curves_WC_MF!$B$86:$AJ$86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-0.25713000000000363</c:v>
                </c:pt>
                <c:pt idx="8">
                  <c:v>-0.71538000000000324</c:v>
                </c:pt>
                <c:pt idx="9">
                  <c:v>-0.6560900000000025</c:v>
                </c:pt>
                <c:pt idx="10">
                  <c:v>-0.75160999999999234</c:v>
                </c:pt>
                <c:pt idx="11">
                  <c:v>-0.68928999999999618</c:v>
                </c:pt>
                <c:pt idx="12">
                  <c:v>-0.78964999999999819</c:v>
                </c:pt>
                <c:pt idx="13">
                  <c:v>-0.72418000000000049</c:v>
                </c:pt>
                <c:pt idx="14">
                  <c:v>-1.5089199999999963</c:v>
                </c:pt>
                <c:pt idx="15">
                  <c:v>-2.2677599999999956</c:v>
                </c:pt>
                <c:pt idx="16">
                  <c:v>-1.64649</c:v>
                </c:pt>
                <c:pt idx="17">
                  <c:v>-1.1912800000000061</c:v>
                </c:pt>
                <c:pt idx="18">
                  <c:v>-1.9333500000000043</c:v>
                </c:pt>
                <c:pt idx="19">
                  <c:v>-2.5031800000000075</c:v>
                </c:pt>
                <c:pt idx="20">
                  <c:v>-2.5657600000000045</c:v>
                </c:pt>
                <c:pt idx="21">
                  <c:v>-2.6298999999999992</c:v>
                </c:pt>
                <c:pt idx="22">
                  <c:v>-2.6956600000000108</c:v>
                </c:pt>
                <c:pt idx="23">
                  <c:v>-2.7630400000000108</c:v>
                </c:pt>
                <c:pt idx="24">
                  <c:v>-2.8321199999999962</c:v>
                </c:pt>
                <c:pt idx="25">
                  <c:v>-2.9029200000000088</c:v>
                </c:pt>
                <c:pt idx="26">
                  <c:v>-2.1076500000000067</c:v>
                </c:pt>
                <c:pt idx="27">
                  <c:v>-1.5249399999999866</c:v>
                </c:pt>
                <c:pt idx="28">
                  <c:v>-1.5630600000000072</c:v>
                </c:pt>
                <c:pt idx="29">
                  <c:v>-1.6021400000000057</c:v>
                </c:pt>
                <c:pt idx="30">
                  <c:v>-1.6422000000000168</c:v>
                </c:pt>
                <c:pt idx="31">
                  <c:v>-1.683250000000001</c:v>
                </c:pt>
                <c:pt idx="32">
                  <c:v>-1.7253299999999925</c:v>
                </c:pt>
                <c:pt idx="33">
                  <c:v>-1.7684599999999975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D1-467B-88FB-D3595827FF2C}"/>
            </c:ext>
          </c:extLst>
        </c:ser>
        <c:ser>
          <c:idx val="4"/>
          <c:order val="4"/>
          <c:tx>
            <c:strRef>
              <c:f>Fish_Curves_WC_MF!$A$87</c:f>
              <c:strCache>
                <c:ptCount val="1"/>
                <c:pt idx="0">
                  <c:v>Gas Reservation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Fish_Curves_WC_MF!$B$87:$AJ$87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-25.800389999999936</c:v>
                </c:pt>
                <c:pt idx="15">
                  <c:v>-44.229260000000068</c:v>
                </c:pt>
                <c:pt idx="16">
                  <c:v>-30.67599000000007</c:v>
                </c:pt>
                <c:pt idx="17">
                  <c:v>-20.995080000000144</c:v>
                </c:pt>
                <c:pt idx="18">
                  <c:v>-35.234469999999988</c:v>
                </c:pt>
                <c:pt idx="19">
                  <c:v>-45.405480000000011</c:v>
                </c:pt>
                <c:pt idx="20">
                  <c:v>-45.405500000000075</c:v>
                </c:pt>
                <c:pt idx="21">
                  <c:v>-45.405449999999973</c:v>
                </c:pt>
                <c:pt idx="22">
                  <c:v>-45.405450000000087</c:v>
                </c:pt>
                <c:pt idx="23">
                  <c:v>-45.405449999999973</c:v>
                </c:pt>
                <c:pt idx="24">
                  <c:v>-45.405500000000075</c:v>
                </c:pt>
                <c:pt idx="25">
                  <c:v>-45.405499999999961</c:v>
                </c:pt>
                <c:pt idx="26">
                  <c:v>-28.056119999999964</c:v>
                </c:pt>
                <c:pt idx="27">
                  <c:v>-15.66377</c:v>
                </c:pt>
                <c:pt idx="28">
                  <c:v>-15.66377</c:v>
                </c:pt>
                <c:pt idx="29">
                  <c:v>-15.66377</c:v>
                </c:pt>
                <c:pt idx="30">
                  <c:v>-15.66377</c:v>
                </c:pt>
                <c:pt idx="31">
                  <c:v>-15.66377</c:v>
                </c:pt>
                <c:pt idx="32">
                  <c:v>-15.66377</c:v>
                </c:pt>
                <c:pt idx="33">
                  <c:v>-15.66377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D1-467B-88FB-D3595827FF2C}"/>
            </c:ext>
          </c:extLst>
        </c:ser>
        <c:ser>
          <c:idx val="5"/>
          <c:order val="5"/>
          <c:tx>
            <c:strRef>
              <c:f>Fish_Curves_WC_MF!$A$89</c:f>
              <c:strCache>
                <c:ptCount val="1"/>
                <c:pt idx="0">
                  <c:v>Fuel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Fish_Curves_WC_MF!$B$89:$AJ$89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-8.3193900000004533</c:v>
                </c:pt>
                <c:pt idx="3">
                  <c:v>-24.187049999999886</c:v>
                </c:pt>
                <c:pt idx="4">
                  <c:v>-48.387809999999945</c:v>
                </c:pt>
                <c:pt idx="5">
                  <c:v>-48.68503999999939</c:v>
                </c:pt>
                <c:pt idx="6">
                  <c:v>-51.746209999999905</c:v>
                </c:pt>
                <c:pt idx="7">
                  <c:v>-56.972230000000081</c:v>
                </c:pt>
                <c:pt idx="8">
                  <c:v>-57.119189999999435</c:v>
                </c:pt>
                <c:pt idx="9">
                  <c:v>-67.11600999999996</c:v>
                </c:pt>
                <c:pt idx="10">
                  <c:v>-62.445690000000468</c:v>
                </c:pt>
                <c:pt idx="11">
                  <c:v>-73.264920000000302</c:v>
                </c:pt>
                <c:pt idx="12">
                  <c:v>-71.576779999999189</c:v>
                </c:pt>
                <c:pt idx="13">
                  <c:v>-73.565150000000131</c:v>
                </c:pt>
                <c:pt idx="14">
                  <c:v>-79.317350000000033</c:v>
                </c:pt>
                <c:pt idx="15">
                  <c:v>-77.598359999999957</c:v>
                </c:pt>
                <c:pt idx="16">
                  <c:v>-78.910520000000815</c:v>
                </c:pt>
                <c:pt idx="17">
                  <c:v>-87.947209999999359</c:v>
                </c:pt>
                <c:pt idx="18">
                  <c:v>-89.928879999999936</c:v>
                </c:pt>
                <c:pt idx="19">
                  <c:v>-95.076900000000478</c:v>
                </c:pt>
                <c:pt idx="20">
                  <c:v>-99.306570000001557</c:v>
                </c:pt>
                <c:pt idx="21">
                  <c:v>-101.98579999999993</c:v>
                </c:pt>
                <c:pt idx="22">
                  <c:v>-100.44582999999966</c:v>
                </c:pt>
                <c:pt idx="23">
                  <c:v>-105.54767999999922</c:v>
                </c:pt>
                <c:pt idx="24">
                  <c:v>-104.34079999999994</c:v>
                </c:pt>
                <c:pt idx="25">
                  <c:v>-111.41819000000123</c:v>
                </c:pt>
                <c:pt idx="26">
                  <c:v>-112.6859199999999</c:v>
                </c:pt>
                <c:pt idx="27">
                  <c:v>-111.18496999999888</c:v>
                </c:pt>
                <c:pt idx="28">
                  <c:v>-122.39643000000069</c:v>
                </c:pt>
                <c:pt idx="29">
                  <c:v>-115.34489000000121</c:v>
                </c:pt>
                <c:pt idx="30">
                  <c:v>-118.62908000000107</c:v>
                </c:pt>
                <c:pt idx="31">
                  <c:v>-128.11868000000004</c:v>
                </c:pt>
                <c:pt idx="32">
                  <c:v>-108.30690999999933</c:v>
                </c:pt>
                <c:pt idx="33">
                  <c:v>-56.079070000000684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D1-467B-88FB-D3595827FF2C}"/>
            </c:ext>
          </c:extLst>
        </c:ser>
        <c:ser>
          <c:idx val="6"/>
          <c:order val="6"/>
          <c:tx>
            <c:strRef>
              <c:f>Fish_Curves_WC_MF!$A$90</c:f>
              <c:strCache>
                <c:ptCount val="1"/>
                <c:pt idx="0">
                  <c:v>Variable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Fish_Curves_WC_MF!$B$90:$AJ$90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-1.3973000000000013</c:v>
                </c:pt>
                <c:pt idx="3">
                  <c:v>-3.8444999999999681</c:v>
                </c:pt>
                <c:pt idx="4">
                  <c:v>-5.3463700000000216</c:v>
                </c:pt>
                <c:pt idx="5">
                  <c:v>-4.4349699999999928</c:v>
                </c:pt>
                <c:pt idx="6">
                  <c:v>-4.6266000000000247</c:v>
                </c:pt>
                <c:pt idx="7">
                  <c:v>-5.1006399999999701</c:v>
                </c:pt>
                <c:pt idx="8">
                  <c:v>-6.0829699999999889</c:v>
                </c:pt>
                <c:pt idx="9">
                  <c:v>-5.2479299999999967</c:v>
                </c:pt>
                <c:pt idx="10">
                  <c:v>-5.7622299999999598</c:v>
                </c:pt>
                <c:pt idx="11">
                  <c:v>-6.6925699999999892</c:v>
                </c:pt>
                <c:pt idx="12">
                  <c:v>-6.3761499999999387</c:v>
                </c:pt>
                <c:pt idx="13">
                  <c:v>-5.7593099999999708</c:v>
                </c:pt>
                <c:pt idx="14">
                  <c:v>-6.8577499999999532</c:v>
                </c:pt>
                <c:pt idx="15">
                  <c:v>-7.0701299999999492</c:v>
                </c:pt>
                <c:pt idx="16">
                  <c:v>-5.1030099999999265</c:v>
                </c:pt>
                <c:pt idx="17">
                  <c:v>-2.3746299999999678</c:v>
                </c:pt>
                <c:pt idx="18">
                  <c:v>-6.8441000000000258</c:v>
                </c:pt>
                <c:pt idx="19">
                  <c:v>-6.76854000000003</c:v>
                </c:pt>
                <c:pt idx="20">
                  <c:v>-6.5189099999999485</c:v>
                </c:pt>
                <c:pt idx="21">
                  <c:v>-6.6963499999999954</c:v>
                </c:pt>
                <c:pt idx="22">
                  <c:v>-7.1392599999999788</c:v>
                </c:pt>
                <c:pt idx="23">
                  <c:v>-7.8829800000000887</c:v>
                </c:pt>
                <c:pt idx="24">
                  <c:v>-5.720610000000022</c:v>
                </c:pt>
                <c:pt idx="25">
                  <c:v>-7.9852899999998499</c:v>
                </c:pt>
                <c:pt idx="26">
                  <c:v>-8.1804900000000771</c:v>
                </c:pt>
                <c:pt idx="27">
                  <c:v>-4.3173499999999194</c:v>
                </c:pt>
                <c:pt idx="28">
                  <c:v>-7.7922400000001062</c:v>
                </c:pt>
                <c:pt idx="29">
                  <c:v>-7.4022500000000946</c:v>
                </c:pt>
                <c:pt idx="30">
                  <c:v>-7.495230000000106</c:v>
                </c:pt>
                <c:pt idx="31">
                  <c:v>5.9693399999999883</c:v>
                </c:pt>
                <c:pt idx="32">
                  <c:v>-6.1734299999998257</c:v>
                </c:pt>
                <c:pt idx="33">
                  <c:v>-5.0114400000001069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D1-467B-88FB-D3595827FF2C}"/>
            </c:ext>
          </c:extLst>
        </c:ser>
        <c:ser>
          <c:idx val="7"/>
          <c:order val="7"/>
          <c:tx>
            <c:strRef>
              <c:f>Fish_Curves_WC_MF!$A$91</c:f>
              <c:strCache>
                <c:ptCount val="1"/>
                <c:pt idx="0">
                  <c:v>Environmental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Fish_Curves_WC_MF!$B$91:$AJ$91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-6.9003699999999668E-2</c:v>
                </c:pt>
                <c:pt idx="3">
                  <c:v>-0.11397239999999886</c:v>
                </c:pt>
                <c:pt idx="4">
                  <c:v>-0.290931099999999</c:v>
                </c:pt>
                <c:pt idx="5">
                  <c:v>-0.34147619999999979</c:v>
                </c:pt>
                <c:pt idx="6">
                  <c:v>-0.28036870000000125</c:v>
                </c:pt>
                <c:pt idx="7">
                  <c:v>-0.1740693000000002</c:v>
                </c:pt>
                <c:pt idx="8">
                  <c:v>-7.1848899999999105E-2</c:v>
                </c:pt>
                <c:pt idx="9">
                  <c:v>-0.37999040000000228</c:v>
                </c:pt>
                <c:pt idx="10">
                  <c:v>7.6208199999998172E-2</c:v>
                </c:pt>
                <c:pt idx="11">
                  <c:v>3.0768199999998913E-2</c:v>
                </c:pt>
                <c:pt idx="12">
                  <c:v>0.11371459999999978</c:v>
                </c:pt>
                <c:pt idx="13">
                  <c:v>3.7403599999998427E-2</c:v>
                </c:pt>
                <c:pt idx="14">
                  <c:v>-3.7368000000000734E-2</c:v>
                </c:pt>
                <c:pt idx="15">
                  <c:v>-6.0040000000000093E-2</c:v>
                </c:pt>
                <c:pt idx="16">
                  <c:v>-6.9260000000000321E-2</c:v>
                </c:pt>
                <c:pt idx="17">
                  <c:v>-7.0049999999999946E-2</c:v>
                </c:pt>
                <c:pt idx="18">
                  <c:v>-6.6570000000000018E-2</c:v>
                </c:pt>
                <c:pt idx="19">
                  <c:v>-6.1080000000000023E-2</c:v>
                </c:pt>
                <c:pt idx="20">
                  <c:v>-6.1799999999999855E-2</c:v>
                </c:pt>
                <c:pt idx="21">
                  <c:v>-6.2800000000000411E-2</c:v>
                </c:pt>
                <c:pt idx="22">
                  <c:v>-6.9830000000000059E-2</c:v>
                </c:pt>
                <c:pt idx="23">
                  <c:v>-6.2130000000000019E-2</c:v>
                </c:pt>
                <c:pt idx="24">
                  <c:v>-6.7199999999999926E-2</c:v>
                </c:pt>
                <c:pt idx="25">
                  <c:v>-7.0149999999999935E-2</c:v>
                </c:pt>
                <c:pt idx="26">
                  <c:v>-6.9579999999999975E-2</c:v>
                </c:pt>
                <c:pt idx="27">
                  <c:v>-6.7270000000000385E-2</c:v>
                </c:pt>
                <c:pt idx="28">
                  <c:v>-6.4089999999999758E-2</c:v>
                </c:pt>
                <c:pt idx="29">
                  <c:v>-6.9390000000000285E-2</c:v>
                </c:pt>
                <c:pt idx="30">
                  <c:v>-6.65300000000002E-2</c:v>
                </c:pt>
                <c:pt idx="31">
                  <c:v>-6.7769999999999886E-2</c:v>
                </c:pt>
                <c:pt idx="32">
                  <c:v>-5.3170000000000162E-2</c:v>
                </c:pt>
                <c:pt idx="33">
                  <c:v>-2.7479999999999727E-2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D1-467B-88FB-D3595827FF2C}"/>
            </c:ext>
          </c:extLst>
        </c:ser>
        <c:ser>
          <c:idx val="8"/>
          <c:order val="8"/>
          <c:tx>
            <c:strRef>
              <c:f>Fish_Curves_WC_MF!$A$92</c:f>
              <c:strCache>
                <c:ptCount val="1"/>
                <c:pt idx="0">
                  <c:v>CO2 Costs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Fish_Curves_WC_MF!$B$92:$AJ$92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-4.6624000000000052</c:v>
                </c:pt>
                <c:pt idx="6">
                  <c:v>-8.0989399999999421</c:v>
                </c:pt>
                <c:pt idx="7">
                  <c:v>-11.210430000000144</c:v>
                </c:pt>
                <c:pt idx="8">
                  <c:v>-14.193219999999997</c:v>
                </c:pt>
                <c:pt idx="9">
                  <c:v>-19.650160000000028</c:v>
                </c:pt>
                <c:pt idx="10">
                  <c:v>-18.486740000000054</c:v>
                </c:pt>
                <c:pt idx="11">
                  <c:v>-22.389510000000314</c:v>
                </c:pt>
                <c:pt idx="12">
                  <c:v>-24.713799999999765</c:v>
                </c:pt>
                <c:pt idx="13">
                  <c:v>-28.009739999999738</c:v>
                </c:pt>
                <c:pt idx="14">
                  <c:v>-33.011280000000397</c:v>
                </c:pt>
                <c:pt idx="15">
                  <c:v>-35.122939999999971</c:v>
                </c:pt>
                <c:pt idx="16">
                  <c:v>-41.599129999999946</c:v>
                </c:pt>
                <c:pt idx="17">
                  <c:v>-50.325939999999491</c:v>
                </c:pt>
                <c:pt idx="18">
                  <c:v>-56.908739999999625</c:v>
                </c:pt>
                <c:pt idx="19">
                  <c:v>-66.879050000000234</c:v>
                </c:pt>
                <c:pt idx="20">
                  <c:v>-73.75402000000031</c:v>
                </c:pt>
                <c:pt idx="21">
                  <c:v>-80.646179999999731</c:v>
                </c:pt>
                <c:pt idx="22">
                  <c:v>-83.592330000000402</c:v>
                </c:pt>
                <c:pt idx="23">
                  <c:v>-91.788419999999405</c:v>
                </c:pt>
                <c:pt idx="24">
                  <c:v>-94.269229999999425</c:v>
                </c:pt>
                <c:pt idx="25">
                  <c:v>-101.43215000000055</c:v>
                </c:pt>
                <c:pt idx="26">
                  <c:v>-106.41600999999946</c:v>
                </c:pt>
                <c:pt idx="27">
                  <c:v>-109.4665500000001</c:v>
                </c:pt>
                <c:pt idx="28">
                  <c:v>-123.43344999999999</c:v>
                </c:pt>
                <c:pt idx="29">
                  <c:v>-120.81064999999853</c:v>
                </c:pt>
                <c:pt idx="30">
                  <c:v>-128.27224999999999</c:v>
                </c:pt>
                <c:pt idx="31">
                  <c:v>-143.87662000000046</c:v>
                </c:pt>
                <c:pt idx="32">
                  <c:v>-123.26956000000064</c:v>
                </c:pt>
                <c:pt idx="33">
                  <c:v>-65.116620000000694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2D1-467B-88FB-D3595827F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639424"/>
        <c:axId val="55538432"/>
      </c:barChart>
      <c:lineChart>
        <c:grouping val="standard"/>
        <c:varyColors val="0"/>
        <c:ser>
          <c:idx val="9"/>
          <c:order val="9"/>
          <c:tx>
            <c:strRef>
              <c:f>Fish_Curves_WC_MF!$A$93</c:f>
              <c:strCache>
                <c:ptCount val="1"/>
                <c:pt idx="0">
                  <c:v>Total Costs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Fish_Curves_WC_MF!$B$110:$AG$110</c:f>
              <c:numCache>
                <c:formatCode>General</c:formatCode>
                <c:ptCount val="32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</c:numCache>
            </c:numRef>
          </c:cat>
          <c:val>
            <c:numRef>
              <c:f>Fish_Curves_WC_MF!$B$93:$AJ$93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1.0200790961866668</c:v>
                </c:pt>
                <c:pt idx="2">
                  <c:v>21.699906968479649</c:v>
                </c:pt>
                <c:pt idx="3">
                  <c:v>59.608792796679246</c:v>
                </c:pt>
                <c:pt idx="4">
                  <c:v>84.971086613371241</c:v>
                </c:pt>
                <c:pt idx="5">
                  <c:v>73.873338866833421</c:v>
                </c:pt>
                <c:pt idx="6">
                  <c:v>61.08667659382553</c:v>
                </c:pt>
                <c:pt idx="7">
                  <c:v>28.506635611367457</c:v>
                </c:pt>
                <c:pt idx="8">
                  <c:v>2.0743079612202351</c:v>
                </c:pt>
                <c:pt idx="9">
                  <c:v>-11.62066167532412</c:v>
                </c:pt>
                <c:pt idx="10">
                  <c:v>-11.158110632983435</c:v>
                </c:pt>
                <c:pt idx="11">
                  <c:v>-25.140522047284705</c:v>
                </c:pt>
                <c:pt idx="12">
                  <c:v>-30.628479808446947</c:v>
                </c:pt>
                <c:pt idx="13">
                  <c:v>-33.31002281665365</c:v>
                </c:pt>
                <c:pt idx="14">
                  <c:v>-80.422997970430373</c:v>
                </c:pt>
                <c:pt idx="15">
                  <c:v>-112.29346769503779</c:v>
                </c:pt>
                <c:pt idx="16">
                  <c:v>-91.234223800650824</c:v>
                </c:pt>
                <c:pt idx="17">
                  <c:v>-88.011941329077132</c:v>
                </c:pt>
                <c:pt idx="18">
                  <c:v>-125.85696068777217</c:v>
                </c:pt>
                <c:pt idx="19">
                  <c:v>-163.52802179358648</c:v>
                </c:pt>
                <c:pt idx="20">
                  <c:v>-176.14804496690641</c:v>
                </c:pt>
                <c:pt idx="21">
                  <c:v>-187.594115597128</c:v>
                </c:pt>
                <c:pt idx="22">
                  <c:v>-190.93999594081407</c:v>
                </c:pt>
                <c:pt idx="23">
                  <c:v>-206.47592585045513</c:v>
                </c:pt>
                <c:pt idx="24">
                  <c:v>-207.07678282588927</c:v>
                </c:pt>
                <c:pt idx="25">
                  <c:v>-225.09140454165328</c:v>
                </c:pt>
                <c:pt idx="26">
                  <c:v>-198.98443791241564</c:v>
                </c:pt>
                <c:pt idx="27">
                  <c:v>-174.32545450219121</c:v>
                </c:pt>
                <c:pt idx="28">
                  <c:v>-205.08823462672262</c:v>
                </c:pt>
                <c:pt idx="29">
                  <c:v>-197.14799363567275</c:v>
                </c:pt>
                <c:pt idx="30">
                  <c:v>-210.03711390707448</c:v>
                </c:pt>
                <c:pt idx="31">
                  <c:v>-219.96964863227805</c:v>
                </c:pt>
                <c:pt idx="32">
                  <c:v>-201.10095333730089</c:v>
                </c:pt>
                <c:pt idx="33">
                  <c:v>-112.54011047564822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2D1-467B-88FB-D3595827F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39424"/>
        <c:axId val="55538432"/>
      </c:lineChart>
      <c:catAx>
        <c:axId val="5563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5400000" vert="horz"/>
          <a:lstStyle/>
          <a:p>
            <a:pPr>
              <a:defRPr/>
            </a:pPr>
            <a:endParaRPr lang="en-US"/>
          </a:p>
        </c:txPr>
        <c:crossAx val="55538432"/>
        <c:crosses val="autoZero"/>
        <c:auto val="1"/>
        <c:lblAlgn val="ctr"/>
        <c:lblOffset val="100"/>
        <c:noMultiLvlLbl val="0"/>
      </c:catAx>
      <c:valAx>
        <c:axId val="55538432"/>
        <c:scaling>
          <c:orientation val="minMax"/>
          <c:max val="300"/>
          <c:min val="-300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55639424"/>
        <c:crosses val="autoZero"/>
        <c:crossBetween val="between"/>
        <c:majorUnit val="100"/>
      </c:valAx>
    </c:plotArea>
    <c:legend>
      <c:legendPos val="b"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Fish</a:t>
            </a:r>
            <a:r>
              <a:rPr lang="en-US" baseline="0"/>
              <a:t> Curve With Carbon High Fuel Costs $M (Clean Energy Connection - SoBra 700MWs</a:t>
            </a:r>
            <a:r>
              <a:rPr lang="en-US" sz="1800" b="1" i="0" u="none" strike="noStrike" baseline="0">
                <a:effectLst/>
              </a:rPr>
              <a:t>) - Addition of 750MWs</a:t>
            </a:r>
            <a:endParaRPr lang="en-US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Fish_Curves_WC_HF!$A$111</c:f>
              <c:strCache>
                <c:ptCount val="1"/>
                <c:pt idx="0">
                  <c:v>Existing Solar</c:v>
                </c:pt>
              </c:strCache>
            </c:strRef>
          </c:tx>
          <c:invertIfNegative val="0"/>
          <c:dLbls>
            <c:dLbl>
              <c:idx val="3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3A-459F-A716-E911592283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Fish_Curves_WC_HF!$B$111:$AJ$111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3A-459F-A716-E911592283F0}"/>
            </c:ext>
          </c:extLst>
        </c:ser>
        <c:ser>
          <c:idx val="1"/>
          <c:order val="1"/>
          <c:tx>
            <c:strRef>
              <c:f>Fish_Curves_WC_HF!$A$112</c:f>
              <c:strCache>
                <c:ptCount val="1"/>
                <c:pt idx="0">
                  <c:v>New Solar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Fish_Curves_WC_HF!$B$112:$AJ$112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27.104402529171068</c:v>
                </c:pt>
                <c:pt idx="3">
                  <c:v>98.781674233069964</c:v>
                </c:pt>
                <c:pt idx="4">
                  <c:v>205.49827041468927</c:v>
                </c:pt>
                <c:pt idx="5">
                  <c:v>300.46649364736896</c:v>
                </c:pt>
                <c:pt idx="6">
                  <c:v>385.39678406731878</c:v>
                </c:pt>
                <c:pt idx="7">
                  <c:v>456.76610212359998</c:v>
                </c:pt>
                <c:pt idx="8">
                  <c:v>521.38216806475043</c:v>
                </c:pt>
                <c:pt idx="9">
                  <c:v>580.22999313960736</c:v>
                </c:pt>
                <c:pt idx="10">
                  <c:v>634.01636784102379</c:v>
                </c:pt>
                <c:pt idx="11">
                  <c:v>683.26715478238884</c:v>
                </c:pt>
                <c:pt idx="12">
                  <c:v>728.35372964352109</c:v>
                </c:pt>
                <c:pt idx="13">
                  <c:v>769.60576167263162</c:v>
                </c:pt>
                <c:pt idx="14">
                  <c:v>807.31002678440973</c:v>
                </c:pt>
                <c:pt idx="15">
                  <c:v>841.7817862456186</c:v>
                </c:pt>
                <c:pt idx="16">
                  <c:v>873.29202848516286</c:v>
                </c:pt>
                <c:pt idx="17">
                  <c:v>902.06344495740177</c:v>
                </c:pt>
                <c:pt idx="18">
                  <c:v>930.24970017284386</c:v>
                </c:pt>
                <c:pt idx="19">
                  <c:v>955.84915294119799</c:v>
                </c:pt>
                <c:pt idx="20">
                  <c:v>979.07310442426649</c:v>
                </c:pt>
                <c:pt idx="21">
                  <c:v>1000.1248911355183</c:v>
                </c:pt>
                <c:pt idx="22">
                  <c:v>1019.2432452792501</c:v>
                </c:pt>
                <c:pt idx="23">
                  <c:v>1036.6317832813522</c:v>
                </c:pt>
                <c:pt idx="24">
                  <c:v>1052.4528204477485</c:v>
                </c:pt>
                <c:pt idx="25">
                  <c:v>1066.8199714822242</c:v>
                </c:pt>
                <c:pt idx="26">
                  <c:v>1079.8900698837747</c:v>
                </c:pt>
                <c:pt idx="27">
                  <c:v>1091.7640225794905</c:v>
                </c:pt>
                <c:pt idx="28">
                  <c:v>1102.5564189601394</c:v>
                </c:pt>
                <c:pt idx="29">
                  <c:v>1112.3456472165315</c:v>
                </c:pt>
                <c:pt idx="30">
                  <c:v>1121.2349572228359</c:v>
                </c:pt>
                <c:pt idx="31">
                  <c:v>1129.7914422876931</c:v>
                </c:pt>
                <c:pt idx="32">
                  <c:v>1136.619048814528</c:v>
                </c:pt>
                <c:pt idx="33">
                  <c:v>1140.2982843495179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3A-459F-A716-E911592283F0}"/>
            </c:ext>
          </c:extLst>
        </c:ser>
        <c:ser>
          <c:idx val="2"/>
          <c:order val="2"/>
          <c:tx>
            <c:strRef>
              <c:f>Fish_Curves_WC_HF!$A$113</c:f>
              <c:strCache>
                <c:ptCount val="1"/>
                <c:pt idx="0">
                  <c:v>Conv Gen Capital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Fish_Curves_WC_HF!$B$113:$AJ$113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-6.8065319934405428</c:v>
                </c:pt>
                <c:pt idx="8">
                  <c:v>-23.963273112755651</c:v>
                </c:pt>
                <c:pt idx="9">
                  <c:v>-37.68962653509206</c:v>
                </c:pt>
                <c:pt idx="10">
                  <c:v>-51.938491893392545</c:v>
                </c:pt>
                <c:pt idx="11">
                  <c:v>-63.218316402033011</c:v>
                </c:pt>
                <c:pt idx="12">
                  <c:v>-75.08199699487605</c:v>
                </c:pt>
                <c:pt idx="13">
                  <c:v>-84.363118834522751</c:v>
                </c:pt>
                <c:pt idx="14">
                  <c:v>-95.555131916288076</c:v>
                </c:pt>
                <c:pt idx="15">
                  <c:v>-109.74311048334511</c:v>
                </c:pt>
                <c:pt idx="16">
                  <c:v>-117.75217666752008</c:v>
                </c:pt>
                <c:pt idx="17">
                  <c:v>-121.79306183603046</c:v>
                </c:pt>
                <c:pt idx="18">
                  <c:v>-129.86103987438742</c:v>
                </c:pt>
                <c:pt idx="19">
                  <c:v>-140.0916504003319</c:v>
                </c:pt>
                <c:pt idx="20">
                  <c:v>-149.36500250181143</c:v>
                </c:pt>
                <c:pt idx="21">
                  <c:v>-157.76503353992234</c:v>
                </c:pt>
                <c:pt idx="22">
                  <c:v>-165.37771678192939</c:v>
                </c:pt>
                <c:pt idx="23">
                  <c:v>-172.3006922359657</c:v>
                </c:pt>
                <c:pt idx="24">
                  <c:v>-178.6115897763425</c:v>
                </c:pt>
                <c:pt idx="25">
                  <c:v>-184.36170521052736</c:v>
                </c:pt>
                <c:pt idx="26">
                  <c:v>-186.67226590371502</c:v>
                </c:pt>
                <c:pt idx="27">
                  <c:v>-186.84205217319368</c:v>
                </c:pt>
                <c:pt idx="28">
                  <c:v>-187.00038054764764</c:v>
                </c:pt>
                <c:pt idx="29">
                  <c:v>-187.1452413173879</c:v>
                </c:pt>
                <c:pt idx="30">
                  <c:v>-187.2820530561703</c:v>
                </c:pt>
                <c:pt idx="31">
                  <c:v>-187.40756014500812</c:v>
                </c:pt>
                <c:pt idx="32">
                  <c:v>-187.50714140350556</c:v>
                </c:pt>
                <c:pt idx="33">
                  <c:v>-187.58269552528463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3A-459F-A716-E911592283F0}"/>
            </c:ext>
          </c:extLst>
        </c:ser>
        <c:ser>
          <c:idx val="3"/>
          <c:order val="3"/>
          <c:tx>
            <c:strRef>
              <c:f>Fish_Curves_WC_HF!$A$114</c:f>
              <c:strCache>
                <c:ptCount val="1"/>
                <c:pt idx="0">
                  <c:v>Fixed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Fish_Curves_WC_HF!$B$114:$AJ$114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-0.16330587684274178</c:v>
                </c:pt>
                <c:pt idx="8">
                  <c:v>-0.5891213502827668</c:v>
                </c:pt>
                <c:pt idx="9">
                  <c:v>-0.9551235061674106</c:v>
                </c:pt>
                <c:pt idx="10">
                  <c:v>-1.3480835154748547</c:v>
                </c:pt>
                <c:pt idx="11">
                  <c:v>-1.6858319651919373</c:v>
                </c:pt>
                <c:pt idx="12">
                  <c:v>-2.0484601922203183</c:v>
                </c:pt>
                <c:pt idx="13">
                  <c:v>-2.3601402918520762</c:v>
                </c:pt>
                <c:pt idx="14">
                  <c:v>-2.968785690347886</c:v>
                </c:pt>
                <c:pt idx="15">
                  <c:v>-3.8260816941933626</c:v>
                </c:pt>
                <c:pt idx="16">
                  <c:v>-4.4094305986191102</c:v>
                </c:pt>
                <c:pt idx="17">
                  <c:v>-4.8049963842986472</c:v>
                </c:pt>
                <c:pt idx="18">
                  <c:v>-5.4066560985465912</c:v>
                </c:pt>
                <c:pt idx="19">
                  <c:v>-6.1367321643733703</c:v>
                </c:pt>
                <c:pt idx="20">
                  <c:v>-6.8380706023322091</c:v>
                </c:pt>
                <c:pt idx="21">
                  <c:v>-7.5118014416261758</c:v>
                </c:pt>
                <c:pt idx="22">
                  <c:v>-8.1590154177656586</c:v>
                </c:pt>
                <c:pt idx="23">
                  <c:v>-8.7807507171592079</c:v>
                </c:pt>
                <c:pt idx="24">
                  <c:v>-9.3780136805639813</c:v>
                </c:pt>
                <c:pt idx="25">
                  <c:v>-9.9517661686827523</c:v>
                </c:pt>
                <c:pt idx="26">
                  <c:v>-10.342178555049941</c:v>
                </c:pt>
                <c:pt idx="27">
                  <c:v>-10.606914816706649</c:v>
                </c:pt>
                <c:pt idx="28">
                  <c:v>-10.861229775078755</c:v>
                </c:pt>
                <c:pt idx="29">
                  <c:v>-11.105534743956468</c:v>
                </c:pt>
                <c:pt idx="30">
                  <c:v>-11.340224138767098</c:v>
                </c:pt>
                <c:pt idx="31">
                  <c:v>-11.565674855845828</c:v>
                </c:pt>
                <c:pt idx="32">
                  <c:v>-11.782251067264042</c:v>
                </c:pt>
                <c:pt idx="33">
                  <c:v>-11.990301872081091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3A-459F-A716-E911592283F0}"/>
            </c:ext>
          </c:extLst>
        </c:ser>
        <c:ser>
          <c:idx val="4"/>
          <c:order val="4"/>
          <c:tx>
            <c:strRef>
              <c:f>Fish_Curves_WC_HF!$A$115</c:f>
              <c:strCache>
                <c:ptCount val="1"/>
                <c:pt idx="0">
                  <c:v>Gas Reservation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Fish_Curves_WC_HF!$B$115:$AJ$115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-10.406972306614989</c:v>
                </c:pt>
                <c:pt idx="15">
                  <c:v>-27.12724599124067</c:v>
                </c:pt>
                <c:pt idx="16">
                  <c:v>-37.995702622427416</c:v>
                </c:pt>
                <c:pt idx="17">
                  <c:v>-44.967141172227457</c:v>
                </c:pt>
                <c:pt idx="18">
                  <c:v>-55.932130000884172</c:v>
                </c:pt>
                <c:pt idx="19">
                  <c:v>-69.175066667597093</c:v>
                </c:pt>
                <c:pt idx="20">
                  <c:v>-81.58644670499325</c:v>
                </c:pt>
                <c:pt idx="21">
                  <c:v>-93.218467670440077</c:v>
                </c:pt>
                <c:pt idx="22">
                  <c:v>-104.12008057151434</c:v>
                </c:pt>
                <c:pt idx="23">
                  <c:v>-114.33714983212849</c:v>
                </c:pt>
                <c:pt idx="24">
                  <c:v>-123.91267046150278</c:v>
                </c:pt>
                <c:pt idx="25">
                  <c:v>-132.88691659962296</c:v>
                </c:pt>
                <c:pt idx="26">
                  <c:v>-138.08391646269411</c:v>
                </c:pt>
                <c:pt idx="27">
                  <c:v>-140.80321552577152</c:v>
                </c:pt>
                <c:pt idx="28">
                  <c:v>-143.35176197664168</c:v>
                </c:pt>
                <c:pt idx="29">
                  <c:v>-145.74027786311763</c:v>
                </c:pt>
                <c:pt idx="30">
                  <c:v>-147.97881196478193</c:v>
                </c:pt>
                <c:pt idx="31">
                  <c:v>-150.07678206943456</c:v>
                </c:pt>
                <c:pt idx="32">
                  <c:v>-152.04301459488215</c:v>
                </c:pt>
                <c:pt idx="33">
                  <c:v>-153.88578172276175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3A-459F-A716-E911592283F0}"/>
            </c:ext>
          </c:extLst>
        </c:ser>
        <c:ser>
          <c:idx val="5"/>
          <c:order val="5"/>
          <c:tx>
            <c:strRef>
              <c:f>Fish_Curves_WC_HF!$A$117</c:f>
              <c:strCache>
                <c:ptCount val="1"/>
                <c:pt idx="0">
                  <c:v>Fuel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Fish_Curves_WC_HF!$B$117:$AJ$117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-7.7600047079945398</c:v>
                </c:pt>
                <c:pt idx="3">
                  <c:v>-31.425589913353178</c:v>
                </c:pt>
                <c:pt idx="4">
                  <c:v>-78.564632810988769</c:v>
                </c:pt>
                <c:pt idx="5">
                  <c:v>-123.50707089987736</c:v>
                </c:pt>
                <c:pt idx="6">
                  <c:v>-168.98188715022661</c:v>
                </c:pt>
                <c:pt idx="7">
                  <c:v>-214.67277308676512</c:v>
                </c:pt>
                <c:pt idx="8">
                  <c:v>-257.17478582879176</c:v>
                </c:pt>
                <c:pt idx="9">
                  <c:v>-302.8266276285558</c:v>
                </c:pt>
                <c:pt idx="10">
                  <c:v>-343.47055861237641</c:v>
                </c:pt>
                <c:pt idx="11">
                  <c:v>-389.42030690143292</c:v>
                </c:pt>
                <c:pt idx="12">
                  <c:v>-431.65785500313723</c:v>
                </c:pt>
                <c:pt idx="13">
                  <c:v>-471.86453620879547</c:v>
                </c:pt>
                <c:pt idx="14">
                  <c:v>-514.61759171765152</c:v>
                </c:pt>
                <c:pt idx="15">
                  <c:v>-554.65599083943198</c:v>
                </c:pt>
                <c:pt idx="16">
                  <c:v>-592.96537494070071</c:v>
                </c:pt>
                <c:pt idx="17">
                  <c:v>-633.11110506178738</c:v>
                </c:pt>
                <c:pt idx="18">
                  <c:v>-672.22193044575761</c:v>
                </c:pt>
                <c:pt idx="19">
                  <c:v>-710.49372365317686</c:v>
                </c:pt>
                <c:pt idx="20">
                  <c:v>-748.78007916473507</c:v>
                </c:pt>
                <c:pt idx="21">
                  <c:v>-786.18238543024927</c:v>
                </c:pt>
                <c:pt idx="22">
                  <c:v>-820.90198693634738</c:v>
                </c:pt>
                <c:pt idx="23">
                  <c:v>-855.34872463744978</c:v>
                </c:pt>
                <c:pt idx="24">
                  <c:v>-886.52302878874616</c:v>
                </c:pt>
                <c:pt idx="25">
                  <c:v>-917.73177292073888</c:v>
                </c:pt>
                <c:pt idx="26">
                  <c:v>-947.72396504386415</c:v>
                </c:pt>
                <c:pt idx="27">
                  <c:v>-976.04091729723223</c:v>
                </c:pt>
                <c:pt idx="28">
                  <c:v>-1005.3860952600699</c:v>
                </c:pt>
                <c:pt idx="29">
                  <c:v>-1031.3325290758294</c:v>
                </c:pt>
                <c:pt idx="30">
                  <c:v>-1056.6632763037451</c:v>
                </c:pt>
                <c:pt idx="31">
                  <c:v>-1082.3992863165113</c:v>
                </c:pt>
                <c:pt idx="32">
                  <c:v>-1102.7298730724942</c:v>
                </c:pt>
                <c:pt idx="33">
                  <c:v>-1112.6096498726984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3A-459F-A716-E911592283F0}"/>
            </c:ext>
          </c:extLst>
        </c:ser>
        <c:ser>
          <c:idx val="6"/>
          <c:order val="6"/>
          <c:tx>
            <c:strRef>
              <c:f>Fish_Curves_WC_HF!$A$118</c:f>
              <c:strCache>
                <c:ptCount val="1"/>
                <c:pt idx="0">
                  <c:v>Variable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Fish_Curves_WC_HF!$B$118:$AJ$118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-1.1865112442895338</c:v>
                </c:pt>
                <c:pt idx="3">
                  <c:v>-4.3713504521110167</c:v>
                </c:pt>
                <c:pt idx="4">
                  <c:v>-7.9576052588638504</c:v>
                </c:pt>
                <c:pt idx="5">
                  <c:v>-11.175226987222914</c:v>
                </c:pt>
                <c:pt idx="6">
                  <c:v>-14.23972544866831</c:v>
                </c:pt>
                <c:pt idx="7">
                  <c:v>-17.515185456051654</c:v>
                </c:pt>
                <c:pt idx="8">
                  <c:v>-21.362310224518751</c:v>
                </c:pt>
                <c:pt idx="9">
                  <c:v>-24.496543626306561</c:v>
                </c:pt>
                <c:pt idx="10">
                  <c:v>-27.407640060659105</c:v>
                </c:pt>
                <c:pt idx="11">
                  <c:v>-29.965975910941097</c:v>
                </c:pt>
                <c:pt idx="12">
                  <c:v>-32.682714121892104</c:v>
                </c:pt>
                <c:pt idx="13">
                  <c:v>-35.314400610353005</c:v>
                </c:pt>
                <c:pt idx="14">
                  <c:v>-38.045834585223702</c:v>
                </c:pt>
                <c:pt idx="15">
                  <c:v>-40.804313841679686</c:v>
                </c:pt>
                <c:pt idx="16">
                  <c:v>-42.448056839001993</c:v>
                </c:pt>
                <c:pt idx="17">
                  <c:v>-43.285038020601178</c:v>
                </c:pt>
                <c:pt idx="18">
                  <c:v>-45.532292369227662</c:v>
                </c:pt>
                <c:pt idx="19">
                  <c:v>-47.618383565253225</c:v>
                </c:pt>
                <c:pt idx="20">
                  <c:v>-49.562330604668205</c:v>
                </c:pt>
                <c:pt idx="21">
                  <c:v>-51.46846191521945</c:v>
                </c:pt>
                <c:pt idx="22">
                  <c:v>-53.191305443077454</c:v>
                </c:pt>
                <c:pt idx="23">
                  <c:v>-54.92600507318275</c:v>
                </c:pt>
                <c:pt idx="24">
                  <c:v>-56.065012361040317</c:v>
                </c:pt>
                <c:pt idx="25">
                  <c:v>-57.585601131921521</c:v>
                </c:pt>
                <c:pt idx="26">
                  <c:v>-59.1110704068019</c:v>
                </c:pt>
                <c:pt idx="27">
                  <c:v>-59.846328352807177</c:v>
                </c:pt>
                <c:pt idx="28">
                  <c:v>-61.092283889266582</c:v>
                </c:pt>
                <c:pt idx="29">
                  <c:v>-62.168374586784466</c:v>
                </c:pt>
                <c:pt idx="30">
                  <c:v>-63.188321663095394</c:v>
                </c:pt>
                <c:pt idx="31">
                  <c:v>-62.37516415500113</c:v>
                </c:pt>
                <c:pt idx="32">
                  <c:v>-63.135482440082797</c:v>
                </c:pt>
                <c:pt idx="33">
                  <c:v>-63.708878015685514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3A-459F-A716-E911592283F0}"/>
            </c:ext>
          </c:extLst>
        </c:ser>
        <c:ser>
          <c:idx val="7"/>
          <c:order val="7"/>
          <c:tx>
            <c:strRef>
              <c:f>Fish_Curves_WC_HF!$A$119</c:f>
              <c:strCache>
                <c:ptCount val="1"/>
                <c:pt idx="0">
                  <c:v>Environmental Costs</c:v>
                </c:pt>
              </c:strCache>
            </c:strRef>
          </c:tx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Fish_Curves_WC_HF!$B$119:$AJ$119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-7.8754823278924135E-2</c:v>
                </c:pt>
                <c:pt idx="3">
                  <c:v>-0.27922943860669491</c:v>
                </c:pt>
                <c:pt idx="4">
                  <c:v>-0.67119956289150906</c:v>
                </c:pt>
                <c:pt idx="5">
                  <c:v>-1.0155157530523198</c:v>
                </c:pt>
                <c:pt idx="6">
                  <c:v>-1.2990045624313282</c:v>
                </c:pt>
                <c:pt idx="7">
                  <c:v>-1.5525270126329431</c:v>
                </c:pt>
                <c:pt idx="8">
                  <c:v>-1.8234981635126744</c:v>
                </c:pt>
                <c:pt idx="9">
                  <c:v>-2.1260147409754353</c:v>
                </c:pt>
                <c:pt idx="10">
                  <c:v>-2.3633194326752971</c:v>
                </c:pt>
                <c:pt idx="11">
                  <c:v>-2.6233667761624702</c:v>
                </c:pt>
                <c:pt idx="12">
                  <c:v>-2.7369375374776439</c:v>
                </c:pt>
                <c:pt idx="13">
                  <c:v>-2.8572394365316001</c:v>
                </c:pt>
                <c:pt idx="14">
                  <c:v>-2.9035835652367012</c:v>
                </c:pt>
                <c:pt idx="15">
                  <c:v>-2.9261447822567987</c:v>
                </c:pt>
                <c:pt idx="16">
                  <c:v>-2.9504035991861741</c:v>
                </c:pt>
                <c:pt idx="17">
                  <c:v>-2.9736637758758349</c:v>
                </c:pt>
                <c:pt idx="18">
                  <c:v>-2.9941501125396428</c:v>
                </c:pt>
                <c:pt idx="19">
                  <c:v>-3.0119034223802856</c:v>
                </c:pt>
                <c:pt idx="20">
                  <c:v>-3.0290640403395201</c:v>
                </c:pt>
                <c:pt idx="21">
                  <c:v>-3.0453469150288868</c:v>
                </c:pt>
                <c:pt idx="22">
                  <c:v>-3.06195667400047</c:v>
                </c:pt>
                <c:pt idx="23">
                  <c:v>-3.0758538206543449</c:v>
                </c:pt>
                <c:pt idx="24">
                  <c:v>-3.0899601860703996</c:v>
                </c:pt>
                <c:pt idx="25">
                  <c:v>-3.103844865045474</c:v>
                </c:pt>
                <c:pt idx="26">
                  <c:v>-3.1167928525230195</c:v>
                </c:pt>
                <c:pt idx="27">
                  <c:v>-3.1285545491978013</c:v>
                </c:pt>
                <c:pt idx="28">
                  <c:v>-3.139057044663673</c:v>
                </c:pt>
                <c:pt idx="29">
                  <c:v>-3.1496640163609868</c:v>
                </c:pt>
                <c:pt idx="30">
                  <c:v>-3.1592190845238406</c:v>
                </c:pt>
                <c:pt idx="31">
                  <c:v>-3.1683697115791318</c:v>
                </c:pt>
                <c:pt idx="32">
                  <c:v>-3.1750866834471196</c:v>
                </c:pt>
                <c:pt idx="33">
                  <c:v>-3.178338396375409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3A-459F-A716-E911592283F0}"/>
            </c:ext>
          </c:extLst>
        </c:ser>
        <c:ser>
          <c:idx val="8"/>
          <c:order val="8"/>
          <c:tx>
            <c:strRef>
              <c:f>Fish_Curves_WC_HF!$A$120</c:f>
              <c:strCache>
                <c:ptCount val="1"/>
                <c:pt idx="0">
                  <c:v>CO2 Costs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Fish_Curves_WC_MF!$B$110:$AJ$110</c:f>
              <c:numCache>
                <c:formatCode>General</c:formatCode>
                <c:ptCount val="3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  <c:pt idx="32">
                  <c:v>2052</c:v>
                </c:pt>
                <c:pt idx="33">
                  <c:v>2053</c:v>
                </c:pt>
              </c:numCache>
            </c:numRef>
          </c:cat>
          <c:val>
            <c:numRef>
              <c:f>Fish_Curves_WC_HF!$B$120:$AJ$120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-3.6011214401069793</c:v>
                </c:pt>
                <c:pt idx="6">
                  <c:v>-9.4304898680466067</c:v>
                </c:pt>
                <c:pt idx="7">
                  <c:v>-17.13747551257751</c:v>
                </c:pt>
                <c:pt idx="8">
                  <c:v>-26.901219916653986</c:v>
                </c:pt>
                <c:pt idx="9">
                  <c:v>-38.413783728828207</c:v>
                </c:pt>
                <c:pt idx="10">
                  <c:v>-50.546889983395431</c:v>
                </c:pt>
                <c:pt idx="11">
                  <c:v>-64.57397818288041</c:v>
                </c:pt>
                <c:pt idx="12">
                  <c:v>-77.523812639242806</c:v>
                </c:pt>
                <c:pt idx="13">
                  <c:v>-91.063325628672828</c:v>
                </c:pt>
                <c:pt idx="14">
                  <c:v>-104.63698686317184</c:v>
                </c:pt>
                <c:pt idx="15">
                  <c:v>-117.85077185298405</c:v>
                </c:pt>
                <c:pt idx="16">
                  <c:v>-132.6956407873131</c:v>
                </c:pt>
                <c:pt idx="17">
                  <c:v>-149.42693989924283</c:v>
                </c:pt>
                <c:pt idx="18">
                  <c:v>-167.17619244213938</c:v>
                </c:pt>
                <c:pt idx="19">
                  <c:v>-186.58686577495155</c:v>
                </c:pt>
                <c:pt idx="20">
                  <c:v>-206.70934953812139</c:v>
                </c:pt>
                <c:pt idx="21">
                  <c:v>-227.43373439081461</c:v>
                </c:pt>
                <c:pt idx="22">
                  <c:v>-247.54038543829301</c:v>
                </c:pt>
                <c:pt idx="23">
                  <c:v>-268.19883596750878</c:v>
                </c:pt>
                <c:pt idx="24">
                  <c:v>-288.05028178328757</c:v>
                </c:pt>
                <c:pt idx="25">
                  <c:v>-308.11167829431815</c:v>
                </c:pt>
                <c:pt idx="26">
                  <c:v>-327.82261265264879</c:v>
                </c:pt>
                <c:pt idx="27">
                  <c:v>-346.83681454322868</c:v>
                </c:pt>
                <c:pt idx="28">
                  <c:v>-366.92150376850987</c:v>
                </c:pt>
                <c:pt idx="29">
                  <c:v>-385.28979610929491</c:v>
                </c:pt>
                <c:pt idx="30">
                  <c:v>-403.61441894177733</c:v>
                </c:pt>
                <c:pt idx="31">
                  <c:v>-422.88970185216749</c:v>
                </c:pt>
                <c:pt idx="32">
                  <c:v>-438.35515738943832</c:v>
                </c:pt>
                <c:pt idx="33">
                  <c:v>-446.00936492189612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F3A-459F-A716-E91159228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639424"/>
        <c:axId val="55538432"/>
      </c:barChart>
      <c:lineChart>
        <c:grouping val="standard"/>
        <c:varyColors val="0"/>
        <c:ser>
          <c:idx val="9"/>
          <c:order val="9"/>
          <c:tx>
            <c:strRef>
              <c:f>Fish_Curves_WC_HF!$A$121</c:f>
              <c:strCache>
                <c:ptCount val="1"/>
                <c:pt idx="0">
                  <c:v>CPVRR With CO2 Costs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7"/>
            <c:spPr>
              <a:solidFill>
                <a:srgbClr val="FF0000"/>
              </a:solidFill>
            </c:spPr>
          </c:marker>
          <c:dLbls>
            <c:dLbl>
              <c:idx val="3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3A-459F-A716-E911592283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baseline="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Fish_Curves_WC_HF!$B$110:$AG$110</c:f>
              <c:numCache>
                <c:formatCode>General</c:formatCode>
                <c:ptCount val="32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  <c:pt idx="31">
                  <c:v>2051</c:v>
                </c:pt>
              </c:numCache>
            </c:numRef>
          </c:cat>
          <c:val>
            <c:numRef>
              <c:f>Fish_Curves_WC_HF!$B$121:$AJ$121</c:f>
              <c:numCache>
                <c:formatCode>_(* #,##0_);_(* \(#,##0\);_(* "-"??_);_(@_)</c:formatCode>
                <c:ptCount val="35"/>
                <c:pt idx="0">
                  <c:v>0</c:v>
                </c:pt>
                <c:pt idx="1">
                  <c:v>0.95602539473914416</c:v>
                </c:pt>
                <c:pt idx="2">
                  <c:v>19.586358378615287</c:v>
                </c:pt>
                <c:pt idx="3">
                  <c:v>64.77504116116927</c:v>
                </c:pt>
                <c:pt idx="4">
                  <c:v>120.89491816237017</c:v>
                </c:pt>
                <c:pt idx="5">
                  <c:v>164.23211795958667</c:v>
                </c:pt>
                <c:pt idx="6">
                  <c:v>194.85618448236909</c:v>
                </c:pt>
                <c:pt idx="7">
                  <c:v>202.68770647304422</c:v>
                </c:pt>
                <c:pt idx="8">
                  <c:v>193.64934416314736</c:v>
                </c:pt>
                <c:pt idx="9">
                  <c:v>178.10793502659516</c:v>
                </c:pt>
                <c:pt idx="10">
                  <c:v>161.63500044381081</c:v>
                </c:pt>
                <c:pt idx="11">
                  <c:v>136.65546983983234</c:v>
                </c:pt>
                <c:pt idx="12">
                  <c:v>111.66743299373488</c:v>
                </c:pt>
                <c:pt idx="13">
                  <c:v>87.012445420512904</c:v>
                </c:pt>
                <c:pt idx="14">
                  <c:v>43.558812092869687</c:v>
                </c:pt>
                <c:pt idx="15">
                  <c:v>-9.6172119184616776</c:v>
                </c:pt>
                <c:pt idx="16">
                  <c:v>-52.234700363479746</c:v>
                </c:pt>
                <c:pt idx="17">
                  <c:v>-92.470924801024026</c:v>
                </c:pt>
                <c:pt idx="18">
                  <c:v>-142.91894450248472</c:v>
                </c:pt>
                <c:pt idx="19">
                  <c:v>-201.17184200643345</c:v>
                </c:pt>
                <c:pt idx="20">
                  <c:v>-260.5869240921333</c:v>
                </c:pt>
                <c:pt idx="21">
                  <c:v>-320.17566815680016</c:v>
                </c:pt>
                <c:pt idx="22">
                  <c:v>-376.66760389217347</c:v>
                </c:pt>
                <c:pt idx="23">
                  <c:v>-433.79022214704133</c:v>
                </c:pt>
                <c:pt idx="24">
                  <c:v>-486.53404534925272</c:v>
                </c:pt>
                <c:pt idx="25">
                  <c:v>-540.16593421894481</c:v>
                </c:pt>
                <c:pt idx="26">
                  <c:v>-586.15278785290593</c:v>
                </c:pt>
                <c:pt idx="27">
                  <c:v>-625.42736457687124</c:v>
                </c:pt>
                <c:pt idx="28">
                  <c:v>-668.20664074952754</c:v>
                </c:pt>
                <c:pt idx="29">
                  <c:v>-706.52060893583075</c:v>
                </c:pt>
                <c:pt idx="30">
                  <c:v>-744.85649475468381</c:v>
                </c:pt>
                <c:pt idx="31">
                  <c:v>-782.88602513427304</c:v>
                </c:pt>
                <c:pt idx="32">
                  <c:v>-814.84198092930751</c:v>
                </c:pt>
                <c:pt idx="33">
                  <c:v>-831.34152061310328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3A-459F-A716-E91159228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39424"/>
        <c:axId val="55538432"/>
      </c:lineChart>
      <c:catAx>
        <c:axId val="5563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5400000" vert="horz"/>
          <a:lstStyle/>
          <a:p>
            <a:pPr>
              <a:defRPr/>
            </a:pPr>
            <a:endParaRPr lang="en-US"/>
          </a:p>
        </c:txPr>
        <c:crossAx val="55538432"/>
        <c:crosses val="autoZero"/>
        <c:auto val="1"/>
        <c:lblAlgn val="ctr"/>
        <c:lblOffset val="100"/>
        <c:noMultiLvlLbl val="0"/>
      </c:catAx>
      <c:valAx>
        <c:axId val="55538432"/>
        <c:scaling>
          <c:orientation val="minMax"/>
          <c:max val="1600"/>
          <c:min val="-1600"/>
        </c:scaling>
        <c:delete val="0"/>
        <c:axPos val="l"/>
        <c:majorGridlines/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55639424"/>
        <c:crosses val="autoZero"/>
        <c:crossBetween val="between"/>
        <c:majorUnit val="200"/>
      </c:valAx>
    </c:plotArea>
    <c:legend>
      <c:legendPos val="b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0EE3C94-9009-4C7E-9C92-EE6BA303A8B1}">
  <sheetPr/>
  <sheetViews>
    <sheetView zoomScale="10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1706F8F-FB99-43FE-84AF-7BA2D60FCB98}">
  <sheetPr/>
  <sheetViews>
    <sheetView zoomScale="80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3F86A1A-3A5D-4C16-8DC1-6472ED93A4DD}">
  <sheetPr/>
  <sheetViews>
    <sheetView zoomScale="80"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FB8C596-05C4-49DD-A6E5-6BC1B0C61758}">
  <sheetPr/>
  <sheetViews>
    <sheetView zoomScale="80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BB8FC50-81DA-4C14-9E91-E5E79966E4BC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E2F3C47-4B8F-4A49-922C-0D7CFA9A7241}">
  <sheetPr/>
  <sheetViews>
    <sheetView zoomScale="8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81B57A-38E7-47BB-8898-023A8EDC8B0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07A58E-011E-4F09-98DF-2BBAE3F1112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EAFA95-4BE4-4623-A1CA-B124E8FD5F3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10810875" cy="784621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0.5011</cdr:x>
      <cdr:y>0.42792</cdr:y>
    </cdr:from>
    <cdr:to>
      <cdr:x>0.59361</cdr:x>
      <cdr:y>0.47496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8D7723DD-7DCA-457B-9B8F-114BA88035B2}"/>
            </a:ext>
          </a:extLst>
        </cdr:cNvPr>
        <cdr:cNvSpPr/>
      </cdr:nvSpPr>
      <cdr:spPr>
        <a:xfrm xmlns:a="http://schemas.openxmlformats.org/drawingml/2006/main">
          <a:off x="4333875" y="2686050"/>
          <a:ext cx="800099" cy="295274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n-US" sz="800"/>
            <a:t>YEAR</a:t>
          </a:r>
          <a:r>
            <a:rPr lang="en-US"/>
            <a:t> 2037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10810875" cy="784621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936468-CE2E-433F-A8F8-87CA7C432A6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10810875" cy="784621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5EA193-2B05-41BB-8CD2-49A8BDE42A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10810875" cy="784621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8CBF29-A57D-45ED-AE07-7A540E0B2E7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275034</xdr:colOff>
      <xdr:row>64</xdr:row>
      <xdr:rowOff>161925</xdr:rowOff>
    </xdr:from>
    <xdr:ext cx="91440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EBA1C50-6878-49DF-91FD-3CEC2EAFF21C}"/>
            </a:ext>
          </a:extLst>
        </xdr:cNvPr>
        <xdr:cNvSpPr txBox="1"/>
      </xdr:nvSpPr>
      <xdr:spPr>
        <a:xfrm>
          <a:off x="9121854" y="1156906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</xdr:col>
      <xdr:colOff>275034</xdr:colOff>
      <xdr:row>64</xdr:row>
      <xdr:rowOff>161925</xdr:rowOff>
    </xdr:from>
    <xdr:ext cx="91440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53F9B5F-99BF-4019-A25B-11A7F56008C3}"/>
            </a:ext>
          </a:extLst>
        </xdr:cNvPr>
        <xdr:cNvSpPr txBox="1"/>
      </xdr:nvSpPr>
      <xdr:spPr>
        <a:xfrm>
          <a:off x="12811839" y="11470005"/>
          <a:ext cx="9144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nboles\AppData\Local\Microsoft\Windows\Temporary%20Internet%20Files\Content.Outlook\0Y7MNS18\DEI%20SB%20PM%20Initiate%20Estimate%20and%20Resource%20Plan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233\grpdata\PEF%20Resource%20Planning\2020\2020-03%20Clean%20Energy%20Connection\Prosym\05052020\CEC_0MW_NC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233\grpdata\PEF%20Resource%20Planning\2020\2020-03%20Clean%20Energy%20Connection\Prosym\05052020\CEC_750MW_NC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233\grpdata\PEF%20Resource%20Planning\2020\2020-03%20Clean%20Energy%20Connection\Prosym\05052020\CEC_0MW_LC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233\grpdata\PEF%20Resource%20Planning\2020\2020-03%20Clean%20Energy%20Connection\Prosym\05052020\CEC_750MW_L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233\grpdata\PEF%20Resource%20Planning\2020\2020-03%20Clean%20Energy%20Connection\Prosym\05052020\CEC_0MW_LF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233\grpdata\PEF%20Resource%20Planning\2020\2020-03%20Clean%20Energy%20Connection\Prosym\05052020\CEC_750MW_LF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233\grpdata\PEF%20Resource%20Planning\2020\2020-03%20Clean%20Energy%20Connection\Prosym\05052020\CEC_0MW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233\grpdata\PEF%20Resource%20Planning\2020\2020-03%20Clean%20Energy%20Connection\Prosym\05052020\CEC_750MW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233\grpdata\PEF%20Resource%20Planning\2020\2020-03%20Clean%20Energy%20Connection\Prosym\05052020\CEC_0MW_HF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233\grpdata\PEF%20Resource%20Planning\2020\2020-03%20Clean%20Energy%20Connection\Prosym\05052020\CEC_750MW_HF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233\grpdata\Strategist\LJT\2015\2015-07%20Hawaii\Results\2015%20August\3_2015_Hawaii_Study_Rev_Req_08052015_2043%20-%20FI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y_Partnerships\RFP_Central\RFP%20Responses\2017\Duke\Final%20Model%20and%20Pricing\UP_GPP_RFP_Model_AtRiskTemplate_Duke_090517_GB_Full%20Recovery3%20250kWh%20block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tes\InMgmt\pd\GEP\Product%20Development%20Documents\PMO%20Process\Initiate%20Business%20Case%20Documents\Mobile%20App%20Initiate%20DRAFT%2004.06.17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ar%20QA%20Process\PAR%20Query%20DB\PAR%20Results%20Query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lliam(Backup)\WILLIAM\EPM\QA%20Tool\05082015\QA%20DB%20Query%20to%20Excel%20Results%20Ver%208-25-2014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nboles\AppData\Local\Microsoft\Windows\Temporary%20Internet%20Files\Content.Outlook\0Y7MNS18\Indiana%20SBDR_Financial%20Management%20Workbook_2016-08-05%20V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2020\2020-03%20Clean%20Energy%20Connection\Todd%20Beaver\05282020\CEC%20Revenue%20Requirements%20(Filing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233\grpdata\PEF%20Resource%20Planning\2020\2020-03%20Clean%20Energy%20Connection\RR\2020-02_2046\2020-05%20CEC_750MWs_RR_0501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Input"/>
      <sheetName val="Estimate"/>
      <sheetName val="Resources"/>
      <sheetName val="Common"/>
      <sheetName val="CMS"/>
      <sheetName val="Talley"/>
    </sheetNames>
    <sheetDataSet>
      <sheetData sheetId="0" refreshError="1"/>
      <sheetData sheetId="1">
        <row r="4">
          <cell r="E4">
            <v>75</v>
          </cell>
        </row>
        <row r="5">
          <cell r="E5">
            <v>100</v>
          </cell>
        </row>
        <row r="6">
          <cell r="E6">
            <v>70</v>
          </cell>
        </row>
        <row r="9">
          <cell r="E9">
            <v>900</v>
          </cell>
        </row>
        <row r="12">
          <cell r="E12">
            <v>0.05</v>
          </cell>
        </row>
        <row r="152">
          <cell r="B152">
            <v>38.5</v>
          </cell>
          <cell r="E152">
            <v>0.9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Capacity"/>
      <sheetName val="Capacity Factor"/>
      <sheetName val="CO2"/>
      <sheetName val="CO2 Allow"/>
      <sheetName val="CO2 Cost"/>
      <sheetName val="Dependable Cap"/>
      <sheetName val="Dispatch Price"/>
      <sheetName val="FOM Cost"/>
      <sheetName val="Fuel Cost"/>
      <sheetName val="Fuel Used"/>
      <sheetName val="Fuel Rate"/>
      <sheetName val="Generation"/>
      <sheetName val="Heat Rate"/>
      <sheetName val="Hg"/>
      <sheetName val="Hours"/>
      <sheetName val="NOx"/>
      <sheetName val="NOx Allow"/>
      <sheetName val="NOx Cost"/>
      <sheetName val="Reagent Cost"/>
      <sheetName val="SO2"/>
      <sheetName val="SO2 Allow"/>
      <sheetName val="SO2 Cost"/>
      <sheetName val="Start Cost"/>
      <sheetName val="Starts"/>
      <sheetName val="Total Cost"/>
      <sheetName val="VOM Cost"/>
      <sheetName val="VOM Rate"/>
      <sheetName val="Lime Cost"/>
    </sheetNames>
    <sheetDataSet>
      <sheetData sheetId="0"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94.93</v>
          </cell>
          <cell r="L9">
            <v>0</v>
          </cell>
          <cell r="M9">
            <v>0</v>
          </cell>
          <cell r="N9">
            <v>7.2</v>
          </cell>
          <cell r="O9">
            <v>0</v>
          </cell>
          <cell r="P9">
            <v>0</v>
          </cell>
          <cell r="Q9">
            <v>0</v>
          </cell>
          <cell r="R9">
            <v>30.36</v>
          </cell>
          <cell r="S9">
            <v>0</v>
          </cell>
          <cell r="T9">
            <v>0</v>
          </cell>
          <cell r="U9">
            <v>358.47</v>
          </cell>
          <cell r="V9">
            <v>0</v>
          </cell>
          <cell r="W9">
            <v>404.45</v>
          </cell>
          <cell r="X9">
            <v>0</v>
          </cell>
          <cell r="Y9">
            <v>3628.57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2913.15</v>
          </cell>
          <cell r="AG9">
            <v>1142.71</v>
          </cell>
          <cell r="AH9">
            <v>0</v>
          </cell>
          <cell r="AI9">
            <v>0</v>
          </cell>
        </row>
        <row r="13">
          <cell r="B13">
            <v>390678.16</v>
          </cell>
          <cell r="C13">
            <v>384872.26</v>
          </cell>
          <cell r="D13">
            <v>381802.52</v>
          </cell>
          <cell r="E13">
            <v>381802.52</v>
          </cell>
          <cell r="F13">
            <v>382800.76</v>
          </cell>
          <cell r="G13">
            <v>381802.51</v>
          </cell>
          <cell r="H13">
            <v>381802.52</v>
          </cell>
          <cell r="I13">
            <v>381802.51</v>
          </cell>
          <cell r="J13">
            <v>382800.76</v>
          </cell>
          <cell r="K13">
            <v>381802.52</v>
          </cell>
          <cell r="L13">
            <v>381802.52</v>
          </cell>
          <cell r="M13">
            <v>381802.51</v>
          </cell>
          <cell r="N13">
            <v>382800.76</v>
          </cell>
          <cell r="O13">
            <v>381802.52</v>
          </cell>
          <cell r="P13">
            <v>488036.07999999996</v>
          </cell>
          <cell r="Q13">
            <v>565751.78</v>
          </cell>
          <cell r="R13">
            <v>565751.78</v>
          </cell>
          <cell r="S13">
            <v>565751.78</v>
          </cell>
          <cell r="T13">
            <v>608469.98</v>
          </cell>
          <cell r="U13">
            <v>638982.99</v>
          </cell>
          <cell r="V13">
            <v>653943.28</v>
          </cell>
          <cell r="W13">
            <v>664629.15</v>
          </cell>
          <cell r="X13">
            <v>742015.81</v>
          </cell>
          <cell r="Y13">
            <v>797361.63</v>
          </cell>
          <cell r="Z13">
            <v>830388.36</v>
          </cell>
          <cell r="AA13">
            <v>870905</v>
          </cell>
          <cell r="AB13">
            <v>882995.11</v>
          </cell>
          <cell r="AC13">
            <v>882995.13</v>
          </cell>
          <cell r="AD13">
            <v>882995.13</v>
          </cell>
          <cell r="AE13">
            <v>882995.13</v>
          </cell>
          <cell r="AF13">
            <v>882995.13</v>
          </cell>
          <cell r="AG13">
            <v>882995.13</v>
          </cell>
          <cell r="AH13">
            <v>882995.13</v>
          </cell>
          <cell r="AI13">
            <v>882995.13</v>
          </cell>
        </row>
      </sheetData>
      <sheetData sheetId="1"/>
      <sheetData sheetId="2"/>
      <sheetData sheetId="3"/>
      <sheetData sheetId="4"/>
      <sheetData sheetId="5"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</sheetData>
      <sheetData sheetId="6"/>
      <sheetData sheetId="7"/>
      <sheetData sheetId="8">
        <row r="150">
          <cell r="C150">
            <v>445381.08</v>
          </cell>
          <cell r="D150">
            <v>433157.70000000007</v>
          </cell>
          <cell r="E150">
            <v>436092.64999999997</v>
          </cell>
          <cell r="F150">
            <v>456059.54000000004</v>
          </cell>
          <cell r="G150">
            <v>300440.52</v>
          </cell>
          <cell r="H150">
            <v>147853.22000000003</v>
          </cell>
          <cell r="I150">
            <v>57675.330000000009</v>
          </cell>
          <cell r="J150">
            <v>32805.870000000003</v>
          </cell>
          <cell r="K150">
            <v>21746.859999999997</v>
          </cell>
          <cell r="L150">
            <v>22249.190000000002</v>
          </cell>
          <cell r="M150">
            <v>22858.959999999999</v>
          </cell>
          <cell r="N150">
            <v>23441.45</v>
          </cell>
          <cell r="O150">
            <v>24103.559999999998</v>
          </cell>
          <cell r="P150">
            <v>24687.15</v>
          </cell>
          <cell r="Q150">
            <v>31993.279999999995</v>
          </cell>
          <cell r="R150">
            <v>37711.54</v>
          </cell>
          <cell r="S150">
            <v>38342.299999999996</v>
          </cell>
          <cell r="T150">
            <v>39068.81</v>
          </cell>
          <cell r="U150">
            <v>41958.259999999995</v>
          </cell>
          <cell r="V150">
            <v>44362.510000000009</v>
          </cell>
          <cell r="W150">
            <v>46055.909999999996</v>
          </cell>
          <cell r="X150">
            <v>47500.499999999993</v>
          </cell>
          <cell r="Y150">
            <v>54107.329999999994</v>
          </cell>
          <cell r="Z150">
            <v>59410.680000000008</v>
          </cell>
          <cell r="AA150">
            <v>62365.270000000019</v>
          </cell>
          <cell r="AB150">
            <v>65325.920000000006</v>
          </cell>
          <cell r="AC150">
            <v>66539.740000000005</v>
          </cell>
          <cell r="AD150">
            <v>67969.149999999994</v>
          </cell>
          <cell r="AE150">
            <v>69480.31</v>
          </cell>
          <cell r="AF150">
            <v>68531.02</v>
          </cell>
          <cell r="AG150">
            <v>64426.320000000007</v>
          </cell>
          <cell r="AH150">
            <v>60653.360000000008</v>
          </cell>
          <cell r="AI150">
            <v>58473.479999999996</v>
          </cell>
          <cell r="AJ150">
            <v>59704.849999999991</v>
          </cell>
        </row>
      </sheetData>
      <sheetData sheetId="9">
        <row r="150">
          <cell r="C150">
            <v>849844.7000000003</v>
          </cell>
          <cell r="D150">
            <v>858947.88999999978</v>
          </cell>
          <cell r="E150">
            <v>883705.43</v>
          </cell>
          <cell r="F150">
            <v>901694.84999999963</v>
          </cell>
          <cell r="G150">
            <v>912932.35</v>
          </cell>
          <cell r="H150">
            <v>967915.26</v>
          </cell>
          <cell r="I150">
            <v>1050042.3999999999</v>
          </cell>
          <cell r="J150">
            <v>1177331.2400000002</v>
          </cell>
          <cell r="K150">
            <v>1345586.2099999995</v>
          </cell>
          <cell r="L150">
            <v>1457747.3499999999</v>
          </cell>
          <cell r="M150">
            <v>1543618.9199999997</v>
          </cell>
          <cell r="N150">
            <v>1620773.2500000002</v>
          </cell>
          <cell r="O150">
            <v>1718856.0700000003</v>
          </cell>
          <cell r="P150">
            <v>1731617.8199999996</v>
          </cell>
          <cell r="Q150">
            <v>1804471.8699999996</v>
          </cell>
          <cell r="R150">
            <v>1869943.9100000004</v>
          </cell>
          <cell r="S150">
            <v>1925544.39</v>
          </cell>
          <cell r="T150">
            <v>2084977.43</v>
          </cell>
          <cell r="U150">
            <v>2202989.5999999992</v>
          </cell>
          <cell r="V150">
            <v>2284321.31</v>
          </cell>
          <cell r="W150">
            <v>2403457.54</v>
          </cell>
          <cell r="X150">
            <v>2520764.25</v>
          </cell>
          <cell r="Y150">
            <v>2567162.1</v>
          </cell>
          <cell r="Z150">
            <v>2623573.3200000003</v>
          </cell>
          <cell r="AA150">
            <v>2763158.7999999993</v>
          </cell>
          <cell r="AB150">
            <v>2937803.12</v>
          </cell>
          <cell r="AC150">
            <v>3086382.5000000009</v>
          </cell>
          <cell r="AD150">
            <v>3127319</v>
          </cell>
          <cell r="AE150">
            <v>3258913.0700000008</v>
          </cell>
          <cell r="AF150">
            <v>3300440.0900000003</v>
          </cell>
          <cell r="AG150">
            <v>3379235.1500000008</v>
          </cell>
          <cell r="AH150">
            <v>3495839.1799999997</v>
          </cell>
          <cell r="AI150">
            <v>3614268.5600000005</v>
          </cell>
          <cell r="AJ150">
            <v>3682613.7100000004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0">
          <cell r="C150">
            <v>411.14</v>
          </cell>
          <cell r="D150">
            <v>433.27999999999986</v>
          </cell>
          <cell r="E150">
            <v>412.28999999999991</v>
          </cell>
          <cell r="F150">
            <v>414.01000000000005</v>
          </cell>
          <cell r="G150">
            <v>463.99000000000012</v>
          </cell>
          <cell r="H150">
            <v>451.28000000000003</v>
          </cell>
          <cell r="I150">
            <v>478.19000000000023</v>
          </cell>
          <cell r="J150">
            <v>502.85999999999996</v>
          </cell>
          <cell r="K150">
            <v>508.87999999999994</v>
          </cell>
          <cell r="L150">
            <v>557.86</v>
          </cell>
          <cell r="M150">
            <v>585.46999999999991</v>
          </cell>
          <cell r="N150">
            <v>565.37</v>
          </cell>
          <cell r="O150">
            <v>563.99000000000012</v>
          </cell>
          <cell r="P150">
            <v>566.09000000000015</v>
          </cell>
          <cell r="Q150">
            <v>350.61000000000018</v>
          </cell>
          <cell r="R150">
            <v>320.22000000000003</v>
          </cell>
          <cell r="S150">
            <v>334.67000000000007</v>
          </cell>
          <cell r="T150">
            <v>348.53000000000003</v>
          </cell>
          <cell r="U150">
            <v>353.74</v>
          </cell>
          <cell r="V150">
            <v>372.81</v>
          </cell>
          <cell r="W150">
            <v>382.46000000000009</v>
          </cell>
          <cell r="X150">
            <v>402.46</v>
          </cell>
          <cell r="Y150">
            <v>339.98</v>
          </cell>
          <cell r="Z150">
            <v>343.61</v>
          </cell>
          <cell r="AA150">
            <v>351.0800000000001</v>
          </cell>
          <cell r="AB150">
            <v>362.52000000000004</v>
          </cell>
          <cell r="AC150">
            <v>378.54000000000008</v>
          </cell>
          <cell r="AD150">
            <v>385.04999999999995</v>
          </cell>
          <cell r="AE150">
            <v>394.12999999999994</v>
          </cell>
          <cell r="AF150">
            <v>399.80999999999989</v>
          </cell>
          <cell r="AG150">
            <v>417.15999999999997</v>
          </cell>
          <cell r="AH150">
            <v>431.91999999999996</v>
          </cell>
          <cell r="AI150">
            <v>442.56</v>
          </cell>
          <cell r="AJ150">
            <v>448.13000000000005</v>
          </cell>
        </row>
      </sheetData>
      <sheetData sheetId="19">
        <row r="150">
          <cell r="C150">
            <v>4635.1499999999996</v>
          </cell>
          <cell r="D150">
            <v>4834.5199999999995</v>
          </cell>
          <cell r="E150">
            <v>4794.2699999999995</v>
          </cell>
          <cell r="F150">
            <v>4367.6000000000004</v>
          </cell>
          <cell r="G150">
            <v>4399.6599999999989</v>
          </cell>
          <cell r="H150">
            <v>5214.0700000000024</v>
          </cell>
          <cell r="I150">
            <v>5649.5899999999992</v>
          </cell>
          <cell r="J150">
            <v>6139.1299999999992</v>
          </cell>
          <cell r="K150">
            <v>7577.829999999999</v>
          </cell>
          <cell r="L150">
            <v>9610.4100000000017</v>
          </cell>
          <cell r="M150">
            <v>10145.819999999998</v>
          </cell>
          <cell r="N150">
            <v>9438.6999999999989</v>
          </cell>
          <cell r="O150">
            <v>9666.6500000000015</v>
          </cell>
          <cell r="P150">
            <v>8937.2099999999991</v>
          </cell>
          <cell r="Q150">
            <v>3929.9400000000005</v>
          </cell>
          <cell r="R150">
            <v>1420.7199999999998</v>
          </cell>
          <cell r="S150">
            <v>1426.17</v>
          </cell>
          <cell r="T150">
            <v>1435.2400000000002</v>
          </cell>
          <cell r="U150">
            <v>1446.74</v>
          </cell>
          <cell r="V150">
            <v>1438.5500000000002</v>
          </cell>
          <cell r="W150">
            <v>1466.3899999999996</v>
          </cell>
          <cell r="X150">
            <v>1459.21</v>
          </cell>
          <cell r="Y150">
            <v>1527.54</v>
          </cell>
          <cell r="Z150">
            <v>1543.3200000000002</v>
          </cell>
          <cell r="AA150">
            <v>1562.5800000000002</v>
          </cell>
          <cell r="AB150">
            <v>1565.2299999999998</v>
          </cell>
          <cell r="AC150">
            <v>1584.0499999999997</v>
          </cell>
          <cell r="AD150">
            <v>1574.59</v>
          </cell>
          <cell r="AE150">
            <v>1576.75</v>
          </cell>
          <cell r="AF150">
            <v>1576.05</v>
          </cell>
          <cell r="AG150">
            <v>1589.72</v>
          </cell>
          <cell r="AH150">
            <v>1592.1499999999996</v>
          </cell>
          <cell r="AI150">
            <v>1615.08</v>
          </cell>
          <cell r="AJ150">
            <v>1611.9399999999996</v>
          </cell>
        </row>
      </sheetData>
      <sheetData sheetId="20"/>
      <sheetData sheetId="21"/>
      <sheetData sheetId="22">
        <row r="150">
          <cell r="C150">
            <v>11.539999999999997</v>
          </cell>
          <cell r="D150">
            <v>11.709999999999996</v>
          </cell>
          <cell r="E150">
            <v>11.339999999999998</v>
          </cell>
          <cell r="F150">
            <v>9.6899999999999977</v>
          </cell>
          <cell r="G150">
            <v>9.4399999999999959</v>
          </cell>
          <cell r="H150">
            <v>11.339999999999996</v>
          </cell>
          <cell r="I150">
            <v>12.079999999999993</v>
          </cell>
          <cell r="J150">
            <v>12.729999999999997</v>
          </cell>
          <cell r="K150">
            <v>15.929999999999996</v>
          </cell>
          <cell r="L150">
            <v>20.190000000000001</v>
          </cell>
          <cell r="M150">
            <v>21.19</v>
          </cell>
          <cell r="N150">
            <v>19.03</v>
          </cell>
          <cell r="O150">
            <v>19.350000000000005</v>
          </cell>
          <cell r="P150">
            <v>17.420000000000005</v>
          </cell>
          <cell r="Q150">
            <v>6.0599999999999987</v>
          </cell>
          <cell r="R150">
            <v>0.43000000000000005</v>
          </cell>
          <cell r="S150">
            <v>0.38000000000000012</v>
          </cell>
          <cell r="T150">
            <v>0.38000000000000012</v>
          </cell>
          <cell r="U150">
            <v>0.39000000000000012</v>
          </cell>
          <cell r="V150">
            <v>0.41000000000000014</v>
          </cell>
          <cell r="W150">
            <v>0.42000000000000015</v>
          </cell>
          <cell r="X150">
            <v>0.43000000000000016</v>
          </cell>
          <cell r="Y150">
            <v>0.43000000000000016</v>
          </cell>
          <cell r="Z150">
            <v>0.45000000000000018</v>
          </cell>
          <cell r="AA150">
            <v>0.4700000000000002</v>
          </cell>
          <cell r="AB150">
            <v>0.4800000000000002</v>
          </cell>
          <cell r="AC150">
            <v>0.49000000000000021</v>
          </cell>
          <cell r="AD150">
            <v>0.50000000000000011</v>
          </cell>
          <cell r="AE150">
            <v>0.50000000000000022</v>
          </cell>
          <cell r="AF150">
            <v>0.50000000000000011</v>
          </cell>
          <cell r="AG150">
            <v>0.53000000000000014</v>
          </cell>
          <cell r="AH150">
            <v>0.56000000000000016</v>
          </cell>
          <cell r="AI150">
            <v>0.56000000000000016</v>
          </cell>
          <cell r="AJ150">
            <v>0.56000000000000016</v>
          </cell>
        </row>
      </sheetData>
      <sheetData sheetId="23">
        <row r="150">
          <cell r="C150">
            <v>13025.86</v>
          </cell>
          <cell r="D150">
            <v>14759.080000000004</v>
          </cell>
          <cell r="E150">
            <v>13740.369999999999</v>
          </cell>
          <cell r="F150">
            <v>14875.59</v>
          </cell>
          <cell r="G150">
            <v>14534.710000000001</v>
          </cell>
          <cell r="H150">
            <v>13482.35</v>
          </cell>
          <cell r="I150">
            <v>16194.710000000001</v>
          </cell>
          <cell r="J150">
            <v>15503.979999999998</v>
          </cell>
          <cell r="K150">
            <v>17046.93</v>
          </cell>
          <cell r="L150">
            <v>15786.34</v>
          </cell>
          <cell r="M150">
            <v>19557.010000000006</v>
          </cell>
          <cell r="N150">
            <v>20829.37</v>
          </cell>
          <cell r="O150">
            <v>22660.02</v>
          </cell>
          <cell r="P150">
            <v>24058.85</v>
          </cell>
          <cell r="Q150">
            <v>30700.790000000012</v>
          </cell>
          <cell r="R150">
            <v>34977.56</v>
          </cell>
          <cell r="S150">
            <v>36466.47</v>
          </cell>
          <cell r="T150">
            <v>38532.78</v>
          </cell>
          <cell r="U150">
            <v>42844.359999999993</v>
          </cell>
          <cell r="V150">
            <v>50669.58</v>
          </cell>
          <cell r="W150">
            <v>49297.820000000007</v>
          </cell>
          <cell r="X150">
            <v>52765.13</v>
          </cell>
          <cell r="Y150">
            <v>56378.889999999992</v>
          </cell>
          <cell r="Z150">
            <v>55318.530000000013</v>
          </cell>
          <cell r="AA150">
            <v>60122.029999999992</v>
          </cell>
          <cell r="AB150">
            <v>66165.12000000001</v>
          </cell>
          <cell r="AC150">
            <v>71220.08</v>
          </cell>
          <cell r="AD150">
            <v>71080.449999999983</v>
          </cell>
          <cell r="AE150">
            <v>78386.789999999979</v>
          </cell>
          <cell r="AF150">
            <v>75495.51999999999</v>
          </cell>
          <cell r="AG150">
            <v>78395.749999999985</v>
          </cell>
          <cell r="AH150">
            <v>81575.48</v>
          </cell>
          <cell r="AI150">
            <v>80217.119999999995</v>
          </cell>
          <cell r="AJ150">
            <v>82123.66</v>
          </cell>
        </row>
      </sheetData>
      <sheetData sheetId="24"/>
      <sheetData sheetId="25"/>
      <sheetData sheetId="26">
        <row r="150">
          <cell r="C150">
            <v>73039.950000000012</v>
          </cell>
          <cell r="D150">
            <v>76374.069999999992</v>
          </cell>
          <cell r="E150">
            <v>85282.14999999998</v>
          </cell>
          <cell r="F150">
            <v>91682.319999999978</v>
          </cell>
          <cell r="G150">
            <v>102315.46</v>
          </cell>
          <cell r="H150">
            <v>116310.51999999999</v>
          </cell>
          <cell r="I150">
            <v>133137.86000000002</v>
          </cell>
          <cell r="J150">
            <v>153393.02000000002</v>
          </cell>
          <cell r="K150">
            <v>175128.26</v>
          </cell>
          <cell r="L150">
            <v>187291.75000000003</v>
          </cell>
          <cell r="M150">
            <v>205975.62000000002</v>
          </cell>
          <cell r="N150">
            <v>225775.20999999996</v>
          </cell>
          <cell r="O150">
            <v>236647.68000000002</v>
          </cell>
          <cell r="P150">
            <v>253417.59000000003</v>
          </cell>
          <cell r="Q150">
            <v>253061.37000000002</v>
          </cell>
          <cell r="R150">
            <v>266831.90999999997</v>
          </cell>
          <cell r="S150">
            <v>282790.83</v>
          </cell>
          <cell r="T150">
            <v>317468.93</v>
          </cell>
          <cell r="U150">
            <v>335555.94</v>
          </cell>
          <cell r="V150">
            <v>365803.63</v>
          </cell>
          <cell r="W150">
            <v>376232.56</v>
          </cell>
          <cell r="X150">
            <v>397133.02</v>
          </cell>
          <cell r="Y150">
            <v>404389.35</v>
          </cell>
          <cell r="Z150">
            <v>424181.37</v>
          </cell>
          <cell r="AA150">
            <v>435954.61</v>
          </cell>
          <cell r="AB150">
            <v>460929.17</v>
          </cell>
          <cell r="AC150">
            <v>472906.76</v>
          </cell>
          <cell r="AD150">
            <v>498247.57000000007</v>
          </cell>
          <cell r="AE150">
            <v>511293.46000000008</v>
          </cell>
          <cell r="AF150">
            <v>536497.9</v>
          </cell>
          <cell r="AG150">
            <v>550265.21</v>
          </cell>
          <cell r="AH150">
            <v>579715.30000000005</v>
          </cell>
          <cell r="AI150">
            <v>596467.47</v>
          </cell>
          <cell r="AJ150">
            <v>624847.97</v>
          </cell>
        </row>
      </sheetData>
      <sheetData sheetId="27"/>
      <sheetData sheetId="28">
        <row r="150">
          <cell r="C150">
            <v>1174.1422</v>
          </cell>
          <cell r="D150">
            <v>1191.9562000000001</v>
          </cell>
          <cell r="E150">
            <v>1154.7694999999999</v>
          </cell>
          <cell r="F150">
            <v>986.30340000000001</v>
          </cell>
          <cell r="G150">
            <v>915.18290000000002</v>
          </cell>
          <cell r="H150">
            <v>1125.4991</v>
          </cell>
          <cell r="I150">
            <v>1209.1172999999999</v>
          </cell>
          <cell r="J150">
            <v>1297.1944000000001</v>
          </cell>
          <cell r="K150">
            <v>1637.9697000000001</v>
          </cell>
          <cell r="L150">
            <v>2094.6529</v>
          </cell>
          <cell r="M150">
            <v>2158.3287999999998</v>
          </cell>
          <cell r="N150">
            <v>1900.9056</v>
          </cell>
          <cell r="O150">
            <v>1898.1133999999997</v>
          </cell>
          <cell r="P150">
            <v>1665.9123999999999</v>
          </cell>
          <cell r="Q150">
            <v>540.12210000000005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Capacity"/>
      <sheetName val="Capacity Factor"/>
      <sheetName val="CO2"/>
      <sheetName val="CO2 Allow"/>
      <sheetName val="CO2 Cost"/>
      <sheetName val="Dependable Cap"/>
      <sheetName val="Dispatch Price"/>
      <sheetName val="FOM Cost"/>
      <sheetName val="Fuel Cost"/>
      <sheetName val="Fuel Used"/>
      <sheetName val="Fuel Rate"/>
      <sheetName val="Generation"/>
      <sheetName val="Heat Rate"/>
      <sheetName val="Hg"/>
      <sheetName val="Hours"/>
      <sheetName val="NOx"/>
      <sheetName val="NOx Allow"/>
      <sheetName val="NOx Cost"/>
      <sheetName val="Reagent Cost"/>
      <sheetName val="SO2"/>
      <sheetName val="SO2 Allow"/>
      <sheetName val="SO2 Cost"/>
      <sheetName val="Start Cost"/>
      <sheetName val="Starts"/>
      <sheetName val="Total Cost"/>
      <sheetName val="VOM Cost"/>
      <sheetName val="VOM Rate"/>
      <sheetName val="Lime Cost"/>
    </sheetNames>
    <sheetDataSet>
      <sheetData sheetId="0"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11.87</v>
          </cell>
          <cell r="L9">
            <v>0</v>
          </cell>
          <cell r="M9">
            <v>85.25</v>
          </cell>
          <cell r="N9">
            <v>326.63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1408.33</v>
          </cell>
          <cell r="T9">
            <v>482.37</v>
          </cell>
          <cell r="U9">
            <v>1593.28</v>
          </cell>
          <cell r="V9">
            <v>0</v>
          </cell>
          <cell r="W9">
            <v>74.09</v>
          </cell>
          <cell r="X9">
            <v>0</v>
          </cell>
          <cell r="Y9">
            <v>1601.75</v>
          </cell>
          <cell r="Z9">
            <v>819.12</v>
          </cell>
          <cell r="AA9">
            <v>0</v>
          </cell>
          <cell r="AB9">
            <v>363.57</v>
          </cell>
          <cell r="AC9">
            <v>15.8</v>
          </cell>
          <cell r="AD9">
            <v>59.69</v>
          </cell>
          <cell r="AE9">
            <v>0</v>
          </cell>
          <cell r="AF9">
            <v>0</v>
          </cell>
          <cell r="AG9">
            <v>15545.79</v>
          </cell>
          <cell r="AH9">
            <v>1125.8</v>
          </cell>
          <cell r="AI9">
            <v>90.84</v>
          </cell>
        </row>
        <row r="13">
          <cell r="B13">
            <v>390678.16</v>
          </cell>
          <cell r="C13">
            <v>384872.26</v>
          </cell>
          <cell r="D13">
            <v>381802.52</v>
          </cell>
          <cell r="E13">
            <v>381802.52</v>
          </cell>
          <cell r="F13">
            <v>382800.76</v>
          </cell>
          <cell r="G13">
            <v>381802.51</v>
          </cell>
          <cell r="H13">
            <v>381802.52</v>
          </cell>
          <cell r="I13">
            <v>381802.51</v>
          </cell>
          <cell r="J13">
            <v>382800.76</v>
          </cell>
          <cell r="K13">
            <v>381802.52</v>
          </cell>
          <cell r="L13">
            <v>381802.52</v>
          </cell>
          <cell r="M13">
            <v>381802.51</v>
          </cell>
          <cell r="N13">
            <v>382800.76</v>
          </cell>
          <cell r="O13">
            <v>381802.52</v>
          </cell>
          <cell r="P13">
            <v>462235.69000000006</v>
          </cell>
          <cell r="Q13">
            <v>521522.52</v>
          </cell>
          <cell r="R13">
            <v>535075.79</v>
          </cell>
          <cell r="S13">
            <v>544756.69999999995</v>
          </cell>
          <cell r="T13">
            <v>573235.51</v>
          </cell>
          <cell r="U13">
            <v>593577.51</v>
          </cell>
          <cell r="V13">
            <v>608537.78</v>
          </cell>
          <cell r="W13">
            <v>619223.69999999995</v>
          </cell>
          <cell r="X13">
            <v>696610.36</v>
          </cell>
          <cell r="Y13">
            <v>751956.18</v>
          </cell>
          <cell r="Z13">
            <v>784982.86</v>
          </cell>
          <cell r="AA13">
            <v>825499.5</v>
          </cell>
          <cell r="AB13">
            <v>854938.99</v>
          </cell>
          <cell r="AC13">
            <v>867331.36</v>
          </cell>
          <cell r="AD13">
            <v>867331.36</v>
          </cell>
          <cell r="AE13">
            <v>867331.36</v>
          </cell>
          <cell r="AF13">
            <v>867331.36</v>
          </cell>
          <cell r="AG13">
            <v>867331.36</v>
          </cell>
          <cell r="AH13">
            <v>867331.36</v>
          </cell>
          <cell r="AI13">
            <v>867331.36</v>
          </cell>
        </row>
      </sheetData>
      <sheetData sheetId="1"/>
      <sheetData sheetId="2"/>
      <sheetData sheetId="3"/>
      <sheetData sheetId="4"/>
      <sheetData sheetId="5"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</sheetData>
      <sheetData sheetId="6"/>
      <sheetData sheetId="7"/>
      <sheetData sheetId="8">
        <row r="132">
          <cell r="C132">
            <v>0</v>
          </cell>
          <cell r="D132">
            <v>0</v>
          </cell>
          <cell r="E132">
            <v>1227.76</v>
          </cell>
          <cell r="F132">
            <v>1245.6400000000001</v>
          </cell>
          <cell r="G132">
            <v>1274.24</v>
          </cell>
          <cell r="H132">
            <v>1303.58</v>
          </cell>
          <cell r="I132">
            <v>1343.68</v>
          </cell>
          <cell r="J132">
            <v>1477.57</v>
          </cell>
          <cell r="K132">
            <v>1512.64</v>
          </cell>
          <cell r="L132">
            <v>1548.42</v>
          </cell>
          <cell r="M132">
            <v>1584.93</v>
          </cell>
          <cell r="N132">
            <v>1632.2</v>
          </cell>
          <cell r="O132">
            <v>1660.27</v>
          </cell>
          <cell r="P132">
            <v>1699.18</v>
          </cell>
          <cell r="Q132">
            <v>1738.96</v>
          </cell>
          <cell r="R132">
            <v>1864.6</v>
          </cell>
          <cell r="S132">
            <v>1831.38</v>
          </cell>
          <cell r="T132">
            <v>1864.11</v>
          </cell>
          <cell r="U132">
            <v>1907.92</v>
          </cell>
          <cell r="V132">
            <v>1952.88</v>
          </cell>
          <cell r="W132">
            <v>1999.02</v>
          </cell>
          <cell r="X132">
            <v>2056.39</v>
          </cell>
          <cell r="Y132">
            <v>2095.04</v>
          </cell>
          <cell r="Z132">
            <v>2145.0300000000002</v>
          </cell>
          <cell r="AA132">
            <v>2196.38</v>
          </cell>
          <cell r="AB132">
            <v>2249.13</v>
          </cell>
          <cell r="AC132">
            <v>2313.34</v>
          </cell>
          <cell r="AD132">
            <v>2359.04</v>
          </cell>
          <cell r="AE132">
            <v>2416.2600000000002</v>
          </cell>
          <cell r="AF132">
            <v>2475.04</v>
          </cell>
          <cell r="AG132">
            <v>2535.42</v>
          </cell>
          <cell r="AH132">
            <v>2607.44</v>
          </cell>
          <cell r="AI132">
            <v>0</v>
          </cell>
          <cell r="AJ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2493.98</v>
          </cell>
          <cell r="G133">
            <v>2530.73</v>
          </cell>
          <cell r="H133">
            <v>2588.96</v>
          </cell>
          <cell r="I133">
            <v>2648.7</v>
          </cell>
          <cell r="J133">
            <v>2729.99</v>
          </cell>
          <cell r="K133">
            <v>2998.88</v>
          </cell>
          <cell r="L133">
            <v>3070.16</v>
          </cell>
          <cell r="M133">
            <v>3142.88</v>
          </cell>
          <cell r="N133">
            <v>3217.11</v>
          </cell>
          <cell r="O133">
            <v>3312.89</v>
          </cell>
          <cell r="P133">
            <v>3370.3</v>
          </cell>
          <cell r="Q133">
            <v>3449.42</v>
          </cell>
          <cell r="R133">
            <v>3530.33</v>
          </cell>
          <cell r="S133">
            <v>3782.98</v>
          </cell>
          <cell r="T133">
            <v>3717.95</v>
          </cell>
          <cell r="U133">
            <v>3784.86</v>
          </cell>
          <cell r="V133">
            <v>3873.99</v>
          </cell>
          <cell r="W133">
            <v>3965.42</v>
          </cell>
          <cell r="X133">
            <v>4059.27</v>
          </cell>
          <cell r="Y133">
            <v>4175.6400000000003</v>
          </cell>
          <cell r="Z133">
            <v>4254.6099999999997</v>
          </cell>
          <cell r="AA133">
            <v>4356.28</v>
          </cell>
          <cell r="AB133">
            <v>4460.7299999999996</v>
          </cell>
          <cell r="AC133">
            <v>4568.04</v>
          </cell>
          <cell r="AD133">
            <v>4698.3100000000004</v>
          </cell>
          <cell r="AE133">
            <v>4791.6000000000004</v>
          </cell>
          <cell r="AF133">
            <v>4907.99</v>
          </cell>
          <cell r="AG133">
            <v>5027.5600000000004</v>
          </cell>
          <cell r="AH133">
            <v>5150.38</v>
          </cell>
          <cell r="AI133">
            <v>5296.54</v>
          </cell>
          <cell r="AJ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2535.5500000000002</v>
          </cell>
          <cell r="H134">
            <v>2573.37</v>
          </cell>
          <cell r="I134">
            <v>2632.69</v>
          </cell>
          <cell r="J134">
            <v>2693.56</v>
          </cell>
          <cell r="K134">
            <v>2776.01</v>
          </cell>
          <cell r="L134">
            <v>3046.08</v>
          </cell>
          <cell r="M134">
            <v>3118.58</v>
          </cell>
          <cell r="N134">
            <v>3192.56</v>
          </cell>
          <cell r="O134">
            <v>3268.07</v>
          </cell>
          <cell r="P134">
            <v>3365.17</v>
          </cell>
          <cell r="Q134">
            <v>3423.94</v>
          </cell>
          <cell r="R134">
            <v>3504.44</v>
          </cell>
          <cell r="S134">
            <v>3586.79</v>
          </cell>
          <cell r="T134">
            <v>3840.9</v>
          </cell>
          <cell r="U134">
            <v>3777.38</v>
          </cell>
          <cell r="V134">
            <v>3845.84</v>
          </cell>
          <cell r="W134">
            <v>3936.55</v>
          </cell>
          <cell r="X134">
            <v>4029.62</v>
          </cell>
          <cell r="Y134">
            <v>4125.1400000000003</v>
          </cell>
          <cell r="Z134">
            <v>4243.2299999999996</v>
          </cell>
          <cell r="AA134">
            <v>4323.96</v>
          </cell>
          <cell r="AB134">
            <v>4427.45</v>
          </cell>
          <cell r="AC134">
            <v>4533.76</v>
          </cell>
          <cell r="AD134">
            <v>4642.99</v>
          </cell>
          <cell r="AE134">
            <v>4775.22</v>
          </cell>
          <cell r="AF134">
            <v>4870.53</v>
          </cell>
          <cell r="AG134">
            <v>4989</v>
          </cell>
          <cell r="AH134">
            <v>5110.7</v>
          </cell>
          <cell r="AI134">
            <v>5235.71</v>
          </cell>
          <cell r="AJ134">
            <v>5384.11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50">
          <cell r="C150">
            <v>445381.08</v>
          </cell>
          <cell r="D150">
            <v>433157.70000000007</v>
          </cell>
          <cell r="E150">
            <v>437320.41</v>
          </cell>
          <cell r="F150">
            <v>459799.16000000003</v>
          </cell>
          <cell r="G150">
            <v>306781.03999999998</v>
          </cell>
          <cell r="H150">
            <v>154319.13</v>
          </cell>
          <cell r="I150">
            <v>64300.400000000009</v>
          </cell>
          <cell r="J150">
            <v>39449.86</v>
          </cell>
          <cell r="K150">
            <v>28319.009999999995</v>
          </cell>
          <cell r="L150">
            <v>29257.760000000002</v>
          </cell>
          <cell r="M150">
            <v>29953.740000000005</v>
          </cell>
          <cell r="N150">
            <v>30794.030000000002</v>
          </cell>
          <cell r="O150">
            <v>31555.140000000003</v>
          </cell>
          <cell r="P150">
            <v>32397.620000000003</v>
          </cell>
          <cell r="Q150">
            <v>39096.68</v>
          </cell>
          <cell r="R150">
            <v>44343.15</v>
          </cell>
          <cell r="S150">
            <v>45896.959999999999</v>
          </cell>
          <cell r="T150">
            <v>47300.49</v>
          </cell>
          <cell r="U150">
            <v>49495.069999999992</v>
          </cell>
          <cell r="V150">
            <v>51532.039999999994</v>
          </cell>
          <cell r="W150">
            <v>53391.139999999992</v>
          </cell>
          <cell r="X150">
            <v>55015.88</v>
          </cell>
          <cell r="Y150">
            <v>61807.489999999991</v>
          </cell>
          <cell r="Z150">
            <v>67290.509999999995</v>
          </cell>
          <cell r="AA150">
            <v>70409.770000000019</v>
          </cell>
          <cell r="AB150">
            <v>73560.31</v>
          </cell>
          <cell r="AC150">
            <v>75847.23</v>
          </cell>
          <cell r="AD150">
            <v>78144.55</v>
          </cell>
          <cell r="AE150">
            <v>79900.33</v>
          </cell>
          <cell r="AF150">
            <v>79182.44</v>
          </cell>
          <cell r="AG150">
            <v>75336.099999999991</v>
          </cell>
          <cell r="AH150">
            <v>71838.63</v>
          </cell>
          <cell r="AI150">
            <v>67280.399999999994</v>
          </cell>
          <cell r="AJ150">
            <v>63320.499999999993</v>
          </cell>
        </row>
      </sheetData>
      <sheetData sheetId="9">
        <row r="150">
          <cell r="C150">
            <v>849844.7000000003</v>
          </cell>
          <cell r="D150">
            <v>858947.88999999978</v>
          </cell>
          <cell r="E150">
            <v>875386.03999999969</v>
          </cell>
          <cell r="F150">
            <v>877507.7999999997</v>
          </cell>
          <cell r="G150">
            <v>864544.54</v>
          </cell>
          <cell r="H150">
            <v>919293.79</v>
          </cell>
          <cell r="I150">
            <v>998777.8900000006</v>
          </cell>
          <cell r="J150">
            <v>1120849.5800000003</v>
          </cell>
          <cell r="K150">
            <v>1289643.17</v>
          </cell>
          <cell r="L150">
            <v>1392304.5699999998</v>
          </cell>
          <cell r="M150">
            <v>1483167.1000000003</v>
          </cell>
          <cell r="N150">
            <v>1548131.7899999998</v>
          </cell>
          <cell r="O150">
            <v>1648658.2099999997</v>
          </cell>
          <cell r="P150">
            <v>1660919.75</v>
          </cell>
          <cell r="Q150">
            <v>1725956.7300000004</v>
          </cell>
          <cell r="R150">
            <v>1791353.5500000003</v>
          </cell>
          <cell r="S150">
            <v>1845561.95</v>
          </cell>
          <cell r="T150">
            <v>1997952.02</v>
          </cell>
          <cell r="U150">
            <v>2112459.0900000003</v>
          </cell>
          <cell r="V150">
            <v>2188727.2399999998</v>
          </cell>
          <cell r="W150">
            <v>2304652.2900000005</v>
          </cell>
          <cell r="X150">
            <v>2419081.2000000002</v>
          </cell>
          <cell r="Y150">
            <v>2466249.5699999998</v>
          </cell>
          <cell r="Z150">
            <v>2518602.9500000007</v>
          </cell>
          <cell r="AA150">
            <v>2659096.6100000003</v>
          </cell>
          <cell r="AB150">
            <v>2825837.4699999988</v>
          </cell>
          <cell r="AC150">
            <v>2973494.92</v>
          </cell>
          <cell r="AD150">
            <v>3015778.83</v>
          </cell>
          <cell r="AE150">
            <v>3136265.5100000002</v>
          </cell>
          <cell r="AF150">
            <v>3184955.7200000007</v>
          </cell>
          <cell r="AG150">
            <v>3260454.2299999995</v>
          </cell>
          <cell r="AH150">
            <v>3367599.4299999997</v>
          </cell>
          <cell r="AI150">
            <v>3505584.86</v>
          </cell>
          <cell r="AJ150">
            <v>3626678.7600000002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0">
          <cell r="C150">
            <v>411.14</v>
          </cell>
          <cell r="D150">
            <v>433.27999999999986</v>
          </cell>
          <cell r="E150">
            <v>402.80999999999983</v>
          </cell>
          <cell r="F150">
            <v>388.3300000000001</v>
          </cell>
          <cell r="G150">
            <v>393.22999999999979</v>
          </cell>
          <cell r="H150">
            <v>396.57000000000011</v>
          </cell>
          <cell r="I150">
            <v>427.3300000000001</v>
          </cell>
          <cell r="J150">
            <v>444.88</v>
          </cell>
          <cell r="K150">
            <v>519.01</v>
          </cell>
          <cell r="L150">
            <v>526.70999999999992</v>
          </cell>
          <cell r="M150">
            <v>607.69999999999993</v>
          </cell>
          <cell r="N150">
            <v>533.93999999999994</v>
          </cell>
          <cell r="O150">
            <v>574.2299999999999</v>
          </cell>
          <cell r="P150">
            <v>555.8499999999998</v>
          </cell>
          <cell r="Q150">
            <v>325.83999999999997</v>
          </cell>
          <cell r="R150">
            <v>307.39</v>
          </cell>
          <cell r="S150">
            <v>314.78000000000009</v>
          </cell>
          <cell r="T150">
            <v>327.94</v>
          </cell>
          <cell r="U150">
            <v>335.49</v>
          </cell>
          <cell r="V150">
            <v>352.11000000000007</v>
          </cell>
          <cell r="W150">
            <v>361.54</v>
          </cell>
          <cell r="X150">
            <v>379.36</v>
          </cell>
          <cell r="Y150">
            <v>322.40999999999997</v>
          </cell>
          <cell r="Z150">
            <v>323.07999999999993</v>
          </cell>
          <cell r="AA150">
            <v>333.94999999999993</v>
          </cell>
          <cell r="AB150">
            <v>340.88</v>
          </cell>
          <cell r="AC150">
            <v>358.81000000000006</v>
          </cell>
          <cell r="AD150">
            <v>364.58</v>
          </cell>
          <cell r="AE150">
            <v>373.46000000000004</v>
          </cell>
          <cell r="AF150">
            <v>379.91</v>
          </cell>
          <cell r="AG150">
            <v>395.1</v>
          </cell>
          <cell r="AH150">
            <v>407.96999999999997</v>
          </cell>
          <cell r="AI150">
            <v>423.42999999999995</v>
          </cell>
          <cell r="AJ150">
            <v>439.4</v>
          </cell>
        </row>
      </sheetData>
      <sheetData sheetId="19">
        <row r="150">
          <cell r="C150">
            <v>4635.1499999999996</v>
          </cell>
          <cell r="D150">
            <v>4834.5199999999995</v>
          </cell>
          <cell r="E150">
            <v>4747.54</v>
          </cell>
          <cell r="F150">
            <v>4294.7200000000012</v>
          </cell>
          <cell r="G150">
            <v>4219.45</v>
          </cell>
          <cell r="H150">
            <v>4922.0600000000004</v>
          </cell>
          <cell r="I150">
            <v>5327.9800000000005</v>
          </cell>
          <cell r="J150">
            <v>5889.6699999999992</v>
          </cell>
          <cell r="K150">
            <v>7203.8900000000012</v>
          </cell>
          <cell r="L150">
            <v>9145.5199999999986</v>
          </cell>
          <cell r="M150">
            <v>9761.58</v>
          </cell>
          <cell r="N150">
            <v>9023.36</v>
          </cell>
          <cell r="O150">
            <v>9261.09</v>
          </cell>
          <cell r="P150">
            <v>8461.5500000000011</v>
          </cell>
          <cell r="Q150">
            <v>3812.9599999999996</v>
          </cell>
          <cell r="R150">
            <v>1374.01</v>
          </cell>
          <cell r="S150">
            <v>1377.67</v>
          </cell>
          <cell r="T150">
            <v>1385.4399999999998</v>
          </cell>
          <cell r="U150">
            <v>1399.2599999999998</v>
          </cell>
          <cell r="V150">
            <v>1398.24</v>
          </cell>
          <cell r="W150">
            <v>1424.46</v>
          </cell>
          <cell r="X150">
            <v>1418.1100000000001</v>
          </cell>
          <cell r="Y150">
            <v>1475.33</v>
          </cell>
          <cell r="Z150">
            <v>1502.5500000000002</v>
          </cell>
          <cell r="AA150">
            <v>1511.9900000000002</v>
          </cell>
          <cell r="AB150">
            <v>1514.5600000000004</v>
          </cell>
          <cell r="AC150">
            <v>1533.7099999999998</v>
          </cell>
          <cell r="AD150">
            <v>1527.49</v>
          </cell>
          <cell r="AE150">
            <v>1531.83</v>
          </cell>
          <cell r="AF150">
            <v>1526.67</v>
          </cell>
          <cell r="AG150">
            <v>1545.18</v>
          </cell>
          <cell r="AH150">
            <v>1548.07</v>
          </cell>
          <cell r="AI150">
            <v>1580.77</v>
          </cell>
          <cell r="AJ150">
            <v>1592.8200000000002</v>
          </cell>
        </row>
      </sheetData>
      <sheetData sheetId="20"/>
      <sheetData sheetId="21"/>
      <sheetData sheetId="22">
        <row r="150">
          <cell r="C150">
            <v>11.539999999999997</v>
          </cell>
          <cell r="D150">
            <v>11.709999999999996</v>
          </cell>
          <cell r="E150">
            <v>11.209999999999997</v>
          </cell>
          <cell r="F150">
            <v>9.509999999999998</v>
          </cell>
          <cell r="G150">
            <v>8.8799999999999955</v>
          </cell>
          <cell r="H150">
            <v>10.499999999999996</v>
          </cell>
          <cell r="I150">
            <v>11.249999999999996</v>
          </cell>
          <cell r="J150">
            <v>12.179999999999998</v>
          </cell>
          <cell r="K150">
            <v>15.119999999999997</v>
          </cell>
          <cell r="L150">
            <v>19.160000000000007</v>
          </cell>
          <cell r="M150">
            <v>20.450000000000003</v>
          </cell>
          <cell r="N150">
            <v>18.160000000000004</v>
          </cell>
          <cell r="O150">
            <v>18.560000000000002</v>
          </cell>
          <cell r="P150">
            <v>16.46</v>
          </cell>
          <cell r="Q150">
            <v>5.8999999999999995</v>
          </cell>
          <cell r="R150">
            <v>0.44000000000000011</v>
          </cell>
          <cell r="S150">
            <v>0.3600000000000001</v>
          </cell>
          <cell r="T150">
            <v>0.37000000000000011</v>
          </cell>
          <cell r="U150">
            <v>0.38000000000000012</v>
          </cell>
          <cell r="V150">
            <v>0.38000000000000012</v>
          </cell>
          <cell r="W150">
            <v>0.40000000000000013</v>
          </cell>
          <cell r="X150">
            <v>0.43000000000000016</v>
          </cell>
          <cell r="Y150">
            <v>0.40000000000000013</v>
          </cell>
          <cell r="Z150">
            <v>0.42000000000000015</v>
          </cell>
          <cell r="AA150">
            <v>0.44000000000000017</v>
          </cell>
          <cell r="AB150">
            <v>0.4700000000000002</v>
          </cell>
          <cell r="AC150">
            <v>0.46000000000000019</v>
          </cell>
          <cell r="AD150">
            <v>0.4800000000000002</v>
          </cell>
          <cell r="AE150">
            <v>0.49000000000000021</v>
          </cell>
          <cell r="AF150">
            <v>0.50000000000000011</v>
          </cell>
          <cell r="AG150">
            <v>0.51000000000000012</v>
          </cell>
          <cell r="AH150">
            <v>0.53000000000000014</v>
          </cell>
          <cell r="AI150">
            <v>0.55000000000000016</v>
          </cell>
          <cell r="AJ150">
            <v>0.55000000000000016</v>
          </cell>
        </row>
      </sheetData>
      <sheetData sheetId="23">
        <row r="150">
          <cell r="C150">
            <v>13025.86</v>
          </cell>
          <cell r="D150">
            <v>14759.080000000004</v>
          </cell>
          <cell r="E150">
            <v>13065.209999999995</v>
          </cell>
          <cell r="F150">
            <v>13152.910000000002</v>
          </cell>
          <cell r="G150">
            <v>12914.949999999999</v>
          </cell>
          <cell r="H150">
            <v>12538.040000000005</v>
          </cell>
          <cell r="I150">
            <v>15362.239999999998</v>
          </cell>
          <cell r="J150">
            <v>14135.430000000002</v>
          </cell>
          <cell r="K150">
            <v>14308.36</v>
          </cell>
          <cell r="L150">
            <v>14018.59</v>
          </cell>
          <cell r="M150">
            <v>17353.350000000002</v>
          </cell>
          <cell r="N150">
            <v>19007.719999999994</v>
          </cell>
          <cell r="O150">
            <v>19805.54</v>
          </cell>
          <cell r="P150">
            <v>21741.060000000005</v>
          </cell>
          <cell r="Q150">
            <v>27670.610000000004</v>
          </cell>
          <cell r="R150">
            <v>31543.929999999989</v>
          </cell>
          <cell r="S150">
            <v>35413.420000000006</v>
          </cell>
          <cell r="T150">
            <v>38583.32</v>
          </cell>
          <cell r="U150">
            <v>39463.399999999994</v>
          </cell>
          <cell r="V150">
            <v>47006.41</v>
          </cell>
          <cell r="W150">
            <v>46365.81</v>
          </cell>
          <cell r="X150">
            <v>50634.939999999995</v>
          </cell>
          <cell r="Y150">
            <v>53915.859999999993</v>
          </cell>
          <cell r="Z150">
            <v>53767.969999999994</v>
          </cell>
          <cell r="AA150">
            <v>58156.650000000009</v>
          </cell>
          <cell r="AB150">
            <v>63757.539999999994</v>
          </cell>
          <cell r="AC150">
            <v>68595.61</v>
          </cell>
          <cell r="AD150">
            <v>72086.339999999982</v>
          </cell>
          <cell r="AE150">
            <v>76004.159999999974</v>
          </cell>
          <cell r="AF150">
            <v>74482.74000000002</v>
          </cell>
          <cell r="AG150">
            <v>78794.58</v>
          </cell>
          <cell r="AH150">
            <v>78689.979999999981</v>
          </cell>
          <cell r="AI150">
            <v>76923.910000000018</v>
          </cell>
          <cell r="AJ150">
            <v>78794.39</v>
          </cell>
        </row>
      </sheetData>
      <sheetData sheetId="24"/>
      <sheetData sheetId="25"/>
      <sheetData sheetId="26">
        <row r="150">
          <cell r="C150">
            <v>73039.950000000012</v>
          </cell>
          <cell r="D150">
            <v>76374.069999999992</v>
          </cell>
          <cell r="E150">
            <v>84560.00999999998</v>
          </cell>
          <cell r="F150">
            <v>89560.5</v>
          </cell>
          <cell r="G150">
            <v>98588.85</v>
          </cell>
          <cell r="H150">
            <v>112916.4</v>
          </cell>
          <cell r="I150">
            <v>129730.43999999997</v>
          </cell>
          <cell r="J150">
            <v>149857.95000000001</v>
          </cell>
          <cell r="K150">
            <v>171545.04</v>
          </cell>
          <cell r="L150">
            <v>183737.52999999997</v>
          </cell>
          <cell r="M150">
            <v>202327.09</v>
          </cell>
          <cell r="N150">
            <v>222035.98</v>
          </cell>
          <cell r="O150">
            <v>232767.78999999998</v>
          </cell>
          <cell r="P150">
            <v>249209.06999999998</v>
          </cell>
          <cell r="Q150">
            <v>248780.07000000004</v>
          </cell>
          <cell r="R150">
            <v>262920.78000000003</v>
          </cell>
          <cell r="S150">
            <v>278812.08</v>
          </cell>
          <cell r="T150">
            <v>313267.37</v>
          </cell>
          <cell r="U150">
            <v>331223.98</v>
          </cell>
          <cell r="V150">
            <v>361575.12</v>
          </cell>
          <cell r="W150">
            <v>371722.94</v>
          </cell>
          <cell r="X150">
            <v>392904.48</v>
          </cell>
          <cell r="Y150">
            <v>399810.55999999994</v>
          </cell>
          <cell r="Z150">
            <v>419591.26999999996</v>
          </cell>
          <cell r="AA150">
            <v>431137.6</v>
          </cell>
          <cell r="AB150">
            <v>455347.89999999997</v>
          </cell>
          <cell r="AC150">
            <v>467766.43</v>
          </cell>
          <cell r="AD150">
            <v>492863.96</v>
          </cell>
          <cell r="AE150">
            <v>505954.02</v>
          </cell>
          <cell r="AF150">
            <v>530530.81000000006</v>
          </cell>
          <cell r="AG150">
            <v>545188.41999999993</v>
          </cell>
          <cell r="AH150">
            <v>574614.56000000006</v>
          </cell>
          <cell r="AI150">
            <v>592162.67000000004</v>
          </cell>
          <cell r="AJ150">
            <v>622605.53</v>
          </cell>
        </row>
      </sheetData>
      <sheetData sheetId="27"/>
      <sheetData sheetId="28">
        <row r="150">
          <cell r="C150">
            <v>1174.1422</v>
          </cell>
          <cell r="D150">
            <v>1191.9562000000001</v>
          </cell>
          <cell r="E150">
            <v>1142.1058</v>
          </cell>
          <cell r="F150">
            <v>971.07099999999991</v>
          </cell>
          <cell r="G150">
            <v>875.78179999999998</v>
          </cell>
          <cell r="H150">
            <v>1055.5203999999999</v>
          </cell>
          <cell r="I150">
            <v>1133.5441999999998</v>
          </cell>
          <cell r="J150">
            <v>1242.1835000000001</v>
          </cell>
          <cell r="K150">
            <v>1550.8362999999999</v>
          </cell>
          <cell r="L150">
            <v>1989.0536000000002</v>
          </cell>
          <cell r="M150">
            <v>2076.0290999999997</v>
          </cell>
          <cell r="N150">
            <v>1814.8490999999999</v>
          </cell>
          <cell r="O150">
            <v>1815.4551000000001</v>
          </cell>
          <cell r="P150">
            <v>1571.1913999999999</v>
          </cell>
          <cell r="Q150">
            <v>525.14089999999999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Capacity"/>
      <sheetName val="Capacity Factor"/>
      <sheetName val="CO2"/>
      <sheetName val="CO2 Allow"/>
      <sheetName val="CO2 Cost"/>
      <sheetName val="Dependable Cap"/>
      <sheetName val="Dispatch Price"/>
      <sheetName val="FOM Cost"/>
      <sheetName val="Fuel Cost"/>
      <sheetName val="Fuel Used"/>
      <sheetName val="Fuel Rate"/>
      <sheetName val="Generation"/>
      <sheetName val="Heat Rate"/>
      <sheetName val="Hg"/>
      <sheetName val="Hours"/>
      <sheetName val="NOx"/>
      <sheetName val="NOx Allow"/>
      <sheetName val="NOx Cost"/>
      <sheetName val="Reagent Cost"/>
      <sheetName val="SO2"/>
      <sheetName val="SO2 Allow"/>
      <sheetName val="SO2 Cost"/>
      <sheetName val="Start Cost"/>
      <sheetName val="Starts"/>
      <sheetName val="Total Cost"/>
      <sheetName val="VOM Cost"/>
      <sheetName val="VOM Rate"/>
      <sheetName val="Lime Cost"/>
    </sheetNames>
    <sheetDataSet>
      <sheetData sheetId="0"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94.93</v>
          </cell>
          <cell r="L9">
            <v>0</v>
          </cell>
          <cell r="M9">
            <v>0</v>
          </cell>
          <cell r="N9">
            <v>7.2</v>
          </cell>
          <cell r="O9">
            <v>0</v>
          </cell>
          <cell r="P9">
            <v>0</v>
          </cell>
          <cell r="Q9">
            <v>0</v>
          </cell>
          <cell r="R9">
            <v>30.36</v>
          </cell>
          <cell r="S9">
            <v>0</v>
          </cell>
          <cell r="T9">
            <v>0</v>
          </cell>
          <cell r="U9">
            <v>358.47</v>
          </cell>
          <cell r="V9">
            <v>0</v>
          </cell>
          <cell r="W9">
            <v>404.45</v>
          </cell>
          <cell r="X9">
            <v>0</v>
          </cell>
          <cell r="Y9">
            <v>3628.57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2913.15</v>
          </cell>
          <cell r="AG9">
            <v>1142.71</v>
          </cell>
          <cell r="AH9">
            <v>0</v>
          </cell>
          <cell r="AI9">
            <v>0</v>
          </cell>
        </row>
        <row r="13">
          <cell r="B13">
            <v>390678.16</v>
          </cell>
          <cell r="C13">
            <v>384872.26</v>
          </cell>
          <cell r="D13">
            <v>381802.52</v>
          </cell>
          <cell r="E13">
            <v>381802.52</v>
          </cell>
          <cell r="F13">
            <v>382800.76</v>
          </cell>
          <cell r="G13">
            <v>381802.51</v>
          </cell>
          <cell r="H13">
            <v>381802.52</v>
          </cell>
          <cell r="I13">
            <v>381802.51</v>
          </cell>
          <cell r="J13">
            <v>382800.76</v>
          </cell>
          <cell r="K13">
            <v>381802.52</v>
          </cell>
          <cell r="L13">
            <v>381802.52</v>
          </cell>
          <cell r="M13">
            <v>381802.51</v>
          </cell>
          <cell r="N13">
            <v>382800.76</v>
          </cell>
          <cell r="O13">
            <v>381802.52</v>
          </cell>
          <cell r="P13">
            <v>488036.07999999996</v>
          </cell>
          <cell r="Q13">
            <v>565751.78</v>
          </cell>
          <cell r="R13">
            <v>565751.78</v>
          </cell>
          <cell r="S13">
            <v>565751.78</v>
          </cell>
          <cell r="T13">
            <v>608469.98</v>
          </cell>
          <cell r="U13">
            <v>638982.99</v>
          </cell>
          <cell r="V13">
            <v>653943.28</v>
          </cell>
          <cell r="W13">
            <v>664629.15</v>
          </cell>
          <cell r="X13">
            <v>742015.81</v>
          </cell>
          <cell r="Y13">
            <v>797361.63</v>
          </cell>
          <cell r="Z13">
            <v>830388.36</v>
          </cell>
          <cell r="AA13">
            <v>870905</v>
          </cell>
          <cell r="AB13">
            <v>882995.11</v>
          </cell>
          <cell r="AC13">
            <v>882995.13</v>
          </cell>
          <cell r="AD13">
            <v>882995.13</v>
          </cell>
          <cell r="AE13">
            <v>882995.13</v>
          </cell>
          <cell r="AF13">
            <v>882995.13</v>
          </cell>
          <cell r="AG13">
            <v>882995.13</v>
          </cell>
          <cell r="AH13">
            <v>882995.13</v>
          </cell>
          <cell r="AI13">
            <v>882995.13</v>
          </cell>
        </row>
      </sheetData>
      <sheetData sheetId="1"/>
      <sheetData sheetId="2"/>
      <sheetData sheetId="3"/>
      <sheetData sheetId="4"/>
      <sheetData sheetId="5"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102267.55000000002</v>
          </cell>
          <cell r="I150">
            <v>164131.77999999997</v>
          </cell>
          <cell r="J150">
            <v>227219.33000000005</v>
          </cell>
          <cell r="K150">
            <v>295780.83999999997</v>
          </cell>
          <cell r="L150">
            <v>360581.31999999989</v>
          </cell>
          <cell r="M150">
            <v>429736.2</v>
          </cell>
          <cell r="N150">
            <v>487126.71000000014</v>
          </cell>
          <cell r="O150">
            <v>551938.42000000004</v>
          </cell>
          <cell r="P150">
            <v>609942.2200000002</v>
          </cell>
          <cell r="Q150">
            <v>621859.53</v>
          </cell>
          <cell r="R150">
            <v>660941.96000000031</v>
          </cell>
          <cell r="S150">
            <v>728355.97</v>
          </cell>
          <cell r="T150">
            <v>794511.46000000008</v>
          </cell>
          <cell r="U150">
            <v>861450.77000000014</v>
          </cell>
          <cell r="V150">
            <v>936119.76999999979</v>
          </cell>
          <cell r="W150">
            <v>1004259.4700000001</v>
          </cell>
          <cell r="X150">
            <v>1077639.1299999999</v>
          </cell>
          <cell r="Y150">
            <v>1123015.73</v>
          </cell>
          <cell r="Z150">
            <v>1182228.68</v>
          </cell>
          <cell r="AA150">
            <v>1260401.2400000002</v>
          </cell>
          <cell r="AB150">
            <v>1331305.6199999996</v>
          </cell>
          <cell r="AC150">
            <v>1409842.4300000002</v>
          </cell>
          <cell r="AD150">
            <v>1468508.3999999994</v>
          </cell>
          <cell r="AE150">
            <v>1540238.6100000003</v>
          </cell>
          <cell r="AF150">
            <v>1595066.0799999998</v>
          </cell>
          <cell r="AG150">
            <v>1677501.4400000002</v>
          </cell>
          <cell r="AH150">
            <v>1755821.4300000002</v>
          </cell>
          <cell r="AI150">
            <v>1835231.18</v>
          </cell>
          <cell r="AJ150">
            <v>1888231.33</v>
          </cell>
        </row>
      </sheetData>
      <sheetData sheetId="6"/>
      <sheetData sheetId="7"/>
      <sheetData sheetId="8">
        <row r="150">
          <cell r="C150">
            <v>445381.08</v>
          </cell>
          <cell r="D150">
            <v>433157.70000000007</v>
          </cell>
          <cell r="E150">
            <v>436092.64999999997</v>
          </cell>
          <cell r="F150">
            <v>456059.54000000004</v>
          </cell>
          <cell r="G150">
            <v>300440.52</v>
          </cell>
          <cell r="H150">
            <v>147853.22000000003</v>
          </cell>
          <cell r="I150">
            <v>57675.330000000009</v>
          </cell>
          <cell r="J150">
            <v>32805.870000000003</v>
          </cell>
          <cell r="K150">
            <v>21746.859999999997</v>
          </cell>
          <cell r="L150">
            <v>22249.190000000002</v>
          </cell>
          <cell r="M150">
            <v>22858.959999999999</v>
          </cell>
          <cell r="N150">
            <v>23441.45</v>
          </cell>
          <cell r="O150">
            <v>24103.559999999998</v>
          </cell>
          <cell r="P150">
            <v>24687.15</v>
          </cell>
          <cell r="Q150">
            <v>31993.279999999995</v>
          </cell>
          <cell r="R150">
            <v>37711.54</v>
          </cell>
          <cell r="S150">
            <v>38342.299999999996</v>
          </cell>
          <cell r="T150">
            <v>39068.81</v>
          </cell>
          <cell r="U150">
            <v>41958.259999999995</v>
          </cell>
          <cell r="V150">
            <v>44362.510000000009</v>
          </cell>
          <cell r="W150">
            <v>46055.909999999996</v>
          </cell>
          <cell r="X150">
            <v>47500.499999999993</v>
          </cell>
          <cell r="Y150">
            <v>54107.329999999994</v>
          </cell>
          <cell r="Z150">
            <v>59410.680000000008</v>
          </cell>
          <cell r="AA150">
            <v>62365.270000000019</v>
          </cell>
          <cell r="AB150">
            <v>65325.920000000006</v>
          </cell>
          <cell r="AC150">
            <v>66539.740000000005</v>
          </cell>
          <cell r="AD150">
            <v>67969.149999999994</v>
          </cell>
          <cell r="AE150">
            <v>69480.31</v>
          </cell>
          <cell r="AF150">
            <v>68531.02</v>
          </cell>
          <cell r="AG150">
            <v>64426.320000000007</v>
          </cell>
          <cell r="AH150">
            <v>60653.360000000008</v>
          </cell>
          <cell r="AI150">
            <v>58473.479999999996</v>
          </cell>
          <cell r="AJ150">
            <v>59704.849999999991</v>
          </cell>
        </row>
      </sheetData>
      <sheetData sheetId="9">
        <row r="150">
          <cell r="C150">
            <v>849844.7000000003</v>
          </cell>
          <cell r="D150">
            <v>858947.88999999978</v>
          </cell>
          <cell r="E150">
            <v>883705.43</v>
          </cell>
          <cell r="F150">
            <v>901694.84999999963</v>
          </cell>
          <cell r="G150">
            <v>912932.35</v>
          </cell>
          <cell r="H150">
            <v>972193.86999999953</v>
          </cell>
          <cell r="I150">
            <v>1054552.6199999996</v>
          </cell>
          <cell r="J150">
            <v>1185340.7799999996</v>
          </cell>
          <cell r="K150">
            <v>1357732.71</v>
          </cell>
          <cell r="L150">
            <v>1475273.42</v>
          </cell>
          <cell r="M150">
            <v>1565389.77</v>
          </cell>
          <cell r="N150">
            <v>1641127.6899999997</v>
          </cell>
          <cell r="O150">
            <v>1741222.1200000006</v>
          </cell>
          <cell r="P150">
            <v>1756984.9200000002</v>
          </cell>
          <cell r="Q150">
            <v>1813920.1100000003</v>
          </cell>
          <cell r="R150">
            <v>1877880.3499999999</v>
          </cell>
          <cell r="S150">
            <v>1933854.0400000003</v>
          </cell>
          <cell r="T150">
            <v>2093827.55</v>
          </cell>
          <cell r="U150">
            <v>2211283.56</v>
          </cell>
          <cell r="V150">
            <v>2292295.63</v>
          </cell>
          <cell r="W150">
            <v>2412601.8800000013</v>
          </cell>
          <cell r="X150">
            <v>2529024.37</v>
          </cell>
          <cell r="Y150">
            <v>2585646.13</v>
          </cell>
          <cell r="Z150">
            <v>2644076.7300000009</v>
          </cell>
          <cell r="AA150">
            <v>2784844.88</v>
          </cell>
          <cell r="AB150">
            <v>2960742.9999999995</v>
          </cell>
          <cell r="AC150">
            <v>3110951.2100000009</v>
          </cell>
          <cell r="AD150">
            <v>3152756.8699999996</v>
          </cell>
          <cell r="AE150">
            <v>3285669.4200000009</v>
          </cell>
          <cell r="AF150">
            <v>3327961.8400000003</v>
          </cell>
          <cell r="AG150">
            <v>3408168.1199999996</v>
          </cell>
          <cell r="AH150">
            <v>3525782.38</v>
          </cell>
          <cell r="AI150">
            <v>3645201.14</v>
          </cell>
          <cell r="AJ150">
            <v>3714841.310000001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0">
          <cell r="C150">
            <v>411.14</v>
          </cell>
          <cell r="D150">
            <v>433.27999999999986</v>
          </cell>
          <cell r="E150">
            <v>412.28999999999991</v>
          </cell>
          <cell r="F150">
            <v>414.01000000000005</v>
          </cell>
          <cell r="G150">
            <v>463.99000000000012</v>
          </cell>
          <cell r="H150">
            <v>454.92000000000024</v>
          </cell>
          <cell r="I150">
            <v>480.12000000000006</v>
          </cell>
          <cell r="J150">
            <v>496.30000000000007</v>
          </cell>
          <cell r="K150">
            <v>486.65000000000009</v>
          </cell>
          <cell r="L150">
            <v>513.17000000000007</v>
          </cell>
          <cell r="M150">
            <v>529.44999999999993</v>
          </cell>
          <cell r="N150">
            <v>527.64999999999986</v>
          </cell>
          <cell r="O150">
            <v>522.6099999999999</v>
          </cell>
          <cell r="P150">
            <v>537.33000000000004</v>
          </cell>
          <cell r="Q150">
            <v>344.44000000000005</v>
          </cell>
          <cell r="R150">
            <v>316.48</v>
          </cell>
          <cell r="S150">
            <v>330.82000000000005</v>
          </cell>
          <cell r="T150">
            <v>344.46</v>
          </cell>
          <cell r="U150">
            <v>348.59</v>
          </cell>
          <cell r="V150">
            <v>366.99</v>
          </cell>
          <cell r="W150">
            <v>376.4500000000001</v>
          </cell>
          <cell r="X150">
            <v>395.91999999999996</v>
          </cell>
          <cell r="Y150">
            <v>338.78999999999991</v>
          </cell>
          <cell r="Z150">
            <v>342.98</v>
          </cell>
          <cell r="AA150">
            <v>350.54000000000008</v>
          </cell>
          <cell r="AB150">
            <v>362.08999999999986</v>
          </cell>
          <cell r="AC150">
            <v>378.39000000000004</v>
          </cell>
          <cell r="AD150">
            <v>384.79</v>
          </cell>
          <cell r="AE150">
            <v>393.93000000000012</v>
          </cell>
          <cell r="AF150">
            <v>399.58000000000004</v>
          </cell>
          <cell r="AG150">
            <v>416.97999999999996</v>
          </cell>
          <cell r="AH150">
            <v>431.68999999999988</v>
          </cell>
          <cell r="AI150">
            <v>442.49000000000007</v>
          </cell>
          <cell r="AJ150">
            <v>448.11999999999995</v>
          </cell>
        </row>
      </sheetData>
      <sheetData sheetId="19">
        <row r="150">
          <cell r="C150">
            <v>4635.1499999999996</v>
          </cell>
          <cell r="D150">
            <v>4834.5199999999995</v>
          </cell>
          <cell r="E150">
            <v>4794.2699999999995</v>
          </cell>
          <cell r="F150">
            <v>4367.6000000000004</v>
          </cell>
          <cell r="G150">
            <v>4399.6599999999989</v>
          </cell>
          <cell r="H150">
            <v>4794.97</v>
          </cell>
          <cell r="I150">
            <v>5002.7699999999995</v>
          </cell>
          <cell r="J150">
            <v>5302.3400000000011</v>
          </cell>
          <cell r="K150">
            <v>5934.7099999999991</v>
          </cell>
          <cell r="L150">
            <v>6195.83</v>
          </cell>
          <cell r="M150">
            <v>6556.65</v>
          </cell>
          <cell r="N150">
            <v>6647.3099999999986</v>
          </cell>
          <cell r="O150">
            <v>6512.95</v>
          </cell>
          <cell r="P150">
            <v>5894.3099999999995</v>
          </cell>
          <cell r="Q150">
            <v>2608.4400000000005</v>
          </cell>
          <cell r="R150">
            <v>1424.5400000000002</v>
          </cell>
          <cell r="S150">
            <v>1430.09</v>
          </cell>
          <cell r="T150">
            <v>1438.7900000000002</v>
          </cell>
          <cell r="U150">
            <v>1450.86</v>
          </cell>
          <cell r="V150">
            <v>1444.27</v>
          </cell>
          <cell r="W150">
            <v>1472.47</v>
          </cell>
          <cell r="X150">
            <v>1466.67</v>
          </cell>
          <cell r="Y150">
            <v>1525.35</v>
          </cell>
          <cell r="Z150">
            <v>1540.9</v>
          </cell>
          <cell r="AA150">
            <v>1559.5099999999998</v>
          </cell>
          <cell r="AB150">
            <v>1561.99</v>
          </cell>
          <cell r="AC150">
            <v>1581.4999999999995</v>
          </cell>
          <cell r="AD150">
            <v>1572.86</v>
          </cell>
          <cell r="AE150">
            <v>1574.1499999999996</v>
          </cell>
          <cell r="AF150">
            <v>1574.0399999999997</v>
          </cell>
          <cell r="AG150">
            <v>1587.6499999999999</v>
          </cell>
          <cell r="AH150">
            <v>1589.9800000000002</v>
          </cell>
          <cell r="AI150">
            <v>1612.08</v>
          </cell>
          <cell r="AJ150">
            <v>1609.42</v>
          </cell>
        </row>
      </sheetData>
      <sheetData sheetId="20"/>
      <sheetData sheetId="21"/>
      <sheetData sheetId="22">
        <row r="150">
          <cell r="C150">
            <v>11.539999999999997</v>
          </cell>
          <cell r="D150">
            <v>11.709999999999996</v>
          </cell>
          <cell r="E150">
            <v>11.339999999999998</v>
          </cell>
          <cell r="F150">
            <v>9.6899999999999977</v>
          </cell>
          <cell r="G150">
            <v>9.4399999999999959</v>
          </cell>
          <cell r="H150">
            <v>10.199999999999996</v>
          </cell>
          <cell r="I150">
            <v>10.419999999999993</v>
          </cell>
          <cell r="J150">
            <v>10.639999999999997</v>
          </cell>
          <cell r="K150">
            <v>11.859999999999998</v>
          </cell>
          <cell r="L150">
            <v>12.049999999999997</v>
          </cell>
          <cell r="M150">
            <v>12.719999999999997</v>
          </cell>
          <cell r="N150">
            <v>12.659999999999998</v>
          </cell>
          <cell r="O150">
            <v>12.169999999999996</v>
          </cell>
          <cell r="P150">
            <v>10.619999999999997</v>
          </cell>
          <cell r="Q150">
            <v>3.1699999999999995</v>
          </cell>
          <cell r="R150">
            <v>0.42000000000000015</v>
          </cell>
          <cell r="S150">
            <v>0.39000000000000012</v>
          </cell>
          <cell r="T150">
            <v>0.38000000000000012</v>
          </cell>
          <cell r="U150">
            <v>0.40000000000000013</v>
          </cell>
          <cell r="V150">
            <v>0.41000000000000014</v>
          </cell>
          <cell r="W150">
            <v>0.42000000000000015</v>
          </cell>
          <cell r="X150">
            <v>0.43000000000000016</v>
          </cell>
          <cell r="Y150">
            <v>0.43000000000000016</v>
          </cell>
          <cell r="Z150">
            <v>0.44000000000000017</v>
          </cell>
          <cell r="AA150">
            <v>0.4700000000000002</v>
          </cell>
          <cell r="AB150">
            <v>0.4800000000000002</v>
          </cell>
          <cell r="AC150">
            <v>0.49000000000000021</v>
          </cell>
          <cell r="AD150">
            <v>0.50000000000000011</v>
          </cell>
          <cell r="AE150">
            <v>0.50000000000000022</v>
          </cell>
          <cell r="AF150">
            <v>0.51000000000000012</v>
          </cell>
          <cell r="AG150">
            <v>0.53000000000000014</v>
          </cell>
          <cell r="AH150">
            <v>0.55000000000000016</v>
          </cell>
          <cell r="AI150">
            <v>0.56000000000000016</v>
          </cell>
          <cell r="AJ150">
            <v>0.56000000000000016</v>
          </cell>
        </row>
      </sheetData>
      <sheetData sheetId="23">
        <row r="150">
          <cell r="C150">
            <v>13025.86</v>
          </cell>
          <cell r="D150">
            <v>14759.080000000004</v>
          </cell>
          <cell r="E150">
            <v>13740.369999999999</v>
          </cell>
          <cell r="F150">
            <v>14875.59</v>
          </cell>
          <cell r="G150">
            <v>14534.710000000001</v>
          </cell>
          <cell r="H150">
            <v>13322.01</v>
          </cell>
          <cell r="I150">
            <v>17830.18</v>
          </cell>
          <cell r="J150">
            <v>16970.399999999994</v>
          </cell>
          <cell r="K150">
            <v>17750.12</v>
          </cell>
          <cell r="L150">
            <v>17502.999999999996</v>
          </cell>
          <cell r="M150">
            <v>21597.880000000005</v>
          </cell>
          <cell r="N150">
            <v>23886.880000000001</v>
          </cell>
          <cell r="O150">
            <v>25033.190000000006</v>
          </cell>
          <cell r="P150">
            <v>27630.05</v>
          </cell>
          <cell r="Q150">
            <v>34919.340000000004</v>
          </cell>
          <cell r="R150">
            <v>36729.37999999999</v>
          </cell>
          <cell r="S150">
            <v>38338.81</v>
          </cell>
          <cell r="T150">
            <v>41189.69000000001</v>
          </cell>
          <cell r="U150">
            <v>44952.989999999991</v>
          </cell>
          <cell r="V150">
            <v>54247.840000000004</v>
          </cell>
          <cell r="W150">
            <v>52167.739999999991</v>
          </cell>
          <cell r="X150">
            <v>57322.029999999992</v>
          </cell>
          <cell r="Y150">
            <v>58040.649999999994</v>
          </cell>
          <cell r="Z150">
            <v>56414.29</v>
          </cell>
          <cell r="AA150">
            <v>61589.470000000016</v>
          </cell>
          <cell r="AB150">
            <v>67029.740000000005</v>
          </cell>
          <cell r="AC150">
            <v>71890.220000000016</v>
          </cell>
          <cell r="AD150">
            <v>71879.75</v>
          </cell>
          <cell r="AE150">
            <v>79189.349999999991</v>
          </cell>
          <cell r="AF150">
            <v>76464.529999999984</v>
          </cell>
          <cell r="AG150">
            <v>78939.02</v>
          </cell>
          <cell r="AH150">
            <v>82337.599999999991</v>
          </cell>
          <cell r="AI150">
            <v>81017.159999999989</v>
          </cell>
          <cell r="AJ150">
            <v>82937.569999999992</v>
          </cell>
        </row>
      </sheetData>
      <sheetData sheetId="24"/>
      <sheetData sheetId="25"/>
      <sheetData sheetId="26">
        <row r="150">
          <cell r="C150">
            <v>73039.950000000012</v>
          </cell>
          <cell r="D150">
            <v>76374.069999999992</v>
          </cell>
          <cell r="E150">
            <v>85282.14999999998</v>
          </cell>
          <cell r="F150">
            <v>91682.319999999978</v>
          </cell>
          <cell r="G150">
            <v>102315.46</v>
          </cell>
          <cell r="H150">
            <v>116033.67000000001</v>
          </cell>
          <cell r="I150">
            <v>133365.11000000002</v>
          </cell>
          <cell r="J150">
            <v>153910.63</v>
          </cell>
          <cell r="K150">
            <v>176646.88</v>
          </cell>
          <cell r="L150">
            <v>190823.24999999997</v>
          </cell>
          <cell r="M150">
            <v>209465.56999999992</v>
          </cell>
          <cell r="N150">
            <v>227892.43000000002</v>
          </cell>
          <cell r="O150">
            <v>239302.36000000002</v>
          </cell>
          <cell r="P150">
            <v>255059.6</v>
          </cell>
          <cell r="Q150">
            <v>254012.37</v>
          </cell>
          <cell r="R150">
            <v>267098.13</v>
          </cell>
          <cell r="S150">
            <v>283125.25</v>
          </cell>
          <cell r="T150">
            <v>317749.63</v>
          </cell>
          <cell r="U150">
            <v>335916.68000000005</v>
          </cell>
          <cell r="V150">
            <v>366298.06</v>
          </cell>
          <cell r="W150">
            <v>376707.76</v>
          </cell>
          <cell r="X150">
            <v>397654.22000000003</v>
          </cell>
          <cell r="Y150">
            <v>404510.36</v>
          </cell>
          <cell r="Z150">
            <v>424328.76</v>
          </cell>
          <cell r="AA150">
            <v>436046.76</v>
          </cell>
          <cell r="AB150">
            <v>461040.61</v>
          </cell>
          <cell r="AC150">
            <v>472988.63</v>
          </cell>
          <cell r="AD150">
            <v>498308.48</v>
          </cell>
          <cell r="AE150">
            <v>511390.82999999996</v>
          </cell>
          <cell r="AF150">
            <v>536630.14</v>
          </cell>
          <cell r="AG150">
            <v>550403.94999999995</v>
          </cell>
          <cell r="AH150">
            <v>579811.26</v>
          </cell>
          <cell r="AI150">
            <v>596613.4</v>
          </cell>
          <cell r="AJ150">
            <v>625010.27</v>
          </cell>
        </row>
      </sheetData>
      <sheetData sheetId="27"/>
      <sheetData sheetId="28">
        <row r="150">
          <cell r="C150">
            <v>1174.1422</v>
          </cell>
          <cell r="D150">
            <v>1191.9562000000001</v>
          </cell>
          <cell r="E150">
            <v>1154.7694999999999</v>
          </cell>
          <cell r="F150">
            <v>986.30340000000001</v>
          </cell>
          <cell r="G150">
            <v>915.18290000000002</v>
          </cell>
          <cell r="H150">
            <v>1006.8102</v>
          </cell>
          <cell r="I150">
            <v>1029.8316</v>
          </cell>
          <cell r="J150">
            <v>1071.8704</v>
          </cell>
          <cell r="K150">
            <v>1203.4099000000001</v>
          </cell>
          <cell r="L150">
            <v>1223.1309999999999</v>
          </cell>
          <cell r="M150">
            <v>1269.6019000000001</v>
          </cell>
          <cell r="N150">
            <v>1240.2818</v>
          </cell>
          <cell r="O150">
            <v>1170.9847</v>
          </cell>
          <cell r="P150">
            <v>993.0320999999999</v>
          </cell>
          <cell r="Q150">
            <v>254.51850000000002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Capacity"/>
      <sheetName val="Capacity Factor"/>
      <sheetName val="CO2"/>
      <sheetName val="CO2 Allow"/>
      <sheetName val="CO2 Cost"/>
      <sheetName val="Dependable Cap"/>
      <sheetName val="Dispatch Price"/>
      <sheetName val="FOM Cost"/>
      <sheetName val="Fuel Cost"/>
      <sheetName val="Fuel Used"/>
      <sheetName val="Fuel Rate"/>
      <sheetName val="Generation"/>
      <sheetName val="Heat Rate"/>
      <sheetName val="Hg"/>
      <sheetName val="Hours"/>
      <sheetName val="NOx"/>
      <sheetName val="NOx Allow"/>
      <sheetName val="NOx Cost"/>
      <sheetName val="Reagent Cost"/>
      <sheetName val="SO2"/>
      <sheetName val="SO2 Allow"/>
      <sheetName val="SO2 Cost"/>
      <sheetName val="Start Cost"/>
      <sheetName val="Starts"/>
      <sheetName val="Total Cost"/>
      <sheetName val="VOM Cost"/>
      <sheetName val="VOM Rate"/>
      <sheetName val="Lime Cost"/>
    </sheetNames>
    <sheetDataSet>
      <sheetData sheetId="0"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11.87</v>
          </cell>
          <cell r="L9">
            <v>0</v>
          </cell>
          <cell r="M9">
            <v>85.25</v>
          </cell>
          <cell r="N9">
            <v>326.63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1408.33</v>
          </cell>
          <cell r="T9">
            <v>482.37</v>
          </cell>
          <cell r="U9">
            <v>1593.28</v>
          </cell>
          <cell r="V9">
            <v>0</v>
          </cell>
          <cell r="W9">
            <v>74.09</v>
          </cell>
          <cell r="X9">
            <v>0</v>
          </cell>
          <cell r="Y9">
            <v>1601.75</v>
          </cell>
          <cell r="Z9">
            <v>819.12</v>
          </cell>
          <cell r="AA9">
            <v>0</v>
          </cell>
          <cell r="AB9">
            <v>363.57</v>
          </cell>
          <cell r="AC9">
            <v>15.8</v>
          </cell>
          <cell r="AD9">
            <v>59.69</v>
          </cell>
          <cell r="AE9">
            <v>0</v>
          </cell>
          <cell r="AF9">
            <v>0</v>
          </cell>
          <cell r="AG9">
            <v>15545.79</v>
          </cell>
          <cell r="AH9">
            <v>1125.8</v>
          </cell>
          <cell r="AI9">
            <v>90.84</v>
          </cell>
        </row>
        <row r="13">
          <cell r="B13">
            <v>390678.16</v>
          </cell>
          <cell r="C13">
            <v>384872.26</v>
          </cell>
          <cell r="D13">
            <v>381802.52</v>
          </cell>
          <cell r="E13">
            <v>381802.52</v>
          </cell>
          <cell r="F13">
            <v>382800.76</v>
          </cell>
          <cell r="G13">
            <v>381802.51</v>
          </cell>
          <cell r="H13">
            <v>381802.52</v>
          </cell>
          <cell r="I13">
            <v>381802.51</v>
          </cell>
          <cell r="J13">
            <v>382800.76</v>
          </cell>
          <cell r="K13">
            <v>381802.52</v>
          </cell>
          <cell r="L13">
            <v>381802.52</v>
          </cell>
          <cell r="M13">
            <v>381802.51</v>
          </cell>
          <cell r="N13">
            <v>382800.76</v>
          </cell>
          <cell r="O13">
            <v>381802.52</v>
          </cell>
          <cell r="P13">
            <v>462235.69000000006</v>
          </cell>
          <cell r="Q13">
            <v>521522.52</v>
          </cell>
          <cell r="R13">
            <v>535075.79</v>
          </cell>
          <cell r="S13">
            <v>544756.69999999995</v>
          </cell>
          <cell r="T13">
            <v>573235.51</v>
          </cell>
          <cell r="U13">
            <v>593577.51</v>
          </cell>
          <cell r="V13">
            <v>608537.78</v>
          </cell>
          <cell r="W13">
            <v>619223.69999999995</v>
          </cell>
          <cell r="X13">
            <v>696610.36</v>
          </cell>
          <cell r="Y13">
            <v>751956.18</v>
          </cell>
          <cell r="Z13">
            <v>784982.86</v>
          </cell>
          <cell r="AA13">
            <v>825499.5</v>
          </cell>
          <cell r="AB13">
            <v>854938.99</v>
          </cell>
          <cell r="AC13">
            <v>867331.36</v>
          </cell>
          <cell r="AD13">
            <v>867331.36</v>
          </cell>
          <cell r="AE13">
            <v>867331.36</v>
          </cell>
          <cell r="AF13">
            <v>867331.36</v>
          </cell>
          <cell r="AG13">
            <v>867331.36</v>
          </cell>
          <cell r="AH13">
            <v>867331.36</v>
          </cell>
          <cell r="AI13">
            <v>867331.36</v>
          </cell>
        </row>
      </sheetData>
      <sheetData sheetId="1"/>
      <sheetData sheetId="2"/>
      <sheetData sheetId="3"/>
      <sheetData sheetId="4"/>
      <sheetData sheetId="5"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97605.150000000009</v>
          </cell>
          <cell r="I150">
            <v>156677.04999999996</v>
          </cell>
          <cell r="J150">
            <v>217403.36000000002</v>
          </cell>
          <cell r="K150">
            <v>283621.51</v>
          </cell>
          <cell r="L150">
            <v>345013.12</v>
          </cell>
          <cell r="M150">
            <v>413746.73999999987</v>
          </cell>
          <cell r="N150">
            <v>466210.45999999996</v>
          </cell>
          <cell r="O150">
            <v>529750.09000000008</v>
          </cell>
          <cell r="P150">
            <v>587665.64</v>
          </cell>
          <cell r="Q150">
            <v>596265.68999999994</v>
          </cell>
          <cell r="R150">
            <v>633648.02999999991</v>
          </cell>
          <cell r="S150">
            <v>699059.94999999984</v>
          </cell>
          <cell r="T150">
            <v>761916.02</v>
          </cell>
          <cell r="U150">
            <v>826777.36999999988</v>
          </cell>
          <cell r="V150">
            <v>897435.4700000002</v>
          </cell>
          <cell r="W150">
            <v>963359.61</v>
          </cell>
          <cell r="X150">
            <v>1034899.3300000001</v>
          </cell>
          <cell r="Y150">
            <v>1079429.8099999996</v>
          </cell>
          <cell r="Z150">
            <v>1135942.44</v>
          </cell>
          <cell r="AA150">
            <v>1214086.69</v>
          </cell>
          <cell r="AB150">
            <v>1282285.6399999999</v>
          </cell>
          <cell r="AC150">
            <v>1359536.2699999998</v>
          </cell>
          <cell r="AD150">
            <v>1417616.8599999999</v>
          </cell>
          <cell r="AE150">
            <v>1483842.4300000002</v>
          </cell>
          <cell r="AF150">
            <v>1540877.4999999998</v>
          </cell>
          <cell r="AG150">
            <v>1620477.05</v>
          </cell>
          <cell r="AH150">
            <v>1692654.4400000004</v>
          </cell>
          <cell r="AI150">
            <v>1781591.75</v>
          </cell>
          <cell r="AJ150">
            <v>1860300.4299999997</v>
          </cell>
        </row>
      </sheetData>
      <sheetData sheetId="6"/>
      <sheetData sheetId="7"/>
      <sheetData sheetId="8">
        <row r="132">
          <cell r="C132">
            <v>0</v>
          </cell>
          <cell r="D132">
            <v>0</v>
          </cell>
          <cell r="E132">
            <v>1227.76</v>
          </cell>
          <cell r="F132">
            <v>1245.6400000000001</v>
          </cell>
          <cell r="G132">
            <v>1274.24</v>
          </cell>
          <cell r="H132">
            <v>1303.58</v>
          </cell>
          <cell r="I132">
            <v>1343.68</v>
          </cell>
          <cell r="J132">
            <v>1477.57</v>
          </cell>
          <cell r="K132">
            <v>1512.64</v>
          </cell>
          <cell r="L132">
            <v>1548.42</v>
          </cell>
          <cell r="M132">
            <v>1584.93</v>
          </cell>
          <cell r="N132">
            <v>1632.2</v>
          </cell>
          <cell r="O132">
            <v>1660.27</v>
          </cell>
          <cell r="P132">
            <v>1699.18</v>
          </cell>
          <cell r="Q132">
            <v>1738.96</v>
          </cell>
          <cell r="R132">
            <v>1864.6</v>
          </cell>
          <cell r="S132">
            <v>1831.38</v>
          </cell>
          <cell r="T132">
            <v>1864.11</v>
          </cell>
          <cell r="U132">
            <v>1907.92</v>
          </cell>
          <cell r="V132">
            <v>1952.88</v>
          </cell>
          <cell r="W132">
            <v>1999.02</v>
          </cell>
          <cell r="X132">
            <v>2056.39</v>
          </cell>
          <cell r="Y132">
            <v>2095.04</v>
          </cell>
          <cell r="Z132">
            <v>2145.0300000000002</v>
          </cell>
          <cell r="AA132">
            <v>2196.38</v>
          </cell>
          <cell r="AB132">
            <v>2249.13</v>
          </cell>
          <cell r="AC132">
            <v>2313.34</v>
          </cell>
          <cell r="AD132">
            <v>2359.04</v>
          </cell>
          <cell r="AE132">
            <v>2416.2600000000002</v>
          </cell>
          <cell r="AF132">
            <v>2475.04</v>
          </cell>
          <cell r="AG132">
            <v>2535.42</v>
          </cell>
          <cell r="AH132">
            <v>2607.44</v>
          </cell>
          <cell r="AI132">
            <v>0</v>
          </cell>
          <cell r="AJ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2493.98</v>
          </cell>
          <cell r="G133">
            <v>2530.73</v>
          </cell>
          <cell r="H133">
            <v>2588.96</v>
          </cell>
          <cell r="I133">
            <v>2648.7</v>
          </cell>
          <cell r="J133">
            <v>2729.99</v>
          </cell>
          <cell r="K133">
            <v>2998.88</v>
          </cell>
          <cell r="L133">
            <v>3070.16</v>
          </cell>
          <cell r="M133">
            <v>3142.88</v>
          </cell>
          <cell r="N133">
            <v>3217.11</v>
          </cell>
          <cell r="O133">
            <v>3312.89</v>
          </cell>
          <cell r="P133">
            <v>3370.3</v>
          </cell>
          <cell r="Q133">
            <v>3449.42</v>
          </cell>
          <cell r="R133">
            <v>3530.33</v>
          </cell>
          <cell r="S133">
            <v>3782.98</v>
          </cell>
          <cell r="T133">
            <v>3717.95</v>
          </cell>
          <cell r="U133">
            <v>3784.86</v>
          </cell>
          <cell r="V133">
            <v>3873.99</v>
          </cell>
          <cell r="W133">
            <v>3965.42</v>
          </cell>
          <cell r="X133">
            <v>4059.27</v>
          </cell>
          <cell r="Y133">
            <v>4175.6400000000003</v>
          </cell>
          <cell r="Z133">
            <v>4254.6099999999997</v>
          </cell>
          <cell r="AA133">
            <v>4356.28</v>
          </cell>
          <cell r="AB133">
            <v>4460.7299999999996</v>
          </cell>
          <cell r="AC133">
            <v>4568.04</v>
          </cell>
          <cell r="AD133">
            <v>4698.3100000000004</v>
          </cell>
          <cell r="AE133">
            <v>4791.6000000000004</v>
          </cell>
          <cell r="AF133">
            <v>4907.99</v>
          </cell>
          <cell r="AG133">
            <v>5027.5600000000004</v>
          </cell>
          <cell r="AH133">
            <v>5150.38</v>
          </cell>
          <cell r="AI133">
            <v>5296.54</v>
          </cell>
          <cell r="AJ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2535.5500000000002</v>
          </cell>
          <cell r="H134">
            <v>2573.37</v>
          </cell>
          <cell r="I134">
            <v>2632.69</v>
          </cell>
          <cell r="J134">
            <v>2693.56</v>
          </cell>
          <cell r="K134">
            <v>2776.01</v>
          </cell>
          <cell r="L134">
            <v>3046.08</v>
          </cell>
          <cell r="M134">
            <v>3118.58</v>
          </cell>
          <cell r="N134">
            <v>3192.56</v>
          </cell>
          <cell r="O134">
            <v>3268.07</v>
          </cell>
          <cell r="P134">
            <v>3365.17</v>
          </cell>
          <cell r="Q134">
            <v>3423.94</v>
          </cell>
          <cell r="R134">
            <v>3504.44</v>
          </cell>
          <cell r="S134">
            <v>3586.79</v>
          </cell>
          <cell r="T134">
            <v>3840.9</v>
          </cell>
          <cell r="U134">
            <v>3777.38</v>
          </cell>
          <cell r="V134">
            <v>3845.84</v>
          </cell>
          <cell r="W134">
            <v>3936.55</v>
          </cell>
          <cell r="X134">
            <v>4029.62</v>
          </cell>
          <cell r="Y134">
            <v>4125.1400000000003</v>
          </cell>
          <cell r="Z134">
            <v>4243.2299999999996</v>
          </cell>
          <cell r="AA134">
            <v>4323.96</v>
          </cell>
          <cell r="AB134">
            <v>4427.45</v>
          </cell>
          <cell r="AC134">
            <v>4533.76</v>
          </cell>
          <cell r="AD134">
            <v>4642.99</v>
          </cell>
          <cell r="AE134">
            <v>4775.22</v>
          </cell>
          <cell r="AF134">
            <v>4870.53</v>
          </cell>
          <cell r="AG134">
            <v>4989</v>
          </cell>
          <cell r="AH134">
            <v>5110.7</v>
          </cell>
          <cell r="AI134">
            <v>5235.71</v>
          </cell>
          <cell r="AJ134">
            <v>5384.11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50">
          <cell r="C150">
            <v>445381.08</v>
          </cell>
          <cell r="D150">
            <v>433157.70000000007</v>
          </cell>
          <cell r="E150">
            <v>437320.41</v>
          </cell>
          <cell r="F150">
            <v>459799.16000000003</v>
          </cell>
          <cell r="G150">
            <v>306781.03999999998</v>
          </cell>
          <cell r="H150">
            <v>154319.13</v>
          </cell>
          <cell r="I150">
            <v>64300.400000000009</v>
          </cell>
          <cell r="J150">
            <v>39449.86</v>
          </cell>
          <cell r="K150">
            <v>28319.009999999995</v>
          </cell>
          <cell r="L150">
            <v>29257.760000000002</v>
          </cell>
          <cell r="M150">
            <v>29953.740000000005</v>
          </cell>
          <cell r="N150">
            <v>30794.030000000002</v>
          </cell>
          <cell r="O150">
            <v>31555.140000000003</v>
          </cell>
          <cell r="P150">
            <v>32397.620000000003</v>
          </cell>
          <cell r="Q150">
            <v>39096.68</v>
          </cell>
          <cell r="R150">
            <v>44343.15</v>
          </cell>
          <cell r="S150">
            <v>45896.959999999999</v>
          </cell>
          <cell r="T150">
            <v>47300.49</v>
          </cell>
          <cell r="U150">
            <v>49495.069999999992</v>
          </cell>
          <cell r="V150">
            <v>51532.039999999994</v>
          </cell>
          <cell r="W150">
            <v>53391.139999999992</v>
          </cell>
          <cell r="X150">
            <v>55015.88</v>
          </cell>
          <cell r="Y150">
            <v>61807.489999999991</v>
          </cell>
          <cell r="Z150">
            <v>67290.509999999995</v>
          </cell>
          <cell r="AA150">
            <v>70409.770000000019</v>
          </cell>
          <cell r="AB150">
            <v>73560.31</v>
          </cell>
          <cell r="AC150">
            <v>75847.23</v>
          </cell>
          <cell r="AD150">
            <v>78144.55</v>
          </cell>
          <cell r="AE150">
            <v>79900.33</v>
          </cell>
          <cell r="AF150">
            <v>79182.44</v>
          </cell>
          <cell r="AG150">
            <v>75336.099999999991</v>
          </cell>
          <cell r="AH150">
            <v>71838.63</v>
          </cell>
          <cell r="AI150">
            <v>67280.399999999994</v>
          </cell>
          <cell r="AJ150">
            <v>63320.499999999993</v>
          </cell>
        </row>
      </sheetData>
      <sheetData sheetId="9">
        <row r="150">
          <cell r="C150">
            <v>849844.7000000003</v>
          </cell>
          <cell r="D150">
            <v>858947.88999999978</v>
          </cell>
          <cell r="E150">
            <v>875386.03999999969</v>
          </cell>
          <cell r="F150">
            <v>877507.7999999997</v>
          </cell>
          <cell r="G150">
            <v>864544.54</v>
          </cell>
          <cell r="H150">
            <v>923508.83000000007</v>
          </cell>
          <cell r="I150">
            <v>1002575.3500000003</v>
          </cell>
          <cell r="J150">
            <v>1128105.56</v>
          </cell>
          <cell r="K150">
            <v>1300600.5699999998</v>
          </cell>
          <cell r="L150">
            <v>1407922.2099999997</v>
          </cell>
          <cell r="M150">
            <v>1503118.5299999998</v>
          </cell>
          <cell r="N150">
            <v>1566424.5199999998</v>
          </cell>
          <cell r="O150">
            <v>1670556.9699999997</v>
          </cell>
          <cell r="P150">
            <v>1682970.5900000005</v>
          </cell>
          <cell r="Q150">
            <v>1733873.75</v>
          </cell>
          <cell r="R150">
            <v>1800298.0599999996</v>
          </cell>
          <cell r="S150">
            <v>1854980.2799999998</v>
          </cell>
          <cell r="T150">
            <v>2006399.66</v>
          </cell>
          <cell r="U150">
            <v>2121791.14</v>
          </cell>
          <cell r="V150">
            <v>2197823.2999999998</v>
          </cell>
          <cell r="W150">
            <v>2313547.5300000003</v>
          </cell>
          <cell r="X150">
            <v>2428034.330000001</v>
          </cell>
          <cell r="Y150">
            <v>2484507.6399999997</v>
          </cell>
          <cell r="Z150">
            <v>2538434.62</v>
          </cell>
          <cell r="AA150">
            <v>2680634.2800000003</v>
          </cell>
          <cell r="AB150">
            <v>2848974.0399999996</v>
          </cell>
          <cell r="AC150">
            <v>2997785.7199999997</v>
          </cell>
          <cell r="AD150">
            <v>3041218.4899999993</v>
          </cell>
          <cell r="AE150">
            <v>3162920.7800000007</v>
          </cell>
          <cell r="AF150">
            <v>3212857.4800000009</v>
          </cell>
          <cell r="AG150">
            <v>3289326.7399999993</v>
          </cell>
          <cell r="AH150">
            <v>3397594.1200000006</v>
          </cell>
          <cell r="AI150">
            <v>3536429.959999999</v>
          </cell>
          <cell r="AJ150">
            <v>3658821.82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0">
          <cell r="C150">
            <v>411.14</v>
          </cell>
          <cell r="D150">
            <v>433.27999999999986</v>
          </cell>
          <cell r="E150">
            <v>402.80999999999983</v>
          </cell>
          <cell r="F150">
            <v>388.3300000000001</v>
          </cell>
          <cell r="G150">
            <v>393.22999999999979</v>
          </cell>
          <cell r="H150">
            <v>401.99999999999994</v>
          </cell>
          <cell r="I150">
            <v>429.79999999999995</v>
          </cell>
          <cell r="J150">
            <v>441.93999999999983</v>
          </cell>
          <cell r="K150">
            <v>503.05</v>
          </cell>
          <cell r="L150">
            <v>484.94000000000011</v>
          </cell>
          <cell r="M150">
            <v>553.55999999999995</v>
          </cell>
          <cell r="N150">
            <v>498.7900000000003</v>
          </cell>
          <cell r="O150">
            <v>541.50000000000011</v>
          </cell>
          <cell r="P150">
            <v>529.72999999999968</v>
          </cell>
          <cell r="Q150">
            <v>319.9199999999999</v>
          </cell>
          <cell r="R150">
            <v>304.54999999999995</v>
          </cell>
          <cell r="S150">
            <v>311.67999999999995</v>
          </cell>
          <cell r="T150">
            <v>323.61000000000007</v>
          </cell>
          <cell r="U150">
            <v>331.10000000000008</v>
          </cell>
          <cell r="V150">
            <v>346.86999999999989</v>
          </cell>
          <cell r="W150">
            <v>355.61999999999995</v>
          </cell>
          <cell r="X150">
            <v>372.64</v>
          </cell>
          <cell r="Y150">
            <v>321.22000000000003</v>
          </cell>
          <cell r="Z150">
            <v>322.49000000000007</v>
          </cell>
          <cell r="AA150">
            <v>333.34999999999997</v>
          </cell>
          <cell r="AB150">
            <v>340.56</v>
          </cell>
          <cell r="AC150">
            <v>358.71</v>
          </cell>
          <cell r="AD150">
            <v>364.41999999999996</v>
          </cell>
          <cell r="AE150">
            <v>373.21999999999997</v>
          </cell>
          <cell r="AF150">
            <v>379.70000000000005</v>
          </cell>
          <cell r="AG150">
            <v>395</v>
          </cell>
          <cell r="AH150">
            <v>407.77999999999992</v>
          </cell>
          <cell r="AI150">
            <v>423.09</v>
          </cell>
          <cell r="AJ150">
            <v>439.3</v>
          </cell>
        </row>
      </sheetData>
      <sheetData sheetId="19">
        <row r="150">
          <cell r="C150">
            <v>4635.1499999999996</v>
          </cell>
          <cell r="D150">
            <v>4834.5199999999995</v>
          </cell>
          <cell r="E150">
            <v>4747.54</v>
          </cell>
          <cell r="F150">
            <v>4294.7200000000012</v>
          </cell>
          <cell r="G150">
            <v>4219.45</v>
          </cell>
          <cell r="H150">
            <v>4560.7800000000007</v>
          </cell>
          <cell r="I150">
            <v>4760.59</v>
          </cell>
          <cell r="J150">
            <v>5148.1999999999989</v>
          </cell>
          <cell r="K150">
            <v>5793.54</v>
          </cell>
          <cell r="L150">
            <v>5951.2699999999995</v>
          </cell>
          <cell r="M150">
            <v>6474.07</v>
          </cell>
          <cell r="N150">
            <v>6430.87</v>
          </cell>
          <cell r="O150">
            <v>6341.4699999999993</v>
          </cell>
          <cell r="P150">
            <v>5904.5599999999995</v>
          </cell>
          <cell r="Q150">
            <v>2611.7599999999998</v>
          </cell>
          <cell r="R150">
            <v>1376.5800000000002</v>
          </cell>
          <cell r="S150">
            <v>1380.02</v>
          </cell>
          <cell r="T150">
            <v>1388.2799999999997</v>
          </cell>
          <cell r="U150">
            <v>1401.8799999999999</v>
          </cell>
          <cell r="V150">
            <v>1403.53</v>
          </cell>
          <cell r="W150">
            <v>1431.0700000000002</v>
          </cell>
          <cell r="X150">
            <v>1424.1399999999999</v>
          </cell>
          <cell r="Y150">
            <v>1474.03</v>
          </cell>
          <cell r="Z150">
            <v>1499.3100000000002</v>
          </cell>
          <cell r="AA150">
            <v>1509.1099999999997</v>
          </cell>
          <cell r="AB150">
            <v>1512.3799999999997</v>
          </cell>
          <cell r="AC150">
            <v>1531.28</v>
          </cell>
          <cell r="AD150">
            <v>1526.0700000000002</v>
          </cell>
          <cell r="AE150">
            <v>1529.99</v>
          </cell>
          <cell r="AF150">
            <v>1525.02</v>
          </cell>
          <cell r="AG150">
            <v>1543.0200000000004</v>
          </cell>
          <cell r="AH150">
            <v>1546.1100000000001</v>
          </cell>
          <cell r="AI150">
            <v>1578.5999999999997</v>
          </cell>
          <cell r="AJ150">
            <v>1590.7299999999998</v>
          </cell>
        </row>
      </sheetData>
      <sheetData sheetId="20"/>
      <sheetData sheetId="21"/>
      <sheetData sheetId="22">
        <row r="150">
          <cell r="C150">
            <v>11.539999999999997</v>
          </cell>
          <cell r="D150">
            <v>11.709999999999996</v>
          </cell>
          <cell r="E150">
            <v>11.209999999999997</v>
          </cell>
          <cell r="F150">
            <v>9.509999999999998</v>
          </cell>
          <cell r="G150">
            <v>8.8799999999999955</v>
          </cell>
          <cell r="H150">
            <v>9.5299999999999976</v>
          </cell>
          <cell r="I150">
            <v>9.7599999999999962</v>
          </cell>
          <cell r="J150">
            <v>10.319999999999997</v>
          </cell>
          <cell r="K150">
            <v>11.619999999999997</v>
          </cell>
          <cell r="L150">
            <v>11.569999999999997</v>
          </cell>
          <cell r="M150">
            <v>12.669999999999998</v>
          </cell>
          <cell r="N150">
            <v>12.219999999999997</v>
          </cell>
          <cell r="O150">
            <v>11.909999999999997</v>
          </cell>
          <cell r="P150">
            <v>10.759999999999996</v>
          </cell>
          <cell r="Q150">
            <v>3.2799999999999994</v>
          </cell>
          <cell r="R150">
            <v>0.44000000000000011</v>
          </cell>
          <cell r="S150">
            <v>0.3600000000000001</v>
          </cell>
          <cell r="T150">
            <v>0.37000000000000011</v>
          </cell>
          <cell r="U150">
            <v>0.38000000000000012</v>
          </cell>
          <cell r="V150">
            <v>0.39000000000000012</v>
          </cell>
          <cell r="W150">
            <v>0.40000000000000013</v>
          </cell>
          <cell r="X150">
            <v>0.42000000000000015</v>
          </cell>
          <cell r="Y150">
            <v>0.38000000000000012</v>
          </cell>
          <cell r="Z150">
            <v>0.41000000000000014</v>
          </cell>
          <cell r="AA150">
            <v>0.44000000000000017</v>
          </cell>
          <cell r="AB150">
            <v>0.4700000000000002</v>
          </cell>
          <cell r="AC150">
            <v>0.4700000000000002</v>
          </cell>
          <cell r="AD150">
            <v>0.4800000000000002</v>
          </cell>
          <cell r="AE150">
            <v>0.49000000000000021</v>
          </cell>
          <cell r="AF150">
            <v>0.50000000000000011</v>
          </cell>
          <cell r="AG150">
            <v>0.51000000000000012</v>
          </cell>
          <cell r="AH150">
            <v>0.52000000000000013</v>
          </cell>
          <cell r="AI150">
            <v>0.55000000000000016</v>
          </cell>
          <cell r="AJ150">
            <v>0.55000000000000016</v>
          </cell>
        </row>
      </sheetData>
      <sheetData sheetId="23">
        <row r="150">
          <cell r="C150">
            <v>13025.86</v>
          </cell>
          <cell r="D150">
            <v>14759.080000000004</v>
          </cell>
          <cell r="E150">
            <v>13065.209999999995</v>
          </cell>
          <cell r="F150">
            <v>13152.910000000002</v>
          </cell>
          <cell r="G150">
            <v>12914.949999999999</v>
          </cell>
          <cell r="H150">
            <v>12425.91</v>
          </cell>
          <cell r="I150">
            <v>16719.169999999998</v>
          </cell>
          <cell r="J150">
            <v>15267.359999999999</v>
          </cell>
          <cell r="K150">
            <v>15328.549999999997</v>
          </cell>
          <cell r="L150">
            <v>16121.259999999998</v>
          </cell>
          <cell r="M150">
            <v>19468.950000000004</v>
          </cell>
          <cell r="N150">
            <v>21985.790000000005</v>
          </cell>
          <cell r="O150">
            <v>22772.99</v>
          </cell>
          <cell r="P150">
            <v>25496.790000000012</v>
          </cell>
          <cell r="Q150">
            <v>32306.489999999994</v>
          </cell>
          <cell r="R150">
            <v>33473.820000000007</v>
          </cell>
          <cell r="S150">
            <v>37442.44000000001</v>
          </cell>
          <cell r="T150">
            <v>41480.900000000009</v>
          </cell>
          <cell r="U150">
            <v>41976.799999999996</v>
          </cell>
          <cell r="V150">
            <v>50513.54</v>
          </cell>
          <cell r="W150">
            <v>50394.539999999994</v>
          </cell>
          <cell r="X150">
            <v>55101.349999999984</v>
          </cell>
          <cell r="Y150">
            <v>55995.309999999983</v>
          </cell>
          <cell r="Z150">
            <v>55053.790000000008</v>
          </cell>
          <cell r="AA150">
            <v>59644.609999999986</v>
          </cell>
          <cell r="AB150">
            <v>64474.48000000001</v>
          </cell>
          <cell r="AC150">
            <v>69153.529999999984</v>
          </cell>
          <cell r="AD150">
            <v>73020.14</v>
          </cell>
          <cell r="AE150">
            <v>76812.200000000012</v>
          </cell>
          <cell r="AF150">
            <v>75228.13</v>
          </cell>
          <cell r="AG150">
            <v>79367.5</v>
          </cell>
          <cell r="AH150">
            <v>79423.19</v>
          </cell>
          <cell r="AI150">
            <v>78173.620000000024</v>
          </cell>
          <cell r="AJ150">
            <v>79747.38</v>
          </cell>
        </row>
      </sheetData>
      <sheetData sheetId="24"/>
      <sheetData sheetId="25"/>
      <sheetData sheetId="26">
        <row r="150">
          <cell r="C150">
            <v>73039.950000000012</v>
          </cell>
          <cell r="D150">
            <v>76374.069999999992</v>
          </cell>
          <cell r="E150">
            <v>84560.00999999998</v>
          </cell>
          <cell r="F150">
            <v>89560.5</v>
          </cell>
          <cell r="G150">
            <v>98588.85</v>
          </cell>
          <cell r="H150">
            <v>112494.80000000002</v>
          </cell>
          <cell r="I150">
            <v>129865.35999999997</v>
          </cell>
          <cell r="J150">
            <v>150347.72999999998</v>
          </cell>
          <cell r="K150">
            <v>173089.68</v>
          </cell>
          <cell r="L150">
            <v>187194.72999999998</v>
          </cell>
          <cell r="M150">
            <v>205829.62999999998</v>
          </cell>
          <cell r="N150">
            <v>224206.11000000002</v>
          </cell>
          <cell r="O150">
            <v>235481.37</v>
          </cell>
          <cell r="P150">
            <v>251165.02000000005</v>
          </cell>
          <cell r="Q150">
            <v>249804.59</v>
          </cell>
          <cell r="R150">
            <v>263173.92000000004</v>
          </cell>
          <cell r="S150">
            <v>279119.10000000003</v>
          </cell>
          <cell r="T150">
            <v>313562.33999999997</v>
          </cell>
          <cell r="U150">
            <v>331520.38</v>
          </cell>
          <cell r="V150">
            <v>362039.17000000004</v>
          </cell>
          <cell r="W150">
            <v>372200.06</v>
          </cell>
          <cell r="X150">
            <v>393437.73</v>
          </cell>
          <cell r="Y150">
            <v>399936.25</v>
          </cell>
          <cell r="Z150">
            <v>419864.56</v>
          </cell>
          <cell r="AA150">
            <v>431293.01999999996</v>
          </cell>
          <cell r="AB150">
            <v>455518.35</v>
          </cell>
          <cell r="AC150">
            <v>467862.99</v>
          </cell>
          <cell r="AD150">
            <v>492970.16000000003</v>
          </cell>
          <cell r="AE150">
            <v>505976.82999999996</v>
          </cell>
          <cell r="AF150">
            <v>530621.6</v>
          </cell>
          <cell r="AG150">
            <v>545352.1100000001</v>
          </cell>
          <cell r="AH150">
            <v>574743.94999999995</v>
          </cell>
          <cell r="AI150">
            <v>592285.42000000004</v>
          </cell>
          <cell r="AJ150">
            <v>622790.97</v>
          </cell>
        </row>
      </sheetData>
      <sheetData sheetId="27"/>
      <sheetData sheetId="28">
        <row r="150">
          <cell r="C150">
            <v>1174.1422</v>
          </cell>
          <cell r="D150">
            <v>1191.9562000000001</v>
          </cell>
          <cell r="E150">
            <v>1142.1058</v>
          </cell>
          <cell r="F150">
            <v>971.07099999999991</v>
          </cell>
          <cell r="G150">
            <v>875.78179999999998</v>
          </cell>
          <cell r="H150">
            <v>953.11400000000003</v>
          </cell>
          <cell r="I150">
            <v>974.18560000000002</v>
          </cell>
          <cell r="J150">
            <v>1041.9465</v>
          </cell>
          <cell r="K150">
            <v>1177.0843</v>
          </cell>
          <cell r="L150">
            <v>1173.8402000000001</v>
          </cell>
          <cell r="M150">
            <v>1259.9407999999999</v>
          </cell>
          <cell r="N150">
            <v>1199.751</v>
          </cell>
          <cell r="O150">
            <v>1140.8501999999999</v>
          </cell>
          <cell r="P150">
            <v>1004.7156</v>
          </cell>
          <cell r="Q150">
            <v>264.65890000000002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Capacity"/>
      <sheetName val="Capacity Factor"/>
      <sheetName val="CO2"/>
      <sheetName val="CO2 Allow"/>
      <sheetName val="CO2 Cost"/>
      <sheetName val="Dependable Cap"/>
      <sheetName val="Dispatch Price"/>
      <sheetName val="FOM Cost"/>
      <sheetName val="Fuel Cost"/>
      <sheetName val="Fuel Used"/>
      <sheetName val="Fuel Rate"/>
      <sheetName val="Generation"/>
      <sheetName val="Heat Rate"/>
      <sheetName val="Hg"/>
      <sheetName val="Hours"/>
      <sheetName val="NOx"/>
      <sheetName val="NOx Allow"/>
      <sheetName val="NOx Cost"/>
      <sheetName val="Reagent Cost"/>
      <sheetName val="SO2"/>
      <sheetName val="SO2 Allow"/>
      <sheetName val="SO2 Cost"/>
      <sheetName val="Start Cost"/>
      <sheetName val="Starts"/>
      <sheetName val="Total Cost"/>
      <sheetName val="VOM Cost"/>
      <sheetName val="VOM Rate"/>
      <sheetName val="Lime Cost"/>
    </sheetNames>
    <sheetDataSet>
      <sheetData sheetId="0"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94.93</v>
          </cell>
          <cell r="L9">
            <v>0</v>
          </cell>
          <cell r="M9">
            <v>0</v>
          </cell>
          <cell r="N9">
            <v>7.2</v>
          </cell>
          <cell r="O9">
            <v>0</v>
          </cell>
          <cell r="P9">
            <v>0</v>
          </cell>
          <cell r="Q9">
            <v>0</v>
          </cell>
          <cell r="R9">
            <v>30.36</v>
          </cell>
          <cell r="S9">
            <v>0</v>
          </cell>
          <cell r="T9">
            <v>0</v>
          </cell>
          <cell r="U9">
            <v>358.47</v>
          </cell>
          <cell r="V9">
            <v>0</v>
          </cell>
          <cell r="W9">
            <v>404.45</v>
          </cell>
          <cell r="X9">
            <v>0</v>
          </cell>
          <cell r="Y9">
            <v>3628.57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2913.15</v>
          </cell>
          <cell r="AG9">
            <v>1142.71</v>
          </cell>
          <cell r="AH9">
            <v>0</v>
          </cell>
          <cell r="AI9">
            <v>0</v>
          </cell>
        </row>
        <row r="13">
          <cell r="B13">
            <v>390678.16000000003</v>
          </cell>
          <cell r="C13">
            <v>384872.26</v>
          </cell>
          <cell r="D13">
            <v>381802.51999999996</v>
          </cell>
          <cell r="E13">
            <v>381802.51999999996</v>
          </cell>
          <cell r="F13">
            <v>382800.76</v>
          </cell>
          <cell r="G13">
            <v>381802.51</v>
          </cell>
          <cell r="H13">
            <v>381802.51999999996</v>
          </cell>
          <cell r="I13">
            <v>381802.51</v>
          </cell>
          <cell r="J13">
            <v>382800.76</v>
          </cell>
          <cell r="K13">
            <v>381802.51999999996</v>
          </cell>
          <cell r="L13">
            <v>381802.51999999996</v>
          </cell>
          <cell r="M13">
            <v>381802.51</v>
          </cell>
          <cell r="N13">
            <v>382800.76</v>
          </cell>
          <cell r="O13">
            <v>381802.51999999996</v>
          </cell>
          <cell r="P13">
            <v>488036.07999999996</v>
          </cell>
          <cell r="Q13">
            <v>565751.78</v>
          </cell>
          <cell r="R13">
            <v>565751.78</v>
          </cell>
          <cell r="S13">
            <v>565751.78</v>
          </cell>
          <cell r="T13">
            <v>608469.98</v>
          </cell>
          <cell r="U13">
            <v>638982.99</v>
          </cell>
          <cell r="V13">
            <v>653943.28</v>
          </cell>
          <cell r="W13">
            <v>664629.15</v>
          </cell>
          <cell r="X13">
            <v>742015.81</v>
          </cell>
          <cell r="Y13">
            <v>797361.63</v>
          </cell>
          <cell r="Z13">
            <v>830388.36</v>
          </cell>
          <cell r="AA13">
            <v>870905</v>
          </cell>
          <cell r="AB13">
            <v>882995.11</v>
          </cell>
          <cell r="AC13">
            <v>882995.13</v>
          </cell>
          <cell r="AD13">
            <v>882995.13</v>
          </cell>
          <cell r="AE13">
            <v>882995.13</v>
          </cell>
          <cell r="AF13">
            <v>882995.13</v>
          </cell>
          <cell r="AG13">
            <v>882995.13</v>
          </cell>
          <cell r="AH13">
            <v>882995.13</v>
          </cell>
          <cell r="AI13">
            <v>882995.13</v>
          </cell>
        </row>
      </sheetData>
      <sheetData sheetId="1"/>
      <sheetData sheetId="2"/>
      <sheetData sheetId="3"/>
      <sheetData sheetId="4"/>
      <sheetData sheetId="5"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101675.39999999998</v>
          </cell>
          <cell r="I150">
            <v>182668.67</v>
          </cell>
          <cell r="J150">
            <v>264441.53000000003</v>
          </cell>
          <cell r="K150">
            <v>352411.89</v>
          </cell>
          <cell r="L150">
            <v>432143.87</v>
          </cell>
          <cell r="M150">
            <v>519484.12</v>
          </cell>
          <cell r="N150">
            <v>594017.90999999992</v>
          </cell>
          <cell r="O150">
            <v>676496.14</v>
          </cell>
          <cell r="P150">
            <v>759709.73</v>
          </cell>
          <cell r="Q150">
            <v>792331.26</v>
          </cell>
          <cell r="R150">
            <v>849800.57000000007</v>
          </cell>
          <cell r="S150">
            <v>1035068.9400000001</v>
          </cell>
          <cell r="T150">
            <v>1220793.4800000002</v>
          </cell>
          <cell r="U150">
            <v>1409626.1400000004</v>
          </cell>
          <cell r="V150">
            <v>1613314.19</v>
          </cell>
          <cell r="W150">
            <v>1807172.7800000007</v>
          </cell>
          <cell r="X150">
            <v>2012925.2700000003</v>
          </cell>
          <cell r="Y150">
            <v>2165168.4400000004</v>
          </cell>
          <cell r="Z150">
            <v>2344110.1000000006</v>
          </cell>
          <cell r="AA150">
            <v>2561270.6900000004</v>
          </cell>
          <cell r="AB150">
            <v>2764792.97</v>
          </cell>
          <cell r="AC150">
            <v>2985179.8399999994</v>
          </cell>
          <cell r="AD150">
            <v>3163937.0100000007</v>
          </cell>
          <cell r="AE150">
            <v>3371226.22</v>
          </cell>
          <cell r="AF150">
            <v>3542062.62</v>
          </cell>
          <cell r="AG150">
            <v>3773732.2900000005</v>
          </cell>
          <cell r="AH150">
            <v>3997466.54</v>
          </cell>
          <cell r="AI150">
            <v>4224512.0399999991</v>
          </cell>
          <cell r="AJ150">
            <v>4390575.0999999996</v>
          </cell>
        </row>
      </sheetData>
      <sheetData sheetId="6"/>
      <sheetData sheetId="7"/>
      <sheetData sheetId="8">
        <row r="150">
          <cell r="C150">
            <v>445381.08</v>
          </cell>
          <cell r="D150">
            <v>433157.70000000007</v>
          </cell>
          <cell r="E150">
            <v>436092.64999999997</v>
          </cell>
          <cell r="F150">
            <v>456059.54000000004</v>
          </cell>
          <cell r="G150">
            <v>300440.52</v>
          </cell>
          <cell r="H150">
            <v>147853.22000000003</v>
          </cell>
          <cell r="I150">
            <v>57675.330000000009</v>
          </cell>
          <cell r="J150">
            <v>32805.870000000003</v>
          </cell>
          <cell r="K150">
            <v>21746.859999999997</v>
          </cell>
          <cell r="L150">
            <v>22249.190000000002</v>
          </cell>
          <cell r="M150">
            <v>22858.959999999999</v>
          </cell>
          <cell r="N150">
            <v>23441.45</v>
          </cell>
          <cell r="O150">
            <v>24103.559999999998</v>
          </cell>
          <cell r="P150">
            <v>24687.15</v>
          </cell>
          <cell r="Q150">
            <v>31993.279999999995</v>
          </cell>
          <cell r="R150">
            <v>37711.54</v>
          </cell>
          <cell r="S150">
            <v>38342.299999999996</v>
          </cell>
          <cell r="T150">
            <v>39068.81</v>
          </cell>
          <cell r="U150">
            <v>41958.259999999995</v>
          </cell>
          <cell r="V150">
            <v>44362.510000000009</v>
          </cell>
          <cell r="W150">
            <v>46055.909999999996</v>
          </cell>
          <cell r="X150">
            <v>47500.499999999993</v>
          </cell>
          <cell r="Y150">
            <v>54107.329999999994</v>
          </cell>
          <cell r="Z150">
            <v>59410.680000000008</v>
          </cell>
          <cell r="AA150">
            <v>62365.270000000019</v>
          </cell>
          <cell r="AB150">
            <v>65325.920000000006</v>
          </cell>
          <cell r="AC150">
            <v>66539.740000000005</v>
          </cell>
          <cell r="AD150">
            <v>67969.149999999994</v>
          </cell>
          <cell r="AE150">
            <v>69480.31</v>
          </cell>
          <cell r="AF150">
            <v>68531.02</v>
          </cell>
          <cell r="AG150">
            <v>64426.320000000007</v>
          </cell>
          <cell r="AH150">
            <v>60653.360000000008</v>
          </cell>
          <cell r="AI150">
            <v>58473.479999999996</v>
          </cell>
          <cell r="AJ150">
            <v>59704.849999999991</v>
          </cell>
        </row>
      </sheetData>
      <sheetData sheetId="9">
        <row r="150">
          <cell r="C150">
            <v>849921.73000000021</v>
          </cell>
          <cell r="D150">
            <v>858952.65999999968</v>
          </cell>
          <cell r="E150">
            <v>883706.01000000013</v>
          </cell>
          <cell r="F150">
            <v>901711.35000000009</v>
          </cell>
          <cell r="G150">
            <v>902362.77999999991</v>
          </cell>
          <cell r="H150">
            <v>936085.20000000019</v>
          </cell>
          <cell r="I150">
            <v>996614.11999999988</v>
          </cell>
          <cell r="J150">
            <v>1101359.2</v>
          </cell>
          <cell r="K150">
            <v>1220589.5199999998</v>
          </cell>
          <cell r="L150">
            <v>1309420.5799999998</v>
          </cell>
          <cell r="M150">
            <v>1382987.2499999995</v>
          </cell>
          <cell r="N150">
            <v>1460460.8600000003</v>
          </cell>
          <cell r="O150">
            <v>1515640.7300000004</v>
          </cell>
          <cell r="P150">
            <v>1523438.9799999993</v>
          </cell>
          <cell r="Q150">
            <v>1531996.2100000004</v>
          </cell>
          <cell r="R150">
            <v>1577695.1900000004</v>
          </cell>
          <cell r="S150">
            <v>1600505.31</v>
          </cell>
          <cell r="T150">
            <v>1727270.4000000006</v>
          </cell>
          <cell r="U150">
            <v>1821964.0399999998</v>
          </cell>
          <cell r="V150">
            <v>1885074.2499999998</v>
          </cell>
          <cell r="W150">
            <v>1959143.7999999998</v>
          </cell>
          <cell r="X150">
            <v>2059412.9200000002</v>
          </cell>
          <cell r="Y150">
            <v>2089224.0599999998</v>
          </cell>
          <cell r="Z150">
            <v>2115828.92</v>
          </cell>
          <cell r="AA150">
            <v>2220215.7499999991</v>
          </cell>
          <cell r="AB150">
            <v>2341096.4899999998</v>
          </cell>
          <cell r="AC150">
            <v>2450147.6599999992</v>
          </cell>
          <cell r="AD150">
            <v>2476674.23</v>
          </cell>
          <cell r="AE150">
            <v>2541079.1800000006</v>
          </cell>
          <cell r="AF150">
            <v>2533041.3700000006</v>
          </cell>
          <cell r="AG150">
            <v>2587202.9800000004</v>
          </cell>
          <cell r="AH150">
            <v>2675985.06</v>
          </cell>
          <cell r="AI150">
            <v>2765510.89</v>
          </cell>
          <cell r="AJ150">
            <v>2817805.58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0">
          <cell r="C150">
            <v>411.15</v>
          </cell>
          <cell r="D150">
            <v>433.23999999999995</v>
          </cell>
          <cell r="E150">
            <v>412.23000000000008</v>
          </cell>
          <cell r="F150">
            <v>414.15999999999997</v>
          </cell>
          <cell r="G150">
            <v>467.7700000000001</v>
          </cell>
          <cell r="H150">
            <v>459.08</v>
          </cell>
          <cell r="I150">
            <v>490.18</v>
          </cell>
          <cell r="J150">
            <v>502.32000000000016</v>
          </cell>
          <cell r="K150">
            <v>491.18</v>
          </cell>
          <cell r="L150">
            <v>509.05999999999989</v>
          </cell>
          <cell r="M150">
            <v>536.96999999999991</v>
          </cell>
          <cell r="N150">
            <v>557.85999999999979</v>
          </cell>
          <cell r="O150">
            <v>560.29000000000019</v>
          </cell>
          <cell r="P150">
            <v>577.03</v>
          </cell>
          <cell r="Q150">
            <v>346.50000000000011</v>
          </cell>
          <cell r="R150">
            <v>316.64</v>
          </cell>
          <cell r="S150">
            <v>330.89</v>
          </cell>
          <cell r="T150">
            <v>344.42999999999995</v>
          </cell>
          <cell r="U150">
            <v>348.55000000000007</v>
          </cell>
          <cell r="V150">
            <v>367.05</v>
          </cell>
          <cell r="W150">
            <v>376.37</v>
          </cell>
          <cell r="X150">
            <v>395.90000000000003</v>
          </cell>
          <cell r="Y150">
            <v>338.65999999999997</v>
          </cell>
          <cell r="Z150">
            <v>342.83000000000004</v>
          </cell>
          <cell r="AA150">
            <v>350.49000000000012</v>
          </cell>
          <cell r="AB150">
            <v>361.92</v>
          </cell>
          <cell r="AC150">
            <v>378.38000000000005</v>
          </cell>
          <cell r="AD150">
            <v>384.67000000000007</v>
          </cell>
          <cell r="AE150">
            <v>393.84</v>
          </cell>
          <cell r="AF150">
            <v>399.52</v>
          </cell>
          <cell r="AG150">
            <v>416.85999999999996</v>
          </cell>
          <cell r="AH150">
            <v>431.53999999999996</v>
          </cell>
          <cell r="AI150">
            <v>442.43</v>
          </cell>
          <cell r="AJ150">
            <v>448.08</v>
          </cell>
        </row>
      </sheetData>
      <sheetData sheetId="19">
        <row r="150">
          <cell r="C150">
            <v>4635.4299999999994</v>
          </cell>
          <cell r="D150">
            <v>4834.5100000000011</v>
          </cell>
          <cell r="E150">
            <v>4794.2900000000009</v>
          </cell>
          <cell r="F150">
            <v>4367.2700000000013</v>
          </cell>
          <cell r="G150">
            <v>4337.0700000000015</v>
          </cell>
          <cell r="H150">
            <v>4505.2299999999996</v>
          </cell>
          <cell r="I150">
            <v>4479.3100000000004</v>
          </cell>
          <cell r="J150">
            <v>4577.22</v>
          </cell>
          <cell r="K150">
            <v>4976.09</v>
          </cell>
          <cell r="L150">
            <v>4766.9800000000005</v>
          </cell>
          <cell r="M150">
            <v>4804.6500000000005</v>
          </cell>
          <cell r="N150">
            <v>4781.7499999999991</v>
          </cell>
          <cell r="O150">
            <v>4462.7699999999995</v>
          </cell>
          <cell r="P150">
            <v>4416.84</v>
          </cell>
          <cell r="Q150">
            <v>2302.0300000000007</v>
          </cell>
          <cell r="R150">
            <v>1424.5700000000002</v>
          </cell>
          <cell r="S150">
            <v>1429.89</v>
          </cell>
          <cell r="T150">
            <v>1438.3999999999999</v>
          </cell>
          <cell r="U150">
            <v>1450.85</v>
          </cell>
          <cell r="V150">
            <v>1444.1899999999998</v>
          </cell>
          <cell r="W150">
            <v>1472.17</v>
          </cell>
          <cell r="X150">
            <v>1466.53</v>
          </cell>
          <cell r="Y150">
            <v>1526.4300000000003</v>
          </cell>
          <cell r="Z150">
            <v>1541.16</v>
          </cell>
          <cell r="AA150">
            <v>1559.86</v>
          </cell>
          <cell r="AB150">
            <v>1562.48</v>
          </cell>
          <cell r="AC150">
            <v>1581.4499999999998</v>
          </cell>
          <cell r="AD150">
            <v>1571.2799999999997</v>
          </cell>
          <cell r="AE150">
            <v>1571.01</v>
          </cell>
          <cell r="AF150">
            <v>1571.7</v>
          </cell>
          <cell r="AG150">
            <v>1584.3699999999997</v>
          </cell>
          <cell r="AH150">
            <v>1586.5100000000002</v>
          </cell>
          <cell r="AI150">
            <v>1608.6399999999999</v>
          </cell>
          <cell r="AJ150">
            <v>1605.28</v>
          </cell>
        </row>
      </sheetData>
      <sheetData sheetId="20"/>
      <sheetData sheetId="21"/>
      <sheetData sheetId="22">
        <row r="150">
          <cell r="C150">
            <v>11.539999999999997</v>
          </cell>
          <cell r="D150">
            <v>11.709999999999996</v>
          </cell>
          <cell r="E150">
            <v>11.339999999999998</v>
          </cell>
          <cell r="F150">
            <v>9.6899999999999977</v>
          </cell>
          <cell r="G150">
            <v>9.2799999999999958</v>
          </cell>
          <cell r="H150">
            <v>9.4399999999999959</v>
          </cell>
          <cell r="I150">
            <v>9.0599999999999934</v>
          </cell>
          <cell r="J150">
            <v>8.8199999999999985</v>
          </cell>
          <cell r="K150">
            <v>9.5499999999999954</v>
          </cell>
          <cell r="L150">
            <v>8.7199999999999989</v>
          </cell>
          <cell r="M150">
            <v>8.6699999999999982</v>
          </cell>
          <cell r="N150">
            <v>8.4799999999999969</v>
          </cell>
          <cell r="O150">
            <v>7.6099999999999985</v>
          </cell>
          <cell r="P150">
            <v>7.3799999999999981</v>
          </cell>
          <cell r="Q150">
            <v>2.4899999999999993</v>
          </cell>
          <cell r="R150">
            <v>0.42000000000000015</v>
          </cell>
          <cell r="S150">
            <v>0.39000000000000012</v>
          </cell>
          <cell r="T150">
            <v>0.38000000000000012</v>
          </cell>
          <cell r="U150">
            <v>0.40000000000000013</v>
          </cell>
          <cell r="V150">
            <v>0.41000000000000014</v>
          </cell>
          <cell r="W150">
            <v>0.42000000000000015</v>
          </cell>
          <cell r="X150">
            <v>0.43000000000000016</v>
          </cell>
          <cell r="Y150">
            <v>0.43000000000000016</v>
          </cell>
          <cell r="Z150">
            <v>0.44000000000000017</v>
          </cell>
          <cell r="AA150">
            <v>0.4700000000000002</v>
          </cell>
          <cell r="AB150">
            <v>0.4800000000000002</v>
          </cell>
          <cell r="AC150">
            <v>0.49000000000000021</v>
          </cell>
          <cell r="AD150">
            <v>0.49000000000000021</v>
          </cell>
          <cell r="AE150">
            <v>0.50000000000000022</v>
          </cell>
          <cell r="AF150">
            <v>0.51000000000000012</v>
          </cell>
          <cell r="AG150">
            <v>0.53000000000000014</v>
          </cell>
          <cell r="AH150">
            <v>0.55000000000000016</v>
          </cell>
          <cell r="AI150">
            <v>0.56000000000000016</v>
          </cell>
          <cell r="AJ150">
            <v>0.56000000000000016</v>
          </cell>
        </row>
      </sheetData>
      <sheetData sheetId="23">
        <row r="150">
          <cell r="C150">
            <v>13025.86</v>
          </cell>
          <cell r="D150">
            <v>14759.440000000002</v>
          </cell>
          <cell r="E150">
            <v>13721.599999999999</v>
          </cell>
          <cell r="F150">
            <v>14870.63</v>
          </cell>
          <cell r="G150">
            <v>14055.450000000004</v>
          </cell>
          <cell r="H150">
            <v>13129.05</v>
          </cell>
          <cell r="I150">
            <v>18505.809999999998</v>
          </cell>
          <cell r="J150">
            <v>17298.71</v>
          </cell>
          <cell r="K150">
            <v>18293.989999999998</v>
          </cell>
          <cell r="L150">
            <v>19324.29</v>
          </cell>
          <cell r="M150">
            <v>23446.519999999993</v>
          </cell>
          <cell r="N150">
            <v>26387.440000000002</v>
          </cell>
          <cell r="O150">
            <v>27826.329999999998</v>
          </cell>
          <cell r="P150">
            <v>29205.319999999996</v>
          </cell>
          <cell r="Q150">
            <v>35415.790000000008</v>
          </cell>
          <cell r="R150">
            <v>35626.65</v>
          </cell>
          <cell r="S150">
            <v>37421.659999999989</v>
          </cell>
          <cell r="T150">
            <v>40322.369999999995</v>
          </cell>
          <cell r="U150">
            <v>44276.470000000023</v>
          </cell>
          <cell r="V150">
            <v>54023.229999999996</v>
          </cell>
          <cell r="W150">
            <v>51520.869999999995</v>
          </cell>
          <cell r="X150">
            <v>56608.11</v>
          </cell>
          <cell r="Y150">
            <v>57529.009999999995</v>
          </cell>
          <cell r="Z150">
            <v>55815.130000000019</v>
          </cell>
          <cell r="AA150">
            <v>60773.47</v>
          </cell>
          <cell r="AB150">
            <v>66080.399999999994</v>
          </cell>
          <cell r="AC150">
            <v>70759.33</v>
          </cell>
          <cell r="AD150">
            <v>70881.179999999978</v>
          </cell>
          <cell r="AE150">
            <v>77923.139999999985</v>
          </cell>
          <cell r="AF150">
            <v>75051.540000000008</v>
          </cell>
          <cell r="AG150">
            <v>77403.31</v>
          </cell>
          <cell r="AH150">
            <v>81082.45</v>
          </cell>
          <cell r="AI150">
            <v>79548.539999999994</v>
          </cell>
          <cell r="AJ150">
            <v>81158.289999999994</v>
          </cell>
        </row>
      </sheetData>
      <sheetData sheetId="24"/>
      <sheetData sheetId="25"/>
      <sheetData sheetId="26">
        <row r="150">
          <cell r="C150">
            <v>73039.540000000023</v>
          </cell>
          <cell r="D150">
            <v>76377.12999999999</v>
          </cell>
          <cell r="E150">
            <v>85282.859999999971</v>
          </cell>
          <cell r="F150">
            <v>91687.95</v>
          </cell>
          <cell r="G150">
            <v>102078.53</v>
          </cell>
          <cell r="H150">
            <v>115843.08</v>
          </cell>
          <cell r="I150">
            <v>133113.45999999996</v>
          </cell>
          <cell r="J150">
            <v>154137.75999999998</v>
          </cell>
          <cell r="K150">
            <v>177004.43000000002</v>
          </cell>
          <cell r="L150">
            <v>191396.61000000002</v>
          </cell>
          <cell r="M150">
            <v>210071.25999999998</v>
          </cell>
          <cell r="N150">
            <v>228522.94000000003</v>
          </cell>
          <cell r="O150">
            <v>239900.91000000003</v>
          </cell>
          <cell r="P150">
            <v>255543.08000000002</v>
          </cell>
          <cell r="Q150">
            <v>254063.16</v>
          </cell>
          <cell r="R150">
            <v>267100.27</v>
          </cell>
          <cell r="S150">
            <v>283097.92000000004</v>
          </cell>
          <cell r="T150">
            <v>317718.3</v>
          </cell>
          <cell r="U150">
            <v>335911.95</v>
          </cell>
          <cell r="V150">
            <v>366252.25</v>
          </cell>
          <cell r="W150">
            <v>376698.83</v>
          </cell>
          <cell r="X150">
            <v>397774.62999999995</v>
          </cell>
          <cell r="Y150">
            <v>404701.04999999993</v>
          </cell>
          <cell r="Z150">
            <v>424499.77</v>
          </cell>
          <cell r="AA150">
            <v>436242.51999999996</v>
          </cell>
          <cell r="AB150">
            <v>461242.67999999993</v>
          </cell>
          <cell r="AC150">
            <v>473142.5</v>
          </cell>
          <cell r="AD150">
            <v>498601.56999999995</v>
          </cell>
          <cell r="AE150">
            <v>511793.02</v>
          </cell>
          <cell r="AF150">
            <v>537139.92000000004</v>
          </cell>
          <cell r="AG150">
            <v>550907.75</v>
          </cell>
          <cell r="AH150">
            <v>580288.01</v>
          </cell>
          <cell r="AI150">
            <v>597100.56999999995</v>
          </cell>
          <cell r="AJ150">
            <v>625518.86</v>
          </cell>
        </row>
      </sheetData>
      <sheetData sheetId="27"/>
      <sheetData sheetId="28">
        <row r="150">
          <cell r="C150">
            <v>1174.2431000000001</v>
          </cell>
          <cell r="D150">
            <v>1191.943</v>
          </cell>
          <cell r="E150">
            <v>1154.7732000000001</v>
          </cell>
          <cell r="F150">
            <v>986.18779999999992</v>
          </cell>
          <cell r="G150">
            <v>897.55160000000001</v>
          </cell>
          <cell r="H150">
            <v>925.01639999999998</v>
          </cell>
          <cell r="I150">
            <v>884.43349999999998</v>
          </cell>
          <cell r="J150">
            <v>878.0367</v>
          </cell>
          <cell r="K150">
            <v>953.81139999999994</v>
          </cell>
          <cell r="L150">
            <v>864.48839999999996</v>
          </cell>
          <cell r="M150">
            <v>843.40520000000004</v>
          </cell>
          <cell r="N150">
            <v>805.22149999999999</v>
          </cell>
          <cell r="O150">
            <v>705.375</v>
          </cell>
          <cell r="P150">
            <v>670.04330000000004</v>
          </cell>
          <cell r="Q150">
            <v>189.22129999999999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Capacity"/>
      <sheetName val="Capacity Factor"/>
      <sheetName val="CO2"/>
      <sheetName val="CO2 Allow"/>
      <sheetName val="CO2 Cost"/>
      <sheetName val="Dependable Cap"/>
      <sheetName val="Dispatch Price"/>
      <sheetName val="FOM Cost"/>
      <sheetName val="Fuel Cost"/>
      <sheetName val="Fuel Used"/>
      <sheetName val="Fuel Rate"/>
      <sheetName val="Generation"/>
      <sheetName val="Heat Rate"/>
      <sheetName val="Hg"/>
      <sheetName val="Hours"/>
      <sheetName val="NOx"/>
      <sheetName val="NOx Allow"/>
      <sheetName val="NOx Cost"/>
      <sheetName val="Reagent Cost"/>
      <sheetName val="SO2"/>
      <sheetName val="SO2 Allow"/>
      <sheetName val="SO2 Cost"/>
      <sheetName val="Start Cost"/>
      <sheetName val="Starts"/>
      <sheetName val="Total Cost"/>
      <sheetName val="VOM Cost"/>
      <sheetName val="VOM Rate"/>
      <sheetName val="Lime Cost"/>
    </sheetNames>
    <sheetDataSet>
      <sheetData sheetId="0"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11.87</v>
          </cell>
          <cell r="L9">
            <v>0</v>
          </cell>
          <cell r="M9">
            <v>85.25</v>
          </cell>
          <cell r="N9">
            <v>326.63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1408.33</v>
          </cell>
          <cell r="T9">
            <v>482.37</v>
          </cell>
          <cell r="U9">
            <v>1593.28</v>
          </cell>
          <cell r="V9">
            <v>0</v>
          </cell>
          <cell r="W9">
            <v>74.09</v>
          </cell>
          <cell r="X9">
            <v>0</v>
          </cell>
          <cell r="Y9">
            <v>1601.75</v>
          </cell>
          <cell r="Z9">
            <v>819.12</v>
          </cell>
          <cell r="AA9">
            <v>0</v>
          </cell>
          <cell r="AB9">
            <v>363.57</v>
          </cell>
          <cell r="AC9">
            <v>15.8</v>
          </cell>
          <cell r="AD9">
            <v>59.69</v>
          </cell>
          <cell r="AE9">
            <v>0</v>
          </cell>
          <cell r="AF9">
            <v>0</v>
          </cell>
          <cell r="AG9">
            <v>15545.79</v>
          </cell>
          <cell r="AH9">
            <v>1125.8</v>
          </cell>
          <cell r="AI9">
            <v>90.84</v>
          </cell>
        </row>
        <row r="13">
          <cell r="B13">
            <v>390678.16000000003</v>
          </cell>
          <cell r="C13">
            <v>384872.26</v>
          </cell>
          <cell r="D13">
            <v>381802.51999999996</v>
          </cell>
          <cell r="E13">
            <v>381802.51999999996</v>
          </cell>
          <cell r="F13">
            <v>382800.76</v>
          </cell>
          <cell r="G13">
            <v>381802.51</v>
          </cell>
          <cell r="H13">
            <v>381802.51999999996</v>
          </cell>
          <cell r="I13">
            <v>381802.51</v>
          </cell>
          <cell r="J13">
            <v>382800.76</v>
          </cell>
          <cell r="K13">
            <v>381802.51999999996</v>
          </cell>
          <cell r="L13">
            <v>381802.51999999996</v>
          </cell>
          <cell r="M13">
            <v>381802.51</v>
          </cell>
          <cell r="N13">
            <v>382800.76</v>
          </cell>
          <cell r="O13">
            <v>381802.51999999996</v>
          </cell>
          <cell r="P13">
            <v>462235.69</v>
          </cell>
          <cell r="Q13">
            <v>521522.52</v>
          </cell>
          <cell r="R13">
            <v>535075.79</v>
          </cell>
          <cell r="S13">
            <v>544756.70000000007</v>
          </cell>
          <cell r="T13">
            <v>573235.51</v>
          </cell>
          <cell r="U13">
            <v>593577.51</v>
          </cell>
          <cell r="V13">
            <v>608537.78</v>
          </cell>
          <cell r="W13">
            <v>619223.70000000007</v>
          </cell>
          <cell r="X13">
            <v>696610.3600000001</v>
          </cell>
          <cell r="Y13">
            <v>751956.18</v>
          </cell>
          <cell r="Z13">
            <v>784982.86</v>
          </cell>
          <cell r="AA13">
            <v>825499.5</v>
          </cell>
          <cell r="AB13">
            <v>854938.99</v>
          </cell>
          <cell r="AC13">
            <v>867331.36</v>
          </cell>
          <cell r="AD13">
            <v>867331.36</v>
          </cell>
          <cell r="AE13">
            <v>867331.36</v>
          </cell>
          <cell r="AF13">
            <v>867331.36</v>
          </cell>
          <cell r="AG13">
            <v>867331.36</v>
          </cell>
          <cell r="AH13">
            <v>867331.36</v>
          </cell>
          <cell r="AI13">
            <v>867331.36</v>
          </cell>
        </row>
      </sheetData>
      <sheetData sheetId="1"/>
      <sheetData sheetId="2"/>
      <sheetData sheetId="3"/>
      <sheetData sheetId="4"/>
      <sheetData sheetId="5"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97098.46</v>
          </cell>
          <cell r="I150">
            <v>174770.66000000003</v>
          </cell>
          <cell r="J150">
            <v>253805.2</v>
          </cell>
          <cell r="K150">
            <v>338852.56999999995</v>
          </cell>
          <cell r="L150">
            <v>417531.46</v>
          </cell>
          <cell r="M150">
            <v>502735.7900000001</v>
          </cell>
          <cell r="N150">
            <v>573467.52</v>
          </cell>
          <cell r="O150">
            <v>653225.84</v>
          </cell>
          <cell r="P150">
            <v>731399.49000000011</v>
          </cell>
          <cell r="Q150">
            <v>757451.36999999953</v>
          </cell>
          <cell r="R150">
            <v>814754.10000000009</v>
          </cell>
          <cell r="S150">
            <v>993404.16999999993</v>
          </cell>
          <cell r="T150">
            <v>1170662.2800000003</v>
          </cell>
          <cell r="U150">
            <v>1352629.0600000003</v>
          </cell>
          <cell r="V150">
            <v>1546487.56</v>
          </cell>
          <cell r="W150">
            <v>1733421.6800000002</v>
          </cell>
          <cell r="X150">
            <v>1932043.5400000005</v>
          </cell>
          <cell r="Y150">
            <v>2081484.2400000005</v>
          </cell>
          <cell r="Z150">
            <v>2252418.58</v>
          </cell>
          <cell r="AA150">
            <v>2467061.8999999994</v>
          </cell>
          <cell r="AB150">
            <v>2663213.2599999998</v>
          </cell>
          <cell r="AC150">
            <v>2878760.5</v>
          </cell>
          <cell r="AD150">
            <v>3054484.9799999995</v>
          </cell>
          <cell r="AE150">
            <v>3247803.3200000003</v>
          </cell>
          <cell r="AF150">
            <v>3421341.7400000012</v>
          </cell>
          <cell r="AG150">
            <v>3645457.1100000008</v>
          </cell>
          <cell r="AH150">
            <v>3853583.11</v>
          </cell>
          <cell r="AI150">
            <v>4101201.9099999992</v>
          </cell>
          <cell r="AJ150">
            <v>4325555.09</v>
          </cell>
        </row>
      </sheetData>
      <sheetData sheetId="6"/>
      <sheetData sheetId="7"/>
      <sheetData sheetId="8">
        <row r="132">
          <cell r="C132">
            <v>0</v>
          </cell>
          <cell r="D132">
            <v>0</v>
          </cell>
          <cell r="E132">
            <v>1227.76</v>
          </cell>
          <cell r="F132">
            <v>1245.6400000000001</v>
          </cell>
          <cell r="G132">
            <v>1274.24</v>
          </cell>
          <cell r="H132">
            <v>1303.58</v>
          </cell>
          <cell r="I132">
            <v>1343.68</v>
          </cell>
          <cell r="J132">
            <v>1477.57</v>
          </cell>
          <cell r="K132">
            <v>1512.64</v>
          </cell>
          <cell r="L132">
            <v>1548.42</v>
          </cell>
          <cell r="M132">
            <v>1584.93</v>
          </cell>
          <cell r="N132">
            <v>1632.2</v>
          </cell>
          <cell r="O132">
            <v>1660.27</v>
          </cell>
          <cell r="P132">
            <v>1699.18</v>
          </cell>
          <cell r="Q132">
            <v>1738.96</v>
          </cell>
          <cell r="R132">
            <v>1864.6</v>
          </cell>
          <cell r="S132">
            <v>1831.38</v>
          </cell>
          <cell r="T132">
            <v>1864.11</v>
          </cell>
          <cell r="U132">
            <v>1907.92</v>
          </cell>
          <cell r="V132">
            <v>1952.88</v>
          </cell>
          <cell r="W132">
            <v>1999.02</v>
          </cell>
          <cell r="X132">
            <v>2056.39</v>
          </cell>
          <cell r="Y132">
            <v>2095.04</v>
          </cell>
          <cell r="Z132">
            <v>2145.0300000000002</v>
          </cell>
          <cell r="AA132">
            <v>2196.38</v>
          </cell>
          <cell r="AB132">
            <v>2249.13</v>
          </cell>
          <cell r="AC132">
            <v>2313.34</v>
          </cell>
          <cell r="AD132">
            <v>2359.04</v>
          </cell>
          <cell r="AE132">
            <v>2416.2600000000002</v>
          </cell>
          <cell r="AF132">
            <v>2475.04</v>
          </cell>
          <cell r="AG132">
            <v>2535.42</v>
          </cell>
          <cell r="AH132">
            <v>2607.44</v>
          </cell>
          <cell r="AI132">
            <v>0</v>
          </cell>
          <cell r="AJ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2493.98</v>
          </cell>
          <cell r="G133">
            <v>2530.73</v>
          </cell>
          <cell r="H133">
            <v>2588.96</v>
          </cell>
          <cell r="I133">
            <v>2648.7</v>
          </cell>
          <cell r="J133">
            <v>2729.99</v>
          </cell>
          <cell r="K133">
            <v>2998.88</v>
          </cell>
          <cell r="L133">
            <v>3070.16</v>
          </cell>
          <cell r="M133">
            <v>3142.88</v>
          </cell>
          <cell r="N133">
            <v>3217.11</v>
          </cell>
          <cell r="O133">
            <v>3312.89</v>
          </cell>
          <cell r="P133">
            <v>3370.3</v>
          </cell>
          <cell r="Q133">
            <v>3449.42</v>
          </cell>
          <cell r="R133">
            <v>3530.33</v>
          </cell>
          <cell r="S133">
            <v>3782.98</v>
          </cell>
          <cell r="T133">
            <v>3717.95</v>
          </cell>
          <cell r="U133">
            <v>3784.86</v>
          </cell>
          <cell r="V133">
            <v>3873.99</v>
          </cell>
          <cell r="W133">
            <v>3965.42</v>
          </cell>
          <cell r="X133">
            <v>4059.27</v>
          </cell>
          <cell r="Y133">
            <v>4175.6400000000003</v>
          </cell>
          <cell r="Z133">
            <v>4254.6099999999997</v>
          </cell>
          <cell r="AA133">
            <v>4356.28</v>
          </cell>
          <cell r="AB133">
            <v>4460.7299999999996</v>
          </cell>
          <cell r="AC133">
            <v>4568.04</v>
          </cell>
          <cell r="AD133">
            <v>4698.3100000000004</v>
          </cell>
          <cell r="AE133">
            <v>4791.6000000000004</v>
          </cell>
          <cell r="AF133">
            <v>4907.99</v>
          </cell>
          <cell r="AG133">
            <v>5027.5600000000004</v>
          </cell>
          <cell r="AH133">
            <v>5150.38</v>
          </cell>
          <cell r="AI133">
            <v>5296.54</v>
          </cell>
          <cell r="AJ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2535.5500000000002</v>
          </cell>
          <cell r="H134">
            <v>2573.37</v>
          </cell>
          <cell r="I134">
            <v>2632.69</v>
          </cell>
          <cell r="J134">
            <v>2693.56</v>
          </cell>
          <cell r="K134">
            <v>2776.01</v>
          </cell>
          <cell r="L134">
            <v>3046.08</v>
          </cell>
          <cell r="M134">
            <v>3118.58</v>
          </cell>
          <cell r="N134">
            <v>3192.56</v>
          </cell>
          <cell r="O134">
            <v>3268.07</v>
          </cell>
          <cell r="P134">
            <v>3365.17</v>
          </cell>
          <cell r="Q134">
            <v>3423.94</v>
          </cell>
          <cell r="R134">
            <v>3504.44</v>
          </cell>
          <cell r="S134">
            <v>3586.79</v>
          </cell>
          <cell r="T134">
            <v>3840.9</v>
          </cell>
          <cell r="U134">
            <v>3777.38</v>
          </cell>
          <cell r="V134">
            <v>3845.84</v>
          </cell>
          <cell r="W134">
            <v>3936.55</v>
          </cell>
          <cell r="X134">
            <v>4029.62</v>
          </cell>
          <cell r="Y134">
            <v>4125.1400000000003</v>
          </cell>
          <cell r="Z134">
            <v>4243.2299999999996</v>
          </cell>
          <cell r="AA134">
            <v>4323.96</v>
          </cell>
          <cell r="AB134">
            <v>4427.45</v>
          </cell>
          <cell r="AC134">
            <v>4533.76</v>
          </cell>
          <cell r="AD134">
            <v>4642.99</v>
          </cell>
          <cell r="AE134">
            <v>4775.22</v>
          </cell>
          <cell r="AF134">
            <v>4870.53</v>
          </cell>
          <cell r="AG134">
            <v>4989</v>
          </cell>
          <cell r="AH134">
            <v>5110.7</v>
          </cell>
          <cell r="AI134">
            <v>5235.71</v>
          </cell>
          <cell r="AJ134">
            <v>5384.11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50">
          <cell r="C150">
            <v>445381.08</v>
          </cell>
          <cell r="D150">
            <v>433157.70000000007</v>
          </cell>
          <cell r="E150">
            <v>437320.41</v>
          </cell>
          <cell r="F150">
            <v>459799.16000000003</v>
          </cell>
          <cell r="G150">
            <v>306781.03999999998</v>
          </cell>
          <cell r="H150">
            <v>154319.13</v>
          </cell>
          <cell r="I150">
            <v>64300.400000000009</v>
          </cell>
          <cell r="J150">
            <v>39449.86</v>
          </cell>
          <cell r="K150">
            <v>28319.009999999995</v>
          </cell>
          <cell r="L150">
            <v>29257.760000000002</v>
          </cell>
          <cell r="M150">
            <v>29953.740000000005</v>
          </cell>
          <cell r="N150">
            <v>30794.030000000002</v>
          </cell>
          <cell r="O150">
            <v>31555.140000000003</v>
          </cell>
          <cell r="P150">
            <v>32397.620000000003</v>
          </cell>
          <cell r="Q150">
            <v>39096.68</v>
          </cell>
          <cell r="R150">
            <v>44343.15</v>
          </cell>
          <cell r="S150">
            <v>45896.959999999999</v>
          </cell>
          <cell r="T150">
            <v>47300.49</v>
          </cell>
          <cell r="U150">
            <v>49495.069999999992</v>
          </cell>
          <cell r="V150">
            <v>51532.039999999994</v>
          </cell>
          <cell r="W150">
            <v>53391.139999999992</v>
          </cell>
          <cell r="X150">
            <v>55015.88</v>
          </cell>
          <cell r="Y150">
            <v>61807.489999999991</v>
          </cell>
          <cell r="Z150">
            <v>67290.509999999995</v>
          </cell>
          <cell r="AA150">
            <v>70409.770000000019</v>
          </cell>
          <cell r="AB150">
            <v>73560.31</v>
          </cell>
          <cell r="AC150">
            <v>75847.23</v>
          </cell>
          <cell r="AD150">
            <v>78144.55</v>
          </cell>
          <cell r="AE150">
            <v>79900.33</v>
          </cell>
          <cell r="AF150">
            <v>79182.44</v>
          </cell>
          <cell r="AG150">
            <v>75336.099999999991</v>
          </cell>
          <cell r="AH150">
            <v>71838.63</v>
          </cell>
          <cell r="AI150">
            <v>67280.399999999994</v>
          </cell>
          <cell r="AJ150">
            <v>63320.499999999993</v>
          </cell>
        </row>
      </sheetData>
      <sheetData sheetId="9">
        <row r="150">
          <cell r="C150">
            <v>849921.73000000021</v>
          </cell>
          <cell r="D150">
            <v>858952.65999999968</v>
          </cell>
          <cell r="E150">
            <v>875403.10000000009</v>
          </cell>
          <cell r="F150">
            <v>877487.11999999988</v>
          </cell>
          <cell r="G150">
            <v>854377.51000000024</v>
          </cell>
          <cell r="H150">
            <v>889057.2699999999</v>
          </cell>
          <cell r="I150">
            <v>946756.0199999999</v>
          </cell>
          <cell r="J150">
            <v>1049063.7699999998</v>
          </cell>
          <cell r="K150">
            <v>1170050.1799999997</v>
          </cell>
          <cell r="L150">
            <v>1249928.1000000003</v>
          </cell>
          <cell r="M150">
            <v>1329010.7100000002</v>
          </cell>
          <cell r="N150">
            <v>1396864.9600000004</v>
          </cell>
          <cell r="O150">
            <v>1455415.83</v>
          </cell>
          <cell r="P150">
            <v>1461466.5899999996</v>
          </cell>
          <cell r="Q150">
            <v>1464765.53</v>
          </cell>
          <cell r="R150">
            <v>1513229.8499999999</v>
          </cell>
          <cell r="S150">
            <v>1535641.1499999997</v>
          </cell>
          <cell r="T150">
            <v>1655650.63</v>
          </cell>
          <cell r="U150">
            <v>1748698.0399999998</v>
          </cell>
          <cell r="V150">
            <v>1807915.9800000002</v>
          </cell>
          <cell r="W150">
            <v>1879525.48</v>
          </cell>
          <cell r="X150">
            <v>1977067.51</v>
          </cell>
          <cell r="Y150">
            <v>2009053.8399999999</v>
          </cell>
          <cell r="Z150">
            <v>2032216.8299999998</v>
          </cell>
          <cell r="AA150">
            <v>2137907.0100000007</v>
          </cell>
          <cell r="AB150">
            <v>2253658.5900000003</v>
          </cell>
          <cell r="AC150">
            <v>2362163.2899999996</v>
          </cell>
          <cell r="AD150">
            <v>2390186.2300000004</v>
          </cell>
          <cell r="AE150">
            <v>2447231.5100000002</v>
          </cell>
          <cell r="AF150">
            <v>2446294.9900000007</v>
          </cell>
          <cell r="AG150">
            <v>2497965.7599999998</v>
          </cell>
          <cell r="AH150">
            <v>2579970.73</v>
          </cell>
          <cell r="AI150">
            <v>2684227.7799999993</v>
          </cell>
          <cell r="AJ150">
            <v>2775776.34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0">
          <cell r="C150">
            <v>411.15</v>
          </cell>
          <cell r="D150">
            <v>433.23999999999995</v>
          </cell>
          <cell r="E150">
            <v>402.81999999999988</v>
          </cell>
          <cell r="F150">
            <v>388.5200000000001</v>
          </cell>
          <cell r="G150">
            <v>397.45999999999992</v>
          </cell>
          <cell r="H150">
            <v>407.79000000000019</v>
          </cell>
          <cell r="I150">
            <v>436.10999999999996</v>
          </cell>
          <cell r="J150">
            <v>451.46999999999991</v>
          </cell>
          <cell r="K150">
            <v>510.79000000000013</v>
          </cell>
          <cell r="L150">
            <v>486.90000000000003</v>
          </cell>
          <cell r="M150">
            <v>572.27999999999975</v>
          </cell>
          <cell r="N150">
            <v>538.66000000000008</v>
          </cell>
          <cell r="O150">
            <v>584.75</v>
          </cell>
          <cell r="P150">
            <v>577.70000000000005</v>
          </cell>
          <cell r="Q150">
            <v>324.38999999999987</v>
          </cell>
          <cell r="R150">
            <v>304.72999999999996</v>
          </cell>
          <cell r="S150">
            <v>311.70999999999998</v>
          </cell>
          <cell r="T150">
            <v>323.5800000000001</v>
          </cell>
          <cell r="U150">
            <v>331.06000000000006</v>
          </cell>
          <cell r="V150">
            <v>346.75000000000006</v>
          </cell>
          <cell r="W150">
            <v>355.46999999999997</v>
          </cell>
          <cell r="X150">
            <v>372.5800000000001</v>
          </cell>
          <cell r="Y150">
            <v>321.11999999999995</v>
          </cell>
          <cell r="Z150">
            <v>322.42000000000007</v>
          </cell>
          <cell r="AA150">
            <v>333.58999999999992</v>
          </cell>
          <cell r="AB150">
            <v>340.56</v>
          </cell>
          <cell r="AC150">
            <v>358.84999999999997</v>
          </cell>
          <cell r="AD150">
            <v>364.56</v>
          </cell>
          <cell r="AE150">
            <v>373.26999999999992</v>
          </cell>
          <cell r="AF150">
            <v>379.75999999999993</v>
          </cell>
          <cell r="AG150">
            <v>395.08000000000004</v>
          </cell>
          <cell r="AH150">
            <v>407.86000000000013</v>
          </cell>
          <cell r="AI150">
            <v>423.13999999999993</v>
          </cell>
          <cell r="AJ150">
            <v>439.21999999999997</v>
          </cell>
        </row>
      </sheetData>
      <sheetData sheetId="19">
        <row r="150">
          <cell r="C150">
            <v>4635.4299999999994</v>
          </cell>
          <cell r="D150">
            <v>4834.5100000000011</v>
          </cell>
          <cell r="E150">
            <v>4747.2300000000005</v>
          </cell>
          <cell r="F150">
            <v>4292.4700000000012</v>
          </cell>
          <cell r="G150">
            <v>4169.8600000000006</v>
          </cell>
          <cell r="H150">
            <v>4314.9699999999993</v>
          </cell>
          <cell r="I150">
            <v>4344.28</v>
          </cell>
          <cell r="J150">
            <v>4550.8999999999996</v>
          </cell>
          <cell r="K150">
            <v>4988.1400000000003</v>
          </cell>
          <cell r="L150">
            <v>4974.7599999999993</v>
          </cell>
          <cell r="M150">
            <v>5045.1600000000008</v>
          </cell>
          <cell r="N150">
            <v>4980.5399999999991</v>
          </cell>
          <cell r="O150">
            <v>4666.1399999999994</v>
          </cell>
          <cell r="P150">
            <v>4446.1800000000012</v>
          </cell>
          <cell r="Q150">
            <v>2194.8599999999997</v>
          </cell>
          <cell r="R150">
            <v>1375.98</v>
          </cell>
          <cell r="S150">
            <v>1379.8300000000002</v>
          </cell>
          <cell r="T150">
            <v>1388.3000000000002</v>
          </cell>
          <cell r="U150">
            <v>1402.1699999999998</v>
          </cell>
          <cell r="V150">
            <v>1404.1499999999996</v>
          </cell>
          <cell r="W150">
            <v>1431.48</v>
          </cell>
          <cell r="X150">
            <v>1426.3</v>
          </cell>
          <cell r="Y150">
            <v>1474.07</v>
          </cell>
          <cell r="Z150">
            <v>1499.59</v>
          </cell>
          <cell r="AA150">
            <v>1509.16</v>
          </cell>
          <cell r="AB150">
            <v>1513.12</v>
          </cell>
          <cell r="AC150">
            <v>1531.05</v>
          </cell>
          <cell r="AD150">
            <v>1524.45</v>
          </cell>
          <cell r="AE150">
            <v>1527.3700000000006</v>
          </cell>
          <cell r="AF150">
            <v>1522.0999999999997</v>
          </cell>
          <cell r="AG150">
            <v>1539.5800000000002</v>
          </cell>
          <cell r="AH150">
            <v>1542.42</v>
          </cell>
          <cell r="AI150">
            <v>1574.7800000000002</v>
          </cell>
          <cell r="AJ150">
            <v>1586.9100000000003</v>
          </cell>
        </row>
      </sheetData>
      <sheetData sheetId="20"/>
      <sheetData sheetId="21"/>
      <sheetData sheetId="22">
        <row r="150">
          <cell r="C150">
            <v>11.539999999999997</v>
          </cell>
          <cell r="D150">
            <v>11.709999999999996</v>
          </cell>
          <cell r="E150">
            <v>11.209999999999997</v>
          </cell>
          <cell r="F150">
            <v>9.509999999999998</v>
          </cell>
          <cell r="G150">
            <v>8.7499999999999964</v>
          </cell>
          <cell r="H150">
            <v>8.8999999999999968</v>
          </cell>
          <cell r="I150">
            <v>8.7199999999999953</v>
          </cell>
          <cell r="J150">
            <v>8.8699999999999974</v>
          </cell>
          <cell r="K150">
            <v>9.6899999999999977</v>
          </cell>
          <cell r="L150">
            <v>9.2899999999999974</v>
          </cell>
          <cell r="M150">
            <v>9.3799999999999972</v>
          </cell>
          <cell r="N150">
            <v>8.9999999999999982</v>
          </cell>
          <cell r="O150">
            <v>8.1899999999999959</v>
          </cell>
          <cell r="P150">
            <v>7.5899999999999981</v>
          </cell>
          <cell r="Q150">
            <v>2.34</v>
          </cell>
          <cell r="R150">
            <v>0.44000000000000011</v>
          </cell>
          <cell r="S150">
            <v>0.3600000000000001</v>
          </cell>
          <cell r="T150">
            <v>0.37000000000000011</v>
          </cell>
          <cell r="U150">
            <v>0.38000000000000012</v>
          </cell>
          <cell r="V150">
            <v>0.39000000000000012</v>
          </cell>
          <cell r="W150">
            <v>0.40000000000000013</v>
          </cell>
          <cell r="X150">
            <v>0.41000000000000014</v>
          </cell>
          <cell r="Y150">
            <v>0.38000000000000012</v>
          </cell>
          <cell r="Z150">
            <v>0.42000000000000015</v>
          </cell>
          <cell r="AA150">
            <v>0.44000000000000017</v>
          </cell>
          <cell r="AB150">
            <v>0.4700000000000002</v>
          </cell>
          <cell r="AC150">
            <v>0.4700000000000002</v>
          </cell>
          <cell r="AD150">
            <v>0.4700000000000002</v>
          </cell>
          <cell r="AE150">
            <v>0.49000000000000021</v>
          </cell>
          <cell r="AF150">
            <v>0.4800000000000002</v>
          </cell>
          <cell r="AG150">
            <v>0.51000000000000012</v>
          </cell>
          <cell r="AH150">
            <v>0.52000000000000013</v>
          </cell>
          <cell r="AI150">
            <v>0.55000000000000016</v>
          </cell>
          <cell r="AJ150">
            <v>0.55000000000000016</v>
          </cell>
        </row>
      </sheetData>
      <sheetData sheetId="23">
        <row r="150">
          <cell r="C150">
            <v>13025.86</v>
          </cell>
          <cell r="D150">
            <v>14759.440000000002</v>
          </cell>
          <cell r="E150">
            <v>13063.699999999995</v>
          </cell>
          <cell r="F150">
            <v>13165.97</v>
          </cell>
          <cell r="G150">
            <v>12721.820000000002</v>
          </cell>
          <cell r="H150">
            <v>11932.210000000001</v>
          </cell>
          <cell r="I150">
            <v>17141.999999999996</v>
          </cell>
          <cell r="J150">
            <v>15968.219999999996</v>
          </cell>
          <cell r="K150">
            <v>15709.62</v>
          </cell>
          <cell r="L150">
            <v>16159.93</v>
          </cell>
          <cell r="M150">
            <v>20084.580000000005</v>
          </cell>
          <cell r="N150">
            <v>23622.179999999989</v>
          </cell>
          <cell r="O150">
            <v>23816.309999999998</v>
          </cell>
          <cell r="P150">
            <v>27650.260000000002</v>
          </cell>
          <cell r="Q150">
            <v>32394.749999999985</v>
          </cell>
          <cell r="R150">
            <v>32547.15</v>
          </cell>
          <cell r="S150">
            <v>36534.200000000004</v>
          </cell>
          <cell r="T150">
            <v>40542.959999999999</v>
          </cell>
          <cell r="U150">
            <v>41631.499999999985</v>
          </cell>
          <cell r="V150">
            <v>50297.71</v>
          </cell>
          <cell r="W150">
            <v>49654.6</v>
          </cell>
          <cell r="X150">
            <v>54518.44000000001</v>
          </cell>
          <cell r="Y150">
            <v>54994.919999999984</v>
          </cell>
          <cell r="Z150">
            <v>54314.429999999993</v>
          </cell>
          <cell r="AA150">
            <v>58774.139999999992</v>
          </cell>
          <cell r="AB150">
            <v>63327.460000000014</v>
          </cell>
          <cell r="AC150">
            <v>67530.789999999979</v>
          </cell>
          <cell r="AD150">
            <v>71720.41</v>
          </cell>
          <cell r="AE150">
            <v>75468.470000000016</v>
          </cell>
          <cell r="AF150">
            <v>73657.909999999974</v>
          </cell>
          <cell r="AG150">
            <v>77673.27</v>
          </cell>
          <cell r="AH150">
            <v>77799.320000000007</v>
          </cell>
          <cell r="AI150">
            <v>76402.319999999992</v>
          </cell>
          <cell r="AJ150">
            <v>78196.63</v>
          </cell>
        </row>
      </sheetData>
      <sheetData sheetId="24"/>
      <sheetData sheetId="25"/>
      <sheetData sheetId="26">
        <row r="150">
          <cell r="C150">
            <v>73039.540000000023</v>
          </cell>
          <cell r="D150">
            <v>76377.12999999999</v>
          </cell>
          <cell r="E150">
            <v>84559.949999999983</v>
          </cell>
          <cell r="F150">
            <v>89564.229999999967</v>
          </cell>
          <cell r="G150">
            <v>98414.42</v>
          </cell>
          <cell r="H150">
            <v>112328.06000000001</v>
          </cell>
          <cell r="I150">
            <v>129724.16999999998</v>
          </cell>
          <cell r="J150">
            <v>150530.93000000005</v>
          </cell>
          <cell r="K150">
            <v>173403.97000000003</v>
          </cell>
          <cell r="L150">
            <v>187619.94</v>
          </cell>
          <cell r="M150">
            <v>206309.06</v>
          </cell>
          <cell r="N150">
            <v>224737.71000000002</v>
          </cell>
          <cell r="O150">
            <v>236025.96000000002</v>
          </cell>
          <cell r="P150">
            <v>251658.21</v>
          </cell>
          <cell r="Q150">
            <v>249944.65000000002</v>
          </cell>
          <cell r="R150">
            <v>263141.48000000004</v>
          </cell>
          <cell r="S150">
            <v>279073.06</v>
          </cell>
          <cell r="T150">
            <v>313532.77999999997</v>
          </cell>
          <cell r="U150">
            <v>331477.79000000004</v>
          </cell>
          <cell r="V150">
            <v>362047.8</v>
          </cell>
          <cell r="W150">
            <v>372158.44</v>
          </cell>
          <cell r="X150">
            <v>393501.98</v>
          </cell>
          <cell r="Y150">
            <v>400141.02</v>
          </cell>
          <cell r="Z150">
            <v>420039.1</v>
          </cell>
          <cell r="AA150">
            <v>431470.68</v>
          </cell>
          <cell r="AB150">
            <v>455726.5</v>
          </cell>
          <cell r="AC150">
            <v>467895.37</v>
          </cell>
          <cell r="AD150">
            <v>493297.15</v>
          </cell>
          <cell r="AE150">
            <v>506383.08999999997</v>
          </cell>
          <cell r="AF150">
            <v>531077.02</v>
          </cell>
          <cell r="AG150">
            <v>545828.05000000005</v>
          </cell>
          <cell r="AH150">
            <v>575164.67999999993</v>
          </cell>
          <cell r="AI150">
            <v>592872.49</v>
          </cell>
          <cell r="AJ150">
            <v>623321.82999999996</v>
          </cell>
        </row>
      </sheetData>
      <sheetData sheetId="27"/>
      <sheetData sheetId="28">
        <row r="150">
          <cell r="C150">
            <v>1174.2431000000001</v>
          </cell>
          <cell r="D150">
            <v>1191.943</v>
          </cell>
          <cell r="E150">
            <v>1142.0067999999999</v>
          </cell>
          <cell r="F150">
            <v>970.50330000000008</v>
          </cell>
          <cell r="G150">
            <v>861.83359999999993</v>
          </cell>
          <cell r="H150">
            <v>883.30669999999998</v>
          </cell>
          <cell r="I150">
            <v>860.87419999999997</v>
          </cell>
          <cell r="J150">
            <v>883.1354</v>
          </cell>
          <cell r="K150">
            <v>967.43219999999997</v>
          </cell>
          <cell r="L150">
            <v>928.41429999999991</v>
          </cell>
          <cell r="M150">
            <v>912.67319999999995</v>
          </cell>
          <cell r="N150">
            <v>862.62139999999999</v>
          </cell>
          <cell r="O150">
            <v>761.70090000000005</v>
          </cell>
          <cell r="P150">
            <v>686.16039999999998</v>
          </cell>
          <cell r="Q150">
            <v>175.9024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Capacity"/>
      <sheetName val="Capacity Factor"/>
      <sheetName val="CO2"/>
      <sheetName val="CO2 Allow"/>
      <sheetName val="CO2 Cost"/>
      <sheetName val="Dependable Cap"/>
      <sheetName val="Dispatch Price"/>
      <sheetName val="FOM Cost"/>
      <sheetName val="Fuel Cost"/>
      <sheetName val="Fuel Used"/>
      <sheetName val="Fuel Rate"/>
      <sheetName val="Generation"/>
      <sheetName val="Heat Rate"/>
      <sheetName val="Hg"/>
      <sheetName val="Hours"/>
      <sheetName val="NOx"/>
      <sheetName val="NOx Allow"/>
      <sheetName val="NOx Cost"/>
      <sheetName val="Reagent Cost"/>
      <sheetName val="SO2"/>
      <sheetName val="SO2 Allow"/>
      <sheetName val="SO2 Cost"/>
      <sheetName val="Start Cost"/>
      <sheetName val="Starts"/>
      <sheetName val="Total Cost"/>
      <sheetName val="VOM Cost"/>
      <sheetName val="VOM Rate"/>
      <sheetName val="Lime Cost"/>
    </sheetNames>
    <sheetDataSet>
      <sheetData sheetId="0"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94.93</v>
          </cell>
          <cell r="L9">
            <v>0</v>
          </cell>
          <cell r="M9">
            <v>0</v>
          </cell>
          <cell r="N9">
            <v>7.2</v>
          </cell>
          <cell r="O9">
            <v>0</v>
          </cell>
          <cell r="P9">
            <v>0</v>
          </cell>
          <cell r="Q9">
            <v>0</v>
          </cell>
          <cell r="R9">
            <v>30.36</v>
          </cell>
          <cell r="S9">
            <v>0</v>
          </cell>
          <cell r="T9">
            <v>0</v>
          </cell>
          <cell r="U9">
            <v>358.47</v>
          </cell>
          <cell r="V9">
            <v>0</v>
          </cell>
          <cell r="W9">
            <v>404.45</v>
          </cell>
          <cell r="X9">
            <v>0</v>
          </cell>
          <cell r="Y9">
            <v>3628.57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2913.15</v>
          </cell>
          <cell r="AG9">
            <v>1142.71</v>
          </cell>
          <cell r="AH9">
            <v>0</v>
          </cell>
          <cell r="AI9">
            <v>0</v>
          </cell>
        </row>
        <row r="13">
          <cell r="B13">
            <v>390678.16</v>
          </cell>
          <cell r="C13">
            <v>384872.26</v>
          </cell>
          <cell r="D13">
            <v>381802.52</v>
          </cell>
          <cell r="E13">
            <v>381802.52</v>
          </cell>
          <cell r="F13">
            <v>382800.76</v>
          </cell>
          <cell r="G13">
            <v>381802.51</v>
          </cell>
          <cell r="H13">
            <v>381802.52</v>
          </cell>
          <cell r="I13">
            <v>381802.51</v>
          </cell>
          <cell r="J13">
            <v>382800.76</v>
          </cell>
          <cell r="K13">
            <v>381802.52</v>
          </cell>
          <cell r="L13">
            <v>381802.52</v>
          </cell>
          <cell r="M13">
            <v>381802.51</v>
          </cell>
          <cell r="N13">
            <v>382800.76</v>
          </cell>
          <cell r="O13">
            <v>381802.52</v>
          </cell>
          <cell r="P13">
            <v>488036.07999999996</v>
          </cell>
          <cell r="Q13">
            <v>565751.78</v>
          </cell>
          <cell r="R13">
            <v>565751.78</v>
          </cell>
          <cell r="S13">
            <v>565751.78</v>
          </cell>
          <cell r="T13">
            <v>608469.98</v>
          </cell>
          <cell r="U13">
            <v>638982.99</v>
          </cell>
          <cell r="V13">
            <v>653943.28</v>
          </cell>
          <cell r="W13">
            <v>664629.15</v>
          </cell>
          <cell r="X13">
            <v>742015.81</v>
          </cell>
          <cell r="Y13">
            <v>797361.63</v>
          </cell>
          <cell r="Z13">
            <v>830388.36</v>
          </cell>
          <cell r="AA13">
            <v>870905</v>
          </cell>
          <cell r="AB13">
            <v>882995.11</v>
          </cell>
          <cell r="AC13">
            <v>882995.13</v>
          </cell>
          <cell r="AD13">
            <v>882995.13</v>
          </cell>
          <cell r="AE13">
            <v>882995.13</v>
          </cell>
          <cell r="AF13">
            <v>882995.13</v>
          </cell>
          <cell r="AG13">
            <v>882995.13</v>
          </cell>
          <cell r="AH13">
            <v>882995.13</v>
          </cell>
          <cell r="AI13">
            <v>882995.13</v>
          </cell>
        </row>
      </sheetData>
      <sheetData sheetId="1"/>
      <sheetData sheetId="2"/>
      <sheetData sheetId="3"/>
      <sheetData sheetId="4"/>
      <sheetData sheetId="5"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102267.55000000002</v>
          </cell>
          <cell r="I150">
            <v>184199.38999999996</v>
          </cell>
          <cell r="J150">
            <v>267384.94000000012</v>
          </cell>
          <cell r="K150">
            <v>357729.56999999995</v>
          </cell>
          <cell r="L150">
            <v>445200.18999999994</v>
          </cell>
          <cell r="M150">
            <v>534212.71</v>
          </cell>
          <cell r="N150">
            <v>605372.58000000019</v>
          </cell>
          <cell r="O150">
            <v>689976.13</v>
          </cell>
          <cell r="P150">
            <v>766678.76999999979</v>
          </cell>
          <cell r="Q150">
            <v>794324.40000000014</v>
          </cell>
          <cell r="R150">
            <v>849529.87</v>
          </cell>
          <cell r="S150">
            <v>1034727.5100000002</v>
          </cell>
          <cell r="T150">
            <v>1220388.5599999998</v>
          </cell>
          <cell r="U150">
            <v>1409230.5000000002</v>
          </cell>
          <cell r="V150">
            <v>1613061.94</v>
          </cell>
          <cell r="W150">
            <v>1807016.7100000007</v>
          </cell>
          <cell r="X150">
            <v>2012694.98</v>
          </cell>
          <cell r="Y150">
            <v>2165002.0200000005</v>
          </cell>
          <cell r="Z150">
            <v>2343922.7799999993</v>
          </cell>
          <cell r="AA150">
            <v>2560911.5499999998</v>
          </cell>
          <cell r="AB150">
            <v>2764425.0500000007</v>
          </cell>
          <cell r="AC150">
            <v>2984867.26</v>
          </cell>
          <cell r="AD150">
            <v>3163764.61</v>
          </cell>
          <cell r="AE150">
            <v>3371087.6500000004</v>
          </cell>
          <cell r="AF150">
            <v>3542112.07</v>
          </cell>
          <cell r="AG150">
            <v>3773608.1300000004</v>
          </cell>
          <cell r="AH150">
            <v>3997426.4899999993</v>
          </cell>
          <cell r="AI150">
            <v>4224443.68</v>
          </cell>
          <cell r="AJ150">
            <v>4390521.38</v>
          </cell>
        </row>
      </sheetData>
      <sheetData sheetId="6"/>
      <sheetData sheetId="7"/>
      <sheetData sheetId="8">
        <row r="150">
          <cell r="C150">
            <v>445381.08</v>
          </cell>
          <cell r="D150">
            <v>433157.70000000007</v>
          </cell>
          <cell r="E150">
            <v>436092.64999999997</v>
          </cell>
          <cell r="F150">
            <v>456059.54000000004</v>
          </cell>
          <cell r="G150">
            <v>300440.52</v>
          </cell>
          <cell r="H150">
            <v>147853.22000000003</v>
          </cell>
          <cell r="I150">
            <v>57675.330000000009</v>
          </cell>
          <cell r="J150">
            <v>32805.870000000003</v>
          </cell>
          <cell r="K150">
            <v>21746.859999999997</v>
          </cell>
          <cell r="L150">
            <v>22249.190000000002</v>
          </cell>
          <cell r="M150">
            <v>22858.959999999999</v>
          </cell>
          <cell r="N150">
            <v>23441.45</v>
          </cell>
          <cell r="O150">
            <v>24103.559999999998</v>
          </cell>
          <cell r="P150">
            <v>24687.15</v>
          </cell>
          <cell r="Q150">
            <v>31993.279999999995</v>
          </cell>
          <cell r="R150">
            <v>37711.54</v>
          </cell>
          <cell r="S150">
            <v>38342.299999999996</v>
          </cell>
          <cell r="T150">
            <v>39068.81</v>
          </cell>
          <cell r="U150">
            <v>41958.259999999995</v>
          </cell>
          <cell r="V150">
            <v>44362.510000000009</v>
          </cell>
          <cell r="W150">
            <v>46055.909999999996</v>
          </cell>
          <cell r="X150">
            <v>47500.499999999993</v>
          </cell>
          <cell r="Y150">
            <v>54107.329999999994</v>
          </cell>
          <cell r="Z150">
            <v>59410.680000000008</v>
          </cell>
          <cell r="AA150">
            <v>62365.270000000019</v>
          </cell>
          <cell r="AB150">
            <v>65325.920000000006</v>
          </cell>
          <cell r="AC150">
            <v>66539.740000000005</v>
          </cell>
          <cell r="AD150">
            <v>67969.149999999994</v>
          </cell>
          <cell r="AE150">
            <v>69480.31</v>
          </cell>
          <cell r="AF150">
            <v>68531.02</v>
          </cell>
          <cell r="AG150">
            <v>64426.320000000007</v>
          </cell>
          <cell r="AH150">
            <v>60653.360000000008</v>
          </cell>
          <cell r="AI150">
            <v>58473.479999999996</v>
          </cell>
          <cell r="AJ150">
            <v>59704.849999999991</v>
          </cell>
        </row>
      </sheetData>
      <sheetData sheetId="9">
        <row r="150">
          <cell r="C150">
            <v>849844.7000000003</v>
          </cell>
          <cell r="D150">
            <v>858947.88999999978</v>
          </cell>
          <cell r="E150">
            <v>883705.43</v>
          </cell>
          <cell r="F150">
            <v>901694.84999999963</v>
          </cell>
          <cell r="G150">
            <v>912932.35</v>
          </cell>
          <cell r="H150">
            <v>972193.86999999953</v>
          </cell>
          <cell r="I150">
            <v>1055596.8500000001</v>
          </cell>
          <cell r="J150">
            <v>1186625.4400000002</v>
          </cell>
          <cell r="K150">
            <v>1360081.3499999999</v>
          </cell>
          <cell r="L150">
            <v>1477255.4600000002</v>
          </cell>
          <cell r="M150">
            <v>1569241.3100000003</v>
          </cell>
          <cell r="N150">
            <v>1645524.4</v>
          </cell>
          <cell r="O150">
            <v>1749916.9499999997</v>
          </cell>
          <cell r="P150">
            <v>1766281.9000000004</v>
          </cell>
          <cell r="Q150">
            <v>1818407.2100000002</v>
          </cell>
          <cell r="R150">
            <v>1881067.96</v>
          </cell>
          <cell r="S150">
            <v>1939408.2200000004</v>
          </cell>
          <cell r="T150">
            <v>2101433.4899999998</v>
          </cell>
          <cell r="U150">
            <v>2221123.2800000003</v>
          </cell>
          <cell r="V150">
            <v>2304485.0400000005</v>
          </cell>
          <cell r="W150">
            <v>2425936.9300000006</v>
          </cell>
          <cell r="X150">
            <v>2544307.4300000002</v>
          </cell>
          <cell r="Y150">
            <v>2602263.9899999998</v>
          </cell>
          <cell r="Z150">
            <v>2662613.0300000003</v>
          </cell>
          <cell r="AA150">
            <v>2804817.2300000004</v>
          </cell>
          <cell r="AB150">
            <v>2982040.9700000007</v>
          </cell>
          <cell r="AC150">
            <v>3133373.6699999995</v>
          </cell>
          <cell r="AD150">
            <v>3176204.2499999995</v>
          </cell>
          <cell r="AE150">
            <v>3310302.9300000006</v>
          </cell>
          <cell r="AF150">
            <v>3354479.5800000005</v>
          </cell>
          <cell r="AG150">
            <v>3434797.6200000006</v>
          </cell>
          <cell r="AH150">
            <v>3553108.65</v>
          </cell>
          <cell r="AI150">
            <v>3673616.7</v>
          </cell>
          <cell r="AJ150">
            <v>3743855.22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0">
          <cell r="C150">
            <v>411.14</v>
          </cell>
          <cell r="D150">
            <v>433.27999999999986</v>
          </cell>
          <cell r="E150">
            <v>412.28999999999991</v>
          </cell>
          <cell r="F150">
            <v>414.01000000000005</v>
          </cell>
          <cell r="G150">
            <v>463.99000000000012</v>
          </cell>
          <cell r="H150">
            <v>454.92000000000024</v>
          </cell>
          <cell r="I150">
            <v>481.98000000000008</v>
          </cell>
          <cell r="J150">
            <v>495.69000000000005</v>
          </cell>
          <cell r="K150">
            <v>486.07999999999993</v>
          </cell>
          <cell r="L150">
            <v>514.15000000000009</v>
          </cell>
          <cell r="M150">
            <v>527.72</v>
          </cell>
          <cell r="N150">
            <v>526.32999999999993</v>
          </cell>
          <cell r="O150">
            <v>521.74</v>
          </cell>
          <cell r="P150">
            <v>539.89999999999986</v>
          </cell>
          <cell r="Q150">
            <v>345.7600000000001</v>
          </cell>
          <cell r="R150">
            <v>316.43999999999994</v>
          </cell>
          <cell r="S150">
            <v>330.7</v>
          </cell>
          <cell r="T150">
            <v>344.29</v>
          </cell>
          <cell r="U150">
            <v>348.44000000000005</v>
          </cell>
          <cell r="V150">
            <v>366.9899999999999</v>
          </cell>
          <cell r="W150">
            <v>376.40999999999991</v>
          </cell>
          <cell r="X150">
            <v>395.81000000000012</v>
          </cell>
          <cell r="Y150">
            <v>338.72999999999996</v>
          </cell>
          <cell r="Z150">
            <v>342.90000000000003</v>
          </cell>
          <cell r="AA150">
            <v>350.60000000000014</v>
          </cell>
          <cell r="AB150">
            <v>362.03000000000003</v>
          </cell>
          <cell r="AC150">
            <v>378.52000000000004</v>
          </cell>
          <cell r="AD150">
            <v>384.8300000000001</v>
          </cell>
          <cell r="AE150">
            <v>393.99999999999989</v>
          </cell>
          <cell r="AF150">
            <v>399.50999999999993</v>
          </cell>
          <cell r="AG150">
            <v>417.10000000000014</v>
          </cell>
          <cell r="AH150">
            <v>431.75000000000017</v>
          </cell>
          <cell r="AI150">
            <v>442.68000000000006</v>
          </cell>
          <cell r="AJ150">
            <v>448.47</v>
          </cell>
        </row>
      </sheetData>
      <sheetData sheetId="19">
        <row r="150">
          <cell r="C150">
            <v>4635.1499999999996</v>
          </cell>
          <cell r="D150">
            <v>4834.5199999999995</v>
          </cell>
          <cell r="E150">
            <v>4794.2699999999995</v>
          </cell>
          <cell r="F150">
            <v>4367.6000000000004</v>
          </cell>
          <cell r="G150">
            <v>4399.6599999999989</v>
          </cell>
          <cell r="H150">
            <v>4794.97</v>
          </cell>
          <cell r="I150">
            <v>4892.2999999999993</v>
          </cell>
          <cell r="J150">
            <v>5128.0100000000011</v>
          </cell>
          <cell r="K150">
            <v>5750.9699999999993</v>
          </cell>
          <cell r="L150">
            <v>6181.95</v>
          </cell>
          <cell r="M150">
            <v>6295.1000000000013</v>
          </cell>
          <cell r="N150">
            <v>5975.8200000000015</v>
          </cell>
          <cell r="O150">
            <v>5716.2100000000009</v>
          </cell>
          <cell r="P150">
            <v>5066.0400000000018</v>
          </cell>
          <cell r="Q150">
            <v>2444.3000000000002</v>
          </cell>
          <cell r="R150">
            <v>1423.39</v>
          </cell>
          <cell r="S150">
            <v>1429.07</v>
          </cell>
          <cell r="T150">
            <v>1439.61</v>
          </cell>
          <cell r="U150">
            <v>1451.86</v>
          </cell>
          <cell r="V150">
            <v>1445.0600000000002</v>
          </cell>
          <cell r="W150">
            <v>1472.46</v>
          </cell>
          <cell r="X150">
            <v>1465.94</v>
          </cell>
          <cell r="Y150">
            <v>1526.2099999999998</v>
          </cell>
          <cell r="Z150">
            <v>1540.72</v>
          </cell>
          <cell r="AA150">
            <v>1556.8200000000002</v>
          </cell>
          <cell r="AB150">
            <v>1558.6599999999999</v>
          </cell>
          <cell r="AC150">
            <v>1577.9099999999999</v>
          </cell>
          <cell r="AD150">
            <v>1569.8</v>
          </cell>
          <cell r="AE150">
            <v>1569.95</v>
          </cell>
          <cell r="AF150">
            <v>1571.64</v>
          </cell>
          <cell r="AG150">
            <v>1583.98</v>
          </cell>
          <cell r="AH150">
            <v>1586.3</v>
          </cell>
          <cell r="AI150">
            <v>1608.43</v>
          </cell>
          <cell r="AJ150">
            <v>1604.95</v>
          </cell>
        </row>
      </sheetData>
      <sheetData sheetId="20"/>
      <sheetData sheetId="21"/>
      <sheetData sheetId="22">
        <row r="150">
          <cell r="C150">
            <v>11.539999999999997</v>
          </cell>
          <cell r="D150">
            <v>11.709999999999996</v>
          </cell>
          <cell r="E150">
            <v>11.339999999999998</v>
          </cell>
          <cell r="F150">
            <v>9.6899999999999977</v>
          </cell>
          <cell r="G150">
            <v>9.4399999999999959</v>
          </cell>
          <cell r="H150">
            <v>10.199999999999996</v>
          </cell>
          <cell r="I150">
            <v>10.119999999999994</v>
          </cell>
          <cell r="J150">
            <v>10.189999999999996</v>
          </cell>
          <cell r="K150">
            <v>11.409999999999997</v>
          </cell>
          <cell r="L150">
            <v>12.02</v>
          </cell>
          <cell r="M150">
            <v>12.099999999999996</v>
          </cell>
          <cell r="N150">
            <v>11.149999999999997</v>
          </cell>
          <cell r="O150">
            <v>10.389999999999997</v>
          </cell>
          <cell r="P150">
            <v>8.8099999999999952</v>
          </cell>
          <cell r="Q150">
            <v>2.7999999999999994</v>
          </cell>
          <cell r="R150">
            <v>0.41000000000000014</v>
          </cell>
          <cell r="S150">
            <v>0.39000000000000012</v>
          </cell>
          <cell r="T150">
            <v>0.39000000000000012</v>
          </cell>
          <cell r="U150">
            <v>0.40000000000000013</v>
          </cell>
          <cell r="V150">
            <v>0.40000000000000013</v>
          </cell>
          <cell r="W150">
            <v>0.42000000000000015</v>
          </cell>
          <cell r="X150">
            <v>0.43000000000000016</v>
          </cell>
          <cell r="Y150">
            <v>0.43000000000000016</v>
          </cell>
          <cell r="Z150">
            <v>0.44000000000000017</v>
          </cell>
          <cell r="AA150">
            <v>0.46000000000000019</v>
          </cell>
          <cell r="AB150">
            <v>0.4800000000000002</v>
          </cell>
          <cell r="AC150">
            <v>0.49000000000000021</v>
          </cell>
          <cell r="AD150">
            <v>0.49000000000000021</v>
          </cell>
          <cell r="AE150">
            <v>0.50000000000000022</v>
          </cell>
          <cell r="AF150">
            <v>0.51000000000000012</v>
          </cell>
          <cell r="AG150">
            <v>0.53000000000000014</v>
          </cell>
          <cell r="AH150">
            <v>0.55000000000000016</v>
          </cell>
          <cell r="AI150">
            <v>0.56000000000000016</v>
          </cell>
          <cell r="AJ150">
            <v>0.56000000000000016</v>
          </cell>
        </row>
      </sheetData>
      <sheetData sheetId="23">
        <row r="150">
          <cell r="C150">
            <v>13025.86</v>
          </cell>
          <cell r="D150">
            <v>14759.080000000004</v>
          </cell>
          <cell r="E150">
            <v>13740.369999999999</v>
          </cell>
          <cell r="F150">
            <v>14875.59</v>
          </cell>
          <cell r="G150">
            <v>14534.710000000001</v>
          </cell>
          <cell r="H150">
            <v>13322.01</v>
          </cell>
          <cell r="I150">
            <v>17776.330000000002</v>
          </cell>
          <cell r="J150">
            <v>17128.840000000004</v>
          </cell>
          <cell r="K150">
            <v>17913.440000000002</v>
          </cell>
          <cell r="L150">
            <v>17504.359999999997</v>
          </cell>
          <cell r="M150">
            <v>21917.650000000005</v>
          </cell>
          <cell r="N150">
            <v>25037.1</v>
          </cell>
          <cell r="O150">
            <v>26223.93</v>
          </cell>
          <cell r="P150">
            <v>28959.919999999998</v>
          </cell>
          <cell r="Q150">
            <v>35682.560000000005</v>
          </cell>
          <cell r="R150">
            <v>36833.189999999995</v>
          </cell>
          <cell r="S150">
            <v>38717.83</v>
          </cell>
          <cell r="T150">
            <v>41853.750000000007</v>
          </cell>
          <cell r="U150">
            <v>45955.840000000011</v>
          </cell>
          <cell r="V150">
            <v>55235.19000000001</v>
          </cell>
          <cell r="W150">
            <v>52896.87</v>
          </cell>
          <cell r="X150">
            <v>58116.87</v>
          </cell>
          <cell r="Y150">
            <v>59040.560000000005</v>
          </cell>
          <cell r="Z150">
            <v>57292.75</v>
          </cell>
          <cell r="AA150">
            <v>62532.889999999992</v>
          </cell>
          <cell r="AB150">
            <v>67991.899999999965</v>
          </cell>
          <cell r="AC150">
            <v>72735.7</v>
          </cell>
          <cell r="AD150">
            <v>72853.66</v>
          </cell>
          <cell r="AE150">
            <v>80136.329999999987</v>
          </cell>
          <cell r="AF150">
            <v>77470.269999999975</v>
          </cell>
          <cell r="AG150">
            <v>79732.280000000028</v>
          </cell>
          <cell r="AH150">
            <v>83540.06</v>
          </cell>
          <cell r="AI150">
            <v>82037.440000000002</v>
          </cell>
          <cell r="AJ150">
            <v>83617.199999999983</v>
          </cell>
        </row>
      </sheetData>
      <sheetData sheetId="24"/>
      <sheetData sheetId="25"/>
      <sheetData sheetId="26">
        <row r="150">
          <cell r="C150">
            <v>73039.950000000012</v>
          </cell>
          <cell r="D150">
            <v>76374.069999999992</v>
          </cell>
          <cell r="E150">
            <v>85282.14999999998</v>
          </cell>
          <cell r="F150">
            <v>91682.319999999978</v>
          </cell>
          <cell r="G150">
            <v>102315.46</v>
          </cell>
          <cell r="H150">
            <v>116033.67000000001</v>
          </cell>
          <cell r="I150">
            <v>133291.45000000001</v>
          </cell>
          <cell r="J150">
            <v>154016.87</v>
          </cell>
          <cell r="K150">
            <v>176684.78000000003</v>
          </cell>
          <cell r="L150">
            <v>190862.73000000004</v>
          </cell>
          <cell r="M150">
            <v>209584.06999999995</v>
          </cell>
          <cell r="N150">
            <v>228151.18</v>
          </cell>
          <cell r="O150">
            <v>239526.35</v>
          </cell>
          <cell r="P150">
            <v>255363.59</v>
          </cell>
          <cell r="Q150">
            <v>254115.15999999997</v>
          </cell>
          <cell r="R150">
            <v>267133.63</v>
          </cell>
          <cell r="S150">
            <v>283167.28999999998</v>
          </cell>
          <cell r="T150">
            <v>317826.87</v>
          </cell>
          <cell r="U150">
            <v>335958.08</v>
          </cell>
          <cell r="V150">
            <v>366461.72</v>
          </cell>
          <cell r="W150">
            <v>376913.38</v>
          </cell>
          <cell r="X150">
            <v>397799.81</v>
          </cell>
          <cell r="Y150">
            <v>404719.89</v>
          </cell>
          <cell r="Z150">
            <v>424528.95</v>
          </cell>
          <cell r="AA150">
            <v>436478.19</v>
          </cell>
          <cell r="AB150">
            <v>461512.74999999994</v>
          </cell>
          <cell r="AC150">
            <v>473420.07</v>
          </cell>
          <cell r="AD150">
            <v>498737.82000000007</v>
          </cell>
          <cell r="AE150">
            <v>511896.89</v>
          </cell>
          <cell r="AF150">
            <v>537149.42000000004</v>
          </cell>
          <cell r="AG150">
            <v>550966.54</v>
          </cell>
          <cell r="AH150">
            <v>580337.65</v>
          </cell>
          <cell r="AI150">
            <v>597172.19999999995</v>
          </cell>
          <cell r="AJ150">
            <v>625604.27</v>
          </cell>
        </row>
      </sheetData>
      <sheetData sheetId="27"/>
      <sheetData sheetId="28">
        <row r="150">
          <cell r="C150">
            <v>1174.1422</v>
          </cell>
          <cell r="D150">
            <v>1191.9562000000001</v>
          </cell>
          <cell r="E150">
            <v>1154.7694999999999</v>
          </cell>
          <cell r="F150">
            <v>986.30340000000001</v>
          </cell>
          <cell r="G150">
            <v>915.18290000000002</v>
          </cell>
          <cell r="H150">
            <v>1006.8102</v>
          </cell>
          <cell r="I150">
            <v>999.24710000000005</v>
          </cell>
          <cell r="J150">
            <v>1024.9571000000001</v>
          </cell>
          <cell r="K150">
            <v>1155.4970000000001</v>
          </cell>
          <cell r="L150">
            <v>1219.1967</v>
          </cell>
          <cell r="M150">
            <v>1206.2525000000001</v>
          </cell>
          <cell r="N150">
            <v>1082.6172999999999</v>
          </cell>
          <cell r="O150">
            <v>989.90100000000007</v>
          </cell>
          <cell r="P150">
            <v>811.98879999999997</v>
          </cell>
          <cell r="Q150">
            <v>219.84610000000001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Capacity"/>
      <sheetName val="Capacity Factor"/>
      <sheetName val="CO2"/>
      <sheetName val="CO2 Allow"/>
      <sheetName val="CO2 Cost"/>
      <sheetName val="Dependable Cap"/>
      <sheetName val="Dispatch Price"/>
      <sheetName val="FOM Cost"/>
      <sheetName val="Fuel Cost"/>
      <sheetName val="Fuel Used"/>
      <sheetName val="Fuel Rate"/>
      <sheetName val="Generation"/>
      <sheetName val="Heat Rate"/>
      <sheetName val="Hg"/>
      <sheetName val="Hours"/>
      <sheetName val="NOx"/>
      <sheetName val="NOx Allow"/>
      <sheetName val="NOx Cost"/>
      <sheetName val="Reagent Cost"/>
      <sheetName val="SO2"/>
      <sheetName val="SO2 Allow"/>
      <sheetName val="SO2 Cost"/>
      <sheetName val="Start Cost"/>
      <sheetName val="Starts"/>
      <sheetName val="Total Cost"/>
      <sheetName val="VOM Cost"/>
      <sheetName val="VOM Rate"/>
      <sheetName val="Lime Cost"/>
    </sheetNames>
    <sheetDataSet>
      <sheetData sheetId="0"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11.87</v>
          </cell>
          <cell r="L9">
            <v>0</v>
          </cell>
          <cell r="M9">
            <v>85.25</v>
          </cell>
          <cell r="N9">
            <v>326.63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1408.33</v>
          </cell>
          <cell r="T9">
            <v>482.37</v>
          </cell>
          <cell r="U9">
            <v>1593.28</v>
          </cell>
          <cell r="V9">
            <v>0</v>
          </cell>
          <cell r="W9">
            <v>74.09</v>
          </cell>
          <cell r="X9">
            <v>0</v>
          </cell>
          <cell r="Y9">
            <v>1601.75</v>
          </cell>
          <cell r="Z9">
            <v>819.12</v>
          </cell>
          <cell r="AA9">
            <v>0</v>
          </cell>
          <cell r="AB9">
            <v>363.57</v>
          </cell>
          <cell r="AC9">
            <v>15.8</v>
          </cell>
          <cell r="AD9">
            <v>59.69</v>
          </cell>
          <cell r="AE9">
            <v>0</v>
          </cell>
          <cell r="AF9">
            <v>0</v>
          </cell>
          <cell r="AG9">
            <v>15545.79</v>
          </cell>
          <cell r="AH9">
            <v>1125.8</v>
          </cell>
          <cell r="AI9">
            <v>90.84</v>
          </cell>
        </row>
        <row r="13">
          <cell r="B13">
            <v>390678.16</v>
          </cell>
          <cell r="C13">
            <v>384872.26</v>
          </cell>
          <cell r="D13">
            <v>381802.52</v>
          </cell>
          <cell r="E13">
            <v>381802.52</v>
          </cell>
          <cell r="F13">
            <v>382800.76</v>
          </cell>
          <cell r="G13">
            <v>381802.51</v>
          </cell>
          <cell r="H13">
            <v>381802.52</v>
          </cell>
          <cell r="I13">
            <v>381802.51</v>
          </cell>
          <cell r="J13">
            <v>382800.76</v>
          </cell>
          <cell r="K13">
            <v>381802.52</v>
          </cell>
          <cell r="L13">
            <v>381802.52</v>
          </cell>
          <cell r="M13">
            <v>381802.51</v>
          </cell>
          <cell r="N13">
            <v>382800.76</v>
          </cell>
          <cell r="O13">
            <v>381802.52</v>
          </cell>
          <cell r="P13">
            <v>462235.69000000006</v>
          </cell>
          <cell r="Q13">
            <v>521522.52</v>
          </cell>
          <cell r="R13">
            <v>535075.79</v>
          </cell>
          <cell r="S13">
            <v>544756.69999999995</v>
          </cell>
          <cell r="T13">
            <v>573235.51</v>
          </cell>
          <cell r="U13">
            <v>593577.51</v>
          </cell>
          <cell r="V13">
            <v>608537.78</v>
          </cell>
          <cell r="W13">
            <v>619223.69999999995</v>
          </cell>
          <cell r="X13">
            <v>696610.36</v>
          </cell>
          <cell r="Y13">
            <v>751956.18</v>
          </cell>
          <cell r="Z13">
            <v>784982.86</v>
          </cell>
          <cell r="AA13">
            <v>825499.5</v>
          </cell>
          <cell r="AB13">
            <v>854938.99</v>
          </cell>
          <cell r="AC13">
            <v>867331.36</v>
          </cell>
          <cell r="AD13">
            <v>867331.36</v>
          </cell>
          <cell r="AE13">
            <v>867331.36</v>
          </cell>
          <cell r="AF13">
            <v>867331.36</v>
          </cell>
          <cell r="AG13">
            <v>867331.36</v>
          </cell>
          <cell r="AH13">
            <v>867331.36</v>
          </cell>
          <cell r="AI13">
            <v>867331.36</v>
          </cell>
        </row>
      </sheetData>
      <sheetData sheetId="1"/>
      <sheetData sheetId="2"/>
      <sheetData sheetId="3"/>
      <sheetData sheetId="4"/>
      <sheetData sheetId="5"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97605.150000000009</v>
          </cell>
          <cell r="I150">
            <v>176100.45</v>
          </cell>
          <cell r="J150">
            <v>256174.51</v>
          </cell>
          <cell r="K150">
            <v>343536.35</v>
          </cell>
          <cell r="L150">
            <v>425550.02999999991</v>
          </cell>
          <cell r="M150">
            <v>515725.96999999991</v>
          </cell>
          <cell r="N150">
            <v>582983.06999999983</v>
          </cell>
          <cell r="O150">
            <v>665262.33000000019</v>
          </cell>
          <cell r="P150">
            <v>738669.03</v>
          </cell>
          <cell r="Q150">
            <v>761313.11999999976</v>
          </cell>
          <cell r="R150">
            <v>814406.92999999993</v>
          </cell>
          <cell r="S150">
            <v>993128.38000000024</v>
          </cell>
          <cell r="T150">
            <v>1170062.6200000003</v>
          </cell>
          <cell r="U150">
            <v>1352321.7600000005</v>
          </cell>
          <cell r="V150">
            <v>1546182.89</v>
          </cell>
          <cell r="W150">
            <v>1733262.6900000002</v>
          </cell>
          <cell r="X150">
            <v>1932048.8000000003</v>
          </cell>
          <cell r="Y150">
            <v>2081409.69</v>
          </cell>
          <cell r="Z150">
            <v>2252134.36</v>
          </cell>
          <cell r="AA150">
            <v>2466642.3200000003</v>
          </cell>
          <cell r="AB150">
            <v>2662992.9000000004</v>
          </cell>
          <cell r="AC150">
            <v>2878451.2500000005</v>
          </cell>
          <cell r="AD150">
            <v>3054298.0599999996</v>
          </cell>
          <cell r="AE150">
            <v>3247654.2</v>
          </cell>
          <cell r="AF150">
            <v>3421301.4200000013</v>
          </cell>
          <cell r="AG150">
            <v>3645335.8800000004</v>
          </cell>
          <cell r="AH150">
            <v>3853549.8699999987</v>
          </cell>
          <cell r="AI150">
            <v>4101174.1199999992</v>
          </cell>
          <cell r="AJ150">
            <v>4325404.76</v>
          </cell>
        </row>
      </sheetData>
      <sheetData sheetId="6"/>
      <sheetData sheetId="7"/>
      <sheetData sheetId="8">
        <row r="132">
          <cell r="C132">
            <v>0</v>
          </cell>
          <cell r="D132">
            <v>0</v>
          </cell>
          <cell r="E132">
            <v>1227.76</v>
          </cell>
          <cell r="F132">
            <v>1245.6400000000001</v>
          </cell>
          <cell r="G132">
            <v>1274.24</v>
          </cell>
          <cell r="H132">
            <v>1303.58</v>
          </cell>
          <cell r="I132">
            <v>1343.68</v>
          </cell>
          <cell r="J132">
            <v>1477.57</v>
          </cell>
          <cell r="K132">
            <v>1512.64</v>
          </cell>
          <cell r="L132">
            <v>1548.42</v>
          </cell>
          <cell r="M132">
            <v>1584.93</v>
          </cell>
          <cell r="N132">
            <v>1632.2</v>
          </cell>
          <cell r="O132">
            <v>1660.27</v>
          </cell>
          <cell r="P132">
            <v>1699.18</v>
          </cell>
          <cell r="Q132">
            <v>1738.96</v>
          </cell>
          <cell r="R132">
            <v>1864.6</v>
          </cell>
          <cell r="S132">
            <v>1831.38</v>
          </cell>
          <cell r="T132">
            <v>1864.11</v>
          </cell>
          <cell r="U132">
            <v>1907.92</v>
          </cell>
          <cell r="V132">
            <v>1952.88</v>
          </cell>
          <cell r="W132">
            <v>1999.02</v>
          </cell>
          <cell r="X132">
            <v>2056.39</v>
          </cell>
          <cell r="Y132">
            <v>2095.04</v>
          </cell>
          <cell r="Z132">
            <v>2145.0300000000002</v>
          </cell>
          <cell r="AA132">
            <v>2196.38</v>
          </cell>
          <cell r="AB132">
            <v>2249.13</v>
          </cell>
          <cell r="AC132">
            <v>2313.34</v>
          </cell>
          <cell r="AD132">
            <v>2359.04</v>
          </cell>
          <cell r="AE132">
            <v>2416.2600000000002</v>
          </cell>
          <cell r="AF132">
            <v>2475.04</v>
          </cell>
          <cell r="AG132">
            <v>2535.42</v>
          </cell>
          <cell r="AH132">
            <v>2607.44</v>
          </cell>
          <cell r="AI132">
            <v>0</v>
          </cell>
          <cell r="AJ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2493.98</v>
          </cell>
          <cell r="G133">
            <v>2530.73</v>
          </cell>
          <cell r="H133">
            <v>2588.96</v>
          </cell>
          <cell r="I133">
            <v>2648.7</v>
          </cell>
          <cell r="J133">
            <v>2729.99</v>
          </cell>
          <cell r="K133">
            <v>2998.88</v>
          </cell>
          <cell r="L133">
            <v>3070.16</v>
          </cell>
          <cell r="M133">
            <v>3142.88</v>
          </cell>
          <cell r="N133">
            <v>3217.11</v>
          </cell>
          <cell r="O133">
            <v>3312.89</v>
          </cell>
          <cell r="P133">
            <v>3370.3</v>
          </cell>
          <cell r="Q133">
            <v>3449.42</v>
          </cell>
          <cell r="R133">
            <v>3530.33</v>
          </cell>
          <cell r="S133">
            <v>3782.98</v>
          </cell>
          <cell r="T133">
            <v>3717.95</v>
          </cell>
          <cell r="U133">
            <v>3784.86</v>
          </cell>
          <cell r="V133">
            <v>3873.99</v>
          </cell>
          <cell r="W133">
            <v>3965.42</v>
          </cell>
          <cell r="X133">
            <v>4059.27</v>
          </cell>
          <cell r="Y133">
            <v>4175.6400000000003</v>
          </cell>
          <cell r="Z133">
            <v>4254.6099999999997</v>
          </cell>
          <cell r="AA133">
            <v>4356.28</v>
          </cell>
          <cell r="AB133">
            <v>4460.7299999999996</v>
          </cell>
          <cell r="AC133">
            <v>4568.04</v>
          </cell>
          <cell r="AD133">
            <v>4698.3100000000004</v>
          </cell>
          <cell r="AE133">
            <v>4791.6000000000004</v>
          </cell>
          <cell r="AF133">
            <v>4907.99</v>
          </cell>
          <cell r="AG133">
            <v>5027.5600000000004</v>
          </cell>
          <cell r="AH133">
            <v>5150.38</v>
          </cell>
          <cell r="AI133">
            <v>5296.54</v>
          </cell>
          <cell r="AJ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2535.5500000000002</v>
          </cell>
          <cell r="H134">
            <v>2573.37</v>
          </cell>
          <cell r="I134">
            <v>2632.69</v>
          </cell>
          <cell r="J134">
            <v>2693.56</v>
          </cell>
          <cell r="K134">
            <v>2776.01</v>
          </cell>
          <cell r="L134">
            <v>3046.08</v>
          </cell>
          <cell r="M134">
            <v>3118.58</v>
          </cell>
          <cell r="N134">
            <v>3192.56</v>
          </cell>
          <cell r="O134">
            <v>3268.07</v>
          </cell>
          <cell r="P134">
            <v>3365.17</v>
          </cell>
          <cell r="Q134">
            <v>3423.94</v>
          </cell>
          <cell r="R134">
            <v>3504.44</v>
          </cell>
          <cell r="S134">
            <v>3586.79</v>
          </cell>
          <cell r="T134">
            <v>3840.9</v>
          </cell>
          <cell r="U134">
            <v>3777.38</v>
          </cell>
          <cell r="V134">
            <v>3845.84</v>
          </cell>
          <cell r="W134">
            <v>3936.55</v>
          </cell>
          <cell r="X134">
            <v>4029.62</v>
          </cell>
          <cell r="Y134">
            <v>4125.1400000000003</v>
          </cell>
          <cell r="Z134">
            <v>4243.2299999999996</v>
          </cell>
          <cell r="AA134">
            <v>4323.96</v>
          </cell>
          <cell r="AB134">
            <v>4427.45</v>
          </cell>
          <cell r="AC134">
            <v>4533.76</v>
          </cell>
          <cell r="AD134">
            <v>4642.99</v>
          </cell>
          <cell r="AE134">
            <v>4775.22</v>
          </cell>
          <cell r="AF134">
            <v>4870.53</v>
          </cell>
          <cell r="AG134">
            <v>4989</v>
          </cell>
          <cell r="AH134">
            <v>5110.7</v>
          </cell>
          <cell r="AI134">
            <v>5235.71</v>
          </cell>
          <cell r="AJ134">
            <v>5384.11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50">
          <cell r="C150">
            <v>445381.08</v>
          </cell>
          <cell r="D150">
            <v>433157.70000000007</v>
          </cell>
          <cell r="E150">
            <v>437320.41</v>
          </cell>
          <cell r="F150">
            <v>459799.16000000003</v>
          </cell>
          <cell r="G150">
            <v>306781.03999999998</v>
          </cell>
          <cell r="H150">
            <v>154319.13</v>
          </cell>
          <cell r="I150">
            <v>64300.400000000009</v>
          </cell>
          <cell r="J150">
            <v>39449.86</v>
          </cell>
          <cell r="K150">
            <v>28319.009999999995</v>
          </cell>
          <cell r="L150">
            <v>29257.760000000002</v>
          </cell>
          <cell r="M150">
            <v>29953.740000000005</v>
          </cell>
          <cell r="N150">
            <v>30794.030000000002</v>
          </cell>
          <cell r="O150">
            <v>31555.140000000003</v>
          </cell>
          <cell r="P150">
            <v>32397.620000000003</v>
          </cell>
          <cell r="Q150">
            <v>39096.68</v>
          </cell>
          <cell r="R150">
            <v>44343.15</v>
          </cell>
          <cell r="S150">
            <v>45896.959999999999</v>
          </cell>
          <cell r="T150">
            <v>47300.49</v>
          </cell>
          <cell r="U150">
            <v>49495.069999999992</v>
          </cell>
          <cell r="V150">
            <v>51532.039999999994</v>
          </cell>
          <cell r="W150">
            <v>53391.139999999992</v>
          </cell>
          <cell r="X150">
            <v>55015.88</v>
          </cell>
          <cell r="Y150">
            <v>61807.489999999991</v>
          </cell>
          <cell r="Z150">
            <v>67290.509999999995</v>
          </cell>
          <cell r="AA150">
            <v>70409.770000000019</v>
          </cell>
          <cell r="AB150">
            <v>73560.31</v>
          </cell>
          <cell r="AC150">
            <v>75847.23</v>
          </cell>
          <cell r="AD150">
            <v>78144.55</v>
          </cell>
          <cell r="AE150">
            <v>79900.33</v>
          </cell>
          <cell r="AF150">
            <v>79182.44</v>
          </cell>
          <cell r="AG150">
            <v>75336.099999999991</v>
          </cell>
          <cell r="AH150">
            <v>71838.63</v>
          </cell>
          <cell r="AI150">
            <v>67280.399999999994</v>
          </cell>
          <cell r="AJ150">
            <v>63320.499999999993</v>
          </cell>
        </row>
      </sheetData>
      <sheetData sheetId="9">
        <row r="150">
          <cell r="C150">
            <v>849844.7000000003</v>
          </cell>
          <cell r="D150">
            <v>858947.88999999978</v>
          </cell>
          <cell r="E150">
            <v>875386.03999999969</v>
          </cell>
          <cell r="F150">
            <v>877507.7999999997</v>
          </cell>
          <cell r="G150">
            <v>864544.54</v>
          </cell>
          <cell r="H150">
            <v>923508.83000000007</v>
          </cell>
          <cell r="I150">
            <v>1003850.6400000002</v>
          </cell>
          <cell r="J150">
            <v>1129653.2100000002</v>
          </cell>
          <cell r="K150">
            <v>1302962.1600000004</v>
          </cell>
          <cell r="L150">
            <v>1410139.4500000002</v>
          </cell>
          <cell r="M150">
            <v>1506795.6199999999</v>
          </cell>
          <cell r="N150">
            <v>1572259.4799999997</v>
          </cell>
          <cell r="O150">
            <v>1678340.1700000006</v>
          </cell>
          <cell r="P150">
            <v>1692716.7500000002</v>
          </cell>
          <cell r="Q150">
            <v>1739089.8600000003</v>
          </cell>
          <cell r="R150">
            <v>1803469.5999999999</v>
          </cell>
          <cell r="S150">
            <v>1860497.6999999997</v>
          </cell>
          <cell r="T150">
            <v>2013486.2800000005</v>
          </cell>
          <cell r="U150">
            <v>2131194.4000000004</v>
          </cell>
          <cell r="V150">
            <v>2209408.14</v>
          </cell>
          <cell r="W150">
            <v>2326630.3599999994</v>
          </cell>
          <cell r="X150">
            <v>2442321.6300000004</v>
          </cell>
          <cell r="Y150">
            <v>2501818.16</v>
          </cell>
          <cell r="Z150">
            <v>2557065.350000001</v>
          </cell>
          <cell r="AA150">
            <v>2700476.4300000006</v>
          </cell>
          <cell r="AB150">
            <v>2870622.7799999993</v>
          </cell>
          <cell r="AC150">
            <v>3020687.7499999995</v>
          </cell>
          <cell r="AD150">
            <v>3065019.2800000003</v>
          </cell>
          <cell r="AE150">
            <v>3187906.5</v>
          </cell>
          <cell r="AF150">
            <v>3239134.6899999995</v>
          </cell>
          <cell r="AG150">
            <v>3316168.5399999996</v>
          </cell>
          <cell r="AH150">
            <v>3424989.97</v>
          </cell>
          <cell r="AI150">
            <v>3565309.7900000005</v>
          </cell>
          <cell r="AJ150">
            <v>3687776.15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0">
          <cell r="C150">
            <v>411.14</v>
          </cell>
          <cell r="D150">
            <v>433.27999999999986</v>
          </cell>
          <cell r="E150">
            <v>402.80999999999983</v>
          </cell>
          <cell r="F150">
            <v>388.3300000000001</v>
          </cell>
          <cell r="G150">
            <v>393.22999999999979</v>
          </cell>
          <cell r="H150">
            <v>401.99999999999994</v>
          </cell>
          <cell r="I150">
            <v>431.67999999999995</v>
          </cell>
          <cell r="J150">
            <v>442.7099999999997</v>
          </cell>
          <cell r="K150">
            <v>502.63</v>
          </cell>
          <cell r="L150">
            <v>484.9</v>
          </cell>
          <cell r="M150">
            <v>552.84</v>
          </cell>
          <cell r="N150">
            <v>498.33</v>
          </cell>
          <cell r="O150">
            <v>542.07000000000005</v>
          </cell>
          <cell r="P150">
            <v>536.08000000000004</v>
          </cell>
          <cell r="Q150">
            <v>323.52999999999997</v>
          </cell>
          <cell r="R150">
            <v>304.55</v>
          </cell>
          <cell r="S150">
            <v>311.62999999999988</v>
          </cell>
          <cell r="T150">
            <v>323.43999999999988</v>
          </cell>
          <cell r="U150">
            <v>330.99000000000007</v>
          </cell>
          <cell r="V150">
            <v>346.74000000000012</v>
          </cell>
          <cell r="W150">
            <v>355.59999999999997</v>
          </cell>
          <cell r="X150">
            <v>372.74000000000007</v>
          </cell>
          <cell r="Y150">
            <v>321.27</v>
          </cell>
          <cell r="Z150">
            <v>322.62000000000006</v>
          </cell>
          <cell r="AA150">
            <v>333.62</v>
          </cell>
          <cell r="AB150">
            <v>340.65</v>
          </cell>
          <cell r="AC150">
            <v>358.95999999999992</v>
          </cell>
          <cell r="AD150">
            <v>364.66</v>
          </cell>
          <cell r="AE150">
            <v>373.45</v>
          </cell>
          <cell r="AF150">
            <v>379.78999999999991</v>
          </cell>
          <cell r="AG150">
            <v>395.29</v>
          </cell>
          <cell r="AH150">
            <v>408.09000000000003</v>
          </cell>
          <cell r="AI150">
            <v>423.40000000000009</v>
          </cell>
          <cell r="AJ150">
            <v>439.54000000000008</v>
          </cell>
        </row>
      </sheetData>
      <sheetData sheetId="19">
        <row r="150">
          <cell r="C150">
            <v>4635.1499999999996</v>
          </cell>
          <cell r="D150">
            <v>4834.5199999999995</v>
          </cell>
          <cell r="E150">
            <v>4747.54</v>
          </cell>
          <cell r="F150">
            <v>4294.7200000000012</v>
          </cell>
          <cell r="G150">
            <v>4219.45</v>
          </cell>
          <cell r="H150">
            <v>4560.7800000000007</v>
          </cell>
          <cell r="I150">
            <v>4703.329999999999</v>
          </cell>
          <cell r="J150">
            <v>5023.6400000000003</v>
          </cell>
          <cell r="K150">
            <v>5672.8600000000006</v>
          </cell>
          <cell r="L150">
            <v>5892.69</v>
          </cell>
          <cell r="M150">
            <v>6327.579999999999</v>
          </cell>
          <cell r="N150">
            <v>6014.329999999999</v>
          </cell>
          <cell r="O150">
            <v>5784.3400000000011</v>
          </cell>
          <cell r="P150">
            <v>5091.96</v>
          </cell>
          <cell r="Q150">
            <v>2423.8000000000002</v>
          </cell>
          <cell r="R150">
            <v>1375.21</v>
          </cell>
          <cell r="S150">
            <v>1378.91</v>
          </cell>
          <cell r="T150">
            <v>1390.4300000000003</v>
          </cell>
          <cell r="U150">
            <v>1402.77</v>
          </cell>
          <cell r="V150">
            <v>1404.23</v>
          </cell>
          <cell r="W150">
            <v>1431.49</v>
          </cell>
          <cell r="X150">
            <v>1426.2299999999998</v>
          </cell>
          <cell r="Y150">
            <v>1473.8899999999999</v>
          </cell>
          <cell r="Z150">
            <v>1498.8899999999999</v>
          </cell>
          <cell r="AA150">
            <v>1506.6200000000001</v>
          </cell>
          <cell r="AB150">
            <v>1509.91</v>
          </cell>
          <cell r="AC150">
            <v>1527.9199999999998</v>
          </cell>
          <cell r="AD150">
            <v>1522.7199999999998</v>
          </cell>
          <cell r="AE150">
            <v>1526.42</v>
          </cell>
          <cell r="AF150">
            <v>1522</v>
          </cell>
          <cell r="AG150">
            <v>1539.2800000000002</v>
          </cell>
          <cell r="AH150">
            <v>1542.2200000000003</v>
          </cell>
          <cell r="AI150">
            <v>1574.55</v>
          </cell>
          <cell r="AJ150">
            <v>1586.4100000000003</v>
          </cell>
        </row>
      </sheetData>
      <sheetData sheetId="20"/>
      <sheetData sheetId="21"/>
      <sheetData sheetId="22">
        <row r="150">
          <cell r="C150">
            <v>11.539999999999997</v>
          </cell>
          <cell r="D150">
            <v>11.709999999999996</v>
          </cell>
          <cell r="E150">
            <v>11.209999999999997</v>
          </cell>
          <cell r="F150">
            <v>9.509999999999998</v>
          </cell>
          <cell r="G150">
            <v>8.8799999999999955</v>
          </cell>
          <cell r="H150">
            <v>9.5299999999999976</v>
          </cell>
          <cell r="I150">
            <v>9.6199999999999974</v>
          </cell>
          <cell r="J150">
            <v>10.009999999999996</v>
          </cell>
          <cell r="K150">
            <v>11.319999999999997</v>
          </cell>
          <cell r="L150">
            <v>11.419999999999998</v>
          </cell>
          <cell r="M150">
            <v>12.339999999999998</v>
          </cell>
          <cell r="N150">
            <v>11.269999999999998</v>
          </cell>
          <cell r="O150">
            <v>10.659999999999998</v>
          </cell>
          <cell r="P150">
            <v>8.9899999999999967</v>
          </cell>
          <cell r="Q150">
            <v>2.8799999999999994</v>
          </cell>
          <cell r="R150">
            <v>0.44000000000000011</v>
          </cell>
          <cell r="S150">
            <v>0.3600000000000001</v>
          </cell>
          <cell r="T150">
            <v>0.37000000000000011</v>
          </cell>
          <cell r="U150">
            <v>0.37000000000000011</v>
          </cell>
          <cell r="V150">
            <v>0.40000000000000013</v>
          </cell>
          <cell r="W150">
            <v>0.40000000000000013</v>
          </cell>
          <cell r="X150">
            <v>0.41000000000000014</v>
          </cell>
          <cell r="Y150">
            <v>0.38000000000000012</v>
          </cell>
          <cell r="Z150">
            <v>0.42000000000000015</v>
          </cell>
          <cell r="AA150">
            <v>0.44000000000000017</v>
          </cell>
          <cell r="AB150">
            <v>0.46000000000000019</v>
          </cell>
          <cell r="AC150">
            <v>0.46000000000000019</v>
          </cell>
          <cell r="AD150">
            <v>0.4700000000000002</v>
          </cell>
          <cell r="AE150">
            <v>0.49000000000000021</v>
          </cell>
          <cell r="AF150">
            <v>0.4800000000000002</v>
          </cell>
          <cell r="AG150">
            <v>0.51000000000000012</v>
          </cell>
          <cell r="AH150">
            <v>0.52000000000000013</v>
          </cell>
          <cell r="AI150">
            <v>0.55000000000000016</v>
          </cell>
          <cell r="AJ150">
            <v>0.55000000000000016</v>
          </cell>
        </row>
      </sheetData>
      <sheetData sheetId="23">
        <row r="150">
          <cell r="C150">
            <v>13025.86</v>
          </cell>
          <cell r="D150">
            <v>14759.080000000004</v>
          </cell>
          <cell r="E150">
            <v>13065.209999999995</v>
          </cell>
          <cell r="F150">
            <v>13152.910000000002</v>
          </cell>
          <cell r="G150">
            <v>12914.949999999999</v>
          </cell>
          <cell r="H150">
            <v>12425.91</v>
          </cell>
          <cell r="I150">
            <v>16676.229999999996</v>
          </cell>
          <cell r="J150">
            <v>15658.130000000001</v>
          </cell>
          <cell r="K150">
            <v>15419.679999999997</v>
          </cell>
          <cell r="L150">
            <v>15971.259999999997</v>
          </cell>
          <cell r="M150">
            <v>19865.350000000006</v>
          </cell>
          <cell r="N150">
            <v>22029.879999999997</v>
          </cell>
          <cell r="O150">
            <v>23403.360000000004</v>
          </cell>
          <cell r="P150">
            <v>27064.170000000002</v>
          </cell>
          <cell r="Q150">
            <v>32961.490000000005</v>
          </cell>
          <cell r="R150">
            <v>33716.28</v>
          </cell>
          <cell r="S150">
            <v>37667.579999999994</v>
          </cell>
          <cell r="T150">
            <v>42269.75</v>
          </cell>
          <cell r="U150">
            <v>43036.529999999992</v>
          </cell>
          <cell r="V150">
            <v>51492.189999999995</v>
          </cell>
          <cell r="W150">
            <v>50933.680000000008</v>
          </cell>
          <cell r="X150">
            <v>56013.499999999978</v>
          </cell>
          <cell r="Y150">
            <v>56453.809999999983</v>
          </cell>
          <cell r="Z150">
            <v>55884.95</v>
          </cell>
          <cell r="AA150">
            <v>60810.79</v>
          </cell>
          <cell r="AB150">
            <v>65538.740000000005</v>
          </cell>
          <cell r="AC150">
            <v>69501.73</v>
          </cell>
          <cell r="AD150">
            <v>73821.039999999994</v>
          </cell>
          <cell r="AE150">
            <v>77710.210000000006</v>
          </cell>
          <cell r="AF150">
            <v>76141.77</v>
          </cell>
          <cell r="AG150">
            <v>80230.960000000021</v>
          </cell>
          <cell r="AH150">
            <v>80230.199999999983</v>
          </cell>
          <cell r="AI150">
            <v>78979.770000000019</v>
          </cell>
          <cell r="AJ150">
            <v>80737.809999999983</v>
          </cell>
        </row>
      </sheetData>
      <sheetData sheetId="24"/>
      <sheetData sheetId="25"/>
      <sheetData sheetId="26">
        <row r="150">
          <cell r="C150">
            <v>73039.950000000012</v>
          </cell>
          <cell r="D150">
            <v>76374.069999999992</v>
          </cell>
          <cell r="E150">
            <v>84560.00999999998</v>
          </cell>
          <cell r="F150">
            <v>89560.5</v>
          </cell>
          <cell r="G150">
            <v>98588.85</v>
          </cell>
          <cell r="H150">
            <v>112494.80000000002</v>
          </cell>
          <cell r="I150">
            <v>129764.94999999998</v>
          </cell>
          <cell r="J150">
            <v>150386.94</v>
          </cell>
          <cell r="K150">
            <v>173095.57000000004</v>
          </cell>
          <cell r="L150">
            <v>187230.96000000002</v>
          </cell>
          <cell r="M150">
            <v>205874.13999999998</v>
          </cell>
          <cell r="N150">
            <v>224380.58</v>
          </cell>
          <cell r="O150">
            <v>235651.34000000005</v>
          </cell>
          <cell r="P150">
            <v>251500.03</v>
          </cell>
          <cell r="Q150">
            <v>249978.48</v>
          </cell>
          <cell r="R150">
            <v>263180.41000000003</v>
          </cell>
          <cell r="S150">
            <v>279144.89</v>
          </cell>
          <cell r="T150">
            <v>313627.91000000003</v>
          </cell>
          <cell r="U150">
            <v>331550.92000000004</v>
          </cell>
          <cell r="V150">
            <v>362201.37</v>
          </cell>
          <cell r="W150">
            <v>372357.66000000003</v>
          </cell>
          <cell r="X150">
            <v>393537.19</v>
          </cell>
          <cell r="Y150">
            <v>400167.38</v>
          </cell>
          <cell r="Z150">
            <v>420080.58999999997</v>
          </cell>
          <cell r="AA150">
            <v>431660.56</v>
          </cell>
          <cell r="AB150">
            <v>455980.62</v>
          </cell>
          <cell r="AC150">
            <v>468109.98</v>
          </cell>
          <cell r="AD150">
            <v>493437.29000000004</v>
          </cell>
          <cell r="AE150">
            <v>506471.07999999996</v>
          </cell>
          <cell r="AF150">
            <v>531075.67000000004</v>
          </cell>
          <cell r="AG150">
            <v>545885.78</v>
          </cell>
          <cell r="AH150">
            <v>575213.77</v>
          </cell>
          <cell r="AI150">
            <v>592930.64</v>
          </cell>
          <cell r="AJ150">
            <v>623381.38</v>
          </cell>
        </row>
      </sheetData>
      <sheetData sheetId="27"/>
      <sheetData sheetId="28">
        <row r="150">
          <cell r="C150">
            <v>1174.1422</v>
          </cell>
          <cell r="D150">
            <v>1191.9562000000001</v>
          </cell>
          <cell r="E150">
            <v>1142.1058</v>
          </cell>
          <cell r="F150">
            <v>971.07099999999991</v>
          </cell>
          <cell r="G150">
            <v>875.78179999999998</v>
          </cell>
          <cell r="H150">
            <v>953.11400000000003</v>
          </cell>
          <cell r="I150">
            <v>958.64840000000004</v>
          </cell>
          <cell r="J150">
            <v>1008.4177999999999</v>
          </cell>
          <cell r="K150">
            <v>1145.2981</v>
          </cell>
          <cell r="L150">
            <v>1158.3163</v>
          </cell>
          <cell r="M150">
            <v>1224.6206999999999</v>
          </cell>
          <cell r="N150">
            <v>1102.7555</v>
          </cell>
          <cell r="O150">
            <v>1014.8856000000001</v>
          </cell>
          <cell r="P150">
            <v>827.11239999999998</v>
          </cell>
          <cell r="Q150">
            <v>225.12810000000002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Capacity"/>
      <sheetName val="Capacity Factor"/>
      <sheetName val="CO2"/>
      <sheetName val="CO2 Allow"/>
      <sheetName val="CO2 Cost"/>
      <sheetName val="Dependable Cap"/>
      <sheetName val="Dispatch Price"/>
      <sheetName val="FOM Cost"/>
      <sheetName val="Fuel Cost"/>
      <sheetName val="Fuel Used"/>
      <sheetName val="Fuel Rate"/>
      <sheetName val="Generation"/>
      <sheetName val="Heat Rate"/>
      <sheetName val="Hg"/>
      <sheetName val="Hours"/>
      <sheetName val="NOx"/>
      <sheetName val="NOx Allow"/>
      <sheetName val="NOx Cost"/>
      <sheetName val="Reagent Cost"/>
      <sheetName val="SO2"/>
      <sheetName val="SO2 Allow"/>
      <sheetName val="SO2 Cost"/>
      <sheetName val="Start Cost"/>
      <sheetName val="Starts"/>
      <sheetName val="Total Cost"/>
      <sheetName val="VOM Cost"/>
      <sheetName val="VOM Rate"/>
      <sheetName val="Lime Cost"/>
    </sheetNames>
    <sheetDataSet>
      <sheetData sheetId="0"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94.93</v>
          </cell>
          <cell r="L9">
            <v>0</v>
          </cell>
          <cell r="M9">
            <v>0</v>
          </cell>
          <cell r="N9">
            <v>7.2</v>
          </cell>
          <cell r="O9">
            <v>0</v>
          </cell>
          <cell r="P9">
            <v>0</v>
          </cell>
          <cell r="Q9">
            <v>0</v>
          </cell>
          <cell r="R9">
            <v>30.36</v>
          </cell>
          <cell r="S9">
            <v>0</v>
          </cell>
          <cell r="T9">
            <v>0</v>
          </cell>
          <cell r="U9">
            <v>358.47</v>
          </cell>
          <cell r="V9">
            <v>0</v>
          </cell>
          <cell r="W9">
            <v>404.45</v>
          </cell>
          <cell r="X9">
            <v>0</v>
          </cell>
          <cell r="Y9">
            <v>3628.57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2913.15</v>
          </cell>
          <cell r="AG9">
            <v>1142.71</v>
          </cell>
          <cell r="AH9">
            <v>0</v>
          </cell>
          <cell r="AI9">
            <v>0</v>
          </cell>
        </row>
        <row r="13">
          <cell r="B13">
            <v>390678.16000000003</v>
          </cell>
          <cell r="C13">
            <v>384872.26</v>
          </cell>
          <cell r="D13">
            <v>381802.51999999996</v>
          </cell>
          <cell r="E13">
            <v>381802.51999999996</v>
          </cell>
          <cell r="F13">
            <v>382800.76</v>
          </cell>
          <cell r="G13">
            <v>381802.51</v>
          </cell>
          <cell r="H13">
            <v>381802.51999999996</v>
          </cell>
          <cell r="I13">
            <v>381802.51</v>
          </cell>
          <cell r="J13">
            <v>382800.76</v>
          </cell>
          <cell r="K13">
            <v>381802.51999999996</v>
          </cell>
          <cell r="L13">
            <v>381802.51999999996</v>
          </cell>
          <cell r="M13">
            <v>381802.51</v>
          </cell>
          <cell r="N13">
            <v>382800.76</v>
          </cell>
          <cell r="O13">
            <v>381802.51999999996</v>
          </cell>
          <cell r="P13">
            <v>488036.07999999996</v>
          </cell>
          <cell r="Q13">
            <v>565751.78</v>
          </cell>
          <cell r="R13">
            <v>565751.78</v>
          </cell>
          <cell r="S13">
            <v>565751.78</v>
          </cell>
          <cell r="T13">
            <v>608469.98</v>
          </cell>
          <cell r="U13">
            <v>638982.99</v>
          </cell>
          <cell r="V13">
            <v>653943.28</v>
          </cell>
          <cell r="W13">
            <v>664629.15</v>
          </cell>
          <cell r="X13">
            <v>742015.81</v>
          </cell>
          <cell r="Y13">
            <v>797361.63</v>
          </cell>
          <cell r="Z13">
            <v>830388.36</v>
          </cell>
          <cell r="AA13">
            <v>870905</v>
          </cell>
          <cell r="AB13">
            <v>882995.11</v>
          </cell>
          <cell r="AC13">
            <v>882995.13</v>
          </cell>
          <cell r="AD13">
            <v>882995.13</v>
          </cell>
          <cell r="AE13">
            <v>882995.13</v>
          </cell>
          <cell r="AF13">
            <v>882995.13</v>
          </cell>
          <cell r="AG13">
            <v>882995.13</v>
          </cell>
          <cell r="AH13">
            <v>882995.13</v>
          </cell>
          <cell r="AI13">
            <v>882995.13</v>
          </cell>
        </row>
      </sheetData>
      <sheetData sheetId="1"/>
      <sheetData sheetId="2"/>
      <sheetData sheetId="3"/>
      <sheetData sheetId="4"/>
      <sheetData sheetId="5"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112438.78999999996</v>
          </cell>
          <cell r="I150">
            <v>199700.17</v>
          </cell>
          <cell r="J150">
            <v>281679.28999999992</v>
          </cell>
          <cell r="K150">
            <v>372613.93000000011</v>
          </cell>
          <cell r="L150">
            <v>461165.6399999999</v>
          </cell>
          <cell r="M150">
            <v>552965.47000000009</v>
          </cell>
          <cell r="N150">
            <v>628189.04999999981</v>
          </cell>
          <cell r="O150">
            <v>710754.65000000026</v>
          </cell>
          <cell r="P150">
            <v>797628.81000000029</v>
          </cell>
          <cell r="Q150">
            <v>810670.09000000008</v>
          </cell>
          <cell r="R150">
            <v>849091.28</v>
          </cell>
          <cell r="S150">
            <v>1034486.2000000001</v>
          </cell>
          <cell r="T150">
            <v>1220221.74</v>
          </cell>
          <cell r="U150">
            <v>1408833.1800000002</v>
          </cell>
          <cell r="V150">
            <v>1612374.3200000003</v>
          </cell>
          <cell r="W150">
            <v>1806284.0200000003</v>
          </cell>
          <cell r="X150">
            <v>2011749.0900000003</v>
          </cell>
          <cell r="Y150">
            <v>2164641.5800000005</v>
          </cell>
          <cell r="Z150">
            <v>2343795.8899999997</v>
          </cell>
          <cell r="AA150">
            <v>2560755.73</v>
          </cell>
          <cell r="AB150">
            <v>2764252.1</v>
          </cell>
          <cell r="AC150">
            <v>2984685.4399999995</v>
          </cell>
          <cell r="AD150">
            <v>3163549.9399999995</v>
          </cell>
          <cell r="AE150">
            <v>3370901.8599999994</v>
          </cell>
          <cell r="AF150">
            <v>3541517.6500000004</v>
          </cell>
          <cell r="AG150">
            <v>3773324.4000000008</v>
          </cell>
          <cell r="AH150">
            <v>3997242.3999999994</v>
          </cell>
          <cell r="AI150">
            <v>4224177.29</v>
          </cell>
          <cell r="AJ150">
            <v>4390292.3999999994</v>
          </cell>
        </row>
      </sheetData>
      <sheetData sheetId="6"/>
      <sheetData sheetId="7"/>
      <sheetData sheetId="8">
        <row r="150">
          <cell r="C150">
            <v>445381.08</v>
          </cell>
          <cell r="D150">
            <v>433157.70000000007</v>
          </cell>
          <cell r="E150">
            <v>436092.64999999997</v>
          </cell>
          <cell r="F150">
            <v>456059.54000000004</v>
          </cell>
          <cell r="G150">
            <v>300440.52</v>
          </cell>
          <cell r="H150">
            <v>147853.22000000003</v>
          </cell>
          <cell r="I150">
            <v>57675.330000000009</v>
          </cell>
          <cell r="J150">
            <v>32805.870000000003</v>
          </cell>
          <cell r="K150">
            <v>21746.859999999997</v>
          </cell>
          <cell r="L150">
            <v>22249.190000000002</v>
          </cell>
          <cell r="M150">
            <v>22858.959999999999</v>
          </cell>
          <cell r="N150">
            <v>23441.45</v>
          </cell>
          <cell r="O150">
            <v>24103.559999999998</v>
          </cell>
          <cell r="P150">
            <v>24687.15</v>
          </cell>
          <cell r="Q150">
            <v>31993.279999999995</v>
          </cell>
          <cell r="R150">
            <v>37711.54</v>
          </cell>
          <cell r="S150">
            <v>38342.299999999996</v>
          </cell>
          <cell r="T150">
            <v>39068.81</v>
          </cell>
          <cell r="U150">
            <v>41958.259999999995</v>
          </cell>
          <cell r="V150">
            <v>44362.510000000009</v>
          </cell>
          <cell r="W150">
            <v>46055.909999999996</v>
          </cell>
          <cell r="X150">
            <v>47500.499999999993</v>
          </cell>
          <cell r="Y150">
            <v>54107.329999999994</v>
          </cell>
          <cell r="Z150">
            <v>59410.680000000008</v>
          </cell>
          <cell r="AA150">
            <v>62365.270000000019</v>
          </cell>
          <cell r="AB150">
            <v>65325.920000000006</v>
          </cell>
          <cell r="AC150">
            <v>66539.740000000005</v>
          </cell>
          <cell r="AD150">
            <v>67969.149999999994</v>
          </cell>
          <cell r="AE150">
            <v>69480.31</v>
          </cell>
          <cell r="AF150">
            <v>68531.02</v>
          </cell>
          <cell r="AG150">
            <v>64426.320000000007</v>
          </cell>
          <cell r="AH150">
            <v>60653.360000000008</v>
          </cell>
          <cell r="AI150">
            <v>58473.479999999996</v>
          </cell>
          <cell r="AJ150">
            <v>59704.849999999991</v>
          </cell>
        </row>
      </sheetData>
      <sheetData sheetId="9">
        <row r="150">
          <cell r="C150">
            <v>849921.73000000021</v>
          </cell>
          <cell r="D150">
            <v>866080.51999999979</v>
          </cell>
          <cell r="E150">
            <v>947844.84000000032</v>
          </cell>
          <cell r="F150">
            <v>1057813.8699999996</v>
          </cell>
          <cell r="G150">
            <v>1182496.07</v>
          </cell>
          <cell r="H150">
            <v>1271416.5599999994</v>
          </cell>
          <cell r="I150">
            <v>1398706.0600000003</v>
          </cell>
          <cell r="J150">
            <v>1548783.3199999998</v>
          </cell>
          <cell r="K150">
            <v>1736282.5399999996</v>
          </cell>
          <cell r="L150">
            <v>1869185.7899999993</v>
          </cell>
          <cell r="M150">
            <v>1986550.69</v>
          </cell>
          <cell r="N150">
            <v>2109942.3900000006</v>
          </cell>
          <cell r="O150">
            <v>2235300.66</v>
          </cell>
          <cell r="P150">
            <v>2252813.9899999998</v>
          </cell>
          <cell r="Q150">
            <v>2424824.370000001</v>
          </cell>
          <cell r="R150">
            <v>2553064.060000001</v>
          </cell>
          <cell r="S150">
            <v>2628129.33</v>
          </cell>
          <cell r="T150">
            <v>2876010.4400000004</v>
          </cell>
          <cell r="U150">
            <v>3072930.0600000005</v>
          </cell>
          <cell r="V150">
            <v>3170522.6099999994</v>
          </cell>
          <cell r="W150">
            <v>3395367.44</v>
          </cell>
          <cell r="X150">
            <v>3594772.8399999989</v>
          </cell>
          <cell r="Y150">
            <v>3700718.9700000011</v>
          </cell>
          <cell r="Z150">
            <v>3832149.5899999994</v>
          </cell>
          <cell r="AA150">
            <v>3954876.7300000009</v>
          </cell>
          <cell r="AB150">
            <v>4202763.5999999996</v>
          </cell>
          <cell r="AC150">
            <v>4475733.419999999</v>
          </cell>
          <cell r="AD150">
            <v>4626386.5899999989</v>
          </cell>
          <cell r="AE150">
            <v>4846305.7799999993</v>
          </cell>
          <cell r="AF150">
            <v>4919368.6000000006</v>
          </cell>
          <cell r="AG150">
            <v>5100004.41</v>
          </cell>
          <cell r="AH150">
            <v>5274662.6700000009</v>
          </cell>
          <cell r="AI150">
            <v>5452956.3200000003</v>
          </cell>
          <cell r="AJ150">
            <v>5555753.4999999991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0">
          <cell r="C150">
            <v>411.15</v>
          </cell>
          <cell r="D150">
            <v>431.74000000000007</v>
          </cell>
          <cell r="E150">
            <v>419.22000000000025</v>
          </cell>
          <cell r="F150">
            <v>438.62999999999988</v>
          </cell>
          <cell r="G150">
            <v>516.97</v>
          </cell>
          <cell r="H150">
            <v>487.47000000000014</v>
          </cell>
          <cell r="I150">
            <v>509.21</v>
          </cell>
          <cell r="J150">
            <v>520.96</v>
          </cell>
          <cell r="K150">
            <v>509.50000000000006</v>
          </cell>
          <cell r="L150">
            <v>531.9</v>
          </cell>
          <cell r="M150">
            <v>550.62000000000012</v>
          </cell>
          <cell r="N150">
            <v>536.80000000000018</v>
          </cell>
          <cell r="O150">
            <v>526.80999999999983</v>
          </cell>
          <cell r="P150">
            <v>543.2399999999999</v>
          </cell>
          <cell r="Q150">
            <v>346.77000000000015</v>
          </cell>
          <cell r="R150">
            <v>316.39999999999992</v>
          </cell>
          <cell r="S150">
            <v>330.59</v>
          </cell>
          <cell r="T150">
            <v>344.26</v>
          </cell>
          <cell r="U150">
            <v>348.26</v>
          </cell>
          <cell r="V150">
            <v>367.20000000000005</v>
          </cell>
          <cell r="W150">
            <v>376.55</v>
          </cell>
          <cell r="X150">
            <v>396.38</v>
          </cell>
          <cell r="Y150">
            <v>339.15999999999997</v>
          </cell>
          <cell r="Z150">
            <v>343.28000000000014</v>
          </cell>
          <cell r="AA150">
            <v>350.90000000000003</v>
          </cell>
          <cell r="AB150">
            <v>362.40000000000003</v>
          </cell>
          <cell r="AC150">
            <v>378.97000000000008</v>
          </cell>
          <cell r="AD150">
            <v>385.21000000000009</v>
          </cell>
          <cell r="AE150">
            <v>394.34</v>
          </cell>
          <cell r="AF150">
            <v>400</v>
          </cell>
          <cell r="AG150">
            <v>417.32</v>
          </cell>
          <cell r="AH150">
            <v>432.03</v>
          </cell>
          <cell r="AI150">
            <v>442.97000000000008</v>
          </cell>
          <cell r="AJ150">
            <v>448.64</v>
          </cell>
        </row>
      </sheetData>
      <sheetData sheetId="19">
        <row r="150">
          <cell r="C150">
            <v>4635.4299999999994</v>
          </cell>
          <cell r="D150">
            <v>4934.7299999999987</v>
          </cell>
          <cell r="E150">
            <v>5618.13</v>
          </cell>
          <cell r="F150">
            <v>7119.3</v>
          </cell>
          <cell r="G150">
            <v>9749.57</v>
          </cell>
          <cell r="H150">
            <v>8397.510000000002</v>
          </cell>
          <cell r="I150">
            <v>8058.18</v>
          </cell>
          <cell r="J150">
            <v>7275.9000000000005</v>
          </cell>
          <cell r="K150">
            <v>7529.38</v>
          </cell>
          <cell r="L150">
            <v>7761.6100000000006</v>
          </cell>
          <cell r="M150">
            <v>7943.4199999999983</v>
          </cell>
          <cell r="N150">
            <v>7816.52</v>
          </cell>
          <cell r="O150">
            <v>7330.6100000000006</v>
          </cell>
          <cell r="P150">
            <v>7297.0000000000009</v>
          </cell>
          <cell r="Q150">
            <v>3459.83</v>
          </cell>
          <cell r="R150">
            <v>1423.78</v>
          </cell>
          <cell r="S150">
            <v>1429.58</v>
          </cell>
          <cell r="T150">
            <v>1439.9599999999998</v>
          </cell>
          <cell r="U150">
            <v>1452.79</v>
          </cell>
          <cell r="V150">
            <v>1442.25</v>
          </cell>
          <cell r="W150">
            <v>1470.32</v>
          </cell>
          <cell r="X150">
            <v>1464.21</v>
          </cell>
          <cell r="Y150">
            <v>1522.1399999999999</v>
          </cell>
          <cell r="Z150">
            <v>1537.0099999999998</v>
          </cell>
          <cell r="AA150">
            <v>1555.83</v>
          </cell>
          <cell r="AB150">
            <v>1562.38</v>
          </cell>
          <cell r="AC150">
            <v>1583.2299999999998</v>
          </cell>
          <cell r="AD150">
            <v>1575.3800000000003</v>
          </cell>
          <cell r="AE150">
            <v>1575.71</v>
          </cell>
          <cell r="AF150">
            <v>1577</v>
          </cell>
          <cell r="AG150">
            <v>1589.6799999999998</v>
          </cell>
          <cell r="AH150">
            <v>1591.79</v>
          </cell>
          <cell r="AI150">
            <v>1614.4699999999998</v>
          </cell>
          <cell r="AJ150">
            <v>1610.98</v>
          </cell>
        </row>
      </sheetData>
      <sheetData sheetId="20"/>
      <sheetData sheetId="21"/>
      <sheetData sheetId="22">
        <row r="150">
          <cell r="C150">
            <v>11.539999999999997</v>
          </cell>
          <cell r="D150">
            <v>12.029999999999998</v>
          </cell>
          <cell r="E150">
            <v>13.859999999999998</v>
          </cell>
          <cell r="F150">
            <v>17.810000000000002</v>
          </cell>
          <cell r="G150">
            <v>24.470000000000006</v>
          </cell>
          <cell r="H150">
            <v>19.970000000000002</v>
          </cell>
          <cell r="I150">
            <v>18.439999999999998</v>
          </cell>
          <cell r="J150">
            <v>15.639999999999997</v>
          </cell>
          <cell r="K150">
            <v>15.809999999999997</v>
          </cell>
          <cell r="L150">
            <v>15.799999999999997</v>
          </cell>
          <cell r="M150">
            <v>15.979999999999995</v>
          </cell>
          <cell r="N150">
            <v>15.279999999999998</v>
          </cell>
          <cell r="O150">
            <v>13.999999999999996</v>
          </cell>
          <cell r="P150">
            <v>13.739999999999997</v>
          </cell>
          <cell r="Q150">
            <v>5.0199999999999987</v>
          </cell>
          <cell r="R150">
            <v>0.43000000000000016</v>
          </cell>
          <cell r="S150">
            <v>0.38000000000000012</v>
          </cell>
          <cell r="T150">
            <v>0.39000000000000012</v>
          </cell>
          <cell r="U150">
            <v>0.40000000000000013</v>
          </cell>
          <cell r="V150">
            <v>0.41000000000000014</v>
          </cell>
          <cell r="W150">
            <v>0.42000000000000015</v>
          </cell>
          <cell r="X150">
            <v>0.43000000000000016</v>
          </cell>
          <cell r="Y150">
            <v>0.43000000000000016</v>
          </cell>
          <cell r="Z150">
            <v>0.44000000000000017</v>
          </cell>
          <cell r="AA150">
            <v>0.46000000000000019</v>
          </cell>
          <cell r="AB150">
            <v>0.4800000000000002</v>
          </cell>
          <cell r="AC150">
            <v>0.4800000000000002</v>
          </cell>
          <cell r="AD150">
            <v>0.4800000000000002</v>
          </cell>
          <cell r="AE150">
            <v>0.50000000000000022</v>
          </cell>
          <cell r="AF150">
            <v>0.50000000000000011</v>
          </cell>
          <cell r="AG150">
            <v>0.54000000000000015</v>
          </cell>
          <cell r="AH150">
            <v>0.55000000000000016</v>
          </cell>
          <cell r="AI150">
            <v>0.57000000000000017</v>
          </cell>
          <cell r="AJ150">
            <v>0.57000000000000017</v>
          </cell>
        </row>
      </sheetData>
      <sheetData sheetId="23">
        <row r="150">
          <cell r="C150">
            <v>13025.86</v>
          </cell>
          <cell r="D150">
            <v>14885.179999999998</v>
          </cell>
          <cell r="E150">
            <v>14012.339999999998</v>
          </cell>
          <cell r="F150">
            <v>15773.259999999998</v>
          </cell>
          <cell r="G150">
            <v>15314.589999999998</v>
          </cell>
          <cell r="H150">
            <v>14847.2</v>
          </cell>
          <cell r="I150">
            <v>17266.79</v>
          </cell>
          <cell r="J150">
            <v>16334.090000000002</v>
          </cell>
          <cell r="K150">
            <v>18130.339999999993</v>
          </cell>
          <cell r="L150">
            <v>17382.43</v>
          </cell>
          <cell r="M150">
            <v>21439.56</v>
          </cell>
          <cell r="N150">
            <v>23449.38</v>
          </cell>
          <cell r="O150">
            <v>25564.080000000009</v>
          </cell>
          <cell r="P150">
            <v>27459.909999999993</v>
          </cell>
          <cell r="Q150">
            <v>34702.659999999996</v>
          </cell>
          <cell r="R150">
            <v>39393.26999999999</v>
          </cell>
          <cell r="S150">
            <v>40960.69000000001</v>
          </cell>
          <cell r="T150">
            <v>44451.890000000014</v>
          </cell>
          <cell r="U150">
            <v>49002.479999999996</v>
          </cell>
          <cell r="V150">
            <v>58439.020000000004</v>
          </cell>
          <cell r="W150">
            <v>57056.119999999995</v>
          </cell>
          <cell r="X150">
            <v>62435.239999999983</v>
          </cell>
          <cell r="Y150">
            <v>62702.899999999994</v>
          </cell>
          <cell r="Z150">
            <v>60665.030000000006</v>
          </cell>
          <cell r="AA150">
            <v>65973.339999999982</v>
          </cell>
          <cell r="AB150">
            <v>71589.16</v>
          </cell>
          <cell r="AC150">
            <v>76652.62</v>
          </cell>
          <cell r="AD150">
            <v>77013.709999999992</v>
          </cell>
          <cell r="AE150">
            <v>84557.599999999991</v>
          </cell>
          <cell r="AF150">
            <v>81996.37999999999</v>
          </cell>
          <cell r="AG150">
            <v>84266.74</v>
          </cell>
          <cell r="AH150">
            <v>88286.09</v>
          </cell>
          <cell r="AI150">
            <v>86989.979999999981</v>
          </cell>
          <cell r="AJ150">
            <v>88476.130000000019</v>
          </cell>
        </row>
      </sheetData>
      <sheetData sheetId="24"/>
      <sheetData sheetId="25"/>
      <sheetData sheetId="26">
        <row r="150">
          <cell r="C150">
            <v>73039.540000000023</v>
          </cell>
          <cell r="D150">
            <v>76433.590000000026</v>
          </cell>
          <cell r="E150">
            <v>84367.349999999962</v>
          </cell>
          <cell r="F150">
            <v>89337.019999999975</v>
          </cell>
          <cell r="G150">
            <v>97003.080000000016</v>
          </cell>
          <cell r="H150">
            <v>113247.88</v>
          </cell>
          <cell r="I150">
            <v>130944.55000000002</v>
          </cell>
          <cell r="J150">
            <v>152491.44999999998</v>
          </cell>
          <cell r="K150">
            <v>175526.40999999997</v>
          </cell>
          <cell r="L150">
            <v>189808.90000000005</v>
          </cell>
          <cell r="M150">
            <v>208931.25999999998</v>
          </cell>
          <cell r="N150">
            <v>227773.87</v>
          </cell>
          <cell r="O150">
            <v>239383.84000000003</v>
          </cell>
          <cell r="P150">
            <v>254937.94999999998</v>
          </cell>
          <cell r="Q150">
            <v>253934.65999999997</v>
          </cell>
          <cell r="R150">
            <v>267170.14999999997</v>
          </cell>
          <cell r="S150">
            <v>283348.64</v>
          </cell>
          <cell r="T150">
            <v>317972.18</v>
          </cell>
          <cell r="U150">
            <v>336109.02</v>
          </cell>
          <cell r="V150">
            <v>366739.44000000006</v>
          </cell>
          <cell r="W150">
            <v>377200.15</v>
          </cell>
          <cell r="X150">
            <v>398169.71</v>
          </cell>
          <cell r="Y150">
            <v>405068.72</v>
          </cell>
          <cell r="Z150">
            <v>424898.54</v>
          </cell>
          <cell r="AA150">
            <v>436595.05</v>
          </cell>
          <cell r="AB150">
            <v>461847.36</v>
          </cell>
          <cell r="AC150">
            <v>473862.89</v>
          </cell>
          <cell r="AD150">
            <v>499186.42000000004</v>
          </cell>
          <cell r="AE150">
            <v>512346.56000000006</v>
          </cell>
          <cell r="AF150">
            <v>537605.09</v>
          </cell>
          <cell r="AG150">
            <v>551409.57999999996</v>
          </cell>
          <cell r="AH150">
            <v>580785.29</v>
          </cell>
          <cell r="AI150">
            <v>597672.44999999995</v>
          </cell>
          <cell r="AJ150">
            <v>626089.97</v>
          </cell>
        </row>
      </sheetData>
      <sheetData sheetId="27"/>
      <sheetData sheetId="28">
        <row r="150">
          <cell r="C150">
            <v>1174.2431000000001</v>
          </cell>
          <cell r="D150">
            <v>1225.1930000000002</v>
          </cell>
          <cell r="E150">
            <v>1423.9353000000001</v>
          </cell>
          <cell r="F150">
            <v>1854.2914000000001</v>
          </cell>
          <cell r="G150">
            <v>2523.3517000000002</v>
          </cell>
          <cell r="H150">
            <v>2057.1911</v>
          </cell>
          <cell r="I150">
            <v>1890.9267</v>
          </cell>
          <cell r="J150">
            <v>1608.3694</v>
          </cell>
          <cell r="K150">
            <v>1625.8681999999999</v>
          </cell>
          <cell r="L150">
            <v>1622.9033999999999</v>
          </cell>
          <cell r="M150">
            <v>1611.1255000000001</v>
          </cell>
          <cell r="N150">
            <v>1514.2691</v>
          </cell>
          <cell r="O150">
            <v>1357.1354999999999</v>
          </cell>
          <cell r="P150">
            <v>1301.5988</v>
          </cell>
          <cell r="Q150">
            <v>437.19640000000004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Capacity"/>
      <sheetName val="Capacity Factor"/>
      <sheetName val="CO2"/>
      <sheetName val="CO2 Allow"/>
      <sheetName val="CO2 Cost"/>
      <sheetName val="Dependable Cap"/>
      <sheetName val="Dispatch Price"/>
      <sheetName val="FOM Cost"/>
      <sheetName val="Fuel Cost"/>
      <sheetName val="Fuel Used"/>
      <sheetName val="Fuel Rate"/>
      <sheetName val="Generation"/>
      <sheetName val="Heat Rate"/>
      <sheetName val="Hg"/>
      <sheetName val="Hours"/>
      <sheetName val="NOx"/>
      <sheetName val="NOx Allow"/>
      <sheetName val="NOx Cost"/>
      <sheetName val="Reagent Cost"/>
      <sheetName val="SO2"/>
      <sheetName val="SO2 Allow"/>
      <sheetName val="SO2 Cost"/>
      <sheetName val="Start Cost"/>
      <sheetName val="Starts"/>
      <sheetName val="Total Cost"/>
      <sheetName val="VOM Cost"/>
      <sheetName val="VOM Rate"/>
      <sheetName val="Lime Cost"/>
    </sheetNames>
    <sheetDataSet>
      <sheetData sheetId="0"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11.87</v>
          </cell>
          <cell r="L9">
            <v>0</v>
          </cell>
          <cell r="M9">
            <v>85.25</v>
          </cell>
          <cell r="N9">
            <v>326.63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1408.33</v>
          </cell>
          <cell r="T9">
            <v>482.37</v>
          </cell>
          <cell r="U9">
            <v>1593.28</v>
          </cell>
          <cell r="V9">
            <v>0</v>
          </cell>
          <cell r="W9">
            <v>74.09</v>
          </cell>
          <cell r="X9">
            <v>0</v>
          </cell>
          <cell r="Y9">
            <v>1601.75</v>
          </cell>
          <cell r="Z9">
            <v>819.12</v>
          </cell>
          <cell r="AA9">
            <v>0</v>
          </cell>
          <cell r="AB9">
            <v>363.57</v>
          </cell>
          <cell r="AC9">
            <v>15.8</v>
          </cell>
          <cell r="AD9">
            <v>59.69</v>
          </cell>
          <cell r="AE9">
            <v>0</v>
          </cell>
          <cell r="AF9">
            <v>0</v>
          </cell>
          <cell r="AG9">
            <v>15545.79</v>
          </cell>
          <cell r="AH9">
            <v>1125.8</v>
          </cell>
          <cell r="AI9">
            <v>90.84</v>
          </cell>
        </row>
        <row r="13">
          <cell r="B13">
            <v>390678.16000000003</v>
          </cell>
          <cell r="C13">
            <v>384872.26</v>
          </cell>
          <cell r="D13">
            <v>381802.51999999996</v>
          </cell>
          <cell r="E13">
            <v>381802.51999999996</v>
          </cell>
          <cell r="F13">
            <v>382800.76</v>
          </cell>
          <cell r="G13">
            <v>381802.51</v>
          </cell>
          <cell r="H13">
            <v>381802.51999999996</v>
          </cell>
          <cell r="I13">
            <v>381802.51</v>
          </cell>
          <cell r="J13">
            <v>382800.76</v>
          </cell>
          <cell r="K13">
            <v>381802.51999999996</v>
          </cell>
          <cell r="L13">
            <v>381802.51999999996</v>
          </cell>
          <cell r="M13">
            <v>381802.51</v>
          </cell>
          <cell r="N13">
            <v>382800.76</v>
          </cell>
          <cell r="O13">
            <v>381802.51999999996</v>
          </cell>
          <cell r="P13">
            <v>462235.69</v>
          </cell>
          <cell r="Q13">
            <v>521522.52</v>
          </cell>
          <cell r="R13">
            <v>535075.79</v>
          </cell>
          <cell r="S13">
            <v>544756.70000000007</v>
          </cell>
          <cell r="T13">
            <v>573235.51</v>
          </cell>
          <cell r="U13">
            <v>593577.51</v>
          </cell>
          <cell r="V13">
            <v>608537.78</v>
          </cell>
          <cell r="W13">
            <v>619223.70000000007</v>
          </cell>
          <cell r="X13">
            <v>696610.3600000001</v>
          </cell>
          <cell r="Y13">
            <v>751956.18</v>
          </cell>
          <cell r="Z13">
            <v>784982.86</v>
          </cell>
          <cell r="AA13">
            <v>825499.5</v>
          </cell>
          <cell r="AB13">
            <v>854938.99</v>
          </cell>
          <cell r="AC13">
            <v>867331.36</v>
          </cell>
          <cell r="AD13">
            <v>867331.36</v>
          </cell>
          <cell r="AE13">
            <v>867331.36</v>
          </cell>
          <cell r="AF13">
            <v>867331.36</v>
          </cell>
          <cell r="AG13">
            <v>867331.36</v>
          </cell>
          <cell r="AH13">
            <v>867331.36</v>
          </cell>
          <cell r="AI13">
            <v>867331.36</v>
          </cell>
        </row>
      </sheetData>
      <sheetData sheetId="1"/>
      <sheetData sheetId="2"/>
      <sheetData sheetId="3"/>
      <sheetData sheetId="4"/>
      <sheetData sheetId="5"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107458.44</v>
          </cell>
          <cell r="I150">
            <v>191098.00000000006</v>
          </cell>
          <cell r="J150">
            <v>269544.41000000003</v>
          </cell>
          <cell r="K150">
            <v>356210.61000000004</v>
          </cell>
          <cell r="L150">
            <v>440528.39000000007</v>
          </cell>
          <cell r="M150">
            <v>529758.62</v>
          </cell>
          <cell r="N150">
            <v>599562.0299999998</v>
          </cell>
          <cell r="O150">
            <v>682555.41999999993</v>
          </cell>
          <cell r="P150">
            <v>766170.13000000024</v>
          </cell>
          <cell r="Q150">
            <v>777019.02000000014</v>
          </cell>
          <cell r="R150">
            <v>814137.54999999993</v>
          </cell>
          <cell r="S150">
            <v>992586.87</v>
          </cell>
          <cell r="T150">
            <v>1169834.0100000002</v>
          </cell>
          <cell r="U150">
            <v>1351798.4200000011</v>
          </cell>
          <cell r="V150">
            <v>1545821.79</v>
          </cell>
          <cell r="W150">
            <v>1732668.4000000004</v>
          </cell>
          <cell r="X150">
            <v>1930851.7099999997</v>
          </cell>
          <cell r="Y150">
            <v>2080896.9500000002</v>
          </cell>
          <cell r="Z150">
            <v>2251988.13</v>
          </cell>
          <cell r="AA150">
            <v>2466623.5300000007</v>
          </cell>
          <cell r="AB150">
            <v>2662750.790000001</v>
          </cell>
          <cell r="AC150">
            <v>2878275.5199999996</v>
          </cell>
          <cell r="AD150">
            <v>3054023.89</v>
          </cell>
          <cell r="AE150">
            <v>3247458.18</v>
          </cell>
          <cell r="AF150">
            <v>3421059.2900000005</v>
          </cell>
          <cell r="AG150">
            <v>3645100.9000000008</v>
          </cell>
          <cell r="AH150">
            <v>3853330.1500000004</v>
          </cell>
          <cell r="AI150">
            <v>4100973.4799999995</v>
          </cell>
          <cell r="AJ150">
            <v>4325230.5999999996</v>
          </cell>
        </row>
      </sheetData>
      <sheetData sheetId="6"/>
      <sheetData sheetId="7"/>
      <sheetData sheetId="8">
        <row r="132">
          <cell r="C132">
            <v>0</v>
          </cell>
          <cell r="D132">
            <v>0</v>
          </cell>
          <cell r="E132">
            <v>1227.76</v>
          </cell>
          <cell r="F132">
            <v>1245.6400000000001</v>
          </cell>
          <cell r="G132">
            <v>1274.24</v>
          </cell>
          <cell r="H132">
            <v>1303.58</v>
          </cell>
          <cell r="I132">
            <v>1343.68</v>
          </cell>
          <cell r="J132">
            <v>1477.57</v>
          </cell>
          <cell r="K132">
            <v>1512.64</v>
          </cell>
          <cell r="L132">
            <v>1548.42</v>
          </cell>
          <cell r="M132">
            <v>1584.93</v>
          </cell>
          <cell r="N132">
            <v>1632.2</v>
          </cell>
          <cell r="O132">
            <v>1660.27</v>
          </cell>
          <cell r="P132">
            <v>1699.18</v>
          </cell>
          <cell r="Q132">
            <v>1738.96</v>
          </cell>
          <cell r="R132">
            <v>1864.6</v>
          </cell>
          <cell r="S132">
            <v>1831.38</v>
          </cell>
          <cell r="T132">
            <v>1864.11</v>
          </cell>
          <cell r="U132">
            <v>1907.92</v>
          </cell>
          <cell r="V132">
            <v>1952.88</v>
          </cell>
          <cell r="W132">
            <v>1999.02</v>
          </cell>
          <cell r="X132">
            <v>2056.39</v>
          </cell>
          <cell r="Y132">
            <v>2095.04</v>
          </cell>
          <cell r="Z132">
            <v>2145.0300000000002</v>
          </cell>
          <cell r="AA132">
            <v>2196.38</v>
          </cell>
          <cell r="AB132">
            <v>2249.13</v>
          </cell>
          <cell r="AC132">
            <v>2313.34</v>
          </cell>
          <cell r="AD132">
            <v>2359.04</v>
          </cell>
          <cell r="AE132">
            <v>2416.2600000000002</v>
          </cell>
          <cell r="AF132">
            <v>2475.04</v>
          </cell>
          <cell r="AG132">
            <v>2535.42</v>
          </cell>
          <cell r="AH132">
            <v>2607.44</v>
          </cell>
          <cell r="AI132">
            <v>0</v>
          </cell>
          <cell r="AJ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2493.98</v>
          </cell>
          <cell r="G133">
            <v>2530.73</v>
          </cell>
          <cell r="H133">
            <v>2588.96</v>
          </cell>
          <cell r="I133">
            <v>2648.7</v>
          </cell>
          <cell r="J133">
            <v>2729.99</v>
          </cell>
          <cell r="K133">
            <v>2998.88</v>
          </cell>
          <cell r="L133">
            <v>3070.16</v>
          </cell>
          <cell r="M133">
            <v>3142.88</v>
          </cell>
          <cell r="N133">
            <v>3217.11</v>
          </cell>
          <cell r="O133">
            <v>3312.89</v>
          </cell>
          <cell r="P133">
            <v>3370.3</v>
          </cell>
          <cell r="Q133">
            <v>3449.42</v>
          </cell>
          <cell r="R133">
            <v>3530.33</v>
          </cell>
          <cell r="S133">
            <v>3782.98</v>
          </cell>
          <cell r="T133">
            <v>3717.95</v>
          </cell>
          <cell r="U133">
            <v>3784.86</v>
          </cell>
          <cell r="V133">
            <v>3873.99</v>
          </cell>
          <cell r="W133">
            <v>3965.42</v>
          </cell>
          <cell r="X133">
            <v>4059.27</v>
          </cell>
          <cell r="Y133">
            <v>4175.6400000000003</v>
          </cell>
          <cell r="Z133">
            <v>4254.6099999999997</v>
          </cell>
          <cell r="AA133">
            <v>4356.28</v>
          </cell>
          <cell r="AB133">
            <v>4460.7299999999996</v>
          </cell>
          <cell r="AC133">
            <v>4568.04</v>
          </cell>
          <cell r="AD133">
            <v>4698.3100000000004</v>
          </cell>
          <cell r="AE133">
            <v>4791.6000000000004</v>
          </cell>
          <cell r="AF133">
            <v>4907.99</v>
          </cell>
          <cell r="AG133">
            <v>5027.5600000000004</v>
          </cell>
          <cell r="AH133">
            <v>5150.38</v>
          </cell>
          <cell r="AI133">
            <v>5296.54</v>
          </cell>
          <cell r="AJ133">
            <v>0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2535.5500000000002</v>
          </cell>
          <cell r="H134">
            <v>2573.37</v>
          </cell>
          <cell r="I134">
            <v>2632.69</v>
          </cell>
          <cell r="J134">
            <v>2693.56</v>
          </cell>
          <cell r="K134">
            <v>2776.01</v>
          </cell>
          <cell r="L134">
            <v>3046.08</v>
          </cell>
          <cell r="M134">
            <v>3118.58</v>
          </cell>
          <cell r="N134">
            <v>3192.56</v>
          </cell>
          <cell r="O134">
            <v>3268.07</v>
          </cell>
          <cell r="P134">
            <v>3365.17</v>
          </cell>
          <cell r="Q134">
            <v>3423.94</v>
          </cell>
          <cell r="R134">
            <v>3504.44</v>
          </cell>
          <cell r="S134">
            <v>3586.79</v>
          </cell>
          <cell r="T134">
            <v>3840.9</v>
          </cell>
          <cell r="U134">
            <v>3777.38</v>
          </cell>
          <cell r="V134">
            <v>3845.84</v>
          </cell>
          <cell r="W134">
            <v>3936.55</v>
          </cell>
          <cell r="X134">
            <v>4029.62</v>
          </cell>
          <cell r="Y134">
            <v>4125.1400000000003</v>
          </cell>
          <cell r="Z134">
            <v>4243.2299999999996</v>
          </cell>
          <cell r="AA134">
            <v>4323.96</v>
          </cell>
          <cell r="AB134">
            <v>4427.45</v>
          </cell>
          <cell r="AC134">
            <v>4533.76</v>
          </cell>
          <cell r="AD134">
            <v>4642.99</v>
          </cell>
          <cell r="AE134">
            <v>4775.22</v>
          </cell>
          <cell r="AF134">
            <v>4870.53</v>
          </cell>
          <cell r="AG134">
            <v>4989</v>
          </cell>
          <cell r="AH134">
            <v>5110.7</v>
          </cell>
          <cell r="AI134">
            <v>5235.71</v>
          </cell>
          <cell r="AJ134">
            <v>5384.11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50">
          <cell r="C150">
            <v>445381.08</v>
          </cell>
          <cell r="D150">
            <v>433157.70000000007</v>
          </cell>
          <cell r="E150">
            <v>437320.41</v>
          </cell>
          <cell r="F150">
            <v>459799.16000000003</v>
          </cell>
          <cell r="G150">
            <v>306781.03999999998</v>
          </cell>
          <cell r="H150">
            <v>154319.13</v>
          </cell>
          <cell r="I150">
            <v>64300.400000000009</v>
          </cell>
          <cell r="J150">
            <v>39449.86</v>
          </cell>
          <cell r="K150">
            <v>28319.009999999995</v>
          </cell>
          <cell r="L150">
            <v>29257.760000000002</v>
          </cell>
          <cell r="M150">
            <v>29953.740000000005</v>
          </cell>
          <cell r="N150">
            <v>30794.030000000002</v>
          </cell>
          <cell r="O150">
            <v>31555.140000000003</v>
          </cell>
          <cell r="P150">
            <v>32397.620000000003</v>
          </cell>
          <cell r="Q150">
            <v>39096.68</v>
          </cell>
          <cell r="R150">
            <v>44343.15</v>
          </cell>
          <cell r="S150">
            <v>45896.959999999999</v>
          </cell>
          <cell r="T150">
            <v>47300.49</v>
          </cell>
          <cell r="U150">
            <v>49495.069999999992</v>
          </cell>
          <cell r="V150">
            <v>51532.039999999994</v>
          </cell>
          <cell r="W150">
            <v>53391.139999999992</v>
          </cell>
          <cell r="X150">
            <v>55015.88</v>
          </cell>
          <cell r="Y150">
            <v>61807.489999999991</v>
          </cell>
          <cell r="Z150">
            <v>67290.509999999995</v>
          </cell>
          <cell r="AA150">
            <v>70409.770000000019</v>
          </cell>
          <cell r="AB150">
            <v>73560.31</v>
          </cell>
          <cell r="AC150">
            <v>75847.23</v>
          </cell>
          <cell r="AD150">
            <v>78144.55</v>
          </cell>
          <cell r="AE150">
            <v>79900.33</v>
          </cell>
          <cell r="AF150">
            <v>79182.44</v>
          </cell>
          <cell r="AG150">
            <v>75336.099999999991</v>
          </cell>
          <cell r="AH150">
            <v>71838.63</v>
          </cell>
          <cell r="AI150">
            <v>67280.399999999994</v>
          </cell>
          <cell r="AJ150">
            <v>63320.499999999993</v>
          </cell>
        </row>
      </sheetData>
      <sheetData sheetId="9">
        <row r="150">
          <cell r="C150">
            <v>849921.73000000021</v>
          </cell>
          <cell r="D150">
            <v>866080.51999999979</v>
          </cell>
          <cell r="E150">
            <v>939010.15999999992</v>
          </cell>
          <cell r="F150">
            <v>1029065.6800000002</v>
          </cell>
          <cell r="G150">
            <v>1121396.4600000002</v>
          </cell>
          <cell r="H150">
            <v>1209261.1800000002</v>
          </cell>
          <cell r="I150">
            <v>1331600.6599999995</v>
          </cell>
          <cell r="J150">
            <v>1476841.6500000004</v>
          </cell>
          <cell r="K150">
            <v>1664878.1600000001</v>
          </cell>
          <cell r="L150">
            <v>1787350.98</v>
          </cell>
          <cell r="M150">
            <v>1908811.5200000009</v>
          </cell>
          <cell r="N150">
            <v>2016166.38</v>
          </cell>
          <cell r="O150">
            <v>2143325.2500000005</v>
          </cell>
          <cell r="P150">
            <v>2159394.89</v>
          </cell>
          <cell r="Q150">
            <v>2318833.36</v>
          </cell>
          <cell r="R150">
            <v>2447152.5900000003</v>
          </cell>
          <cell r="S150">
            <v>2520001.9000000004</v>
          </cell>
          <cell r="T150">
            <v>2755108.1600000006</v>
          </cell>
          <cell r="U150">
            <v>2947252.8500000006</v>
          </cell>
          <cell r="V150">
            <v>3039301.7800000003</v>
          </cell>
          <cell r="W150">
            <v>3255301.54</v>
          </cell>
          <cell r="X150">
            <v>3448773.3999999994</v>
          </cell>
          <cell r="Y150">
            <v>3556111.0900000008</v>
          </cell>
          <cell r="Z150">
            <v>3679065.6099999994</v>
          </cell>
          <cell r="AA150">
            <v>3807053.4500000011</v>
          </cell>
          <cell r="AB150">
            <v>4044861.9100000006</v>
          </cell>
          <cell r="AC150">
            <v>4313819.8999999994</v>
          </cell>
          <cell r="AD150">
            <v>4463274.6199999992</v>
          </cell>
          <cell r="AE150">
            <v>4665945.669999999</v>
          </cell>
          <cell r="AF150">
            <v>4749213.1600000011</v>
          </cell>
          <cell r="AG150">
            <v>4922756.72</v>
          </cell>
          <cell r="AH150">
            <v>5082513.63</v>
          </cell>
          <cell r="AI150">
            <v>5290994.99</v>
          </cell>
          <cell r="AJ150">
            <v>5471774.0599999987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0">
          <cell r="C150">
            <v>411.15</v>
          </cell>
          <cell r="D150">
            <v>431.74000000000007</v>
          </cell>
          <cell r="E150">
            <v>409.69999999999982</v>
          </cell>
          <cell r="F150">
            <v>415.21000000000004</v>
          </cell>
          <cell r="G150">
            <v>450.68000000000018</v>
          </cell>
          <cell r="H150">
            <v>434.51999999999992</v>
          </cell>
          <cell r="I150">
            <v>458.1500000000002</v>
          </cell>
          <cell r="J150">
            <v>465.13</v>
          </cell>
          <cell r="K150">
            <v>519.57999999999993</v>
          </cell>
          <cell r="L150">
            <v>500.03999999999985</v>
          </cell>
          <cell r="M150">
            <v>570</v>
          </cell>
          <cell r="N150">
            <v>506.16</v>
          </cell>
          <cell r="O150">
            <v>540.35999999999979</v>
          </cell>
          <cell r="P150">
            <v>533.29999999999995</v>
          </cell>
          <cell r="Q150">
            <v>321.63999999999993</v>
          </cell>
          <cell r="R150">
            <v>304.63</v>
          </cell>
          <cell r="S150">
            <v>311.59000000000003</v>
          </cell>
          <cell r="T150">
            <v>323.35999999999996</v>
          </cell>
          <cell r="U150">
            <v>330.92000000000013</v>
          </cell>
          <cell r="V150">
            <v>346.96000000000004</v>
          </cell>
          <cell r="W150">
            <v>355.9</v>
          </cell>
          <cell r="X150">
            <v>373.19</v>
          </cell>
          <cell r="Y150">
            <v>321.65999999999997</v>
          </cell>
          <cell r="Z150">
            <v>322.95000000000005</v>
          </cell>
          <cell r="AA150">
            <v>333.95</v>
          </cell>
          <cell r="AB150">
            <v>341.02</v>
          </cell>
          <cell r="AC150">
            <v>359.37999999999994</v>
          </cell>
          <cell r="AD150">
            <v>365.12000000000006</v>
          </cell>
          <cell r="AE150">
            <v>373.74</v>
          </cell>
          <cell r="AF150">
            <v>380.25</v>
          </cell>
          <cell r="AG150">
            <v>395.63</v>
          </cell>
          <cell r="AH150">
            <v>408.32999999999993</v>
          </cell>
          <cell r="AI150">
            <v>423.66000000000008</v>
          </cell>
          <cell r="AJ150">
            <v>439.72999999999996</v>
          </cell>
        </row>
      </sheetData>
      <sheetData sheetId="19">
        <row r="150">
          <cell r="C150">
            <v>4635.4299999999994</v>
          </cell>
          <cell r="D150">
            <v>4934.7299999999987</v>
          </cell>
          <cell r="E150">
            <v>5555.9</v>
          </cell>
          <cell r="F150">
            <v>6945.71</v>
          </cell>
          <cell r="G150">
            <v>9399.9200000000019</v>
          </cell>
          <cell r="H150">
            <v>8059.4000000000005</v>
          </cell>
          <cell r="I150">
            <v>7761.3300000000008</v>
          </cell>
          <cell r="J150">
            <v>6996.0099999999993</v>
          </cell>
          <cell r="K150">
            <v>7152.8899999999994</v>
          </cell>
          <cell r="L150">
            <v>7344.6799999999994</v>
          </cell>
          <cell r="M150">
            <v>7554.24</v>
          </cell>
          <cell r="N150">
            <v>7403.2500000000009</v>
          </cell>
          <cell r="O150">
            <v>7109.9999999999991</v>
          </cell>
          <cell r="P150">
            <v>7068.13</v>
          </cell>
          <cell r="Q150">
            <v>3377.3500000000004</v>
          </cell>
          <cell r="R150">
            <v>1375.86</v>
          </cell>
          <cell r="S150">
            <v>1380.12</v>
          </cell>
          <cell r="T150">
            <v>1390.8300000000004</v>
          </cell>
          <cell r="U150">
            <v>1404.32</v>
          </cell>
          <cell r="V150">
            <v>1401.63</v>
          </cell>
          <cell r="W150">
            <v>1428.21</v>
          </cell>
          <cell r="X150">
            <v>1423.8599999999997</v>
          </cell>
          <cell r="Y150">
            <v>1470.5099999999998</v>
          </cell>
          <cell r="Z150">
            <v>1495.6</v>
          </cell>
          <cell r="AA150">
            <v>1505.9100000000003</v>
          </cell>
          <cell r="AB150">
            <v>1513.5399999999997</v>
          </cell>
          <cell r="AC150">
            <v>1532.94</v>
          </cell>
          <cell r="AD150">
            <v>1527.7399999999998</v>
          </cell>
          <cell r="AE150">
            <v>1531.77</v>
          </cell>
          <cell r="AF150">
            <v>1527.1999999999998</v>
          </cell>
          <cell r="AG150">
            <v>1544.5600000000002</v>
          </cell>
          <cell r="AH150">
            <v>1547.2000000000003</v>
          </cell>
          <cell r="AI150">
            <v>1580.2799999999997</v>
          </cell>
          <cell r="AJ150">
            <v>1592.2599999999998</v>
          </cell>
        </row>
      </sheetData>
      <sheetData sheetId="20"/>
      <sheetData sheetId="21"/>
      <sheetData sheetId="22">
        <row r="150">
          <cell r="C150">
            <v>11.539999999999997</v>
          </cell>
          <cell r="D150">
            <v>12.029999999999998</v>
          </cell>
          <cell r="E150">
            <v>13.669999999999996</v>
          </cell>
          <cell r="F150">
            <v>17.330000000000002</v>
          </cell>
          <cell r="G150">
            <v>23.380000000000013</v>
          </cell>
          <cell r="H150">
            <v>19.040000000000013</v>
          </cell>
          <cell r="I150">
            <v>17.650000000000006</v>
          </cell>
          <cell r="J150">
            <v>14.999999999999996</v>
          </cell>
          <cell r="K150">
            <v>14.999999999999998</v>
          </cell>
          <cell r="L150">
            <v>14.879999999999997</v>
          </cell>
          <cell r="M150">
            <v>15.239999999999998</v>
          </cell>
          <cell r="N150">
            <v>14.409999999999997</v>
          </cell>
          <cell r="O150">
            <v>13.639999999999999</v>
          </cell>
          <cell r="P150">
            <v>13.339999999999996</v>
          </cell>
          <cell r="Q150">
            <v>4.9299999999999979</v>
          </cell>
          <cell r="R150">
            <v>0.44000000000000011</v>
          </cell>
          <cell r="S150">
            <v>0.37000000000000011</v>
          </cell>
          <cell r="T150">
            <v>0.37000000000000011</v>
          </cell>
          <cell r="U150">
            <v>0.38000000000000012</v>
          </cell>
          <cell r="V150">
            <v>0.40000000000000013</v>
          </cell>
          <cell r="W150">
            <v>0.40000000000000013</v>
          </cell>
          <cell r="X150">
            <v>0.41000000000000014</v>
          </cell>
          <cell r="Y150">
            <v>0.38000000000000012</v>
          </cell>
          <cell r="Z150">
            <v>0.42000000000000015</v>
          </cell>
          <cell r="AA150">
            <v>0.44000000000000017</v>
          </cell>
          <cell r="AB150">
            <v>0.45000000000000018</v>
          </cell>
          <cell r="AC150">
            <v>0.46000000000000019</v>
          </cell>
          <cell r="AD150">
            <v>0.46000000000000019</v>
          </cell>
          <cell r="AE150">
            <v>0.49000000000000021</v>
          </cell>
          <cell r="AF150">
            <v>0.4900000000000001</v>
          </cell>
          <cell r="AG150">
            <v>0.4900000000000001</v>
          </cell>
          <cell r="AH150">
            <v>0.52000000000000013</v>
          </cell>
          <cell r="AI150">
            <v>0.56000000000000016</v>
          </cell>
          <cell r="AJ150">
            <v>0.56000000000000016</v>
          </cell>
        </row>
      </sheetData>
      <sheetData sheetId="23">
        <row r="150">
          <cell r="C150">
            <v>13025.86</v>
          </cell>
          <cell r="D150">
            <v>14885.179999999998</v>
          </cell>
          <cell r="E150">
            <v>13389.17</v>
          </cell>
          <cell r="F150">
            <v>14030.54</v>
          </cell>
          <cell r="G150">
            <v>13971.069999999998</v>
          </cell>
          <cell r="H150">
            <v>13868.860000000002</v>
          </cell>
          <cell r="I150">
            <v>16227.819999999996</v>
          </cell>
          <cell r="J150">
            <v>14760.679999999997</v>
          </cell>
          <cell r="K150">
            <v>15313.910000000003</v>
          </cell>
          <cell r="L150">
            <v>15484.349999999995</v>
          </cell>
          <cell r="M150">
            <v>19624.249999999996</v>
          </cell>
          <cell r="N150">
            <v>21837.839999999993</v>
          </cell>
          <cell r="O150">
            <v>23227.460000000003</v>
          </cell>
          <cell r="P150">
            <v>25382.840000000004</v>
          </cell>
          <cell r="Q150">
            <v>32251.459999999992</v>
          </cell>
          <cell r="R150">
            <v>35990.439999999995</v>
          </cell>
          <cell r="S150">
            <v>40407.919999999998</v>
          </cell>
          <cell r="T150">
            <v>44712.7</v>
          </cell>
          <cell r="U150">
            <v>45670.409999999989</v>
          </cell>
          <cell r="V150">
            <v>54297.920000000006</v>
          </cell>
          <cell r="W150">
            <v>54447.639999999992</v>
          </cell>
          <cell r="X150">
            <v>59610.429999999993</v>
          </cell>
          <cell r="Y150">
            <v>60057.01</v>
          </cell>
          <cell r="Z150">
            <v>59512.719999999994</v>
          </cell>
          <cell r="AA150">
            <v>64618.73000000001</v>
          </cell>
          <cell r="AB150">
            <v>69430.37</v>
          </cell>
          <cell r="AC150">
            <v>73399.669999999969</v>
          </cell>
          <cell r="AD150">
            <v>78096.850000000035</v>
          </cell>
          <cell r="AE150">
            <v>82291.199999999983</v>
          </cell>
          <cell r="AF150">
            <v>81008.360000000015</v>
          </cell>
          <cell r="AG150">
            <v>85138.69</v>
          </cell>
          <cell r="AH150">
            <v>85119.700000000012</v>
          </cell>
          <cell r="AI150">
            <v>84076.430000000022</v>
          </cell>
          <cell r="AJ150">
            <v>85749.60000000002</v>
          </cell>
        </row>
      </sheetData>
      <sheetData sheetId="24"/>
      <sheetData sheetId="25"/>
      <sheetData sheetId="26">
        <row r="150">
          <cell r="C150">
            <v>73039.540000000023</v>
          </cell>
          <cell r="D150">
            <v>76433.590000000026</v>
          </cell>
          <cell r="E150">
            <v>83639.69</v>
          </cell>
          <cell r="F150">
            <v>87210.900000000023</v>
          </cell>
          <cell r="G150">
            <v>93698.25</v>
          </cell>
          <cell r="H150">
            <v>109776.25000000001</v>
          </cell>
          <cell r="I150">
            <v>127461.36</v>
          </cell>
          <cell r="J150">
            <v>148907.54999999999</v>
          </cell>
          <cell r="K150">
            <v>171879.58</v>
          </cell>
          <cell r="L150">
            <v>186171.65999999997</v>
          </cell>
          <cell r="M150">
            <v>205178.55</v>
          </cell>
          <cell r="N150">
            <v>224079.01</v>
          </cell>
          <cell r="O150">
            <v>235485.13</v>
          </cell>
          <cell r="P150">
            <v>250900.37</v>
          </cell>
          <cell r="Q150">
            <v>249614.24000000002</v>
          </cell>
          <cell r="R150">
            <v>263276.12</v>
          </cell>
          <cell r="S150">
            <v>279292.33999999997</v>
          </cell>
          <cell r="T150">
            <v>313782.39999999997</v>
          </cell>
          <cell r="U150">
            <v>331737.48000000004</v>
          </cell>
          <cell r="V150">
            <v>362493.24</v>
          </cell>
          <cell r="W150">
            <v>372696.94000000006</v>
          </cell>
          <cell r="X150">
            <v>393884.32</v>
          </cell>
          <cell r="Y150">
            <v>400538.92999999993</v>
          </cell>
          <cell r="Z150">
            <v>420368.53</v>
          </cell>
          <cell r="AA150">
            <v>431729.56</v>
          </cell>
          <cell r="AB150">
            <v>456312.68</v>
          </cell>
          <cell r="AC150">
            <v>468516.99</v>
          </cell>
          <cell r="AD150">
            <v>493852.23</v>
          </cell>
          <cell r="AE150">
            <v>506895.42999999993</v>
          </cell>
          <cell r="AF150">
            <v>531536.16</v>
          </cell>
          <cell r="AG150">
            <v>546313.87000000011</v>
          </cell>
          <cell r="AH150">
            <v>575619.76</v>
          </cell>
          <cell r="AI150">
            <v>593403.21</v>
          </cell>
          <cell r="AJ150">
            <v>623851.72</v>
          </cell>
        </row>
      </sheetData>
      <sheetData sheetId="27"/>
      <sheetData sheetId="28">
        <row r="150">
          <cell r="C150">
            <v>1174.2431000000001</v>
          </cell>
          <cell r="D150">
            <v>1225.1930000000002</v>
          </cell>
          <cell r="E150">
            <v>1406.2138</v>
          </cell>
          <cell r="F150">
            <v>1808.2512999999999</v>
          </cell>
          <cell r="G150">
            <v>2432.3267999999998</v>
          </cell>
          <cell r="H150">
            <v>1972.9919</v>
          </cell>
          <cell r="I150">
            <v>1821.2934</v>
          </cell>
          <cell r="J150">
            <v>1545.5507</v>
          </cell>
          <cell r="K150">
            <v>1537.8503000000001</v>
          </cell>
          <cell r="L150">
            <v>1530.3267000000001</v>
          </cell>
          <cell r="M150">
            <v>1527.7755999999999</v>
          </cell>
          <cell r="N150">
            <v>1428.3344999999999</v>
          </cell>
          <cell r="O150">
            <v>1317.2467000000001</v>
          </cell>
          <cell r="P150">
            <v>1261.2907</v>
          </cell>
          <cell r="Q150">
            <v>430.00260000000003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source_Plans"/>
      <sheetName val="Summary"/>
      <sheetName val="Summary_1"/>
      <sheetName val="2015TYSP"/>
      <sheetName val="Firm_Nuclear_Case"/>
      <sheetName val="Energy_only_Nuclear_Case"/>
      <sheetName val="EnergyOnly_Nucl_CPVRR_Costs"/>
      <sheetName val="Firm_Nucl_CPVRR_Costs"/>
      <sheetName val="Firm Nuclear Chart"/>
      <sheetName val="CPVRR_EnergyOnly_Nuclear_Diff"/>
      <sheetName val="CPVRR_Firm_Nuclear_Diff"/>
      <sheetName val="Summ_2015TYSP_Firm_Nuclear"/>
      <sheetName val="Summ_2015TYSP_Energy_Nuclear"/>
      <sheetName val="Wheeling_Charges"/>
      <sheetName val="FOM"/>
      <sheetName val="NUC_RR"/>
      <sheetName val="financial_assumptions"/>
      <sheetName val="Nuclear_Decommissioning_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>
        <row r="13">
          <cell r="D13">
            <v>6.9000000000000006E-2</v>
          </cell>
        </row>
      </sheetData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Summary"/>
      <sheetName val="Projections"/>
      <sheetName val="RiskSerializationData"/>
      <sheetName val="Startup Costs"/>
      <sheetName val="ContractAssumptions"/>
      <sheetName val="AttritionAssump"/>
      <sheetName val="PurchaseAssump"/>
      <sheetName val="AllocationAssump"/>
      <sheetName val="OutreachAssump"/>
      <sheetName val="DM_Assump"/>
      <sheetName val="OtherMktgAssump"/>
      <sheetName val="OtherExpenseAssump"/>
      <sheetName val="EmployeeAssump"/>
      <sheetName val="OverheadAssump"/>
      <sheetName val="DM_SpendCalc"/>
      <sheetName val="DM_EnrollCalc"/>
      <sheetName val="Outreach Spend"/>
      <sheetName val="OutreachEnrollCalc"/>
      <sheetName val="OtherMktgCalc"/>
      <sheetName val="ModelInfo"/>
    </sheetNames>
    <sheetDataSet>
      <sheetData sheetId="0"/>
      <sheetData sheetId="1"/>
      <sheetData sheetId="2"/>
      <sheetData sheetId="3"/>
      <sheetData sheetId="4"/>
      <sheetData sheetId="5">
        <row r="13">
          <cell r="C13">
            <v>43101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1 New Overview"/>
      <sheetName val="2 Rank"/>
      <sheetName val="3 Score"/>
      <sheetName val="4a Business Resources"/>
      <sheetName val="4b IT Resources"/>
      <sheetName val="5 Customer Facing Impacts"/>
      <sheetName val="6 CCO Impacts"/>
      <sheetName val="Supporting Documentation"/>
      <sheetName val="Validation"/>
      <sheetName val="Graph"/>
      <sheetName val="Resource Roles"/>
      <sheetName val="Tabular Data All"/>
      <sheetName val="Tabular Data for MPL Data Entry"/>
      <sheetName val="Estimating Guidelines"/>
    </sheetNames>
    <sheetDataSet>
      <sheetData sheetId="0"/>
      <sheetData sheetId="1">
        <row r="36">
          <cell r="B36">
            <v>2072686</v>
          </cell>
        </row>
        <row r="37">
          <cell r="B37">
            <v>3322686</v>
          </cell>
        </row>
        <row r="39">
          <cell r="B39">
            <v>-2843392.1382125192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TotCost"/>
      <sheetName val="FOM"/>
      <sheetName val="NOx"/>
      <sheetName val="NOx Rate"/>
      <sheetName val="NOx Monthly"/>
      <sheetName val="NOx Rate Monthly"/>
      <sheetName val="Dispatch"/>
      <sheetName val="MWH"/>
      <sheetName val="MWH Monthly"/>
      <sheetName val="SO2"/>
      <sheetName val="SO2 Monthly"/>
      <sheetName val="CO2"/>
      <sheetName val="CO2 All"/>
      <sheetName val="Hg"/>
      <sheetName val="Btu"/>
      <sheetName val="Btu Monthly"/>
      <sheetName val="CoalBurn"/>
      <sheetName val="CF"/>
      <sheetName val="CF All"/>
      <sheetName val="CF Monthly"/>
      <sheetName val="CF System"/>
      <sheetName val="FuelCost"/>
      <sheetName val="Sheet2"/>
    </sheetNames>
    <sheetDataSet>
      <sheetData sheetId="0" refreshError="1">
        <row r="5">
          <cell r="B5" t="str">
            <v>Duke Coal Total Cost by Year</v>
          </cell>
        </row>
        <row r="16">
          <cell r="B16" t="str">
            <v>Duke Capacity Factor by Year</v>
          </cell>
        </row>
        <row r="17">
          <cell r="B17" t="str">
            <v>Duke CO2 Tons by Year</v>
          </cell>
        </row>
        <row r="18">
          <cell r="B18" t="str">
            <v>Duke Coal and CC Btu Consumed by Month</v>
          </cell>
        </row>
        <row r="19">
          <cell r="B19" t="str">
            <v>Duke Coal and CC Btu Consumed by Year</v>
          </cell>
        </row>
        <row r="20">
          <cell r="B20" t="str">
            <v>Duke Coal and CC Capacity Factor by Month</v>
          </cell>
        </row>
        <row r="21">
          <cell r="B21" t="str">
            <v>Duke Coal and CC Capacity Factor by Year</v>
          </cell>
        </row>
        <row r="22">
          <cell r="B22" t="str">
            <v>Duke Coal and CC Fuel Cost by Year</v>
          </cell>
        </row>
        <row r="23">
          <cell r="B23" t="str">
            <v>Duke Coal and CC Generation by Month</v>
          </cell>
        </row>
        <row r="24">
          <cell r="B24" t="str">
            <v>Duke Coal and CC Generation by Year</v>
          </cell>
        </row>
        <row r="25">
          <cell r="B25" t="str">
            <v>Duke Coal Burn by Year</v>
          </cell>
        </row>
        <row r="26">
          <cell r="B26" t="str">
            <v>Duke Coal CO2 Tons by Year</v>
          </cell>
        </row>
        <row r="27">
          <cell r="B27" t="str">
            <v>Duke Coal Hg Pounds by Year</v>
          </cell>
        </row>
        <row r="28">
          <cell r="B28" t="str">
            <v>Duke Coal NOx Tons by Month</v>
          </cell>
        </row>
        <row r="29">
          <cell r="B29" t="str">
            <v>Duke Coal NOx Tons by Year</v>
          </cell>
        </row>
        <row r="30">
          <cell r="B30" t="str">
            <v>Duke Coal SO2 Tons by Month</v>
          </cell>
        </row>
        <row r="31">
          <cell r="B31" t="str">
            <v>Duke Coal SO2 Tons by Year</v>
          </cell>
        </row>
        <row r="32">
          <cell r="B32" t="str">
            <v>Duke Coal System CF by Year</v>
          </cell>
        </row>
        <row r="33">
          <cell r="B33" t="str">
            <v>Duke Dispatch Price by Year</v>
          </cell>
        </row>
        <row r="34">
          <cell r="B34" t="str">
            <v>Duke FixedOM by Year</v>
          </cell>
        </row>
        <row r="35">
          <cell r="B35" t="str">
            <v>Duke Coal Total Cost by Year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O2 All"/>
      <sheetName val="Capacity at Peak"/>
      <sheetName val="Dependable Cap"/>
      <sheetName val="Operating Hrs"/>
      <sheetName val="Fuel Demand"/>
      <sheetName val="Reagent Cost"/>
      <sheetName val="Fuel Cost"/>
      <sheetName val="Fuel Price"/>
      <sheetName val="Heat Rate"/>
      <sheetName val="TotCost"/>
      <sheetName val="FOM"/>
      <sheetName val="VOM Cost"/>
      <sheetName val="VOM Rate"/>
      <sheetName val="NOx"/>
      <sheetName val="NOx Cost"/>
      <sheetName val="NOx Allow"/>
      <sheetName val="Dispatch"/>
      <sheetName val="MWH"/>
      <sheetName val="SO2"/>
      <sheetName val="SO2 Cost"/>
      <sheetName val="SO2 Allow"/>
      <sheetName val="CO2"/>
      <sheetName val="CO2 Cost"/>
      <sheetName val="CO2 Allow"/>
      <sheetName val="Hg"/>
      <sheetName val="Hg Cost"/>
      <sheetName val="Btu"/>
      <sheetName val="CoalBurn"/>
      <sheetName val="CF"/>
      <sheetName val="CF All"/>
      <sheetName val="CF System"/>
      <sheetName val="FuelCost"/>
      <sheetName val="Starts"/>
      <sheetName val="Start Cost"/>
      <sheetName val="Tot System Costs"/>
    </sheetNames>
    <sheetDataSet>
      <sheetData sheetId="0">
        <row r="23">
          <cell r="B23" t="str">
            <v>Duke Capacity at Peak</v>
          </cell>
          <cell r="C23" t="str">
            <v>Capacity at Peak</v>
          </cell>
          <cell r="D23" t="str">
            <v>#,##0</v>
          </cell>
          <cell r="E23" t="b">
            <v>1</v>
          </cell>
          <cell r="F23" t="str">
            <v>MW</v>
          </cell>
        </row>
        <row r="24">
          <cell r="B24" t="str">
            <v>Duke Capacity Factor by Year</v>
          </cell>
        </row>
        <row r="25">
          <cell r="B25" t="str">
            <v>Duke CO2 Cost by Year</v>
          </cell>
        </row>
        <row r="26">
          <cell r="B26" t="str">
            <v>Duke CO2 Tons by Year</v>
          </cell>
        </row>
        <row r="27">
          <cell r="B27" t="str">
            <v>Duke Coal and CC Btu Consumed by Year</v>
          </cell>
        </row>
        <row r="28">
          <cell r="B28" t="str">
            <v>Duke Coal and CC Capacity Factor by Year</v>
          </cell>
        </row>
        <row r="29">
          <cell r="B29" t="str">
            <v>Duke Coal and CC Fuel Cost by Year</v>
          </cell>
        </row>
        <row r="30">
          <cell r="B30" t="str">
            <v>Duke Coal and CC Generation by Year</v>
          </cell>
        </row>
        <row r="31">
          <cell r="B31" t="str">
            <v>Duke Coal Burn by Year</v>
          </cell>
        </row>
        <row r="32">
          <cell r="B32" t="str">
            <v>Duke Coal CO2 Tons by Year</v>
          </cell>
        </row>
        <row r="33">
          <cell r="B33" t="str">
            <v>Duke Coal Hg Pounds by Year</v>
          </cell>
        </row>
        <row r="34">
          <cell r="B34" t="str">
            <v>Duke Coal NOx Tons by Year</v>
          </cell>
        </row>
        <row r="35">
          <cell r="B35" t="str">
            <v>Duke Coal SO2 Tons by Year</v>
          </cell>
        </row>
        <row r="36">
          <cell r="B36" t="str">
            <v>Duke Coal System CF by Year</v>
          </cell>
        </row>
        <row r="37">
          <cell r="B37" t="str">
            <v>Duke Florida Coal Total Cost by Year</v>
          </cell>
        </row>
        <row r="38">
          <cell r="B38" t="str">
            <v>Duke Dispatch Price by Year</v>
          </cell>
        </row>
        <row r="39">
          <cell r="B39" t="str">
            <v>Duke FixedOM by Year</v>
          </cell>
        </row>
        <row r="40">
          <cell r="B40" t="str">
            <v>Duke Fuel Cost by Year</v>
          </cell>
        </row>
        <row r="41">
          <cell r="B41" t="str">
            <v>Duke Hg Cost by Year</v>
          </cell>
        </row>
        <row r="42">
          <cell r="B42" t="str">
            <v>Duke NOx Cost by Year</v>
          </cell>
        </row>
        <row r="43">
          <cell r="B43" t="str">
            <v>Duke Florida Reagent Cost by Year</v>
          </cell>
        </row>
        <row r="44">
          <cell r="B44" t="str">
            <v>Duke SO2 Cost by Year</v>
          </cell>
        </row>
        <row r="45">
          <cell r="B45" t="str">
            <v>Duke Start Cost by Year</v>
          </cell>
        </row>
        <row r="46">
          <cell r="B46" t="str">
            <v>Duke Starts by Year</v>
          </cell>
        </row>
        <row r="47">
          <cell r="B47" t="str">
            <v>Duke Sys Fuel Demand Chg</v>
          </cell>
        </row>
        <row r="48">
          <cell r="B48" t="str">
            <v>Duke System Costs</v>
          </cell>
        </row>
        <row r="49">
          <cell r="B49" t="str">
            <v>Duke VOM Cost by Year</v>
          </cell>
        </row>
        <row r="50">
          <cell r="B50" t="str">
            <v>Duke Hours Per Unit  by Year</v>
          </cell>
        </row>
        <row r="51">
          <cell r="B51" t="str">
            <v>Duke Dependable Capacity By Year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Analysis"/>
      <sheetName val="Assumptions"/>
      <sheetName val="Status Report"/>
      <sheetName val="Appr Funding"/>
      <sheetName val="Forecast"/>
      <sheetName val="Staffing"/>
      <sheetName val="Actuals"/>
      <sheetName val="Values-Update Year annual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Int. Labor</v>
          </cell>
        </row>
        <row r="3">
          <cell r="B3" t="str">
            <v>Ext. Labor</v>
          </cell>
        </row>
        <row r="4">
          <cell r="B4" t="str">
            <v>Other</v>
          </cell>
        </row>
        <row r="5">
          <cell r="B5" t="str">
            <v>Contingency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Inputs Solar"/>
      <sheetName val="Inputs NetUp"/>
      <sheetName val="Solar Rev Req 1"/>
      <sheetName val="Solar Rev Req 2"/>
      <sheetName val="Solar Rev Req 3"/>
      <sheetName val="NetUp Rev Req 1"/>
      <sheetName val="NetUp Rev Req 2"/>
      <sheetName val="NetUp Rev Req 3"/>
      <sheetName val="CEC Rev Req"/>
      <sheetName val="Tariff Model Inputs"/>
    </sheetNames>
    <sheetDataSet>
      <sheetData sheetId="0"/>
      <sheetData sheetId="1">
        <row r="24">
          <cell r="B24">
            <v>96068.531528035761</v>
          </cell>
        </row>
      </sheetData>
      <sheetData sheetId="2">
        <row r="26">
          <cell r="B26">
            <v>10200</v>
          </cell>
        </row>
      </sheetData>
      <sheetData sheetId="3">
        <row r="30">
          <cell r="C30">
            <v>613.88008708399855</v>
          </cell>
          <cell r="D30">
            <v>622.81812318916559</v>
          </cell>
          <cell r="E30">
            <v>637.11791361186249</v>
          </cell>
          <cell r="F30">
            <v>651.78914240747508</v>
          </cell>
          <cell r="G30">
            <v>671.84175976059589</v>
          </cell>
          <cell r="H30">
            <v>738.78645263998169</v>
          </cell>
          <cell r="I30">
            <v>756.31989586422662</v>
          </cell>
          <cell r="J30">
            <v>774.20910551164957</v>
          </cell>
          <cell r="K30">
            <v>792.46475853858601</v>
          </cell>
          <cell r="L30">
            <v>816.10106347451142</v>
          </cell>
          <cell r="M30">
            <v>830.13545348478033</v>
          </cell>
          <cell r="N30">
            <v>849.58815710422186</v>
          </cell>
          <cell r="O30">
            <v>869.48168244176986</v>
          </cell>
          <cell r="P30">
            <v>932.30025346500634</v>
          </cell>
          <cell r="Q30">
            <v>915.68923662311045</v>
          </cell>
          <cell r="R30">
            <v>932.05459287888982</v>
          </cell>
          <cell r="S30">
            <v>953.96238474555992</v>
          </cell>
          <cell r="T30">
            <v>976.43836086280965</v>
          </cell>
          <cell r="U30">
            <v>999.50763276567557</v>
          </cell>
          <cell r="V30">
            <v>1028.1944505470965</v>
          </cell>
          <cell r="W30">
            <v>1047.5220767497606</v>
          </cell>
          <cell r="X30">
            <v>1072.5127515621746</v>
          </cell>
          <cell r="Y30">
            <v>1098.1877375824793</v>
          </cell>
          <cell r="Z30">
            <v>1124.5674292155493</v>
          </cell>
          <cell r="AA30">
            <v>1156.6715101799639</v>
          </cell>
          <cell r="AB30">
            <v>1179.5191424762425</v>
          </cell>
          <cell r="AC30">
            <v>1208.1291712578525</v>
          </cell>
          <cell r="AD30">
            <v>1237.5203320421992</v>
          </cell>
          <cell r="AE30">
            <v>1267.7114492696367</v>
          </cell>
          <cell r="AF30">
            <v>1303.7216180485691</v>
          </cell>
        </row>
        <row r="31">
          <cell r="C31">
            <v>401.77499999999998</v>
          </cell>
          <cell r="D31">
            <v>409.81049999999999</v>
          </cell>
          <cell r="E31">
            <v>418.00671000000006</v>
          </cell>
          <cell r="F31">
            <v>426.36684420000006</v>
          </cell>
          <cell r="G31">
            <v>434.89418108400008</v>
          </cell>
          <cell r="H31">
            <v>443.59206470568006</v>
          </cell>
          <cell r="I31">
            <v>452.46390599979372</v>
          </cell>
          <cell r="J31">
            <v>461.51318411978957</v>
          </cell>
          <cell r="K31">
            <v>470.74344780218536</v>
          </cell>
          <cell r="L31">
            <v>480.15831675822909</v>
          </cell>
          <cell r="M31">
            <v>489.76148309339368</v>
          </cell>
          <cell r="N31">
            <v>499.55671275526163</v>
          </cell>
          <cell r="O31">
            <v>509.54784701036687</v>
          </cell>
          <cell r="P31">
            <v>519.73880395057415</v>
          </cell>
          <cell r="Q31">
            <v>530.1335800295858</v>
          </cell>
          <cell r="R31">
            <v>540.73625163017743</v>
          </cell>
          <cell r="S31">
            <v>551.55097666278095</v>
          </cell>
          <cell r="T31">
            <v>562.5819961960367</v>
          </cell>
          <cell r="U31">
            <v>573.8336361199573</v>
          </cell>
          <cell r="V31">
            <v>585.31030884235645</v>
          </cell>
          <cell r="W31">
            <v>597.01651501920355</v>
          </cell>
          <cell r="X31">
            <v>608.95684531958761</v>
          </cell>
          <cell r="Y31">
            <v>621.13598222597932</v>
          </cell>
          <cell r="Z31">
            <v>633.55870187049891</v>
          </cell>
          <cell r="AA31">
            <v>646.22987590790899</v>
          </cell>
          <cell r="AB31">
            <v>659.15447342606728</v>
          </cell>
          <cell r="AC31">
            <v>672.33756289458859</v>
          </cell>
          <cell r="AD31">
            <v>685.78431415248031</v>
          </cell>
          <cell r="AE31">
            <v>699.50000043552996</v>
          </cell>
          <cell r="AF31">
            <v>713.49000044424065</v>
          </cell>
        </row>
        <row r="32">
          <cell r="C32">
            <v>344.39455302167516</v>
          </cell>
          <cell r="D32">
            <v>333.8518626230524</v>
          </cell>
          <cell r="E32">
            <v>326.82340235730391</v>
          </cell>
          <cell r="F32">
            <v>316.28071195868125</v>
          </cell>
          <cell r="G32">
            <v>305.73802156005854</v>
          </cell>
          <cell r="H32">
            <v>295.19533116143583</v>
          </cell>
          <cell r="I32">
            <v>284.65264076281306</v>
          </cell>
          <cell r="J32">
            <v>274.10995036419041</v>
          </cell>
          <cell r="K32">
            <v>263.5672599655677</v>
          </cell>
          <cell r="L32">
            <v>249.51033943407072</v>
          </cell>
          <cell r="M32">
            <v>238.96764903544801</v>
          </cell>
          <cell r="N32">
            <v>224.91072850395108</v>
          </cell>
          <cell r="O32">
            <v>210.85380797245415</v>
          </cell>
          <cell r="P32">
            <v>196.79688744095722</v>
          </cell>
          <cell r="Q32">
            <v>182.73996690946026</v>
          </cell>
          <cell r="R32">
            <v>168.68304637796331</v>
          </cell>
          <cell r="S32">
            <v>773.13062923233201</v>
          </cell>
          <cell r="T32">
            <v>685.27487591047623</v>
          </cell>
          <cell r="U32">
            <v>597.41912258862021</v>
          </cell>
          <cell r="V32">
            <v>527.13451993113551</v>
          </cell>
          <cell r="W32">
            <v>527.13451993113551</v>
          </cell>
          <cell r="X32">
            <v>456.84991727365082</v>
          </cell>
          <cell r="Y32">
            <v>456.84991727365082</v>
          </cell>
          <cell r="Z32">
            <v>404.13646528053721</v>
          </cell>
          <cell r="AA32">
            <v>404.13646528053721</v>
          </cell>
          <cell r="AB32">
            <v>368.99416395179486</v>
          </cell>
          <cell r="AC32">
            <v>351.42301328742366</v>
          </cell>
          <cell r="AD32">
            <v>351.42301328742366</v>
          </cell>
          <cell r="AE32">
            <v>351.42301328742366</v>
          </cell>
          <cell r="AF32">
            <v>351.42301328742366</v>
          </cell>
        </row>
        <row r="33">
          <cell r="C33">
            <v>125.13498624910746</v>
          </cell>
          <cell r="D33">
            <v>128.88903583658069</v>
          </cell>
          <cell r="E33">
            <v>132.75570691167809</v>
          </cell>
          <cell r="F33">
            <v>136.73837811902845</v>
          </cell>
          <cell r="G33">
            <v>140.97761643565727</v>
          </cell>
          <cell r="H33">
            <v>145.27665878211954</v>
          </cell>
          <cell r="I33">
            <v>149.717294794423</v>
          </cell>
          <cell r="J33">
            <v>154.30382421632629</v>
          </cell>
          <cell r="K33">
            <v>159.04058191757451</v>
          </cell>
          <cell r="L33">
            <v>164.09086042854105</v>
          </cell>
          <cell r="M33">
            <v>169.14599467670098</v>
          </cell>
          <cell r="N33">
            <v>174.36473437084163</v>
          </cell>
          <cell r="O33">
            <v>179.75158512973047</v>
          </cell>
          <cell r="P33">
            <v>185.31110793909866</v>
          </cell>
          <cell r="Q33">
            <v>191.25979577531689</v>
          </cell>
          <cell r="R33">
            <v>197.1849652933447</v>
          </cell>
          <cell r="S33">
            <v>203.29710051811551</v>
          </cell>
          <cell r="T33">
            <v>209.60108307469218</v>
          </cell>
          <cell r="U33">
            <v>216.10190201432906</v>
          </cell>
          <cell r="V33">
            <v>223.01824381844915</v>
          </cell>
          <cell r="W33">
            <v>229.93460501714281</v>
          </cell>
          <cell r="X33">
            <v>237.06373847508837</v>
          </cell>
          <cell r="Y33">
            <v>244.41120243300963</v>
          </cell>
          <cell r="Z33">
            <v>251.98273078172937</v>
          </cell>
          <cell r="AA33">
            <v>260.03184115549141</v>
          </cell>
          <cell r="AB33">
            <v>268.07689895328826</v>
          </cell>
          <cell r="AC33">
            <v>276.36463568964797</v>
          </cell>
          <cell r="AD33">
            <v>284.90162877549204</v>
          </cell>
          <cell r="AE33">
            <v>293.69469634250379</v>
          </cell>
          <cell r="AF33">
            <v>303.0379382702439</v>
          </cell>
        </row>
        <row r="34">
          <cell r="C34">
            <v>14138.991056095061</v>
          </cell>
          <cell r="D34">
            <v>13397.273959140113</v>
          </cell>
          <cell r="E34">
            <v>12670.68768284386</v>
          </cell>
          <cell r="F34">
            <v>12136.04012505418</v>
          </cell>
          <cell r="G34">
            <v>11688.178903109228</v>
          </cell>
          <cell r="H34">
            <v>10174.053507234341</v>
          </cell>
          <cell r="I34">
            <v>9887.1493563625863</v>
          </cell>
          <cell r="J34">
            <v>9656.4845105981494</v>
          </cell>
          <cell r="K34">
            <v>9427.1995277515744</v>
          </cell>
          <cell r="L34">
            <v>9208.3325252962022</v>
          </cell>
          <cell r="M34">
            <v>8980.3416239213311</v>
          </cell>
          <cell r="N34">
            <v>8750.4455794560017</v>
          </cell>
          <cell r="O34">
            <v>8521.6806766817135</v>
          </cell>
          <cell r="P34">
            <v>8336.4057815484084</v>
          </cell>
          <cell r="Q34">
            <v>8081.1171475165556</v>
          </cell>
          <cell r="R34">
            <v>7855.3161473893906</v>
          </cell>
          <cell r="S34">
            <v>8249.6619859079947</v>
          </cell>
          <cell r="T34">
            <v>7953.1074787342422</v>
          </cell>
          <cell r="U34">
            <v>7657.4112424786899</v>
          </cell>
          <cell r="V34">
            <v>7392.9043359160887</v>
          </cell>
          <cell r="W34">
            <v>7186.4852559830451</v>
          </cell>
          <cell r="X34">
            <v>6912.7007840915321</v>
          </cell>
          <cell r="Y34">
            <v>6710.8519206201527</v>
          </cell>
          <cell r="Z34">
            <v>6457.0680556946536</v>
          </cell>
          <cell r="AA34">
            <v>6269.6078838469684</v>
          </cell>
          <cell r="AB34">
            <v>6033.9643280875798</v>
          </cell>
          <cell r="AC34">
            <v>5817.2184598279728</v>
          </cell>
          <cell r="AD34">
            <v>5618.9335344661813</v>
          </cell>
          <cell r="AE34">
            <v>5421.5031987920202</v>
          </cell>
          <cell r="AF34">
            <v>7028.3218190473945</v>
          </cell>
        </row>
        <row r="35">
          <cell r="B35">
            <v>125499.13906236316</v>
          </cell>
        </row>
      </sheetData>
      <sheetData sheetId="4">
        <row r="30">
          <cell r="C30">
            <v>623.49465925817094</v>
          </cell>
          <cell r="D30">
            <v>632.682658778563</v>
          </cell>
          <cell r="E30">
            <v>647.23912967519198</v>
          </cell>
          <cell r="F30">
            <v>662.17394156911064</v>
          </cell>
          <cell r="G30">
            <v>682.49723545089694</v>
          </cell>
          <cell r="H30">
            <v>749.71989448609349</v>
          </cell>
          <cell r="I30">
            <v>767.53879523573994</v>
          </cell>
          <cell r="J30">
            <v>785.72116122562159</v>
          </cell>
          <cell r="K30">
            <v>804.27788272855867</v>
          </cell>
          <cell r="L30">
            <v>828.22338762829941</v>
          </cell>
          <cell r="M30">
            <v>842.57533465593963</v>
          </cell>
          <cell r="N30">
            <v>862.35418430225502</v>
          </cell>
          <cell r="O30">
            <v>882.58268320627212</v>
          </cell>
          <cell r="P30">
            <v>945.74530062911026</v>
          </cell>
          <cell r="Q30">
            <v>929.48765527174396</v>
          </cell>
          <cell r="R30">
            <v>946.21596750752246</v>
          </cell>
          <cell r="S30">
            <v>968.49656662528264</v>
          </cell>
          <cell r="T30">
            <v>991.35547561776161</v>
          </cell>
          <cell r="U30">
            <v>1014.8180881690115</v>
          </cell>
          <cell r="V30">
            <v>1043.908944541867</v>
          </cell>
          <cell r="W30">
            <v>1063.6516057012666</v>
          </cell>
          <cell r="X30">
            <v>1089.0686187485514</v>
          </cell>
          <cell r="Y30">
            <v>1115.1815619304627</v>
          </cell>
          <cell r="Z30">
            <v>1142.0111542885793</v>
          </cell>
          <cell r="AA30">
            <v>1174.5774134259977</v>
          </cell>
          <cell r="AB30">
            <v>1197.8998447428587</v>
          </cell>
          <cell r="AC30">
            <v>1226.9976465824532</v>
          </cell>
          <cell r="AD30">
            <v>1256.8899177253529</v>
          </cell>
          <cell r="AE30">
            <v>1287.5958562398305</v>
          </cell>
          <cell r="AF30">
            <v>1324.1349415268937</v>
          </cell>
        </row>
        <row r="31">
          <cell r="C31">
            <v>409.81049999999999</v>
          </cell>
          <cell r="D31">
            <v>418.00671000000006</v>
          </cell>
          <cell r="E31">
            <v>426.36684420000006</v>
          </cell>
          <cell r="F31">
            <v>434.89418108400008</v>
          </cell>
          <cell r="G31">
            <v>443.59206470568006</v>
          </cell>
          <cell r="H31">
            <v>452.46390599979372</v>
          </cell>
          <cell r="I31">
            <v>461.51318411978957</v>
          </cell>
          <cell r="J31">
            <v>470.74344780218536</v>
          </cell>
          <cell r="K31">
            <v>480.15831675822909</v>
          </cell>
          <cell r="L31">
            <v>489.76148309339368</v>
          </cell>
          <cell r="M31">
            <v>499.55671275526163</v>
          </cell>
          <cell r="N31">
            <v>509.54784701036687</v>
          </cell>
          <cell r="O31">
            <v>519.73880395057415</v>
          </cell>
          <cell r="P31">
            <v>530.1335800295858</v>
          </cell>
          <cell r="Q31">
            <v>540.73625163017743</v>
          </cell>
          <cell r="R31">
            <v>551.55097666278095</v>
          </cell>
          <cell r="S31">
            <v>562.5819961960367</v>
          </cell>
          <cell r="T31">
            <v>573.8336361199573</v>
          </cell>
          <cell r="U31">
            <v>585.31030884235645</v>
          </cell>
          <cell r="V31">
            <v>597.01651501920355</v>
          </cell>
          <cell r="W31">
            <v>608.95684531958761</v>
          </cell>
          <cell r="X31">
            <v>621.13598222597932</v>
          </cell>
          <cell r="Y31">
            <v>633.55870187049891</v>
          </cell>
          <cell r="Z31">
            <v>646.22987590790899</v>
          </cell>
          <cell r="AA31">
            <v>659.15447342606728</v>
          </cell>
          <cell r="AB31">
            <v>672.33756289458859</v>
          </cell>
          <cell r="AC31">
            <v>685.78431415248031</v>
          </cell>
          <cell r="AD31">
            <v>699.50000043552996</v>
          </cell>
          <cell r="AE31">
            <v>713.49000044424065</v>
          </cell>
          <cell r="AF31">
            <v>727.75980045312531</v>
          </cell>
        </row>
        <row r="32">
          <cell r="C32">
            <v>319.52992288557124</v>
          </cell>
          <cell r="D32">
            <v>309.74839463397211</v>
          </cell>
          <cell r="E32">
            <v>303.22737579957271</v>
          </cell>
          <cell r="F32">
            <v>293.44584754797353</v>
          </cell>
          <cell r="G32">
            <v>283.66431929637446</v>
          </cell>
          <cell r="H32">
            <v>273.88279104477533</v>
          </cell>
          <cell r="I32">
            <v>264.1012627931762</v>
          </cell>
          <cell r="J32">
            <v>254.31973454157708</v>
          </cell>
          <cell r="K32">
            <v>244.53820628997798</v>
          </cell>
          <cell r="L32">
            <v>231.49616862117909</v>
          </cell>
          <cell r="M32">
            <v>221.71464036958002</v>
          </cell>
          <cell r="N32">
            <v>208.67260270078117</v>
          </cell>
          <cell r="O32">
            <v>195.63056503198234</v>
          </cell>
          <cell r="P32">
            <v>182.58852736318354</v>
          </cell>
          <cell r="Q32">
            <v>169.54648969438472</v>
          </cell>
          <cell r="R32">
            <v>782.5222601279296</v>
          </cell>
          <cell r="S32">
            <v>717.31207178393549</v>
          </cell>
          <cell r="T32">
            <v>635.79933635394286</v>
          </cell>
          <cell r="U32">
            <v>554.28660092395023</v>
          </cell>
          <cell r="V32">
            <v>489.07641257995601</v>
          </cell>
          <cell r="W32">
            <v>489.07641257995601</v>
          </cell>
          <cell r="X32">
            <v>423.86622423596191</v>
          </cell>
          <cell r="Y32">
            <v>423.86622423596191</v>
          </cell>
          <cell r="Z32">
            <v>374.95858297796627</v>
          </cell>
          <cell r="AA32">
            <v>374.95858297796627</v>
          </cell>
          <cell r="AB32">
            <v>342.35348880596922</v>
          </cell>
          <cell r="AC32">
            <v>326.05094171997069</v>
          </cell>
          <cell r="AD32">
            <v>326.05094171997069</v>
          </cell>
          <cell r="AE32">
            <v>326.05094171997069</v>
          </cell>
          <cell r="AF32">
            <v>326.05094171997069</v>
          </cell>
        </row>
        <row r="33">
          <cell r="C33">
            <v>116.1004788131705</v>
          </cell>
          <cell r="D33">
            <v>119.58349317756561</v>
          </cell>
          <cell r="E33">
            <v>123.17099797289258</v>
          </cell>
          <cell r="F33">
            <v>126.86612791207936</v>
          </cell>
          <cell r="G33">
            <v>130.80919872249973</v>
          </cell>
          <cell r="H33">
            <v>134.80318853756728</v>
          </cell>
          <cell r="I33">
            <v>138.92962044253414</v>
          </cell>
          <cell r="J33">
            <v>143.19251963388081</v>
          </cell>
          <cell r="K33">
            <v>147.59593819765567</v>
          </cell>
          <cell r="L33">
            <v>152.30287739702462</v>
          </cell>
          <cell r="M33">
            <v>157.00437215423904</v>
          </cell>
          <cell r="N33">
            <v>161.85886317270584</v>
          </cell>
          <cell r="O33">
            <v>166.87053779565062</v>
          </cell>
          <cell r="P33">
            <v>172.04362918499641</v>
          </cell>
          <cell r="Q33">
            <v>177.59429265859157</v>
          </cell>
          <cell r="R33">
            <v>183.10949708311762</v>
          </cell>
          <cell r="S33">
            <v>188.79936826158163</v>
          </cell>
          <cell r="T33">
            <v>194.66841885046227</v>
          </cell>
          <cell r="U33">
            <v>200.72125786337224</v>
          </cell>
          <cell r="V33">
            <v>207.17618034296362</v>
          </cell>
          <cell r="W33">
            <v>213.61727963739276</v>
          </cell>
          <cell r="X33">
            <v>220.25689333394578</v>
          </cell>
          <cell r="Y33">
            <v>227.10015193763277</v>
          </cell>
          <cell r="Z33">
            <v>234.15234877149118</v>
          </cell>
          <cell r="AA33">
            <v>241.6665476849461</v>
          </cell>
          <cell r="AB33">
            <v>249.16064667862656</v>
          </cell>
          <cell r="AC33">
            <v>256.8808958467464</v>
          </cell>
          <cell r="AD33">
            <v>264.83337673730347</v>
          </cell>
          <cell r="AE33">
            <v>273.02439674316952</v>
          </cell>
          <cell r="AF33">
            <v>281.74752968292967</v>
          </cell>
        </row>
        <row r="34">
          <cell r="C34">
            <v>13172.012494828741</v>
          </cell>
          <cell r="D34">
            <v>12469.344794230745</v>
          </cell>
          <cell r="E34">
            <v>11781.285351986582</v>
          </cell>
          <cell r="F34">
            <v>11278.405975406878</v>
          </cell>
          <cell r="G34">
            <v>9817.1142347158147</v>
          </cell>
          <cell r="H34">
            <v>9498.7984778121318</v>
          </cell>
          <cell r="I34">
            <v>9235.1167289256609</v>
          </cell>
          <cell r="J34">
            <v>9025.7069665933159</v>
          </cell>
          <cell r="K34">
            <v>8817.6812994819138</v>
          </cell>
          <cell r="L34">
            <v>8620.3294828904382</v>
          </cell>
          <cell r="M34">
            <v>8413.6018694855702</v>
          </cell>
          <cell r="N34">
            <v>8205.2246547972318</v>
          </cell>
          <cell r="O34">
            <v>7997.980399971123</v>
          </cell>
          <cell r="P34">
            <v>7834.2279667887551</v>
          </cell>
          <cell r="Q34">
            <v>7600.4636032329399</v>
          </cell>
          <cell r="R34">
            <v>8022.1902436574082</v>
          </cell>
          <cell r="S34">
            <v>7767.3425194977845</v>
          </cell>
          <cell r="T34">
            <v>7497.5807826270147</v>
          </cell>
          <cell r="U34">
            <v>7228.679088896386</v>
          </cell>
          <cell r="V34">
            <v>6989.6998804815521</v>
          </cell>
          <cell r="W34">
            <v>6803.7483221629727</v>
          </cell>
          <cell r="X34">
            <v>6555.5324951540715</v>
          </cell>
          <cell r="Y34">
            <v>6374.1920650433585</v>
          </cell>
          <cell r="Z34">
            <v>6144.7241332712165</v>
          </cell>
          <cell r="AA34">
            <v>5977.7757504321416</v>
          </cell>
          <cell r="AB34">
            <v>5765.1828328114952</v>
          </cell>
          <cell r="AC34">
            <v>5570.2206142245404</v>
          </cell>
          <cell r="AD34">
            <v>5392.4523208663395</v>
          </cell>
          <cell r="AE34">
            <v>5215.5401714589007</v>
          </cell>
          <cell r="AF34">
            <v>6835.2543263993512</v>
          </cell>
        </row>
        <row r="35">
          <cell r="B35">
            <v>116949.06755789457</v>
          </cell>
        </row>
      </sheetData>
      <sheetData sheetId="5">
        <row r="30">
          <cell r="C30">
            <v>633.88645496350944</v>
          </cell>
          <cell r="D30">
            <v>643.34167210506166</v>
          </cell>
          <cell r="E30">
            <v>658.17247374523561</v>
          </cell>
          <cell r="F30">
            <v>673.38892451359925</v>
          </cell>
          <cell r="G30">
            <v>694.00136588387261</v>
          </cell>
          <cell r="H30">
            <v>761.52088713589478</v>
          </cell>
          <cell r="I30">
            <v>779.64457673722086</v>
          </cell>
          <cell r="J30">
            <v>798.13987607810577</v>
          </cell>
          <cell r="K30">
            <v>817.01789942433345</v>
          </cell>
          <cell r="L30">
            <v>841.29330495659644</v>
          </cell>
          <cell r="M30">
            <v>855.98398818749592</v>
          </cell>
          <cell r="N30">
            <v>876.11065305969305</v>
          </cell>
          <cell r="O30">
            <v>896.69629652569483</v>
          </cell>
          <cell r="P30">
            <v>960.22564521846368</v>
          </cell>
          <cell r="Q30">
            <v>944.34458247166151</v>
          </cell>
          <cell r="R30">
            <v>961.4596007605353</v>
          </cell>
          <cell r="S30">
            <v>984.13730915945143</v>
          </cell>
          <cell r="T30">
            <v>1007.4040183509611</v>
          </cell>
          <cell r="U30">
            <v>1031.2854178402863</v>
          </cell>
          <cell r="V30">
            <v>1060.8063520764588</v>
          </cell>
          <cell r="W30">
            <v>1080.9906948161165</v>
          </cell>
          <cell r="X30">
            <v>1106.8613148052693</v>
          </cell>
          <cell r="Y30">
            <v>1133.4401210429678</v>
          </cell>
          <cell r="Z30">
            <v>1160.7481726928299</v>
          </cell>
          <cell r="AA30">
            <v>1193.8058371194365</v>
          </cell>
          <cell r="AB30">
            <v>1217.632979401433</v>
          </cell>
          <cell r="AC30">
            <v>1247.2491677632979</v>
          </cell>
          <cell r="AD30">
            <v>1277.6738813634572</v>
          </cell>
          <cell r="AE30">
            <v>1308.9267094472627</v>
          </cell>
          <cell r="AF30">
            <v>1346.0275337033986</v>
          </cell>
        </row>
        <row r="31">
          <cell r="C31">
            <v>418.00671000000006</v>
          </cell>
          <cell r="D31">
            <v>426.36684420000006</v>
          </cell>
          <cell r="E31">
            <v>434.89418108400008</v>
          </cell>
          <cell r="F31">
            <v>443.59206470568006</v>
          </cell>
          <cell r="G31">
            <v>452.46390599979372</v>
          </cell>
          <cell r="H31">
            <v>461.51318411978957</v>
          </cell>
          <cell r="I31">
            <v>470.74344780218536</v>
          </cell>
          <cell r="J31">
            <v>480.15831675822909</v>
          </cell>
          <cell r="K31">
            <v>489.76148309339368</v>
          </cell>
          <cell r="L31">
            <v>499.55671275526163</v>
          </cell>
          <cell r="M31">
            <v>509.54784701036687</v>
          </cell>
          <cell r="N31">
            <v>519.73880395057415</v>
          </cell>
          <cell r="O31">
            <v>530.1335800295858</v>
          </cell>
          <cell r="P31">
            <v>540.73625163017743</v>
          </cell>
          <cell r="Q31">
            <v>551.55097666278095</v>
          </cell>
          <cell r="R31">
            <v>562.5819961960367</v>
          </cell>
          <cell r="S31">
            <v>573.8336361199573</v>
          </cell>
          <cell r="T31">
            <v>585.31030884235645</v>
          </cell>
          <cell r="U31">
            <v>597.01651501920355</v>
          </cell>
          <cell r="V31">
            <v>608.95684531958761</v>
          </cell>
          <cell r="W31">
            <v>621.13598222597932</v>
          </cell>
          <cell r="X31">
            <v>633.55870187049891</v>
          </cell>
          <cell r="Y31">
            <v>646.22987590790899</v>
          </cell>
          <cell r="Z31">
            <v>659.15447342606728</v>
          </cell>
          <cell r="AA31">
            <v>672.33756289458859</v>
          </cell>
          <cell r="AB31">
            <v>685.78431415248031</v>
          </cell>
          <cell r="AC31">
            <v>699.50000043552996</v>
          </cell>
          <cell r="AD31">
            <v>713.49000044424065</v>
          </cell>
          <cell r="AE31">
            <v>727.75980045312531</v>
          </cell>
          <cell r="AF31">
            <v>742.31499646218799</v>
          </cell>
        </row>
        <row r="32">
          <cell r="C32">
            <v>306.78032816051012</v>
          </cell>
          <cell r="D32">
            <v>297.38909362498435</v>
          </cell>
          <cell r="E32">
            <v>291.12827060130047</v>
          </cell>
          <cell r="F32">
            <v>281.73703606577459</v>
          </cell>
          <cell r="G32">
            <v>272.34580153024876</v>
          </cell>
          <cell r="H32">
            <v>262.95456699472294</v>
          </cell>
          <cell r="I32">
            <v>253.56333245919714</v>
          </cell>
          <cell r="J32">
            <v>244.17209792367132</v>
          </cell>
          <cell r="K32">
            <v>234.78086338814552</v>
          </cell>
          <cell r="L32">
            <v>222.25921734077772</v>
          </cell>
          <cell r="M32">
            <v>212.86798280525193</v>
          </cell>
          <cell r="N32">
            <v>200.34633675788413</v>
          </cell>
          <cell r="O32">
            <v>187.82469071051639</v>
          </cell>
          <cell r="P32">
            <v>175.30304466314865</v>
          </cell>
          <cell r="Q32">
            <v>813.90699307890463</v>
          </cell>
          <cell r="R32">
            <v>751.29876284206568</v>
          </cell>
          <cell r="S32">
            <v>688.69053260522696</v>
          </cell>
          <cell r="T32">
            <v>610.43024480917848</v>
          </cell>
          <cell r="U32">
            <v>532.16995701312999</v>
          </cell>
          <cell r="V32">
            <v>469.5617267762911</v>
          </cell>
          <cell r="W32">
            <v>469.5617267762911</v>
          </cell>
          <cell r="X32">
            <v>406.95349653945232</v>
          </cell>
          <cell r="Y32">
            <v>406.95349653945232</v>
          </cell>
          <cell r="Z32">
            <v>359.99732386182319</v>
          </cell>
          <cell r="AA32">
            <v>359.99732386182319</v>
          </cell>
          <cell r="AB32">
            <v>328.69320874340377</v>
          </cell>
          <cell r="AC32">
            <v>313.04115118419406</v>
          </cell>
          <cell r="AD32">
            <v>313.04115118419406</v>
          </cell>
          <cell r="AE32">
            <v>313.04115118419406</v>
          </cell>
          <cell r="AF32">
            <v>313.04115118419406</v>
          </cell>
        </row>
        <row r="33">
          <cell r="C33">
            <v>111.4679422454339</v>
          </cell>
          <cell r="D33">
            <v>114.81198051279692</v>
          </cell>
          <cell r="E33">
            <v>118.25633992818082</v>
          </cell>
          <cell r="F33">
            <v>121.80403012602625</v>
          </cell>
          <cell r="G33">
            <v>125.59523800286502</v>
          </cell>
          <cell r="H33">
            <v>129.43280899634354</v>
          </cell>
          <cell r="I33">
            <v>133.39812951507369</v>
          </cell>
          <cell r="J33">
            <v>137.49508397859654</v>
          </cell>
          <cell r="K33">
            <v>141.72757947271285</v>
          </cell>
          <cell r="L33">
            <v>146.25846791033354</v>
          </cell>
          <cell r="M33">
            <v>150.77863038294723</v>
          </cell>
          <cell r="N33">
            <v>155.44634914827526</v>
          </cell>
          <cell r="O33">
            <v>160.26564835048711</v>
          </cell>
          <cell r="P33">
            <v>165.24059305647802</v>
          </cell>
          <cell r="Q33">
            <v>170.5871654462176</v>
          </cell>
          <cell r="R33">
            <v>175.89215605437246</v>
          </cell>
          <cell r="S33">
            <v>181.36550700197409</v>
          </cell>
          <cell r="T33">
            <v>187.01154175306652</v>
          </cell>
          <cell r="U33">
            <v>192.83467445305462</v>
          </cell>
          <cell r="V33">
            <v>199.05299943033648</v>
          </cell>
          <cell r="W33">
            <v>205.25040329738681</v>
          </cell>
          <cell r="X33">
            <v>211.63901070373964</v>
          </cell>
          <cell r="Y33">
            <v>218.22373282852044</v>
          </cell>
          <cell r="Z33">
            <v>225.0096370891055</v>
          </cell>
          <cell r="AA33">
            <v>232.24955465208882</v>
          </cell>
          <cell r="AB33">
            <v>239.46114385478359</v>
          </cell>
          <cell r="AC33">
            <v>246.89040793818816</v>
          </cell>
          <cell r="AD33">
            <v>254.54317419148848</v>
          </cell>
          <cell r="AE33">
            <v>262.42548812098011</v>
          </cell>
          <cell r="AF33">
            <v>270.83065380207449</v>
          </cell>
        </row>
        <row r="34">
          <cell r="C34">
            <v>12637.113247115198</v>
          </cell>
          <cell r="D34">
            <v>11938.486007133028</v>
          </cell>
          <cell r="E34">
            <v>11254.397111401193</v>
          </cell>
          <cell r="F34">
            <v>10321.292423921544</v>
          </cell>
          <cell r="G34">
            <v>9911.9292230882093</v>
          </cell>
          <cell r="H34">
            <v>9604.0695603476488</v>
          </cell>
          <cell r="I34">
            <v>9352.9961440980114</v>
          </cell>
          <cell r="J34">
            <v>9157.2837344236177</v>
          </cell>
          <cell r="K34">
            <v>8962.9745222535985</v>
          </cell>
          <cell r="L34">
            <v>8779.4782269469742</v>
          </cell>
          <cell r="M34">
            <v>8586.4834322360257</v>
          </cell>
          <cell r="N34">
            <v>8391.9766912929063</v>
          </cell>
          <cell r="O34">
            <v>8198.6106328342339</v>
          </cell>
          <cell r="P34">
            <v>8048.7442878473985</v>
          </cell>
          <cell r="Q34">
            <v>8479.9996718008042</v>
          </cell>
          <cell r="R34">
            <v>8239.5330421831204</v>
          </cell>
          <cell r="S34">
            <v>8000.7039138967702</v>
          </cell>
          <cell r="T34">
            <v>7747.6285975697374</v>
          </cell>
          <cell r="U34">
            <v>7495.4221213027222</v>
          </cell>
          <cell r="V34">
            <v>7272.4966312296583</v>
          </cell>
          <cell r="W34">
            <v>7100.069038410451</v>
          </cell>
          <cell r="X34">
            <v>6868.1145313737525</v>
          </cell>
          <cell r="Y34">
            <v>6700.5060776984765</v>
          </cell>
          <cell r="Z34">
            <v>6486.7314001715913</v>
          </cell>
          <cell r="AA34">
            <v>6333.534828687265</v>
          </cell>
          <cell r="AB34">
            <v>6136.0049485493837</v>
          </cell>
          <cell r="AC34">
            <v>5955.4657514175988</v>
          </cell>
          <cell r="AD34">
            <v>5791.4806950707298</v>
          </cell>
          <cell r="AE34">
            <v>5628.3627246220858</v>
          </cell>
          <cell r="AF34">
            <v>7254.2667597534028</v>
          </cell>
        </row>
        <row r="35">
          <cell r="B35">
            <v>117020.05860180235</v>
          </cell>
        </row>
      </sheetData>
      <sheetData sheetId="6">
        <row r="34">
          <cell r="C34">
            <v>79.345799999999997</v>
          </cell>
          <cell r="D34">
            <v>79.345799999999997</v>
          </cell>
          <cell r="E34">
            <v>79.345799999999997</v>
          </cell>
          <cell r="F34">
            <v>79.345799999999997</v>
          </cell>
          <cell r="G34">
            <v>79.345799999999997</v>
          </cell>
          <cell r="H34">
            <v>79.345799999999997</v>
          </cell>
          <cell r="I34">
            <v>79.345799999999997</v>
          </cell>
          <cell r="J34">
            <v>79.345799999999997</v>
          </cell>
          <cell r="K34">
            <v>79.345799999999997</v>
          </cell>
          <cell r="L34">
            <v>79.345799999999997</v>
          </cell>
          <cell r="M34">
            <v>79.345799999999997</v>
          </cell>
          <cell r="N34">
            <v>79.345799999999997</v>
          </cell>
          <cell r="O34">
            <v>79.345799999999997</v>
          </cell>
          <cell r="P34">
            <v>79.345799999999997</v>
          </cell>
          <cell r="Q34">
            <v>79.345799999999997</v>
          </cell>
          <cell r="R34">
            <v>79.345799999999997</v>
          </cell>
          <cell r="S34">
            <v>79.345799999999997</v>
          </cell>
          <cell r="T34">
            <v>79.345799999999997</v>
          </cell>
          <cell r="U34">
            <v>79.345799999999997</v>
          </cell>
          <cell r="V34">
            <v>79.345799999999997</v>
          </cell>
          <cell r="W34">
            <v>79.345799999999997</v>
          </cell>
          <cell r="X34">
            <v>79.345799999999997</v>
          </cell>
          <cell r="Y34">
            <v>79.345799999999997</v>
          </cell>
          <cell r="Z34">
            <v>79.345799999999997</v>
          </cell>
          <cell r="AA34">
            <v>79.345799999999997</v>
          </cell>
          <cell r="AB34">
            <v>79.345799999999997</v>
          </cell>
          <cell r="AC34">
            <v>79.345799999999997</v>
          </cell>
          <cell r="AD34">
            <v>79.345799999999997</v>
          </cell>
          <cell r="AE34">
            <v>79.345799999999997</v>
          </cell>
          <cell r="AF34">
            <v>79.345799999999997</v>
          </cell>
          <cell r="AG34">
            <v>79.345799999999997</v>
          </cell>
          <cell r="AH34">
            <v>79.345799999999997</v>
          </cell>
          <cell r="AI34">
            <v>79.345799999999997</v>
          </cell>
          <cell r="AJ34">
            <v>79.345799999999997</v>
          </cell>
          <cell r="AK34">
            <v>79.345799999999997</v>
          </cell>
          <cell r="AL34">
            <v>79.345799999999997</v>
          </cell>
          <cell r="AM34">
            <v>79.345799999999997</v>
          </cell>
          <cell r="AN34">
            <v>79.345799999999997</v>
          </cell>
          <cell r="AO34">
            <v>79.345799999999997</v>
          </cell>
          <cell r="AP34">
            <v>79.345799999999997</v>
          </cell>
        </row>
        <row r="35">
          <cell r="C35">
            <v>12.875978692168038</v>
          </cell>
          <cell r="D35">
            <v>13.262258052933079</v>
          </cell>
          <cell r="E35">
            <v>13.660125794521072</v>
          </cell>
          <cell r="F35">
            <v>14.069929568356704</v>
          </cell>
          <cell r="G35">
            <v>14.492027455407404</v>
          </cell>
          <cell r="H35">
            <v>14.926788279069624</v>
          </cell>
          <cell r="I35">
            <v>15.374591927441715</v>
          </cell>
          <cell r="J35">
            <v>15.835829685264967</v>
          </cell>
          <cell r="K35">
            <v>16.310904575822914</v>
          </cell>
          <cell r="L35">
            <v>16.800231713097602</v>
          </cell>
          <cell r="M35">
            <v>17.30423866449053</v>
          </cell>
          <cell r="N35">
            <v>17.823365824425245</v>
          </cell>
          <cell r="O35">
            <v>18.358066799158003</v>
          </cell>
          <cell r="P35">
            <v>18.908808803132739</v>
          </cell>
          <cell r="Q35">
            <v>19.476073067226725</v>
          </cell>
          <cell r="R35">
            <v>20.060355259243529</v>
          </cell>
          <cell r="S35">
            <v>20.662165917020829</v>
          </cell>
          <cell r="T35">
            <v>21.282030894531456</v>
          </cell>
          <cell r="U35">
            <v>21.920491821367399</v>
          </cell>
          <cell r="V35">
            <v>22.57810657600842</v>
          </cell>
          <cell r="W35">
            <v>23.255449773288674</v>
          </cell>
          <cell r="X35">
            <v>23.953113266487328</v>
          </cell>
          <cell r="Y35">
            <v>24.671706664481952</v>
          </cell>
          <cell r="Z35">
            <v>25.411857864416412</v>
          </cell>
          <cell r="AA35">
            <v>26.174213600348899</v>
          </cell>
          <cell r="AB35">
            <v>26.959440008359365</v>
          </cell>
          <cell r="AC35">
            <v>27.768223208610152</v>
          </cell>
          <cell r="AD35">
            <v>28.601269904868452</v>
          </cell>
          <cell r="AE35">
            <v>29.459308002014506</v>
          </cell>
          <cell r="AF35">
            <v>30.34308724207494</v>
          </cell>
          <cell r="AG35">
            <v>31.253379859337187</v>
          </cell>
          <cell r="AH35">
            <v>32.190981255117308</v>
          </cell>
          <cell r="AI35">
            <v>33.156710692770822</v>
          </cell>
          <cell r="AJ35">
            <v>34.151412013553944</v>
          </cell>
          <cell r="AK35">
            <v>35.175954373960558</v>
          </cell>
          <cell r="AL35">
            <v>36.231233005179384</v>
          </cell>
          <cell r="AM35">
            <v>37.318169995334763</v>
          </cell>
          <cell r="AN35">
            <v>38.437715095194797</v>
          </cell>
          <cell r="AO35">
            <v>39.590846548050642</v>
          </cell>
          <cell r="AP35">
            <v>40.778571944492171</v>
          </cell>
        </row>
        <row r="36">
          <cell r="C36">
            <v>1290.0410094216593</v>
          </cell>
          <cell r="D36">
            <v>1255.8221756896282</v>
          </cell>
          <cell r="E36">
            <v>1217.5126215869202</v>
          </cell>
          <cell r="F36">
            <v>1181.2950473904598</v>
          </cell>
          <cell r="G36">
            <v>1146.9618067938145</v>
          </cell>
          <cell r="H36">
            <v>1114.3399316308808</v>
          </cell>
          <cell r="I36">
            <v>1082.9213466205567</v>
          </cell>
          <cell r="J36">
            <v>1051.8975370965841</v>
          </cell>
          <cell r="K36">
            <v>1020.8760089060459</v>
          </cell>
          <cell r="L36">
            <v>989.8687329622245</v>
          </cell>
          <cell r="M36">
            <v>958.87613683252141</v>
          </cell>
          <cell r="N36">
            <v>927.89866091136003</v>
          </cell>
          <cell r="O36">
            <v>896.93675880499677</v>
          </cell>
          <cell r="P36">
            <v>865.99089772787545</v>
          </cell>
          <cell r="Q36">
            <v>835.06155891087337</v>
          </cell>
          <cell r="R36">
            <v>807.55819881529419</v>
          </cell>
          <cell r="S36">
            <v>786.90184457177554</v>
          </cell>
          <cell r="T36">
            <v>769.67250544148999</v>
          </cell>
          <cell r="U36">
            <v>752.46176226052978</v>
          </cell>
          <cell r="V36">
            <v>735.2701729073749</v>
          </cell>
          <cell r="W36">
            <v>718.09831199685902</v>
          </cell>
          <cell r="X36">
            <v>700.94677138226177</v>
          </cell>
          <cell r="Y36">
            <v>683.81616067246023</v>
          </cell>
          <cell r="Z36">
            <v>666.70710776459862</v>
          </cell>
          <cell r="AA36">
            <v>649.62025939273519</v>
          </cell>
          <cell r="AB36">
            <v>632.55628169294948</v>
          </cell>
          <cell r="AC36">
            <v>615.51586078540413</v>
          </cell>
          <cell r="AD36">
            <v>598.49970337386628</v>
          </cell>
          <cell r="AE36">
            <v>581.50853736321631</v>
          </cell>
          <cell r="AF36">
            <v>564.54311249548073</v>
          </cell>
          <cell r="AG36">
            <v>547.60420100494684</v>
          </cell>
          <cell r="AH36">
            <v>530.69259829293094</v>
          </cell>
          <cell r="AI36">
            <v>513.80912362278843</v>
          </cell>
          <cell r="AJ36">
            <v>496.95462083577547</v>
          </cell>
          <cell r="AK36">
            <v>480.12995908838604</v>
          </cell>
          <cell r="AL36">
            <v>463.33603361180872</v>
          </cell>
          <cell r="AM36">
            <v>446.57376649416807</v>
          </cell>
          <cell r="AN36">
            <v>429.84410748623202</v>
          </cell>
          <cell r="AO36">
            <v>413.1480348312918</v>
          </cell>
          <cell r="AP36">
            <v>396.48655611992598</v>
          </cell>
        </row>
        <row r="37">
          <cell r="B37">
            <v>13120.72944648699</v>
          </cell>
        </row>
      </sheetData>
      <sheetData sheetId="7">
        <row r="34">
          <cell r="C34">
            <v>80.932715999999999</v>
          </cell>
          <cell r="D34">
            <v>80.932715999999999</v>
          </cell>
          <cell r="E34">
            <v>80.932715999999999</v>
          </cell>
          <cell r="F34">
            <v>80.932715999999999</v>
          </cell>
          <cell r="G34">
            <v>80.932715999999999</v>
          </cell>
          <cell r="H34">
            <v>80.932715999999999</v>
          </cell>
          <cell r="I34">
            <v>80.932715999999999</v>
          </cell>
          <cell r="J34">
            <v>80.932715999999999</v>
          </cell>
          <cell r="K34">
            <v>80.932715999999999</v>
          </cell>
          <cell r="L34">
            <v>80.932715999999999</v>
          </cell>
          <cell r="M34">
            <v>80.932715999999999</v>
          </cell>
          <cell r="N34">
            <v>80.932715999999999</v>
          </cell>
          <cell r="O34">
            <v>80.932715999999999</v>
          </cell>
          <cell r="P34">
            <v>80.932715999999999</v>
          </cell>
          <cell r="Q34">
            <v>80.932715999999999</v>
          </cell>
          <cell r="R34">
            <v>80.932715999999999</v>
          </cell>
          <cell r="S34">
            <v>80.932715999999999</v>
          </cell>
          <cell r="T34">
            <v>80.932715999999999</v>
          </cell>
          <cell r="U34">
            <v>80.932715999999999</v>
          </cell>
          <cell r="V34">
            <v>80.932715999999999</v>
          </cell>
          <cell r="W34">
            <v>80.932715999999999</v>
          </cell>
          <cell r="X34">
            <v>80.932715999999999</v>
          </cell>
          <cell r="Y34">
            <v>80.932715999999999</v>
          </cell>
          <cell r="Z34">
            <v>80.932715999999999</v>
          </cell>
          <cell r="AA34">
            <v>80.932715999999999</v>
          </cell>
          <cell r="AB34">
            <v>80.932715999999999</v>
          </cell>
          <cell r="AC34">
            <v>80.932715999999999</v>
          </cell>
          <cell r="AD34">
            <v>80.932715999999999</v>
          </cell>
          <cell r="AE34">
            <v>80.932715999999999</v>
          </cell>
          <cell r="AF34">
            <v>80.932715999999999</v>
          </cell>
          <cell r="AG34">
            <v>80.932715999999999</v>
          </cell>
          <cell r="AH34">
            <v>80.932715999999999</v>
          </cell>
          <cell r="AI34">
            <v>80.932715999999999</v>
          </cell>
          <cell r="AJ34">
            <v>80.932715999999999</v>
          </cell>
          <cell r="AK34">
            <v>80.932715999999999</v>
          </cell>
          <cell r="AL34">
            <v>80.932715999999999</v>
          </cell>
          <cell r="AM34">
            <v>80.932715999999999</v>
          </cell>
          <cell r="AN34">
            <v>80.932715999999999</v>
          </cell>
          <cell r="AO34">
            <v>80.932715999999999</v>
          </cell>
          <cell r="AP34">
            <v>80.932715999999999</v>
          </cell>
        </row>
        <row r="35">
          <cell r="C35">
            <v>12.672071999999998</v>
          </cell>
          <cell r="D35">
            <v>13.052234159999999</v>
          </cell>
          <cell r="E35">
            <v>13.443801184799998</v>
          </cell>
          <cell r="F35">
            <v>13.847115220343998</v>
          </cell>
          <cell r="G35">
            <v>14.262528676954316</v>
          </cell>
          <cell r="H35">
            <v>14.690404537262946</v>
          </cell>
          <cell r="I35">
            <v>15.131116673380834</v>
          </cell>
          <cell r="J35">
            <v>15.58505017358226</v>
          </cell>
          <cell r="K35">
            <v>16.052601678789728</v>
          </cell>
          <cell r="L35">
            <v>16.534179729153418</v>
          </cell>
          <cell r="M35">
            <v>17.030205121028022</v>
          </cell>
          <cell r="N35">
            <v>17.541111274658864</v>
          </cell>
          <cell r="O35">
            <v>18.067344612898626</v>
          </cell>
          <cell r="P35">
            <v>18.609364951285585</v>
          </cell>
          <cell r="Q35">
            <v>19.167645899824155</v>
          </cell>
          <cell r="R35">
            <v>19.742675276818879</v>
          </cell>
          <cell r="S35">
            <v>20.334955535123441</v>
          </cell>
          <cell r="T35">
            <v>20.945004201177145</v>
          </cell>
          <cell r="U35">
            <v>21.57335432721246</v>
          </cell>
          <cell r="V35">
            <v>22.220554957028835</v>
          </cell>
          <cell r="W35">
            <v>22.887171605739699</v>
          </cell>
          <cell r="X35">
            <v>23.573786753911886</v>
          </cell>
          <cell r="Y35">
            <v>24.281000356529244</v>
          </cell>
          <cell r="Z35">
            <v>25.009430367225125</v>
          </cell>
          <cell r="AA35">
            <v>25.759713278241872</v>
          </cell>
          <cell r="AB35">
            <v>26.532504676589131</v>
          </cell>
          <cell r="AC35">
            <v>27.328479816886809</v>
          </cell>
          <cell r="AD35">
            <v>28.148334211393408</v>
          </cell>
          <cell r="AE35">
            <v>28.992784237735211</v>
          </cell>
          <cell r="AF35">
            <v>29.862567764867265</v>
          </cell>
          <cell r="AG35">
            <v>30.758444797813283</v>
          </cell>
          <cell r="AH35">
            <v>31.681198141747686</v>
          </cell>
          <cell r="AI35">
            <v>32.631634086000112</v>
          </cell>
          <cell r="AJ35">
            <v>33.610583108580116</v>
          </cell>
          <cell r="AK35">
            <v>34.61890060183751</v>
          </cell>
          <cell r="AL35">
            <v>35.657467619892643</v>
          </cell>
          <cell r="AM35">
            <v>36.727191648489423</v>
          </cell>
          <cell r="AN35">
            <v>37.829007397944096</v>
          </cell>
          <cell r="AO35">
            <v>38.963877619882417</v>
          </cell>
          <cell r="AP35">
            <v>40.132793948478898</v>
          </cell>
        </row>
        <row r="36">
          <cell r="C36">
            <v>1269.2491891785</v>
          </cell>
          <cell r="D36">
            <v>1235.1788418167998</v>
          </cell>
          <cell r="E36">
            <v>1196.9355443933698</v>
          </cell>
          <cell r="F36">
            <v>1160.825638732164</v>
          </cell>
          <cell r="G36">
            <v>1126.6373127683564</v>
          </cell>
          <cell r="H36">
            <v>1094.194125755289</v>
          </cell>
          <cell r="I36">
            <v>1062.9778272924887</v>
          </cell>
          <cell r="J36">
            <v>1032.1637183982102</v>
          </cell>
          <cell r="K36">
            <v>1001.3514405936518</v>
          </cell>
          <cell r="L36">
            <v>970.5531893342494</v>
          </cell>
          <cell r="M36">
            <v>939.76938541635809</v>
          </cell>
          <cell r="N36">
            <v>909.000462260223</v>
          </cell>
          <cell r="O36">
            <v>878.24686628869676</v>
          </cell>
          <cell r="P36">
            <v>847.50905731731757</v>
          </cell>
          <cell r="Q36">
            <v>816.78750895609016</v>
          </cell>
          <cell r="R36">
            <v>789.55984903268904</v>
          </cell>
          <cell r="S36">
            <v>769.31550692462349</v>
          </cell>
          <cell r="T36">
            <v>752.56607323367712</v>
          </cell>
          <cell r="U36">
            <v>735.83494100271241</v>
          </cell>
          <cell r="V36">
            <v>719.12265927552892</v>
          </cell>
          <cell r="W36">
            <v>702.42979356723959</v>
          </cell>
          <cell r="X36">
            <v>685.75692635841187</v>
          </cell>
          <cell r="Y36">
            <v>669.10465760402906</v>
          </cell>
          <cell r="Z36">
            <v>652.47360525772501</v>
          </cell>
          <cell r="AA36">
            <v>635.86440581174168</v>
          </cell>
          <cell r="AB36">
            <v>619.27771485308892</v>
          </cell>
          <cell r="AC36">
            <v>602.7142076363865</v>
          </cell>
          <cell r="AD36">
            <v>586.17457967389305</v>
          </cell>
          <cell r="AE36">
            <v>569.65954734323486</v>
          </cell>
          <cell r="AF36">
            <v>553.16984851336679</v>
          </cell>
          <cell r="AG36">
            <v>536.70624318931289</v>
          </cell>
          <cell r="AH36">
            <v>520.2695141762473</v>
          </cell>
          <cell r="AI36">
            <v>503.86046776349968</v>
          </cell>
          <cell r="AJ36">
            <v>487.47993442907961</v>
          </cell>
          <cell r="AK36">
            <v>471.12876956533694</v>
          </cell>
          <cell r="AL36">
            <v>454.80785422639218</v>
          </cell>
          <cell r="AM36">
            <v>438.51809589798893</v>
          </cell>
          <cell r="AN36">
            <v>422.26042929044354</v>
          </cell>
          <cell r="AO36">
            <v>406.03581715538178</v>
          </cell>
          <cell r="AP36">
            <v>389.84525112697219</v>
          </cell>
        </row>
        <row r="37">
          <cell r="B37">
            <v>12873.387414417928</v>
          </cell>
        </row>
      </sheetData>
      <sheetData sheetId="8">
        <row r="34">
          <cell r="C34">
            <v>82.551370320000004</v>
          </cell>
          <cell r="D34">
            <v>82.551370320000004</v>
          </cell>
          <cell r="E34">
            <v>82.551370320000004</v>
          </cell>
          <cell r="F34">
            <v>82.551370320000004</v>
          </cell>
          <cell r="G34">
            <v>82.551370320000004</v>
          </cell>
          <cell r="H34">
            <v>82.551370320000004</v>
          </cell>
          <cell r="I34">
            <v>82.551370320000004</v>
          </cell>
          <cell r="J34">
            <v>82.551370320000004</v>
          </cell>
          <cell r="K34">
            <v>82.551370320000004</v>
          </cell>
          <cell r="L34">
            <v>82.551370320000004</v>
          </cell>
          <cell r="M34">
            <v>82.551370320000004</v>
          </cell>
          <cell r="N34">
            <v>82.551370320000004</v>
          </cell>
          <cell r="O34">
            <v>82.551370320000004</v>
          </cell>
          <cell r="P34">
            <v>82.551370320000004</v>
          </cell>
          <cell r="Q34">
            <v>82.551370320000004</v>
          </cell>
          <cell r="R34">
            <v>82.551370320000004</v>
          </cell>
          <cell r="S34">
            <v>82.551370320000004</v>
          </cell>
          <cell r="T34">
            <v>82.551370320000004</v>
          </cell>
          <cell r="U34">
            <v>82.551370320000004</v>
          </cell>
          <cell r="V34">
            <v>82.551370320000004</v>
          </cell>
          <cell r="W34">
            <v>82.551370320000004</v>
          </cell>
          <cell r="X34">
            <v>82.551370320000004</v>
          </cell>
          <cell r="Y34">
            <v>82.551370320000004</v>
          </cell>
          <cell r="Z34">
            <v>82.551370320000004</v>
          </cell>
          <cell r="AA34">
            <v>82.551370320000004</v>
          </cell>
          <cell r="AB34">
            <v>82.551370320000004</v>
          </cell>
          <cell r="AC34">
            <v>82.551370320000004</v>
          </cell>
          <cell r="AD34">
            <v>82.551370320000004</v>
          </cell>
          <cell r="AE34">
            <v>82.551370320000004</v>
          </cell>
          <cell r="AF34">
            <v>82.551370320000004</v>
          </cell>
          <cell r="AG34">
            <v>82.551370320000004</v>
          </cell>
          <cell r="AH34">
            <v>82.551370320000004</v>
          </cell>
          <cell r="AI34">
            <v>82.551370320000004</v>
          </cell>
          <cell r="AJ34">
            <v>82.551370320000004</v>
          </cell>
          <cell r="AK34">
            <v>82.551370320000004</v>
          </cell>
          <cell r="AL34">
            <v>82.551370320000004</v>
          </cell>
          <cell r="AM34">
            <v>82.551370320000004</v>
          </cell>
          <cell r="AN34">
            <v>82.551370320000004</v>
          </cell>
          <cell r="AO34">
            <v>82.551370320000004</v>
          </cell>
          <cell r="AP34">
            <v>82.551370320000004</v>
          </cell>
        </row>
        <row r="35">
          <cell r="C35">
            <v>12.92551344</v>
          </cell>
          <cell r="D35">
            <v>13.313278843199999</v>
          </cell>
          <cell r="E35">
            <v>13.712677208495998</v>
          </cell>
          <cell r="F35">
            <v>14.12405752475088</v>
          </cell>
          <cell r="G35">
            <v>14.547779250493404</v>
          </cell>
          <cell r="H35">
            <v>14.984212628008207</v>
          </cell>
          <cell r="I35">
            <v>15.433739006848453</v>
          </cell>
          <cell r="J35">
            <v>15.896751177053908</v>
          </cell>
          <cell r="K35">
            <v>16.373653712365524</v>
          </cell>
          <cell r="L35">
            <v>16.86486332373649</v>
          </cell>
          <cell r="M35">
            <v>17.370809223448585</v>
          </cell>
          <cell r="N35">
            <v>17.891933500152042</v>
          </cell>
          <cell r="O35">
            <v>18.4286915051566</v>
          </cell>
          <cell r="P35">
            <v>18.981552250311296</v>
          </cell>
          <cell r="Q35">
            <v>19.550998817820638</v>
          </cell>
          <cell r="R35">
            <v>20.137528782355258</v>
          </cell>
          <cell r="S35">
            <v>20.741654645825914</v>
          </cell>
          <cell r="T35">
            <v>21.36390428520069</v>
          </cell>
          <cell r="U35">
            <v>22.004821413756712</v>
          </cell>
          <cell r="V35">
            <v>22.664966056169412</v>
          </cell>
          <cell r="W35">
            <v>23.344915037854495</v>
          </cell>
          <cell r="X35">
            <v>24.045262488990126</v>
          </cell>
          <cell r="Y35">
            <v>24.766620363659833</v>
          </cell>
          <cell r="Z35">
            <v>25.50961897456963</v>
          </cell>
          <cell r="AA35">
            <v>26.274907543806712</v>
          </cell>
          <cell r="AB35">
            <v>27.063154770120914</v>
          </cell>
          <cell r="AC35">
            <v>27.875049413224545</v>
          </cell>
          <cell r="AD35">
            <v>28.711300895621278</v>
          </cell>
          <cell r="AE35">
            <v>29.572639922489916</v>
          </cell>
          <cell r="AF35">
            <v>30.45981912016461</v>
          </cell>
          <cell r="AG35">
            <v>31.373613693769549</v>
          </cell>
          <cell r="AH35">
            <v>32.314822104582639</v>
          </cell>
          <cell r="AI35">
            <v>33.284266767720112</v>
          </cell>
          <cell r="AJ35">
            <v>34.282794770751721</v>
          </cell>
          <cell r="AK35">
            <v>35.311278613874265</v>
          </cell>
          <cell r="AL35">
            <v>36.370616972290499</v>
          </cell>
          <cell r="AM35">
            <v>37.461735481459215</v>
          </cell>
          <cell r="AN35">
            <v>38.585587545902982</v>
          </cell>
          <cell r="AO35">
            <v>39.743155172280076</v>
          </cell>
          <cell r="AP35">
            <v>40.93544982744848</v>
          </cell>
        </row>
        <row r="36">
          <cell r="C36">
            <v>1294.6341729620699</v>
          </cell>
          <cell r="D36">
            <v>1259.8824186531356</v>
          </cell>
          <cell r="E36">
            <v>1220.8742552812371</v>
          </cell>
          <cell r="F36">
            <v>1184.0421515068072</v>
          </cell>
          <cell r="G36">
            <v>1149.1700590237233</v>
          </cell>
          <cell r="H36">
            <v>1116.0780082703948</v>
          </cell>
          <cell r="I36">
            <v>1084.2373838383387</v>
          </cell>
          <cell r="J36">
            <v>1052.8069927661743</v>
          </cell>
          <cell r="K36">
            <v>1021.3784694055246</v>
          </cell>
          <cell r="L36">
            <v>989.96425312093436</v>
          </cell>
          <cell r="M36">
            <v>958.56477312468508</v>
          </cell>
          <cell r="N36">
            <v>927.18047150542725</v>
          </cell>
          <cell r="O36">
            <v>895.81180361447048</v>
          </cell>
          <cell r="P36">
            <v>864.45923846366384</v>
          </cell>
          <cell r="Q36">
            <v>833.12325913521181</v>
          </cell>
          <cell r="R36">
            <v>805.35104601334251</v>
          </cell>
          <cell r="S36">
            <v>784.70181706311575</v>
          </cell>
          <cell r="T36">
            <v>767.61739469835061</v>
          </cell>
          <cell r="U36">
            <v>750.55163982276667</v>
          </cell>
          <cell r="V36">
            <v>733.5051124610394</v>
          </cell>
          <cell r="W36">
            <v>716.4783894385846</v>
          </cell>
          <cell r="X36">
            <v>699.47206488558027</v>
          </cell>
          <cell r="Y36">
            <v>682.48675075610993</v>
          </cell>
          <cell r="Z36">
            <v>665.5230773628798</v>
          </cell>
          <cell r="AA36">
            <v>648.58169392797686</v>
          </cell>
          <cell r="AB36">
            <v>631.66326915015122</v>
          </cell>
          <cell r="AC36">
            <v>614.76849178911482</v>
          </cell>
          <cell r="AD36">
            <v>597.89807126737151</v>
          </cell>
          <cell r="AE36">
            <v>581.05273829010014</v>
          </cell>
          <cell r="AF36">
            <v>564.23324548363485</v>
          </cell>
          <cell r="AG36">
            <v>547.44036805309986</v>
          </cell>
          <cell r="AH36">
            <v>530.67490445977285</v>
          </cell>
          <cell r="AI36">
            <v>513.93767711877035</v>
          </cell>
          <cell r="AJ36">
            <v>497.22953311766196</v>
          </cell>
          <cell r="AK36">
            <v>480.55134495664453</v>
          </cell>
          <cell r="AL36">
            <v>463.90401131092085</v>
          </cell>
          <cell r="AM36">
            <v>447.28845781594953</v>
          </cell>
          <cell r="AN36">
            <v>430.70563787625332</v>
          </cell>
          <cell r="AO36">
            <v>414.15653349849049</v>
          </cell>
          <cell r="AP36">
            <v>397.64215614952388</v>
          </cell>
        </row>
        <row r="37">
          <cell r="B37">
            <v>13130.85516270629</v>
          </cell>
        </row>
      </sheetData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Information"/>
      <sheetName val="CPVRR_Verification"/>
      <sheetName val="Summary"/>
      <sheetName val="CPVRR_Diff"/>
      <sheetName val="RP_SoBra700_CEC"/>
      <sheetName val="2019Fall_SoB700_GENCAP_2048"/>
      <sheetName val="2019Fall_GenCap_CEC"/>
      <sheetName val="2019Fall_SoB700_TRANSCAP_2048"/>
      <sheetName val="2019Fall_TrCap_CEC"/>
      <sheetName val="2019Fall_SoB700_FOM_2048"/>
      <sheetName val="2019Fall_CEC_FOM"/>
      <sheetName val="2019Fall_SoB700_GASRES_2048"/>
      <sheetName val="2019Fall_CEC_GasRes"/>
      <sheetName val="Validation"/>
      <sheetName val="Gen_Cap_Rev_Req"/>
      <sheetName val="Trans_Cap_Rev_Req"/>
      <sheetName val="FOM"/>
      <sheetName val="GR"/>
    </sheetNames>
    <sheetDataSet>
      <sheetData sheetId="0"/>
      <sheetData sheetId="1"/>
      <sheetData sheetId="2"/>
      <sheetData sheetId="3"/>
      <sheetData sheetId="4"/>
      <sheetData sheetId="5">
        <row r="18">
          <cell r="C18">
            <v>1740394.0671948027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18433.944174556709</v>
          </cell>
          <cell r="N18">
            <v>40219.856926177934</v>
          </cell>
          <cell r="O18">
            <v>45565.012440689345</v>
          </cell>
          <cell r="P18">
            <v>53767.082239548938</v>
          </cell>
          <cell r="Q18">
            <v>58917.507749729673</v>
          </cell>
          <cell r="R18">
            <v>67015.630872775539</v>
          </cell>
          <cell r="S18">
            <v>71980.449059336795</v>
          </cell>
          <cell r="T18">
            <v>191009.52471620019</v>
          </cell>
          <cell r="U18">
            <v>270984.55855086923</v>
          </cell>
          <cell r="V18">
            <v>263072.46151649917</v>
          </cell>
          <cell r="W18">
            <v>255423.17173641932</v>
          </cell>
          <cell r="X18">
            <v>283943.08388727217</v>
          </cell>
          <cell r="Y18">
            <v>300985.15670020116</v>
          </cell>
          <cell r="Z18">
            <v>304368.22503198759</v>
          </cell>
          <cell r="AA18">
            <v>303956.29644506535</v>
          </cell>
          <cell r="AB18">
            <v>379327.5518461804</v>
          </cell>
          <cell r="AC18">
            <v>427862.02623945591</v>
          </cell>
          <cell r="AD18">
            <v>441406.80595200579</v>
          </cell>
          <cell r="AE18">
            <v>459939.91112056014</v>
          </cell>
          <cell r="AF18">
            <v>455510.79876822658</v>
          </cell>
          <cell r="AG18">
            <v>441775.22715509974</v>
          </cell>
          <cell r="AH18">
            <v>428331.2476361118</v>
          </cell>
          <cell r="AI18">
            <v>415310.33180655271</v>
          </cell>
          <cell r="AJ18">
            <v>402799.90063648106</v>
          </cell>
          <cell r="AK18">
            <v>390528.83794604969</v>
          </cell>
          <cell r="AL18">
            <v>378272.80636716582</v>
          </cell>
          <cell r="AM18">
            <v>366181.34597575781</v>
          </cell>
        </row>
      </sheetData>
      <sheetData sheetId="6">
        <row r="18">
          <cell r="C18">
            <v>1581715.4543752475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9216.9720872783546</v>
          </cell>
          <cell r="N18">
            <v>15438.190948500842</v>
          </cell>
          <cell r="O18">
            <v>24429.18038466186</v>
          </cell>
          <cell r="P18">
            <v>30366.183145959778</v>
          </cell>
          <cell r="Q18">
            <v>39171.637618389825</v>
          </cell>
          <cell r="R18">
            <v>44858.636386082013</v>
          </cell>
          <cell r="S18">
            <v>53507.34199716118</v>
          </cell>
          <cell r="T18">
            <v>167601.16759516601</v>
          </cell>
          <cell r="U18">
            <v>239431.80781358638</v>
          </cell>
          <cell r="V18">
            <v>244169.75540288779</v>
          </cell>
          <cell r="W18">
            <v>245360.63351124243</v>
          </cell>
          <cell r="X18">
            <v>262246.25719580351</v>
          </cell>
          <cell r="Y18">
            <v>271561.53564404789</v>
          </cell>
          <cell r="Z18">
            <v>275941.84102295601</v>
          </cell>
          <cell r="AA18">
            <v>276513.914820312</v>
          </cell>
          <cell r="AB18">
            <v>352817.67239438661</v>
          </cell>
          <cell r="AC18">
            <v>402143.77579701634</v>
          </cell>
          <cell r="AD18">
            <v>416381.91070414236</v>
          </cell>
          <cell r="AE18">
            <v>435602.05806191149</v>
          </cell>
          <cell r="AF18">
            <v>445218.96802281239</v>
          </cell>
          <cell r="AG18">
            <v>441186.6449226719</v>
          </cell>
          <cell r="AH18">
            <v>427731.20490864286</v>
          </cell>
          <cell r="AI18">
            <v>414723.3903879858</v>
          </cell>
          <cell r="AJ18">
            <v>402192.15478886419</v>
          </cell>
          <cell r="AK18">
            <v>389924.68530429032</v>
          </cell>
          <cell r="AL18">
            <v>377792.79442411492</v>
          </cell>
          <cell r="AM18">
            <v>365830.08856225398</v>
          </cell>
        </row>
      </sheetData>
      <sheetData sheetId="7">
        <row r="18">
          <cell r="C18">
            <v>1986690.236546122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3000.2332759161973</v>
          </cell>
          <cell r="N18">
            <v>6563.4186689425351</v>
          </cell>
          <cell r="O18">
            <v>7466.8410594108991</v>
          </cell>
          <cell r="P18">
            <v>8835.6864020385801</v>
          </cell>
          <cell r="Q18">
            <v>9712.4944592698957</v>
          </cell>
          <cell r="R18">
            <v>11069.017689101116</v>
          </cell>
          <cell r="S18">
            <v>11921.229280466268</v>
          </cell>
          <cell r="T18">
            <v>57269.548828824976</v>
          </cell>
          <cell r="U18">
            <v>361985.6443068618</v>
          </cell>
          <cell r="V18">
            <v>352653.55022984976</v>
          </cell>
          <cell r="W18">
            <v>343397.94406587689</v>
          </cell>
          <cell r="X18">
            <v>340747.89738697419</v>
          </cell>
          <cell r="Y18">
            <v>336075.6868584184</v>
          </cell>
          <cell r="Z18">
            <v>328964.44852130115</v>
          </cell>
          <cell r="AA18">
            <v>321202.47518150043</v>
          </cell>
          <cell r="AB18">
            <v>353350.82228888967</v>
          </cell>
          <cell r="AC18">
            <v>672859.66203485453</v>
          </cell>
          <cell r="AD18">
            <v>658729.92396004999</v>
          </cell>
          <cell r="AE18">
            <v>645564.94987516559</v>
          </cell>
          <cell r="AF18">
            <v>628277.45021936833</v>
          </cell>
          <cell r="AG18">
            <v>609331.66071081348</v>
          </cell>
          <cell r="AH18">
            <v>590477.06982935988</v>
          </cell>
          <cell r="AI18">
            <v>571702.89860303688</v>
          </cell>
          <cell r="AJ18">
            <v>552977.43437971012</v>
          </cell>
          <cell r="AK18">
            <v>534277.40691114822</v>
          </cell>
          <cell r="AL18">
            <v>515596.67618984455</v>
          </cell>
          <cell r="AM18">
            <v>496931.64797938301</v>
          </cell>
        </row>
      </sheetData>
      <sheetData sheetId="8">
        <row r="18">
          <cell r="C18">
            <v>1957786.1538403933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1500.1166379580986</v>
          </cell>
          <cell r="N18">
            <v>2521.3564650642306</v>
          </cell>
          <cell r="O18">
            <v>3997.0169135111282</v>
          </cell>
          <cell r="P18">
            <v>4982.947877824954</v>
          </cell>
          <cell r="Q18">
            <v>6438.0657792571237</v>
          </cell>
          <cell r="R18">
            <v>7391.9631915039208</v>
          </cell>
          <cell r="S18">
            <v>8829.9091566421666</v>
          </cell>
          <cell r="T18">
            <v>52931.286290738128</v>
          </cell>
          <cell r="U18">
            <v>356007.68204548059</v>
          </cell>
          <cell r="V18">
            <v>348950.83567406272</v>
          </cell>
          <cell r="W18">
            <v>341291.01299463015</v>
          </cell>
          <cell r="X18">
            <v>336519.39623768773</v>
          </cell>
          <cell r="Y18">
            <v>330422.0593167466</v>
          </cell>
          <cell r="Z18">
            <v>323465.41991908173</v>
          </cell>
          <cell r="AA18">
            <v>315855.43952164165</v>
          </cell>
          <cell r="AB18">
            <v>348153.71384380816</v>
          </cell>
          <cell r="AC18">
            <v>667811.67141428718</v>
          </cell>
          <cell r="AD18">
            <v>653829.60998320032</v>
          </cell>
          <cell r="AE18">
            <v>640809.90060769347</v>
          </cell>
          <cell r="AF18">
            <v>626095.66738322703</v>
          </cell>
          <cell r="AG18">
            <v>608942.23610670667</v>
          </cell>
          <cell r="AH18">
            <v>590104.00129920326</v>
          </cell>
          <cell r="AI18">
            <v>571339.85020069452</v>
          </cell>
          <cell r="AJ18">
            <v>552627.86284360173</v>
          </cell>
          <cell r="AK18">
            <v>533944.50417324877</v>
          </cell>
          <cell r="AL18">
            <v>515283.38525074825</v>
          </cell>
          <cell r="AM18">
            <v>496640.68513173913</v>
          </cell>
        </row>
      </sheetData>
      <sheetData sheetId="9">
        <row r="18">
          <cell r="C18">
            <v>130837.93921814879</v>
          </cell>
        </row>
      </sheetData>
      <sheetData sheetId="10">
        <row r="18">
          <cell r="C18">
            <v>118847.63370755207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anaka Ugaz, Liliana" id="{955D7C54-88FB-4A71-8CBF-879801BAC8FF}" userId="S::Liliana.TanakaUgaz@duke-energy.com::a733a25e-ace9-483f-9c31-5ed5876695c1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4" dT="2020-05-28T14:11:02.05" personId="{955D7C54-88FB-4A71-8CBF-879801BAC8FF}" id="{F8EDC4A5-4469-4BAA-9FE3-EF1344DC258B}">
    <text>To check that we match Todd's values</text>
  </threadedComment>
  <threadedComment ref="B21" dT="2020-05-28T14:11:02.05" personId="{955D7C54-88FB-4A71-8CBF-879801BAC8FF}" id="{ED9EF941-1566-409B-8CA6-031FA95C5983}">
    <text>To check that we match Todd's values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14" dT="2020-05-28T14:11:02.05" personId="{955D7C54-88FB-4A71-8CBF-879801BAC8FF}" id="{85470613-96F2-4B4D-B12B-FD38AEDCE5A4}">
    <text>To check that we match Todd's values</text>
  </threadedComment>
  <threadedComment ref="B21" dT="2020-05-28T14:11:02.05" personId="{955D7C54-88FB-4A71-8CBF-879801BAC8FF}" id="{67A3A517-D1EE-443D-86BC-BB2D36049642}">
    <text>To check that we match Todd's values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14" dT="2020-05-28T14:11:02.05" personId="{955D7C54-88FB-4A71-8CBF-879801BAC8FF}" id="{17F23996-BB58-4BE2-832C-C7CA50B666C8}">
    <text>To check that we match Todd's values</text>
  </threadedComment>
  <threadedComment ref="B21" dT="2020-05-28T14:11:02.05" personId="{955D7C54-88FB-4A71-8CBF-879801BAC8FF}" id="{8FBA105B-27A6-40F7-9503-D9B53457FD53}">
    <text>To check that we match Todd's values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AO55"/>
  <sheetViews>
    <sheetView tabSelected="1" topLeftCell="P1" zoomScale="49" workbookViewId="0">
      <selection activeCell="AE20" sqref="AE20"/>
    </sheetView>
  </sheetViews>
  <sheetFormatPr defaultRowHeight="14.5"/>
  <cols>
    <col min="2" max="2" width="11.54296875" bestFit="1" customWidth="1"/>
    <col min="3" max="3" width="9.90625" bestFit="1" customWidth="1"/>
    <col min="4" max="4" width="9.54296875" bestFit="1" customWidth="1"/>
    <col min="5" max="7" width="10.54296875" bestFit="1" customWidth="1"/>
    <col min="8" max="8" width="10.08984375" bestFit="1" customWidth="1"/>
    <col min="9" max="9" width="10.453125" bestFit="1" customWidth="1"/>
    <col min="10" max="12" width="11.54296875" bestFit="1" customWidth="1"/>
    <col min="13" max="13" width="10.54296875" bestFit="1" customWidth="1"/>
    <col min="14" max="14" width="9.54296875" bestFit="1" customWidth="1"/>
    <col min="15" max="17" width="10.54296875" bestFit="1" customWidth="1"/>
    <col min="18" max="18" width="10.08984375" bestFit="1" customWidth="1"/>
    <col min="19" max="19" width="10.453125" bestFit="1" customWidth="1"/>
    <col min="20" max="22" width="11.54296875" bestFit="1" customWidth="1"/>
    <col min="23" max="23" width="10.54296875" bestFit="1" customWidth="1"/>
    <col min="24" max="24" width="9.54296875" bestFit="1" customWidth="1"/>
    <col min="25" max="27" width="10.54296875" bestFit="1" customWidth="1"/>
    <col min="28" max="28" width="10.08984375" bestFit="1" customWidth="1"/>
    <col min="29" max="29" width="10.453125" bestFit="1" customWidth="1"/>
    <col min="30" max="31" width="11.54296875" bestFit="1" customWidth="1"/>
    <col min="32" max="32" width="5" bestFit="1" customWidth="1"/>
    <col min="33" max="33" width="9.54296875" customWidth="1"/>
    <col min="34" max="34" width="10.54296875" customWidth="1"/>
    <col min="36" max="36" width="3" customWidth="1"/>
    <col min="37" max="37" width="15.08984375" bestFit="1" customWidth="1"/>
    <col min="38" max="39" width="11.08984375" bestFit="1" customWidth="1"/>
    <col min="40" max="40" width="8.6328125" bestFit="1" customWidth="1"/>
    <col min="41" max="41" width="7.1796875" bestFit="1" customWidth="1"/>
  </cols>
  <sheetData>
    <row r="1" spans="1:41" ht="15" thickBot="1">
      <c r="B1" s="408" t="s">
        <v>235</v>
      </c>
      <c r="C1" s="409"/>
      <c r="D1" s="409"/>
      <c r="E1" s="409"/>
      <c r="F1" s="409"/>
      <c r="G1" s="409"/>
      <c r="H1" s="409"/>
      <c r="I1" s="409"/>
      <c r="J1" s="409"/>
      <c r="K1" s="410"/>
      <c r="L1" s="408" t="s">
        <v>233</v>
      </c>
      <c r="M1" s="409"/>
      <c r="N1" s="409"/>
      <c r="O1" s="409"/>
      <c r="P1" s="409"/>
      <c r="Q1" s="409"/>
      <c r="R1" s="409"/>
      <c r="S1" s="409"/>
      <c r="T1" s="409"/>
      <c r="U1" s="410"/>
      <c r="V1" s="408" t="s">
        <v>234</v>
      </c>
      <c r="W1" s="409"/>
      <c r="X1" s="409"/>
      <c r="Y1" s="409"/>
      <c r="Z1" s="409"/>
      <c r="AA1" s="409"/>
      <c r="AB1" s="409"/>
      <c r="AC1" s="409"/>
      <c r="AD1" s="409"/>
      <c r="AE1" s="410"/>
    </row>
    <row r="2" spans="1:41" ht="32" thickBot="1">
      <c r="B2" s="20" t="str">
        <f>Columbia!$C$2</f>
        <v>Capital RR</v>
      </c>
      <c r="C2" s="21" t="str">
        <f>Columbia!$C$3</f>
        <v>Property Taxes</v>
      </c>
      <c r="D2" s="21" t="str">
        <f>Columbia!$C$4</f>
        <v>Insurance</v>
      </c>
      <c r="E2" s="378" t="str">
        <f>Columbia!$C$5</f>
        <v>Capital Lease</v>
      </c>
      <c r="F2" s="21" t="str">
        <f>Columbia!$C$6</f>
        <v>O&amp;M</v>
      </c>
      <c r="G2" s="20" t="str">
        <f>Columbia!$C$7</f>
        <v>Transm Cap RR</v>
      </c>
      <c r="H2" s="21" t="str">
        <f>Columbia!$C$8</f>
        <v>Transm Prop Tx</v>
      </c>
      <c r="I2" s="22" t="str">
        <f>Columbia!$C$9</f>
        <v>Transm Prop Ins</v>
      </c>
      <c r="J2" s="22" t="s">
        <v>79</v>
      </c>
      <c r="K2" s="26" t="s">
        <v>79</v>
      </c>
      <c r="L2" s="20" t="str">
        <f>Hamilton!$C$2</f>
        <v>Capital RR</v>
      </c>
      <c r="M2" s="21" t="str">
        <f>Hamilton!$C$3</f>
        <v>Property Taxes</v>
      </c>
      <c r="N2" s="21" t="str">
        <f>Hamilton!$C$4</f>
        <v>Insurance</v>
      </c>
      <c r="O2" s="379" t="str">
        <f>Hamilton!$C$5</f>
        <v>Capital Lease</v>
      </c>
      <c r="P2" s="21" t="str">
        <f>Hamilton!$C$6</f>
        <v>O&amp;M</v>
      </c>
      <c r="Q2" s="20" t="str">
        <f>Hamilton!$C$7</f>
        <v>Transm Cap RR</v>
      </c>
      <c r="R2" s="21" t="str">
        <f>Hamilton!$C$8</f>
        <v>Transm Prop Tx</v>
      </c>
      <c r="S2" s="22" t="str">
        <f>Hamilton!$C$9</f>
        <v>Transm Prop Ins</v>
      </c>
      <c r="T2" s="22" t="s">
        <v>79</v>
      </c>
      <c r="U2" s="26" t="s">
        <v>79</v>
      </c>
      <c r="V2" s="20" t="str">
        <f>Hamilton!$C$2</f>
        <v>Capital RR</v>
      </c>
      <c r="W2" s="21" t="str">
        <f>Hamilton!$C$3</f>
        <v>Property Taxes</v>
      </c>
      <c r="X2" s="21" t="str">
        <f>Hamilton!$C$4</f>
        <v>Insurance</v>
      </c>
      <c r="Y2" s="379" t="str">
        <f>Hamilton!$C$5</f>
        <v>Capital Lease</v>
      </c>
      <c r="Z2" s="21" t="str">
        <f>Hamilton!$C$6</f>
        <v>O&amp;M</v>
      </c>
      <c r="AA2" s="20" t="str">
        <f>Hamilton!$C$7</f>
        <v>Transm Cap RR</v>
      </c>
      <c r="AB2" s="21" t="str">
        <f>Hamilton!$C$8</f>
        <v>Transm Prop Tx</v>
      </c>
      <c r="AC2" s="22" t="str">
        <f>Hamilton!$C$9</f>
        <v>Transm Prop Ins</v>
      </c>
      <c r="AD2" s="26" t="s">
        <v>79</v>
      </c>
      <c r="AE2" s="26" t="s">
        <v>79</v>
      </c>
      <c r="AG2" s="90" t="s">
        <v>74</v>
      </c>
      <c r="AH2" s="90" t="s">
        <v>75</v>
      </c>
      <c r="AI2" s="90" t="s">
        <v>76</v>
      </c>
      <c r="AK2" s="94"/>
      <c r="AL2" s="95" t="s">
        <v>236</v>
      </c>
      <c r="AM2" s="96" t="s">
        <v>237</v>
      </c>
    </row>
    <row r="3" spans="1:41" hidden="1">
      <c r="A3">
        <v>2019</v>
      </c>
      <c r="B3" s="29">
        <f t="array" ref="B3:B53">TRANSPOSE(CEC_2022!$D$2:$BB$2)</f>
        <v>0</v>
      </c>
      <c r="C3" s="30">
        <f t="array" ref="C3:C53">TRANSPOSE(CEC_2022!$D$3:$BB$3)</f>
        <v>0</v>
      </c>
      <c r="D3" s="30">
        <f t="array" ref="D3:D53">TRANSPOSE(CEC_2022!$D$4:$BB$4)</f>
        <v>0</v>
      </c>
      <c r="E3" s="375">
        <f t="array" ref="E3:E53">TRANSPOSE(CEC_2022!$D$5:$BB$5)</f>
        <v>0</v>
      </c>
      <c r="F3" s="30">
        <f t="array" ref="F3:F53">TRANSPOSE(CEC_2022!$D$6:$BB$6)</f>
        <v>0</v>
      </c>
      <c r="G3" s="29">
        <f t="array" ref="G3:G53">TRANSPOSE(CEC_2022!$D$7:$BB$7)</f>
        <v>0</v>
      </c>
      <c r="H3" s="30">
        <f t="array" ref="H3:H53">TRANSPOSE(CEC_2022!$D$8:$BB$8)</f>
        <v>0</v>
      </c>
      <c r="I3" s="28">
        <f t="array" ref="I3:I53">TRANSPOSE(CEC_2022!$D$9:$BB$9)</f>
        <v>0</v>
      </c>
      <c r="J3" s="28">
        <f>SUM(B3:I3)</f>
        <v>0</v>
      </c>
      <c r="K3" s="19">
        <f t="array" ref="K3:K53">TRANSPOSE(CEC_2022!$D$10:$BB$10)</f>
        <v>0</v>
      </c>
      <c r="L3" s="29">
        <f t="array" ref="L3:L53">TRANSPOSE(CEC_2023!$D$2:$BB$2)</f>
        <v>0</v>
      </c>
      <c r="M3" s="30">
        <f t="array" ref="M3:M53">TRANSPOSE(CEC_2023!$D$3:$BB$3)</f>
        <v>0</v>
      </c>
      <c r="N3" s="30">
        <f t="array" ref="N3:N53">TRANSPOSE(CEC_2023!$D$4:$BB$4)</f>
        <v>0</v>
      </c>
      <c r="O3" s="375">
        <f t="array" ref="O3:O53">TRANSPOSE(CEC_2023!$D$5:$BB$5)</f>
        <v>0</v>
      </c>
      <c r="P3" s="30">
        <f t="array" ref="P3:P53">TRANSPOSE(CEC_2023!$D$6:$BB$6)</f>
        <v>0</v>
      </c>
      <c r="Q3" s="29">
        <f t="array" ref="Q3:Q53">TRANSPOSE(CEC_2023!$D$7:$BB$7)</f>
        <v>0</v>
      </c>
      <c r="R3" s="30">
        <f t="array" ref="R3:R53">TRANSPOSE(CEC_2023!$D$8:$BB$8)</f>
        <v>0</v>
      </c>
      <c r="S3" s="28">
        <f t="array" ref="S3:S53">TRANSPOSE(CEC_2023!$D$9:$BB$9)</f>
        <v>0</v>
      </c>
      <c r="T3" s="28">
        <f>SUM(L3:S3)</f>
        <v>0</v>
      </c>
      <c r="U3" s="19">
        <f t="array" ref="U3:U53">TRANSPOSE(CEC_2023!$D$10:$BB$10)</f>
        <v>0</v>
      </c>
      <c r="V3" s="29">
        <f t="array" ref="V3:V53">TRANSPOSE(CEC_2024!$D$2:$BB$2)</f>
        <v>0</v>
      </c>
      <c r="W3" s="30">
        <f t="array" ref="W3:W53">TRANSPOSE(CEC_2024!$D$3:$BB$3)</f>
        <v>0</v>
      </c>
      <c r="X3" s="30">
        <f t="array" ref="X3:X53">TRANSPOSE(CEC_2024!$D$4:$BB$4)</f>
        <v>0</v>
      </c>
      <c r="Y3" s="375">
        <f t="array" ref="Y3:Y53">TRANSPOSE(CEC_2024!$D$5:$BB$5)</f>
        <v>0</v>
      </c>
      <c r="Z3" s="30">
        <f t="array" ref="Z3:Z53">TRANSPOSE(CEC_2024!$D$6:$BB$6)</f>
        <v>0</v>
      </c>
      <c r="AA3" s="29">
        <f t="array" ref="AA3:AA53">TRANSPOSE(CEC_2024!$D$7:$BB$7)</f>
        <v>0</v>
      </c>
      <c r="AB3" s="30">
        <f t="array" ref="AB3:AB53">TRANSPOSE(CEC_2024!$D$8:$BB$8)</f>
        <v>0</v>
      </c>
      <c r="AC3" s="28">
        <f t="array" ref="AC3:AC53">TRANSPOSE(CEC_2024!$D$9:$BB$9)</f>
        <v>0</v>
      </c>
      <c r="AD3" s="28">
        <f>SUM(V3:AC3)</f>
        <v>0</v>
      </c>
      <c r="AE3" s="27">
        <f t="array" ref="AE3:AE53">TRANSPOSE(CEC_2024!$D$10:$BB$10)</f>
        <v>0</v>
      </c>
      <c r="AF3" s="31">
        <f t="shared" ref="AF3:AF53" si="0">A3</f>
        <v>2019</v>
      </c>
      <c r="AG3" s="14">
        <f t="shared" ref="AG3:AG53" si="1">SUM(B3:E3)+SUM(L3:O3)+SUM(V3:Y3)</f>
        <v>0</v>
      </c>
      <c r="AH3" s="14">
        <f t="shared" ref="AH3:AH53" si="2">SUM(G3:I3)+SUM(Q3:S3)+SUM(AA3:AC3)</f>
        <v>0</v>
      </c>
      <c r="AI3" s="14">
        <f t="shared" ref="AI3:AI53" si="3">F3+P3+Z3</f>
        <v>0</v>
      </c>
      <c r="AK3" s="40"/>
      <c r="AL3" s="3"/>
      <c r="AM3" s="66"/>
    </row>
    <row r="4" spans="1:41" ht="15" thickBot="1">
      <c r="A4">
        <f t="shared" ref="A4:A53" si="4">A3+1</f>
        <v>2020</v>
      </c>
      <c r="B4" s="19">
        <v>0</v>
      </c>
      <c r="C4" s="4">
        <v>0</v>
      </c>
      <c r="D4" s="4">
        <v>0</v>
      </c>
      <c r="E4" s="376">
        <v>0</v>
      </c>
      <c r="F4" s="4">
        <v>0</v>
      </c>
      <c r="G4" s="19">
        <v>0</v>
      </c>
      <c r="H4" s="4">
        <v>0</v>
      </c>
      <c r="I4" s="5">
        <v>0</v>
      </c>
      <c r="J4" s="5">
        <f t="shared" ref="J4:J53" si="5">SUM(B4:I4)</f>
        <v>0</v>
      </c>
      <c r="K4" s="19">
        <v>0</v>
      </c>
      <c r="L4" s="19">
        <v>0</v>
      </c>
      <c r="M4" s="4">
        <v>0</v>
      </c>
      <c r="N4" s="4">
        <v>0</v>
      </c>
      <c r="O4" s="376">
        <v>0</v>
      </c>
      <c r="P4" s="4">
        <v>0</v>
      </c>
      <c r="Q4" s="19">
        <v>0</v>
      </c>
      <c r="R4" s="4">
        <v>0</v>
      </c>
      <c r="S4" s="5">
        <v>0</v>
      </c>
      <c r="T4" s="5">
        <f t="shared" ref="T4:T53" si="6">SUM(L4:S4)</f>
        <v>0</v>
      </c>
      <c r="U4" s="19">
        <v>0</v>
      </c>
      <c r="V4" s="19">
        <v>0</v>
      </c>
      <c r="W4" s="4">
        <v>0</v>
      </c>
      <c r="X4" s="4">
        <v>0</v>
      </c>
      <c r="Y4" s="376">
        <v>0</v>
      </c>
      <c r="Z4" s="4">
        <v>0</v>
      </c>
      <c r="AA4" s="19">
        <v>0</v>
      </c>
      <c r="AB4" s="4">
        <v>0</v>
      </c>
      <c r="AC4" s="5">
        <v>0</v>
      </c>
      <c r="AD4" s="5">
        <f t="shared" ref="AD4:AD53" si="7">SUM(V4:AC4)</f>
        <v>0</v>
      </c>
      <c r="AE4" s="27">
        <v>0</v>
      </c>
      <c r="AF4" s="31">
        <f t="shared" si="0"/>
        <v>2020</v>
      </c>
      <c r="AG4" s="14">
        <f t="shared" si="1"/>
        <v>0</v>
      </c>
      <c r="AH4" s="14">
        <f t="shared" si="2"/>
        <v>0</v>
      </c>
      <c r="AI4" s="14">
        <f t="shared" si="3"/>
        <v>0</v>
      </c>
      <c r="AK4" s="97"/>
      <c r="AL4" s="74" t="str">
        <f>Columbia!A1</f>
        <v>CPVRR 2053</v>
      </c>
      <c r="AM4" s="98" t="str">
        <f>AL4</f>
        <v>CPVRR 2053</v>
      </c>
    </row>
    <row r="5" spans="1:41">
      <c r="A5">
        <f t="shared" si="4"/>
        <v>2021</v>
      </c>
      <c r="B5" s="19">
        <v>0</v>
      </c>
      <c r="C5" s="4">
        <v>0</v>
      </c>
      <c r="D5" s="4">
        <v>0</v>
      </c>
      <c r="E5" s="376">
        <v>0</v>
      </c>
      <c r="F5" s="4">
        <v>0</v>
      </c>
      <c r="G5" s="19">
        <v>0</v>
      </c>
      <c r="H5" s="4">
        <v>0</v>
      </c>
      <c r="I5" s="5">
        <v>0</v>
      </c>
      <c r="J5" s="5">
        <f t="shared" si="5"/>
        <v>0</v>
      </c>
      <c r="K5" s="19">
        <v>0</v>
      </c>
      <c r="L5" s="19">
        <v>0</v>
      </c>
      <c r="M5" s="4">
        <v>0</v>
      </c>
      <c r="N5" s="4">
        <v>0</v>
      </c>
      <c r="O5" s="376">
        <v>0</v>
      </c>
      <c r="P5" s="4">
        <v>0</v>
      </c>
      <c r="Q5" s="19">
        <v>0</v>
      </c>
      <c r="R5" s="4">
        <v>0</v>
      </c>
      <c r="S5" s="5">
        <v>0</v>
      </c>
      <c r="T5" s="5">
        <f t="shared" si="6"/>
        <v>0</v>
      </c>
      <c r="U5" s="19">
        <v>0</v>
      </c>
      <c r="V5" s="19">
        <v>0</v>
      </c>
      <c r="W5" s="4">
        <v>0</v>
      </c>
      <c r="X5" s="4">
        <v>0</v>
      </c>
      <c r="Y5" s="376">
        <v>0</v>
      </c>
      <c r="Z5" s="4">
        <v>0</v>
      </c>
      <c r="AA5" s="19">
        <v>0</v>
      </c>
      <c r="AB5" s="4">
        <v>0</v>
      </c>
      <c r="AC5" s="5">
        <v>0</v>
      </c>
      <c r="AD5" s="5">
        <f t="shared" si="7"/>
        <v>0</v>
      </c>
      <c r="AE5" s="27">
        <v>0</v>
      </c>
      <c r="AF5" s="31">
        <f t="shared" si="0"/>
        <v>2021</v>
      </c>
      <c r="AG5" s="14">
        <f t="shared" si="1"/>
        <v>0</v>
      </c>
      <c r="AH5" s="14">
        <f t="shared" si="2"/>
        <v>0</v>
      </c>
      <c r="AI5" s="14">
        <f t="shared" si="3"/>
        <v>0</v>
      </c>
      <c r="AK5" s="10" t="str">
        <f>Columbia!C2</f>
        <v>Capital RR</v>
      </c>
      <c r="AL5" s="67">
        <f>CEC_2022!A2+CEC_2023!A2+CEC_2024!A2</f>
        <v>826551.63455505983</v>
      </c>
      <c r="AM5" s="68">
        <f>AL5/1000</f>
        <v>826.55163455505988</v>
      </c>
    </row>
    <row r="6" spans="1:41">
      <c r="A6">
        <f t="shared" si="4"/>
        <v>2022</v>
      </c>
      <c r="B6" s="19">
        <v>25307.61285948056</v>
      </c>
      <c r="C6" s="4">
        <v>688.78910604335033</v>
      </c>
      <c r="D6" s="4">
        <v>250.26997249821491</v>
      </c>
      <c r="E6" s="376">
        <v>803.55</v>
      </c>
      <c r="F6" s="4">
        <v>1227.7601741679971</v>
      </c>
      <c r="G6" s="19">
        <v>2395.6384614589824</v>
      </c>
      <c r="H6" s="4">
        <v>158.69159999999999</v>
      </c>
      <c r="I6" s="5">
        <v>25.751957384336077</v>
      </c>
      <c r="J6" s="5">
        <f t="shared" si="5"/>
        <v>30858.064131033436</v>
      </c>
      <c r="K6" s="19">
        <v>30858.064131033436</v>
      </c>
      <c r="L6" s="19">
        <v>0</v>
      </c>
      <c r="M6" s="4">
        <v>0</v>
      </c>
      <c r="N6" s="4">
        <v>0</v>
      </c>
      <c r="O6" s="376">
        <v>0</v>
      </c>
      <c r="P6" s="4">
        <v>0</v>
      </c>
      <c r="Q6" s="19">
        <v>0</v>
      </c>
      <c r="R6" s="4">
        <v>0</v>
      </c>
      <c r="S6" s="5">
        <v>0</v>
      </c>
      <c r="T6" s="5">
        <f t="shared" si="6"/>
        <v>0</v>
      </c>
      <c r="U6" s="19">
        <v>0</v>
      </c>
      <c r="V6" s="19">
        <v>0</v>
      </c>
      <c r="W6" s="4">
        <v>0</v>
      </c>
      <c r="X6" s="4">
        <v>0</v>
      </c>
      <c r="Y6" s="376">
        <v>0</v>
      </c>
      <c r="Z6" s="4">
        <v>0</v>
      </c>
      <c r="AA6" s="19">
        <v>0</v>
      </c>
      <c r="AB6" s="4">
        <v>0</v>
      </c>
      <c r="AC6" s="5">
        <v>0</v>
      </c>
      <c r="AD6" s="5">
        <f t="shared" si="7"/>
        <v>0</v>
      </c>
      <c r="AE6" s="27">
        <v>0</v>
      </c>
      <c r="AF6" s="31">
        <f t="shared" si="0"/>
        <v>2022</v>
      </c>
      <c r="AG6" s="14">
        <f t="shared" si="1"/>
        <v>27050.221938022125</v>
      </c>
      <c r="AH6" s="14">
        <f t="shared" si="2"/>
        <v>2580.0820188433186</v>
      </c>
      <c r="AI6" s="14">
        <f t="shared" si="3"/>
        <v>1227.7601741679971</v>
      </c>
      <c r="AK6" s="7" t="str">
        <f>Columbia!C3</f>
        <v>Property Taxes</v>
      </c>
      <c r="AL6" s="69">
        <f>CEC_2022!A3+CEC_2023!A3+CEC_2024!A3</f>
        <v>36837.404009912672</v>
      </c>
      <c r="AM6" s="70">
        <f t="shared" ref="AM6:AM13" si="8">AL6/1000</f>
        <v>36.837404009912674</v>
      </c>
    </row>
    <row r="7" spans="1:41">
      <c r="A7">
        <f t="shared" si="4"/>
        <v>2023</v>
      </c>
      <c r="B7" s="19">
        <v>23803.808874982627</v>
      </c>
      <c r="C7" s="4">
        <v>667.7037252461048</v>
      </c>
      <c r="D7" s="4">
        <v>257.77807167316138</v>
      </c>
      <c r="E7" s="376">
        <v>819.62099999999998</v>
      </c>
      <c r="F7" s="4">
        <v>1245.6362463783312</v>
      </c>
      <c r="G7" s="19">
        <v>2326.4282352733903</v>
      </c>
      <c r="H7" s="4">
        <v>158.69159999999999</v>
      </c>
      <c r="I7" s="5">
        <v>26.524516105866159</v>
      </c>
      <c r="J7" s="5">
        <f t="shared" si="5"/>
        <v>29306.192269659477</v>
      </c>
      <c r="K7" s="19">
        <v>29306.192269659477</v>
      </c>
      <c r="L7" s="19">
        <v>46812.307735487317</v>
      </c>
      <c r="M7" s="4">
        <v>1278.119691542285</v>
      </c>
      <c r="N7" s="4">
        <v>464.40191525268199</v>
      </c>
      <c r="O7" s="376">
        <v>1639.242</v>
      </c>
      <c r="P7" s="4">
        <v>2493.9786370326838</v>
      </c>
      <c r="Q7" s="19">
        <v>4702.5776047139998</v>
      </c>
      <c r="R7" s="4">
        <v>323.730864</v>
      </c>
      <c r="S7" s="5">
        <v>50.688287999999993</v>
      </c>
      <c r="T7" s="5">
        <f t="shared" si="6"/>
        <v>57765.046736028962</v>
      </c>
      <c r="U7" s="19">
        <v>57765.046736028962</v>
      </c>
      <c r="V7" s="19">
        <v>0</v>
      </c>
      <c r="W7" s="4">
        <v>0</v>
      </c>
      <c r="X7" s="4">
        <v>0</v>
      </c>
      <c r="Y7" s="376">
        <v>0</v>
      </c>
      <c r="Z7" s="4">
        <v>0</v>
      </c>
      <c r="AA7" s="19">
        <v>0</v>
      </c>
      <c r="AB7" s="4">
        <v>0</v>
      </c>
      <c r="AC7" s="5">
        <v>0</v>
      </c>
      <c r="AD7" s="5">
        <f t="shared" si="7"/>
        <v>0</v>
      </c>
      <c r="AE7" s="27">
        <v>0</v>
      </c>
      <c r="AF7" s="31">
        <f t="shared" si="0"/>
        <v>2023</v>
      </c>
      <c r="AG7" s="14">
        <f t="shared" si="1"/>
        <v>75742.983014184167</v>
      </c>
      <c r="AH7" s="14">
        <f t="shared" si="2"/>
        <v>7588.6411080932567</v>
      </c>
      <c r="AI7" s="14">
        <f t="shared" si="3"/>
        <v>3739.6148834110149</v>
      </c>
      <c r="AK7" s="7" t="str">
        <f>Columbia!C4</f>
        <v>Insurance</v>
      </c>
      <c r="AL7" s="69">
        <f>CEC_2022!A4+CEC_2023!A4+CEC_2024!A4</f>
        <v>17990.037948041627</v>
      </c>
      <c r="AM7" s="70">
        <f t="shared" si="8"/>
        <v>17.990037948041628</v>
      </c>
    </row>
    <row r="8" spans="1:41">
      <c r="A8">
        <f t="shared" si="4"/>
        <v>2024</v>
      </c>
      <c r="B8" s="19">
        <v>22311.967899926029</v>
      </c>
      <c r="C8" s="4">
        <v>653.64680471460781</v>
      </c>
      <c r="D8" s="4">
        <v>265.51141382335618</v>
      </c>
      <c r="E8" s="376">
        <v>836.01342000000011</v>
      </c>
      <c r="F8" s="4">
        <v>1274.235827223725</v>
      </c>
      <c r="G8" s="19">
        <v>2249.0133915847982</v>
      </c>
      <c r="H8" s="4">
        <v>158.69159999999999</v>
      </c>
      <c r="I8" s="5">
        <v>27.320251589042144</v>
      </c>
      <c r="J8" s="5">
        <f t="shared" si="5"/>
        <v>27776.400608861553</v>
      </c>
      <c r="K8" s="19">
        <v>27776.400608861553</v>
      </c>
      <c r="L8" s="19">
        <v>43957.294150562579</v>
      </c>
      <c r="M8" s="4">
        <v>1238.9935785358884</v>
      </c>
      <c r="N8" s="4">
        <v>478.33397271026246</v>
      </c>
      <c r="O8" s="376">
        <v>1672.0268400000002</v>
      </c>
      <c r="P8" s="4">
        <v>2530.730635114252</v>
      </c>
      <c r="Q8" s="19">
        <v>4564.7755666271996</v>
      </c>
      <c r="R8" s="4">
        <v>323.730864</v>
      </c>
      <c r="S8" s="5">
        <v>52.208936639999997</v>
      </c>
      <c r="T8" s="5">
        <f t="shared" si="6"/>
        <v>54818.094544190186</v>
      </c>
      <c r="U8" s="19">
        <v>54818.094544190186</v>
      </c>
      <c r="V8" s="19">
        <v>44667.88724698298</v>
      </c>
      <c r="W8" s="4">
        <v>1227.1213126420405</v>
      </c>
      <c r="X8" s="4">
        <v>445.87176898173561</v>
      </c>
      <c r="Y8" s="376">
        <v>1672.0268400000002</v>
      </c>
      <c r="Z8" s="4">
        <v>2535.5458198540377</v>
      </c>
      <c r="AA8" s="19">
        <v>4796.6291568082797</v>
      </c>
      <c r="AB8" s="4">
        <v>330.20548128000001</v>
      </c>
      <c r="AC8" s="5">
        <v>51.702053759999998</v>
      </c>
      <c r="AD8" s="5">
        <f t="shared" si="7"/>
        <v>55726.989680309067</v>
      </c>
      <c r="AE8" s="27">
        <v>55726.989680309067</v>
      </c>
      <c r="AF8" s="31">
        <f t="shared" si="0"/>
        <v>2024</v>
      </c>
      <c r="AG8" s="14">
        <f t="shared" si="1"/>
        <v>119426.69524887949</v>
      </c>
      <c r="AH8" s="14">
        <f t="shared" si="2"/>
        <v>12554.27730228932</v>
      </c>
      <c r="AI8" s="14">
        <f t="shared" si="3"/>
        <v>6340.512282192014</v>
      </c>
      <c r="AK8" s="380" t="str">
        <f>Columbia!C5</f>
        <v>Capital Lease</v>
      </c>
      <c r="AL8" s="381">
        <f>CEC_2022!A5+CEC_2023!A5+CEC_2024!A5</f>
        <v>56284.501724830989</v>
      </c>
      <c r="AM8" s="382">
        <f t="shared" si="8"/>
        <v>56.284501724830989</v>
      </c>
    </row>
    <row r="9" spans="1:41">
      <c r="A9">
        <f t="shared" si="4"/>
        <v>2025</v>
      </c>
      <c r="B9" s="19">
        <v>21209.730096737989</v>
      </c>
      <c r="C9" s="4">
        <v>632.5614239173625</v>
      </c>
      <c r="D9" s="4">
        <v>273.47675623805691</v>
      </c>
      <c r="E9" s="376">
        <v>852.73368840000012</v>
      </c>
      <c r="F9" s="4">
        <v>1303.5782848149502</v>
      </c>
      <c r="G9" s="19">
        <v>2175.7586356442062</v>
      </c>
      <c r="H9" s="4">
        <v>158.69159999999999</v>
      </c>
      <c r="I9" s="5">
        <v>28.139859136713408</v>
      </c>
      <c r="J9" s="5">
        <f t="shared" si="5"/>
        <v>26634.670344889277</v>
      </c>
      <c r="K9" s="19">
        <v>26634.670344889277</v>
      </c>
      <c r="L9" s="19">
        <v>41125.124017355702</v>
      </c>
      <c r="M9" s="4">
        <v>1212.9095031982908</v>
      </c>
      <c r="N9" s="4">
        <v>492.68399189157032</v>
      </c>
      <c r="O9" s="376">
        <v>1705.4673768000002</v>
      </c>
      <c r="P9" s="4">
        <v>2588.9565187007679</v>
      </c>
      <c r="Q9" s="19">
        <v>4410.2361088342795</v>
      </c>
      <c r="R9" s="4">
        <v>323.730864</v>
      </c>
      <c r="S9" s="5">
        <v>53.775204739199992</v>
      </c>
      <c r="T9" s="5">
        <f t="shared" si="6"/>
        <v>51912.883585519812</v>
      </c>
      <c r="U9" s="19">
        <v>51912.883585519812</v>
      </c>
      <c r="V9" s="19">
        <v>41826.305666760738</v>
      </c>
      <c r="W9" s="4">
        <v>1189.5563744999374</v>
      </c>
      <c r="X9" s="4">
        <v>459.24792205118769</v>
      </c>
      <c r="Y9" s="376">
        <v>1705.4673768000002</v>
      </c>
      <c r="Z9" s="4">
        <v>2573.3666884202466</v>
      </c>
      <c r="AA9" s="19">
        <v>4656.0710779597421</v>
      </c>
      <c r="AB9" s="4">
        <v>330.20548128000001</v>
      </c>
      <c r="AC9" s="5">
        <v>53.253115372799996</v>
      </c>
      <c r="AD9" s="5">
        <f t="shared" si="7"/>
        <v>52793.473703144649</v>
      </c>
      <c r="AE9" s="27">
        <v>52793.473703144649</v>
      </c>
      <c r="AF9" s="31">
        <f t="shared" si="0"/>
        <v>2025</v>
      </c>
      <c r="AG9" s="14">
        <f t="shared" si="1"/>
        <v>112685.26419465084</v>
      </c>
      <c r="AH9" s="14">
        <f t="shared" si="2"/>
        <v>12189.861946966939</v>
      </c>
      <c r="AI9" s="14">
        <f t="shared" si="3"/>
        <v>6465.9014919359652</v>
      </c>
      <c r="AK9" s="7" t="str">
        <f>Columbia!C6</f>
        <v>O&amp;M</v>
      </c>
      <c r="AL9" s="69">
        <f>CEC_2022!A6+CEC_2023!A6+CEC_2024!A6</f>
        <v>93790.887028735218</v>
      </c>
      <c r="AM9" s="70">
        <f t="shared" si="8"/>
        <v>93.790887028735213</v>
      </c>
    </row>
    <row r="10" spans="1:41">
      <c r="A10">
        <f t="shared" si="4"/>
        <v>2026</v>
      </c>
      <c r="B10" s="19">
        <v>20269.454648537834</v>
      </c>
      <c r="C10" s="4">
        <v>611.47604312011708</v>
      </c>
      <c r="D10" s="4">
        <v>281.95523287131454</v>
      </c>
      <c r="E10" s="376">
        <v>869.78836216800016</v>
      </c>
      <c r="F10" s="4">
        <v>1343.6835195211918</v>
      </c>
      <c r="G10" s="19">
        <v>2106.2479586768141</v>
      </c>
      <c r="H10" s="4">
        <v>158.69159999999999</v>
      </c>
      <c r="I10" s="5">
        <v>28.984054910814809</v>
      </c>
      <c r="J10" s="5">
        <f t="shared" si="5"/>
        <v>25670.281419806088</v>
      </c>
      <c r="K10" s="19">
        <v>25670.281419806088</v>
      </c>
      <c r="L10" s="19">
        <v>39044.103509174864</v>
      </c>
      <c r="M10" s="4">
        <v>1173.7833901918941</v>
      </c>
      <c r="N10" s="4">
        <v>507.46451164831745</v>
      </c>
      <c r="O10" s="376">
        <v>1739.5767243360003</v>
      </c>
      <c r="P10" s="4">
        <v>2648.6957662764426</v>
      </c>
      <c r="Q10" s="19">
        <v>4264.1832300472797</v>
      </c>
      <c r="R10" s="4">
        <v>323.730864</v>
      </c>
      <c r="S10" s="5">
        <v>55.388460881375991</v>
      </c>
      <c r="T10" s="5">
        <f t="shared" si="6"/>
        <v>49756.926456556168</v>
      </c>
      <c r="U10" s="19">
        <v>49756.926456556168</v>
      </c>
      <c r="V10" s="19">
        <v>39007.783384169903</v>
      </c>
      <c r="W10" s="4">
        <v>1164.5130824052019</v>
      </c>
      <c r="X10" s="4">
        <v>473.02535971272329</v>
      </c>
      <c r="Y10" s="376">
        <v>1739.5767243360003</v>
      </c>
      <c r="Z10" s="4">
        <v>2632.6898949809424</v>
      </c>
      <c r="AA10" s="19">
        <v>4498.4408310109648</v>
      </c>
      <c r="AB10" s="4">
        <v>330.20548128000001</v>
      </c>
      <c r="AC10" s="5">
        <v>54.850708833983994</v>
      </c>
      <c r="AD10" s="5">
        <f t="shared" si="7"/>
        <v>49901.085466729717</v>
      </c>
      <c r="AE10" s="27">
        <v>49901.085466729717</v>
      </c>
      <c r="AF10" s="31">
        <f t="shared" si="0"/>
        <v>2026</v>
      </c>
      <c r="AG10" s="14">
        <f t="shared" si="1"/>
        <v>106882.50097267216</v>
      </c>
      <c r="AH10" s="14">
        <f t="shared" si="2"/>
        <v>11820.723189641234</v>
      </c>
      <c r="AI10" s="14">
        <f t="shared" si="3"/>
        <v>6625.069180778577</v>
      </c>
      <c r="AK10" s="7" t="str">
        <f>Columbia!C7</f>
        <v>Transm Cap RR</v>
      </c>
      <c r="AL10" s="69">
        <f>CEC_2022!A7+CEC_2023!A7+CEC_2024!A7</f>
        <v>97863.219982204071</v>
      </c>
      <c r="AM10" s="70">
        <f t="shared" si="8"/>
        <v>97.863219982204072</v>
      </c>
    </row>
    <row r="11" spans="1:41">
      <c r="A11">
        <f t="shared" si="4"/>
        <v>2027</v>
      </c>
      <c r="B11" s="19">
        <v>17102.405999890248</v>
      </c>
      <c r="C11" s="4">
        <v>590.39066232287166</v>
      </c>
      <c r="D11" s="4">
        <v>290.55331756423908</v>
      </c>
      <c r="E11" s="376">
        <v>887.18412941136012</v>
      </c>
      <c r="F11" s="4">
        <v>1477.5729052799634</v>
      </c>
      <c r="G11" s="19">
        <v>2040.1346867036223</v>
      </c>
      <c r="H11" s="4">
        <v>158.69159999999999</v>
      </c>
      <c r="I11" s="5">
        <v>29.853576558139249</v>
      </c>
      <c r="J11" s="5">
        <f t="shared" si="5"/>
        <v>22576.786877730443</v>
      </c>
      <c r="K11" s="19">
        <v>22576.786877730443</v>
      </c>
      <c r="L11" s="19">
        <v>33106.205666161455</v>
      </c>
      <c r="M11" s="4">
        <v>1134.6572771854978</v>
      </c>
      <c r="N11" s="4">
        <v>523.23679488999892</v>
      </c>
      <c r="O11" s="376">
        <v>1774.3682588227202</v>
      </c>
      <c r="P11" s="4">
        <v>2729.9889418035877</v>
      </c>
      <c r="Q11" s="19">
        <v>4125.768272365608</v>
      </c>
      <c r="R11" s="4">
        <v>323.730864</v>
      </c>
      <c r="S11" s="5">
        <v>57.050114707817265</v>
      </c>
      <c r="T11" s="5">
        <f t="shared" si="6"/>
        <v>43775.006189936692</v>
      </c>
      <c r="U11" s="19">
        <v>43775.006189936692</v>
      </c>
      <c r="V11" s="19">
        <v>35203.081474041857</v>
      </c>
      <c r="W11" s="4">
        <v>1126.9481442630984</v>
      </c>
      <c r="X11" s="4">
        <v>487.21612050410499</v>
      </c>
      <c r="Y11" s="376">
        <v>1774.3682588227202</v>
      </c>
      <c r="Z11" s="4">
        <v>2693.555698054397</v>
      </c>
      <c r="AA11" s="19">
        <v>4349.4668946482252</v>
      </c>
      <c r="AB11" s="4">
        <v>330.20548128000001</v>
      </c>
      <c r="AC11" s="5">
        <v>56.496230099003519</v>
      </c>
      <c r="AD11" s="5">
        <f t="shared" si="7"/>
        <v>46021.338301713404</v>
      </c>
      <c r="AE11" s="27">
        <v>46021.338301713404</v>
      </c>
      <c r="AF11" s="31">
        <f t="shared" si="0"/>
        <v>2027</v>
      </c>
      <c r="AG11" s="14">
        <f t="shared" si="1"/>
        <v>94000.616103880166</v>
      </c>
      <c r="AH11" s="14">
        <f t="shared" si="2"/>
        <v>11471.397720362416</v>
      </c>
      <c r="AI11" s="14">
        <f t="shared" si="3"/>
        <v>6901.1175451379477</v>
      </c>
      <c r="AK11" s="7" t="str">
        <f>Columbia!C8</f>
        <v>Transm Prop Tx</v>
      </c>
      <c r="AL11" s="69">
        <f>CEC_2022!A8+CEC_2023!A8+CEC_2024!A8</f>
        <v>9017.3920498392545</v>
      </c>
      <c r="AM11" s="70">
        <f t="shared" si="8"/>
        <v>9.0173920498392537</v>
      </c>
    </row>
    <row r="12" spans="1:41" ht="15" thickBot="1">
      <c r="A12">
        <f t="shared" si="4"/>
        <v>2028</v>
      </c>
      <c r="B12" s="19">
        <v>16487.991237882659</v>
      </c>
      <c r="C12" s="4">
        <v>569.30528152562613</v>
      </c>
      <c r="D12" s="4">
        <v>299.43458958884599</v>
      </c>
      <c r="E12" s="376">
        <v>904.92781199958745</v>
      </c>
      <c r="F12" s="4">
        <v>1512.6397917284532</v>
      </c>
      <c r="G12" s="19">
        <v>1976.40190938623</v>
      </c>
      <c r="H12" s="4">
        <v>158.69159999999999</v>
      </c>
      <c r="I12" s="5">
        <v>30.74918385488343</v>
      </c>
      <c r="J12" s="5">
        <f t="shared" si="5"/>
        <v>21940.141405966286</v>
      </c>
      <c r="K12" s="19">
        <v>21940.141405966286</v>
      </c>
      <c r="L12" s="19">
        <v>31551.71479097561</v>
      </c>
      <c r="M12" s="4">
        <v>1095.5311641791013</v>
      </c>
      <c r="N12" s="4">
        <v>539.21275415026912</v>
      </c>
      <c r="O12" s="376">
        <v>1809.8556239991749</v>
      </c>
      <c r="P12" s="4">
        <v>2998.879577944374</v>
      </c>
      <c r="Q12" s="19">
        <v>3994.2840208721041</v>
      </c>
      <c r="R12" s="4">
        <v>323.730864</v>
      </c>
      <c r="S12" s="5">
        <v>58.761618149051785</v>
      </c>
      <c r="T12" s="5">
        <f t="shared" si="6"/>
        <v>42371.970414269679</v>
      </c>
      <c r="U12" s="19">
        <v>42371.970414269679</v>
      </c>
      <c r="V12" s="19">
        <v>33470.091646685716</v>
      </c>
      <c r="W12" s="4">
        <v>1089.3832061209951</v>
      </c>
      <c r="X12" s="4">
        <v>502.38095201146007</v>
      </c>
      <c r="Y12" s="376">
        <v>1809.8556239991749</v>
      </c>
      <c r="Z12" s="4">
        <v>2776.0054635354904</v>
      </c>
      <c r="AA12" s="19">
        <v>4208.2836378129196</v>
      </c>
      <c r="AB12" s="4">
        <v>330.20548128000001</v>
      </c>
      <c r="AC12" s="5">
        <v>58.191117001973616</v>
      </c>
      <c r="AD12" s="5">
        <f t="shared" si="7"/>
        <v>44244.39712844773</v>
      </c>
      <c r="AE12" s="27">
        <v>44244.39712844773</v>
      </c>
      <c r="AF12" s="31">
        <f t="shared" si="0"/>
        <v>2028</v>
      </c>
      <c r="AG12" s="14">
        <f t="shared" si="1"/>
        <v>90129.684683118219</v>
      </c>
      <c r="AH12" s="14">
        <f t="shared" si="2"/>
        <v>11139.299432357162</v>
      </c>
      <c r="AI12" s="14">
        <f t="shared" si="3"/>
        <v>7287.5248332083174</v>
      </c>
      <c r="AK12" s="8" t="str">
        <f>Columbia!C9</f>
        <v>Transm Prop Ins</v>
      </c>
      <c r="AL12" s="71">
        <f>CEC_2022!A9+CEC_2023!A9+CEC_2024!A9</f>
        <v>1963.2070508941256</v>
      </c>
      <c r="AM12" s="72">
        <f t="shared" si="8"/>
        <v>1.9632070508941255</v>
      </c>
    </row>
    <row r="13" spans="1:41" ht="15" thickBot="1">
      <c r="A13">
        <f t="shared" si="4"/>
        <v>2029</v>
      </c>
      <c r="B13" s="19">
        <v>15984.696892772386</v>
      </c>
      <c r="C13" s="4">
        <v>548.21990072838082</v>
      </c>
      <c r="D13" s="4">
        <v>308.60764843265258</v>
      </c>
      <c r="E13" s="376">
        <v>923.02636823957914</v>
      </c>
      <c r="F13" s="4">
        <v>1548.4182110232991</v>
      </c>
      <c r="G13" s="19">
        <v>1913.4318148226382</v>
      </c>
      <c r="H13" s="4">
        <v>158.69159999999999</v>
      </c>
      <c r="I13" s="5">
        <v>31.671659370529934</v>
      </c>
      <c r="J13" s="5">
        <f t="shared" si="5"/>
        <v>21416.764095389462</v>
      </c>
      <c r="K13" s="19">
        <v>21416.764095389462</v>
      </c>
      <c r="L13" s="19">
        <v>30412.135465337684</v>
      </c>
      <c r="M13" s="4">
        <v>1056.4050511727048</v>
      </c>
      <c r="N13" s="4">
        <v>555.71848177013658</v>
      </c>
      <c r="O13" s="376">
        <v>1846.0527364791583</v>
      </c>
      <c r="P13" s="4">
        <v>3070.1551809429598</v>
      </c>
      <c r="Q13" s="19">
        <v>3867.6559784764313</v>
      </c>
      <c r="R13" s="4">
        <v>323.730864</v>
      </c>
      <c r="S13" s="5">
        <v>60.524466693523337</v>
      </c>
      <c r="T13" s="5">
        <f t="shared" si="6"/>
        <v>41192.378224872598</v>
      </c>
      <c r="U13" s="19">
        <v>41192.378224872598</v>
      </c>
      <c r="V13" s="19">
        <v>31954.592452403591</v>
      </c>
      <c r="W13" s="4">
        <v>1051.8182679788918</v>
      </c>
      <c r="X13" s="4">
        <v>517.73123598537416</v>
      </c>
      <c r="Y13" s="376">
        <v>1846.0527364791583</v>
      </c>
      <c r="Z13" s="4">
        <v>3046.0835485435791</v>
      </c>
      <c r="AA13" s="19">
        <v>4074.1697012895461</v>
      </c>
      <c r="AB13" s="4">
        <v>330.20548128000001</v>
      </c>
      <c r="AC13" s="5">
        <v>59.936850512032827</v>
      </c>
      <c r="AD13" s="5">
        <f t="shared" si="7"/>
        <v>42880.590274472168</v>
      </c>
      <c r="AE13" s="27">
        <v>42880.590274472168</v>
      </c>
      <c r="AF13" s="31">
        <f t="shared" si="0"/>
        <v>2029</v>
      </c>
      <c r="AG13" s="14">
        <f t="shared" si="1"/>
        <v>87005.057237779693</v>
      </c>
      <c r="AH13" s="14">
        <f t="shared" si="2"/>
        <v>10820.018416444702</v>
      </c>
      <c r="AI13" s="14">
        <f t="shared" si="3"/>
        <v>7664.656940509838</v>
      </c>
      <c r="AK13" s="91" t="s">
        <v>111</v>
      </c>
      <c r="AL13" s="92">
        <f>SUM(AL5:AL12)</f>
        <v>1140298.2843495177</v>
      </c>
      <c r="AM13" s="92">
        <f t="shared" si="8"/>
        <v>1140.2982843495176</v>
      </c>
    </row>
    <row r="14" spans="1:41" ht="15" thickBot="1">
      <c r="A14">
        <f t="shared" si="4"/>
        <v>2030</v>
      </c>
      <c r="B14" s="19">
        <v>15482.766959055321</v>
      </c>
      <c r="C14" s="4">
        <v>527.1345199311354</v>
      </c>
      <c r="D14" s="4">
        <v>318.08116383514903</v>
      </c>
      <c r="E14" s="376">
        <v>941.48689560437072</v>
      </c>
      <c r="F14" s="4">
        <v>1584.929517077172</v>
      </c>
      <c r="G14" s="19">
        <v>1850.4386086604459</v>
      </c>
      <c r="H14" s="4">
        <v>158.69159999999999</v>
      </c>
      <c r="I14" s="5">
        <v>32.621809151645827</v>
      </c>
      <c r="J14" s="5">
        <f t="shared" si="5"/>
        <v>20896.151073315239</v>
      </c>
      <c r="K14" s="19">
        <v>20896.151073315239</v>
      </c>
      <c r="L14" s="19">
        <v>29486.920413560205</v>
      </c>
      <c r="M14" s="4">
        <v>1017.2789381663083</v>
      </c>
      <c r="N14" s="4">
        <v>572.77007853552323</v>
      </c>
      <c r="O14" s="376">
        <v>1882.9737912087414</v>
      </c>
      <c r="P14" s="4">
        <v>3142.8846449024863</v>
      </c>
      <c r="Q14" s="19">
        <v>3742.583808898512</v>
      </c>
      <c r="R14" s="4">
        <v>323.730864</v>
      </c>
      <c r="S14" s="5">
        <v>62.340200694329042</v>
      </c>
      <c r="T14" s="5">
        <f t="shared" si="6"/>
        <v>40231.482739966101</v>
      </c>
      <c r="U14" s="19">
        <v>40231.482739966101</v>
      </c>
      <c r="V14" s="19">
        <v>30862.586630337337</v>
      </c>
      <c r="W14" s="4">
        <v>1014.2533298367886</v>
      </c>
      <c r="X14" s="4">
        <v>533.59251806029476</v>
      </c>
      <c r="Y14" s="376">
        <v>1882.9737912087414</v>
      </c>
      <c r="Z14" s="4">
        <v>3118.5783069488834</v>
      </c>
      <c r="AA14" s="19">
        <v>3945.0090980459609</v>
      </c>
      <c r="AB14" s="4">
        <v>330.20548128000001</v>
      </c>
      <c r="AC14" s="5">
        <v>61.734956027393814</v>
      </c>
      <c r="AD14" s="5">
        <f t="shared" si="7"/>
        <v>41748.934111745402</v>
      </c>
      <c r="AE14" s="27">
        <v>41748.934111745402</v>
      </c>
      <c r="AF14" s="31">
        <f t="shared" si="0"/>
        <v>2030</v>
      </c>
      <c r="AG14" s="14">
        <f t="shared" si="1"/>
        <v>84522.819029339909</v>
      </c>
      <c r="AH14" s="14">
        <f t="shared" si="2"/>
        <v>10507.356426758288</v>
      </c>
      <c r="AI14" s="14">
        <f t="shared" si="3"/>
        <v>7846.3924689285423</v>
      </c>
    </row>
    <row r="15" spans="1:41" ht="15" thickBot="1">
      <c r="A15">
        <f t="shared" si="4"/>
        <v>2031</v>
      </c>
      <c r="B15" s="19">
        <v>14996.943890401701</v>
      </c>
      <c r="C15" s="4">
        <v>499.02067886814143</v>
      </c>
      <c r="D15" s="4">
        <v>328.1817208570821</v>
      </c>
      <c r="E15" s="376">
        <v>960.31663351645818</v>
      </c>
      <c r="F15" s="4">
        <v>1632.2021269490228</v>
      </c>
      <c r="G15" s="19">
        <v>1787.4454024982538</v>
      </c>
      <c r="H15" s="4">
        <v>158.69159999999999</v>
      </c>
      <c r="I15" s="5">
        <v>33.600463426195205</v>
      </c>
      <c r="J15" s="5">
        <f t="shared" si="5"/>
        <v>20396.402516516853</v>
      </c>
      <c r="K15" s="19">
        <v>20396.402516516853</v>
      </c>
      <c r="L15" s="19">
        <v>28564.443822029971</v>
      </c>
      <c r="M15" s="4">
        <v>978.15282515991191</v>
      </c>
      <c r="N15" s="4">
        <v>590.38375279062268</v>
      </c>
      <c r="O15" s="376">
        <v>1920.6332670329164</v>
      </c>
      <c r="P15" s="4">
        <v>3217.1115309142347</v>
      </c>
      <c r="Q15" s="19">
        <v>3617.464491659448</v>
      </c>
      <c r="R15" s="4">
        <v>323.730864</v>
      </c>
      <c r="S15" s="5">
        <v>64.210406715158911</v>
      </c>
      <c r="T15" s="5">
        <f t="shared" si="6"/>
        <v>39276.13096030226</v>
      </c>
      <c r="U15" s="19">
        <v>39276.13096030226</v>
      </c>
      <c r="V15" s="19">
        <v>29989.27343874006</v>
      </c>
      <c r="W15" s="4">
        <v>976.68839169468527</v>
      </c>
      <c r="X15" s="4">
        <v>549.98033591438616</v>
      </c>
      <c r="Y15" s="376">
        <v>1920.6332670329164</v>
      </c>
      <c r="Z15" s="4">
        <v>3192.5595043124231</v>
      </c>
      <c r="AA15" s="19">
        <v>3817.4354850764817</v>
      </c>
      <c r="AB15" s="4">
        <v>330.20548128000001</v>
      </c>
      <c r="AC15" s="5">
        <v>63.58700470821563</v>
      </c>
      <c r="AD15" s="5">
        <f t="shared" si="7"/>
        <v>40840.362908759162</v>
      </c>
      <c r="AE15" s="27">
        <v>40840.362908759162</v>
      </c>
      <c r="AF15" s="31">
        <f t="shared" si="0"/>
        <v>2031</v>
      </c>
      <c r="AG15" s="14">
        <f t="shared" si="1"/>
        <v>82274.652024038849</v>
      </c>
      <c r="AH15" s="14">
        <f t="shared" si="2"/>
        <v>10196.371199363753</v>
      </c>
      <c r="AI15" s="14">
        <f t="shared" si="3"/>
        <v>8041.8731621756806</v>
      </c>
      <c r="AK15" s="106"/>
      <c r="AL15" s="107" t="s">
        <v>238</v>
      </c>
      <c r="AM15" s="107" t="s">
        <v>239</v>
      </c>
      <c r="AN15" s="107" t="s">
        <v>240</v>
      </c>
      <c r="AO15" s="108" t="str">
        <f>AK24</f>
        <v xml:space="preserve">Total </v>
      </c>
    </row>
    <row r="16" spans="1:41">
      <c r="A16">
        <f t="shared" si="4"/>
        <v>2032</v>
      </c>
      <c r="B16" s="19">
        <v>14504.662087262015</v>
      </c>
      <c r="C16" s="4">
        <v>477.93529807089601</v>
      </c>
      <c r="D16" s="4">
        <v>338.29198935340196</v>
      </c>
      <c r="E16" s="376">
        <v>979.52296618678736</v>
      </c>
      <c r="F16" s="4">
        <v>1660.2709069695607</v>
      </c>
      <c r="G16" s="19">
        <v>1724.4521963360617</v>
      </c>
      <c r="H16" s="4">
        <v>158.69159999999999</v>
      </c>
      <c r="I16" s="5">
        <v>34.60847732898106</v>
      </c>
      <c r="J16" s="5">
        <f t="shared" si="5"/>
        <v>19878.435521507698</v>
      </c>
      <c r="K16" s="19">
        <v>19878.435521507698</v>
      </c>
      <c r="L16" s="19">
        <v>27674.182264602165</v>
      </c>
      <c r="M16" s="4">
        <v>925.98467448471638</v>
      </c>
      <c r="N16" s="4">
        <v>609.21150958809847</v>
      </c>
      <c r="O16" s="376">
        <v>1959.0459323735747</v>
      </c>
      <c r="P16" s="4">
        <v>3312.8935505131976</v>
      </c>
      <c r="Q16" s="19">
        <v>3492.345174420384</v>
      </c>
      <c r="R16" s="4">
        <v>323.730864</v>
      </c>
      <c r="S16" s="5">
        <v>66.136718916613674</v>
      </c>
      <c r="T16" s="5">
        <f t="shared" si="6"/>
        <v>38363.530688898747</v>
      </c>
      <c r="U16" s="19">
        <v>38363.530688898747</v>
      </c>
      <c r="V16" s="19">
        <v>29118.746787500051</v>
      </c>
      <c r="W16" s="4">
        <v>939.12345355258208</v>
      </c>
      <c r="X16" s="4">
        <v>566.91031789085139</v>
      </c>
      <c r="Y16" s="376">
        <v>1959.0459323735747</v>
      </c>
      <c r="Z16" s="4">
        <v>3268.0715976973338</v>
      </c>
      <c r="AA16" s="19">
        <v>3689.8137814926363</v>
      </c>
      <c r="AB16" s="4">
        <v>330.20548128000001</v>
      </c>
      <c r="AC16" s="5">
        <v>65.494614849462096</v>
      </c>
      <c r="AD16" s="5">
        <f t="shared" si="7"/>
        <v>39937.411966636493</v>
      </c>
      <c r="AE16" s="27">
        <v>39937.411966636493</v>
      </c>
      <c r="AF16" s="31">
        <f t="shared" si="0"/>
        <v>2032</v>
      </c>
      <c r="AG16" s="14">
        <f t="shared" si="1"/>
        <v>80052.663213238717</v>
      </c>
      <c r="AH16" s="14">
        <f t="shared" si="2"/>
        <v>9885.4789086241399</v>
      </c>
      <c r="AI16" s="14">
        <f t="shared" si="3"/>
        <v>8241.2360551800921</v>
      </c>
      <c r="AK16" s="11" t="str">
        <f t="shared" ref="AK16:AK24" si="9">AK5</f>
        <v>Capital RR</v>
      </c>
      <c r="AL16" s="73">
        <f t="array" ref="AL16:AL23">TRANSPOSE($B$55:$I$55)/1000</f>
        <v>191.26908306813931</v>
      </c>
      <c r="AM16" s="73">
        <f t="array" ref="AM16:AM23">TRANSPOSE($L$55:$S$55)/1000</f>
        <v>328.32876164617068</v>
      </c>
      <c r="AN16" s="73">
        <f t="array" ref="AN16:AN23">TRANSPOSE($V$55:$AC$55)/1000</f>
        <v>306.95378984074983</v>
      </c>
      <c r="AO16" s="105">
        <f>SUM(AL16:AN16)</f>
        <v>826.55163455505976</v>
      </c>
    </row>
    <row r="17" spans="1:41">
      <c r="A17">
        <f t="shared" si="4"/>
        <v>2033</v>
      </c>
      <c r="B17" s="19">
        <v>14004.05049344345</v>
      </c>
      <c r="C17" s="4">
        <v>449.82145700790215</v>
      </c>
      <c r="D17" s="4">
        <v>348.72946874168326</v>
      </c>
      <c r="E17" s="376">
        <v>999.11342551052326</v>
      </c>
      <c r="F17" s="4">
        <v>1699.1763142084437</v>
      </c>
      <c r="G17" s="19">
        <v>1661.4589901738696</v>
      </c>
      <c r="H17" s="4">
        <v>158.69159999999999</v>
      </c>
      <c r="I17" s="5">
        <v>35.646731648850491</v>
      </c>
      <c r="J17" s="5">
        <f t="shared" si="5"/>
        <v>19356.68848073472</v>
      </c>
      <c r="K17" s="19">
        <v>19356.68848073472</v>
      </c>
      <c r="L17" s="19">
        <v>26771.0032382022</v>
      </c>
      <c r="M17" s="4">
        <v>886.8585614783201</v>
      </c>
      <c r="N17" s="4">
        <v>628.01748861695614</v>
      </c>
      <c r="O17" s="376">
        <v>1998.2268510210465</v>
      </c>
      <c r="P17" s="4">
        <v>3370.3013386237585</v>
      </c>
      <c r="Q17" s="19">
        <v>3367.2258571813204</v>
      </c>
      <c r="R17" s="4">
        <v>323.730864</v>
      </c>
      <c r="S17" s="5">
        <v>68.120820484112087</v>
      </c>
      <c r="T17" s="5">
        <f t="shared" si="6"/>
        <v>37413.48501960771</v>
      </c>
      <c r="U17" s="19">
        <v>37413.48501960771</v>
      </c>
      <c r="V17" s="19">
        <v>28280.442095936021</v>
      </c>
      <c r="W17" s="4">
        <v>889.0368693631109</v>
      </c>
      <c r="X17" s="4">
        <v>585.03387164133414</v>
      </c>
      <c r="Y17" s="376">
        <v>1998.2268510210465</v>
      </c>
      <c r="Z17" s="4">
        <v>3365.1732198263858</v>
      </c>
      <c r="AA17" s="19">
        <v>3562.1920779087914</v>
      </c>
      <c r="AB17" s="4">
        <v>330.20548128000001</v>
      </c>
      <c r="AC17" s="5">
        <v>67.459453294945959</v>
      </c>
      <c r="AD17" s="5">
        <f t="shared" si="7"/>
        <v>39077.769920271632</v>
      </c>
      <c r="AE17" s="27">
        <v>39077.769920271632</v>
      </c>
      <c r="AF17" s="31">
        <f t="shared" si="0"/>
        <v>2033</v>
      </c>
      <c r="AG17" s="14">
        <f t="shared" si="1"/>
        <v>77838.560671983592</v>
      </c>
      <c r="AH17" s="14">
        <f t="shared" si="2"/>
        <v>9574.731875971891</v>
      </c>
      <c r="AI17" s="14">
        <f t="shared" si="3"/>
        <v>8434.6508726585871</v>
      </c>
      <c r="AK17" s="7" t="str">
        <f t="shared" si="9"/>
        <v>Property Taxes</v>
      </c>
      <c r="AL17" s="69">
        <v>8.0267072871054399</v>
      </c>
      <c r="AM17" s="69">
        <v>14.738395644554535</v>
      </c>
      <c r="AN17" s="69">
        <v>14.072301078252696</v>
      </c>
      <c r="AO17" s="99">
        <f t="shared" ref="AO17:AO23" si="10">SUM(AL17:AN17)</f>
        <v>36.837404009912674</v>
      </c>
    </row>
    <row r="18" spans="1:41">
      <c r="A18">
        <f t="shared" si="4"/>
        <v>2034</v>
      </c>
      <c r="B18" s="19">
        <v>13504.091508254784</v>
      </c>
      <c r="C18" s="4">
        <v>421.7076159449083</v>
      </c>
      <c r="D18" s="4">
        <v>359.50317025946094</v>
      </c>
      <c r="E18" s="376">
        <v>1019.0956940207337</v>
      </c>
      <c r="F18" s="4">
        <v>1738.9633648835397</v>
      </c>
      <c r="G18" s="19">
        <v>1598.4657840116774</v>
      </c>
      <c r="H18" s="4">
        <v>158.69159999999999</v>
      </c>
      <c r="I18" s="5">
        <v>36.716133598316006</v>
      </c>
      <c r="J18" s="5">
        <f t="shared" si="5"/>
        <v>18837.234870973418</v>
      </c>
      <c r="K18" s="19">
        <v>18837.234870973418</v>
      </c>
      <c r="L18" s="19">
        <v>25851.164630444491</v>
      </c>
      <c r="M18" s="4">
        <v>834.69041080312468</v>
      </c>
      <c r="N18" s="4">
        <v>647.43545269082335</v>
      </c>
      <c r="O18" s="376">
        <v>2038.1913880414675</v>
      </c>
      <c r="P18" s="4">
        <v>3449.4167372090201</v>
      </c>
      <c r="Q18" s="19">
        <v>3242.1065399422564</v>
      </c>
      <c r="R18" s="4">
        <v>323.730864</v>
      </c>
      <c r="S18" s="5">
        <v>70.164445098635454</v>
      </c>
      <c r="T18" s="5">
        <f t="shared" si="6"/>
        <v>36456.900468229818</v>
      </c>
      <c r="U18" s="19">
        <v>36456.900468229818</v>
      </c>
      <c r="V18" s="19">
        <v>27429.219935399855</v>
      </c>
      <c r="W18" s="4">
        <v>851.47193122100771</v>
      </c>
      <c r="X18" s="4">
        <v>603.11452153178891</v>
      </c>
      <c r="Y18" s="376">
        <v>2038.1913880414675</v>
      </c>
      <c r="Z18" s="4">
        <v>3423.9359527499837</v>
      </c>
      <c r="AA18" s="19">
        <v>3434.570374324946</v>
      </c>
      <c r="AB18" s="4">
        <v>330.20548128000001</v>
      </c>
      <c r="AC18" s="5">
        <v>69.483236893794341</v>
      </c>
      <c r="AD18" s="5">
        <f t="shared" si="7"/>
        <v>38180.192821442841</v>
      </c>
      <c r="AE18" s="27">
        <v>38180.192821442841</v>
      </c>
      <c r="AF18" s="31">
        <f t="shared" si="0"/>
        <v>2034</v>
      </c>
      <c r="AG18" s="14">
        <f t="shared" si="1"/>
        <v>75597.877646653913</v>
      </c>
      <c r="AH18" s="14">
        <f t="shared" si="2"/>
        <v>9264.1344591496254</v>
      </c>
      <c r="AI18" s="14">
        <f t="shared" si="3"/>
        <v>8612.316054842544</v>
      </c>
      <c r="AK18" s="7" t="str">
        <f t="shared" si="9"/>
        <v>Insurance</v>
      </c>
      <c r="AL18" s="69">
        <v>4.1771082843542722</v>
      </c>
      <c r="AM18" s="69">
        <v>7.2693265420457012</v>
      </c>
      <c r="AN18" s="69">
        <v>6.5436031216416541</v>
      </c>
      <c r="AO18" s="99">
        <f t="shared" si="10"/>
        <v>17.990037948041625</v>
      </c>
    </row>
    <row r="19" spans="1:41">
      <c r="A19">
        <f t="shared" si="4"/>
        <v>2035</v>
      </c>
      <c r="B19" s="19">
        <v>13004.517457505544</v>
      </c>
      <c r="C19" s="4">
        <v>393.59377488191444</v>
      </c>
      <c r="D19" s="4">
        <v>370.62221587819732</v>
      </c>
      <c r="E19" s="376">
        <v>1039.4776079011483</v>
      </c>
      <c r="F19" s="4">
        <v>1864.6005069300127</v>
      </c>
      <c r="G19" s="19">
        <v>1535.4725778494853</v>
      </c>
      <c r="H19" s="4">
        <v>158.69159999999999</v>
      </c>
      <c r="I19" s="5">
        <v>37.817617606265479</v>
      </c>
      <c r="J19" s="5">
        <f t="shared" si="5"/>
        <v>18404.793358552568</v>
      </c>
      <c r="K19" s="19">
        <v>18404.793358552568</v>
      </c>
      <c r="L19" s="19">
        <v>24932.631239946575</v>
      </c>
      <c r="M19" s="4">
        <v>782.52226012792937</v>
      </c>
      <c r="N19" s="4">
        <v>667.48215118260248</v>
      </c>
      <c r="O19" s="376">
        <v>2078.9552158022966</v>
      </c>
      <c r="P19" s="4">
        <v>3530.3307328250885</v>
      </c>
      <c r="Q19" s="19">
        <v>3116.9872227031924</v>
      </c>
      <c r="R19" s="4">
        <v>323.730864</v>
      </c>
      <c r="S19" s="5">
        <v>72.269378451594505</v>
      </c>
      <c r="T19" s="5">
        <f t="shared" si="6"/>
        <v>35504.909065039275</v>
      </c>
      <c r="U19" s="19">
        <v>35504.909065039275</v>
      </c>
      <c r="V19" s="19">
        <v>26561.338193505919</v>
      </c>
      <c r="W19" s="4">
        <v>801.38534703153653</v>
      </c>
      <c r="X19" s="4">
        <v>621.78539659310104</v>
      </c>
      <c r="Y19" s="376">
        <v>2078.9552158022966</v>
      </c>
      <c r="Z19" s="4">
        <v>3504.4426122387722</v>
      </c>
      <c r="AA19" s="19">
        <v>3306.9486707411006</v>
      </c>
      <c r="AB19" s="4">
        <v>330.20548128000001</v>
      </c>
      <c r="AC19" s="5">
        <v>71.567734000608169</v>
      </c>
      <c r="AD19" s="5">
        <f t="shared" si="7"/>
        <v>37276.628651193329</v>
      </c>
      <c r="AE19" s="27">
        <v>37276.628651193329</v>
      </c>
      <c r="AF19" s="31">
        <f t="shared" si="0"/>
        <v>2035</v>
      </c>
      <c r="AG19" s="14">
        <f t="shared" si="1"/>
        <v>73333.266076159067</v>
      </c>
      <c r="AH19" s="14">
        <f t="shared" si="2"/>
        <v>8953.6911466322472</v>
      </c>
      <c r="AI19" s="14">
        <f t="shared" si="3"/>
        <v>8899.3738519938743</v>
      </c>
      <c r="AK19" s="380" t="str">
        <f t="shared" si="9"/>
        <v>Capital Lease</v>
      </c>
      <c r="AL19" s="381">
        <v>11.875399225644381</v>
      </c>
      <c r="AM19" s="381">
        <v>22.704605829723096</v>
      </c>
      <c r="AN19" s="381">
        <v>21.704496669463509</v>
      </c>
      <c r="AO19" s="382">
        <f t="shared" si="10"/>
        <v>56.284501724830989</v>
      </c>
    </row>
    <row r="20" spans="1:41">
      <c r="A20">
        <f t="shared" si="4"/>
        <v>2036</v>
      </c>
      <c r="B20" s="19">
        <v>12522.589136358165</v>
      </c>
      <c r="C20" s="4">
        <v>365.47993381892053</v>
      </c>
      <c r="D20" s="4">
        <v>382.51959155063378</v>
      </c>
      <c r="E20" s="376">
        <v>1060.2671600591716</v>
      </c>
      <c r="F20" s="4">
        <v>1831.3784732462209</v>
      </c>
      <c r="G20" s="19">
        <v>1472.4793716872932</v>
      </c>
      <c r="H20" s="4">
        <v>158.69159999999999</v>
      </c>
      <c r="I20" s="5">
        <v>38.95214613445345</v>
      </c>
      <c r="J20" s="5">
        <f t="shared" si="5"/>
        <v>17832.357412854853</v>
      </c>
      <c r="K20" s="19">
        <v>17832.357412854853</v>
      </c>
      <c r="L20" s="19">
        <v>24014.867718327514</v>
      </c>
      <c r="M20" s="4">
        <v>730.35410945273418</v>
      </c>
      <c r="N20" s="4">
        <v>688.17451673998562</v>
      </c>
      <c r="O20" s="376">
        <v>2120.5343201183432</v>
      </c>
      <c r="P20" s="4">
        <v>3782.981202516441</v>
      </c>
      <c r="Q20" s="19">
        <v>2991.8679054641279</v>
      </c>
      <c r="R20" s="4">
        <v>323.730864</v>
      </c>
      <c r="S20" s="5">
        <v>74.437459805142339</v>
      </c>
      <c r="T20" s="5">
        <f t="shared" si="6"/>
        <v>34726.948096424283</v>
      </c>
      <c r="U20" s="19">
        <v>34726.948096424283</v>
      </c>
      <c r="V20" s="19">
        <v>25694.761668871797</v>
      </c>
      <c r="W20" s="4">
        <v>751.29876284206557</v>
      </c>
      <c r="X20" s="4">
        <v>641.06259340194845</v>
      </c>
      <c r="Y20" s="376">
        <v>2120.5343201183432</v>
      </c>
      <c r="Z20" s="4">
        <v>3586.7851861027793</v>
      </c>
      <c r="AA20" s="19">
        <v>3179.3269671572552</v>
      </c>
      <c r="AB20" s="4">
        <v>330.20548128000001</v>
      </c>
      <c r="AC20" s="5">
        <v>73.714766020626399</v>
      </c>
      <c r="AD20" s="5">
        <f t="shared" si="7"/>
        <v>36377.689745794814</v>
      </c>
      <c r="AE20" s="27">
        <v>36377.689745794814</v>
      </c>
      <c r="AF20" s="31">
        <f t="shared" si="0"/>
        <v>2036</v>
      </c>
      <c r="AG20" s="14">
        <f t="shared" si="1"/>
        <v>71092.443831659621</v>
      </c>
      <c r="AH20" s="14">
        <f t="shared" si="2"/>
        <v>8643.4065615488998</v>
      </c>
      <c r="AI20" s="14">
        <f t="shared" si="3"/>
        <v>9201.1448618654413</v>
      </c>
      <c r="AK20" s="7" t="str">
        <f t="shared" si="9"/>
        <v>O&amp;M</v>
      </c>
      <c r="AL20" s="69">
        <v>19.889076197292866</v>
      </c>
      <c r="AM20" s="69">
        <v>37.851128208366632</v>
      </c>
      <c r="AN20" s="69">
        <v>36.05068262307573</v>
      </c>
      <c r="AO20" s="99">
        <f t="shared" si="10"/>
        <v>93.790887028735227</v>
      </c>
    </row>
    <row r="21" spans="1:41">
      <c r="A21">
        <f t="shared" si="4"/>
        <v>2037</v>
      </c>
      <c r="B21" s="19">
        <v>12033.314582418032</v>
      </c>
      <c r="C21" s="4">
        <v>337.36609275592662</v>
      </c>
      <c r="D21" s="4">
        <v>394.36993058668941</v>
      </c>
      <c r="E21" s="376">
        <v>1081.4725032603549</v>
      </c>
      <c r="F21" s="4">
        <v>1864.1091857577796</v>
      </c>
      <c r="G21" s="19">
        <v>1416.3040871121013</v>
      </c>
      <c r="H21" s="4">
        <v>158.69159999999999</v>
      </c>
      <c r="I21" s="5">
        <v>40.120710518487058</v>
      </c>
      <c r="J21" s="5">
        <f t="shared" si="5"/>
        <v>17325.748692409368</v>
      </c>
      <c r="K21" s="19">
        <v>17325.748692409368</v>
      </c>
      <c r="L21" s="19">
        <v>23132.395655912169</v>
      </c>
      <c r="M21" s="4">
        <v>678.18595877753887</v>
      </c>
      <c r="N21" s="4">
        <v>710.37717063436628</v>
      </c>
      <c r="O21" s="376">
        <v>2162.9450065207097</v>
      </c>
      <c r="P21" s="4">
        <v>3717.9506210869758</v>
      </c>
      <c r="Q21" s="19">
        <v>2866.7485882250639</v>
      </c>
      <c r="R21" s="4">
        <v>323.730864</v>
      </c>
      <c r="S21" s="5">
        <v>76.67058359929662</v>
      </c>
      <c r="T21" s="5">
        <f t="shared" si="6"/>
        <v>33669.004448756117</v>
      </c>
      <c r="U21" s="19">
        <v>33669.004448756117</v>
      </c>
      <c r="V21" s="19">
        <v>24828.955013116523</v>
      </c>
      <c r="W21" s="4">
        <v>701.21217865259462</v>
      </c>
      <c r="X21" s="4">
        <v>660.96237222591208</v>
      </c>
      <c r="Y21" s="376">
        <v>2162.9450065207097</v>
      </c>
      <c r="Z21" s="4">
        <v>3840.9025808738547</v>
      </c>
      <c r="AA21" s="19">
        <v>3051.7052635734103</v>
      </c>
      <c r="AB21" s="4">
        <v>330.20548128000001</v>
      </c>
      <c r="AC21" s="5">
        <v>75.926209001245184</v>
      </c>
      <c r="AD21" s="5">
        <f t="shared" si="7"/>
        <v>35652.814105244244</v>
      </c>
      <c r="AE21" s="27">
        <v>35652.814105244244</v>
      </c>
      <c r="AF21" s="31">
        <f t="shared" si="0"/>
        <v>2037</v>
      </c>
      <c r="AG21" s="14">
        <f t="shared" si="1"/>
        <v>68884.501471381518</v>
      </c>
      <c r="AH21" s="14">
        <f t="shared" si="2"/>
        <v>8340.1033873096058</v>
      </c>
      <c r="AI21" s="14">
        <f t="shared" si="3"/>
        <v>9422.9623877186095</v>
      </c>
      <c r="AK21" s="7" t="str">
        <f t="shared" si="9"/>
        <v>Transm Cap RR</v>
      </c>
      <c r="AL21" s="69">
        <v>21.556183850363997</v>
      </c>
      <c r="AM21" s="69">
        <v>39.319266769432289</v>
      </c>
      <c r="AN21" s="69">
        <v>37.396108822553757</v>
      </c>
      <c r="AO21" s="99">
        <f t="shared" si="10"/>
        <v>98.271559442350039</v>
      </c>
    </row>
    <row r="22" spans="1:41">
      <c r="A22">
        <f t="shared" si="4"/>
        <v>2038</v>
      </c>
      <c r="B22" s="19">
        <v>11535.441789498413</v>
      </c>
      <c r="C22" s="4">
        <v>1546.261258464664</v>
      </c>
      <c r="D22" s="4">
        <v>406.59420103623103</v>
      </c>
      <c r="E22" s="376">
        <v>1103.1019533255619</v>
      </c>
      <c r="F22" s="4">
        <v>1907.9247694911198</v>
      </c>
      <c r="G22" s="19">
        <v>1373.7877573095095</v>
      </c>
      <c r="H22" s="4">
        <v>158.69159999999999</v>
      </c>
      <c r="I22" s="5">
        <v>41.324331834041658</v>
      </c>
      <c r="J22" s="5">
        <f t="shared" si="5"/>
        <v>18073.127660959541</v>
      </c>
      <c r="K22" s="19">
        <v>18073.127660959541</v>
      </c>
      <c r="L22" s="19">
        <v>22235.166169104232</v>
      </c>
      <c r="M22" s="4">
        <v>3130.0890405117184</v>
      </c>
      <c r="N22" s="4">
        <v>732.43798833247047</v>
      </c>
      <c r="O22" s="376">
        <v>2206.2039066511238</v>
      </c>
      <c r="P22" s="4">
        <v>3784.8638700300899</v>
      </c>
      <c r="Q22" s="19">
        <v>2755.5378310234805</v>
      </c>
      <c r="R22" s="4">
        <v>323.730864</v>
      </c>
      <c r="S22" s="5">
        <v>78.970701107275517</v>
      </c>
      <c r="T22" s="5">
        <f t="shared" si="6"/>
        <v>35247.000370760383</v>
      </c>
      <c r="U22" s="19">
        <v>35247.000370760383</v>
      </c>
      <c r="V22" s="19">
        <v>23998.439816564958</v>
      </c>
      <c r="W22" s="4">
        <v>3255.6279723156185</v>
      </c>
      <c r="X22" s="4">
        <v>682.34866178487039</v>
      </c>
      <c r="Y22" s="376">
        <v>2206.2039066511238</v>
      </c>
      <c r="Z22" s="4">
        <v>3777.378329886646</v>
      </c>
      <c r="AA22" s="19">
        <v>2924.0835599895645</v>
      </c>
      <c r="AB22" s="4">
        <v>330.20548128000001</v>
      </c>
      <c r="AC22" s="5">
        <v>78.203995271282551</v>
      </c>
      <c r="AD22" s="5">
        <f t="shared" si="7"/>
        <v>37252.49172374406</v>
      </c>
      <c r="AE22" s="27">
        <v>37252.49172374406</v>
      </c>
      <c r="AF22" s="31">
        <f t="shared" si="0"/>
        <v>2038</v>
      </c>
      <c r="AG22" s="14">
        <f t="shared" si="1"/>
        <v>73037.916664240984</v>
      </c>
      <c r="AH22" s="14">
        <f t="shared" si="2"/>
        <v>8064.5361218151547</v>
      </c>
      <c r="AI22" s="14">
        <f t="shared" si="3"/>
        <v>9470.1669694078555</v>
      </c>
      <c r="AK22" s="7" t="str">
        <f t="shared" si="9"/>
        <v>Transm Prop Tx</v>
      </c>
      <c r="AL22" s="69">
        <v>1.9411581361052406</v>
      </c>
      <c r="AM22" s="69">
        <v>3.6756112653185875</v>
      </c>
      <c r="AN22" s="69">
        <v>3.4772974747085321</v>
      </c>
      <c r="AO22" s="99">
        <f t="shared" si="10"/>
        <v>9.0940668761323593</v>
      </c>
    </row>
    <row r="23" spans="1:41">
      <c r="A23">
        <f t="shared" si="4"/>
        <v>2039</v>
      </c>
      <c r="B23" s="19">
        <v>11038.422325380456</v>
      </c>
      <c r="C23" s="4">
        <v>1370.5497518209525</v>
      </c>
      <c r="D23" s="4">
        <v>419.20216614938437</v>
      </c>
      <c r="E23" s="376">
        <v>1125.1639923920734</v>
      </c>
      <c r="F23" s="4">
        <v>1952.8767217256193</v>
      </c>
      <c r="G23" s="19">
        <v>1338.089349093917</v>
      </c>
      <c r="H23" s="4">
        <v>158.69159999999999</v>
      </c>
      <c r="I23" s="5">
        <v>42.564061789062912</v>
      </c>
      <c r="J23" s="5">
        <f t="shared" si="5"/>
        <v>17445.559968351463</v>
      </c>
      <c r="K23" s="19">
        <v>17445.559968351463</v>
      </c>
      <c r="L23" s="19">
        <v>21320.61006652379</v>
      </c>
      <c r="M23" s="4">
        <v>2869.248287135742</v>
      </c>
      <c r="N23" s="4">
        <v>755.19747304632654</v>
      </c>
      <c r="O23" s="376">
        <v>2250.3279847841468</v>
      </c>
      <c r="P23" s="4">
        <v>3873.9862665011306</v>
      </c>
      <c r="Q23" s="19">
        <v>2672.1913415580002</v>
      </c>
      <c r="R23" s="4">
        <v>323.730864</v>
      </c>
      <c r="S23" s="5">
        <v>81.339822140493766</v>
      </c>
      <c r="T23" s="5">
        <f t="shared" si="6"/>
        <v>34146.632105689627</v>
      </c>
      <c r="U23" s="19">
        <v>34146.632105689627</v>
      </c>
      <c r="V23" s="19">
        <v>23153.202105320441</v>
      </c>
      <c r="W23" s="4">
        <v>3005.1950513682627</v>
      </c>
      <c r="X23" s="4">
        <v>703.56862421748986</v>
      </c>
      <c r="Y23" s="376">
        <v>2250.3279847841468</v>
      </c>
      <c r="Z23" s="4">
        <v>3845.8384030421412</v>
      </c>
      <c r="AA23" s="19">
        <v>2810.6485876439492</v>
      </c>
      <c r="AB23" s="4">
        <v>330.20548128000001</v>
      </c>
      <c r="AC23" s="5">
        <v>80.55011512942103</v>
      </c>
      <c r="AD23" s="5">
        <f t="shared" si="7"/>
        <v>36179.53635278585</v>
      </c>
      <c r="AE23" s="27">
        <v>36179.53635278585</v>
      </c>
      <c r="AF23" s="31">
        <f t="shared" si="0"/>
        <v>2039</v>
      </c>
      <c r="AG23" s="14">
        <f t="shared" si="1"/>
        <v>70261.015812923215</v>
      </c>
      <c r="AH23" s="14">
        <f t="shared" si="2"/>
        <v>7838.0112226348447</v>
      </c>
      <c r="AI23" s="14">
        <f t="shared" si="3"/>
        <v>9672.7013912688908</v>
      </c>
      <c r="AK23" s="100" t="str">
        <f t="shared" si="9"/>
        <v>Transm Prop Ins</v>
      </c>
      <c r="AL23" s="93">
        <v>0.44144494928089173</v>
      </c>
      <c r="AM23" s="93">
        <v>0.80037460890119505</v>
      </c>
      <c r="AN23" s="93">
        <v>0.75128236425789607</v>
      </c>
      <c r="AO23" s="101">
        <f t="shared" si="10"/>
        <v>1.9931019224399829</v>
      </c>
    </row>
    <row r="24" spans="1:41" ht="15" thickBot="1">
      <c r="A24">
        <f t="shared" si="4"/>
        <v>2040</v>
      </c>
      <c r="B24" s="19">
        <v>10541.097897980217</v>
      </c>
      <c r="C24" s="4">
        <v>1194.8382451772404</v>
      </c>
      <c r="D24" s="4">
        <v>432.20380402865811</v>
      </c>
      <c r="E24" s="376">
        <v>1147.6672722399146</v>
      </c>
      <c r="F24" s="4">
        <v>1999.0152655313511</v>
      </c>
      <c r="G24" s="19">
        <v>1302.3909408783247</v>
      </c>
      <c r="H24" s="4">
        <v>158.69159999999999</v>
      </c>
      <c r="I24" s="5">
        <v>43.840983642734798</v>
      </c>
      <c r="J24" s="5">
        <f t="shared" si="5"/>
        <v>16819.74600947844</v>
      </c>
      <c r="K24" s="19">
        <v>16819.74600947844</v>
      </c>
      <c r="L24" s="19">
        <v>20407.695662739563</v>
      </c>
      <c r="M24" s="4">
        <v>2543.1973454157715</v>
      </c>
      <c r="N24" s="4">
        <v>778.6736754018491</v>
      </c>
      <c r="O24" s="376">
        <v>2295.3345444798292</v>
      </c>
      <c r="P24" s="4">
        <v>3965.4219024710465</v>
      </c>
      <c r="Q24" s="19">
        <v>2602.75341213</v>
      </c>
      <c r="R24" s="4">
        <v>323.730864</v>
      </c>
      <c r="S24" s="5">
        <v>83.78001680470858</v>
      </c>
      <c r="T24" s="5">
        <f t="shared" si="6"/>
        <v>33000.587423442768</v>
      </c>
      <c r="U24" s="19">
        <v>33000.587423442768</v>
      </c>
      <c r="V24" s="19">
        <v>22290.707716040641</v>
      </c>
      <c r="W24" s="4">
        <v>2754.7621304209079</v>
      </c>
      <c r="X24" s="4">
        <v>725.46202800789638</v>
      </c>
      <c r="Y24" s="376">
        <v>2295.3345444798292</v>
      </c>
      <c r="Z24" s="4">
        <v>3936.5492366378057</v>
      </c>
      <c r="AA24" s="19">
        <v>2725.6351683891594</v>
      </c>
      <c r="AB24" s="4">
        <v>330.20548128000001</v>
      </c>
      <c r="AC24" s="5">
        <v>82.966618583303656</v>
      </c>
      <c r="AD24" s="5">
        <f t="shared" si="7"/>
        <v>35141.622923839546</v>
      </c>
      <c r="AE24" s="27">
        <v>35141.622923839546</v>
      </c>
      <c r="AF24" s="31">
        <f t="shared" si="0"/>
        <v>2040</v>
      </c>
      <c r="AG24" s="14">
        <f t="shared" si="1"/>
        <v>67406.974866412318</v>
      </c>
      <c r="AH24" s="14">
        <f t="shared" si="2"/>
        <v>7653.9950857082313</v>
      </c>
      <c r="AI24" s="14">
        <f t="shared" si="3"/>
        <v>9900.9864046402035</v>
      </c>
      <c r="AK24" s="102" t="str">
        <f t="shared" si="9"/>
        <v xml:space="preserve">Total </v>
      </c>
      <c r="AL24" s="103">
        <f>SUM(AL16:AL23)</f>
        <v>259.17616099828638</v>
      </c>
      <c r="AM24" s="103">
        <f t="shared" ref="AM24:AN24" si="11">SUM(AM16:AM23)</f>
        <v>454.68747051451277</v>
      </c>
      <c r="AN24" s="103">
        <f t="shared" si="11"/>
        <v>426.94956199470352</v>
      </c>
      <c r="AO24" s="104">
        <f>SUM(AL24:AN24)</f>
        <v>1140.8131935075028</v>
      </c>
    </row>
    <row r="25" spans="1:41" ht="15" thickBot="1">
      <c r="A25">
        <f t="shared" si="4"/>
        <v>2041</v>
      </c>
      <c r="B25" s="19">
        <v>10058.493625554103</v>
      </c>
      <c r="C25" s="4">
        <v>1054.269039862271</v>
      </c>
      <c r="D25" s="4">
        <v>446.0364876368983</v>
      </c>
      <c r="E25" s="376">
        <v>1170.6206176847129</v>
      </c>
      <c r="F25" s="4">
        <v>2056.388901094193</v>
      </c>
      <c r="G25" s="19">
        <v>1266.6925326627329</v>
      </c>
      <c r="H25" s="4">
        <v>158.69159999999999</v>
      </c>
      <c r="I25" s="5">
        <v>45.156213152016839</v>
      </c>
      <c r="J25" s="5">
        <f t="shared" si="5"/>
        <v>16256.349017646929</v>
      </c>
      <c r="K25" s="19">
        <v>16256.349017646929</v>
      </c>
      <c r="L25" s="19">
        <v>19494.171332390782</v>
      </c>
      <c r="M25" s="4">
        <v>2217.1464036958009</v>
      </c>
      <c r="N25" s="4">
        <v>802.88503145348898</v>
      </c>
      <c r="O25" s="376">
        <v>2341.2412353694258</v>
      </c>
      <c r="P25" s="4">
        <v>4059.272352676046</v>
      </c>
      <c r="Q25" s="19">
        <v>2533.3154827019998</v>
      </c>
      <c r="R25" s="4">
        <v>323.730864</v>
      </c>
      <c r="S25" s="5">
        <v>86.29341730884984</v>
      </c>
      <c r="T25" s="5">
        <f t="shared" si="6"/>
        <v>31858.0561195964</v>
      </c>
      <c r="U25" s="19">
        <v>31858.0561195964</v>
      </c>
      <c r="V25" s="19">
        <v>21429.889935256702</v>
      </c>
      <c r="W25" s="4">
        <v>2441.7209792367139</v>
      </c>
      <c r="X25" s="4">
        <v>748.0461670122661</v>
      </c>
      <c r="Y25" s="376">
        <v>2341.2412353694258</v>
      </c>
      <c r="Z25" s="4">
        <v>4029.6160734038444</v>
      </c>
      <c r="AA25" s="19">
        <v>2654.8084803725997</v>
      </c>
      <c r="AB25" s="4">
        <v>330.20548128000001</v>
      </c>
      <c r="AC25" s="5">
        <v>85.455617140802758</v>
      </c>
      <c r="AD25" s="5">
        <f t="shared" si="7"/>
        <v>34060.98396907236</v>
      </c>
      <c r="AE25" s="27">
        <v>34060.98396907236</v>
      </c>
      <c r="AF25" s="31">
        <f t="shared" si="0"/>
        <v>2041</v>
      </c>
      <c r="AG25" s="14">
        <f t="shared" si="1"/>
        <v>64545.762090522607</v>
      </c>
      <c r="AH25" s="14">
        <f t="shared" si="2"/>
        <v>7484.3496886190014</v>
      </c>
      <c r="AI25" s="14">
        <f t="shared" si="3"/>
        <v>10145.277327174083</v>
      </c>
    </row>
    <row r="26" spans="1:41">
      <c r="A26">
        <f t="shared" si="4"/>
        <v>2042</v>
      </c>
      <c r="B26" s="19">
        <v>9569.7550785316052</v>
      </c>
      <c r="C26" s="4">
        <v>1054.269039862271</v>
      </c>
      <c r="D26" s="4">
        <v>459.86921003428563</v>
      </c>
      <c r="E26" s="376">
        <v>1194.0330300384071</v>
      </c>
      <c r="F26" s="4">
        <v>2095.0441534995211</v>
      </c>
      <c r="G26" s="19">
        <v>1230.9941244471406</v>
      </c>
      <c r="H26" s="4">
        <v>158.69159999999999</v>
      </c>
      <c r="I26" s="5">
        <v>46.510899546577349</v>
      </c>
      <c r="J26" s="5">
        <f t="shared" si="5"/>
        <v>15809.167135959808</v>
      </c>
      <c r="K26" s="19">
        <v>15809.167135959808</v>
      </c>
      <c r="L26" s="19">
        <v>18610.087311990246</v>
      </c>
      <c r="M26" s="4">
        <v>1956.3056503198241</v>
      </c>
      <c r="N26" s="4">
        <v>828.70472137185448</v>
      </c>
      <c r="O26" s="376">
        <v>2388.0660600768142</v>
      </c>
      <c r="P26" s="4">
        <v>4175.6357781674678</v>
      </c>
      <c r="Q26" s="19">
        <v>2463.8775532740001</v>
      </c>
      <c r="R26" s="4">
        <v>323.730864</v>
      </c>
      <c r="S26" s="5">
        <v>88.882219828115339</v>
      </c>
      <c r="T26" s="5">
        <f t="shared" si="6"/>
        <v>30835.290159028322</v>
      </c>
      <c r="U26" s="19">
        <v>30835.290159028322</v>
      </c>
      <c r="V26" s="19">
        <v>20568.462227908189</v>
      </c>
      <c r="W26" s="4">
        <v>2128.67982805252</v>
      </c>
      <c r="X26" s="4">
        <v>771.33869781221847</v>
      </c>
      <c r="Y26" s="376">
        <v>2388.0660600768142</v>
      </c>
      <c r="Z26" s="4">
        <v>4125.1416713611452</v>
      </c>
      <c r="AA26" s="19">
        <v>2583.9817923560399</v>
      </c>
      <c r="AB26" s="4">
        <v>330.20548128000001</v>
      </c>
      <c r="AC26" s="5">
        <v>88.019285655026849</v>
      </c>
      <c r="AD26" s="5">
        <f t="shared" si="7"/>
        <v>32983.895044501951</v>
      </c>
      <c r="AE26" s="27">
        <v>32983.895044501951</v>
      </c>
      <c r="AF26" s="31">
        <f t="shared" si="0"/>
        <v>2042</v>
      </c>
      <c r="AG26" s="14">
        <f t="shared" si="1"/>
        <v>61917.636916075047</v>
      </c>
      <c r="AH26" s="14">
        <f t="shared" si="2"/>
        <v>7314.8938203869002</v>
      </c>
      <c r="AI26" s="14">
        <f t="shared" si="3"/>
        <v>10395.821603028135</v>
      </c>
      <c r="AK26" s="10" t="str">
        <f>AK16</f>
        <v>Capital RR</v>
      </c>
      <c r="AL26" s="110">
        <f>AL16/AL$24</f>
        <v>0.7379887190682014</v>
      </c>
      <c r="AM26" s="110">
        <f t="shared" ref="AM26:AN26" si="12">AM16/AM$24</f>
        <v>0.7220976669417396</v>
      </c>
      <c r="AN26" s="111">
        <f t="shared" si="12"/>
        <v>0.71894625774216792</v>
      </c>
    </row>
    <row r="27" spans="1:41">
      <c r="A27">
        <f t="shared" si="4"/>
        <v>2043</v>
      </c>
      <c r="B27" s="19">
        <v>9074.6350629220615</v>
      </c>
      <c r="C27" s="4">
        <v>913.69983454730163</v>
      </c>
      <c r="D27" s="4">
        <v>474.12747695017674</v>
      </c>
      <c r="E27" s="376">
        <v>1217.9136906391752</v>
      </c>
      <c r="F27" s="4">
        <v>2145.0255031243491</v>
      </c>
      <c r="G27" s="19">
        <v>1195.2957162315488</v>
      </c>
      <c r="H27" s="4">
        <v>158.69159999999999</v>
      </c>
      <c r="I27" s="5">
        <v>47.906226532974657</v>
      </c>
      <c r="J27" s="5">
        <f t="shared" si="5"/>
        <v>15227.295110947587</v>
      </c>
      <c r="K27" s="19">
        <v>15227.295110947587</v>
      </c>
      <c r="L27" s="19">
        <v>17713.784715699079</v>
      </c>
      <c r="M27" s="4">
        <v>1956.3056503198241</v>
      </c>
      <c r="N27" s="4">
        <v>854.46911854957102</v>
      </c>
      <c r="O27" s="376">
        <v>2435.8273812783505</v>
      </c>
      <c r="P27" s="4">
        <v>4254.6064228050664</v>
      </c>
      <c r="Q27" s="19">
        <v>2394.4396238459994</v>
      </c>
      <c r="R27" s="4">
        <v>323.730864</v>
      </c>
      <c r="S27" s="5">
        <v>91.548686422958795</v>
      </c>
      <c r="T27" s="5">
        <f t="shared" si="6"/>
        <v>30024.712462920856</v>
      </c>
      <c r="U27" s="19">
        <v>30024.712462920856</v>
      </c>
      <c r="V27" s="19">
        <v>19736.474830507937</v>
      </c>
      <c r="W27" s="4">
        <v>1878.2469071051644</v>
      </c>
      <c r="X27" s="4">
        <v>796.21199772134594</v>
      </c>
      <c r="Y27" s="376">
        <v>2435.8273812783505</v>
      </c>
      <c r="Z27" s="4">
        <v>4243.2254083058351</v>
      </c>
      <c r="AA27" s="19">
        <v>2513.1551043394802</v>
      </c>
      <c r="AB27" s="4">
        <v>330.20548128000001</v>
      </c>
      <c r="AC27" s="5">
        <v>90.659864224677648</v>
      </c>
      <c r="AD27" s="5">
        <f t="shared" si="7"/>
        <v>32024.006974762793</v>
      </c>
      <c r="AE27" s="27">
        <v>32024.006974762793</v>
      </c>
      <c r="AF27" s="31">
        <f t="shared" si="0"/>
        <v>2043</v>
      </c>
      <c r="AG27" s="14">
        <f t="shared" si="1"/>
        <v>59487.524047518338</v>
      </c>
      <c r="AH27" s="14">
        <f t="shared" si="2"/>
        <v>7145.6331668776402</v>
      </c>
      <c r="AI27" s="14">
        <f t="shared" si="3"/>
        <v>10642.85733423525</v>
      </c>
      <c r="AK27" s="7" t="str">
        <f t="shared" ref="AK27:AK34" si="13">AK17</f>
        <v>Property Taxes</v>
      </c>
      <c r="AL27" s="109">
        <f t="shared" ref="AL27:AN27" si="14">AL17/AL$24</f>
        <v>3.0970083267644784E-2</v>
      </c>
      <c r="AM27" s="109">
        <f t="shared" si="14"/>
        <v>3.2414343038476387E-2</v>
      </c>
      <c r="AN27" s="112">
        <f t="shared" si="14"/>
        <v>3.2960101920486963E-2</v>
      </c>
    </row>
    <row r="28" spans="1:41">
      <c r="A28">
        <f t="shared" si="4"/>
        <v>2044</v>
      </c>
      <c r="B28" s="19">
        <v>8580.5341622100677</v>
      </c>
      <c r="C28" s="4">
        <v>913.69983454730163</v>
      </c>
      <c r="D28" s="4">
        <v>488.82240486601927</v>
      </c>
      <c r="E28" s="376">
        <v>1242.2719644519586</v>
      </c>
      <c r="F28" s="4">
        <v>2196.3754751649585</v>
      </c>
      <c r="G28" s="19">
        <v>1159.5973080159565</v>
      </c>
      <c r="H28" s="4">
        <v>158.69159999999999</v>
      </c>
      <c r="I28" s="5">
        <v>49.343413328963905</v>
      </c>
      <c r="J28" s="5">
        <f t="shared" si="5"/>
        <v>14789.336162585227</v>
      </c>
      <c r="K28" s="19">
        <v>14789.336162585227</v>
      </c>
      <c r="L28" s="19">
        <v>16804.819106438532</v>
      </c>
      <c r="M28" s="4">
        <v>1695.4648969438476</v>
      </c>
      <c r="N28" s="4">
        <v>881.02757333578313</v>
      </c>
      <c r="O28" s="376">
        <v>2484.5439289039173</v>
      </c>
      <c r="P28" s="4">
        <v>4356.2744749942058</v>
      </c>
      <c r="Q28" s="19">
        <v>2325.0016944179997</v>
      </c>
      <c r="R28" s="4">
        <v>323.730864</v>
      </c>
      <c r="S28" s="5">
        <v>94.295147015647544</v>
      </c>
      <c r="T28" s="5">
        <f t="shared" si="6"/>
        <v>28965.157686049937</v>
      </c>
      <c r="U28" s="19">
        <v>28965.157686049937</v>
      </c>
      <c r="V28" s="19">
        <v>18892.520925178709</v>
      </c>
      <c r="W28" s="4">
        <v>1878.2469071051644</v>
      </c>
      <c r="X28" s="4">
        <v>821.00161318954724</v>
      </c>
      <c r="Y28" s="376">
        <v>2484.5439289039173</v>
      </c>
      <c r="Z28" s="4">
        <v>4323.962779264466</v>
      </c>
      <c r="AA28" s="19">
        <v>2442.3284163229205</v>
      </c>
      <c r="AB28" s="4">
        <v>330.20548128000001</v>
      </c>
      <c r="AC28" s="5">
        <v>93.37966015141798</v>
      </c>
      <c r="AD28" s="5">
        <f t="shared" si="7"/>
        <v>31266.189711396146</v>
      </c>
      <c r="AE28" s="27">
        <v>31266.189711396146</v>
      </c>
      <c r="AF28" s="31">
        <f t="shared" si="0"/>
        <v>2044</v>
      </c>
      <c r="AG28" s="14">
        <f t="shared" si="1"/>
        <v>57167.497246074767</v>
      </c>
      <c r="AH28" s="14">
        <f t="shared" si="2"/>
        <v>6976.5735845329073</v>
      </c>
      <c r="AI28" s="14">
        <f t="shared" si="3"/>
        <v>10876.61272942363</v>
      </c>
      <c r="AK28" s="7" t="str">
        <f t="shared" si="13"/>
        <v>Insurance</v>
      </c>
      <c r="AL28" s="109">
        <f t="shared" ref="AL28:AN28" si="15">AL18/AL$24</f>
        <v>1.6116869191460437E-2</v>
      </c>
      <c r="AM28" s="109">
        <f t="shared" si="15"/>
        <v>1.5987523328540188E-2</v>
      </c>
      <c r="AN28" s="112">
        <f t="shared" si="15"/>
        <v>1.5326407857335687E-2</v>
      </c>
    </row>
    <row r="29" spans="1:41">
      <c r="A29">
        <f t="shared" si="4"/>
        <v>2045</v>
      </c>
      <c r="B29" s="19">
        <v>8085.645457092678</v>
      </c>
      <c r="C29" s="4">
        <v>808.27293056107442</v>
      </c>
      <c r="D29" s="4">
        <v>503.96546156345875</v>
      </c>
      <c r="E29" s="376">
        <v>1267.1174037409978</v>
      </c>
      <c r="F29" s="4">
        <v>2249.1348584310986</v>
      </c>
      <c r="G29" s="19">
        <v>1123.8988998003645</v>
      </c>
      <c r="H29" s="4">
        <v>158.69159999999999</v>
      </c>
      <c r="I29" s="5">
        <v>50.823715728832823</v>
      </c>
      <c r="J29" s="5">
        <f t="shared" si="5"/>
        <v>14247.550326918505</v>
      </c>
      <c r="K29" s="19">
        <v>14247.550326918505</v>
      </c>
      <c r="L29" s="19">
        <v>15897.941700275209</v>
      </c>
      <c r="M29" s="4">
        <v>1695.4648969438476</v>
      </c>
      <c r="N29" s="4">
        <v>908.40060775053109</v>
      </c>
      <c r="O29" s="376">
        <v>2534.2348074819956</v>
      </c>
      <c r="P29" s="4">
        <v>4460.726247721851</v>
      </c>
      <c r="Q29" s="19">
        <v>2255.5637649899991</v>
      </c>
      <c r="R29" s="4">
        <v>323.730864</v>
      </c>
      <c r="S29" s="5">
        <v>97.124001426116976</v>
      </c>
      <c r="T29" s="5">
        <f t="shared" si="6"/>
        <v>28173.186890589554</v>
      </c>
      <c r="U29" s="19">
        <v>28173.186890589554</v>
      </c>
      <c r="V29" s="19">
        <v>18036.408029819169</v>
      </c>
      <c r="W29" s="4">
        <v>1627.8139861578093</v>
      </c>
      <c r="X29" s="4">
        <v>846.55604281495857</v>
      </c>
      <c r="Y29" s="376">
        <v>2534.2348074819956</v>
      </c>
      <c r="Z29" s="4">
        <v>4427.4452592210773</v>
      </c>
      <c r="AA29" s="19">
        <v>2371.5017283063607</v>
      </c>
      <c r="AB29" s="4">
        <v>330.20548128000001</v>
      </c>
      <c r="AC29" s="5">
        <v>96.181049955960503</v>
      </c>
      <c r="AD29" s="5">
        <f t="shared" si="7"/>
        <v>30270.346385037334</v>
      </c>
      <c r="AE29" s="27">
        <v>30270.346385037334</v>
      </c>
      <c r="AF29" s="31">
        <f t="shared" si="0"/>
        <v>2045</v>
      </c>
      <c r="AG29" s="14">
        <f t="shared" si="1"/>
        <v>54746.056131683727</v>
      </c>
      <c r="AH29" s="14">
        <f t="shared" si="2"/>
        <v>6807.7211054876352</v>
      </c>
      <c r="AI29" s="14">
        <f t="shared" si="3"/>
        <v>11137.306365374028</v>
      </c>
      <c r="AK29" s="380" t="str">
        <f t="shared" si="13"/>
        <v>Capital Lease</v>
      </c>
      <c r="AL29" s="383">
        <f t="shared" ref="AL29:AN29" si="16">AL19/AL$24</f>
        <v>4.581979754582019E-2</v>
      </c>
      <c r="AM29" s="383">
        <f t="shared" si="16"/>
        <v>4.993453152344652E-2</v>
      </c>
      <c r="AN29" s="384">
        <f t="shared" si="16"/>
        <v>5.0836207836964034E-2</v>
      </c>
    </row>
    <row r="30" spans="1:41">
      <c r="A30">
        <f t="shared" si="4"/>
        <v>2046</v>
      </c>
      <c r="B30" s="19">
        <v>7605.0763826461334</v>
      </c>
      <c r="C30" s="4">
        <v>808.27293056107442</v>
      </c>
      <c r="D30" s="4">
        <v>520.06368231098281</v>
      </c>
      <c r="E30" s="376">
        <v>1292.459751815818</v>
      </c>
      <c r="F30" s="4">
        <v>2313.3430203599278</v>
      </c>
      <c r="G30" s="19">
        <v>1088.2004915847726</v>
      </c>
      <c r="H30" s="4">
        <v>158.69159999999999</v>
      </c>
      <c r="I30" s="5">
        <v>52.348427200697799</v>
      </c>
      <c r="J30" s="5">
        <f t="shared" si="5"/>
        <v>13838.456286479404</v>
      </c>
      <c r="K30" s="19">
        <v>13838.456286479404</v>
      </c>
      <c r="L30" s="19">
        <v>14989.488685301083</v>
      </c>
      <c r="M30" s="4">
        <v>1499.8343319118651</v>
      </c>
      <c r="N30" s="4">
        <v>936.60939508596471</v>
      </c>
      <c r="O30" s="376">
        <v>2584.919503631636</v>
      </c>
      <c r="P30" s="4">
        <v>4568.0446171543172</v>
      </c>
      <c r="Q30" s="19">
        <v>2186.1258355619993</v>
      </c>
      <c r="R30" s="4">
        <v>323.730864</v>
      </c>
      <c r="S30" s="5">
        <v>100.0377214689005</v>
      </c>
      <c r="T30" s="5">
        <f t="shared" si="6"/>
        <v>27188.790954115768</v>
      </c>
      <c r="U30" s="19">
        <v>27188.790954115768</v>
      </c>
      <c r="V30" s="19">
        <v>17182.635405518507</v>
      </c>
      <c r="W30" s="4">
        <v>1627.8139861578093</v>
      </c>
      <c r="X30" s="4">
        <v>872.89493131408176</v>
      </c>
      <c r="Y30" s="376">
        <v>2584.919503631636</v>
      </c>
      <c r="Z30" s="4">
        <v>4533.7604841718712</v>
      </c>
      <c r="AA30" s="19">
        <v>2300.6750402898006</v>
      </c>
      <c r="AB30" s="4">
        <v>330.20548128000001</v>
      </c>
      <c r="AC30" s="5">
        <v>99.06648145463933</v>
      </c>
      <c r="AD30" s="5">
        <f t="shared" si="7"/>
        <v>29531.971313818343</v>
      </c>
      <c r="AE30" s="27">
        <v>29531.971313818343</v>
      </c>
      <c r="AF30" s="31">
        <f t="shared" si="0"/>
        <v>2046</v>
      </c>
      <c r="AG30" s="14">
        <f t="shared" si="1"/>
        <v>52504.988489886586</v>
      </c>
      <c r="AH30" s="14">
        <f t="shared" si="2"/>
        <v>6639.0819428408104</v>
      </c>
      <c r="AI30" s="14">
        <f t="shared" si="3"/>
        <v>11415.148121686116</v>
      </c>
      <c r="AK30" s="7" t="str">
        <f t="shared" si="13"/>
        <v>O&amp;M</v>
      </c>
      <c r="AL30" s="109">
        <f t="shared" ref="AL30:AN30" si="17">AL20/AL$24</f>
        <v>7.6739604910747827E-2</v>
      </c>
      <c r="AM30" s="109">
        <f t="shared" si="17"/>
        <v>8.3246472935652391E-2</v>
      </c>
      <c r="AN30" s="112">
        <f t="shared" si="17"/>
        <v>8.443780210160505E-2</v>
      </c>
    </row>
    <row r="31" spans="1:41">
      <c r="A31">
        <f t="shared" si="4"/>
        <v>2047</v>
      </c>
      <c r="B31" s="19">
        <v>7116.4392985603736</v>
      </c>
      <c r="C31" s="4">
        <v>737.98832790358972</v>
      </c>
      <c r="D31" s="4">
        <v>536.15379790657653</v>
      </c>
      <c r="E31" s="376">
        <v>1318.3089468521346</v>
      </c>
      <c r="F31" s="4">
        <v>2359.0382849524849</v>
      </c>
      <c r="G31" s="19">
        <v>1052.5020833691801</v>
      </c>
      <c r="H31" s="4">
        <v>158.69159999999999</v>
      </c>
      <c r="I31" s="5">
        <v>53.918880016718731</v>
      </c>
      <c r="J31" s="5">
        <f t="shared" si="5"/>
        <v>13333.041219561057</v>
      </c>
      <c r="K31" s="19">
        <v>13333.041219561057</v>
      </c>
      <c r="L31" s="19">
        <v>14109.674931668656</v>
      </c>
      <c r="M31" s="4">
        <v>1499.8343319118651</v>
      </c>
      <c r="N31" s="4">
        <v>966.66619073978438</v>
      </c>
      <c r="O31" s="376">
        <v>2636.6178937042691</v>
      </c>
      <c r="P31" s="4">
        <v>4698.309653703991</v>
      </c>
      <c r="Q31" s="19">
        <v>2116.6879061339991</v>
      </c>
      <c r="R31" s="4">
        <v>323.730864</v>
      </c>
      <c r="S31" s="5">
        <v>103.03885311296749</v>
      </c>
      <c r="T31" s="5">
        <f t="shared" si="6"/>
        <v>26454.560624975536</v>
      </c>
      <c r="U31" s="19">
        <v>26454.560624975536</v>
      </c>
      <c r="V31" s="19">
        <v>16327.287172407061</v>
      </c>
      <c r="W31" s="4">
        <v>1439.9892954472928</v>
      </c>
      <c r="X31" s="4">
        <v>900.03854835642198</v>
      </c>
      <c r="Y31" s="376">
        <v>2636.6178937042691</v>
      </c>
      <c r="Z31" s="4">
        <v>4642.9926907713198</v>
      </c>
      <c r="AA31" s="19">
        <v>2229.8483522732408</v>
      </c>
      <c r="AB31" s="4">
        <v>330.20548128000001</v>
      </c>
      <c r="AC31" s="5">
        <v>102.03847589827852</v>
      </c>
      <c r="AD31" s="5">
        <f t="shared" si="7"/>
        <v>28609.017910137885</v>
      </c>
      <c r="AE31" s="27">
        <v>28609.017910137885</v>
      </c>
      <c r="AF31" s="31">
        <f t="shared" si="0"/>
        <v>2047</v>
      </c>
      <c r="AG31" s="14">
        <f t="shared" si="1"/>
        <v>50225.616629162287</v>
      </c>
      <c r="AH31" s="14">
        <f t="shared" si="2"/>
        <v>6470.6624960843856</v>
      </c>
      <c r="AI31" s="14">
        <f t="shared" si="3"/>
        <v>11700.340629427796</v>
      </c>
      <c r="AK31" s="7" t="str">
        <f t="shared" si="13"/>
        <v>Transm Cap RR</v>
      </c>
      <c r="AL31" s="109">
        <f t="shared" ref="AL31:AN31" si="18">AL21/AL$24</f>
        <v>8.3171938990586877E-2</v>
      </c>
      <c r="AM31" s="109">
        <f t="shared" si="18"/>
        <v>8.6475368949444784E-2</v>
      </c>
      <c r="AN31" s="112">
        <f t="shared" si="18"/>
        <v>8.7589055362510645E-2</v>
      </c>
    </row>
    <row r="32" spans="1:41">
      <c r="A32">
        <f t="shared" si="4"/>
        <v>2048</v>
      </c>
      <c r="B32" s="19">
        <v>6617.9281533969206</v>
      </c>
      <c r="C32" s="4">
        <v>702.84602657484731</v>
      </c>
      <c r="D32" s="4">
        <v>552.72927137929594</v>
      </c>
      <c r="E32" s="376">
        <v>1344.6751257891772</v>
      </c>
      <c r="F32" s="4">
        <v>2416.258342515705</v>
      </c>
      <c r="G32" s="19">
        <v>1016.803675153588</v>
      </c>
      <c r="H32" s="4">
        <v>158.69159999999999</v>
      </c>
      <c r="I32" s="5">
        <v>55.536446417220304</v>
      </c>
      <c r="J32" s="5">
        <f t="shared" si="5"/>
        <v>12865.468641226753</v>
      </c>
      <c r="K32" s="19">
        <v>12865.468641226753</v>
      </c>
      <c r="L32" s="19">
        <v>13213.72515875781</v>
      </c>
      <c r="M32" s="4">
        <v>1369.4139552238769</v>
      </c>
      <c r="N32" s="4">
        <v>996.64258671450625</v>
      </c>
      <c r="O32" s="376">
        <v>2689.3502515783543</v>
      </c>
      <c r="P32" s="4">
        <v>4791.5993789714348</v>
      </c>
      <c r="Q32" s="19">
        <v>2047.2499767059992</v>
      </c>
      <c r="R32" s="4">
        <v>323.730864</v>
      </c>
      <c r="S32" s="5">
        <v>106.13001870635652</v>
      </c>
      <c r="T32" s="5">
        <f t="shared" si="6"/>
        <v>25537.842190658339</v>
      </c>
      <c r="U32" s="19">
        <v>25537.842190658339</v>
      </c>
      <c r="V32" s="19">
        <v>15500.578200637312</v>
      </c>
      <c r="W32" s="4">
        <v>1439.9892954472928</v>
      </c>
      <c r="X32" s="4">
        <v>928.99821860835527</v>
      </c>
      <c r="Y32" s="376">
        <v>2689.3502515783543</v>
      </c>
      <c r="Z32" s="4">
        <v>4775.2233484777462</v>
      </c>
      <c r="AA32" s="19">
        <v>2159.0216642566807</v>
      </c>
      <c r="AB32" s="4">
        <v>330.20548128000001</v>
      </c>
      <c r="AC32" s="5">
        <v>105.09963017522685</v>
      </c>
      <c r="AD32" s="5">
        <f t="shared" si="7"/>
        <v>27928.46609046097</v>
      </c>
      <c r="AE32" s="27">
        <v>27928.46609046097</v>
      </c>
      <c r="AF32" s="31">
        <f t="shared" si="0"/>
        <v>2048</v>
      </c>
      <c r="AG32" s="14">
        <f t="shared" si="1"/>
        <v>48046.226495686104</v>
      </c>
      <c r="AH32" s="14">
        <f t="shared" si="2"/>
        <v>6302.4693566950718</v>
      </c>
      <c r="AI32" s="14">
        <f t="shared" si="3"/>
        <v>11983.081069964886</v>
      </c>
      <c r="AK32" s="7" t="str">
        <f t="shared" si="13"/>
        <v>Transm Prop Tx</v>
      </c>
      <c r="AL32" s="109">
        <f t="shared" ref="AL32:AN32" si="19">AL22/AL$24</f>
        <v>7.4897248598341385E-3</v>
      </c>
      <c r="AM32" s="109">
        <f t="shared" si="19"/>
        <v>8.0838191146093367E-3</v>
      </c>
      <c r="AN32" s="112">
        <f t="shared" si="19"/>
        <v>8.1445158497473052E-3</v>
      </c>
    </row>
    <row r="33" spans="1:40">
      <c r="A33">
        <f t="shared" si="4"/>
        <v>2049</v>
      </c>
      <c r="B33" s="19">
        <v>6118.6084924171719</v>
      </c>
      <c r="C33" s="4">
        <v>702.84602657484731</v>
      </c>
      <c r="D33" s="4">
        <v>569.80325755098409</v>
      </c>
      <c r="E33" s="376">
        <v>1371.5686283049606</v>
      </c>
      <c r="F33" s="4">
        <v>2475.0406640843985</v>
      </c>
      <c r="G33" s="19">
        <v>981.10526693799568</v>
      </c>
      <c r="H33" s="4">
        <v>158.69159999999999</v>
      </c>
      <c r="I33" s="5">
        <v>57.202539809736905</v>
      </c>
      <c r="J33" s="5">
        <f t="shared" si="5"/>
        <v>12434.866475680095</v>
      </c>
      <c r="K33" s="19">
        <v>12434.866475680095</v>
      </c>
      <c r="L33" s="19">
        <v>12298.027263691558</v>
      </c>
      <c r="M33" s="4">
        <v>1304.2037668798828</v>
      </c>
      <c r="N33" s="4">
        <v>1027.5235833869856</v>
      </c>
      <c r="O33" s="376">
        <v>2743.1372566099212</v>
      </c>
      <c r="P33" s="4">
        <v>4907.9905863298127</v>
      </c>
      <c r="Q33" s="19">
        <v>1977.8120472779988</v>
      </c>
      <c r="R33" s="4">
        <v>323.730864</v>
      </c>
      <c r="S33" s="5">
        <v>109.31391926754723</v>
      </c>
      <c r="T33" s="5">
        <f t="shared" si="6"/>
        <v>24691.739287443706</v>
      </c>
      <c r="U33" s="19">
        <v>24691.739287443706</v>
      </c>
      <c r="V33" s="19">
        <v>14657.733209589132</v>
      </c>
      <c r="W33" s="4">
        <v>1314.7728349736151</v>
      </c>
      <c r="X33" s="4">
        <v>957.84457541913434</v>
      </c>
      <c r="Y33" s="376">
        <v>2743.1372566099212</v>
      </c>
      <c r="Z33" s="4">
        <v>4870.5319176057319</v>
      </c>
      <c r="AA33" s="19">
        <v>2088.1949762401214</v>
      </c>
      <c r="AB33" s="4">
        <v>330.20548128000001</v>
      </c>
      <c r="AC33" s="5">
        <v>108.25261908048365</v>
      </c>
      <c r="AD33" s="5">
        <f t="shared" si="7"/>
        <v>27070.672870798135</v>
      </c>
      <c r="AE33" s="27">
        <v>27070.672870798135</v>
      </c>
      <c r="AF33" s="31">
        <f t="shared" si="0"/>
        <v>2049</v>
      </c>
      <c r="AG33" s="14">
        <f t="shared" si="1"/>
        <v>45809.206152008104</v>
      </c>
      <c r="AH33" s="14">
        <f t="shared" si="2"/>
        <v>6134.5093138938837</v>
      </c>
      <c r="AI33" s="14">
        <f t="shared" si="3"/>
        <v>12253.563168019944</v>
      </c>
      <c r="AK33" s="100" t="str">
        <f t="shared" si="13"/>
        <v>Transm Prop Ins</v>
      </c>
      <c r="AL33" s="109">
        <f t="shared" ref="AL33:AN33" si="20">AL23/AL$24</f>
        <v>1.7032621657043932E-3</v>
      </c>
      <c r="AM33" s="109">
        <f t="shared" si="20"/>
        <v>1.760274168090692E-3</v>
      </c>
      <c r="AN33" s="112">
        <f t="shared" si="20"/>
        <v>1.75965132918257E-3</v>
      </c>
    </row>
    <row r="34" spans="1:40" ht="15" thickBot="1">
      <c r="A34">
        <f t="shared" si="4"/>
        <v>2050</v>
      </c>
      <c r="B34" s="19">
        <v>5618.3480789138521</v>
      </c>
      <c r="C34" s="4">
        <v>702.84602657484731</v>
      </c>
      <c r="D34" s="4">
        <v>587.38939268500758</v>
      </c>
      <c r="E34" s="376">
        <v>1399.0000008710599</v>
      </c>
      <c r="F34" s="4">
        <v>2535.4228985392733</v>
      </c>
      <c r="G34" s="19">
        <v>945.40685872240363</v>
      </c>
      <c r="H34" s="4">
        <v>158.69159999999999</v>
      </c>
      <c r="I34" s="5">
        <v>58.918616004029012</v>
      </c>
      <c r="J34" s="5">
        <f t="shared" si="5"/>
        <v>12006.023472310473</v>
      </c>
      <c r="K34" s="19">
        <v>12006.023472310473</v>
      </c>
      <c r="L34" s="19">
        <v>11380.71233699273</v>
      </c>
      <c r="M34" s="4">
        <v>1304.2037668798828</v>
      </c>
      <c r="N34" s="4">
        <v>1059.3335069492139</v>
      </c>
      <c r="O34" s="376">
        <v>2798.0000017421198</v>
      </c>
      <c r="P34" s="4">
        <v>5027.5596709014117</v>
      </c>
      <c r="Q34" s="19">
        <v>1908.3741178499986</v>
      </c>
      <c r="R34" s="4">
        <v>323.730864</v>
      </c>
      <c r="S34" s="5">
        <v>112.59333684557363</v>
      </c>
      <c r="T34" s="5">
        <f t="shared" si="6"/>
        <v>23914.507602160931</v>
      </c>
      <c r="U34" s="19">
        <v>23914.507602160931</v>
      </c>
      <c r="V34" s="19">
        <v>13795.140096385556</v>
      </c>
      <c r="W34" s="4">
        <v>1252.1646047367763</v>
      </c>
      <c r="X34" s="4">
        <v>987.56163175275265</v>
      </c>
      <c r="Y34" s="376">
        <v>2798.0000017421198</v>
      </c>
      <c r="Z34" s="4">
        <v>4988.9966710531917</v>
      </c>
      <c r="AA34" s="19">
        <v>2017.3682882235612</v>
      </c>
      <c r="AB34" s="4">
        <v>330.20548128000001</v>
      </c>
      <c r="AC34" s="5">
        <v>111.50019765289818</v>
      </c>
      <c r="AD34" s="5">
        <f t="shared" si="7"/>
        <v>26280.936972826858</v>
      </c>
      <c r="AE34" s="27">
        <v>26280.936972826858</v>
      </c>
      <c r="AF34" s="31">
        <f t="shared" si="0"/>
        <v>2050</v>
      </c>
      <c r="AG34" s="14">
        <f t="shared" si="1"/>
        <v>43682.699446225917</v>
      </c>
      <c r="AH34" s="14">
        <f t="shared" si="2"/>
        <v>5966.7893605784648</v>
      </c>
      <c r="AI34" s="14">
        <f t="shared" si="3"/>
        <v>12551.979240493876</v>
      </c>
      <c r="AK34" s="102" t="str">
        <f t="shared" si="13"/>
        <v xml:space="preserve">Total </v>
      </c>
      <c r="AL34" s="103">
        <f t="shared" ref="AL34:AN34" si="21">AL24/AL$24</f>
        <v>1</v>
      </c>
      <c r="AM34" s="103">
        <f t="shared" si="21"/>
        <v>1</v>
      </c>
      <c r="AN34" s="104">
        <f t="shared" si="21"/>
        <v>1</v>
      </c>
    </row>
    <row r="35" spans="1:40">
      <c r="A35">
        <f t="shared" si="4"/>
        <v>2051</v>
      </c>
      <c r="B35" s="19">
        <v>8713.2984979938337</v>
      </c>
      <c r="C35" s="4">
        <v>702.84602657484731</v>
      </c>
      <c r="D35" s="4">
        <v>606.0758765404878</v>
      </c>
      <c r="E35" s="376">
        <v>1426.9800008884813</v>
      </c>
      <c r="F35" s="4">
        <v>2607.4432360971382</v>
      </c>
      <c r="G35" s="19">
        <v>909.70845050681157</v>
      </c>
      <c r="H35" s="4">
        <v>158.69159999999999</v>
      </c>
      <c r="I35" s="5">
        <v>60.68617448414988</v>
      </c>
      <c r="J35" s="5">
        <f t="shared" si="5"/>
        <v>15185.729863085751</v>
      </c>
      <c r="K35" s="19">
        <v>15185.729863085751</v>
      </c>
      <c r="L35" s="19">
        <v>10461.515905246757</v>
      </c>
      <c r="M35" s="4">
        <v>1304.2037668798828</v>
      </c>
      <c r="N35" s="4">
        <v>1092.0975869726781</v>
      </c>
      <c r="O35" s="376">
        <v>2853.9600017769626</v>
      </c>
      <c r="P35" s="4">
        <v>5150.3834249593219</v>
      </c>
      <c r="Q35" s="19">
        <v>1838.9361884219986</v>
      </c>
      <c r="R35" s="4">
        <v>323.730864</v>
      </c>
      <c r="S35" s="5">
        <v>115.97113695094085</v>
      </c>
      <c r="T35" s="5">
        <f t="shared" si="6"/>
        <v>23140.798875208544</v>
      </c>
      <c r="U35" s="19">
        <v>23140.798875208544</v>
      </c>
      <c r="V35" s="19">
        <v>12930.929951549399</v>
      </c>
      <c r="W35" s="4">
        <v>1252.1646047367763</v>
      </c>
      <c r="X35" s="4">
        <v>1018.1726967659539</v>
      </c>
      <c r="Y35" s="376">
        <v>2853.9600017769626</v>
      </c>
      <c r="Z35" s="4">
        <v>5110.6955254538289</v>
      </c>
      <c r="AA35" s="19">
        <v>1946.541600207001</v>
      </c>
      <c r="AB35" s="4">
        <v>330.20548128000001</v>
      </c>
      <c r="AC35" s="5">
        <v>114.84520358248511</v>
      </c>
      <c r="AD35" s="5">
        <f t="shared" si="7"/>
        <v>25557.515065352411</v>
      </c>
      <c r="AE35" s="27">
        <v>25557.515065352411</v>
      </c>
      <c r="AF35" s="31">
        <f t="shared" si="0"/>
        <v>2051</v>
      </c>
      <c r="AG35" s="14">
        <f t="shared" si="1"/>
        <v>45216.20491770302</v>
      </c>
      <c r="AH35" s="14">
        <f t="shared" si="2"/>
        <v>5799.3166994333878</v>
      </c>
      <c r="AI35" s="14">
        <f t="shared" si="3"/>
        <v>12868.52218651029</v>
      </c>
    </row>
    <row r="36" spans="1:40">
      <c r="A36">
        <f t="shared" si="4"/>
        <v>2052</v>
      </c>
      <c r="B36" s="19">
        <v>0</v>
      </c>
      <c r="C36" s="4">
        <v>0</v>
      </c>
      <c r="D36" s="4">
        <v>0</v>
      </c>
      <c r="E36" s="376">
        <v>0</v>
      </c>
      <c r="F36" s="4">
        <v>0</v>
      </c>
      <c r="G36" s="19">
        <v>874.01004229121929</v>
      </c>
      <c r="H36" s="4">
        <v>158.69159999999999</v>
      </c>
      <c r="I36" s="5">
        <v>62.506759718674374</v>
      </c>
      <c r="J36" s="5">
        <f t="shared" si="5"/>
        <v>1095.2084020098937</v>
      </c>
      <c r="K36" s="19">
        <v>0</v>
      </c>
      <c r="L36" s="19">
        <v>16702.244452065726</v>
      </c>
      <c r="M36" s="4">
        <v>1304.2037668798828</v>
      </c>
      <c r="N36" s="4">
        <v>1126.9901187317187</v>
      </c>
      <c r="O36" s="376">
        <v>2911.0392018125012</v>
      </c>
      <c r="P36" s="4">
        <v>5296.5397661075749</v>
      </c>
      <c r="Q36" s="19">
        <v>1769.4982589939982</v>
      </c>
      <c r="R36" s="4">
        <v>323.730864</v>
      </c>
      <c r="S36" s="5">
        <v>119.45027105946906</v>
      </c>
      <c r="T36" s="5">
        <f t="shared" si="6"/>
        <v>29553.696699650875</v>
      </c>
      <c r="U36" s="19">
        <v>29553.696699650875</v>
      </c>
      <c r="V36" s="19">
        <v>12064.838301666096</v>
      </c>
      <c r="W36" s="4">
        <v>1252.1646047367763</v>
      </c>
      <c r="X36" s="4">
        <v>1049.7019524839204</v>
      </c>
      <c r="Y36" s="376">
        <v>2911.0392018125012</v>
      </c>
      <c r="Z36" s="4">
        <v>5235.706837789051</v>
      </c>
      <c r="AA36" s="19">
        <v>1875.7149121904408</v>
      </c>
      <c r="AB36" s="4">
        <v>330.20548128000001</v>
      </c>
      <c r="AC36" s="5">
        <v>118.29055968995966</v>
      </c>
      <c r="AD36" s="5">
        <f t="shared" si="7"/>
        <v>24837.661851648743</v>
      </c>
      <c r="AE36" s="27">
        <v>24837.661851648743</v>
      </c>
      <c r="AF36" s="31">
        <f t="shared" si="0"/>
        <v>2052</v>
      </c>
      <c r="AG36" s="14">
        <f t="shared" si="1"/>
        <v>39322.221600189121</v>
      </c>
      <c r="AH36" s="14">
        <f t="shared" si="2"/>
        <v>5632.0987492237618</v>
      </c>
      <c r="AI36" s="14">
        <f t="shared" si="3"/>
        <v>10532.246603896627</v>
      </c>
    </row>
    <row r="37" spans="1:40">
      <c r="A37" s="6">
        <f t="shared" si="4"/>
        <v>2053</v>
      </c>
      <c r="B37" s="84">
        <v>0</v>
      </c>
      <c r="C37" s="52">
        <v>0</v>
      </c>
      <c r="D37" s="52">
        <v>0</v>
      </c>
      <c r="E37" s="376">
        <v>0</v>
      </c>
      <c r="F37" s="52">
        <v>0</v>
      </c>
      <c r="G37" s="84">
        <v>838.31163407562724</v>
      </c>
      <c r="H37" s="52">
        <v>158.69159999999999</v>
      </c>
      <c r="I37" s="49">
        <v>64.381962510234615</v>
      </c>
      <c r="J37" s="49">
        <f t="shared" si="5"/>
        <v>1061.3851965858619</v>
      </c>
      <c r="K37" s="84">
        <v>0</v>
      </c>
      <c r="L37" s="84">
        <v>0</v>
      </c>
      <c r="M37" s="52">
        <v>0</v>
      </c>
      <c r="N37" s="52">
        <v>0</v>
      </c>
      <c r="O37" s="376">
        <v>0</v>
      </c>
      <c r="P37" s="52">
        <v>0</v>
      </c>
      <c r="Q37" s="84">
        <v>1700.0603295659985</v>
      </c>
      <c r="R37" s="52">
        <v>323.730864</v>
      </c>
      <c r="S37" s="49">
        <v>123.03377919125313</v>
      </c>
      <c r="T37" s="49">
        <f t="shared" si="6"/>
        <v>2146.8249727572515</v>
      </c>
      <c r="U37" s="84">
        <v>0</v>
      </c>
      <c r="V37" s="84">
        <v>18328.20969840619</v>
      </c>
      <c r="W37" s="52">
        <v>1252.1646047367763</v>
      </c>
      <c r="X37" s="52">
        <v>1083.322615208298</v>
      </c>
      <c r="Y37" s="376">
        <v>2969.259985848752</v>
      </c>
      <c r="Z37" s="52">
        <v>5384.1101348135944</v>
      </c>
      <c r="AA37" s="84">
        <v>1804.8882241738809</v>
      </c>
      <c r="AB37" s="52">
        <v>330.20548128000001</v>
      </c>
      <c r="AC37" s="49">
        <v>121.83927648065844</v>
      </c>
      <c r="AD37" s="49">
        <f t="shared" si="7"/>
        <v>31274.000020948148</v>
      </c>
      <c r="AE37" s="85">
        <v>31274.000020948148</v>
      </c>
      <c r="AF37" s="86">
        <f t="shared" si="0"/>
        <v>2053</v>
      </c>
      <c r="AG37" s="87">
        <f t="shared" si="1"/>
        <v>23632.956904200015</v>
      </c>
      <c r="AH37" s="87">
        <f t="shared" si="2"/>
        <v>5465.1431512776526</v>
      </c>
      <c r="AI37" s="87">
        <f t="shared" si="3"/>
        <v>5384.1101348135944</v>
      </c>
    </row>
    <row r="38" spans="1:40">
      <c r="A38" s="75">
        <f t="shared" si="4"/>
        <v>2054</v>
      </c>
      <c r="B38" s="76">
        <v>0</v>
      </c>
      <c r="C38" s="77">
        <v>0</v>
      </c>
      <c r="D38" s="77">
        <v>0</v>
      </c>
      <c r="E38" s="376">
        <v>0</v>
      </c>
      <c r="F38" s="77">
        <v>0</v>
      </c>
      <c r="G38" s="76">
        <v>802.6132258600353</v>
      </c>
      <c r="H38" s="77">
        <v>158.69159999999999</v>
      </c>
      <c r="I38" s="78">
        <v>66.313421385541645</v>
      </c>
      <c r="J38" s="78">
        <f t="shared" si="5"/>
        <v>1027.6182472455769</v>
      </c>
      <c r="K38" s="76">
        <v>0</v>
      </c>
      <c r="L38" s="76">
        <v>0</v>
      </c>
      <c r="M38" s="77">
        <v>0</v>
      </c>
      <c r="N38" s="77">
        <v>0</v>
      </c>
      <c r="O38" s="376">
        <v>0</v>
      </c>
      <c r="P38" s="77">
        <v>0</v>
      </c>
      <c r="Q38" s="76">
        <v>1630.6224001379985</v>
      </c>
      <c r="R38" s="77">
        <v>323.730864</v>
      </c>
      <c r="S38" s="78">
        <v>126.72479256699074</v>
      </c>
      <c r="T38" s="78">
        <f t="shared" si="6"/>
        <v>2081.0780567049892</v>
      </c>
      <c r="U38" s="76">
        <v>0</v>
      </c>
      <c r="V38" s="76">
        <v>0</v>
      </c>
      <c r="W38" s="77">
        <v>0</v>
      </c>
      <c r="X38" s="77">
        <v>0</v>
      </c>
      <c r="Y38" s="376">
        <v>0</v>
      </c>
      <c r="Z38" s="77">
        <v>0</v>
      </c>
      <c r="AA38" s="76">
        <v>1734.0615361573214</v>
      </c>
      <c r="AB38" s="77">
        <v>330.20548128000001</v>
      </c>
      <c r="AC38" s="78">
        <v>125.4944547750782</v>
      </c>
      <c r="AD38" s="78">
        <f t="shared" si="7"/>
        <v>2189.7614722123999</v>
      </c>
      <c r="AE38" s="79">
        <v>0</v>
      </c>
      <c r="AF38" s="88">
        <f t="shared" si="0"/>
        <v>2054</v>
      </c>
      <c r="AG38" s="89">
        <f t="shared" si="1"/>
        <v>0</v>
      </c>
      <c r="AH38" s="89">
        <f t="shared" si="2"/>
        <v>5298.4577761629662</v>
      </c>
      <c r="AI38" s="89">
        <f t="shared" si="3"/>
        <v>0</v>
      </c>
    </row>
    <row r="39" spans="1:40">
      <c r="A39" s="75">
        <f t="shared" si="4"/>
        <v>2055</v>
      </c>
      <c r="B39" s="76">
        <v>0</v>
      </c>
      <c r="C39" s="77">
        <v>0</v>
      </c>
      <c r="D39" s="77">
        <v>0</v>
      </c>
      <c r="E39" s="376">
        <v>0</v>
      </c>
      <c r="F39" s="77">
        <v>0</v>
      </c>
      <c r="G39" s="76">
        <v>766.91481764444302</v>
      </c>
      <c r="H39" s="77">
        <v>158.69159999999999</v>
      </c>
      <c r="I39" s="78">
        <v>68.302824027107889</v>
      </c>
      <c r="J39" s="78">
        <f t="shared" si="5"/>
        <v>993.90924167155094</v>
      </c>
      <c r="K39" s="76">
        <v>0</v>
      </c>
      <c r="L39" s="76">
        <v>0</v>
      </c>
      <c r="M39" s="77">
        <v>0</v>
      </c>
      <c r="N39" s="77">
        <v>0</v>
      </c>
      <c r="O39" s="376">
        <v>0</v>
      </c>
      <c r="P39" s="77">
        <v>0</v>
      </c>
      <c r="Q39" s="76">
        <v>1561.1844707099983</v>
      </c>
      <c r="R39" s="77">
        <v>323.730864</v>
      </c>
      <c r="S39" s="78">
        <v>130.52653634400045</v>
      </c>
      <c r="T39" s="78">
        <f t="shared" si="6"/>
        <v>2015.4418710539987</v>
      </c>
      <c r="U39" s="76">
        <v>0</v>
      </c>
      <c r="V39" s="76">
        <v>0</v>
      </c>
      <c r="W39" s="77">
        <v>0</v>
      </c>
      <c r="X39" s="77">
        <v>0</v>
      </c>
      <c r="Y39" s="376">
        <v>0</v>
      </c>
      <c r="Z39" s="77">
        <v>0</v>
      </c>
      <c r="AA39" s="76">
        <v>1663.2348481407607</v>
      </c>
      <c r="AB39" s="77">
        <v>330.20548128000001</v>
      </c>
      <c r="AC39" s="78">
        <v>129.25928841833056</v>
      </c>
      <c r="AD39" s="78">
        <f t="shared" si="7"/>
        <v>2122.6996178390914</v>
      </c>
      <c r="AE39" s="79">
        <v>0</v>
      </c>
      <c r="AF39" s="88">
        <f t="shared" si="0"/>
        <v>2055</v>
      </c>
      <c r="AG39" s="89">
        <f t="shared" si="1"/>
        <v>0</v>
      </c>
      <c r="AH39" s="89">
        <f t="shared" si="2"/>
        <v>5132.0507305646406</v>
      </c>
      <c r="AI39" s="89">
        <f t="shared" si="3"/>
        <v>0</v>
      </c>
    </row>
    <row r="40" spans="1:40">
      <c r="A40" s="75">
        <f t="shared" si="4"/>
        <v>2056</v>
      </c>
      <c r="B40" s="76">
        <v>0</v>
      </c>
      <c r="C40" s="77">
        <v>0</v>
      </c>
      <c r="D40" s="77">
        <v>0</v>
      </c>
      <c r="E40" s="376">
        <v>0</v>
      </c>
      <c r="F40" s="77">
        <v>0</v>
      </c>
      <c r="G40" s="76">
        <v>731.21640942885097</v>
      </c>
      <c r="H40" s="77">
        <v>158.69159999999999</v>
      </c>
      <c r="I40" s="78">
        <v>70.351908747921115</v>
      </c>
      <c r="J40" s="78">
        <f t="shared" si="5"/>
        <v>960.25991817677209</v>
      </c>
      <c r="K40" s="76">
        <v>0</v>
      </c>
      <c r="L40" s="76">
        <v>0</v>
      </c>
      <c r="M40" s="77">
        <v>0</v>
      </c>
      <c r="N40" s="77">
        <v>0</v>
      </c>
      <c r="O40" s="376">
        <v>0</v>
      </c>
      <c r="P40" s="77">
        <v>0</v>
      </c>
      <c r="Q40" s="76">
        <v>1491.7465412819979</v>
      </c>
      <c r="R40" s="77">
        <v>323.730864</v>
      </c>
      <c r="S40" s="78">
        <v>134.44233243432046</v>
      </c>
      <c r="T40" s="78">
        <f t="shared" si="6"/>
        <v>1949.9197377163184</v>
      </c>
      <c r="U40" s="76">
        <v>0</v>
      </c>
      <c r="V40" s="76">
        <v>0</v>
      </c>
      <c r="W40" s="77">
        <v>0</v>
      </c>
      <c r="X40" s="77">
        <v>0</v>
      </c>
      <c r="Y40" s="376">
        <v>0</v>
      </c>
      <c r="Z40" s="77">
        <v>0</v>
      </c>
      <c r="AA40" s="76">
        <v>1592.408160124201</v>
      </c>
      <c r="AB40" s="77">
        <v>330.20548128000001</v>
      </c>
      <c r="AC40" s="78">
        <v>133.13706707088045</v>
      </c>
      <c r="AD40" s="78">
        <f t="shared" si="7"/>
        <v>2055.7507084750814</v>
      </c>
      <c r="AE40" s="79">
        <v>0</v>
      </c>
      <c r="AF40" s="88">
        <f t="shared" si="0"/>
        <v>2056</v>
      </c>
      <c r="AG40" s="89">
        <f t="shared" si="1"/>
        <v>0</v>
      </c>
      <c r="AH40" s="89">
        <f t="shared" si="2"/>
        <v>4965.9303643681724</v>
      </c>
      <c r="AI40" s="89">
        <f t="shared" si="3"/>
        <v>0</v>
      </c>
    </row>
    <row r="41" spans="1:40">
      <c r="A41" s="75">
        <f t="shared" si="4"/>
        <v>2057</v>
      </c>
      <c r="B41" s="76">
        <v>0</v>
      </c>
      <c r="C41" s="77">
        <v>0</v>
      </c>
      <c r="D41" s="77">
        <v>0</v>
      </c>
      <c r="E41" s="376">
        <v>0</v>
      </c>
      <c r="F41" s="77">
        <v>0</v>
      </c>
      <c r="G41" s="76">
        <v>695.51800121325869</v>
      </c>
      <c r="H41" s="77">
        <v>158.69159999999999</v>
      </c>
      <c r="I41" s="78">
        <v>72.462466010358767</v>
      </c>
      <c r="J41" s="78">
        <f t="shared" si="5"/>
        <v>926.67206722361743</v>
      </c>
      <c r="K41" s="76">
        <v>0</v>
      </c>
      <c r="L41" s="76">
        <v>0</v>
      </c>
      <c r="M41" s="77">
        <v>0</v>
      </c>
      <c r="N41" s="77">
        <v>0</v>
      </c>
      <c r="O41" s="376">
        <v>0</v>
      </c>
      <c r="P41" s="77">
        <v>0</v>
      </c>
      <c r="Q41" s="76">
        <v>1422.3086118539977</v>
      </c>
      <c r="R41" s="77">
        <v>323.730864</v>
      </c>
      <c r="S41" s="78">
        <v>138.47560240735004</v>
      </c>
      <c r="T41" s="78">
        <f t="shared" si="6"/>
        <v>1884.5150782613478</v>
      </c>
      <c r="U41" s="76">
        <v>0</v>
      </c>
      <c r="V41" s="76">
        <v>0</v>
      </c>
      <c r="W41" s="77">
        <v>0</v>
      </c>
      <c r="X41" s="77">
        <v>0</v>
      </c>
      <c r="Y41" s="376">
        <v>0</v>
      </c>
      <c r="Z41" s="77">
        <v>0</v>
      </c>
      <c r="AA41" s="76">
        <v>1521.5814721076408</v>
      </c>
      <c r="AB41" s="77">
        <v>330.20548128000001</v>
      </c>
      <c r="AC41" s="78">
        <v>137.13117908300688</v>
      </c>
      <c r="AD41" s="78">
        <f t="shared" si="7"/>
        <v>1988.9181324706476</v>
      </c>
      <c r="AE41" s="79">
        <v>0</v>
      </c>
      <c r="AF41" s="88">
        <f t="shared" si="0"/>
        <v>2057</v>
      </c>
      <c r="AG41" s="89">
        <f t="shared" si="1"/>
        <v>0</v>
      </c>
      <c r="AH41" s="89">
        <f t="shared" si="2"/>
        <v>4800.105277955613</v>
      </c>
      <c r="AI41" s="89">
        <f t="shared" si="3"/>
        <v>0</v>
      </c>
    </row>
    <row r="42" spans="1:40">
      <c r="A42" s="75">
        <f t="shared" si="4"/>
        <v>2058</v>
      </c>
      <c r="B42" s="76">
        <v>0</v>
      </c>
      <c r="C42" s="77">
        <v>0</v>
      </c>
      <c r="D42" s="77">
        <v>0</v>
      </c>
      <c r="E42" s="376">
        <v>0</v>
      </c>
      <c r="F42" s="77">
        <v>0</v>
      </c>
      <c r="G42" s="76">
        <v>659.81959299766663</v>
      </c>
      <c r="H42" s="77">
        <v>158.69159999999999</v>
      </c>
      <c r="I42" s="78">
        <v>74.636339990669526</v>
      </c>
      <c r="J42" s="78">
        <f t="shared" si="5"/>
        <v>893.14753298833614</v>
      </c>
      <c r="K42" s="76">
        <v>0</v>
      </c>
      <c r="L42" s="76">
        <v>0</v>
      </c>
      <c r="M42" s="77">
        <v>0</v>
      </c>
      <c r="N42" s="77">
        <v>0</v>
      </c>
      <c r="O42" s="376">
        <v>0</v>
      </c>
      <c r="P42" s="77">
        <v>0</v>
      </c>
      <c r="Q42" s="76">
        <v>1352.8706824259982</v>
      </c>
      <c r="R42" s="77">
        <v>323.730864</v>
      </c>
      <c r="S42" s="78">
        <v>142.62987047957057</v>
      </c>
      <c r="T42" s="78">
        <f t="shared" si="6"/>
        <v>1819.2314169055687</v>
      </c>
      <c r="U42" s="76">
        <v>0</v>
      </c>
      <c r="V42" s="76">
        <v>0</v>
      </c>
      <c r="W42" s="77">
        <v>0</v>
      </c>
      <c r="X42" s="77">
        <v>0</v>
      </c>
      <c r="Y42" s="376">
        <v>0</v>
      </c>
      <c r="Z42" s="77">
        <v>0</v>
      </c>
      <c r="AA42" s="76">
        <v>1450.7547840910811</v>
      </c>
      <c r="AB42" s="77">
        <v>330.20548128000001</v>
      </c>
      <c r="AC42" s="78">
        <v>141.24511445549706</v>
      </c>
      <c r="AD42" s="78">
        <f t="shared" si="7"/>
        <v>1922.2053798265781</v>
      </c>
      <c r="AE42" s="79">
        <v>0</v>
      </c>
      <c r="AF42" s="88">
        <f t="shared" si="0"/>
        <v>2058</v>
      </c>
      <c r="AG42" s="89">
        <f t="shared" si="1"/>
        <v>0</v>
      </c>
      <c r="AH42" s="89">
        <f t="shared" si="2"/>
        <v>4634.5843297204829</v>
      </c>
      <c r="AI42" s="89">
        <f t="shared" si="3"/>
        <v>0</v>
      </c>
    </row>
    <row r="43" spans="1:40">
      <c r="A43" s="75">
        <f t="shared" si="4"/>
        <v>2059</v>
      </c>
      <c r="B43" s="76">
        <v>0</v>
      </c>
      <c r="C43" s="77">
        <v>0</v>
      </c>
      <c r="D43" s="77">
        <v>0</v>
      </c>
      <c r="E43" s="376">
        <v>0</v>
      </c>
      <c r="F43" s="77">
        <v>0</v>
      </c>
      <c r="G43" s="76">
        <v>624.12118478207447</v>
      </c>
      <c r="H43" s="77">
        <v>158.69159999999999</v>
      </c>
      <c r="I43" s="78">
        <v>76.875430190389594</v>
      </c>
      <c r="J43" s="78">
        <f t="shared" si="5"/>
        <v>859.68821497246404</v>
      </c>
      <c r="K43" s="76">
        <v>0</v>
      </c>
      <c r="L43" s="76">
        <v>0</v>
      </c>
      <c r="M43" s="77">
        <v>0</v>
      </c>
      <c r="N43" s="77">
        <v>0</v>
      </c>
      <c r="O43" s="376">
        <v>0</v>
      </c>
      <c r="P43" s="77">
        <v>0</v>
      </c>
      <c r="Q43" s="76">
        <v>1283.432752997998</v>
      </c>
      <c r="R43" s="77">
        <v>323.730864</v>
      </c>
      <c r="S43" s="78">
        <v>146.90876659395769</v>
      </c>
      <c r="T43" s="78">
        <f t="shared" si="6"/>
        <v>1754.0723835919557</v>
      </c>
      <c r="U43" s="76">
        <v>0</v>
      </c>
      <c r="V43" s="76">
        <v>0</v>
      </c>
      <c r="W43" s="77">
        <v>0</v>
      </c>
      <c r="X43" s="77">
        <v>0</v>
      </c>
      <c r="Y43" s="376">
        <v>0</v>
      </c>
      <c r="Z43" s="77">
        <v>0</v>
      </c>
      <c r="AA43" s="76">
        <v>1379.9280960745214</v>
      </c>
      <c r="AB43" s="77">
        <v>330.20548128000001</v>
      </c>
      <c r="AC43" s="78">
        <v>145.482467889162</v>
      </c>
      <c r="AD43" s="78">
        <f t="shared" si="7"/>
        <v>1855.6160452436834</v>
      </c>
      <c r="AE43" s="79">
        <v>0</v>
      </c>
      <c r="AF43" s="88">
        <f t="shared" si="0"/>
        <v>2059</v>
      </c>
      <c r="AG43" s="89">
        <f t="shared" si="1"/>
        <v>0</v>
      </c>
      <c r="AH43" s="89">
        <f t="shared" si="2"/>
        <v>4469.3766438081029</v>
      </c>
      <c r="AI43" s="89">
        <f t="shared" si="3"/>
        <v>0</v>
      </c>
    </row>
    <row r="44" spans="1:40">
      <c r="A44" s="75">
        <f t="shared" si="4"/>
        <v>2060</v>
      </c>
      <c r="B44" s="76">
        <v>0</v>
      </c>
      <c r="C44" s="77">
        <v>0</v>
      </c>
      <c r="D44" s="77">
        <v>0</v>
      </c>
      <c r="E44" s="376">
        <v>0</v>
      </c>
      <c r="F44" s="77">
        <v>0</v>
      </c>
      <c r="G44" s="76">
        <v>588.4227765664823</v>
      </c>
      <c r="H44" s="77">
        <v>158.69159999999999</v>
      </c>
      <c r="I44" s="78">
        <v>79.181693096101284</v>
      </c>
      <c r="J44" s="78">
        <f t="shared" si="5"/>
        <v>826.29606966258359</v>
      </c>
      <c r="K44" s="76">
        <v>0</v>
      </c>
      <c r="L44" s="76">
        <v>0</v>
      </c>
      <c r="M44" s="77">
        <v>0</v>
      </c>
      <c r="N44" s="77">
        <v>0</v>
      </c>
      <c r="O44" s="376">
        <v>0</v>
      </c>
      <c r="P44" s="77">
        <v>0</v>
      </c>
      <c r="Q44" s="76">
        <v>1213.9948235699978</v>
      </c>
      <c r="R44" s="77">
        <v>323.730864</v>
      </c>
      <c r="S44" s="78">
        <v>151.31602959177638</v>
      </c>
      <c r="T44" s="78">
        <f t="shared" si="6"/>
        <v>1689.0417171617742</v>
      </c>
      <c r="U44" s="76">
        <v>0</v>
      </c>
      <c r="V44" s="76">
        <v>0</v>
      </c>
      <c r="W44" s="77">
        <v>0</v>
      </c>
      <c r="X44" s="77">
        <v>0</v>
      </c>
      <c r="Y44" s="376">
        <v>0</v>
      </c>
      <c r="Z44" s="77">
        <v>0</v>
      </c>
      <c r="AA44" s="76">
        <v>1309.1014080579612</v>
      </c>
      <c r="AB44" s="77">
        <v>330.20548128000001</v>
      </c>
      <c r="AC44" s="78">
        <v>149.84694192583686</v>
      </c>
      <c r="AD44" s="78">
        <f t="shared" si="7"/>
        <v>1789.1538312637981</v>
      </c>
      <c r="AE44" s="79">
        <v>0</v>
      </c>
      <c r="AF44" s="88">
        <f t="shared" si="0"/>
        <v>2060</v>
      </c>
      <c r="AG44" s="89">
        <f t="shared" si="1"/>
        <v>0</v>
      </c>
      <c r="AH44" s="89">
        <f t="shared" si="2"/>
        <v>4304.4916180881555</v>
      </c>
      <c r="AI44" s="89">
        <f t="shared" si="3"/>
        <v>0</v>
      </c>
    </row>
    <row r="45" spans="1:40">
      <c r="A45" s="75">
        <f t="shared" si="4"/>
        <v>2061</v>
      </c>
      <c r="B45" s="76">
        <v>0</v>
      </c>
      <c r="C45" s="77">
        <v>0</v>
      </c>
      <c r="D45" s="77">
        <v>0</v>
      </c>
      <c r="E45" s="376">
        <v>0</v>
      </c>
      <c r="F45" s="77">
        <v>0</v>
      </c>
      <c r="G45" s="76">
        <v>552.72436835086762</v>
      </c>
      <c r="H45" s="77">
        <v>158.69159999999999</v>
      </c>
      <c r="I45" s="78">
        <v>81.557143888984342</v>
      </c>
      <c r="J45" s="78">
        <f t="shared" si="5"/>
        <v>792.97311223985196</v>
      </c>
      <c r="K45" s="76">
        <v>0</v>
      </c>
      <c r="L45" s="76">
        <v>0</v>
      </c>
      <c r="M45" s="77">
        <v>0</v>
      </c>
      <c r="N45" s="77">
        <v>0</v>
      </c>
      <c r="O45" s="376">
        <v>0</v>
      </c>
      <c r="P45" s="77">
        <v>0</v>
      </c>
      <c r="Q45" s="76">
        <v>1144.5568941419974</v>
      </c>
      <c r="R45" s="77">
        <v>323.730864</v>
      </c>
      <c r="S45" s="78">
        <v>155.85551047952967</v>
      </c>
      <c r="T45" s="78">
        <f t="shared" si="6"/>
        <v>1624.1432686215271</v>
      </c>
      <c r="U45" s="76">
        <v>0</v>
      </c>
      <c r="V45" s="76">
        <v>0</v>
      </c>
      <c r="W45" s="77">
        <v>0</v>
      </c>
      <c r="X45" s="77">
        <v>0</v>
      </c>
      <c r="Y45" s="376">
        <v>0</v>
      </c>
      <c r="Z45" s="77">
        <v>0</v>
      </c>
      <c r="AA45" s="76">
        <v>1238.2747200414015</v>
      </c>
      <c r="AB45" s="77">
        <v>330.20548128000001</v>
      </c>
      <c r="AC45" s="78">
        <v>154.34235018361193</v>
      </c>
      <c r="AD45" s="78">
        <f t="shared" si="7"/>
        <v>1722.8225515050133</v>
      </c>
      <c r="AE45" s="79">
        <v>0</v>
      </c>
      <c r="AF45" s="88">
        <f t="shared" si="0"/>
        <v>2061</v>
      </c>
      <c r="AG45" s="89">
        <f t="shared" si="1"/>
        <v>0</v>
      </c>
      <c r="AH45" s="89">
        <f t="shared" si="2"/>
        <v>4139.9389323663927</v>
      </c>
      <c r="AI45" s="89">
        <f t="shared" si="3"/>
        <v>0</v>
      </c>
    </row>
    <row r="46" spans="1:40">
      <c r="A46" s="75">
        <f t="shared" si="4"/>
        <v>2062</v>
      </c>
      <c r="B46" s="76">
        <v>0</v>
      </c>
      <c r="C46" s="77">
        <v>0</v>
      </c>
      <c r="D46" s="77">
        <v>0</v>
      </c>
      <c r="E46" s="376">
        <v>0</v>
      </c>
      <c r="F46" s="77">
        <v>0</v>
      </c>
      <c r="G46" s="76">
        <v>0</v>
      </c>
      <c r="H46" s="77">
        <v>0</v>
      </c>
      <c r="I46" s="78">
        <v>0</v>
      </c>
      <c r="J46" s="78">
        <f t="shared" si="5"/>
        <v>0</v>
      </c>
      <c r="K46" s="76">
        <v>0</v>
      </c>
      <c r="L46" s="76">
        <v>0</v>
      </c>
      <c r="M46" s="77">
        <v>0</v>
      </c>
      <c r="N46" s="77">
        <v>0</v>
      </c>
      <c r="O46" s="376">
        <v>0</v>
      </c>
      <c r="P46" s="77">
        <v>0</v>
      </c>
      <c r="Q46" s="76">
        <v>1075.1189647139731</v>
      </c>
      <c r="R46" s="77">
        <v>323.730864</v>
      </c>
      <c r="S46" s="78">
        <v>160.53117579391559</v>
      </c>
      <c r="T46" s="78">
        <f t="shared" si="6"/>
        <v>1559.3810045078887</v>
      </c>
      <c r="U46" s="76">
        <v>0</v>
      </c>
      <c r="V46" s="76">
        <v>0</v>
      </c>
      <c r="W46" s="77">
        <v>0</v>
      </c>
      <c r="X46" s="77">
        <v>0</v>
      </c>
      <c r="Y46" s="376">
        <v>0</v>
      </c>
      <c r="Z46" s="77">
        <v>0</v>
      </c>
      <c r="AA46" s="76">
        <v>1167.4480320248417</v>
      </c>
      <c r="AB46" s="77">
        <v>330.20548128000001</v>
      </c>
      <c r="AC46" s="78">
        <v>158.9726206891203</v>
      </c>
      <c r="AD46" s="78">
        <f t="shared" si="7"/>
        <v>1656.626133993962</v>
      </c>
      <c r="AE46" s="79">
        <v>0</v>
      </c>
      <c r="AF46" s="88">
        <f t="shared" si="0"/>
        <v>2062</v>
      </c>
      <c r="AG46" s="89">
        <f t="shared" si="1"/>
        <v>0</v>
      </c>
      <c r="AH46" s="89">
        <f t="shared" si="2"/>
        <v>3216.0071385018509</v>
      </c>
      <c r="AI46" s="89">
        <f t="shared" si="3"/>
        <v>0</v>
      </c>
    </row>
    <row r="47" spans="1:40">
      <c r="A47" s="75">
        <f t="shared" si="4"/>
        <v>2063</v>
      </c>
      <c r="B47" s="76">
        <v>0</v>
      </c>
      <c r="C47" s="77">
        <v>0</v>
      </c>
      <c r="D47" s="77">
        <v>0</v>
      </c>
      <c r="E47" s="376">
        <v>0</v>
      </c>
      <c r="F47" s="77">
        <v>0</v>
      </c>
      <c r="G47" s="76">
        <v>0</v>
      </c>
      <c r="H47" s="77">
        <v>0</v>
      </c>
      <c r="I47" s="78">
        <v>0</v>
      </c>
      <c r="J47" s="78">
        <f t="shared" si="5"/>
        <v>0</v>
      </c>
      <c r="K47" s="76">
        <v>0</v>
      </c>
      <c r="L47" s="76">
        <v>0</v>
      </c>
      <c r="M47" s="77">
        <v>0</v>
      </c>
      <c r="N47" s="77">
        <v>0</v>
      </c>
      <c r="O47" s="376">
        <v>0</v>
      </c>
      <c r="P47" s="77">
        <v>0</v>
      </c>
      <c r="Q47" s="76">
        <v>0</v>
      </c>
      <c r="R47" s="77">
        <v>0</v>
      </c>
      <c r="S47" s="78">
        <v>0</v>
      </c>
      <c r="T47" s="78">
        <f t="shared" si="6"/>
        <v>0</v>
      </c>
      <c r="U47" s="76">
        <v>0</v>
      </c>
      <c r="V47" s="76">
        <v>0</v>
      </c>
      <c r="W47" s="77">
        <v>0</v>
      </c>
      <c r="X47" s="77">
        <v>0</v>
      </c>
      <c r="Y47" s="376">
        <v>0</v>
      </c>
      <c r="Z47" s="77">
        <v>0</v>
      </c>
      <c r="AA47" s="76">
        <v>1096.6213440083015</v>
      </c>
      <c r="AB47" s="77">
        <v>330.20548128000001</v>
      </c>
      <c r="AC47" s="78">
        <v>163.74179930979392</v>
      </c>
      <c r="AD47" s="78">
        <f t="shared" si="7"/>
        <v>1590.5686245980955</v>
      </c>
      <c r="AE47" s="79">
        <v>0</v>
      </c>
      <c r="AF47" s="88">
        <f t="shared" si="0"/>
        <v>2063</v>
      </c>
      <c r="AG47" s="89">
        <f t="shared" si="1"/>
        <v>0</v>
      </c>
      <c r="AH47" s="89">
        <f t="shared" si="2"/>
        <v>1590.5686245980955</v>
      </c>
      <c r="AI47" s="89">
        <f t="shared" si="3"/>
        <v>0</v>
      </c>
    </row>
    <row r="48" spans="1:40">
      <c r="A48" s="75">
        <f t="shared" si="4"/>
        <v>2064</v>
      </c>
      <c r="B48" s="76">
        <v>0</v>
      </c>
      <c r="C48" s="77">
        <v>0</v>
      </c>
      <c r="D48" s="77">
        <v>0</v>
      </c>
      <c r="E48" s="376">
        <v>0</v>
      </c>
      <c r="F48" s="77">
        <v>0</v>
      </c>
      <c r="G48" s="76">
        <v>0</v>
      </c>
      <c r="H48" s="77">
        <v>0</v>
      </c>
      <c r="I48" s="78">
        <v>0</v>
      </c>
      <c r="J48" s="78">
        <f t="shared" si="5"/>
        <v>0</v>
      </c>
      <c r="K48" s="76">
        <v>0</v>
      </c>
      <c r="L48" s="76">
        <v>0</v>
      </c>
      <c r="M48" s="77">
        <v>0</v>
      </c>
      <c r="N48" s="77">
        <v>0</v>
      </c>
      <c r="O48" s="376">
        <v>0</v>
      </c>
      <c r="P48" s="77">
        <v>0</v>
      </c>
      <c r="Q48" s="76">
        <v>0</v>
      </c>
      <c r="R48" s="77">
        <v>0</v>
      </c>
      <c r="S48" s="78">
        <v>0</v>
      </c>
      <c r="T48" s="78">
        <f t="shared" si="6"/>
        <v>0</v>
      </c>
      <c r="U48" s="76">
        <v>0</v>
      </c>
      <c r="V48" s="76">
        <v>0</v>
      </c>
      <c r="W48" s="77">
        <v>0</v>
      </c>
      <c r="X48" s="77">
        <v>0</v>
      </c>
      <c r="Y48" s="376">
        <v>0</v>
      </c>
      <c r="Z48" s="77">
        <v>0</v>
      </c>
      <c r="AA48" s="76">
        <v>0</v>
      </c>
      <c r="AB48" s="77">
        <v>0</v>
      </c>
      <c r="AC48" s="78">
        <v>0</v>
      </c>
      <c r="AD48" s="78">
        <f t="shared" si="7"/>
        <v>0</v>
      </c>
      <c r="AE48" s="79">
        <v>0</v>
      </c>
      <c r="AF48" s="88">
        <f t="shared" si="0"/>
        <v>2064</v>
      </c>
      <c r="AG48" s="89">
        <f t="shared" si="1"/>
        <v>0</v>
      </c>
      <c r="AH48" s="89">
        <f t="shared" si="2"/>
        <v>0</v>
      </c>
      <c r="AI48" s="89">
        <f t="shared" si="3"/>
        <v>0</v>
      </c>
    </row>
    <row r="49" spans="1:35">
      <c r="A49" s="75">
        <f t="shared" si="4"/>
        <v>2065</v>
      </c>
      <c r="B49" s="76">
        <v>0</v>
      </c>
      <c r="C49" s="77">
        <v>0</v>
      </c>
      <c r="D49" s="77">
        <v>0</v>
      </c>
      <c r="E49" s="376">
        <v>0</v>
      </c>
      <c r="F49" s="77">
        <v>0</v>
      </c>
      <c r="G49" s="76">
        <v>0</v>
      </c>
      <c r="H49" s="77">
        <v>0</v>
      </c>
      <c r="I49" s="78">
        <v>0</v>
      </c>
      <c r="J49" s="78">
        <f t="shared" si="5"/>
        <v>0</v>
      </c>
      <c r="K49" s="76">
        <v>0</v>
      </c>
      <c r="L49" s="76">
        <v>0</v>
      </c>
      <c r="M49" s="77">
        <v>0</v>
      </c>
      <c r="N49" s="77">
        <v>0</v>
      </c>
      <c r="O49" s="376">
        <v>0</v>
      </c>
      <c r="P49" s="77">
        <v>0</v>
      </c>
      <c r="Q49" s="76">
        <v>0</v>
      </c>
      <c r="R49" s="77">
        <v>0</v>
      </c>
      <c r="S49" s="78">
        <v>0</v>
      </c>
      <c r="T49" s="78">
        <f t="shared" si="6"/>
        <v>0</v>
      </c>
      <c r="U49" s="76">
        <v>0</v>
      </c>
      <c r="V49" s="76">
        <v>0</v>
      </c>
      <c r="W49" s="77">
        <v>0</v>
      </c>
      <c r="X49" s="77">
        <v>0</v>
      </c>
      <c r="Y49" s="376">
        <v>0</v>
      </c>
      <c r="Z49" s="77">
        <v>0</v>
      </c>
      <c r="AA49" s="76">
        <v>0</v>
      </c>
      <c r="AB49" s="77">
        <v>0</v>
      </c>
      <c r="AC49" s="78">
        <v>0</v>
      </c>
      <c r="AD49" s="78">
        <f t="shared" si="7"/>
        <v>0</v>
      </c>
      <c r="AE49" s="79">
        <v>0</v>
      </c>
      <c r="AF49" s="88">
        <f t="shared" si="0"/>
        <v>2065</v>
      </c>
      <c r="AG49" s="89">
        <f t="shared" si="1"/>
        <v>0</v>
      </c>
      <c r="AH49" s="89">
        <f t="shared" si="2"/>
        <v>0</v>
      </c>
      <c r="AI49" s="89">
        <f t="shared" si="3"/>
        <v>0</v>
      </c>
    </row>
    <row r="50" spans="1:35">
      <c r="A50" s="75">
        <f t="shared" si="4"/>
        <v>2066</v>
      </c>
      <c r="B50" s="76">
        <v>0</v>
      </c>
      <c r="C50" s="77">
        <v>0</v>
      </c>
      <c r="D50" s="77">
        <v>0</v>
      </c>
      <c r="E50" s="376">
        <v>0</v>
      </c>
      <c r="F50" s="77">
        <v>0</v>
      </c>
      <c r="G50" s="76">
        <v>0</v>
      </c>
      <c r="H50" s="77">
        <v>0</v>
      </c>
      <c r="I50" s="78">
        <v>0</v>
      </c>
      <c r="J50" s="78">
        <f t="shared" si="5"/>
        <v>0</v>
      </c>
      <c r="K50" s="76">
        <v>0</v>
      </c>
      <c r="L50" s="76">
        <v>0</v>
      </c>
      <c r="M50" s="77">
        <v>0</v>
      </c>
      <c r="N50" s="77">
        <v>0</v>
      </c>
      <c r="O50" s="376">
        <v>0</v>
      </c>
      <c r="P50" s="77">
        <v>0</v>
      </c>
      <c r="Q50" s="76">
        <v>0</v>
      </c>
      <c r="R50" s="77">
        <v>0</v>
      </c>
      <c r="S50" s="78">
        <v>0</v>
      </c>
      <c r="T50" s="78">
        <f t="shared" si="6"/>
        <v>0</v>
      </c>
      <c r="U50" s="76">
        <v>0</v>
      </c>
      <c r="V50" s="76">
        <v>0</v>
      </c>
      <c r="W50" s="77">
        <v>0</v>
      </c>
      <c r="X50" s="77">
        <v>0</v>
      </c>
      <c r="Y50" s="376">
        <v>0</v>
      </c>
      <c r="Z50" s="77">
        <v>0</v>
      </c>
      <c r="AA50" s="76">
        <v>0</v>
      </c>
      <c r="AB50" s="77">
        <v>0</v>
      </c>
      <c r="AC50" s="78">
        <v>0</v>
      </c>
      <c r="AD50" s="78">
        <f t="shared" si="7"/>
        <v>0</v>
      </c>
      <c r="AE50" s="79">
        <v>0</v>
      </c>
      <c r="AF50" s="88">
        <f t="shared" si="0"/>
        <v>2066</v>
      </c>
      <c r="AG50" s="89">
        <f t="shared" si="1"/>
        <v>0</v>
      </c>
      <c r="AH50" s="89">
        <f t="shared" si="2"/>
        <v>0</v>
      </c>
      <c r="AI50" s="89">
        <f t="shared" si="3"/>
        <v>0</v>
      </c>
    </row>
    <row r="51" spans="1:35">
      <c r="A51" s="75">
        <f t="shared" si="4"/>
        <v>2067</v>
      </c>
      <c r="B51" s="76">
        <v>0</v>
      </c>
      <c r="C51" s="77">
        <v>0</v>
      </c>
      <c r="D51" s="77">
        <v>0</v>
      </c>
      <c r="E51" s="376">
        <v>0</v>
      </c>
      <c r="F51" s="77">
        <v>0</v>
      </c>
      <c r="G51" s="76">
        <v>0</v>
      </c>
      <c r="H51" s="77">
        <v>0</v>
      </c>
      <c r="I51" s="78">
        <v>0</v>
      </c>
      <c r="J51" s="78">
        <f t="shared" si="5"/>
        <v>0</v>
      </c>
      <c r="K51" s="76">
        <v>0</v>
      </c>
      <c r="L51" s="76">
        <v>0</v>
      </c>
      <c r="M51" s="77">
        <v>0</v>
      </c>
      <c r="N51" s="77">
        <v>0</v>
      </c>
      <c r="O51" s="376">
        <v>0</v>
      </c>
      <c r="P51" s="77">
        <v>0</v>
      </c>
      <c r="Q51" s="76">
        <v>0</v>
      </c>
      <c r="R51" s="77">
        <v>0</v>
      </c>
      <c r="S51" s="78">
        <v>0</v>
      </c>
      <c r="T51" s="78">
        <f t="shared" si="6"/>
        <v>0</v>
      </c>
      <c r="U51" s="76">
        <v>0</v>
      </c>
      <c r="V51" s="76">
        <v>0</v>
      </c>
      <c r="W51" s="77">
        <v>0</v>
      </c>
      <c r="X51" s="77">
        <v>0</v>
      </c>
      <c r="Y51" s="376">
        <v>0</v>
      </c>
      <c r="Z51" s="77">
        <v>0</v>
      </c>
      <c r="AA51" s="76">
        <v>0</v>
      </c>
      <c r="AB51" s="77">
        <v>0</v>
      </c>
      <c r="AC51" s="78">
        <v>0</v>
      </c>
      <c r="AD51" s="78">
        <f t="shared" si="7"/>
        <v>0</v>
      </c>
      <c r="AE51" s="79">
        <v>0</v>
      </c>
      <c r="AF51" s="88">
        <f t="shared" si="0"/>
        <v>2067</v>
      </c>
      <c r="AG51" s="89">
        <f t="shared" si="1"/>
        <v>0</v>
      </c>
      <c r="AH51" s="89">
        <f t="shared" si="2"/>
        <v>0</v>
      </c>
      <c r="AI51" s="89">
        <f t="shared" si="3"/>
        <v>0</v>
      </c>
    </row>
    <row r="52" spans="1:35">
      <c r="A52" s="75">
        <f t="shared" si="4"/>
        <v>2068</v>
      </c>
      <c r="B52" s="76">
        <v>0</v>
      </c>
      <c r="C52" s="77">
        <v>0</v>
      </c>
      <c r="D52" s="77">
        <v>0</v>
      </c>
      <c r="E52" s="376">
        <v>0</v>
      </c>
      <c r="F52" s="77">
        <v>0</v>
      </c>
      <c r="G52" s="76">
        <v>0</v>
      </c>
      <c r="H52" s="77">
        <v>0</v>
      </c>
      <c r="I52" s="78">
        <v>0</v>
      </c>
      <c r="J52" s="78">
        <f t="shared" si="5"/>
        <v>0</v>
      </c>
      <c r="K52" s="76">
        <v>0</v>
      </c>
      <c r="L52" s="76">
        <v>0</v>
      </c>
      <c r="M52" s="77">
        <v>0</v>
      </c>
      <c r="N52" s="77">
        <v>0</v>
      </c>
      <c r="O52" s="376">
        <v>0</v>
      </c>
      <c r="P52" s="77">
        <v>0</v>
      </c>
      <c r="Q52" s="76">
        <v>0</v>
      </c>
      <c r="R52" s="77">
        <v>0</v>
      </c>
      <c r="S52" s="78">
        <v>0</v>
      </c>
      <c r="T52" s="78">
        <f t="shared" si="6"/>
        <v>0</v>
      </c>
      <c r="U52" s="76">
        <v>0</v>
      </c>
      <c r="V52" s="76">
        <v>0</v>
      </c>
      <c r="W52" s="77">
        <v>0</v>
      </c>
      <c r="X52" s="77">
        <v>0</v>
      </c>
      <c r="Y52" s="376">
        <v>0</v>
      </c>
      <c r="Z52" s="77">
        <v>0</v>
      </c>
      <c r="AA52" s="76">
        <v>0</v>
      </c>
      <c r="AB52" s="77">
        <v>0</v>
      </c>
      <c r="AC52" s="78">
        <v>0</v>
      </c>
      <c r="AD52" s="78">
        <f t="shared" si="7"/>
        <v>0</v>
      </c>
      <c r="AE52" s="79">
        <v>0</v>
      </c>
      <c r="AF52" s="88">
        <f t="shared" si="0"/>
        <v>2068</v>
      </c>
      <c r="AG52" s="89">
        <f t="shared" si="1"/>
        <v>0</v>
      </c>
      <c r="AH52" s="89">
        <f t="shared" si="2"/>
        <v>0</v>
      </c>
      <c r="AI52" s="89">
        <f t="shared" si="3"/>
        <v>0</v>
      </c>
    </row>
    <row r="53" spans="1:35" ht="15" thickBot="1">
      <c r="A53" s="75">
        <f t="shared" si="4"/>
        <v>2069</v>
      </c>
      <c r="B53" s="80">
        <v>0</v>
      </c>
      <c r="C53" s="81">
        <v>0</v>
      </c>
      <c r="D53" s="81">
        <v>0</v>
      </c>
      <c r="E53" s="377">
        <v>0</v>
      </c>
      <c r="F53" s="81">
        <v>0</v>
      </c>
      <c r="G53" s="80">
        <v>0</v>
      </c>
      <c r="H53" s="81">
        <v>0</v>
      </c>
      <c r="I53" s="82">
        <v>0</v>
      </c>
      <c r="J53" s="82">
        <f t="shared" si="5"/>
        <v>0</v>
      </c>
      <c r="K53" s="80">
        <v>0</v>
      </c>
      <c r="L53" s="80">
        <v>0</v>
      </c>
      <c r="M53" s="81">
        <v>0</v>
      </c>
      <c r="N53" s="81">
        <v>0</v>
      </c>
      <c r="O53" s="377">
        <v>0</v>
      </c>
      <c r="P53" s="81">
        <v>0</v>
      </c>
      <c r="Q53" s="80">
        <v>0</v>
      </c>
      <c r="R53" s="81">
        <v>0</v>
      </c>
      <c r="S53" s="82">
        <v>0</v>
      </c>
      <c r="T53" s="82">
        <f t="shared" si="6"/>
        <v>0</v>
      </c>
      <c r="U53" s="80">
        <v>0</v>
      </c>
      <c r="V53" s="80">
        <v>0</v>
      </c>
      <c r="W53" s="81">
        <v>0</v>
      </c>
      <c r="X53" s="81">
        <v>0</v>
      </c>
      <c r="Y53" s="377">
        <v>0</v>
      </c>
      <c r="Z53" s="81">
        <v>0</v>
      </c>
      <c r="AA53" s="80">
        <v>0</v>
      </c>
      <c r="AB53" s="81">
        <v>0</v>
      </c>
      <c r="AC53" s="82">
        <v>0</v>
      </c>
      <c r="AD53" s="82">
        <f t="shared" si="7"/>
        <v>0</v>
      </c>
      <c r="AE53" s="83">
        <v>0</v>
      </c>
      <c r="AF53" s="88">
        <f t="shared" si="0"/>
        <v>2069</v>
      </c>
      <c r="AG53" s="89">
        <f t="shared" si="1"/>
        <v>0</v>
      </c>
      <c r="AH53" s="89">
        <f t="shared" si="2"/>
        <v>0</v>
      </c>
      <c r="AI53" s="89">
        <f t="shared" si="3"/>
        <v>0</v>
      </c>
    </row>
    <row r="55" spans="1:35">
      <c r="B55" s="2">
        <f>NPV('Financial Information'!$B$5,Solar_Cap_FOM_Summary!B4:B37)*(1+'Financial Information'!$B$5)</f>
        <v>191269.0830681393</v>
      </c>
      <c r="C55" s="2">
        <f>NPV('Financial Information'!$B$5,Solar_Cap_FOM_Summary!C4:C37)*(1+'Financial Information'!$B$5)</f>
        <v>8026.7072871054406</v>
      </c>
      <c r="D55" s="2">
        <f>NPV('Financial Information'!$B$5,Solar_Cap_FOM_Summary!D4:D37)*(1+'Financial Information'!$B$5)</f>
        <v>4177.1082843542717</v>
      </c>
      <c r="E55" s="2">
        <f>NPV('Financial Information'!$B$5,Solar_Cap_FOM_Summary!E4:E37)*(1+'Financial Information'!$B$5)</f>
        <v>11875.399225644382</v>
      </c>
      <c r="F55" s="2">
        <f>NPV('Financial Information'!$B$5,Solar_Cap_FOM_Summary!F4:F37)*(1+'Financial Information'!$B$5)</f>
        <v>19889.076197292867</v>
      </c>
      <c r="G55" s="2">
        <f>NPV('Financial Information'!$B$5,Solar_Cap_FOM_Summary!G4:G37)*(1+'Financial Information'!$B$5)</f>
        <v>21556.183850363996</v>
      </c>
      <c r="H55" s="2">
        <f>NPV('Financial Information'!$B$5,Solar_Cap_FOM_Summary!H4:H37)*(1+'Financial Information'!$B$5)</f>
        <v>1941.1581361052406</v>
      </c>
      <c r="I55" s="2">
        <f>NPV('Financial Information'!$B$5,Solar_Cap_FOM_Summary!I4:I37)*(1+'Financial Information'!$B$5)</f>
        <v>441.44494928089171</v>
      </c>
      <c r="J55" s="2">
        <f>NPV('Financial Information'!$B$5,Solar_Cap_FOM_Summary!J4:J37)*(1+'Financial Information'!$B$5)</f>
        <v>259176.16099828636</v>
      </c>
      <c r="K55" s="2">
        <f>NPV('Financial Information'!$B$5,Solar_Cap_FOM_Summary!K4:K37)*(1+'Financial Information'!$B$5)</f>
        <v>258913.81546253976</v>
      </c>
      <c r="L55" s="2">
        <f>NPV('Financial Information'!$B$5,Solar_Cap_FOM_Summary!L4:L37)*(1+'Financial Information'!$B$5)</f>
        <v>328328.76164617069</v>
      </c>
      <c r="M55" s="2">
        <f>NPV('Financial Information'!$B$5,Solar_Cap_FOM_Summary!M4:M37)*(1+'Financial Information'!$B$5)</f>
        <v>14738.395644554535</v>
      </c>
      <c r="N55" s="2">
        <f>NPV('Financial Information'!$B$5,Solar_Cap_FOM_Summary!N4:N37)*(1+'Financial Information'!$B$5)</f>
        <v>7269.326542045701</v>
      </c>
      <c r="O55" s="2">
        <f>NPV('Financial Information'!$B$5,Solar_Cap_FOM_Summary!O4:O37)*(1+'Financial Information'!$B$5)</f>
        <v>22704.605829723096</v>
      </c>
      <c r="P55" s="2">
        <f>NPV('Financial Information'!$B$5,Solar_Cap_FOM_Summary!P4:P37)*(1+'Financial Information'!$B$5)</f>
        <v>37851.12820836663</v>
      </c>
      <c r="Q55" s="2">
        <f>NPV('Financial Information'!$B$5,Solar_Cap_FOM_Summary!Q4:Q37)*(1+'Financial Information'!$B$5)</f>
        <v>39319.266769432288</v>
      </c>
      <c r="R55" s="2">
        <f>NPV('Financial Information'!$B$5,Solar_Cap_FOM_Summary!R4:R37)*(1+'Financial Information'!$B$5)</f>
        <v>3675.6112653185874</v>
      </c>
      <c r="S55" s="2">
        <f>NPV('Financial Information'!$B$5,Solar_Cap_FOM_Summary!S4:S37)*(1+'Financial Information'!$B$5)</f>
        <v>800.37460890119507</v>
      </c>
      <c r="T55" s="2">
        <f>NPV('Financial Information'!$B$5,Solar_Cap_FOM_Summary!T4:T37)*(1+'Financial Information'!$B$5)</f>
        <v>454687.4705145128</v>
      </c>
      <c r="U55" s="2">
        <f>NPV('Financial Information'!$B$5,Solar_Cap_FOM_Summary!U4:U37)*(1+'Financial Information'!$B$5)</f>
        <v>454434.90689227445</v>
      </c>
      <c r="V55" s="2">
        <f>NPV('Financial Information'!$B$5,Solar_Cap_FOM_Summary!V4:V37)*(1+'Financial Information'!$B$5)</f>
        <v>306953.78984074981</v>
      </c>
      <c r="W55" s="2">
        <f>NPV('Financial Information'!$B$5,Solar_Cap_FOM_Summary!W4:W37)*(1+'Financial Information'!$B$5)</f>
        <v>14072.301078252696</v>
      </c>
      <c r="X55" s="2">
        <f>NPV('Financial Information'!$B$5,Solar_Cap_FOM_Summary!X4:X37)*(1+'Financial Information'!$B$5)</f>
        <v>6543.6031216416541</v>
      </c>
      <c r="Y55" s="2">
        <f>NPV('Financial Information'!$B$5,Solar_Cap_FOM_Summary!Y4:Y37)*(1+'Financial Information'!$B$5)</f>
        <v>21704.496669463508</v>
      </c>
      <c r="Z55" s="2">
        <f>NPV('Financial Information'!$B$5,Solar_Cap_FOM_Summary!Z4:Z37)*(1+'Financial Information'!$B$5)</f>
        <v>36050.682623075729</v>
      </c>
      <c r="AA55" s="2">
        <f>NPV('Financial Information'!$B$5,Solar_Cap_FOM_Summary!AA4:AA37)*(1+'Financial Information'!$B$5)</f>
        <v>37396.108822553753</v>
      </c>
      <c r="AB55" s="2">
        <f>NPV('Financial Information'!$B$5,Solar_Cap_FOM_Summary!AB4:AB37)*(1+'Financial Information'!$B$5)</f>
        <v>3477.2974747085323</v>
      </c>
      <c r="AC55" s="2">
        <f>NPV('Financial Information'!$B$5,Solar_Cap_FOM_Summary!AC4:AC37)*(1+'Financial Information'!$B$5)</f>
        <v>751.28236425789612</v>
      </c>
      <c r="AD55" s="2">
        <f>NPV('Financial Information'!$B$5,Solar_Cap_FOM_Summary!AD4:AD37)*(1+'Financial Information'!$B$5)</f>
        <v>426949.56199470366</v>
      </c>
      <c r="AE55" s="2">
        <f>NPV('Financial Information'!$B$5,Solar_Cap_FOM_Summary!AE4:AE37)*(1+'Financial Information'!$B$5)</f>
        <v>426949.56199470366</v>
      </c>
    </row>
  </sheetData>
  <mergeCells count="3">
    <mergeCell ref="B1:K1"/>
    <mergeCell ref="L1:U1"/>
    <mergeCell ref="V1:AE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BB62"/>
  <sheetViews>
    <sheetView workbookViewId="0">
      <pane xSplit="3" ySplit="1" topLeftCell="D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90625" defaultRowHeight="14.5"/>
  <cols>
    <col min="1" max="2" width="11.90625" style="6" bestFit="1" customWidth="1"/>
    <col min="3" max="3" width="16.36328125" style="6" bestFit="1" customWidth="1"/>
    <col min="4" max="4" width="5" style="6" bestFit="1" customWidth="1"/>
    <col min="5" max="5" width="6.54296875" style="6" bestFit="1" customWidth="1"/>
    <col min="6" max="10" width="8.36328125" style="6" bestFit="1" customWidth="1"/>
    <col min="11" max="15" width="8.08984375" style="6" bestFit="1" customWidth="1"/>
    <col min="16" max="35" width="8" style="6" bestFit="1" customWidth="1"/>
    <col min="36" max="36" width="6.54296875" style="6" bestFit="1" customWidth="1"/>
    <col min="37" max="16384" width="8.90625" style="6"/>
  </cols>
  <sheetData>
    <row r="1" spans="1:54">
      <c r="A1" s="385" t="s">
        <v>230</v>
      </c>
      <c r="B1" s="385" t="s">
        <v>5</v>
      </c>
      <c r="C1" s="388">
        <v>44531</v>
      </c>
      <c r="D1" s="385">
        <v>2019</v>
      </c>
      <c r="E1" s="385">
        <f t="shared" ref="E1:BB1" si="0">D1+1</f>
        <v>2020</v>
      </c>
      <c r="F1" s="385">
        <f t="shared" si="0"/>
        <v>2021</v>
      </c>
      <c r="G1" s="385">
        <f t="shared" si="0"/>
        <v>2022</v>
      </c>
      <c r="H1" s="385">
        <f t="shared" si="0"/>
        <v>2023</v>
      </c>
      <c r="I1" s="385">
        <f t="shared" si="0"/>
        <v>2024</v>
      </c>
      <c r="J1" s="385">
        <f t="shared" si="0"/>
        <v>2025</v>
      </c>
      <c r="K1" s="385">
        <f t="shared" si="0"/>
        <v>2026</v>
      </c>
      <c r="L1" s="385">
        <f t="shared" si="0"/>
        <v>2027</v>
      </c>
      <c r="M1" s="385">
        <f t="shared" si="0"/>
        <v>2028</v>
      </c>
      <c r="N1" s="385">
        <f t="shared" si="0"/>
        <v>2029</v>
      </c>
      <c r="O1" s="385">
        <f t="shared" si="0"/>
        <v>2030</v>
      </c>
      <c r="P1" s="385">
        <f t="shared" si="0"/>
        <v>2031</v>
      </c>
      <c r="Q1" s="385">
        <f t="shared" si="0"/>
        <v>2032</v>
      </c>
      <c r="R1" s="385">
        <f t="shared" si="0"/>
        <v>2033</v>
      </c>
      <c r="S1" s="385">
        <f t="shared" si="0"/>
        <v>2034</v>
      </c>
      <c r="T1" s="385">
        <f t="shared" si="0"/>
        <v>2035</v>
      </c>
      <c r="U1" s="385">
        <f t="shared" si="0"/>
        <v>2036</v>
      </c>
      <c r="V1" s="385">
        <f t="shared" si="0"/>
        <v>2037</v>
      </c>
      <c r="W1" s="385">
        <f t="shared" si="0"/>
        <v>2038</v>
      </c>
      <c r="X1" s="385">
        <f t="shared" si="0"/>
        <v>2039</v>
      </c>
      <c r="Y1" s="385">
        <f t="shared" si="0"/>
        <v>2040</v>
      </c>
      <c r="Z1" s="385">
        <f t="shared" si="0"/>
        <v>2041</v>
      </c>
      <c r="AA1" s="385">
        <f t="shared" si="0"/>
        <v>2042</v>
      </c>
      <c r="AB1" s="385">
        <f t="shared" si="0"/>
        <v>2043</v>
      </c>
      <c r="AC1" s="385">
        <f t="shared" si="0"/>
        <v>2044</v>
      </c>
      <c r="AD1" s="385">
        <f t="shared" si="0"/>
        <v>2045</v>
      </c>
      <c r="AE1" s="385">
        <f t="shared" si="0"/>
        <v>2046</v>
      </c>
      <c r="AF1" s="385">
        <f t="shared" si="0"/>
        <v>2047</v>
      </c>
      <c r="AG1" s="385">
        <f t="shared" si="0"/>
        <v>2048</v>
      </c>
      <c r="AH1" s="385">
        <f t="shared" si="0"/>
        <v>2049</v>
      </c>
      <c r="AI1" s="385">
        <f t="shared" si="0"/>
        <v>2050</v>
      </c>
      <c r="AJ1" s="385">
        <f t="shared" si="0"/>
        <v>2051</v>
      </c>
      <c r="AK1" s="385">
        <f t="shared" si="0"/>
        <v>2052</v>
      </c>
      <c r="AL1" s="385">
        <f t="shared" si="0"/>
        <v>2053</v>
      </c>
      <c r="AM1" s="385">
        <f t="shared" si="0"/>
        <v>2054</v>
      </c>
      <c r="AN1" s="385">
        <f t="shared" si="0"/>
        <v>2055</v>
      </c>
      <c r="AO1" s="385">
        <f t="shared" si="0"/>
        <v>2056</v>
      </c>
      <c r="AP1" s="385">
        <f t="shared" si="0"/>
        <v>2057</v>
      </c>
      <c r="AQ1" s="385">
        <f t="shared" si="0"/>
        <v>2058</v>
      </c>
      <c r="AR1" s="385">
        <f t="shared" si="0"/>
        <v>2059</v>
      </c>
      <c r="AS1" s="385">
        <f t="shared" si="0"/>
        <v>2060</v>
      </c>
      <c r="AT1" s="385">
        <f t="shared" si="0"/>
        <v>2061</v>
      </c>
      <c r="AU1" s="385">
        <f t="shared" si="0"/>
        <v>2062</v>
      </c>
      <c r="AV1" s="385">
        <f t="shared" si="0"/>
        <v>2063</v>
      </c>
      <c r="AW1" s="385">
        <f t="shared" si="0"/>
        <v>2064</v>
      </c>
      <c r="AX1" s="385">
        <f t="shared" si="0"/>
        <v>2065</v>
      </c>
      <c r="AY1" s="385">
        <f t="shared" si="0"/>
        <v>2066</v>
      </c>
      <c r="AZ1" s="385">
        <f t="shared" si="0"/>
        <v>2067</v>
      </c>
      <c r="BA1" s="385">
        <f t="shared" si="0"/>
        <v>2068</v>
      </c>
      <c r="BB1" s="385">
        <f t="shared" si="0"/>
        <v>2069</v>
      </c>
    </row>
    <row r="2" spans="1:54">
      <c r="A2" s="38">
        <f>NPV('Financial Information'!$B$5,$E2:$AL2)*(1+'Financial Information'!$B$5)</f>
        <v>89888.835522409761</v>
      </c>
      <c r="B2" s="24">
        <f>NPV('Financial Information'!$B$5,$E2:$BB2)*(1+'Financial Information'!$B$5)</f>
        <v>89888.835522409761</v>
      </c>
      <c r="C2" s="6" t="s">
        <v>0</v>
      </c>
      <c r="D2" s="15">
        <v>0</v>
      </c>
      <c r="E2" s="15">
        <v>0</v>
      </c>
      <c r="F2" s="15">
        <v>0</v>
      </c>
      <c r="G2" s="52">
        <v>12143.26334437205</v>
      </c>
      <c r="H2" s="52">
        <v>11421.094942967713</v>
      </c>
      <c r="I2" s="52">
        <v>10705.15149160659</v>
      </c>
      <c r="J2" s="52">
        <v>10175.413056823592</v>
      </c>
      <c r="K2" s="52">
        <v>8498.8333347296593</v>
      </c>
      <c r="L2" s="52">
        <v>8099.0722339403346</v>
      </c>
      <c r="M2" s="52">
        <v>7802.0291552269518</v>
      </c>
      <c r="N2" s="52">
        <v>7558.1321015135254</v>
      </c>
      <c r="O2" s="52">
        <v>7314.8585267584276</v>
      </c>
      <c r="P2" s="52">
        <v>7079.4803374346184</v>
      </c>
      <c r="Q2" s="52">
        <v>6840.7136302648305</v>
      </c>
      <c r="R2" s="52">
        <v>6597.8085518331081</v>
      </c>
      <c r="S2" s="52">
        <v>6355.346000728875</v>
      </c>
      <c r="T2" s="52">
        <v>6113.1182095825352</v>
      </c>
      <c r="U2" s="52">
        <v>5879.6307037337338</v>
      </c>
      <c r="V2" s="52">
        <v>5641.9251201176248</v>
      </c>
      <c r="W2" s="52">
        <v>5399.1132450405266</v>
      </c>
      <c r="X2" s="52">
        <v>5156.4585749682046</v>
      </c>
      <c r="Y2" s="52">
        <v>4913.7413737515544</v>
      </c>
      <c r="Z2" s="52">
        <v>4678.3580591251575</v>
      </c>
      <c r="AA2" s="52">
        <v>4439.8495458135549</v>
      </c>
      <c r="AB2" s="52">
        <v>4198.2192756338854</v>
      </c>
      <c r="AC2" s="52">
        <v>3957.2573926344967</v>
      </c>
      <c r="AD2" s="52">
        <v>3716.0049315578708</v>
      </c>
      <c r="AE2" s="52">
        <v>3481.8853253844509</v>
      </c>
      <c r="AF2" s="52">
        <v>3243.669449187737</v>
      </c>
      <c r="AG2" s="52">
        <v>3000.6086295653031</v>
      </c>
      <c r="AH2" s="52">
        <v>2757.310479285462</v>
      </c>
      <c r="AI2" s="52">
        <v>2513.6244300498629</v>
      </c>
      <c r="AJ2" s="52">
        <v>4135.3148870559198</v>
      </c>
      <c r="AK2" s="52">
        <v>-1.5808585971600864E-12</v>
      </c>
      <c r="AL2" s="52">
        <v>-1.5858441092575501E-12</v>
      </c>
      <c r="AM2" s="52">
        <v>-1.5858441092575501E-12</v>
      </c>
      <c r="AN2" s="52">
        <v>-1.5858441092575501E-12</v>
      </c>
      <c r="AO2" s="52">
        <v>-1.5858441092575501E-12</v>
      </c>
      <c r="AP2" s="52">
        <v>-1.5858441092575501E-12</v>
      </c>
      <c r="AQ2" s="52">
        <v>-1.5858441092575501E-12</v>
      </c>
      <c r="AR2" s="52">
        <v>-1.5858441092575501E-12</v>
      </c>
      <c r="AS2" s="52">
        <v>-1.5858441092575501E-12</v>
      </c>
      <c r="AT2" s="52">
        <v>-1.5858441092575501E-12</v>
      </c>
      <c r="AU2" s="52">
        <v>0</v>
      </c>
      <c r="AV2" s="52">
        <v>0</v>
      </c>
      <c r="AW2" s="52">
        <v>0</v>
      </c>
      <c r="AX2" s="52">
        <v>0</v>
      </c>
      <c r="AY2" s="52">
        <v>0</v>
      </c>
      <c r="AZ2" s="52">
        <v>0</v>
      </c>
      <c r="BA2" s="52">
        <v>0</v>
      </c>
      <c r="BB2" s="52">
        <v>0</v>
      </c>
    </row>
    <row r="3" spans="1:54">
      <c r="A3" s="38">
        <f>NPV('Financial Information'!$B$5,$E3:$AL3)*(1+'Financial Information'!$B$5)</f>
        <v>3360.9913149940667</v>
      </c>
      <c r="B3" s="24">
        <f>NPV('Financial Information'!$B$5,$E3:$BB3)*(1+'Financial Information'!$B$5)</f>
        <v>3360.9913149940667</v>
      </c>
      <c r="C3" s="6" t="s">
        <v>1</v>
      </c>
      <c r="D3" s="15">
        <v>0</v>
      </c>
      <c r="E3" s="15">
        <v>0</v>
      </c>
      <c r="F3" s="15">
        <v>0</v>
      </c>
      <c r="G3" s="52">
        <v>303.79986606461</v>
      </c>
      <c r="H3" s="52">
        <v>294.52886302181588</v>
      </c>
      <c r="I3" s="52">
        <v>288.34819432661976</v>
      </c>
      <c r="J3" s="52">
        <v>279.07719128382564</v>
      </c>
      <c r="K3" s="52">
        <v>269.80618824103141</v>
      </c>
      <c r="L3" s="52">
        <v>260.53518519823717</v>
      </c>
      <c r="M3" s="52">
        <v>251.26418215544305</v>
      </c>
      <c r="N3" s="52">
        <v>241.99317911264885</v>
      </c>
      <c r="O3" s="52">
        <v>232.72217606985467</v>
      </c>
      <c r="P3" s="52">
        <v>220.36083867946238</v>
      </c>
      <c r="Q3" s="52">
        <v>211.08983563666823</v>
      </c>
      <c r="R3" s="52">
        <v>198.72849824627599</v>
      </c>
      <c r="S3" s="52">
        <v>186.36716085588372</v>
      </c>
      <c r="T3" s="52">
        <v>174.00582346549149</v>
      </c>
      <c r="U3" s="52">
        <v>161.64448607509922</v>
      </c>
      <c r="V3" s="52">
        <v>149.28314868470702</v>
      </c>
      <c r="W3" s="52">
        <v>136.92181129431475</v>
      </c>
      <c r="X3" s="52">
        <v>603.56229778162219</v>
      </c>
      <c r="Y3" s="52">
        <v>526.3039390916706</v>
      </c>
      <c r="Z3" s="52">
        <v>464.49725213970936</v>
      </c>
      <c r="AA3" s="52">
        <v>464.49725213970936</v>
      </c>
      <c r="AB3" s="52">
        <v>402.69056518774818</v>
      </c>
      <c r="AC3" s="52">
        <v>402.69056518774818</v>
      </c>
      <c r="AD3" s="52">
        <v>356.33554997377723</v>
      </c>
      <c r="AE3" s="52">
        <v>356.33554997377723</v>
      </c>
      <c r="AF3" s="52">
        <v>325.43220649779647</v>
      </c>
      <c r="AG3" s="52">
        <v>309.98053475980623</v>
      </c>
      <c r="AH3" s="52">
        <v>309.98053475980623</v>
      </c>
      <c r="AI3" s="52">
        <v>309.98053475980623</v>
      </c>
      <c r="AJ3" s="52">
        <v>232.67482106985469</v>
      </c>
      <c r="AK3" s="52">
        <v>0</v>
      </c>
      <c r="AL3" s="52">
        <v>0</v>
      </c>
      <c r="AM3" s="52">
        <v>0</v>
      </c>
      <c r="AN3" s="52">
        <v>0</v>
      </c>
      <c r="AO3" s="52">
        <v>0</v>
      </c>
      <c r="AP3" s="52">
        <v>0</v>
      </c>
      <c r="AQ3" s="52">
        <v>0</v>
      </c>
      <c r="AR3" s="52">
        <v>0</v>
      </c>
      <c r="AS3" s="52">
        <v>0</v>
      </c>
      <c r="AT3" s="52">
        <v>0</v>
      </c>
      <c r="AU3" s="52">
        <v>0</v>
      </c>
      <c r="AV3" s="52">
        <v>0</v>
      </c>
      <c r="AW3" s="52">
        <v>0</v>
      </c>
      <c r="AX3" s="52">
        <v>0</v>
      </c>
      <c r="AY3" s="52">
        <v>0</v>
      </c>
      <c r="AZ3" s="52">
        <v>0</v>
      </c>
      <c r="BA3" s="52">
        <v>0</v>
      </c>
      <c r="BB3" s="52">
        <v>0</v>
      </c>
    </row>
    <row r="4" spans="1:54">
      <c r="A4" s="38">
        <f>NPV('Financial Information'!$B$5,$E4:$AL4)*(1+'Financial Information'!$B$5)</f>
        <v>1992.0951833168851</v>
      </c>
      <c r="B4" s="24">
        <f>NPV('Financial Information'!$B$5,$E4:$BB4)*(1+'Financial Information'!$B$5)</f>
        <v>1992.0951833168851</v>
      </c>
      <c r="C4" s="6" t="s">
        <v>2</v>
      </c>
      <c r="D4" s="15">
        <v>0</v>
      </c>
      <c r="E4" s="15">
        <v>0</v>
      </c>
      <c r="F4" s="15">
        <v>0</v>
      </c>
      <c r="G4" s="52">
        <v>119.30431799999999</v>
      </c>
      <c r="H4" s="52">
        <v>122.88344753999999</v>
      </c>
      <c r="I4" s="52">
        <v>126.56995096619998</v>
      </c>
      <c r="J4" s="52">
        <v>130.367049495186</v>
      </c>
      <c r="K4" s="52">
        <v>134.41514795309956</v>
      </c>
      <c r="L4" s="52">
        <v>138.51731624508511</v>
      </c>
      <c r="M4" s="52">
        <v>142.75517198127753</v>
      </c>
      <c r="N4" s="52">
        <v>147.13283771878648</v>
      </c>
      <c r="O4" s="52">
        <v>151.65446582510847</v>
      </c>
      <c r="P4" s="52">
        <v>156.48316085330103</v>
      </c>
      <c r="Q4" s="52">
        <v>161.31006411420375</v>
      </c>
      <c r="R4" s="52">
        <v>166.29372589146948</v>
      </c>
      <c r="S4" s="52">
        <v>171.43844639597714</v>
      </c>
      <c r="T4" s="52">
        <v>176.74857504333278</v>
      </c>
      <c r="U4" s="52">
        <v>182.44038689267802</v>
      </c>
      <c r="V4" s="52">
        <v>188.10097414422665</v>
      </c>
      <c r="W4" s="52">
        <v>193.94058963452392</v>
      </c>
      <c r="X4" s="52">
        <v>199.96387686459283</v>
      </c>
      <c r="Y4" s="52">
        <v>206.17557961792673</v>
      </c>
      <c r="Z4" s="52">
        <v>212.79413175015475</v>
      </c>
      <c r="AA4" s="52">
        <v>219.40376958679963</v>
      </c>
      <c r="AB4" s="52">
        <v>226.21697798183484</v>
      </c>
      <c r="AC4" s="52">
        <v>233.23903912495851</v>
      </c>
      <c r="AD4" s="52">
        <v>240.47540257443671</v>
      </c>
      <c r="AE4" s="52">
        <v>248.17929310197997</v>
      </c>
      <c r="AF4" s="52">
        <v>255.86877445817146</v>
      </c>
      <c r="AG4" s="52">
        <v>263.79026745967764</v>
      </c>
      <c r="AH4" s="52">
        <v>271.95002949862265</v>
      </c>
      <c r="AI4" s="52">
        <v>280.35454908732828</v>
      </c>
      <c r="AJ4" s="52">
        <v>289.29758659741316</v>
      </c>
      <c r="AK4" s="52">
        <v>0</v>
      </c>
      <c r="AL4" s="52">
        <v>0</v>
      </c>
      <c r="AM4" s="52">
        <v>0</v>
      </c>
      <c r="AN4" s="52">
        <v>0</v>
      </c>
      <c r="AO4" s="52">
        <v>0</v>
      </c>
      <c r="AP4" s="52">
        <v>0</v>
      </c>
      <c r="AQ4" s="52">
        <v>0</v>
      </c>
      <c r="AR4" s="52">
        <v>0</v>
      </c>
      <c r="AS4" s="52">
        <v>0</v>
      </c>
      <c r="AT4" s="52">
        <v>0</v>
      </c>
      <c r="AU4" s="52">
        <v>0</v>
      </c>
      <c r="AV4" s="52">
        <v>0</v>
      </c>
      <c r="AW4" s="52">
        <v>0</v>
      </c>
      <c r="AX4" s="52">
        <v>0</v>
      </c>
      <c r="AY4" s="52">
        <v>0</v>
      </c>
      <c r="AZ4" s="52">
        <v>0</v>
      </c>
      <c r="BA4" s="52">
        <v>0</v>
      </c>
      <c r="BB4" s="52">
        <v>0</v>
      </c>
    </row>
    <row r="5" spans="1:54">
      <c r="A5" s="395">
        <f>NPV('Financial Information'!$B$5,$E5:$AL5)*(1+'Financial Information'!$B$5)</f>
        <v>6808.9901767976535</v>
      </c>
      <c r="B5" s="13">
        <f>NPV('Financial Information'!$B$5,$E5:$BB5)*(1+'Financial Information'!$B$5)</f>
        <v>6808.9901767976535</v>
      </c>
      <c r="C5" s="1" t="s">
        <v>3</v>
      </c>
      <c r="D5" s="17">
        <v>0</v>
      </c>
      <c r="E5" s="17">
        <v>0</v>
      </c>
      <c r="F5" s="17">
        <v>0</v>
      </c>
      <c r="G5" s="376">
        <v>436</v>
      </c>
      <c r="H5" s="376">
        <v>447</v>
      </c>
      <c r="I5" s="376">
        <v>458</v>
      </c>
      <c r="J5" s="376">
        <v>469</v>
      </c>
      <c r="K5" s="376">
        <v>481</v>
      </c>
      <c r="L5" s="376">
        <v>493</v>
      </c>
      <c r="M5" s="376">
        <v>505</v>
      </c>
      <c r="N5" s="376">
        <v>518</v>
      </c>
      <c r="O5" s="376">
        <v>531</v>
      </c>
      <c r="P5" s="376">
        <v>544</v>
      </c>
      <c r="Q5" s="376">
        <v>558</v>
      </c>
      <c r="R5" s="376">
        <v>572</v>
      </c>
      <c r="S5" s="376">
        <v>586</v>
      </c>
      <c r="T5" s="376">
        <v>601</v>
      </c>
      <c r="U5" s="376">
        <v>616</v>
      </c>
      <c r="V5" s="376">
        <v>631</v>
      </c>
      <c r="W5" s="376">
        <v>647</v>
      </c>
      <c r="X5" s="376">
        <v>663</v>
      </c>
      <c r="Y5" s="376">
        <v>679</v>
      </c>
      <c r="Z5" s="376">
        <v>696</v>
      </c>
      <c r="AA5" s="376">
        <v>714</v>
      </c>
      <c r="AB5" s="376">
        <v>732</v>
      </c>
      <c r="AC5" s="376">
        <v>750</v>
      </c>
      <c r="AD5" s="376">
        <v>769</v>
      </c>
      <c r="AE5" s="376">
        <v>788</v>
      </c>
      <c r="AF5" s="376">
        <v>808</v>
      </c>
      <c r="AG5" s="376">
        <v>828</v>
      </c>
      <c r="AH5" s="376">
        <v>849</v>
      </c>
      <c r="AI5" s="376">
        <v>870</v>
      </c>
      <c r="AJ5" s="376">
        <v>891</v>
      </c>
      <c r="AK5" s="376">
        <v>0</v>
      </c>
      <c r="AL5" s="376">
        <v>0</v>
      </c>
      <c r="AM5" s="376">
        <v>0</v>
      </c>
      <c r="AN5" s="376">
        <v>0</v>
      </c>
      <c r="AO5" s="376">
        <v>0</v>
      </c>
      <c r="AP5" s="376">
        <v>0</v>
      </c>
      <c r="AQ5" s="376">
        <v>0</v>
      </c>
      <c r="AR5" s="376">
        <v>0</v>
      </c>
      <c r="AS5" s="376">
        <v>0</v>
      </c>
      <c r="AT5" s="376">
        <v>0</v>
      </c>
      <c r="AU5" s="376">
        <v>0</v>
      </c>
      <c r="AV5" s="376">
        <v>0</v>
      </c>
      <c r="AW5" s="376">
        <v>0</v>
      </c>
      <c r="AX5" s="376">
        <v>0</v>
      </c>
      <c r="AY5" s="376">
        <v>0</v>
      </c>
      <c r="AZ5" s="376">
        <v>0</v>
      </c>
      <c r="BA5" s="376">
        <v>0</v>
      </c>
      <c r="BB5" s="376">
        <v>0</v>
      </c>
    </row>
    <row r="6" spans="1:54">
      <c r="A6" s="38">
        <f>NPV('Financial Information'!$B$5,$E6:$AL6)*(1+'Financial Information'!$B$5)</f>
        <v>8292.9586245951923</v>
      </c>
      <c r="B6" s="24">
        <f>NPV('Financial Information'!$B$5,$E6:$BB6)*(1+'Financial Information'!$B$5)</f>
        <v>8292.9586245951923</v>
      </c>
      <c r="C6" s="6" t="s">
        <v>4</v>
      </c>
      <c r="D6" s="15">
        <v>0</v>
      </c>
      <c r="E6" s="15">
        <v>0</v>
      </c>
      <c r="F6" s="15">
        <v>0</v>
      </c>
      <c r="G6" s="52">
        <v>525</v>
      </c>
      <c r="H6" s="52">
        <v>530</v>
      </c>
      <c r="I6" s="52">
        <v>541</v>
      </c>
      <c r="J6" s="52">
        <v>551</v>
      </c>
      <c r="K6" s="52">
        <v>567</v>
      </c>
      <c r="L6" s="52">
        <v>630</v>
      </c>
      <c r="M6" s="52">
        <v>643</v>
      </c>
      <c r="N6" s="52">
        <v>656</v>
      </c>
      <c r="O6" s="52">
        <v>670</v>
      </c>
      <c r="P6" s="52">
        <v>689</v>
      </c>
      <c r="Q6" s="52">
        <v>698</v>
      </c>
      <c r="R6" s="52">
        <v>712</v>
      </c>
      <c r="S6" s="52">
        <v>727</v>
      </c>
      <c r="T6" s="52">
        <v>784</v>
      </c>
      <c r="U6" s="52">
        <v>761</v>
      </c>
      <c r="V6" s="52">
        <v>772</v>
      </c>
      <c r="W6" s="52">
        <v>788</v>
      </c>
      <c r="X6" s="52">
        <v>804</v>
      </c>
      <c r="Y6" s="52">
        <v>820</v>
      </c>
      <c r="Z6" s="52">
        <v>842</v>
      </c>
      <c r="AA6" s="52">
        <v>854</v>
      </c>
      <c r="AB6" s="52">
        <v>872</v>
      </c>
      <c r="AC6" s="52">
        <v>890</v>
      </c>
      <c r="AD6" s="52">
        <v>909</v>
      </c>
      <c r="AE6" s="52">
        <v>933</v>
      </c>
      <c r="AF6" s="52">
        <v>947</v>
      </c>
      <c r="AG6" s="52">
        <v>967</v>
      </c>
      <c r="AH6" s="52">
        <v>988</v>
      </c>
      <c r="AI6" s="52">
        <v>1009</v>
      </c>
      <c r="AJ6" s="52">
        <v>1035</v>
      </c>
      <c r="AK6" s="52">
        <v>0</v>
      </c>
      <c r="AL6" s="52">
        <v>0</v>
      </c>
      <c r="AM6" s="52">
        <v>0</v>
      </c>
      <c r="AN6" s="52">
        <v>0</v>
      </c>
      <c r="AO6" s="52">
        <v>0</v>
      </c>
      <c r="AP6" s="52">
        <v>0</v>
      </c>
      <c r="AQ6" s="52">
        <v>0</v>
      </c>
      <c r="AR6" s="52">
        <v>0</v>
      </c>
      <c r="AS6" s="52">
        <v>0</v>
      </c>
      <c r="AT6" s="52">
        <v>0</v>
      </c>
      <c r="AU6" s="52">
        <v>0</v>
      </c>
      <c r="AV6" s="52">
        <v>0</v>
      </c>
      <c r="AW6" s="52">
        <v>0</v>
      </c>
      <c r="AX6" s="52">
        <v>0</v>
      </c>
      <c r="AY6" s="52">
        <v>0</v>
      </c>
      <c r="AZ6" s="52">
        <v>0</v>
      </c>
      <c r="BA6" s="52">
        <v>0</v>
      </c>
      <c r="BB6" s="52">
        <v>0</v>
      </c>
    </row>
    <row r="7" spans="1:54">
      <c r="A7" s="24">
        <f>NPV('Financial Information'!$B$5,$E7:$AL7)*(1+'Financial Information'!$B$5)</f>
        <v>19360.587775879008</v>
      </c>
      <c r="B7" s="24">
        <f>NPV('Financial Information'!$B$5,$E7:$BB7)*(1+'Financial Information'!$B$5)</f>
        <v>19790.494492126607</v>
      </c>
      <c r="C7" s="6" t="s">
        <v>38</v>
      </c>
      <c r="D7" s="15">
        <v>0</v>
      </c>
      <c r="E7" s="15">
        <v>0</v>
      </c>
      <c r="F7" s="52">
        <v>0</v>
      </c>
      <c r="G7" s="15">
        <v>2110.5517374649571</v>
      </c>
      <c r="H7" s="15">
        <v>2056.6117078690386</v>
      </c>
      <c r="I7" s="15">
        <v>1996.6317987145794</v>
      </c>
      <c r="J7" s="15">
        <v>1938.8022860318865</v>
      </c>
      <c r="K7" s="15">
        <v>1882.962147195507</v>
      </c>
      <c r="L7" s="15">
        <v>1828.962708491521</v>
      </c>
      <c r="M7" s="15">
        <v>1776.6656429203854</v>
      </c>
      <c r="N7" s="15">
        <v>1725.9431065931376</v>
      </c>
      <c r="O7" s="15">
        <v>1676.0997981162113</v>
      </c>
      <c r="P7" s="15">
        <v>1626.38245410831</v>
      </c>
      <c r="Q7" s="15">
        <v>1576.6651101004088</v>
      </c>
      <c r="R7" s="15">
        <v>1526.9477660925077</v>
      </c>
      <c r="S7" s="15">
        <v>1477.2304220846063</v>
      </c>
      <c r="T7" s="15">
        <v>1427.5130780767054</v>
      </c>
      <c r="U7" s="15">
        <v>1377.795734068804</v>
      </c>
      <c r="V7" s="15">
        <v>1328.0783900609028</v>
      </c>
      <c r="W7" s="15">
        <v>1278.3610460530015</v>
      </c>
      <c r="X7" s="15">
        <v>1228.6437020451003</v>
      </c>
      <c r="Y7" s="15">
        <v>1178.926358037199</v>
      </c>
      <c r="Z7" s="15">
        <v>1129.2090140292978</v>
      </c>
      <c r="AA7" s="15">
        <v>1084.0952996691431</v>
      </c>
      <c r="AB7" s="15">
        <v>1048.1867811218965</v>
      </c>
      <c r="AC7" s="15">
        <v>1016.8818922223963</v>
      </c>
      <c r="AD7" s="15">
        <v>985.57700332289619</v>
      </c>
      <c r="AE7" s="15">
        <v>954.27211442339626</v>
      </c>
      <c r="AF7" s="15">
        <v>922.96722552389622</v>
      </c>
      <c r="AG7" s="15">
        <v>891.66233662439618</v>
      </c>
      <c r="AH7" s="15">
        <v>860.35744772489602</v>
      </c>
      <c r="AI7" s="15">
        <v>829.05255882539598</v>
      </c>
      <c r="AJ7" s="15">
        <v>797.74766992589593</v>
      </c>
      <c r="AK7" s="15">
        <v>766.44278102639578</v>
      </c>
      <c r="AL7" s="15">
        <v>735.13789212689585</v>
      </c>
      <c r="AM7" s="15">
        <v>703.83300322739581</v>
      </c>
      <c r="AN7" s="15">
        <v>672.52811432789565</v>
      </c>
      <c r="AO7" s="15">
        <v>641.22322542839561</v>
      </c>
      <c r="AP7" s="15">
        <v>609.91833652889557</v>
      </c>
      <c r="AQ7" s="15">
        <v>578.61344762939552</v>
      </c>
      <c r="AR7" s="15">
        <v>547.30855872989548</v>
      </c>
      <c r="AS7" s="15">
        <v>516.00366983039544</v>
      </c>
      <c r="AT7" s="15">
        <v>484.698780930878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</row>
    <row r="8" spans="1:54">
      <c r="A8" s="24">
        <f>NPV('Financial Information'!$B$5,$E8:$AL8)*(1+'Financial Information'!$B$5)</f>
        <v>2322.6394902331249</v>
      </c>
      <c r="B8" s="24">
        <f>NPV('Financial Information'!$B$5,$E8:$BB8)*(1+'Financial Information'!$B$5)</f>
        <v>2363.8621407614719</v>
      </c>
      <c r="C8" s="6" t="s">
        <v>39</v>
      </c>
      <c r="D8" s="15">
        <v>0</v>
      </c>
      <c r="E8" s="15">
        <v>0</v>
      </c>
      <c r="F8" s="52">
        <v>0</v>
      </c>
      <c r="G8" s="15">
        <v>282</v>
      </c>
      <c r="H8" s="15">
        <v>273</v>
      </c>
      <c r="I8" s="15">
        <v>267</v>
      </c>
      <c r="J8" s="15">
        <v>259</v>
      </c>
      <c r="K8" s="15">
        <v>250</v>
      </c>
      <c r="L8" s="15">
        <v>242</v>
      </c>
      <c r="M8" s="15">
        <v>233</v>
      </c>
      <c r="N8" s="15">
        <v>224</v>
      </c>
      <c r="O8" s="15">
        <v>216</v>
      </c>
      <c r="P8" s="15">
        <v>204</v>
      </c>
      <c r="Q8" s="15">
        <v>196</v>
      </c>
      <c r="R8" s="15">
        <v>184</v>
      </c>
      <c r="S8" s="15">
        <v>173</v>
      </c>
      <c r="T8" s="15">
        <v>161</v>
      </c>
      <c r="U8" s="15">
        <v>150</v>
      </c>
      <c r="V8" s="15">
        <v>138</v>
      </c>
      <c r="W8" s="15">
        <v>127</v>
      </c>
      <c r="X8" s="15">
        <v>112</v>
      </c>
      <c r="Y8" s="15">
        <v>98</v>
      </c>
      <c r="Z8" s="15">
        <v>86</v>
      </c>
      <c r="AA8" s="15">
        <v>86</v>
      </c>
      <c r="AB8" s="15">
        <v>75</v>
      </c>
      <c r="AC8" s="15">
        <v>75</v>
      </c>
      <c r="AD8" s="15">
        <v>66</v>
      </c>
      <c r="AE8" s="15">
        <v>66</v>
      </c>
      <c r="AF8" s="15">
        <v>60</v>
      </c>
      <c r="AG8" s="15">
        <v>58</v>
      </c>
      <c r="AH8" s="15">
        <v>58</v>
      </c>
      <c r="AI8" s="15">
        <v>58</v>
      </c>
      <c r="AJ8" s="15">
        <v>58</v>
      </c>
      <c r="AK8" s="15">
        <v>58</v>
      </c>
      <c r="AL8" s="15">
        <v>58</v>
      </c>
      <c r="AM8" s="15">
        <v>58</v>
      </c>
      <c r="AN8" s="15">
        <v>58</v>
      </c>
      <c r="AO8" s="15">
        <v>58</v>
      </c>
      <c r="AP8" s="15">
        <v>58</v>
      </c>
      <c r="AQ8" s="15">
        <v>58</v>
      </c>
      <c r="AR8" s="15">
        <v>58</v>
      </c>
      <c r="AS8" s="15">
        <v>58</v>
      </c>
      <c r="AT8" s="15">
        <v>58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</row>
    <row r="9" spans="1:54">
      <c r="A9" s="386">
        <f>NPV('Financial Information'!$B$5,$E9:$AL9)*(1+'Financial Information'!$B$5)</f>
        <v>388.83310990055276</v>
      </c>
      <c r="B9" s="386">
        <f>NPV('Financial Information'!$B$5,$E9:$BB9)*(1+'Financial Information'!$B$5)</f>
        <v>434.51684994067512</v>
      </c>
      <c r="C9" s="12" t="s">
        <v>40</v>
      </c>
      <c r="D9" s="389">
        <v>0</v>
      </c>
      <c r="E9" s="389">
        <v>0</v>
      </c>
      <c r="F9" s="389">
        <v>0</v>
      </c>
      <c r="G9" s="389">
        <v>22.682813999999997</v>
      </c>
      <c r="H9" s="389">
        <v>23.363298419999996</v>
      </c>
      <c r="I9" s="389">
        <v>24.064197372599995</v>
      </c>
      <c r="J9" s="389">
        <v>24.786123293777997</v>
      </c>
      <c r="K9" s="389">
        <v>25.529706992591336</v>
      </c>
      <c r="L9" s="389">
        <v>26.295598202369074</v>
      </c>
      <c r="M9" s="389">
        <v>27.084466148440146</v>
      </c>
      <c r="N9" s="389">
        <v>27.897000132893353</v>
      </c>
      <c r="O9" s="389">
        <v>28.733910136880151</v>
      </c>
      <c r="P9" s="389">
        <v>29.595927440986557</v>
      </c>
      <c r="Q9" s="389">
        <v>30.483805264216151</v>
      </c>
      <c r="R9" s="389">
        <v>31.398319422142638</v>
      </c>
      <c r="S9" s="389">
        <v>32.340269004806913</v>
      </c>
      <c r="T9" s="389">
        <v>33.310477074951116</v>
      </c>
      <c r="U9" s="389">
        <v>34.309791387199652</v>
      </c>
      <c r="V9" s="389">
        <v>35.339085128815647</v>
      </c>
      <c r="W9" s="389">
        <v>36.399257682680108</v>
      </c>
      <c r="X9" s="389">
        <v>37.49123541316051</v>
      </c>
      <c r="Y9" s="389">
        <v>38.615972475555331</v>
      </c>
      <c r="Z9" s="389">
        <v>39.774451649821991</v>
      </c>
      <c r="AA9" s="389">
        <v>40.967685199316648</v>
      </c>
      <c r="AB9" s="389">
        <v>42.19671575529614</v>
      </c>
      <c r="AC9" s="389">
        <v>43.462617227955029</v>
      </c>
      <c r="AD9" s="389">
        <v>44.76649574479368</v>
      </c>
      <c r="AE9" s="389">
        <v>46.109490617137489</v>
      </c>
      <c r="AF9" s="389">
        <v>47.492775335651608</v>
      </c>
      <c r="AG9" s="389">
        <v>48.917558595721168</v>
      </c>
      <c r="AH9" s="389">
        <v>50.385085353592793</v>
      </c>
      <c r="AI9" s="389">
        <v>51.896637914200582</v>
      </c>
      <c r="AJ9" s="389">
        <v>53.45353705162659</v>
      </c>
      <c r="AK9" s="389">
        <v>55.05714316317539</v>
      </c>
      <c r="AL9" s="389">
        <v>56.708857458070661</v>
      </c>
      <c r="AM9" s="389">
        <v>58.410123181812764</v>
      </c>
      <c r="AN9" s="389">
        <v>60.162426877267151</v>
      </c>
      <c r="AO9" s="389">
        <v>61.967299683585161</v>
      </c>
      <c r="AP9" s="389">
        <v>63.826318674092725</v>
      </c>
      <c r="AQ9" s="389">
        <v>65.741108234315504</v>
      </c>
      <c r="AR9" s="389">
        <v>67.713341481344955</v>
      </c>
      <c r="AS9" s="389">
        <v>69.744741725785303</v>
      </c>
      <c r="AT9" s="389">
        <v>71.837083977558876</v>
      </c>
      <c r="AU9" s="389">
        <v>0</v>
      </c>
      <c r="AV9" s="389">
        <v>0</v>
      </c>
      <c r="AW9" s="389">
        <v>0</v>
      </c>
      <c r="AX9" s="389">
        <v>0</v>
      </c>
      <c r="AY9" s="389">
        <v>0</v>
      </c>
      <c r="AZ9" s="389">
        <v>0</v>
      </c>
      <c r="BA9" s="389">
        <v>0</v>
      </c>
      <c r="BB9" s="389">
        <v>0</v>
      </c>
    </row>
    <row r="10" spans="1:54">
      <c r="A10" s="24">
        <f>SUM(A2:A9)</f>
        <v>132415.93119812626</v>
      </c>
      <c r="B10" s="24">
        <f>SUM(B2:B9)</f>
        <v>132932.74430494232</v>
      </c>
      <c r="D10" s="16">
        <f t="shared" ref="D10:BB10" si="1">SUM(D2:D9)</f>
        <v>0</v>
      </c>
      <c r="E10" s="16">
        <f t="shared" si="1"/>
        <v>0</v>
      </c>
      <c r="F10" s="16">
        <f t="shared" si="1"/>
        <v>0</v>
      </c>
      <c r="G10" s="16">
        <f t="shared" si="1"/>
        <v>15942.602079901617</v>
      </c>
      <c r="H10" s="16">
        <f t="shared" si="1"/>
        <v>15168.482259818567</v>
      </c>
      <c r="I10" s="16">
        <f t="shared" si="1"/>
        <v>14406.765632986589</v>
      </c>
      <c r="J10" s="16">
        <f t="shared" si="1"/>
        <v>13827.445706928269</v>
      </c>
      <c r="K10" s="16">
        <f t="shared" si="1"/>
        <v>12109.546525111888</v>
      </c>
      <c r="L10" s="16">
        <f t="shared" si="1"/>
        <v>11718.383042077547</v>
      </c>
      <c r="M10" s="16">
        <f t="shared" si="1"/>
        <v>11380.798618432498</v>
      </c>
      <c r="N10" s="16">
        <f t="shared" si="1"/>
        <v>11099.098225070993</v>
      </c>
      <c r="O10" s="16">
        <f t="shared" si="1"/>
        <v>10821.068876906482</v>
      </c>
      <c r="P10" s="16">
        <f t="shared" si="1"/>
        <v>10549.302718516679</v>
      </c>
      <c r="Q10" s="16">
        <f t="shared" si="1"/>
        <v>10272.262445380326</v>
      </c>
      <c r="R10" s="16">
        <f t="shared" si="1"/>
        <v>9989.1768614855046</v>
      </c>
      <c r="S10" s="16">
        <f t="shared" si="1"/>
        <v>9708.7222990701484</v>
      </c>
      <c r="T10" s="16">
        <f t="shared" si="1"/>
        <v>9470.6961632430157</v>
      </c>
      <c r="U10" s="16">
        <f t="shared" si="1"/>
        <v>9162.8211021575135</v>
      </c>
      <c r="V10" s="16">
        <f t="shared" si="1"/>
        <v>8883.7267181362768</v>
      </c>
      <c r="W10" s="16">
        <f t="shared" si="1"/>
        <v>8606.7359497050475</v>
      </c>
      <c r="X10" s="16">
        <f t="shared" si="1"/>
        <v>8805.1196870726799</v>
      </c>
      <c r="Y10" s="16">
        <f t="shared" si="1"/>
        <v>8460.7632229739065</v>
      </c>
      <c r="Z10" s="16">
        <f t="shared" si="1"/>
        <v>8148.6329086941414</v>
      </c>
      <c r="AA10" s="16">
        <f t="shared" si="1"/>
        <v>7902.8135524085237</v>
      </c>
      <c r="AB10" s="16">
        <f t="shared" si="1"/>
        <v>7596.5103156806608</v>
      </c>
      <c r="AC10" s="16">
        <f t="shared" si="1"/>
        <v>7368.531506397554</v>
      </c>
      <c r="AD10" s="16">
        <f t="shared" si="1"/>
        <v>7087.1593831737746</v>
      </c>
      <c r="AE10" s="16">
        <f t="shared" si="1"/>
        <v>6873.781773500742</v>
      </c>
      <c r="AF10" s="16">
        <f t="shared" si="1"/>
        <v>6610.430431003253</v>
      </c>
      <c r="AG10" s="16">
        <f t="shared" si="1"/>
        <v>6367.9593270049036</v>
      </c>
      <c r="AH10" s="16">
        <f t="shared" si="1"/>
        <v>6144.9835766223796</v>
      </c>
      <c r="AI10" s="16">
        <f t="shared" si="1"/>
        <v>5921.9087106365942</v>
      </c>
      <c r="AJ10" s="16">
        <f t="shared" si="1"/>
        <v>7492.48850170071</v>
      </c>
      <c r="AK10" s="16">
        <f t="shared" si="1"/>
        <v>879.49992418956958</v>
      </c>
      <c r="AL10" s="16">
        <f t="shared" si="1"/>
        <v>849.84674958496487</v>
      </c>
      <c r="AM10" s="16">
        <f t="shared" si="1"/>
        <v>820.24312640920698</v>
      </c>
      <c r="AN10" s="16">
        <f t="shared" si="1"/>
        <v>790.69054120516125</v>
      </c>
      <c r="AO10" s="16">
        <f t="shared" si="1"/>
        <v>761.19052511197913</v>
      </c>
      <c r="AP10" s="16">
        <f t="shared" si="1"/>
        <v>731.74465520298668</v>
      </c>
      <c r="AQ10" s="16">
        <f t="shared" si="1"/>
        <v>702.35455586370949</v>
      </c>
      <c r="AR10" s="16">
        <f t="shared" si="1"/>
        <v>673.02190021123886</v>
      </c>
      <c r="AS10" s="16">
        <f t="shared" si="1"/>
        <v>643.74841155617912</v>
      </c>
      <c r="AT10" s="16">
        <f t="shared" si="1"/>
        <v>614.53586490843531</v>
      </c>
      <c r="AU10" s="16">
        <f t="shared" si="1"/>
        <v>0</v>
      </c>
      <c r="AV10" s="16">
        <f t="shared" si="1"/>
        <v>0</v>
      </c>
      <c r="AW10" s="16">
        <f t="shared" si="1"/>
        <v>0</v>
      </c>
      <c r="AX10" s="16">
        <f t="shared" si="1"/>
        <v>0</v>
      </c>
      <c r="AY10" s="16">
        <f t="shared" si="1"/>
        <v>0</v>
      </c>
      <c r="AZ10" s="16">
        <f t="shared" si="1"/>
        <v>0</v>
      </c>
      <c r="BA10" s="16">
        <f t="shared" si="1"/>
        <v>0</v>
      </c>
      <c r="BB10" s="16">
        <f t="shared" si="1"/>
        <v>0</v>
      </c>
    </row>
    <row r="11" spans="1:54">
      <c r="A11" s="2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54">
      <c r="A12" s="390"/>
      <c r="B12" s="6">
        <v>74.900000000000006</v>
      </c>
      <c r="C12" s="6" t="str">
        <f>C6&amp;" $/kw"</f>
        <v>O&amp;M $/kw</v>
      </c>
      <c r="D12" s="52">
        <v>0</v>
      </c>
      <c r="E12" s="25">
        <f>E6/$B$12</f>
        <v>0</v>
      </c>
      <c r="F12" s="25">
        <f t="shared" ref="F12:AK12" si="2">F6/$B$12</f>
        <v>0</v>
      </c>
      <c r="G12" s="25">
        <f t="shared" si="2"/>
        <v>7.009345794392523</v>
      </c>
      <c r="H12" s="25">
        <f t="shared" si="2"/>
        <v>7.0761014686248327</v>
      </c>
      <c r="I12" s="25">
        <f t="shared" si="2"/>
        <v>7.2229639519359141</v>
      </c>
      <c r="J12" s="25">
        <f t="shared" si="2"/>
        <v>7.3564753004005334</v>
      </c>
      <c r="K12" s="25">
        <f t="shared" si="2"/>
        <v>7.5700934579439245</v>
      </c>
      <c r="L12" s="25">
        <f t="shared" si="2"/>
        <v>8.4112149532710276</v>
      </c>
      <c r="M12" s="25">
        <f t="shared" si="2"/>
        <v>8.5847797062750324</v>
      </c>
      <c r="N12" s="25">
        <f t="shared" si="2"/>
        <v>8.7583444592790389</v>
      </c>
      <c r="O12" s="25">
        <f t="shared" si="2"/>
        <v>8.9452603471295049</v>
      </c>
      <c r="P12" s="25">
        <f t="shared" si="2"/>
        <v>9.1989319092122823</v>
      </c>
      <c r="Q12" s="25">
        <f t="shared" si="2"/>
        <v>9.3190921228304404</v>
      </c>
      <c r="R12" s="25">
        <f t="shared" si="2"/>
        <v>9.5060080106809064</v>
      </c>
      <c r="S12" s="25">
        <f t="shared" si="2"/>
        <v>9.7062750333778371</v>
      </c>
      <c r="T12" s="25">
        <f t="shared" si="2"/>
        <v>10.467289719626168</v>
      </c>
      <c r="U12" s="25">
        <f t="shared" si="2"/>
        <v>10.160213618157542</v>
      </c>
      <c r="V12" s="25">
        <f t="shared" si="2"/>
        <v>10.307076101468624</v>
      </c>
      <c r="W12" s="25">
        <f t="shared" si="2"/>
        <v>10.520694259012016</v>
      </c>
      <c r="X12" s="25">
        <f t="shared" si="2"/>
        <v>10.734312416555406</v>
      </c>
      <c r="Y12" s="25">
        <f t="shared" si="2"/>
        <v>10.947930574098798</v>
      </c>
      <c r="Z12" s="25">
        <f t="shared" si="2"/>
        <v>11.241655540720961</v>
      </c>
      <c r="AA12" s="25">
        <f t="shared" si="2"/>
        <v>11.401869158878505</v>
      </c>
      <c r="AB12" s="25">
        <f t="shared" si="2"/>
        <v>11.642189586114819</v>
      </c>
      <c r="AC12" s="25">
        <f t="shared" si="2"/>
        <v>11.882510013351133</v>
      </c>
      <c r="AD12" s="25">
        <f t="shared" si="2"/>
        <v>12.136181575433911</v>
      </c>
      <c r="AE12" s="25">
        <f t="shared" si="2"/>
        <v>12.456608811748998</v>
      </c>
      <c r="AF12" s="25">
        <f t="shared" si="2"/>
        <v>12.643524699599466</v>
      </c>
      <c r="AG12" s="25">
        <f t="shared" si="2"/>
        <v>12.910547396528704</v>
      </c>
      <c r="AH12" s="25">
        <f t="shared" si="2"/>
        <v>13.190921228304404</v>
      </c>
      <c r="AI12" s="25">
        <f t="shared" si="2"/>
        <v>13.471295060080106</v>
      </c>
      <c r="AJ12" s="25">
        <f t="shared" si="2"/>
        <v>13.818424566088117</v>
      </c>
      <c r="AK12" s="25">
        <f t="shared" si="2"/>
        <v>0</v>
      </c>
    </row>
    <row r="13" spans="1:54">
      <c r="A13" s="390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</row>
    <row r="14" spans="1:54"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</row>
    <row r="15" spans="1:54">
      <c r="AI15" s="16"/>
    </row>
    <row r="16" spans="1:54">
      <c r="A16" s="38">
        <f>NPV('Financial Information'!$B$5,$E16:$AL16)*(1+'Financial Information'!$B$5)</f>
        <v>8292.9586245951923</v>
      </c>
      <c r="B16" s="24">
        <f>NPV('Financial Information'!$B$5,$D16:$BB16)*(1+'Financial Information'!$B$5)</f>
        <v>7772.2198918417917</v>
      </c>
      <c r="C16" s="6" t="str">
        <f>C6</f>
        <v>O&amp;M</v>
      </c>
      <c r="D16" s="6">
        <v>0</v>
      </c>
      <c r="E16" s="16">
        <f>E6</f>
        <v>0</v>
      </c>
      <c r="F16" s="16">
        <f t="shared" ref="F16:BB16" si="3">F6</f>
        <v>0</v>
      </c>
      <c r="G16" s="16">
        <f t="shared" si="3"/>
        <v>525</v>
      </c>
      <c r="H16" s="16">
        <f t="shared" si="3"/>
        <v>530</v>
      </c>
      <c r="I16" s="16">
        <f t="shared" si="3"/>
        <v>541</v>
      </c>
      <c r="J16" s="16">
        <f t="shared" si="3"/>
        <v>551</v>
      </c>
      <c r="K16" s="16">
        <f t="shared" si="3"/>
        <v>567</v>
      </c>
      <c r="L16" s="16">
        <f t="shared" si="3"/>
        <v>630</v>
      </c>
      <c r="M16" s="16">
        <f t="shared" si="3"/>
        <v>643</v>
      </c>
      <c r="N16" s="16">
        <f t="shared" si="3"/>
        <v>656</v>
      </c>
      <c r="O16" s="16">
        <f t="shared" si="3"/>
        <v>670</v>
      </c>
      <c r="P16" s="16">
        <f t="shared" si="3"/>
        <v>689</v>
      </c>
      <c r="Q16" s="16">
        <f t="shared" si="3"/>
        <v>698</v>
      </c>
      <c r="R16" s="16">
        <f t="shared" si="3"/>
        <v>712</v>
      </c>
      <c r="S16" s="16">
        <f t="shared" si="3"/>
        <v>727</v>
      </c>
      <c r="T16" s="16">
        <f t="shared" si="3"/>
        <v>784</v>
      </c>
      <c r="U16" s="16">
        <f t="shared" si="3"/>
        <v>761</v>
      </c>
      <c r="V16" s="16">
        <f t="shared" si="3"/>
        <v>772</v>
      </c>
      <c r="W16" s="16">
        <f t="shared" si="3"/>
        <v>788</v>
      </c>
      <c r="X16" s="16">
        <f t="shared" si="3"/>
        <v>804</v>
      </c>
      <c r="Y16" s="16">
        <f t="shared" si="3"/>
        <v>820</v>
      </c>
      <c r="Z16" s="16">
        <f t="shared" si="3"/>
        <v>842</v>
      </c>
      <c r="AA16" s="16">
        <f t="shared" si="3"/>
        <v>854</v>
      </c>
      <c r="AB16" s="16">
        <f t="shared" si="3"/>
        <v>872</v>
      </c>
      <c r="AC16" s="16">
        <f t="shared" si="3"/>
        <v>890</v>
      </c>
      <c r="AD16" s="16">
        <f t="shared" si="3"/>
        <v>909</v>
      </c>
      <c r="AE16" s="16">
        <f t="shared" si="3"/>
        <v>933</v>
      </c>
      <c r="AF16" s="16">
        <f t="shared" si="3"/>
        <v>947</v>
      </c>
      <c r="AG16" s="16">
        <f t="shared" si="3"/>
        <v>967</v>
      </c>
      <c r="AH16" s="16">
        <f t="shared" si="3"/>
        <v>988</v>
      </c>
      <c r="AI16" s="16">
        <f t="shared" si="3"/>
        <v>1009</v>
      </c>
      <c r="AJ16" s="16">
        <f t="shared" si="3"/>
        <v>1035</v>
      </c>
      <c r="AK16" s="16">
        <f t="shared" si="3"/>
        <v>0</v>
      </c>
      <c r="AL16" s="16">
        <f t="shared" si="3"/>
        <v>0</v>
      </c>
      <c r="AM16" s="16">
        <f t="shared" si="3"/>
        <v>0</v>
      </c>
      <c r="AN16" s="16">
        <f t="shared" si="3"/>
        <v>0</v>
      </c>
      <c r="AO16" s="16">
        <f t="shared" si="3"/>
        <v>0</v>
      </c>
      <c r="AP16" s="16">
        <f t="shared" si="3"/>
        <v>0</v>
      </c>
      <c r="AQ16" s="16">
        <f t="shared" si="3"/>
        <v>0</v>
      </c>
      <c r="AR16" s="16">
        <f t="shared" si="3"/>
        <v>0</v>
      </c>
      <c r="AS16" s="16">
        <f t="shared" si="3"/>
        <v>0</v>
      </c>
      <c r="AT16" s="16">
        <f t="shared" si="3"/>
        <v>0</v>
      </c>
      <c r="AU16" s="16">
        <f t="shared" si="3"/>
        <v>0</v>
      </c>
      <c r="AV16" s="16">
        <f t="shared" si="3"/>
        <v>0</v>
      </c>
      <c r="AW16" s="16">
        <f t="shared" si="3"/>
        <v>0</v>
      </c>
      <c r="AX16" s="16">
        <f t="shared" si="3"/>
        <v>0</v>
      </c>
      <c r="AY16" s="16">
        <f t="shared" si="3"/>
        <v>0</v>
      </c>
      <c r="AZ16" s="16">
        <f t="shared" si="3"/>
        <v>0</v>
      </c>
      <c r="BA16" s="16">
        <f t="shared" si="3"/>
        <v>0</v>
      </c>
      <c r="BB16" s="16">
        <f t="shared" si="3"/>
        <v>0</v>
      </c>
    </row>
    <row r="17" spans="1:54">
      <c r="A17" s="38">
        <f>NPV('Financial Information'!$B$5,$E17:$AL17)*(1+'Financial Information'!$B$5)</f>
        <v>102050.91219751838</v>
      </c>
      <c r="B17" s="24">
        <f>NPV('Financial Information'!$B$5,$D17:$BB17)*(1+'Financial Information'!$B$5)</f>
        <v>95642.841797111891</v>
      </c>
      <c r="C17" s="6" t="s">
        <v>108</v>
      </c>
      <c r="D17" s="6">
        <v>0</v>
      </c>
      <c r="E17" s="16">
        <f>SUM(E2:E5)</f>
        <v>0</v>
      </c>
      <c r="F17" s="16">
        <f t="shared" ref="F17:BB17" si="4">SUM(F2:F5)</f>
        <v>0</v>
      </c>
      <c r="G17" s="16">
        <f t="shared" si="4"/>
        <v>13002.36752843666</v>
      </c>
      <c r="H17" s="16">
        <f t="shared" si="4"/>
        <v>12285.507253529529</v>
      </c>
      <c r="I17" s="16">
        <f t="shared" si="4"/>
        <v>11578.06963689941</v>
      </c>
      <c r="J17" s="16">
        <f t="shared" si="4"/>
        <v>11053.857297602604</v>
      </c>
      <c r="K17" s="16">
        <f t="shared" si="4"/>
        <v>9384.0546709237897</v>
      </c>
      <c r="L17" s="16">
        <f t="shared" si="4"/>
        <v>8991.124735383657</v>
      </c>
      <c r="M17" s="16">
        <f t="shared" si="4"/>
        <v>8701.0485093636726</v>
      </c>
      <c r="N17" s="16">
        <f t="shared" si="4"/>
        <v>8465.258118344962</v>
      </c>
      <c r="O17" s="16">
        <f t="shared" si="4"/>
        <v>8230.2351686533912</v>
      </c>
      <c r="P17" s="16">
        <f t="shared" si="4"/>
        <v>8000.3243369673819</v>
      </c>
      <c r="Q17" s="16">
        <f t="shared" si="4"/>
        <v>7771.1135300157021</v>
      </c>
      <c r="R17" s="16">
        <f t="shared" si="4"/>
        <v>7534.8307759708541</v>
      </c>
      <c r="S17" s="16">
        <f t="shared" si="4"/>
        <v>7299.1516079807352</v>
      </c>
      <c r="T17" s="16">
        <f t="shared" si="4"/>
        <v>7064.8726080913593</v>
      </c>
      <c r="U17" s="16">
        <f t="shared" si="4"/>
        <v>6839.7155767015111</v>
      </c>
      <c r="V17" s="16">
        <f t="shared" si="4"/>
        <v>6610.3092429465587</v>
      </c>
      <c r="W17" s="16">
        <f t="shared" si="4"/>
        <v>6376.9756459693654</v>
      </c>
      <c r="X17" s="16">
        <f t="shared" si="4"/>
        <v>6622.9847496144193</v>
      </c>
      <c r="Y17" s="16">
        <f t="shared" si="4"/>
        <v>6325.2208924611523</v>
      </c>
      <c r="Z17" s="16">
        <f t="shared" si="4"/>
        <v>6051.6494430150215</v>
      </c>
      <c r="AA17" s="16">
        <f t="shared" si="4"/>
        <v>5837.7505675400644</v>
      </c>
      <c r="AB17" s="16">
        <f t="shared" si="4"/>
        <v>5559.1268188034683</v>
      </c>
      <c r="AC17" s="16">
        <f t="shared" si="4"/>
        <v>5343.1869969472027</v>
      </c>
      <c r="AD17" s="16">
        <f t="shared" si="4"/>
        <v>5081.8158841060849</v>
      </c>
      <c r="AE17" s="16">
        <f t="shared" si="4"/>
        <v>4874.4001684602081</v>
      </c>
      <c r="AF17" s="16">
        <f t="shared" si="4"/>
        <v>4632.970430143705</v>
      </c>
      <c r="AG17" s="16">
        <f t="shared" si="4"/>
        <v>4402.3794317847869</v>
      </c>
      <c r="AH17" s="16">
        <f t="shared" si="4"/>
        <v>4188.2410435438906</v>
      </c>
      <c r="AI17" s="16">
        <f t="shared" si="4"/>
        <v>3973.9595138969976</v>
      </c>
      <c r="AJ17" s="16">
        <f t="shared" si="4"/>
        <v>5548.2872947231872</v>
      </c>
      <c r="AK17" s="16">
        <f t="shared" si="4"/>
        <v>-1.5808585971600864E-12</v>
      </c>
      <c r="AL17" s="16">
        <f t="shared" si="4"/>
        <v>-1.5858441092575501E-12</v>
      </c>
      <c r="AM17" s="16">
        <f t="shared" si="4"/>
        <v>-1.5858441092575501E-12</v>
      </c>
      <c r="AN17" s="16">
        <f t="shared" si="4"/>
        <v>-1.5858441092575501E-12</v>
      </c>
      <c r="AO17" s="16">
        <f t="shared" si="4"/>
        <v>-1.5858441092575501E-12</v>
      </c>
      <c r="AP17" s="16">
        <f t="shared" si="4"/>
        <v>-1.5858441092575501E-12</v>
      </c>
      <c r="AQ17" s="16">
        <f t="shared" si="4"/>
        <v>-1.5858441092575501E-12</v>
      </c>
      <c r="AR17" s="16">
        <f t="shared" si="4"/>
        <v>-1.5858441092575501E-12</v>
      </c>
      <c r="AS17" s="16">
        <f t="shared" si="4"/>
        <v>-1.5858441092575501E-12</v>
      </c>
      <c r="AT17" s="16">
        <f t="shared" si="4"/>
        <v>-1.5858441092575501E-12</v>
      </c>
      <c r="AU17" s="16">
        <f t="shared" si="4"/>
        <v>0</v>
      </c>
      <c r="AV17" s="16">
        <f t="shared" si="4"/>
        <v>0</v>
      </c>
      <c r="AW17" s="16">
        <f t="shared" si="4"/>
        <v>0</v>
      </c>
      <c r="AX17" s="16">
        <f t="shared" si="4"/>
        <v>0</v>
      </c>
      <c r="AY17" s="16">
        <f t="shared" si="4"/>
        <v>0</v>
      </c>
      <c r="AZ17" s="16">
        <f t="shared" si="4"/>
        <v>0</v>
      </c>
      <c r="BA17" s="16">
        <f t="shared" si="4"/>
        <v>0</v>
      </c>
      <c r="BB17" s="16">
        <f t="shared" si="4"/>
        <v>0</v>
      </c>
    </row>
    <row r="18" spans="1:54">
      <c r="A18" s="386">
        <f>NPV('Financial Information'!$B$5,$E18:$AL18)*(1+'Financial Information'!$B$5)</f>
        <v>22072.060376012687</v>
      </c>
      <c r="B18" s="386">
        <f>NPV('Financial Information'!$B$5,$D18:$BB18)*(1+'Financial Information'!$B$5)</f>
        <v>21170.453123550851</v>
      </c>
      <c r="C18" s="6" t="s">
        <v>107</v>
      </c>
      <c r="D18" s="6">
        <v>0</v>
      </c>
      <c r="E18" s="16">
        <f>SUM(E7:E9)</f>
        <v>0</v>
      </c>
      <c r="F18" s="16">
        <f t="shared" ref="F18:BB18" si="5">SUM(F7:F9)</f>
        <v>0</v>
      </c>
      <c r="G18" s="16">
        <f t="shared" si="5"/>
        <v>2415.2345514649569</v>
      </c>
      <c r="H18" s="16">
        <f t="shared" si="5"/>
        <v>2352.9750062890384</v>
      </c>
      <c r="I18" s="16">
        <f t="shared" si="5"/>
        <v>2287.6959960871795</v>
      </c>
      <c r="J18" s="16">
        <f t="shared" si="5"/>
        <v>2222.5884093256645</v>
      </c>
      <c r="K18" s="16">
        <f t="shared" si="5"/>
        <v>2158.4918541880984</v>
      </c>
      <c r="L18" s="16">
        <f t="shared" si="5"/>
        <v>2097.2583066938901</v>
      </c>
      <c r="M18" s="16">
        <f t="shared" si="5"/>
        <v>2036.7501090688256</v>
      </c>
      <c r="N18" s="16">
        <f t="shared" si="5"/>
        <v>1977.8401067260309</v>
      </c>
      <c r="O18" s="16">
        <f t="shared" si="5"/>
        <v>1920.8337082530916</v>
      </c>
      <c r="P18" s="16">
        <f t="shared" si="5"/>
        <v>1859.9783815492965</v>
      </c>
      <c r="Q18" s="16">
        <f t="shared" si="5"/>
        <v>1803.1489153646251</v>
      </c>
      <c r="R18" s="16">
        <f t="shared" si="5"/>
        <v>1742.3460855146502</v>
      </c>
      <c r="S18" s="16">
        <f t="shared" si="5"/>
        <v>1682.5706910894132</v>
      </c>
      <c r="T18" s="16">
        <f t="shared" si="5"/>
        <v>1621.8235551516566</v>
      </c>
      <c r="U18" s="16">
        <f t="shared" si="5"/>
        <v>1562.1055254560038</v>
      </c>
      <c r="V18" s="16">
        <f t="shared" si="5"/>
        <v>1501.4174751897185</v>
      </c>
      <c r="W18" s="16">
        <f t="shared" si="5"/>
        <v>1441.7603037356816</v>
      </c>
      <c r="X18" s="16">
        <f t="shared" si="5"/>
        <v>1378.1349374582608</v>
      </c>
      <c r="Y18" s="16">
        <f t="shared" si="5"/>
        <v>1315.5423305127542</v>
      </c>
      <c r="Z18" s="16">
        <f t="shared" si="5"/>
        <v>1254.9834656791197</v>
      </c>
      <c r="AA18" s="16">
        <f t="shared" si="5"/>
        <v>1211.0629848684598</v>
      </c>
      <c r="AB18" s="16">
        <f t="shared" si="5"/>
        <v>1165.3834968771926</v>
      </c>
      <c r="AC18" s="16">
        <f t="shared" si="5"/>
        <v>1135.3445094503513</v>
      </c>
      <c r="AD18" s="16">
        <f t="shared" si="5"/>
        <v>1096.3434990676899</v>
      </c>
      <c r="AE18" s="16">
        <f t="shared" si="5"/>
        <v>1066.3816050405337</v>
      </c>
      <c r="AF18" s="16">
        <f t="shared" si="5"/>
        <v>1030.4600008595478</v>
      </c>
      <c r="AG18" s="16">
        <f t="shared" si="5"/>
        <v>998.57989522011735</v>
      </c>
      <c r="AH18" s="16">
        <f t="shared" si="5"/>
        <v>968.7425330784888</v>
      </c>
      <c r="AI18" s="16">
        <f t="shared" si="5"/>
        <v>938.94919673959657</v>
      </c>
      <c r="AJ18" s="16">
        <f t="shared" si="5"/>
        <v>909.20120697752247</v>
      </c>
      <c r="AK18" s="16">
        <f t="shared" si="5"/>
        <v>879.49992418957117</v>
      </c>
      <c r="AL18" s="16">
        <f t="shared" si="5"/>
        <v>849.84674958496646</v>
      </c>
      <c r="AM18" s="16">
        <f t="shared" si="5"/>
        <v>820.24312640920857</v>
      </c>
      <c r="AN18" s="16">
        <f t="shared" si="5"/>
        <v>790.69054120516284</v>
      </c>
      <c r="AO18" s="16">
        <f t="shared" si="5"/>
        <v>761.19052511198072</v>
      </c>
      <c r="AP18" s="16">
        <f t="shared" si="5"/>
        <v>731.74465520298827</v>
      </c>
      <c r="AQ18" s="16">
        <f t="shared" si="5"/>
        <v>702.35455586371108</v>
      </c>
      <c r="AR18" s="16">
        <f t="shared" si="5"/>
        <v>673.02190021124045</v>
      </c>
      <c r="AS18" s="16">
        <f t="shared" si="5"/>
        <v>643.74841155618071</v>
      </c>
      <c r="AT18" s="16">
        <f t="shared" si="5"/>
        <v>614.53586490843691</v>
      </c>
      <c r="AU18" s="16">
        <f t="shared" si="5"/>
        <v>0</v>
      </c>
      <c r="AV18" s="16">
        <f t="shared" si="5"/>
        <v>0</v>
      </c>
      <c r="AW18" s="16">
        <f t="shared" si="5"/>
        <v>0</v>
      </c>
      <c r="AX18" s="16">
        <f t="shared" si="5"/>
        <v>0</v>
      </c>
      <c r="AY18" s="16">
        <f t="shared" si="5"/>
        <v>0</v>
      </c>
      <c r="AZ18" s="16">
        <f t="shared" si="5"/>
        <v>0</v>
      </c>
      <c r="BA18" s="16">
        <f t="shared" si="5"/>
        <v>0</v>
      </c>
      <c r="BB18" s="16">
        <f t="shared" si="5"/>
        <v>0</v>
      </c>
    </row>
    <row r="19" spans="1:54">
      <c r="A19" s="24">
        <f>SUM(A16:A18)</f>
        <v>132415.93119812626</v>
      </c>
      <c r="B19" s="24">
        <f>SUM(B16:B18)</f>
        <v>124585.51481250452</v>
      </c>
    </row>
    <row r="20" spans="1:54">
      <c r="D20" s="411"/>
      <c r="E20" s="411"/>
      <c r="F20" s="411"/>
      <c r="G20" s="411"/>
      <c r="AB20" s="157">
        <f t="shared" ref="AB20:AH20" si="6">AB2/AA2-1</f>
        <v>-5.4423076207054999E-2</v>
      </c>
      <c r="AC20" s="157">
        <f t="shared" si="6"/>
        <v>-5.739621186485222E-2</v>
      </c>
      <c r="AD20" s="157">
        <f t="shared" si="6"/>
        <v>-6.0964561346365964E-2</v>
      </c>
      <c r="AE20" s="157">
        <f t="shared" si="6"/>
        <v>-6.3003039685221696E-2</v>
      </c>
      <c r="AF20" s="157">
        <f t="shared" si="6"/>
        <v>-6.8415773046865413E-2</v>
      </c>
      <c r="AG20" s="157">
        <f t="shared" si="6"/>
        <v>-7.4933905390174638E-2</v>
      </c>
      <c r="AH20" s="157">
        <f t="shared" si="6"/>
        <v>-8.1082933603069618E-2</v>
      </c>
    </row>
    <row r="21" spans="1:54">
      <c r="D21" s="390"/>
      <c r="F21" s="390"/>
    </row>
    <row r="22" spans="1:54">
      <c r="A22" s="385"/>
      <c r="D22" s="390"/>
      <c r="F22" s="390" t="s">
        <v>194</v>
      </c>
    </row>
    <row r="23" spans="1:54">
      <c r="A23" s="24"/>
      <c r="D23" s="390"/>
      <c r="F23" s="390"/>
    </row>
    <row r="24" spans="1:54">
      <c r="A24" s="24"/>
      <c r="D24" s="157"/>
      <c r="F24" s="157"/>
    </row>
    <row r="25" spans="1:54">
      <c r="A25" s="24"/>
      <c r="D25" s="390"/>
      <c r="F25" s="390"/>
    </row>
    <row r="26" spans="1:54">
      <c r="A26" s="24"/>
      <c r="D26" s="153"/>
      <c r="E26" s="160"/>
      <c r="F26" s="153"/>
    </row>
    <row r="27" spans="1:54">
      <c r="A27" s="24"/>
      <c r="D27" s="153"/>
      <c r="E27" s="160"/>
      <c r="F27" s="153"/>
    </row>
    <row r="28" spans="1:54">
      <c r="A28" s="24"/>
      <c r="D28" s="390"/>
      <c r="F28" s="390"/>
    </row>
    <row r="29" spans="1:54">
      <c r="A29" s="24"/>
      <c r="D29" s="390"/>
      <c r="F29" s="390"/>
    </row>
    <row r="30" spans="1:54">
      <c r="A30" s="24"/>
    </row>
    <row r="31" spans="1:54">
      <c r="A31" s="24"/>
      <c r="D31" s="37"/>
      <c r="F31" s="37"/>
    </row>
    <row r="32" spans="1:54">
      <c r="A32" s="24"/>
      <c r="D32" s="37"/>
      <c r="F32" s="37"/>
    </row>
    <row r="33" spans="1:6">
      <c r="A33" s="24"/>
      <c r="D33" s="37"/>
      <c r="F33" s="37"/>
    </row>
    <row r="34" spans="1:6">
      <c r="A34" s="24"/>
      <c r="D34" s="391"/>
      <c r="F34" s="392"/>
    </row>
    <row r="35" spans="1:6">
      <c r="A35" s="24"/>
      <c r="D35" s="37"/>
    </row>
    <row r="36" spans="1:6">
      <c r="A36" s="24"/>
    </row>
    <row r="37" spans="1:6">
      <c r="A37" s="24"/>
    </row>
    <row r="38" spans="1:6">
      <c r="A38" s="24"/>
    </row>
    <row r="39" spans="1:6">
      <c r="A39" s="24"/>
    </row>
    <row r="40" spans="1:6">
      <c r="A40" s="24"/>
    </row>
    <row r="53" spans="4:6">
      <c r="D53" s="155"/>
      <c r="F53" s="155"/>
    </row>
    <row r="54" spans="4:6">
      <c r="D54" s="153"/>
      <c r="F54" s="155"/>
    </row>
    <row r="55" spans="4:6">
      <c r="D55" s="155"/>
      <c r="F55" s="155"/>
    </row>
    <row r="56" spans="4:6">
      <c r="D56" s="155"/>
      <c r="F56" s="155"/>
    </row>
    <row r="57" spans="4:6">
      <c r="D57" s="155"/>
      <c r="F57" s="155"/>
    </row>
    <row r="58" spans="4:6">
      <c r="F58" s="155"/>
    </row>
    <row r="59" spans="4:6">
      <c r="F59" s="155"/>
    </row>
    <row r="60" spans="4:6">
      <c r="F60" s="155"/>
    </row>
    <row r="61" spans="4:6">
      <c r="F61" s="155"/>
    </row>
    <row r="62" spans="4:6">
      <c r="F62" s="155"/>
    </row>
  </sheetData>
  <mergeCells count="2">
    <mergeCell ref="D20:E20"/>
    <mergeCell ref="F20:G2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BB62"/>
  <sheetViews>
    <sheetView workbookViewId="0">
      <pane xSplit="3" ySplit="1" topLeftCell="D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90625" defaultRowHeight="14.5"/>
  <cols>
    <col min="1" max="2" width="11.90625" style="6" bestFit="1" customWidth="1"/>
    <col min="3" max="3" width="16.36328125" style="6" bestFit="1" customWidth="1"/>
    <col min="4" max="4" width="5" style="6" bestFit="1" customWidth="1"/>
    <col min="5" max="5" width="6.54296875" style="6" bestFit="1" customWidth="1"/>
    <col min="6" max="10" width="8.36328125" style="6" bestFit="1" customWidth="1"/>
    <col min="11" max="15" width="8.08984375" style="6" bestFit="1" customWidth="1"/>
    <col min="16" max="35" width="8" style="6" bestFit="1" customWidth="1"/>
    <col min="36" max="37" width="6.54296875" style="6" bestFit="1" customWidth="1"/>
    <col min="38" max="16384" width="8.90625" style="6"/>
  </cols>
  <sheetData>
    <row r="1" spans="1:54">
      <c r="A1" s="385" t="s">
        <v>230</v>
      </c>
      <c r="B1" s="385" t="s">
        <v>5</v>
      </c>
      <c r="C1" s="388">
        <v>44531</v>
      </c>
      <c r="D1" s="385">
        <v>2019</v>
      </c>
      <c r="E1" s="385">
        <f t="shared" ref="E1:BB1" si="0">D1+1</f>
        <v>2020</v>
      </c>
      <c r="F1" s="385">
        <f t="shared" si="0"/>
        <v>2021</v>
      </c>
      <c r="G1" s="385">
        <f t="shared" si="0"/>
        <v>2022</v>
      </c>
      <c r="H1" s="385">
        <f t="shared" si="0"/>
        <v>2023</v>
      </c>
      <c r="I1" s="385">
        <f t="shared" si="0"/>
        <v>2024</v>
      </c>
      <c r="J1" s="385">
        <f t="shared" si="0"/>
        <v>2025</v>
      </c>
      <c r="K1" s="385">
        <f t="shared" si="0"/>
        <v>2026</v>
      </c>
      <c r="L1" s="385">
        <f t="shared" si="0"/>
        <v>2027</v>
      </c>
      <c r="M1" s="385">
        <f t="shared" si="0"/>
        <v>2028</v>
      </c>
      <c r="N1" s="385">
        <f t="shared" si="0"/>
        <v>2029</v>
      </c>
      <c r="O1" s="385">
        <f t="shared" si="0"/>
        <v>2030</v>
      </c>
      <c r="P1" s="385">
        <f t="shared" si="0"/>
        <v>2031</v>
      </c>
      <c r="Q1" s="385">
        <f t="shared" si="0"/>
        <v>2032</v>
      </c>
      <c r="R1" s="385">
        <f t="shared" si="0"/>
        <v>2033</v>
      </c>
      <c r="S1" s="385">
        <f t="shared" si="0"/>
        <v>2034</v>
      </c>
      <c r="T1" s="385">
        <f t="shared" si="0"/>
        <v>2035</v>
      </c>
      <c r="U1" s="385">
        <f t="shared" si="0"/>
        <v>2036</v>
      </c>
      <c r="V1" s="385">
        <f t="shared" si="0"/>
        <v>2037</v>
      </c>
      <c r="W1" s="385">
        <f t="shared" si="0"/>
        <v>2038</v>
      </c>
      <c r="X1" s="385">
        <f t="shared" si="0"/>
        <v>2039</v>
      </c>
      <c r="Y1" s="385">
        <f t="shared" si="0"/>
        <v>2040</v>
      </c>
      <c r="Z1" s="385">
        <f t="shared" si="0"/>
        <v>2041</v>
      </c>
      <c r="AA1" s="385">
        <f t="shared" si="0"/>
        <v>2042</v>
      </c>
      <c r="AB1" s="385">
        <f t="shared" si="0"/>
        <v>2043</v>
      </c>
      <c r="AC1" s="385">
        <f t="shared" si="0"/>
        <v>2044</v>
      </c>
      <c r="AD1" s="385">
        <f t="shared" si="0"/>
        <v>2045</v>
      </c>
      <c r="AE1" s="385">
        <f t="shared" si="0"/>
        <v>2046</v>
      </c>
      <c r="AF1" s="385">
        <f t="shared" si="0"/>
        <v>2047</v>
      </c>
      <c r="AG1" s="385">
        <f t="shared" si="0"/>
        <v>2048</v>
      </c>
      <c r="AH1" s="385">
        <f t="shared" si="0"/>
        <v>2049</v>
      </c>
      <c r="AI1" s="385">
        <f t="shared" si="0"/>
        <v>2050</v>
      </c>
      <c r="AJ1" s="385">
        <f t="shared" si="0"/>
        <v>2051</v>
      </c>
      <c r="AK1" s="385">
        <f t="shared" si="0"/>
        <v>2052</v>
      </c>
      <c r="AL1" s="385">
        <f t="shared" si="0"/>
        <v>2053</v>
      </c>
      <c r="AM1" s="385">
        <f t="shared" si="0"/>
        <v>2054</v>
      </c>
      <c r="AN1" s="385">
        <f t="shared" si="0"/>
        <v>2055</v>
      </c>
      <c r="AO1" s="385">
        <f t="shared" si="0"/>
        <v>2056</v>
      </c>
      <c r="AP1" s="385">
        <f t="shared" si="0"/>
        <v>2057</v>
      </c>
      <c r="AQ1" s="385">
        <f t="shared" si="0"/>
        <v>2058</v>
      </c>
      <c r="AR1" s="385">
        <f t="shared" si="0"/>
        <v>2059</v>
      </c>
      <c r="AS1" s="385">
        <f t="shared" si="0"/>
        <v>2060</v>
      </c>
      <c r="AT1" s="385">
        <f t="shared" si="0"/>
        <v>2061</v>
      </c>
      <c r="AU1" s="385">
        <f t="shared" si="0"/>
        <v>2062</v>
      </c>
      <c r="AV1" s="385">
        <f t="shared" si="0"/>
        <v>2063</v>
      </c>
      <c r="AW1" s="385">
        <f t="shared" si="0"/>
        <v>2064</v>
      </c>
      <c r="AX1" s="385">
        <f t="shared" si="0"/>
        <v>2065</v>
      </c>
      <c r="AY1" s="385">
        <f t="shared" si="0"/>
        <v>2066</v>
      </c>
      <c r="AZ1" s="385">
        <f t="shared" si="0"/>
        <v>2067</v>
      </c>
      <c r="BA1" s="385">
        <f t="shared" si="0"/>
        <v>2068</v>
      </c>
      <c r="BB1" s="385">
        <f t="shared" si="0"/>
        <v>2069</v>
      </c>
    </row>
    <row r="2" spans="1:54">
      <c r="A2" s="38">
        <f>NPV('Financial Information'!$B$5,$E2:$AL2)*(1+'Financial Information'!$B$5)</f>
        <v>77686.640419132644</v>
      </c>
      <c r="B2" s="24">
        <f>NPV('Financial Information'!$B$5,$E2:$BB2)*(1+'Financial Information'!$B$5)</f>
        <v>77686.640419132644</v>
      </c>
      <c r="C2" s="6" t="s">
        <v>0</v>
      </c>
      <c r="D2" s="15">
        <v>0</v>
      </c>
      <c r="E2" s="15">
        <v>0</v>
      </c>
      <c r="F2" s="15">
        <v>0</v>
      </c>
      <c r="G2" s="52">
        <v>10291.17204609488</v>
      </c>
      <c r="H2" s="52">
        <v>9716.5580139608446</v>
      </c>
      <c r="I2" s="52">
        <v>9146.6401452224382</v>
      </c>
      <c r="J2" s="52">
        <v>8718.8959276120968</v>
      </c>
      <c r="K2" s="52">
        <v>7369.6110079197333</v>
      </c>
      <c r="L2" s="52">
        <v>7041.0985621096843</v>
      </c>
      <c r="M2" s="52">
        <v>6791.0465608343493</v>
      </c>
      <c r="N2" s="52">
        <v>6581.5815274749666</v>
      </c>
      <c r="O2" s="52">
        <v>6372.6034911021115</v>
      </c>
      <c r="P2" s="52">
        <v>6169.6077213176413</v>
      </c>
      <c r="Q2" s="52">
        <v>5964.0676731130316</v>
      </c>
      <c r="R2" s="52">
        <v>5755.4034687593357</v>
      </c>
      <c r="S2" s="52">
        <v>5547.0696837312125</v>
      </c>
      <c r="T2" s="52">
        <v>5338.9141047530229</v>
      </c>
      <c r="U2" s="52">
        <v>5137.3738546448212</v>
      </c>
      <c r="V2" s="52">
        <v>4932.6594120303153</v>
      </c>
      <c r="W2" s="52">
        <v>4724.086024982159</v>
      </c>
      <c r="X2" s="52">
        <v>4515.6238446065636</v>
      </c>
      <c r="Y2" s="52">
        <v>4307.1124019289082</v>
      </c>
      <c r="Z2" s="52">
        <v>4104.1495997260154</v>
      </c>
      <c r="AA2" s="52">
        <v>3898.8824285969213</v>
      </c>
      <c r="AB2" s="52">
        <v>3691.3512642417713</v>
      </c>
      <c r="AC2" s="52">
        <v>3484.365621603687</v>
      </c>
      <c r="AD2" s="52">
        <v>3277.1568049892644</v>
      </c>
      <c r="AE2" s="52">
        <v>3075.3431428669005</v>
      </c>
      <c r="AF2" s="52">
        <v>2870.4413241407246</v>
      </c>
      <c r="AG2" s="52">
        <v>2661.874274462537</v>
      </c>
      <c r="AH2" s="52">
        <v>2453.1179231140823</v>
      </c>
      <c r="AI2" s="52">
        <v>2244.0635216613819</v>
      </c>
      <c r="AJ2" s="52">
        <v>3450.5097856074758</v>
      </c>
      <c r="AK2" s="52">
        <v>3.5240992061591171E-15</v>
      </c>
      <c r="AL2" s="52">
        <v>-2.433238207628694E-16</v>
      </c>
      <c r="AM2" s="52">
        <v>-2.433238207628694E-16</v>
      </c>
      <c r="AN2" s="52">
        <v>-2.433238207628694E-16</v>
      </c>
      <c r="AO2" s="52">
        <v>-2.433238207628694E-16</v>
      </c>
      <c r="AP2" s="52">
        <v>-2.433238207628694E-16</v>
      </c>
      <c r="AQ2" s="52">
        <v>-2.433238207628694E-16</v>
      </c>
      <c r="AR2" s="52">
        <v>-2.433238207628694E-16</v>
      </c>
      <c r="AS2" s="52">
        <v>-2.433238207628694E-16</v>
      </c>
      <c r="AT2" s="52">
        <v>-2.433238207628694E-16</v>
      </c>
      <c r="AU2" s="52">
        <v>0</v>
      </c>
      <c r="AV2" s="52">
        <v>0</v>
      </c>
      <c r="AW2" s="52">
        <v>0</v>
      </c>
      <c r="AX2" s="52">
        <v>0</v>
      </c>
      <c r="AY2" s="52">
        <v>0</v>
      </c>
      <c r="AZ2" s="52">
        <v>0</v>
      </c>
      <c r="BA2" s="52">
        <v>0</v>
      </c>
      <c r="BB2" s="52">
        <v>0</v>
      </c>
    </row>
    <row r="3" spans="1:54">
      <c r="A3" s="38">
        <f>NPV('Financial Information'!$B$5,$E3:$AL3)*(1+'Financial Information'!$B$5)</f>
        <v>4565.3752025876574</v>
      </c>
      <c r="B3" s="24">
        <f>NPV('Financial Information'!$B$5,$E3:$BB3)*(1+'Financial Information'!$B$5)</f>
        <v>4565.3752025876574</v>
      </c>
      <c r="C3" s="6" t="s">
        <v>1</v>
      </c>
      <c r="D3" s="15">
        <v>0</v>
      </c>
      <c r="E3" s="15">
        <v>0</v>
      </c>
      <c r="F3" s="15">
        <v>0</v>
      </c>
      <c r="G3" s="15">
        <v>406.03338688771015</v>
      </c>
      <c r="H3" s="15">
        <v>396.07786814930137</v>
      </c>
      <c r="I3" s="15">
        <v>389.44085565702886</v>
      </c>
      <c r="J3" s="15">
        <v>379.48533691861996</v>
      </c>
      <c r="K3" s="15">
        <v>369.52981818021118</v>
      </c>
      <c r="L3" s="15">
        <v>359.57429944180234</v>
      </c>
      <c r="M3" s="15">
        <v>349.61878070339355</v>
      </c>
      <c r="N3" s="15">
        <v>339.66326196498471</v>
      </c>
      <c r="O3" s="15">
        <v>329.70774322657581</v>
      </c>
      <c r="P3" s="15">
        <v>316.43371824203075</v>
      </c>
      <c r="Q3" s="15">
        <v>306.47819950362191</v>
      </c>
      <c r="R3" s="15">
        <v>293.20417451907679</v>
      </c>
      <c r="S3" s="15">
        <v>279.93014953453172</v>
      </c>
      <c r="T3" s="15">
        <v>266.65612454998666</v>
      </c>
      <c r="U3" s="15">
        <v>253.38209956544148</v>
      </c>
      <c r="V3" s="15">
        <v>240.10807458089633</v>
      </c>
      <c r="W3" s="15">
        <v>226.83404959635132</v>
      </c>
      <c r="X3" s="15">
        <v>727.92849276292918</v>
      </c>
      <c r="Y3" s="15">
        <v>644.96583660952228</v>
      </c>
      <c r="Z3" s="15">
        <v>578.59571168679668</v>
      </c>
      <c r="AA3" s="15">
        <v>578.59571168679668</v>
      </c>
      <c r="AB3" s="15">
        <v>512.22558676407118</v>
      </c>
      <c r="AC3" s="15">
        <v>512.22558676407118</v>
      </c>
      <c r="AD3" s="15">
        <v>462.44799307202703</v>
      </c>
      <c r="AE3" s="15">
        <v>462.44799307202703</v>
      </c>
      <c r="AF3" s="15">
        <v>429.26293061066428</v>
      </c>
      <c r="AG3" s="15">
        <v>412.67039937998277</v>
      </c>
      <c r="AH3" s="15">
        <v>412.67039937998277</v>
      </c>
      <c r="AI3" s="15">
        <v>412.67039937998277</v>
      </c>
      <c r="AJ3" s="15">
        <v>325.66675448825811</v>
      </c>
      <c r="AK3" s="15">
        <v>0</v>
      </c>
      <c r="AL3" s="15">
        <v>0</v>
      </c>
      <c r="AM3" s="15">
        <v>0</v>
      </c>
      <c r="AN3" s="15">
        <v>0</v>
      </c>
      <c r="AO3" s="15">
        <v>0</v>
      </c>
      <c r="AP3" s="15">
        <v>0</v>
      </c>
      <c r="AQ3" s="15">
        <v>0</v>
      </c>
      <c r="AR3" s="15">
        <v>0</v>
      </c>
      <c r="AS3" s="15">
        <v>0</v>
      </c>
      <c r="AT3" s="15">
        <v>0</v>
      </c>
      <c r="AU3" s="15">
        <v>0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</row>
    <row r="4" spans="1:54">
      <c r="A4" s="38">
        <f>NPV('Financial Information'!$B$5,$E4:$AL4)*(1+'Financial Information'!$B$5)</f>
        <v>1675.3964670626824</v>
      </c>
      <c r="B4" s="24">
        <f>NPV('Financial Information'!$B$5,$E4:$BB4)*(1+'Financial Information'!$B$5)</f>
        <v>1675.3964670626824</v>
      </c>
      <c r="C4" s="6" t="s">
        <v>2</v>
      </c>
      <c r="D4" s="15">
        <v>0</v>
      </c>
      <c r="E4" s="15">
        <v>0</v>
      </c>
      <c r="F4" s="15">
        <v>0</v>
      </c>
      <c r="G4" s="15">
        <v>100.43251054205606</v>
      </c>
      <c r="H4" s="15">
        <v>103.44548585831775</v>
      </c>
      <c r="I4" s="15">
        <v>106.54885043406728</v>
      </c>
      <c r="J4" s="15">
        <v>109.7453159470893</v>
      </c>
      <c r="K4" s="15">
        <v>113.14126851862723</v>
      </c>
      <c r="L4" s="15">
        <v>116.58818753682982</v>
      </c>
      <c r="M4" s="15">
        <v>120.14805254456806</v>
      </c>
      <c r="N4" s="15">
        <v>123.8242911665499</v>
      </c>
      <c r="O4" s="15">
        <v>127.62036292386053</v>
      </c>
      <c r="P4" s="15">
        <v>131.65985305890163</v>
      </c>
      <c r="Q4" s="15">
        <v>135.7097062933681</v>
      </c>
      <c r="R4" s="15">
        <v>139.89008650389576</v>
      </c>
      <c r="S4" s="15">
        <v>144.20460530717577</v>
      </c>
      <c r="T4" s="15">
        <v>148.65692236438784</v>
      </c>
      <c r="U4" s="15">
        <v>153.41085527229356</v>
      </c>
      <c r="V4" s="15">
        <v>158.15477587697623</v>
      </c>
      <c r="W4" s="15">
        <v>163.04797432890535</v>
      </c>
      <c r="X4" s="15">
        <v>168.09437932676292</v>
      </c>
      <c r="Y4" s="15">
        <v>173.29800794184777</v>
      </c>
      <c r="Z4" s="15">
        <v>178.82437029616281</v>
      </c>
      <c r="AA4" s="15">
        <v>184.35974313859029</v>
      </c>
      <c r="AB4" s="15">
        <v>190.06516820178146</v>
      </c>
      <c r="AC4" s="15">
        <v>195.94512367624137</v>
      </c>
      <c r="AD4" s="15">
        <v>202.00422882586486</v>
      </c>
      <c r="AE4" s="15">
        <v>208.43435529394594</v>
      </c>
      <c r="AF4" s="15">
        <v>214.87184796976402</v>
      </c>
      <c r="AG4" s="15">
        <v>221.50346836019571</v>
      </c>
      <c r="AH4" s="15">
        <v>228.33450909001036</v>
      </c>
      <c r="AI4" s="15">
        <v>235.37045435779848</v>
      </c>
      <c r="AJ4" s="15">
        <v>242.83388973379971</v>
      </c>
      <c r="AK4" s="15">
        <v>0</v>
      </c>
      <c r="AL4" s="15">
        <v>0</v>
      </c>
      <c r="AM4" s="15">
        <v>0</v>
      </c>
      <c r="AN4" s="15">
        <v>0</v>
      </c>
      <c r="AO4" s="15">
        <v>0</v>
      </c>
      <c r="AP4" s="15">
        <v>0</v>
      </c>
      <c r="AQ4" s="15">
        <v>0</v>
      </c>
      <c r="AR4" s="15">
        <v>0</v>
      </c>
      <c r="AS4" s="15">
        <v>0</v>
      </c>
      <c r="AT4" s="15">
        <v>0</v>
      </c>
      <c r="AU4" s="15">
        <v>0</v>
      </c>
      <c r="AV4" s="15">
        <v>0</v>
      </c>
      <c r="AW4" s="15">
        <v>0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</row>
    <row r="5" spans="1:54">
      <c r="A5" s="395">
        <f>NPV('Financial Information'!$B$5,$E5:$AL5)*(1+'Financial Information'!$B$5)</f>
        <v>0</v>
      </c>
      <c r="B5" s="13">
        <f>NPV('Financial Information'!$B$5,$E5:$BB5)*(1+'Financial Information'!$B$5)</f>
        <v>0</v>
      </c>
      <c r="C5" s="1" t="s">
        <v>3</v>
      </c>
      <c r="D5" s="17">
        <v>0</v>
      </c>
      <c r="E5" s="17">
        <v>0</v>
      </c>
      <c r="F5" s="17">
        <v>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>
        <v>0</v>
      </c>
      <c r="S5" s="17">
        <v>0</v>
      </c>
      <c r="T5" s="17">
        <v>0</v>
      </c>
      <c r="U5" s="17">
        <v>0</v>
      </c>
      <c r="V5" s="17">
        <v>0</v>
      </c>
      <c r="W5" s="17">
        <v>0</v>
      </c>
      <c r="X5" s="17">
        <v>0</v>
      </c>
      <c r="Y5" s="17">
        <v>0</v>
      </c>
      <c r="Z5" s="17">
        <v>0</v>
      </c>
      <c r="AA5" s="17">
        <v>0</v>
      </c>
      <c r="AB5" s="17">
        <v>0</v>
      </c>
      <c r="AC5" s="17">
        <v>0</v>
      </c>
      <c r="AD5" s="17">
        <v>0</v>
      </c>
      <c r="AE5" s="17">
        <v>0</v>
      </c>
      <c r="AF5" s="17">
        <v>0</v>
      </c>
      <c r="AG5" s="17">
        <v>0</v>
      </c>
      <c r="AH5" s="17">
        <v>0</v>
      </c>
      <c r="AI5" s="17">
        <v>0</v>
      </c>
      <c r="AJ5" s="17">
        <v>0</v>
      </c>
      <c r="AK5" s="17">
        <v>0</v>
      </c>
      <c r="AL5" s="17">
        <v>0</v>
      </c>
      <c r="AM5" s="17">
        <v>0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7">
        <v>0</v>
      </c>
      <c r="BA5" s="17">
        <v>0</v>
      </c>
      <c r="BB5" s="17">
        <v>0</v>
      </c>
    </row>
    <row r="6" spans="1:54">
      <c r="A6" s="38">
        <f>NPV('Financial Information'!$B$5,$E6:$AL6)*(1+'Financial Information'!$B$5)</f>
        <v>8300.2912093679788</v>
      </c>
      <c r="B6" s="24">
        <f>NPV('Financial Information'!$B$5,$E6:$BB6)*(1+'Financial Information'!$B$5)</f>
        <v>8300.2912093679788</v>
      </c>
      <c r="C6" s="6" t="s">
        <v>4</v>
      </c>
      <c r="D6" s="15">
        <v>0</v>
      </c>
      <c r="E6" s="15">
        <v>0</v>
      </c>
      <c r="F6" s="15">
        <v>0</v>
      </c>
      <c r="G6" s="15">
        <v>513.85847797062752</v>
      </c>
      <c r="H6" s="15">
        <v>521.41522029372493</v>
      </c>
      <c r="I6" s="15">
        <v>533.50600801068083</v>
      </c>
      <c r="J6" s="15">
        <v>546.35246995994657</v>
      </c>
      <c r="K6" s="15">
        <v>562.97730307076097</v>
      </c>
      <c r="L6" s="15">
        <v>615.11882510013345</v>
      </c>
      <c r="M6" s="15">
        <v>629.47663551401865</v>
      </c>
      <c r="N6" s="15">
        <v>644.59012016021359</v>
      </c>
      <c r="O6" s="15">
        <v>659.70360480640852</v>
      </c>
      <c r="P6" s="15">
        <v>679.35113484646195</v>
      </c>
      <c r="Q6" s="15">
        <v>691.44192256341785</v>
      </c>
      <c r="R6" s="15">
        <v>708.06675567423224</v>
      </c>
      <c r="S6" s="15">
        <v>724.69158878504663</v>
      </c>
      <c r="T6" s="15">
        <v>773.8104138851802</v>
      </c>
      <c r="U6" s="15">
        <v>763.23097463284375</v>
      </c>
      <c r="V6" s="15">
        <v>777.58878504672896</v>
      </c>
      <c r="W6" s="15">
        <v>795.72496662216281</v>
      </c>
      <c r="X6" s="15">
        <v>814.61682242990651</v>
      </c>
      <c r="Y6" s="15">
        <v>834.26435246995993</v>
      </c>
      <c r="Z6" s="15">
        <v>857.690253671562</v>
      </c>
      <c r="AA6" s="15">
        <v>874.3150867823764</v>
      </c>
      <c r="AB6" s="15">
        <v>895.4739652870494</v>
      </c>
      <c r="AC6" s="15">
        <v>917.38851802403201</v>
      </c>
      <c r="AD6" s="15">
        <v>939.30307076101462</v>
      </c>
      <c r="AE6" s="15">
        <v>965.75166889185573</v>
      </c>
      <c r="AF6" s="15">
        <v>986.15487316421888</v>
      </c>
      <c r="AG6" s="15">
        <v>1009.5807743658211</v>
      </c>
      <c r="AH6" s="15">
        <v>1034.5180240320426</v>
      </c>
      <c r="AI6" s="15">
        <v>1060.2109479305741</v>
      </c>
      <c r="AJ6" s="15">
        <v>1089.6822429906542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</row>
    <row r="7" spans="1:54">
      <c r="A7" s="24">
        <f>NPV('Financial Information'!$B$5,$E7:$AL7)*(1+'Financial Information'!$B$5)</f>
        <v>6088.8379283304339</v>
      </c>
      <c r="B7" s="24">
        <f>NPV('Financial Information'!$B$5,$E7:$BB7)*(1+'Financial Information'!$B$5)</f>
        <v>6212.8449405867605</v>
      </c>
      <c r="C7" s="6" t="s">
        <v>38</v>
      </c>
      <c r="D7" s="15">
        <v>0</v>
      </c>
      <c r="E7" s="15">
        <v>0</v>
      </c>
      <c r="F7" s="52">
        <v>0</v>
      </c>
      <c r="G7" s="15">
        <v>670.69599005189502</v>
      </c>
      <c r="H7" s="15">
        <v>653.06706426021083</v>
      </c>
      <c r="I7" s="15">
        <v>633.55147495016752</v>
      </c>
      <c r="J7" s="15">
        <v>614.70753011779061</v>
      </c>
      <c r="K7" s="15">
        <v>596.48495311312081</v>
      </c>
      <c r="L7" s="15">
        <v>578.83733472081053</v>
      </c>
      <c r="M7" s="15">
        <v>561.72148858768946</v>
      </c>
      <c r="N7" s="15">
        <v>545.09745122276365</v>
      </c>
      <c r="O7" s="15">
        <v>528.74800171531001</v>
      </c>
      <c r="P7" s="15">
        <v>512.43787112641439</v>
      </c>
      <c r="Q7" s="15">
        <v>496.12774053751906</v>
      </c>
      <c r="R7" s="15">
        <v>479.8176099486235</v>
      </c>
      <c r="S7" s="15">
        <v>463.50747935972811</v>
      </c>
      <c r="T7" s="15">
        <v>447.19734877083266</v>
      </c>
      <c r="U7" s="15">
        <v>430.88721818193721</v>
      </c>
      <c r="V7" s="15">
        <v>414.57708759304177</v>
      </c>
      <c r="W7" s="15">
        <v>398.26695700414632</v>
      </c>
      <c r="X7" s="15">
        <v>381.95682641525087</v>
      </c>
      <c r="Y7" s="15">
        <v>365.64669582635537</v>
      </c>
      <c r="Z7" s="15">
        <v>349.33656523745998</v>
      </c>
      <c r="AA7" s="15">
        <v>334.4644757518987</v>
      </c>
      <c r="AB7" s="15">
        <v>322.46782390057047</v>
      </c>
      <c r="AC7" s="15">
        <v>311.90921315257651</v>
      </c>
      <c r="AD7" s="15">
        <v>301.35060240458256</v>
      </c>
      <c r="AE7" s="15">
        <v>290.79199165658855</v>
      </c>
      <c r="AF7" s="15">
        <v>280.23338090859454</v>
      </c>
      <c r="AG7" s="15">
        <v>269.67477016060064</v>
      </c>
      <c r="AH7" s="15">
        <v>259.11615941260663</v>
      </c>
      <c r="AI7" s="15">
        <v>248.55754866461257</v>
      </c>
      <c r="AJ7" s="15">
        <v>237.99893791661862</v>
      </c>
      <c r="AK7" s="15">
        <v>227.44032716862461</v>
      </c>
      <c r="AL7" s="15">
        <v>216.88171642063065</v>
      </c>
      <c r="AM7" s="15">
        <v>206.32310567263664</v>
      </c>
      <c r="AN7" s="15">
        <v>195.76449492464266</v>
      </c>
      <c r="AO7" s="15">
        <v>185.20588417664874</v>
      </c>
      <c r="AP7" s="15">
        <v>174.64727342865473</v>
      </c>
      <c r="AQ7" s="15">
        <v>164.08866268066078</v>
      </c>
      <c r="AR7" s="15">
        <v>153.53005193266671</v>
      </c>
      <c r="AS7" s="15">
        <v>142.97144118467276</v>
      </c>
      <c r="AT7" s="15">
        <v>147.94677491593211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</row>
    <row r="8" spans="1:54">
      <c r="A8" s="24">
        <f>NPV('Financial Information'!$B$5,$E8:$AL8)*(1+'Financial Information'!$B$5)</f>
        <v>968.94553680090837</v>
      </c>
      <c r="B8" s="24">
        <f>NPV('Financial Information'!$B$5,$E8:$BB8)*(1+'Financial Information'!$B$5)</f>
        <v>986.13223737568421</v>
      </c>
      <c r="C8" s="6" t="s">
        <v>39</v>
      </c>
      <c r="D8" s="15">
        <v>0</v>
      </c>
      <c r="E8" s="15">
        <v>0</v>
      </c>
      <c r="F8" s="52">
        <v>0</v>
      </c>
      <c r="G8" s="15">
        <v>117.12950600801068</v>
      </c>
      <c r="H8" s="15">
        <v>114.10680907877169</v>
      </c>
      <c r="I8" s="15">
        <v>111.83978638184244</v>
      </c>
      <c r="J8" s="15">
        <v>108.06141522029372</v>
      </c>
      <c r="K8" s="15">
        <v>104.28304405874499</v>
      </c>
      <c r="L8" s="15">
        <v>100.50467289719626</v>
      </c>
      <c r="M8" s="15">
        <v>97.481975967957268</v>
      </c>
      <c r="N8" s="15">
        <v>93.703604806408535</v>
      </c>
      <c r="O8" s="15">
        <v>89.925233644859802</v>
      </c>
      <c r="P8" s="15">
        <v>85.391188251001324</v>
      </c>
      <c r="Q8" s="15">
        <v>81.612817089452605</v>
      </c>
      <c r="R8" s="15">
        <v>77.078771695594128</v>
      </c>
      <c r="S8" s="15">
        <v>71.789052069425892</v>
      </c>
      <c r="T8" s="15">
        <v>67.255006675567415</v>
      </c>
      <c r="U8" s="15">
        <v>62.720961281708945</v>
      </c>
      <c r="V8" s="15">
        <v>57.431241655540717</v>
      </c>
      <c r="W8" s="15">
        <v>52.89719626168224</v>
      </c>
      <c r="X8" s="15">
        <v>46.851802403204267</v>
      </c>
      <c r="Y8" s="15">
        <v>40.806408544726303</v>
      </c>
      <c r="Z8" s="15">
        <v>36.272363150867818</v>
      </c>
      <c r="AA8" s="15">
        <v>36.272363150867818</v>
      </c>
      <c r="AB8" s="15">
        <v>30.982643524699597</v>
      </c>
      <c r="AC8" s="15">
        <v>30.982643524699597</v>
      </c>
      <c r="AD8" s="15">
        <v>27.204272363150867</v>
      </c>
      <c r="AE8" s="15">
        <v>27.204272363150867</v>
      </c>
      <c r="AF8" s="15">
        <v>24.937249666221629</v>
      </c>
      <c r="AG8" s="15">
        <v>24.181575433911881</v>
      </c>
      <c r="AH8" s="15">
        <v>24.181575433911881</v>
      </c>
      <c r="AI8" s="15">
        <v>24.181575433911881</v>
      </c>
      <c r="AJ8" s="15">
        <v>24.181575433911881</v>
      </c>
      <c r="AK8" s="15">
        <v>24.181575433911881</v>
      </c>
      <c r="AL8" s="15">
        <v>24.181575433911881</v>
      </c>
      <c r="AM8" s="15">
        <v>24.181575433911881</v>
      </c>
      <c r="AN8" s="15">
        <v>24.181575433911881</v>
      </c>
      <c r="AO8" s="15">
        <v>24.181575433911881</v>
      </c>
      <c r="AP8" s="15">
        <v>24.181575433911881</v>
      </c>
      <c r="AQ8" s="15">
        <v>24.181575433911881</v>
      </c>
      <c r="AR8" s="15">
        <v>24.181575433911881</v>
      </c>
      <c r="AS8" s="15">
        <v>24.181575433911881</v>
      </c>
      <c r="AT8" s="15">
        <v>24.181575433911881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</row>
    <row r="9" spans="1:54">
      <c r="A9" s="386">
        <f>NPV('Financial Information'!$B$5,$E9:$AL9)*(1+'Financial Information'!$B$5)</f>
        <v>121.48955302687416</v>
      </c>
      <c r="B9" s="386">
        <f>NPV('Financial Information'!$B$5,$E9:$BB9)*(1+'Financial Information'!$B$5)</f>
        <v>135.76327873786073</v>
      </c>
      <c r="C9" s="12" t="s">
        <v>40</v>
      </c>
      <c r="D9" s="389">
        <v>0</v>
      </c>
      <c r="E9" s="389">
        <v>0</v>
      </c>
      <c r="F9" s="389">
        <v>0</v>
      </c>
      <c r="G9" s="389">
        <v>7.0871663551401856</v>
      </c>
      <c r="H9" s="389">
        <v>7.2997813457943916</v>
      </c>
      <c r="I9" s="389">
        <v>7.5187747861682226</v>
      </c>
      <c r="J9" s="389">
        <v>7.74433802975327</v>
      </c>
      <c r="K9" s="389">
        <v>7.9766681706458673</v>
      </c>
      <c r="L9" s="389">
        <v>8.2159682157652423</v>
      </c>
      <c r="M9" s="389">
        <v>8.4624472622382001</v>
      </c>
      <c r="N9" s="389">
        <v>8.7163206801053477</v>
      </c>
      <c r="O9" s="389">
        <v>8.9778103005085068</v>
      </c>
      <c r="P9" s="389">
        <v>9.2471446095237617</v>
      </c>
      <c r="Q9" s="389">
        <v>9.5245589478094743</v>
      </c>
      <c r="R9" s="389">
        <v>9.8102957162437594</v>
      </c>
      <c r="S9" s="389">
        <v>10.104604587731071</v>
      </c>
      <c r="T9" s="389">
        <v>10.407742725363002</v>
      </c>
      <c r="U9" s="389">
        <v>10.719975007123892</v>
      </c>
      <c r="V9" s="389">
        <v>11.04157425733761</v>
      </c>
      <c r="W9" s="389">
        <v>11.372821485057738</v>
      </c>
      <c r="X9" s="389">
        <v>11.714006129609469</v>
      </c>
      <c r="Y9" s="389">
        <v>12.065426313497754</v>
      </c>
      <c r="Z9" s="389">
        <v>12.427389102902685</v>
      </c>
      <c r="AA9" s="389">
        <v>12.800210775989765</v>
      </c>
      <c r="AB9" s="389">
        <v>13.184217099269457</v>
      </c>
      <c r="AC9" s="389">
        <v>13.579743612247542</v>
      </c>
      <c r="AD9" s="389">
        <v>13.987135920614969</v>
      </c>
      <c r="AE9" s="389">
        <v>14.406749998233417</v>
      </c>
      <c r="AF9" s="389">
        <v>14.838952498180417</v>
      </c>
      <c r="AG9" s="389">
        <v>15.284121073125835</v>
      </c>
      <c r="AH9" s="389">
        <v>15.742644705319607</v>
      </c>
      <c r="AI9" s="389">
        <v>16.214924046479197</v>
      </c>
      <c r="AJ9" s="389">
        <v>16.701371767873567</v>
      </c>
      <c r="AK9" s="389">
        <v>17.202412920909776</v>
      </c>
      <c r="AL9" s="389">
        <v>17.718485308537073</v>
      </c>
      <c r="AM9" s="389">
        <v>18.250039867793181</v>
      </c>
      <c r="AN9" s="389">
        <v>18.797541063826976</v>
      </c>
      <c r="AO9" s="389">
        <v>19.361467295741782</v>
      </c>
      <c r="AP9" s="389">
        <v>19.942311314614038</v>
      </c>
      <c r="AQ9" s="389">
        <v>20.540580654052459</v>
      </c>
      <c r="AR9" s="389">
        <v>21.156798073674032</v>
      </c>
      <c r="AS9" s="389">
        <v>21.791502015884252</v>
      </c>
      <c r="AT9" s="389">
        <v>22.445247076360783</v>
      </c>
      <c r="AU9" s="389">
        <v>0</v>
      </c>
      <c r="AV9" s="389">
        <v>0</v>
      </c>
      <c r="AW9" s="389">
        <v>0</v>
      </c>
      <c r="AX9" s="389">
        <v>0</v>
      </c>
      <c r="AY9" s="389">
        <v>0</v>
      </c>
      <c r="AZ9" s="389">
        <v>0</v>
      </c>
      <c r="BA9" s="389">
        <v>0</v>
      </c>
      <c r="BB9" s="389">
        <v>0</v>
      </c>
    </row>
    <row r="10" spans="1:54">
      <c r="A10" s="24">
        <f>SUM(A2:A9)</f>
        <v>99406.976316309185</v>
      </c>
      <c r="B10" s="24">
        <f>SUM(B2:B9)</f>
        <v>99562.44375485128</v>
      </c>
      <c r="D10" s="16">
        <f t="shared" ref="D10:E10" si="1">SUM(D2:D9)</f>
        <v>0</v>
      </c>
      <c r="E10" s="16">
        <f t="shared" si="1"/>
        <v>0</v>
      </c>
      <c r="F10" s="16">
        <f t="shared" ref="F10:BB10" si="2">SUM(F2:F9)</f>
        <v>0</v>
      </c>
      <c r="G10" s="16">
        <f t="shared" si="2"/>
        <v>12106.409083910317</v>
      </c>
      <c r="H10" s="16">
        <f t="shared" si="2"/>
        <v>11511.970242946967</v>
      </c>
      <c r="I10" s="16">
        <f t="shared" si="2"/>
        <v>10929.045895442392</v>
      </c>
      <c r="J10" s="16">
        <f t="shared" si="2"/>
        <v>10484.992333805591</v>
      </c>
      <c r="K10" s="16">
        <f t="shared" si="2"/>
        <v>9124.0040630318435</v>
      </c>
      <c r="L10" s="16">
        <f t="shared" si="2"/>
        <v>8819.937850022221</v>
      </c>
      <c r="M10" s="16">
        <f t="shared" si="2"/>
        <v>8557.955941414215</v>
      </c>
      <c r="N10" s="16">
        <f t="shared" si="2"/>
        <v>8337.1765774759933</v>
      </c>
      <c r="O10" s="16">
        <f t="shared" si="2"/>
        <v>8117.286247719635</v>
      </c>
      <c r="P10" s="16">
        <f t="shared" si="2"/>
        <v>7904.1286314519748</v>
      </c>
      <c r="Q10" s="16">
        <f t="shared" si="2"/>
        <v>7684.962618048221</v>
      </c>
      <c r="R10" s="16">
        <f t="shared" si="2"/>
        <v>7463.2711628170009</v>
      </c>
      <c r="S10" s="16">
        <f t="shared" si="2"/>
        <v>7241.2971633748502</v>
      </c>
      <c r="T10" s="16">
        <f t="shared" si="2"/>
        <v>7052.8976637243422</v>
      </c>
      <c r="U10" s="16">
        <f t="shared" si="2"/>
        <v>6811.7259385861698</v>
      </c>
      <c r="V10" s="16">
        <f t="shared" si="2"/>
        <v>6591.5609510408376</v>
      </c>
      <c r="W10" s="16">
        <f t="shared" si="2"/>
        <v>6372.2299902804643</v>
      </c>
      <c r="X10" s="16">
        <f t="shared" si="2"/>
        <v>6666.7861740742273</v>
      </c>
      <c r="Y10" s="16">
        <f t="shared" si="2"/>
        <v>6378.1591296348161</v>
      </c>
      <c r="Z10" s="16">
        <f t="shared" si="2"/>
        <v>6117.2962528717662</v>
      </c>
      <c r="AA10" s="16">
        <f t="shared" si="2"/>
        <v>5919.690019883441</v>
      </c>
      <c r="AB10" s="16">
        <f t="shared" si="2"/>
        <v>5655.7506690192131</v>
      </c>
      <c r="AC10" s="16">
        <f t="shared" si="2"/>
        <v>5466.3964503575553</v>
      </c>
      <c r="AD10" s="16">
        <f t="shared" si="2"/>
        <v>5223.4541083365211</v>
      </c>
      <c r="AE10" s="16">
        <f t="shared" si="2"/>
        <v>5044.3801741427033</v>
      </c>
      <c r="AF10" s="16">
        <f t="shared" si="2"/>
        <v>4820.7405589583686</v>
      </c>
      <c r="AG10" s="16">
        <f t="shared" si="2"/>
        <v>4614.7693832361756</v>
      </c>
      <c r="AH10" s="16">
        <f t="shared" si="2"/>
        <v>4427.6812351679564</v>
      </c>
      <c r="AI10" s="16">
        <f t="shared" si="2"/>
        <v>4241.269371474742</v>
      </c>
      <c r="AJ10" s="16">
        <f t="shared" si="2"/>
        <v>5387.574557938593</v>
      </c>
      <c r="AK10" s="16">
        <f t="shared" si="2"/>
        <v>268.82431552344627</v>
      </c>
      <c r="AL10" s="16">
        <f t="shared" si="2"/>
        <v>258.7817771630796</v>
      </c>
      <c r="AM10" s="16">
        <f t="shared" si="2"/>
        <v>248.75472097434172</v>
      </c>
      <c r="AN10" s="16">
        <f t="shared" si="2"/>
        <v>238.74361142238152</v>
      </c>
      <c r="AO10" s="16">
        <f t="shared" si="2"/>
        <v>228.74892690630242</v>
      </c>
      <c r="AP10" s="16">
        <f t="shared" si="2"/>
        <v>218.77116017718066</v>
      </c>
      <c r="AQ10" s="16">
        <f t="shared" si="2"/>
        <v>208.81081876862513</v>
      </c>
      <c r="AR10" s="16">
        <f t="shared" si="2"/>
        <v>198.86842544025262</v>
      </c>
      <c r="AS10" s="16">
        <f t="shared" si="2"/>
        <v>188.94451863446889</v>
      </c>
      <c r="AT10" s="16">
        <f t="shared" si="2"/>
        <v>194.57359742620477</v>
      </c>
      <c r="AU10" s="16">
        <f t="shared" si="2"/>
        <v>0</v>
      </c>
      <c r="AV10" s="16">
        <f t="shared" si="2"/>
        <v>0</v>
      </c>
      <c r="AW10" s="16">
        <f t="shared" si="2"/>
        <v>0</v>
      </c>
      <c r="AX10" s="16">
        <f t="shared" si="2"/>
        <v>0</v>
      </c>
      <c r="AY10" s="16">
        <f t="shared" si="2"/>
        <v>0</v>
      </c>
      <c r="AZ10" s="16">
        <f t="shared" si="2"/>
        <v>0</v>
      </c>
      <c r="BA10" s="16">
        <f t="shared" si="2"/>
        <v>0</v>
      </c>
      <c r="BB10" s="16">
        <f t="shared" si="2"/>
        <v>0</v>
      </c>
    </row>
    <row r="11" spans="1:54">
      <c r="A11" s="2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54">
      <c r="A12" s="390"/>
      <c r="B12" s="6">
        <v>56.6</v>
      </c>
      <c r="C12" s="6" t="str">
        <f>C6&amp;" $/kw"</f>
        <v>O&amp;M $/kw</v>
      </c>
      <c r="D12" s="52">
        <v>0</v>
      </c>
      <c r="E12" s="25">
        <f>E6/$B$12</f>
        <v>0</v>
      </c>
      <c r="F12" s="25">
        <f t="shared" ref="F12:AK12" si="3">F6/$B$12</f>
        <v>0</v>
      </c>
      <c r="G12" s="25">
        <f t="shared" si="3"/>
        <v>9.078771695594126</v>
      </c>
      <c r="H12" s="25">
        <f t="shared" si="3"/>
        <v>9.2122830440587435</v>
      </c>
      <c r="I12" s="25">
        <f t="shared" si="3"/>
        <v>9.4259012016021337</v>
      </c>
      <c r="J12" s="25">
        <f t="shared" si="3"/>
        <v>9.6528704939919887</v>
      </c>
      <c r="K12" s="25">
        <f t="shared" si="3"/>
        <v>9.9465954606141516</v>
      </c>
      <c r="L12" s="25">
        <f t="shared" si="3"/>
        <v>10.867823765020026</v>
      </c>
      <c r="M12" s="25">
        <f t="shared" si="3"/>
        <v>11.121495327102803</v>
      </c>
      <c r="N12" s="25">
        <f t="shared" si="3"/>
        <v>11.388518024032042</v>
      </c>
      <c r="O12" s="25">
        <f t="shared" si="3"/>
        <v>11.65554072096128</v>
      </c>
      <c r="P12" s="25">
        <f t="shared" si="3"/>
        <v>12.002670226969292</v>
      </c>
      <c r="Q12" s="25">
        <f t="shared" si="3"/>
        <v>12.216288384512682</v>
      </c>
      <c r="R12" s="25">
        <f t="shared" si="3"/>
        <v>12.510013351134845</v>
      </c>
      <c r="S12" s="25">
        <f t="shared" si="3"/>
        <v>12.803738317757007</v>
      </c>
      <c r="T12" s="25">
        <f t="shared" si="3"/>
        <v>13.671562082777035</v>
      </c>
      <c r="U12" s="25">
        <f t="shared" si="3"/>
        <v>13.484646194926567</v>
      </c>
      <c r="V12" s="25">
        <f t="shared" si="3"/>
        <v>13.738317757009344</v>
      </c>
      <c r="W12" s="25">
        <f t="shared" si="3"/>
        <v>14.058744993324432</v>
      </c>
      <c r="X12" s="25">
        <f t="shared" si="3"/>
        <v>14.39252336448598</v>
      </c>
      <c r="Y12" s="25">
        <f t="shared" si="3"/>
        <v>14.739652870493991</v>
      </c>
      <c r="Z12" s="25">
        <f t="shared" si="3"/>
        <v>15.15353805073431</v>
      </c>
      <c r="AA12" s="25">
        <f t="shared" si="3"/>
        <v>15.447263017356473</v>
      </c>
      <c r="AB12" s="25">
        <f t="shared" si="3"/>
        <v>15.821094793057409</v>
      </c>
      <c r="AC12" s="25">
        <f t="shared" si="3"/>
        <v>16.208277703604807</v>
      </c>
      <c r="AD12" s="25">
        <f t="shared" si="3"/>
        <v>16.595460614152202</v>
      </c>
      <c r="AE12" s="25">
        <f t="shared" si="3"/>
        <v>17.062750333778368</v>
      </c>
      <c r="AF12" s="25">
        <f t="shared" si="3"/>
        <v>17.42323097463284</v>
      </c>
      <c r="AG12" s="25">
        <f t="shared" si="3"/>
        <v>17.837116154873165</v>
      </c>
      <c r="AH12" s="25">
        <f t="shared" si="3"/>
        <v>18.277703604806405</v>
      </c>
      <c r="AI12" s="25">
        <f t="shared" si="3"/>
        <v>18.731642189586115</v>
      </c>
      <c r="AJ12" s="25">
        <f t="shared" si="3"/>
        <v>19.252336448598133</v>
      </c>
      <c r="AK12" s="25">
        <f t="shared" si="3"/>
        <v>0</v>
      </c>
    </row>
    <row r="13" spans="1:54">
      <c r="A13" s="390"/>
      <c r="B13" s="6">
        <v>74.900000000000006</v>
      </c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</row>
    <row r="14" spans="1:54">
      <c r="B14" s="25">
        <f>$B$12/$B$13</f>
        <v>0.75567423230974629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</row>
    <row r="15" spans="1:54">
      <c r="AI15" s="16"/>
    </row>
    <row r="16" spans="1:54">
      <c r="A16" s="38">
        <f>NPV('Financial Information'!$B$5,$E16:$AL16)*(1+'Financial Information'!$B$5)</f>
        <v>8300.2912093679788</v>
      </c>
      <c r="B16" s="24">
        <f>NPV('Financial Information'!$B$5,$D16:$BB16)*(1+'Financial Information'!$B$5)</f>
        <v>7779.0920425191953</v>
      </c>
      <c r="C16" s="6" t="str">
        <f>C6</f>
        <v>O&amp;M</v>
      </c>
      <c r="D16" s="6">
        <v>0</v>
      </c>
      <c r="E16" s="16">
        <f>E6</f>
        <v>0</v>
      </c>
      <c r="F16" s="16">
        <f t="shared" ref="F16:BB16" si="4">F6</f>
        <v>0</v>
      </c>
      <c r="G16" s="16">
        <f t="shared" si="4"/>
        <v>513.85847797062752</v>
      </c>
      <c r="H16" s="16">
        <f t="shared" si="4"/>
        <v>521.41522029372493</v>
      </c>
      <c r="I16" s="16">
        <f t="shared" si="4"/>
        <v>533.50600801068083</v>
      </c>
      <c r="J16" s="16">
        <f t="shared" si="4"/>
        <v>546.35246995994657</v>
      </c>
      <c r="K16" s="16">
        <f t="shared" si="4"/>
        <v>562.97730307076097</v>
      </c>
      <c r="L16" s="16">
        <f t="shared" si="4"/>
        <v>615.11882510013345</v>
      </c>
      <c r="M16" s="16">
        <f t="shared" si="4"/>
        <v>629.47663551401865</v>
      </c>
      <c r="N16" s="16">
        <f t="shared" si="4"/>
        <v>644.59012016021359</v>
      </c>
      <c r="O16" s="16">
        <f t="shared" si="4"/>
        <v>659.70360480640852</v>
      </c>
      <c r="P16" s="16">
        <f t="shared" si="4"/>
        <v>679.35113484646195</v>
      </c>
      <c r="Q16" s="16">
        <f t="shared" si="4"/>
        <v>691.44192256341785</v>
      </c>
      <c r="R16" s="16">
        <f t="shared" si="4"/>
        <v>708.06675567423224</v>
      </c>
      <c r="S16" s="16">
        <f t="shared" si="4"/>
        <v>724.69158878504663</v>
      </c>
      <c r="T16" s="16">
        <f t="shared" si="4"/>
        <v>773.8104138851802</v>
      </c>
      <c r="U16" s="16">
        <f t="shared" si="4"/>
        <v>763.23097463284375</v>
      </c>
      <c r="V16" s="16">
        <f t="shared" si="4"/>
        <v>777.58878504672896</v>
      </c>
      <c r="W16" s="16">
        <f t="shared" si="4"/>
        <v>795.72496662216281</v>
      </c>
      <c r="X16" s="16">
        <f t="shared" si="4"/>
        <v>814.61682242990651</v>
      </c>
      <c r="Y16" s="16">
        <f t="shared" si="4"/>
        <v>834.26435246995993</v>
      </c>
      <c r="Z16" s="16">
        <f t="shared" si="4"/>
        <v>857.690253671562</v>
      </c>
      <c r="AA16" s="16">
        <f t="shared" si="4"/>
        <v>874.3150867823764</v>
      </c>
      <c r="AB16" s="16">
        <f t="shared" si="4"/>
        <v>895.4739652870494</v>
      </c>
      <c r="AC16" s="16">
        <f t="shared" si="4"/>
        <v>917.38851802403201</v>
      </c>
      <c r="AD16" s="16">
        <f t="shared" si="4"/>
        <v>939.30307076101462</v>
      </c>
      <c r="AE16" s="16">
        <f t="shared" si="4"/>
        <v>965.75166889185573</v>
      </c>
      <c r="AF16" s="16">
        <f t="shared" si="4"/>
        <v>986.15487316421888</v>
      </c>
      <c r="AG16" s="16">
        <f t="shared" si="4"/>
        <v>1009.5807743658211</v>
      </c>
      <c r="AH16" s="16">
        <f t="shared" si="4"/>
        <v>1034.5180240320426</v>
      </c>
      <c r="AI16" s="16">
        <f t="shared" si="4"/>
        <v>1060.2109479305741</v>
      </c>
      <c r="AJ16" s="16">
        <f t="shared" si="4"/>
        <v>1089.6822429906542</v>
      </c>
      <c r="AK16" s="16">
        <f t="shared" si="4"/>
        <v>0</v>
      </c>
      <c r="AL16" s="16">
        <f t="shared" si="4"/>
        <v>0</v>
      </c>
      <c r="AM16" s="16">
        <f t="shared" si="4"/>
        <v>0</v>
      </c>
      <c r="AN16" s="16">
        <f t="shared" si="4"/>
        <v>0</v>
      </c>
      <c r="AO16" s="16">
        <f t="shared" si="4"/>
        <v>0</v>
      </c>
      <c r="AP16" s="16">
        <f t="shared" si="4"/>
        <v>0</v>
      </c>
      <c r="AQ16" s="16">
        <f t="shared" si="4"/>
        <v>0</v>
      </c>
      <c r="AR16" s="16">
        <f t="shared" si="4"/>
        <v>0</v>
      </c>
      <c r="AS16" s="16">
        <f t="shared" si="4"/>
        <v>0</v>
      </c>
      <c r="AT16" s="16">
        <f t="shared" si="4"/>
        <v>0</v>
      </c>
      <c r="AU16" s="16">
        <f t="shared" si="4"/>
        <v>0</v>
      </c>
      <c r="AV16" s="16">
        <f t="shared" si="4"/>
        <v>0</v>
      </c>
      <c r="AW16" s="16">
        <f t="shared" si="4"/>
        <v>0</v>
      </c>
      <c r="AX16" s="16">
        <f t="shared" si="4"/>
        <v>0</v>
      </c>
      <c r="AY16" s="16">
        <f t="shared" si="4"/>
        <v>0</v>
      </c>
      <c r="AZ16" s="16">
        <f t="shared" si="4"/>
        <v>0</v>
      </c>
      <c r="BA16" s="16">
        <f t="shared" si="4"/>
        <v>0</v>
      </c>
      <c r="BB16" s="16">
        <f t="shared" si="4"/>
        <v>0</v>
      </c>
    </row>
    <row r="17" spans="1:54">
      <c r="A17" s="38">
        <f>NPV('Financial Information'!$B$5,$E17:$AL17)*(1+'Financial Information'!$B$5)</f>
        <v>83927.412088782949</v>
      </c>
      <c r="B17" s="24">
        <f>NPV('Financial Information'!$B$5,$D17:$BB17)*(1+'Financial Information'!$B$5)</f>
        <v>78657.368405607267</v>
      </c>
      <c r="C17" s="6" t="s">
        <v>108</v>
      </c>
      <c r="D17" s="6">
        <v>0</v>
      </c>
      <c r="E17" s="16">
        <f>SUM(E2:E5)</f>
        <v>0</v>
      </c>
      <c r="F17" s="16">
        <f t="shared" ref="F17:BB17" si="5">SUM(F2:F5)</f>
        <v>0</v>
      </c>
      <c r="G17" s="16">
        <f t="shared" si="5"/>
        <v>10797.637943524645</v>
      </c>
      <c r="H17" s="16">
        <f t="shared" si="5"/>
        <v>10216.081367968463</v>
      </c>
      <c r="I17" s="16">
        <f t="shared" si="5"/>
        <v>9642.6298513135334</v>
      </c>
      <c r="J17" s="16">
        <f t="shared" si="5"/>
        <v>9208.1265804778068</v>
      </c>
      <c r="K17" s="16">
        <f t="shared" si="5"/>
        <v>7852.2820946185711</v>
      </c>
      <c r="L17" s="16">
        <f t="shared" si="5"/>
        <v>7517.2610490883162</v>
      </c>
      <c r="M17" s="16">
        <f t="shared" si="5"/>
        <v>7260.8133940823109</v>
      </c>
      <c r="N17" s="16">
        <f t="shared" si="5"/>
        <v>7045.0690806065013</v>
      </c>
      <c r="O17" s="16">
        <f t="shared" si="5"/>
        <v>6829.9315972525483</v>
      </c>
      <c r="P17" s="16">
        <f t="shared" si="5"/>
        <v>6617.7012926185735</v>
      </c>
      <c r="Q17" s="16">
        <f t="shared" si="5"/>
        <v>6406.2555789100215</v>
      </c>
      <c r="R17" s="16">
        <f t="shared" si="5"/>
        <v>6188.4977297823079</v>
      </c>
      <c r="S17" s="16">
        <f t="shared" si="5"/>
        <v>5971.2044385729196</v>
      </c>
      <c r="T17" s="16">
        <f t="shared" si="5"/>
        <v>5754.2271516673982</v>
      </c>
      <c r="U17" s="16">
        <f t="shared" si="5"/>
        <v>5544.1668094825563</v>
      </c>
      <c r="V17" s="16">
        <f t="shared" si="5"/>
        <v>5330.9222624881886</v>
      </c>
      <c r="W17" s="16">
        <f t="shared" si="5"/>
        <v>5113.9680489074153</v>
      </c>
      <c r="X17" s="16">
        <f t="shared" si="5"/>
        <v>5411.6467166962557</v>
      </c>
      <c r="Y17" s="16">
        <f t="shared" si="5"/>
        <v>5125.3762464802776</v>
      </c>
      <c r="Z17" s="16">
        <f t="shared" si="5"/>
        <v>4861.5696817089747</v>
      </c>
      <c r="AA17" s="16">
        <f t="shared" si="5"/>
        <v>4661.8378834223086</v>
      </c>
      <c r="AB17" s="16">
        <f t="shared" si="5"/>
        <v>4393.6420192076239</v>
      </c>
      <c r="AC17" s="16">
        <f t="shared" si="5"/>
        <v>4192.5363320439992</v>
      </c>
      <c r="AD17" s="16">
        <f t="shared" si="5"/>
        <v>3941.6090268871567</v>
      </c>
      <c r="AE17" s="16">
        <f t="shared" si="5"/>
        <v>3746.2254912328735</v>
      </c>
      <c r="AF17" s="16">
        <f t="shared" si="5"/>
        <v>3514.5761027211529</v>
      </c>
      <c r="AG17" s="16">
        <f t="shared" si="5"/>
        <v>3296.0481422027156</v>
      </c>
      <c r="AH17" s="16">
        <f t="shared" si="5"/>
        <v>3094.1228315840754</v>
      </c>
      <c r="AI17" s="16">
        <f t="shared" si="5"/>
        <v>2892.104375399163</v>
      </c>
      <c r="AJ17" s="16">
        <f t="shared" si="5"/>
        <v>4019.0104298295337</v>
      </c>
      <c r="AK17" s="16">
        <f t="shared" si="5"/>
        <v>3.5240992061591171E-15</v>
      </c>
      <c r="AL17" s="16">
        <f t="shared" si="5"/>
        <v>-2.433238207628694E-16</v>
      </c>
      <c r="AM17" s="16">
        <f t="shared" si="5"/>
        <v>-2.433238207628694E-16</v>
      </c>
      <c r="AN17" s="16">
        <f t="shared" si="5"/>
        <v>-2.433238207628694E-16</v>
      </c>
      <c r="AO17" s="16">
        <f t="shared" si="5"/>
        <v>-2.433238207628694E-16</v>
      </c>
      <c r="AP17" s="16">
        <f t="shared" si="5"/>
        <v>-2.433238207628694E-16</v>
      </c>
      <c r="AQ17" s="16">
        <f t="shared" si="5"/>
        <v>-2.433238207628694E-16</v>
      </c>
      <c r="AR17" s="16">
        <f t="shared" si="5"/>
        <v>-2.433238207628694E-16</v>
      </c>
      <c r="AS17" s="16">
        <f t="shared" si="5"/>
        <v>-2.433238207628694E-16</v>
      </c>
      <c r="AT17" s="16">
        <f t="shared" si="5"/>
        <v>-2.433238207628694E-16</v>
      </c>
      <c r="AU17" s="16">
        <f t="shared" si="5"/>
        <v>0</v>
      </c>
      <c r="AV17" s="16">
        <f t="shared" si="5"/>
        <v>0</v>
      </c>
      <c r="AW17" s="16">
        <f t="shared" si="5"/>
        <v>0</v>
      </c>
      <c r="AX17" s="16">
        <f t="shared" si="5"/>
        <v>0</v>
      </c>
      <c r="AY17" s="16">
        <f t="shared" si="5"/>
        <v>0</v>
      </c>
      <c r="AZ17" s="16">
        <f t="shared" si="5"/>
        <v>0</v>
      </c>
      <c r="BA17" s="16">
        <f t="shared" si="5"/>
        <v>0</v>
      </c>
      <c r="BB17" s="16">
        <f t="shared" si="5"/>
        <v>0</v>
      </c>
    </row>
    <row r="18" spans="1:54">
      <c r="A18" s="386">
        <f>NPV('Financial Information'!$B$5,$E18:$AL18)*(1+'Financial Information'!$B$5)</f>
        <v>7179.2730181582183</v>
      </c>
      <c r="B18" s="386">
        <f>NPV('Financial Information'!$B$5,$D18:$BB18)*(1+'Financial Information'!$B$5)</f>
        <v>6874.1709997191265</v>
      </c>
      <c r="C18" s="6" t="s">
        <v>107</v>
      </c>
      <c r="D18" s="6">
        <v>0</v>
      </c>
      <c r="E18" s="16">
        <f>SUM(E7:E9)</f>
        <v>0</v>
      </c>
      <c r="F18" s="16">
        <f t="shared" ref="F18:AX18" si="6">SUM(F7:F9)</f>
        <v>0</v>
      </c>
      <c r="G18" s="16">
        <f t="shared" si="6"/>
        <v>794.91266241504593</v>
      </c>
      <c r="H18" s="16">
        <f t="shared" si="6"/>
        <v>774.47365468477688</v>
      </c>
      <c r="I18" s="16">
        <f t="shared" si="6"/>
        <v>752.91003611817825</v>
      </c>
      <c r="J18" s="16">
        <f t="shared" si="6"/>
        <v>730.51328336783763</v>
      </c>
      <c r="K18" s="16">
        <f t="shared" si="6"/>
        <v>708.74466534251167</v>
      </c>
      <c r="L18" s="16">
        <f t="shared" si="6"/>
        <v>687.55797583377205</v>
      </c>
      <c r="M18" s="16">
        <f t="shared" si="6"/>
        <v>667.66591181788499</v>
      </c>
      <c r="N18" s="16">
        <f t="shared" si="6"/>
        <v>647.51737670927753</v>
      </c>
      <c r="O18" s="16">
        <f t="shared" si="6"/>
        <v>627.65104566067828</v>
      </c>
      <c r="P18" s="16">
        <f t="shared" si="6"/>
        <v>607.07620398693939</v>
      </c>
      <c r="Q18" s="16">
        <f t="shared" si="6"/>
        <v>587.26511657478113</v>
      </c>
      <c r="R18" s="16">
        <f t="shared" si="6"/>
        <v>566.70667736046141</v>
      </c>
      <c r="S18" s="16">
        <f t="shared" si="6"/>
        <v>545.40113601688506</v>
      </c>
      <c r="T18" s="16">
        <f t="shared" si="6"/>
        <v>524.86009817176318</v>
      </c>
      <c r="U18" s="16">
        <f t="shared" si="6"/>
        <v>504.32815447077002</v>
      </c>
      <c r="V18" s="16">
        <f t="shared" si="6"/>
        <v>483.0499035059201</v>
      </c>
      <c r="W18" s="16">
        <f t="shared" si="6"/>
        <v>462.53697475088626</v>
      </c>
      <c r="X18" s="16">
        <f t="shared" si="6"/>
        <v>440.52263494806459</v>
      </c>
      <c r="Y18" s="16">
        <f t="shared" si="6"/>
        <v>418.51853068457945</v>
      </c>
      <c r="Z18" s="16">
        <f t="shared" si="6"/>
        <v>398.03631749123048</v>
      </c>
      <c r="AA18" s="16">
        <f t="shared" si="6"/>
        <v>383.53704967875626</v>
      </c>
      <c r="AB18" s="16">
        <f t="shared" si="6"/>
        <v>366.63468452453952</v>
      </c>
      <c r="AC18" s="16">
        <f t="shared" si="6"/>
        <v>356.47160028952368</v>
      </c>
      <c r="AD18" s="16">
        <f t="shared" si="6"/>
        <v>342.5420106883484</v>
      </c>
      <c r="AE18" s="16">
        <f t="shared" si="6"/>
        <v>332.40301401797285</v>
      </c>
      <c r="AF18" s="16">
        <f t="shared" si="6"/>
        <v>320.00958307299658</v>
      </c>
      <c r="AG18" s="16">
        <f t="shared" si="6"/>
        <v>309.14046666763835</v>
      </c>
      <c r="AH18" s="16">
        <f t="shared" si="6"/>
        <v>299.0403795518381</v>
      </c>
      <c r="AI18" s="16">
        <f t="shared" si="6"/>
        <v>288.95404814500364</v>
      </c>
      <c r="AJ18" s="16">
        <f t="shared" si="6"/>
        <v>278.88188511840406</v>
      </c>
      <c r="AK18" s="16">
        <f t="shared" si="6"/>
        <v>268.82431552344627</v>
      </c>
      <c r="AL18" s="16">
        <f t="shared" si="6"/>
        <v>258.7817771630796</v>
      </c>
      <c r="AM18" s="16">
        <f t="shared" si="6"/>
        <v>248.75472097434172</v>
      </c>
      <c r="AN18" s="16">
        <f t="shared" si="6"/>
        <v>238.74361142238152</v>
      </c>
      <c r="AO18" s="16">
        <f t="shared" si="6"/>
        <v>228.74892690630242</v>
      </c>
      <c r="AP18" s="16">
        <f t="shared" si="6"/>
        <v>218.77116017718066</v>
      </c>
      <c r="AQ18" s="16">
        <f t="shared" si="6"/>
        <v>208.81081876862513</v>
      </c>
      <c r="AR18" s="16">
        <f t="shared" si="6"/>
        <v>198.86842544025262</v>
      </c>
      <c r="AS18" s="16">
        <f t="shared" si="6"/>
        <v>188.94451863446889</v>
      </c>
      <c r="AT18" s="16">
        <f t="shared" si="6"/>
        <v>194.57359742620477</v>
      </c>
      <c r="AU18" s="16">
        <f t="shared" si="6"/>
        <v>0</v>
      </c>
      <c r="AV18" s="16">
        <f t="shared" si="6"/>
        <v>0</v>
      </c>
      <c r="AW18" s="16">
        <f t="shared" si="6"/>
        <v>0</v>
      </c>
      <c r="AX18" s="16">
        <f t="shared" si="6"/>
        <v>0</v>
      </c>
    </row>
    <row r="19" spans="1:54">
      <c r="A19" s="24">
        <f>SUM(A16:A18)</f>
        <v>99406.976316309141</v>
      </c>
      <c r="B19" s="24">
        <f>SUM(B16:B18)</f>
        <v>93310.63144784559</v>
      </c>
    </row>
    <row r="20" spans="1:54">
      <c r="D20" s="411"/>
      <c r="E20" s="411"/>
      <c r="F20" s="411"/>
      <c r="G20" s="411"/>
      <c r="AB20" s="157"/>
      <c r="AC20" s="157"/>
      <c r="AD20" s="157"/>
      <c r="AE20" s="157"/>
      <c r="AF20" s="157"/>
      <c r="AG20" s="157"/>
      <c r="AH20" s="157"/>
    </row>
    <row r="21" spans="1:54">
      <c r="D21" s="390"/>
      <c r="F21" s="390"/>
    </row>
    <row r="22" spans="1:54">
      <c r="A22" s="385"/>
      <c r="D22" s="390"/>
      <c r="F22" s="390" t="s">
        <v>195</v>
      </c>
    </row>
    <row r="23" spans="1:54">
      <c r="A23" s="24"/>
      <c r="D23" s="390"/>
      <c r="F23" s="390"/>
    </row>
    <row r="24" spans="1:54">
      <c r="A24" s="24"/>
      <c r="D24" s="157"/>
      <c r="F24" s="157"/>
    </row>
    <row r="25" spans="1:54">
      <c r="A25" s="24"/>
      <c r="D25" s="390"/>
      <c r="F25" s="390"/>
    </row>
    <row r="26" spans="1:54">
      <c r="A26" s="24"/>
      <c r="D26" s="153"/>
      <c r="E26" s="160"/>
      <c r="F26" s="153"/>
    </row>
    <row r="27" spans="1:54">
      <c r="A27" s="24"/>
      <c r="D27" s="153"/>
      <c r="E27" s="160"/>
      <c r="F27" s="153"/>
    </row>
    <row r="28" spans="1:54">
      <c r="A28" s="24"/>
      <c r="D28" s="390"/>
      <c r="F28" s="390"/>
    </row>
    <row r="29" spans="1:54">
      <c r="A29" s="24"/>
      <c r="D29" s="390"/>
      <c r="F29" s="390"/>
    </row>
    <row r="30" spans="1:54">
      <c r="A30" s="24"/>
    </row>
    <row r="31" spans="1:54">
      <c r="A31" s="24"/>
      <c r="D31" s="37"/>
      <c r="F31" s="37"/>
    </row>
    <row r="32" spans="1:54">
      <c r="A32" s="24"/>
      <c r="D32" s="37"/>
      <c r="F32" s="37"/>
    </row>
    <row r="33" spans="1:6">
      <c r="A33" s="24"/>
      <c r="D33" s="37"/>
      <c r="F33" s="37"/>
    </row>
    <row r="34" spans="1:6">
      <c r="A34" s="24"/>
      <c r="D34" s="391"/>
      <c r="F34" s="392"/>
    </row>
    <row r="35" spans="1:6">
      <c r="A35" s="24"/>
      <c r="D35" s="37"/>
    </row>
    <row r="36" spans="1:6">
      <c r="A36" s="24"/>
    </row>
    <row r="37" spans="1:6">
      <c r="A37" s="24"/>
    </row>
    <row r="38" spans="1:6">
      <c r="A38" s="24"/>
    </row>
    <row r="39" spans="1:6">
      <c r="A39" s="24"/>
    </row>
    <row r="40" spans="1:6">
      <c r="A40" s="24"/>
    </row>
    <row r="53" spans="4:6">
      <c r="D53" s="155"/>
      <c r="F53" s="155"/>
    </row>
    <row r="54" spans="4:6">
      <c r="D54" s="153"/>
      <c r="F54" s="155"/>
    </row>
    <row r="55" spans="4:6">
      <c r="D55" s="155"/>
      <c r="F55" s="155"/>
    </row>
    <row r="56" spans="4:6">
      <c r="D56" s="155"/>
      <c r="F56" s="155"/>
    </row>
    <row r="57" spans="4:6">
      <c r="D57" s="155"/>
      <c r="F57" s="155"/>
    </row>
    <row r="58" spans="4:6">
      <c r="F58" s="155"/>
    </row>
    <row r="59" spans="4:6">
      <c r="F59" s="155"/>
    </row>
    <row r="60" spans="4:6">
      <c r="F60" s="155"/>
    </row>
    <row r="61" spans="4:6">
      <c r="F61" s="155"/>
    </row>
    <row r="62" spans="4:6">
      <c r="F62" s="155"/>
    </row>
  </sheetData>
  <mergeCells count="2">
    <mergeCell ref="D20:E20"/>
    <mergeCell ref="F20:G2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C3374-E3FF-46B7-992A-9CDA9A9C84B8}">
  <sheetPr>
    <tabColor rgb="FFFFFF00"/>
  </sheetPr>
  <dimension ref="A1:BP62"/>
  <sheetViews>
    <sheetView workbookViewId="0">
      <pane xSplit="3" ySplit="1" topLeftCell="D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90625" defaultRowHeight="14.5"/>
  <cols>
    <col min="1" max="2" width="11.90625" style="6" bestFit="1" customWidth="1"/>
    <col min="3" max="3" width="16.36328125" style="6" bestFit="1" customWidth="1"/>
    <col min="4" max="4" width="8.36328125" style="6" bestFit="1" customWidth="1"/>
    <col min="5" max="5" width="10.08984375" style="6" bestFit="1" customWidth="1"/>
    <col min="6" max="6" width="8.36328125" style="6" bestFit="1" customWidth="1"/>
    <col min="7" max="7" width="10.1796875" style="6" bestFit="1" customWidth="1"/>
    <col min="8" max="12" width="9.08984375" style="6" bestFit="1" customWidth="1"/>
    <col min="13" max="16" width="8.54296875" style="6" bestFit="1" customWidth="1"/>
    <col min="17" max="36" width="8.08984375" style="6" bestFit="1" customWidth="1"/>
    <col min="37" max="37" width="7.54296875" style="6" bestFit="1" customWidth="1"/>
    <col min="38" max="16384" width="8.90625" style="6"/>
  </cols>
  <sheetData>
    <row r="1" spans="1:54">
      <c r="A1" s="385" t="s">
        <v>381</v>
      </c>
      <c r="B1" s="385" t="s">
        <v>5</v>
      </c>
      <c r="C1" s="388">
        <v>44562</v>
      </c>
      <c r="D1" s="385">
        <v>2019</v>
      </c>
      <c r="E1" s="385">
        <f t="shared" ref="E1:BB1" si="0">D1+1</f>
        <v>2020</v>
      </c>
      <c r="F1" s="385">
        <f t="shared" si="0"/>
        <v>2021</v>
      </c>
      <c r="G1" s="385">
        <f t="shared" si="0"/>
        <v>2022</v>
      </c>
      <c r="H1" s="385">
        <f t="shared" si="0"/>
        <v>2023</v>
      </c>
      <c r="I1" s="385">
        <f t="shared" si="0"/>
        <v>2024</v>
      </c>
      <c r="J1" s="385">
        <f t="shared" si="0"/>
        <v>2025</v>
      </c>
      <c r="K1" s="385">
        <f t="shared" si="0"/>
        <v>2026</v>
      </c>
      <c r="L1" s="385">
        <f t="shared" si="0"/>
        <v>2027</v>
      </c>
      <c r="M1" s="385">
        <f t="shared" si="0"/>
        <v>2028</v>
      </c>
      <c r="N1" s="385">
        <f t="shared" si="0"/>
        <v>2029</v>
      </c>
      <c r="O1" s="385">
        <f t="shared" si="0"/>
        <v>2030</v>
      </c>
      <c r="P1" s="385">
        <f t="shared" si="0"/>
        <v>2031</v>
      </c>
      <c r="Q1" s="385">
        <f t="shared" si="0"/>
        <v>2032</v>
      </c>
      <c r="R1" s="385">
        <f t="shared" si="0"/>
        <v>2033</v>
      </c>
      <c r="S1" s="385">
        <f t="shared" si="0"/>
        <v>2034</v>
      </c>
      <c r="T1" s="385">
        <f t="shared" si="0"/>
        <v>2035</v>
      </c>
      <c r="U1" s="385">
        <f t="shared" si="0"/>
        <v>2036</v>
      </c>
      <c r="V1" s="385">
        <f t="shared" si="0"/>
        <v>2037</v>
      </c>
      <c r="W1" s="385">
        <f t="shared" si="0"/>
        <v>2038</v>
      </c>
      <c r="X1" s="385">
        <f t="shared" si="0"/>
        <v>2039</v>
      </c>
      <c r="Y1" s="385">
        <f t="shared" si="0"/>
        <v>2040</v>
      </c>
      <c r="Z1" s="385">
        <f t="shared" si="0"/>
        <v>2041</v>
      </c>
      <c r="AA1" s="385">
        <f t="shared" si="0"/>
        <v>2042</v>
      </c>
      <c r="AB1" s="385">
        <f t="shared" si="0"/>
        <v>2043</v>
      </c>
      <c r="AC1" s="385">
        <f t="shared" si="0"/>
        <v>2044</v>
      </c>
      <c r="AD1" s="385">
        <f t="shared" si="0"/>
        <v>2045</v>
      </c>
      <c r="AE1" s="385">
        <f t="shared" si="0"/>
        <v>2046</v>
      </c>
      <c r="AF1" s="385">
        <f t="shared" si="0"/>
        <v>2047</v>
      </c>
      <c r="AG1" s="385">
        <f t="shared" si="0"/>
        <v>2048</v>
      </c>
      <c r="AH1" s="385">
        <f t="shared" si="0"/>
        <v>2049</v>
      </c>
      <c r="AI1" s="385">
        <f t="shared" si="0"/>
        <v>2050</v>
      </c>
      <c r="AJ1" s="397">
        <f t="shared" si="0"/>
        <v>2051</v>
      </c>
      <c r="AK1" s="385">
        <f t="shared" si="0"/>
        <v>2052</v>
      </c>
      <c r="AL1" s="385">
        <f t="shared" si="0"/>
        <v>2053</v>
      </c>
      <c r="AM1" s="385">
        <f t="shared" si="0"/>
        <v>2054</v>
      </c>
      <c r="AN1" s="385">
        <f t="shared" si="0"/>
        <v>2055</v>
      </c>
      <c r="AO1" s="385">
        <f t="shared" si="0"/>
        <v>2056</v>
      </c>
      <c r="AP1" s="385">
        <f t="shared" si="0"/>
        <v>2057</v>
      </c>
      <c r="AQ1" s="385">
        <f t="shared" si="0"/>
        <v>2058</v>
      </c>
      <c r="AR1" s="385">
        <f t="shared" si="0"/>
        <v>2059</v>
      </c>
      <c r="AS1" s="385">
        <f t="shared" si="0"/>
        <v>2060</v>
      </c>
      <c r="AT1" s="385">
        <f t="shared" si="0"/>
        <v>2061</v>
      </c>
      <c r="AU1" s="385">
        <f t="shared" si="0"/>
        <v>2062</v>
      </c>
      <c r="AV1" s="385">
        <f t="shared" si="0"/>
        <v>2063</v>
      </c>
      <c r="AW1" s="385">
        <f t="shared" si="0"/>
        <v>2064</v>
      </c>
      <c r="AX1" s="385">
        <f t="shared" si="0"/>
        <v>2065</v>
      </c>
      <c r="AY1" s="385">
        <f t="shared" si="0"/>
        <v>2066</v>
      </c>
      <c r="AZ1" s="385">
        <f t="shared" si="0"/>
        <v>2067</v>
      </c>
      <c r="BA1" s="385">
        <f t="shared" si="0"/>
        <v>2068</v>
      </c>
      <c r="BB1" s="385">
        <f t="shared" si="0"/>
        <v>2069</v>
      </c>
    </row>
    <row r="2" spans="1:54">
      <c r="A2" s="38">
        <f>NPV('Financial Information'!$B$5,$E2:$AJ2)*(1+'Financial Information'!$B$5)</f>
        <v>191269.0830681393</v>
      </c>
      <c r="B2" s="24">
        <f>NPV('Financial Information'!$B$5,$E2:$BB2)*(1+'Financial Information'!$B$5)</f>
        <v>191269.0830681393</v>
      </c>
      <c r="C2" s="6" t="s">
        <v>0</v>
      </c>
      <c r="D2" s="15">
        <v>0</v>
      </c>
      <c r="E2" s="15">
        <v>0</v>
      </c>
      <c r="F2" s="15">
        <v>0</v>
      </c>
      <c r="G2" s="15">
        <f>('[8]Solar Rev Req 1'!C$34*2)-SUM(G3:G6)</f>
        <v>25307.61285948056</v>
      </c>
      <c r="H2" s="15">
        <f>('[8]Solar Rev Req 1'!D$34*2)-SUM(H3:H6)</f>
        <v>23803.808874982627</v>
      </c>
      <c r="I2" s="15">
        <f>('[8]Solar Rev Req 1'!E$34*2)-SUM(I3:I6)</f>
        <v>22311.967899926029</v>
      </c>
      <c r="J2" s="15">
        <f>('[8]Solar Rev Req 1'!F$34*2)-SUM(J3:J6)</f>
        <v>21209.730096737989</v>
      </c>
      <c r="K2" s="15">
        <f>('[8]Solar Rev Req 1'!G$34*2)-SUM(K3:K6)</f>
        <v>20269.454648537834</v>
      </c>
      <c r="L2" s="15">
        <f>('[8]Solar Rev Req 1'!H$34*2)-SUM(L3:L6)</f>
        <v>17102.405999890248</v>
      </c>
      <c r="M2" s="15">
        <f>('[8]Solar Rev Req 1'!I$34*2)-SUM(M3:M6)</f>
        <v>16487.991237882659</v>
      </c>
      <c r="N2" s="15">
        <f>('[8]Solar Rev Req 1'!J$34*2)-SUM(N3:N6)</f>
        <v>15984.696892772386</v>
      </c>
      <c r="O2" s="15">
        <f>('[8]Solar Rev Req 1'!K$34*2)-SUM(O3:O6)</f>
        <v>15482.766959055321</v>
      </c>
      <c r="P2" s="15">
        <f>('[8]Solar Rev Req 1'!L$34*2)-SUM(P3:P6)</f>
        <v>14996.943890401701</v>
      </c>
      <c r="Q2" s="15">
        <f>('[8]Solar Rev Req 1'!M$34*2)-SUM(Q3:Q6)</f>
        <v>14504.662087262015</v>
      </c>
      <c r="R2" s="15">
        <f>('[8]Solar Rev Req 1'!N$34*2)-SUM(R3:R6)</f>
        <v>14004.05049344345</v>
      </c>
      <c r="S2" s="15">
        <f>('[8]Solar Rev Req 1'!O$34*2)-SUM(S3:S6)</f>
        <v>13504.091508254784</v>
      </c>
      <c r="T2" s="15">
        <f>('[8]Solar Rev Req 1'!P$34*2)-SUM(T3:T6)</f>
        <v>13004.517457505544</v>
      </c>
      <c r="U2" s="15">
        <f>('[8]Solar Rev Req 1'!Q$34*2)-SUM(U3:U6)</f>
        <v>12522.589136358165</v>
      </c>
      <c r="V2" s="15">
        <f>('[8]Solar Rev Req 1'!R$34*2)-SUM(V3:V6)</f>
        <v>12033.314582418032</v>
      </c>
      <c r="W2" s="15">
        <f>('[8]Solar Rev Req 1'!S$34*2)-SUM(W3:W6)</f>
        <v>11535.441789498413</v>
      </c>
      <c r="X2" s="15">
        <f>('[8]Solar Rev Req 1'!T$34*2)-SUM(X3:X6)</f>
        <v>11038.422325380456</v>
      </c>
      <c r="Y2" s="15">
        <f>('[8]Solar Rev Req 1'!U$34*2)-SUM(Y3:Y6)</f>
        <v>10541.097897980217</v>
      </c>
      <c r="Z2" s="15">
        <f>('[8]Solar Rev Req 1'!V$34*2)-SUM(Z3:Z6)</f>
        <v>10058.493625554103</v>
      </c>
      <c r="AA2" s="15">
        <f>('[8]Solar Rev Req 1'!W$34*2)-SUM(AA3:AA6)</f>
        <v>9569.7550785316052</v>
      </c>
      <c r="AB2" s="15">
        <f>('[8]Solar Rev Req 1'!X$34*2)-SUM(AB3:AB6)</f>
        <v>9074.6350629220615</v>
      </c>
      <c r="AC2" s="15">
        <f>('[8]Solar Rev Req 1'!Y$34*2)-SUM(AC3:AC6)</f>
        <v>8580.5341622100677</v>
      </c>
      <c r="AD2" s="15">
        <f>('[8]Solar Rev Req 1'!Z$34*2)-SUM(AD3:AD6)</f>
        <v>8085.645457092678</v>
      </c>
      <c r="AE2" s="15">
        <f>('[8]Solar Rev Req 1'!AA$34*2)-SUM(AE3:AE6)</f>
        <v>7605.0763826461334</v>
      </c>
      <c r="AF2" s="15">
        <f>('[8]Solar Rev Req 1'!AB$34*2)-SUM(AF3:AF6)</f>
        <v>7116.4392985603736</v>
      </c>
      <c r="AG2" s="15">
        <f>('[8]Solar Rev Req 1'!AC$34*2)-SUM(AG3:AG6)</f>
        <v>6617.9281533969206</v>
      </c>
      <c r="AH2" s="15">
        <f>('[8]Solar Rev Req 1'!AD$34*2)-SUM(AH3:AH6)</f>
        <v>6118.6084924171719</v>
      </c>
      <c r="AI2" s="15">
        <f>('[8]Solar Rev Req 1'!AE$34*2)-SUM(AI3:AI6)</f>
        <v>5618.3480789138521</v>
      </c>
      <c r="AJ2" s="214">
        <f>('[8]Solar Rev Req 1'!AF$34*2)-SUM(AJ3:AJ6)</f>
        <v>8713.2984979938337</v>
      </c>
      <c r="AK2" s="15">
        <f>('[8]Solar Rev Req 1'!AG$34*2)-SUM(AK3:AK6)</f>
        <v>0</v>
      </c>
      <c r="AL2" s="15">
        <f>('[8]Solar Rev Req 1'!AH$34*2)-SUM(AL3:AL6)</f>
        <v>0</v>
      </c>
      <c r="AM2" s="15">
        <f>('[8]Solar Rev Req 1'!AI$34*2)-SUM(AM3:AM6)</f>
        <v>0</v>
      </c>
      <c r="AN2" s="15">
        <f>('[8]Solar Rev Req 1'!AJ$34*2)-SUM(AN3:AN6)</f>
        <v>0</v>
      </c>
      <c r="AO2" s="15">
        <f>('[8]Solar Rev Req 1'!AK$34*2)-SUM(AO3:AO6)</f>
        <v>0</v>
      </c>
      <c r="AP2" s="15">
        <f>('[8]Solar Rev Req 1'!AL$34*2)-SUM(AP3:AP6)</f>
        <v>0</v>
      </c>
      <c r="AQ2" s="15">
        <f>('[8]Solar Rev Req 1'!AM$34*2)-SUM(AQ3:AQ6)</f>
        <v>0</v>
      </c>
      <c r="AR2" s="15">
        <f>('[8]Solar Rev Req 1'!AN$34*2)-SUM(AR3:AR6)</f>
        <v>0</v>
      </c>
      <c r="AS2" s="15">
        <f>('[8]Solar Rev Req 1'!AO$34*2)-SUM(AS3:AS6)</f>
        <v>0</v>
      </c>
      <c r="AT2" s="15">
        <f>('[8]Solar Rev Req 1'!AP$34*2)-SUM(AT3:AT6)</f>
        <v>0</v>
      </c>
      <c r="AU2" s="15">
        <f>('[8]Solar Rev Req 1'!AQ$34*2)-SUM(AU3:AU6)</f>
        <v>0</v>
      </c>
      <c r="AV2" s="15">
        <f>('[8]Solar Rev Req 1'!AR$34*2)-SUM(AV3:AV6)</f>
        <v>0</v>
      </c>
      <c r="AW2" s="15">
        <f>('[8]Solar Rev Req 1'!AS$34*2)-SUM(AW3:AW6)</f>
        <v>0</v>
      </c>
      <c r="AX2" s="15">
        <f>('[8]Solar Rev Req 1'!AT$34*2)-SUM(AX3:AX6)</f>
        <v>0</v>
      </c>
      <c r="AY2" s="15">
        <f>('[8]Solar Rev Req 1'!AU$34*2)-SUM(AY3:AY6)</f>
        <v>0</v>
      </c>
      <c r="AZ2" s="15">
        <f>('[8]Solar Rev Req 1'!AV$34*2)-SUM(AZ3:AZ6)</f>
        <v>0</v>
      </c>
      <c r="BA2" s="15">
        <f>('[8]Solar Rev Req 1'!AW$34*2)-SUM(BA3:BA6)</f>
        <v>0</v>
      </c>
      <c r="BB2" s="15">
        <f>('[8]Solar Rev Req 1'!AX$34*2)-SUM(BB3:BB6)</f>
        <v>0</v>
      </c>
    </row>
    <row r="3" spans="1:54">
      <c r="A3" s="38">
        <f>NPV('Financial Information'!$B$5,$E3:$AJ3)*(1+'Financial Information'!$B$5)</f>
        <v>8026.7072871054406</v>
      </c>
      <c r="B3" s="24">
        <f>NPV('Financial Information'!$B$5,$E3:$BB3)*(1+'Financial Information'!$B$5)</f>
        <v>8026.7072871054406</v>
      </c>
      <c r="C3" s="6" t="s">
        <v>1</v>
      </c>
      <c r="D3" s="15">
        <v>0</v>
      </c>
      <c r="E3" s="15">
        <v>0</v>
      </c>
      <c r="F3" s="15">
        <v>0</v>
      </c>
      <c r="G3" s="15">
        <f>'[8]Solar Rev Req 1'!C$32*2</f>
        <v>688.78910604335033</v>
      </c>
      <c r="H3" s="15">
        <f>'[8]Solar Rev Req 1'!D$32*2</f>
        <v>667.7037252461048</v>
      </c>
      <c r="I3" s="15">
        <f>'[8]Solar Rev Req 1'!E$32*2</f>
        <v>653.64680471460781</v>
      </c>
      <c r="J3" s="15">
        <f>'[8]Solar Rev Req 1'!F$32*2</f>
        <v>632.5614239173625</v>
      </c>
      <c r="K3" s="15">
        <f>'[8]Solar Rev Req 1'!G$32*2</f>
        <v>611.47604312011708</v>
      </c>
      <c r="L3" s="15">
        <f>'[8]Solar Rev Req 1'!H$32*2</f>
        <v>590.39066232287166</v>
      </c>
      <c r="M3" s="15">
        <f>'[8]Solar Rev Req 1'!I$32*2</f>
        <v>569.30528152562613</v>
      </c>
      <c r="N3" s="15">
        <f>'[8]Solar Rev Req 1'!J$32*2</f>
        <v>548.21990072838082</v>
      </c>
      <c r="O3" s="15">
        <f>'[8]Solar Rev Req 1'!K$32*2</f>
        <v>527.1345199311354</v>
      </c>
      <c r="P3" s="15">
        <f>'[8]Solar Rev Req 1'!L$32*2</f>
        <v>499.02067886814143</v>
      </c>
      <c r="Q3" s="15">
        <f>'[8]Solar Rev Req 1'!M$32*2</f>
        <v>477.93529807089601</v>
      </c>
      <c r="R3" s="15">
        <f>'[8]Solar Rev Req 1'!N$32*2</f>
        <v>449.82145700790215</v>
      </c>
      <c r="S3" s="15">
        <f>'[8]Solar Rev Req 1'!O$32*2</f>
        <v>421.7076159449083</v>
      </c>
      <c r="T3" s="15">
        <f>'[8]Solar Rev Req 1'!P$32*2</f>
        <v>393.59377488191444</v>
      </c>
      <c r="U3" s="15">
        <f>'[8]Solar Rev Req 1'!Q$32*2</f>
        <v>365.47993381892053</v>
      </c>
      <c r="V3" s="15">
        <f>'[8]Solar Rev Req 1'!R$32*2</f>
        <v>337.36609275592662</v>
      </c>
      <c r="W3" s="15">
        <f>'[8]Solar Rev Req 1'!S$32*2</f>
        <v>1546.261258464664</v>
      </c>
      <c r="X3" s="15">
        <f>'[8]Solar Rev Req 1'!T$32*2</f>
        <v>1370.5497518209525</v>
      </c>
      <c r="Y3" s="15">
        <f>'[8]Solar Rev Req 1'!U$32*2</f>
        <v>1194.8382451772404</v>
      </c>
      <c r="Z3" s="15">
        <f>'[8]Solar Rev Req 1'!V$32*2</f>
        <v>1054.269039862271</v>
      </c>
      <c r="AA3" s="15">
        <f>'[8]Solar Rev Req 1'!W$32*2</f>
        <v>1054.269039862271</v>
      </c>
      <c r="AB3" s="15">
        <f>'[8]Solar Rev Req 1'!X$32*2</f>
        <v>913.69983454730163</v>
      </c>
      <c r="AC3" s="15">
        <f>'[8]Solar Rev Req 1'!Y$32*2</f>
        <v>913.69983454730163</v>
      </c>
      <c r="AD3" s="15">
        <f>'[8]Solar Rev Req 1'!Z$32*2</f>
        <v>808.27293056107442</v>
      </c>
      <c r="AE3" s="15">
        <f>'[8]Solar Rev Req 1'!AA$32*2</f>
        <v>808.27293056107442</v>
      </c>
      <c r="AF3" s="15">
        <f>'[8]Solar Rev Req 1'!AB$32*2</f>
        <v>737.98832790358972</v>
      </c>
      <c r="AG3" s="15">
        <f>'[8]Solar Rev Req 1'!AC$32*2</f>
        <v>702.84602657484731</v>
      </c>
      <c r="AH3" s="15">
        <f>'[8]Solar Rev Req 1'!AD$32*2</f>
        <v>702.84602657484731</v>
      </c>
      <c r="AI3" s="15">
        <f>'[8]Solar Rev Req 1'!AE$32*2</f>
        <v>702.84602657484731</v>
      </c>
      <c r="AJ3" s="214">
        <f>'[8]Solar Rev Req 1'!AF$32*2</f>
        <v>702.84602657484731</v>
      </c>
      <c r="AK3" s="15">
        <f>'[8]Solar Rev Req 1'!AG$32*2</f>
        <v>0</v>
      </c>
      <c r="AL3" s="15">
        <f>'[8]Solar Rev Req 1'!AH$32*2</f>
        <v>0</v>
      </c>
      <c r="AM3" s="15">
        <f>'[8]Solar Rev Req 1'!AI$32*2</f>
        <v>0</v>
      </c>
      <c r="AN3" s="15">
        <f>'[8]Solar Rev Req 1'!AJ$32*2</f>
        <v>0</v>
      </c>
      <c r="AO3" s="15">
        <f>'[8]Solar Rev Req 1'!AK$32*2</f>
        <v>0</v>
      </c>
      <c r="AP3" s="15">
        <f>'[8]Solar Rev Req 1'!AL$32*2</f>
        <v>0</v>
      </c>
      <c r="AQ3" s="15">
        <f>'[8]Solar Rev Req 1'!AM$32*2</f>
        <v>0</v>
      </c>
      <c r="AR3" s="15">
        <f>'[8]Solar Rev Req 1'!AN$32*2</f>
        <v>0</v>
      </c>
      <c r="AS3" s="15">
        <f>'[8]Solar Rev Req 1'!AO$32*2</f>
        <v>0</v>
      </c>
      <c r="AT3" s="15">
        <f>'[8]Solar Rev Req 1'!AP$32*2</f>
        <v>0</v>
      </c>
      <c r="AU3" s="15">
        <f>'[8]Solar Rev Req 1'!AQ$32*2</f>
        <v>0</v>
      </c>
      <c r="AV3" s="15">
        <f>'[8]Solar Rev Req 1'!AR$32*2</f>
        <v>0</v>
      </c>
      <c r="AW3" s="15">
        <f>'[8]Solar Rev Req 1'!AS$32*2</f>
        <v>0</v>
      </c>
      <c r="AX3" s="15">
        <f>'[8]Solar Rev Req 1'!AT$32*2</f>
        <v>0</v>
      </c>
      <c r="AY3" s="15">
        <f>'[8]Solar Rev Req 1'!AU$32*2</f>
        <v>0</v>
      </c>
      <c r="AZ3" s="15">
        <f>'[8]Solar Rev Req 1'!AV$32*2</f>
        <v>0</v>
      </c>
      <c r="BA3" s="15">
        <f>'[8]Solar Rev Req 1'!AW$32*2</f>
        <v>0</v>
      </c>
      <c r="BB3" s="15">
        <f>'[8]Solar Rev Req 1'!AX$32*2</f>
        <v>0</v>
      </c>
    </row>
    <row r="4" spans="1:54">
      <c r="A4" s="38">
        <f>NPV('Financial Information'!$B$5,$E4:$AJ4)*(1+'Financial Information'!$B$5)</f>
        <v>4177.1082843542717</v>
      </c>
      <c r="B4" s="24">
        <f>NPV('Financial Information'!$B$5,$E4:$BB4)*(1+'Financial Information'!$B$5)</f>
        <v>4177.1082843542717</v>
      </c>
      <c r="C4" s="6" t="s">
        <v>2</v>
      </c>
      <c r="D4" s="15">
        <v>0</v>
      </c>
      <c r="E4" s="15">
        <v>0</v>
      </c>
      <c r="F4" s="15">
        <v>0</v>
      </c>
      <c r="G4" s="15">
        <f>'[8]Solar Rev Req 1'!C$33*2</f>
        <v>250.26997249821491</v>
      </c>
      <c r="H4" s="15">
        <f>'[8]Solar Rev Req 1'!D$33*2</f>
        <v>257.77807167316138</v>
      </c>
      <c r="I4" s="15">
        <f>'[8]Solar Rev Req 1'!E$33*2</f>
        <v>265.51141382335618</v>
      </c>
      <c r="J4" s="15">
        <f>'[8]Solar Rev Req 1'!F$33*2</f>
        <v>273.47675623805691</v>
      </c>
      <c r="K4" s="15">
        <f>'[8]Solar Rev Req 1'!G$33*2</f>
        <v>281.95523287131454</v>
      </c>
      <c r="L4" s="15">
        <f>'[8]Solar Rev Req 1'!H$33*2</f>
        <v>290.55331756423908</v>
      </c>
      <c r="M4" s="15">
        <f>'[8]Solar Rev Req 1'!I$33*2</f>
        <v>299.43458958884599</v>
      </c>
      <c r="N4" s="15">
        <f>'[8]Solar Rev Req 1'!J$33*2</f>
        <v>308.60764843265258</v>
      </c>
      <c r="O4" s="15">
        <f>'[8]Solar Rev Req 1'!K$33*2</f>
        <v>318.08116383514903</v>
      </c>
      <c r="P4" s="15">
        <f>'[8]Solar Rev Req 1'!L$33*2</f>
        <v>328.1817208570821</v>
      </c>
      <c r="Q4" s="15">
        <f>'[8]Solar Rev Req 1'!M$33*2</f>
        <v>338.29198935340196</v>
      </c>
      <c r="R4" s="15">
        <f>'[8]Solar Rev Req 1'!N$33*2</f>
        <v>348.72946874168326</v>
      </c>
      <c r="S4" s="15">
        <f>'[8]Solar Rev Req 1'!O$33*2</f>
        <v>359.50317025946094</v>
      </c>
      <c r="T4" s="15">
        <f>'[8]Solar Rev Req 1'!P$33*2</f>
        <v>370.62221587819732</v>
      </c>
      <c r="U4" s="15">
        <f>'[8]Solar Rev Req 1'!Q$33*2</f>
        <v>382.51959155063378</v>
      </c>
      <c r="V4" s="15">
        <f>'[8]Solar Rev Req 1'!R$33*2</f>
        <v>394.36993058668941</v>
      </c>
      <c r="W4" s="15">
        <f>'[8]Solar Rev Req 1'!S$33*2</f>
        <v>406.59420103623103</v>
      </c>
      <c r="X4" s="15">
        <f>'[8]Solar Rev Req 1'!T$33*2</f>
        <v>419.20216614938437</v>
      </c>
      <c r="Y4" s="15">
        <f>'[8]Solar Rev Req 1'!U$33*2</f>
        <v>432.20380402865811</v>
      </c>
      <c r="Z4" s="15">
        <f>'[8]Solar Rev Req 1'!V$33*2</f>
        <v>446.0364876368983</v>
      </c>
      <c r="AA4" s="15">
        <f>'[8]Solar Rev Req 1'!W$33*2</f>
        <v>459.86921003428563</v>
      </c>
      <c r="AB4" s="15">
        <f>'[8]Solar Rev Req 1'!X$33*2</f>
        <v>474.12747695017674</v>
      </c>
      <c r="AC4" s="15">
        <f>'[8]Solar Rev Req 1'!Y$33*2</f>
        <v>488.82240486601927</v>
      </c>
      <c r="AD4" s="15">
        <f>'[8]Solar Rev Req 1'!Z$33*2</f>
        <v>503.96546156345875</v>
      </c>
      <c r="AE4" s="15">
        <f>'[8]Solar Rev Req 1'!AA$33*2</f>
        <v>520.06368231098281</v>
      </c>
      <c r="AF4" s="15">
        <f>'[8]Solar Rev Req 1'!AB$33*2</f>
        <v>536.15379790657653</v>
      </c>
      <c r="AG4" s="15">
        <f>'[8]Solar Rev Req 1'!AC$33*2</f>
        <v>552.72927137929594</v>
      </c>
      <c r="AH4" s="15">
        <f>'[8]Solar Rev Req 1'!AD$33*2</f>
        <v>569.80325755098409</v>
      </c>
      <c r="AI4" s="15">
        <f>'[8]Solar Rev Req 1'!AE$33*2</f>
        <v>587.38939268500758</v>
      </c>
      <c r="AJ4" s="214">
        <f>'[8]Solar Rev Req 1'!AF$33*2</f>
        <v>606.0758765404878</v>
      </c>
      <c r="AK4" s="15">
        <f>'[8]Solar Rev Req 1'!AG$33*2</f>
        <v>0</v>
      </c>
      <c r="AL4" s="15">
        <f>'[8]Solar Rev Req 1'!AH$33*2</f>
        <v>0</v>
      </c>
      <c r="AM4" s="15">
        <f>'[8]Solar Rev Req 1'!AI$33*2</f>
        <v>0</v>
      </c>
      <c r="AN4" s="15">
        <f>'[8]Solar Rev Req 1'!AJ$33*2</f>
        <v>0</v>
      </c>
      <c r="AO4" s="15">
        <f>'[8]Solar Rev Req 1'!AK$33*2</f>
        <v>0</v>
      </c>
      <c r="AP4" s="15">
        <f>'[8]Solar Rev Req 1'!AL$33*2</f>
        <v>0</v>
      </c>
      <c r="AQ4" s="15">
        <f>'[8]Solar Rev Req 1'!AM$33*2</f>
        <v>0</v>
      </c>
      <c r="AR4" s="15">
        <f>'[8]Solar Rev Req 1'!AN$33*2</f>
        <v>0</v>
      </c>
      <c r="AS4" s="15">
        <f>'[8]Solar Rev Req 1'!AO$33*2</f>
        <v>0</v>
      </c>
      <c r="AT4" s="15">
        <f>'[8]Solar Rev Req 1'!AP$33*2</f>
        <v>0</v>
      </c>
      <c r="AU4" s="15">
        <f>'[8]Solar Rev Req 1'!AQ$33*2</f>
        <v>0</v>
      </c>
      <c r="AV4" s="15">
        <f>'[8]Solar Rev Req 1'!AR$33*2</f>
        <v>0</v>
      </c>
      <c r="AW4" s="15">
        <f>'[8]Solar Rev Req 1'!AS$33*2</f>
        <v>0</v>
      </c>
      <c r="AX4" s="15">
        <f>'[8]Solar Rev Req 1'!AT$33*2</f>
        <v>0</v>
      </c>
      <c r="AY4" s="15">
        <f>'[8]Solar Rev Req 1'!AU$33*2</f>
        <v>0</v>
      </c>
      <c r="AZ4" s="15">
        <f>'[8]Solar Rev Req 1'!AV$33*2</f>
        <v>0</v>
      </c>
      <c r="BA4" s="15">
        <f>'[8]Solar Rev Req 1'!AW$33*2</f>
        <v>0</v>
      </c>
      <c r="BB4" s="15">
        <f>'[8]Solar Rev Req 1'!AX$33*2</f>
        <v>0</v>
      </c>
    </row>
    <row r="5" spans="1:54">
      <c r="A5" s="395">
        <f>NPV('Financial Information'!$B$5,$E5:$AJ5)*(1+'Financial Information'!$B$5)</f>
        <v>11875.399225644382</v>
      </c>
      <c r="B5" s="13">
        <f>NPV('Financial Information'!$B$5,$E5:$BB5)*(1+'Financial Information'!$B$5)</f>
        <v>11875.399225644382</v>
      </c>
      <c r="C5" s="1" t="s">
        <v>3</v>
      </c>
      <c r="D5" s="17">
        <v>0</v>
      </c>
      <c r="E5" s="17">
        <v>0</v>
      </c>
      <c r="F5" s="17">
        <v>0</v>
      </c>
      <c r="G5" s="17">
        <f>'[8]Solar Rev Req 1'!C$31*2</f>
        <v>803.55</v>
      </c>
      <c r="H5" s="17">
        <f>'[8]Solar Rev Req 1'!D$31*2</f>
        <v>819.62099999999998</v>
      </c>
      <c r="I5" s="17">
        <f>'[8]Solar Rev Req 1'!E$31*2</f>
        <v>836.01342000000011</v>
      </c>
      <c r="J5" s="17">
        <f>'[8]Solar Rev Req 1'!F$31*2</f>
        <v>852.73368840000012</v>
      </c>
      <c r="K5" s="17">
        <f>'[8]Solar Rev Req 1'!G$31*2</f>
        <v>869.78836216800016</v>
      </c>
      <c r="L5" s="17">
        <f>'[8]Solar Rev Req 1'!H$31*2</f>
        <v>887.18412941136012</v>
      </c>
      <c r="M5" s="17">
        <f>'[8]Solar Rev Req 1'!I$31*2</f>
        <v>904.92781199958745</v>
      </c>
      <c r="N5" s="17">
        <f>'[8]Solar Rev Req 1'!J$31*2</f>
        <v>923.02636823957914</v>
      </c>
      <c r="O5" s="17">
        <f>'[8]Solar Rev Req 1'!K$31*2</f>
        <v>941.48689560437072</v>
      </c>
      <c r="P5" s="17">
        <f>'[8]Solar Rev Req 1'!L$31*2</f>
        <v>960.31663351645818</v>
      </c>
      <c r="Q5" s="17">
        <f>'[8]Solar Rev Req 1'!M$31*2</f>
        <v>979.52296618678736</v>
      </c>
      <c r="R5" s="17">
        <f>'[8]Solar Rev Req 1'!N$31*2</f>
        <v>999.11342551052326</v>
      </c>
      <c r="S5" s="17">
        <f>'[8]Solar Rev Req 1'!O$31*2</f>
        <v>1019.0956940207337</v>
      </c>
      <c r="T5" s="17">
        <f>'[8]Solar Rev Req 1'!P$31*2</f>
        <v>1039.4776079011483</v>
      </c>
      <c r="U5" s="17">
        <f>'[8]Solar Rev Req 1'!Q$31*2</f>
        <v>1060.2671600591716</v>
      </c>
      <c r="V5" s="17">
        <f>'[8]Solar Rev Req 1'!R$31*2</f>
        <v>1081.4725032603549</v>
      </c>
      <c r="W5" s="17">
        <f>'[8]Solar Rev Req 1'!S$31*2</f>
        <v>1103.1019533255619</v>
      </c>
      <c r="X5" s="17">
        <f>'[8]Solar Rev Req 1'!T$31*2</f>
        <v>1125.1639923920734</v>
      </c>
      <c r="Y5" s="17">
        <f>'[8]Solar Rev Req 1'!U$31*2</f>
        <v>1147.6672722399146</v>
      </c>
      <c r="Z5" s="17">
        <f>'[8]Solar Rev Req 1'!V$31*2</f>
        <v>1170.6206176847129</v>
      </c>
      <c r="AA5" s="17">
        <f>'[8]Solar Rev Req 1'!W$31*2</f>
        <v>1194.0330300384071</v>
      </c>
      <c r="AB5" s="17">
        <f>'[8]Solar Rev Req 1'!X$31*2</f>
        <v>1217.9136906391752</v>
      </c>
      <c r="AC5" s="17">
        <f>'[8]Solar Rev Req 1'!Y$31*2</f>
        <v>1242.2719644519586</v>
      </c>
      <c r="AD5" s="17">
        <f>'[8]Solar Rev Req 1'!Z$31*2</f>
        <v>1267.1174037409978</v>
      </c>
      <c r="AE5" s="17">
        <f>'[8]Solar Rev Req 1'!AA$31*2</f>
        <v>1292.459751815818</v>
      </c>
      <c r="AF5" s="17">
        <f>'[8]Solar Rev Req 1'!AB$31*2</f>
        <v>1318.3089468521346</v>
      </c>
      <c r="AG5" s="17">
        <f>'[8]Solar Rev Req 1'!AC$31*2</f>
        <v>1344.6751257891772</v>
      </c>
      <c r="AH5" s="17">
        <f>'[8]Solar Rev Req 1'!AD$31*2</f>
        <v>1371.5686283049606</v>
      </c>
      <c r="AI5" s="17">
        <f>'[8]Solar Rev Req 1'!AE$31*2</f>
        <v>1399.0000008710599</v>
      </c>
      <c r="AJ5" s="396">
        <f>'[8]Solar Rev Req 1'!AF$31*2</f>
        <v>1426.9800008884813</v>
      </c>
      <c r="AK5" s="17">
        <f>'[8]Solar Rev Req 1'!AG$31*2</f>
        <v>0</v>
      </c>
      <c r="AL5" s="17">
        <f>'[8]Solar Rev Req 1'!AH$31*2</f>
        <v>0</v>
      </c>
      <c r="AM5" s="17">
        <f>'[8]Solar Rev Req 1'!AI$31*2</f>
        <v>0</v>
      </c>
      <c r="AN5" s="17">
        <f>'[8]Solar Rev Req 1'!AJ$31*2</f>
        <v>0</v>
      </c>
      <c r="AO5" s="17">
        <f>'[8]Solar Rev Req 1'!AK$31*2</f>
        <v>0</v>
      </c>
      <c r="AP5" s="17">
        <f>'[8]Solar Rev Req 1'!AL$31*2</f>
        <v>0</v>
      </c>
      <c r="AQ5" s="17">
        <f>'[8]Solar Rev Req 1'!AM$31*2</f>
        <v>0</v>
      </c>
      <c r="AR5" s="17">
        <f>'[8]Solar Rev Req 1'!AN$31*2</f>
        <v>0</v>
      </c>
      <c r="AS5" s="17">
        <f>'[8]Solar Rev Req 1'!AO$31*2</f>
        <v>0</v>
      </c>
      <c r="AT5" s="17">
        <f>'[8]Solar Rev Req 1'!AP$31*2</f>
        <v>0</v>
      </c>
      <c r="AU5" s="17">
        <f>'[8]Solar Rev Req 1'!AQ$31*2</f>
        <v>0</v>
      </c>
      <c r="AV5" s="17">
        <f>'[8]Solar Rev Req 1'!AR$31*2</f>
        <v>0</v>
      </c>
      <c r="AW5" s="17">
        <f>'[8]Solar Rev Req 1'!AS$31*2</f>
        <v>0</v>
      </c>
      <c r="AX5" s="17">
        <f>'[8]Solar Rev Req 1'!AT$31*2</f>
        <v>0</v>
      </c>
      <c r="AY5" s="17">
        <f>'[8]Solar Rev Req 1'!AU$31*2</f>
        <v>0</v>
      </c>
      <c r="AZ5" s="17">
        <f>'[8]Solar Rev Req 1'!AV$31*2</f>
        <v>0</v>
      </c>
      <c r="BA5" s="17">
        <f>'[8]Solar Rev Req 1'!AW$31*2</f>
        <v>0</v>
      </c>
      <c r="BB5" s="17">
        <f>'[8]Solar Rev Req 1'!AX$31*2</f>
        <v>0</v>
      </c>
    </row>
    <row r="6" spans="1:54">
      <c r="A6" s="38">
        <f>NPV('Financial Information'!$B$5,$E6:$AJ6)*(1+'Financial Information'!$B$5)</f>
        <v>19889.076197292867</v>
      </c>
      <c r="B6" s="24">
        <f>NPV('Financial Information'!$B$5,$E6:$BB6)*(1+'Financial Information'!$B$5)</f>
        <v>19889.076197292867</v>
      </c>
      <c r="C6" s="6" t="s">
        <v>4</v>
      </c>
      <c r="D6" s="15">
        <v>0</v>
      </c>
      <c r="E6" s="15">
        <v>0</v>
      </c>
      <c r="F6" s="15">
        <v>0</v>
      </c>
      <c r="G6" s="15">
        <f>'[8]Solar Rev Req 1'!C$30*2</f>
        <v>1227.7601741679971</v>
      </c>
      <c r="H6" s="15">
        <f>'[8]Solar Rev Req 1'!D$30*2</f>
        <v>1245.6362463783312</v>
      </c>
      <c r="I6" s="15">
        <f>'[8]Solar Rev Req 1'!E$30*2</f>
        <v>1274.235827223725</v>
      </c>
      <c r="J6" s="15">
        <f>'[8]Solar Rev Req 1'!F$30*2</f>
        <v>1303.5782848149502</v>
      </c>
      <c r="K6" s="15">
        <f>'[8]Solar Rev Req 1'!G$30*2</f>
        <v>1343.6835195211918</v>
      </c>
      <c r="L6" s="15">
        <f>'[8]Solar Rev Req 1'!H$30*2</f>
        <v>1477.5729052799634</v>
      </c>
      <c r="M6" s="15">
        <f>'[8]Solar Rev Req 1'!I$30*2</f>
        <v>1512.6397917284532</v>
      </c>
      <c r="N6" s="15">
        <f>'[8]Solar Rev Req 1'!J$30*2</f>
        <v>1548.4182110232991</v>
      </c>
      <c r="O6" s="15">
        <f>'[8]Solar Rev Req 1'!K$30*2</f>
        <v>1584.929517077172</v>
      </c>
      <c r="P6" s="15">
        <f>'[8]Solar Rev Req 1'!L$30*2</f>
        <v>1632.2021269490228</v>
      </c>
      <c r="Q6" s="15">
        <f>'[8]Solar Rev Req 1'!M$30*2</f>
        <v>1660.2709069695607</v>
      </c>
      <c r="R6" s="15">
        <f>'[8]Solar Rev Req 1'!N$30*2</f>
        <v>1699.1763142084437</v>
      </c>
      <c r="S6" s="15">
        <f>'[8]Solar Rev Req 1'!O$30*2</f>
        <v>1738.9633648835397</v>
      </c>
      <c r="T6" s="15">
        <f>'[8]Solar Rev Req 1'!P$30*2</f>
        <v>1864.6005069300127</v>
      </c>
      <c r="U6" s="15">
        <f>'[8]Solar Rev Req 1'!Q$30*2</f>
        <v>1831.3784732462209</v>
      </c>
      <c r="V6" s="15">
        <f>'[8]Solar Rev Req 1'!R$30*2</f>
        <v>1864.1091857577796</v>
      </c>
      <c r="W6" s="15">
        <f>'[8]Solar Rev Req 1'!S$30*2</f>
        <v>1907.9247694911198</v>
      </c>
      <c r="X6" s="15">
        <f>'[8]Solar Rev Req 1'!T$30*2</f>
        <v>1952.8767217256193</v>
      </c>
      <c r="Y6" s="15">
        <f>'[8]Solar Rev Req 1'!U$30*2</f>
        <v>1999.0152655313511</v>
      </c>
      <c r="Z6" s="15">
        <f>'[8]Solar Rev Req 1'!V$30*2</f>
        <v>2056.388901094193</v>
      </c>
      <c r="AA6" s="15">
        <f>'[8]Solar Rev Req 1'!W$30*2</f>
        <v>2095.0441534995211</v>
      </c>
      <c r="AB6" s="15">
        <f>'[8]Solar Rev Req 1'!X$30*2</f>
        <v>2145.0255031243491</v>
      </c>
      <c r="AC6" s="15">
        <f>'[8]Solar Rev Req 1'!Y$30*2</f>
        <v>2196.3754751649585</v>
      </c>
      <c r="AD6" s="15">
        <f>'[8]Solar Rev Req 1'!Z$30*2</f>
        <v>2249.1348584310986</v>
      </c>
      <c r="AE6" s="15">
        <f>'[8]Solar Rev Req 1'!AA$30*2</f>
        <v>2313.3430203599278</v>
      </c>
      <c r="AF6" s="15">
        <f>'[8]Solar Rev Req 1'!AB$30*2</f>
        <v>2359.0382849524849</v>
      </c>
      <c r="AG6" s="15">
        <f>'[8]Solar Rev Req 1'!AC$30*2</f>
        <v>2416.258342515705</v>
      </c>
      <c r="AH6" s="15">
        <f>'[8]Solar Rev Req 1'!AD$30*2</f>
        <v>2475.0406640843985</v>
      </c>
      <c r="AI6" s="15">
        <f>'[8]Solar Rev Req 1'!AE$30*2</f>
        <v>2535.4228985392733</v>
      </c>
      <c r="AJ6" s="214">
        <f>'[8]Solar Rev Req 1'!AF$30*2</f>
        <v>2607.4432360971382</v>
      </c>
      <c r="AK6" s="15">
        <f>'[8]Solar Rev Req 1'!AG$30*2</f>
        <v>0</v>
      </c>
      <c r="AL6" s="15">
        <f>'[8]Solar Rev Req 1'!AH$30*2</f>
        <v>0</v>
      </c>
      <c r="AM6" s="15">
        <f>'[8]Solar Rev Req 1'!AI$30*2</f>
        <v>0</v>
      </c>
      <c r="AN6" s="15">
        <f>'[8]Solar Rev Req 1'!AJ$30*2</f>
        <v>0</v>
      </c>
      <c r="AO6" s="15">
        <f>'[8]Solar Rev Req 1'!AK$30*2</f>
        <v>0</v>
      </c>
      <c r="AP6" s="15">
        <f>'[8]Solar Rev Req 1'!AL$30*2</f>
        <v>0</v>
      </c>
      <c r="AQ6" s="15">
        <f>'[8]Solar Rev Req 1'!AM$30*2</f>
        <v>0</v>
      </c>
      <c r="AR6" s="15">
        <f>'[8]Solar Rev Req 1'!AN$30*2</f>
        <v>0</v>
      </c>
      <c r="AS6" s="15">
        <f>'[8]Solar Rev Req 1'!AO$30*2</f>
        <v>0</v>
      </c>
      <c r="AT6" s="15">
        <f>'[8]Solar Rev Req 1'!AP$30*2</f>
        <v>0</v>
      </c>
      <c r="AU6" s="15">
        <f>'[8]Solar Rev Req 1'!AQ$30*2</f>
        <v>0</v>
      </c>
      <c r="AV6" s="15">
        <f>'[8]Solar Rev Req 1'!AR$30*2</f>
        <v>0</v>
      </c>
      <c r="AW6" s="15">
        <f>'[8]Solar Rev Req 1'!AS$30*2</f>
        <v>0</v>
      </c>
      <c r="AX6" s="15">
        <f>'[8]Solar Rev Req 1'!AT$30*2</f>
        <v>0</v>
      </c>
      <c r="AY6" s="15">
        <f>'[8]Solar Rev Req 1'!AU$30*2</f>
        <v>0</v>
      </c>
      <c r="AZ6" s="15">
        <f>'[8]Solar Rev Req 1'!AV$30*2</f>
        <v>0</v>
      </c>
      <c r="BA6" s="15">
        <f>'[8]Solar Rev Req 1'!AW$30*2</f>
        <v>0</v>
      </c>
      <c r="BB6" s="15">
        <f>'[8]Solar Rev Req 1'!AX$30*2</f>
        <v>0</v>
      </c>
    </row>
    <row r="7" spans="1:54">
      <c r="A7" s="38">
        <f>NPV('Financial Information'!$B$5,$E7:$AJ7)*(1+'Financial Information'!$B$5)</f>
        <v>21347.848303116156</v>
      </c>
      <c r="B7" s="24">
        <f>NPV('Financial Information'!$B$5,$E7:$BB7)*(1+'Financial Information'!$B$5)</f>
        <v>22046.426301008076</v>
      </c>
      <c r="C7" s="6" t="s">
        <v>38</v>
      </c>
      <c r="D7" s="15">
        <v>0</v>
      </c>
      <c r="E7" s="15">
        <v>0</v>
      </c>
      <c r="F7" s="15">
        <v>0</v>
      </c>
      <c r="G7" s="15">
        <f>('[8]NetUp Rev Req 1'!C$36*2)-SUM(G8:G9)</f>
        <v>2395.6384614589824</v>
      </c>
      <c r="H7" s="15">
        <f>('[8]NetUp Rev Req 1'!D$36*2)-SUM(H8:H9)</f>
        <v>2326.4282352733903</v>
      </c>
      <c r="I7" s="15">
        <f>('[8]NetUp Rev Req 1'!E$36*2)-SUM(I8:I9)</f>
        <v>2249.0133915847982</v>
      </c>
      <c r="J7" s="15">
        <f>('[8]NetUp Rev Req 1'!F$36*2)-SUM(J8:J9)</f>
        <v>2175.7586356442062</v>
      </c>
      <c r="K7" s="15">
        <f>('[8]NetUp Rev Req 1'!G$36*2)-SUM(K8:K9)</f>
        <v>2106.2479586768141</v>
      </c>
      <c r="L7" s="15">
        <f>('[8]NetUp Rev Req 1'!H$36*2)-SUM(L8:L9)</f>
        <v>2040.1346867036223</v>
      </c>
      <c r="M7" s="15">
        <f>('[8]NetUp Rev Req 1'!I$36*2)-SUM(M8:M9)</f>
        <v>1976.40190938623</v>
      </c>
      <c r="N7" s="15">
        <f>('[8]NetUp Rev Req 1'!J$36*2)-SUM(N8:N9)</f>
        <v>1913.4318148226382</v>
      </c>
      <c r="O7" s="15">
        <f>('[8]NetUp Rev Req 1'!K$36*2)-SUM(O8:O9)</f>
        <v>1850.4386086604459</v>
      </c>
      <c r="P7" s="15">
        <f>('[8]NetUp Rev Req 1'!L$36*2)-SUM(P8:P9)</f>
        <v>1787.4454024982538</v>
      </c>
      <c r="Q7" s="15">
        <f>('[8]NetUp Rev Req 1'!M$36*2)-SUM(Q8:Q9)</f>
        <v>1724.4521963360617</v>
      </c>
      <c r="R7" s="15">
        <f>('[8]NetUp Rev Req 1'!N$36*2)-SUM(R8:R9)</f>
        <v>1661.4589901738696</v>
      </c>
      <c r="S7" s="15">
        <f>('[8]NetUp Rev Req 1'!O$36*2)-SUM(S8:S9)</f>
        <v>1598.4657840116774</v>
      </c>
      <c r="T7" s="15">
        <f>('[8]NetUp Rev Req 1'!P$36*2)-SUM(T8:T9)</f>
        <v>1535.4725778494853</v>
      </c>
      <c r="U7" s="15">
        <f>('[8]NetUp Rev Req 1'!Q$36*2)-SUM(U8:U9)</f>
        <v>1472.4793716872932</v>
      </c>
      <c r="V7" s="15">
        <f>('[8]NetUp Rev Req 1'!R$36*2)-SUM(V8:V9)</f>
        <v>1416.3040871121013</v>
      </c>
      <c r="W7" s="15">
        <f>('[8]NetUp Rev Req 1'!S$36*2)-SUM(W8:W9)</f>
        <v>1373.7877573095095</v>
      </c>
      <c r="X7" s="15">
        <f>('[8]NetUp Rev Req 1'!T$36*2)-SUM(X8:X9)</f>
        <v>1338.089349093917</v>
      </c>
      <c r="Y7" s="15">
        <f>('[8]NetUp Rev Req 1'!U$36*2)-SUM(Y8:Y9)</f>
        <v>1302.3909408783247</v>
      </c>
      <c r="Z7" s="15">
        <f>('[8]NetUp Rev Req 1'!V$36*2)-SUM(Z8:Z9)</f>
        <v>1266.6925326627329</v>
      </c>
      <c r="AA7" s="15">
        <f>('[8]NetUp Rev Req 1'!W$36*2)-SUM(AA8:AA9)</f>
        <v>1230.9941244471406</v>
      </c>
      <c r="AB7" s="15">
        <f>('[8]NetUp Rev Req 1'!X$36*2)-SUM(AB8:AB9)</f>
        <v>1195.2957162315488</v>
      </c>
      <c r="AC7" s="15">
        <f>('[8]NetUp Rev Req 1'!Y$36*2)-SUM(AC8:AC9)</f>
        <v>1159.5973080159565</v>
      </c>
      <c r="AD7" s="15">
        <f>('[8]NetUp Rev Req 1'!Z$36*2)-SUM(AD8:AD9)</f>
        <v>1123.8988998003645</v>
      </c>
      <c r="AE7" s="15">
        <f>('[8]NetUp Rev Req 1'!AA$36*2)-SUM(AE8:AE9)</f>
        <v>1088.2004915847726</v>
      </c>
      <c r="AF7" s="15">
        <f>('[8]NetUp Rev Req 1'!AB$36*2)-SUM(AF8:AF9)</f>
        <v>1052.5020833691801</v>
      </c>
      <c r="AG7" s="15">
        <f>('[8]NetUp Rev Req 1'!AC$36*2)-SUM(AG8:AG9)</f>
        <v>1016.803675153588</v>
      </c>
      <c r="AH7" s="15">
        <f>('[8]NetUp Rev Req 1'!AD$36*2)-SUM(AH8:AH9)</f>
        <v>981.10526693799568</v>
      </c>
      <c r="AI7" s="15">
        <f>('[8]NetUp Rev Req 1'!AE$36*2)-SUM(AI8:AI9)</f>
        <v>945.40685872240363</v>
      </c>
      <c r="AJ7" s="214">
        <f>('[8]NetUp Rev Req 1'!AF$36*2)-SUM(AJ8:AJ9)</f>
        <v>909.70845050681157</v>
      </c>
      <c r="AK7" s="15">
        <f>('[8]NetUp Rev Req 1'!AG$36*2)-SUM(AK8:AK9)</f>
        <v>874.01004229121929</v>
      </c>
      <c r="AL7" s="15">
        <f>('[8]NetUp Rev Req 1'!AH$36*2)-SUM(AL8:AL9)</f>
        <v>838.31163407562724</v>
      </c>
      <c r="AM7" s="15">
        <f>('[8]NetUp Rev Req 1'!AI$36*2)-SUM(AM8:AM9)</f>
        <v>802.6132258600353</v>
      </c>
      <c r="AN7" s="15">
        <f>('[8]NetUp Rev Req 1'!AJ$36*2)-SUM(AN8:AN9)</f>
        <v>766.91481764444302</v>
      </c>
      <c r="AO7" s="15">
        <f>('[8]NetUp Rev Req 1'!AK$36*2)-SUM(AO8:AO9)</f>
        <v>731.21640942885097</v>
      </c>
      <c r="AP7" s="15">
        <f>('[8]NetUp Rev Req 1'!AL$36*2)-SUM(AP8:AP9)</f>
        <v>695.51800121325869</v>
      </c>
      <c r="AQ7" s="15">
        <f>('[8]NetUp Rev Req 1'!AM$36*2)-SUM(AQ8:AQ9)</f>
        <v>659.81959299766663</v>
      </c>
      <c r="AR7" s="15">
        <f>('[8]NetUp Rev Req 1'!AN$36*2)-SUM(AR8:AR9)</f>
        <v>624.12118478207447</v>
      </c>
      <c r="AS7" s="15">
        <f>('[8]NetUp Rev Req 1'!AO$36*2)-SUM(AS8:AS9)</f>
        <v>588.4227765664823</v>
      </c>
      <c r="AT7" s="15">
        <f>('[8]NetUp Rev Req 1'!AP$36*2)-SUM(AT8:AT9)</f>
        <v>552.72436835086762</v>
      </c>
      <c r="AU7" s="15">
        <f>('[8]NetUp Rev Req 1'!AQ$36*2)-SUM(AU8:AU9)</f>
        <v>0</v>
      </c>
      <c r="AV7" s="15">
        <f>('[8]NetUp Rev Req 1'!AR$36*2)-SUM(AV8:AV9)</f>
        <v>0</v>
      </c>
      <c r="AW7" s="15">
        <f>('[8]NetUp Rev Req 1'!AS$36*2)-SUM(AW8:AW9)</f>
        <v>0</v>
      </c>
      <c r="AX7" s="15">
        <f>('[8]NetUp Rev Req 1'!AT$36*2)-SUM(AX8:AX9)</f>
        <v>0</v>
      </c>
      <c r="AY7" s="15">
        <f>('[8]NetUp Rev Req 1'!AU$36*2)-SUM(AY8:AY9)</f>
        <v>0</v>
      </c>
      <c r="AZ7" s="15">
        <f>('[8]NetUp Rev Req 1'!AV$36*2)-SUM(AZ8:AZ9)</f>
        <v>0</v>
      </c>
      <c r="BA7" s="15">
        <f>('[8]NetUp Rev Req 1'!AW$36*2)-SUM(BA8:BA9)</f>
        <v>0</v>
      </c>
      <c r="BB7" s="15">
        <f>('[8]NetUp Rev Req 1'!AX$36*2)-SUM(BB8:BB9)</f>
        <v>0</v>
      </c>
    </row>
    <row r="8" spans="1:54">
      <c r="A8" s="38">
        <f>NPV('Financial Information'!$B$5,$E8:$AJ8)*(1+'Financial Information'!$B$5)</f>
        <v>1902.5686873718955</v>
      </c>
      <c r="B8" s="24">
        <f>NPV('Financial Information'!$B$5,$E8:$BB8)*(1+'Financial Information'!$B$5)</f>
        <v>2053.9458665980701</v>
      </c>
      <c r="C8" s="6" t="s">
        <v>39</v>
      </c>
      <c r="D8" s="15">
        <v>0</v>
      </c>
      <c r="E8" s="15">
        <v>0</v>
      </c>
      <c r="F8" s="15">
        <v>0</v>
      </c>
      <c r="G8" s="15">
        <f>'[8]NetUp Rev Req 1'!C$34*2</f>
        <v>158.69159999999999</v>
      </c>
      <c r="H8" s="15">
        <f>'[8]NetUp Rev Req 1'!D$34*2</f>
        <v>158.69159999999999</v>
      </c>
      <c r="I8" s="15">
        <f>'[8]NetUp Rev Req 1'!E$34*2</f>
        <v>158.69159999999999</v>
      </c>
      <c r="J8" s="15">
        <f>'[8]NetUp Rev Req 1'!F$34*2</f>
        <v>158.69159999999999</v>
      </c>
      <c r="K8" s="15">
        <f>'[8]NetUp Rev Req 1'!G$34*2</f>
        <v>158.69159999999999</v>
      </c>
      <c r="L8" s="15">
        <f>'[8]NetUp Rev Req 1'!H$34*2</f>
        <v>158.69159999999999</v>
      </c>
      <c r="M8" s="15">
        <f>'[8]NetUp Rev Req 1'!I$34*2</f>
        <v>158.69159999999999</v>
      </c>
      <c r="N8" s="15">
        <f>'[8]NetUp Rev Req 1'!J$34*2</f>
        <v>158.69159999999999</v>
      </c>
      <c r="O8" s="15">
        <f>'[8]NetUp Rev Req 1'!K$34*2</f>
        <v>158.69159999999999</v>
      </c>
      <c r="P8" s="15">
        <f>'[8]NetUp Rev Req 1'!L$34*2</f>
        <v>158.69159999999999</v>
      </c>
      <c r="Q8" s="15">
        <f>'[8]NetUp Rev Req 1'!M$34*2</f>
        <v>158.69159999999999</v>
      </c>
      <c r="R8" s="15">
        <f>'[8]NetUp Rev Req 1'!N$34*2</f>
        <v>158.69159999999999</v>
      </c>
      <c r="S8" s="15">
        <f>'[8]NetUp Rev Req 1'!O$34*2</f>
        <v>158.69159999999999</v>
      </c>
      <c r="T8" s="15">
        <f>'[8]NetUp Rev Req 1'!P$34*2</f>
        <v>158.69159999999999</v>
      </c>
      <c r="U8" s="15">
        <f>'[8]NetUp Rev Req 1'!Q$34*2</f>
        <v>158.69159999999999</v>
      </c>
      <c r="V8" s="15">
        <f>'[8]NetUp Rev Req 1'!R$34*2</f>
        <v>158.69159999999999</v>
      </c>
      <c r="W8" s="15">
        <f>'[8]NetUp Rev Req 1'!S$34*2</f>
        <v>158.69159999999999</v>
      </c>
      <c r="X8" s="15">
        <f>'[8]NetUp Rev Req 1'!T$34*2</f>
        <v>158.69159999999999</v>
      </c>
      <c r="Y8" s="15">
        <f>'[8]NetUp Rev Req 1'!U$34*2</f>
        <v>158.69159999999999</v>
      </c>
      <c r="Z8" s="15">
        <f>'[8]NetUp Rev Req 1'!V$34*2</f>
        <v>158.69159999999999</v>
      </c>
      <c r="AA8" s="15">
        <f>'[8]NetUp Rev Req 1'!W$34*2</f>
        <v>158.69159999999999</v>
      </c>
      <c r="AB8" s="15">
        <f>'[8]NetUp Rev Req 1'!X$34*2</f>
        <v>158.69159999999999</v>
      </c>
      <c r="AC8" s="15">
        <f>'[8]NetUp Rev Req 1'!Y$34*2</f>
        <v>158.69159999999999</v>
      </c>
      <c r="AD8" s="15">
        <f>'[8]NetUp Rev Req 1'!Z$34*2</f>
        <v>158.69159999999999</v>
      </c>
      <c r="AE8" s="15">
        <f>'[8]NetUp Rev Req 1'!AA$34*2</f>
        <v>158.69159999999999</v>
      </c>
      <c r="AF8" s="15">
        <f>'[8]NetUp Rev Req 1'!AB$34*2</f>
        <v>158.69159999999999</v>
      </c>
      <c r="AG8" s="15">
        <f>'[8]NetUp Rev Req 1'!AC$34*2</f>
        <v>158.69159999999999</v>
      </c>
      <c r="AH8" s="15">
        <f>'[8]NetUp Rev Req 1'!AD$34*2</f>
        <v>158.69159999999999</v>
      </c>
      <c r="AI8" s="15">
        <f>'[8]NetUp Rev Req 1'!AE$34*2</f>
        <v>158.69159999999999</v>
      </c>
      <c r="AJ8" s="214">
        <f>'[8]NetUp Rev Req 1'!AF$34*2</f>
        <v>158.69159999999999</v>
      </c>
      <c r="AK8" s="15">
        <f>'[8]NetUp Rev Req 1'!AG$34*2</f>
        <v>158.69159999999999</v>
      </c>
      <c r="AL8" s="15">
        <f>'[8]NetUp Rev Req 1'!AH$34*2</f>
        <v>158.69159999999999</v>
      </c>
      <c r="AM8" s="15">
        <f>'[8]NetUp Rev Req 1'!AI$34*2</f>
        <v>158.69159999999999</v>
      </c>
      <c r="AN8" s="15">
        <f>'[8]NetUp Rev Req 1'!AJ$34*2</f>
        <v>158.69159999999999</v>
      </c>
      <c r="AO8" s="15">
        <f>'[8]NetUp Rev Req 1'!AK$34*2</f>
        <v>158.69159999999999</v>
      </c>
      <c r="AP8" s="15">
        <f>'[8]NetUp Rev Req 1'!AL$34*2</f>
        <v>158.69159999999999</v>
      </c>
      <c r="AQ8" s="15">
        <f>'[8]NetUp Rev Req 1'!AM$34*2</f>
        <v>158.69159999999999</v>
      </c>
      <c r="AR8" s="15">
        <f>'[8]NetUp Rev Req 1'!AN$34*2</f>
        <v>158.69159999999999</v>
      </c>
      <c r="AS8" s="15">
        <f>'[8]NetUp Rev Req 1'!AO$34*2</f>
        <v>158.69159999999999</v>
      </c>
      <c r="AT8" s="15">
        <f>'[8]NetUp Rev Req 1'!AP$34*2</f>
        <v>158.69159999999999</v>
      </c>
      <c r="AU8" s="15">
        <f>'[8]NetUp Rev Req 1'!AQ$34*2</f>
        <v>0</v>
      </c>
      <c r="AV8" s="15">
        <f>'[8]NetUp Rev Req 1'!AR$34*2</f>
        <v>0</v>
      </c>
      <c r="AW8" s="15">
        <f>'[8]NetUp Rev Req 1'!AS$34*2</f>
        <v>0</v>
      </c>
      <c r="AX8" s="15">
        <f>'[8]NetUp Rev Req 1'!AT$34*2</f>
        <v>0</v>
      </c>
      <c r="AY8" s="15">
        <f>'[8]NetUp Rev Req 1'!AU$34*2</f>
        <v>0</v>
      </c>
      <c r="AZ8" s="15">
        <f>'[8]NetUp Rev Req 1'!AV$34*2</f>
        <v>0</v>
      </c>
      <c r="BA8" s="15">
        <f>'[8]NetUp Rev Req 1'!AW$34*2</f>
        <v>0</v>
      </c>
      <c r="BB8" s="15">
        <f>'[8]NetUp Rev Req 1'!AX$34*2</f>
        <v>0</v>
      </c>
    </row>
    <row r="9" spans="1:54">
      <c r="A9" s="386">
        <f>NPV('Financial Information'!$B$5,$E9:$AJ9)*(1+'Financial Information'!$B$5)</f>
        <v>426.02440951546987</v>
      </c>
      <c r="B9" s="386">
        <f>NPV('Financial Information'!$B$5,$E9:$BB9)*(1+'Financial Information'!$B$5)</f>
        <v>493.31001887368205</v>
      </c>
      <c r="C9" s="12" t="s">
        <v>40</v>
      </c>
      <c r="D9" s="389">
        <v>0</v>
      </c>
      <c r="E9" s="389">
        <v>0</v>
      </c>
      <c r="F9" s="389">
        <v>0</v>
      </c>
      <c r="G9" s="389">
        <f>'[8]NetUp Rev Req 1'!C$35*2</f>
        <v>25.751957384336077</v>
      </c>
      <c r="H9" s="389">
        <f>'[8]NetUp Rev Req 1'!D$35*2</f>
        <v>26.524516105866159</v>
      </c>
      <c r="I9" s="389">
        <f>'[8]NetUp Rev Req 1'!E$35*2</f>
        <v>27.320251589042144</v>
      </c>
      <c r="J9" s="389">
        <f>'[8]NetUp Rev Req 1'!F$35*2</f>
        <v>28.139859136713408</v>
      </c>
      <c r="K9" s="389">
        <f>'[8]NetUp Rev Req 1'!G$35*2</f>
        <v>28.984054910814809</v>
      </c>
      <c r="L9" s="389">
        <f>'[8]NetUp Rev Req 1'!H$35*2</f>
        <v>29.853576558139249</v>
      </c>
      <c r="M9" s="389">
        <f>'[8]NetUp Rev Req 1'!I$35*2</f>
        <v>30.74918385488343</v>
      </c>
      <c r="N9" s="389">
        <f>'[8]NetUp Rev Req 1'!J$35*2</f>
        <v>31.671659370529934</v>
      </c>
      <c r="O9" s="389">
        <f>'[8]NetUp Rev Req 1'!K$35*2</f>
        <v>32.621809151645827</v>
      </c>
      <c r="P9" s="389">
        <f>'[8]NetUp Rev Req 1'!L$35*2</f>
        <v>33.600463426195205</v>
      </c>
      <c r="Q9" s="389">
        <f>'[8]NetUp Rev Req 1'!M$35*2</f>
        <v>34.60847732898106</v>
      </c>
      <c r="R9" s="389">
        <f>'[8]NetUp Rev Req 1'!N$35*2</f>
        <v>35.646731648850491</v>
      </c>
      <c r="S9" s="389">
        <f>'[8]NetUp Rev Req 1'!O$35*2</f>
        <v>36.716133598316006</v>
      </c>
      <c r="T9" s="389">
        <f>'[8]NetUp Rev Req 1'!P$35*2</f>
        <v>37.817617606265479</v>
      </c>
      <c r="U9" s="389">
        <f>'[8]NetUp Rev Req 1'!Q$35*2</f>
        <v>38.95214613445345</v>
      </c>
      <c r="V9" s="389">
        <f>'[8]NetUp Rev Req 1'!R$35*2</f>
        <v>40.120710518487058</v>
      </c>
      <c r="W9" s="389">
        <f>'[8]NetUp Rev Req 1'!S$35*2</f>
        <v>41.324331834041658</v>
      </c>
      <c r="X9" s="389">
        <f>'[8]NetUp Rev Req 1'!T$35*2</f>
        <v>42.564061789062912</v>
      </c>
      <c r="Y9" s="389">
        <f>'[8]NetUp Rev Req 1'!U$35*2</f>
        <v>43.840983642734798</v>
      </c>
      <c r="Z9" s="389">
        <f>'[8]NetUp Rev Req 1'!V$35*2</f>
        <v>45.156213152016839</v>
      </c>
      <c r="AA9" s="389">
        <f>'[8]NetUp Rev Req 1'!W$35*2</f>
        <v>46.510899546577349</v>
      </c>
      <c r="AB9" s="389">
        <f>'[8]NetUp Rev Req 1'!X$35*2</f>
        <v>47.906226532974657</v>
      </c>
      <c r="AC9" s="389">
        <f>'[8]NetUp Rev Req 1'!Y$35*2</f>
        <v>49.343413328963905</v>
      </c>
      <c r="AD9" s="389">
        <f>'[8]NetUp Rev Req 1'!Z$35*2</f>
        <v>50.823715728832823</v>
      </c>
      <c r="AE9" s="389">
        <f>'[8]NetUp Rev Req 1'!AA$35*2</f>
        <v>52.348427200697799</v>
      </c>
      <c r="AF9" s="389">
        <f>'[8]NetUp Rev Req 1'!AB$35*2</f>
        <v>53.918880016718731</v>
      </c>
      <c r="AG9" s="389">
        <f>'[8]NetUp Rev Req 1'!AC$35*2</f>
        <v>55.536446417220304</v>
      </c>
      <c r="AH9" s="389">
        <f>'[8]NetUp Rev Req 1'!AD$35*2</f>
        <v>57.202539809736905</v>
      </c>
      <c r="AI9" s="389">
        <f>'[8]NetUp Rev Req 1'!AE$35*2</f>
        <v>58.918616004029012</v>
      </c>
      <c r="AJ9" s="398">
        <f>'[8]NetUp Rev Req 1'!AF$35*2</f>
        <v>60.68617448414988</v>
      </c>
      <c r="AK9" s="389">
        <f>'[8]NetUp Rev Req 1'!AG$35*2</f>
        <v>62.506759718674374</v>
      </c>
      <c r="AL9" s="389">
        <f>'[8]NetUp Rev Req 1'!AH$35*2</f>
        <v>64.381962510234615</v>
      </c>
      <c r="AM9" s="389">
        <f>'[8]NetUp Rev Req 1'!AI$35*2</f>
        <v>66.313421385541645</v>
      </c>
      <c r="AN9" s="389">
        <f>'[8]NetUp Rev Req 1'!AJ$35*2</f>
        <v>68.302824027107889</v>
      </c>
      <c r="AO9" s="389">
        <f>'[8]NetUp Rev Req 1'!AK$35*2</f>
        <v>70.351908747921115</v>
      </c>
      <c r="AP9" s="389">
        <f>'[8]NetUp Rev Req 1'!AL$35*2</f>
        <v>72.462466010358767</v>
      </c>
      <c r="AQ9" s="389">
        <f>'[8]NetUp Rev Req 1'!AM$35*2</f>
        <v>74.636339990669526</v>
      </c>
      <c r="AR9" s="389">
        <f>'[8]NetUp Rev Req 1'!AN$35*2</f>
        <v>76.875430190389594</v>
      </c>
      <c r="AS9" s="389">
        <f>'[8]NetUp Rev Req 1'!AO$35*2</f>
        <v>79.181693096101284</v>
      </c>
      <c r="AT9" s="389">
        <f>'[8]NetUp Rev Req 1'!AP$35*2</f>
        <v>81.557143888984342</v>
      </c>
      <c r="AU9" s="389">
        <f>'[8]NetUp Rev Req 1'!AQ$35*2</f>
        <v>0</v>
      </c>
      <c r="AV9" s="389">
        <f>'[8]NetUp Rev Req 1'!AR$35*2</f>
        <v>0</v>
      </c>
      <c r="AW9" s="389">
        <f>'[8]NetUp Rev Req 1'!AS$35*2</f>
        <v>0</v>
      </c>
      <c r="AX9" s="389">
        <f>'[8]NetUp Rev Req 1'!AT$35*2</f>
        <v>0</v>
      </c>
      <c r="AY9" s="389">
        <f>'[8]NetUp Rev Req 1'!AU$35*2</f>
        <v>0</v>
      </c>
      <c r="AZ9" s="389">
        <f>'[8]NetUp Rev Req 1'!AV$35*2</f>
        <v>0</v>
      </c>
      <c r="BA9" s="389">
        <f>'[8]NetUp Rev Req 1'!AW$35*2</f>
        <v>0</v>
      </c>
      <c r="BB9" s="389">
        <f>'[8]NetUp Rev Req 1'!AX$35*2</f>
        <v>0</v>
      </c>
    </row>
    <row r="10" spans="1:54">
      <c r="A10" s="24">
        <f>SUM(A2:A9)</f>
        <v>258913.81546253979</v>
      </c>
      <c r="B10" s="24">
        <f>SUM(B2:B9)</f>
        <v>259831.05624901608</v>
      </c>
      <c r="D10" s="16">
        <f t="shared" ref="D10:AJ10" si="1">SUM(D2:D9)</f>
        <v>0</v>
      </c>
      <c r="E10" s="16">
        <f t="shared" si="1"/>
        <v>0</v>
      </c>
      <c r="F10" s="16">
        <f t="shared" si="1"/>
        <v>0</v>
      </c>
      <c r="G10" s="16">
        <f t="shared" si="1"/>
        <v>30858.064131033436</v>
      </c>
      <c r="H10" s="16">
        <f t="shared" si="1"/>
        <v>29306.192269659477</v>
      </c>
      <c r="I10" s="16">
        <f t="shared" si="1"/>
        <v>27776.400608861553</v>
      </c>
      <c r="J10" s="16">
        <f t="shared" si="1"/>
        <v>26634.670344889277</v>
      </c>
      <c r="K10" s="16">
        <f t="shared" si="1"/>
        <v>25670.281419806088</v>
      </c>
      <c r="L10" s="16">
        <f t="shared" si="1"/>
        <v>22576.786877730443</v>
      </c>
      <c r="M10" s="16">
        <f t="shared" si="1"/>
        <v>21940.141405966286</v>
      </c>
      <c r="N10" s="16">
        <f t="shared" si="1"/>
        <v>21416.764095389462</v>
      </c>
      <c r="O10" s="16">
        <f t="shared" si="1"/>
        <v>20896.151073315239</v>
      </c>
      <c r="P10" s="16">
        <f t="shared" si="1"/>
        <v>20396.402516516853</v>
      </c>
      <c r="Q10" s="16">
        <f t="shared" si="1"/>
        <v>19878.435521507698</v>
      </c>
      <c r="R10" s="16">
        <f t="shared" si="1"/>
        <v>19356.68848073472</v>
      </c>
      <c r="S10" s="16">
        <f t="shared" si="1"/>
        <v>18837.234870973418</v>
      </c>
      <c r="T10" s="16">
        <f t="shared" si="1"/>
        <v>18404.793358552568</v>
      </c>
      <c r="U10" s="16">
        <f t="shared" si="1"/>
        <v>17832.357412854853</v>
      </c>
      <c r="V10" s="16">
        <f t="shared" si="1"/>
        <v>17325.748692409368</v>
      </c>
      <c r="W10" s="16">
        <f t="shared" si="1"/>
        <v>18073.127660959541</v>
      </c>
      <c r="X10" s="16">
        <f t="shared" si="1"/>
        <v>17445.559968351463</v>
      </c>
      <c r="Y10" s="16">
        <f t="shared" si="1"/>
        <v>16819.74600947844</v>
      </c>
      <c r="Z10" s="16">
        <f t="shared" si="1"/>
        <v>16256.349017646929</v>
      </c>
      <c r="AA10" s="16">
        <f t="shared" si="1"/>
        <v>15809.167135959808</v>
      </c>
      <c r="AB10" s="16">
        <f t="shared" si="1"/>
        <v>15227.295110947587</v>
      </c>
      <c r="AC10" s="16">
        <f t="shared" si="1"/>
        <v>14789.336162585227</v>
      </c>
      <c r="AD10" s="16">
        <f t="shared" si="1"/>
        <v>14247.550326918505</v>
      </c>
      <c r="AE10" s="16">
        <f t="shared" si="1"/>
        <v>13838.456286479404</v>
      </c>
      <c r="AF10" s="16">
        <f t="shared" si="1"/>
        <v>13333.041219561057</v>
      </c>
      <c r="AG10" s="16">
        <f t="shared" si="1"/>
        <v>12865.468641226753</v>
      </c>
      <c r="AH10" s="16">
        <f t="shared" si="1"/>
        <v>12434.866475680095</v>
      </c>
      <c r="AI10" s="16">
        <f t="shared" si="1"/>
        <v>12006.023472310473</v>
      </c>
      <c r="AJ10" s="211">
        <f t="shared" si="1"/>
        <v>15185.729863085751</v>
      </c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</row>
    <row r="11" spans="1:54">
      <c r="A11" s="2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54">
      <c r="A12" s="390"/>
      <c r="B12" s="6">
        <f>74.9*2</f>
        <v>149.80000000000001</v>
      </c>
      <c r="C12" s="6" t="str">
        <f>C6&amp;" $/kw"</f>
        <v>O&amp;M $/kw</v>
      </c>
      <c r="E12" s="25">
        <f>E6/55</f>
        <v>0</v>
      </c>
      <c r="F12" s="25">
        <f t="shared" ref="F12" si="2">F6/55</f>
        <v>0</v>
      </c>
      <c r="G12" s="25">
        <f>G6/$B$12</f>
        <v>8.1959958222162683</v>
      </c>
      <c r="H12" s="25">
        <f t="shared" ref="H12:AK12" si="3">H6/$B$12</f>
        <v>8.3153287475188993</v>
      </c>
      <c r="I12" s="25">
        <f t="shared" si="3"/>
        <v>8.5062471777284703</v>
      </c>
      <c r="J12" s="25">
        <f t="shared" si="3"/>
        <v>8.7021247317419892</v>
      </c>
      <c r="K12" s="25">
        <f t="shared" si="3"/>
        <v>8.9698499300480083</v>
      </c>
      <c r="L12" s="25">
        <f t="shared" si="3"/>
        <v>9.8636375519356694</v>
      </c>
      <c r="M12" s="25">
        <f t="shared" si="3"/>
        <v>10.097728916745348</v>
      </c>
      <c r="N12" s="25">
        <f t="shared" si="3"/>
        <v>10.336570167044719</v>
      </c>
      <c r="O12" s="25">
        <f t="shared" si="3"/>
        <v>10.58030385231757</v>
      </c>
      <c r="P12" s="25">
        <f t="shared" si="3"/>
        <v>10.895875346789204</v>
      </c>
      <c r="Q12" s="25">
        <f t="shared" si="3"/>
        <v>11.083250380304142</v>
      </c>
      <c r="R12" s="25">
        <f t="shared" si="3"/>
        <v>11.342966049455566</v>
      </c>
      <c r="S12" s="25">
        <f t="shared" si="3"/>
        <v>11.608567188808676</v>
      </c>
      <c r="T12" s="25">
        <f t="shared" si="3"/>
        <v>12.447266401401953</v>
      </c>
      <c r="U12" s="25">
        <f t="shared" si="3"/>
        <v>12.22549047560895</v>
      </c>
      <c r="V12" s="25">
        <f t="shared" si="3"/>
        <v>12.44398655379025</v>
      </c>
      <c r="W12" s="25">
        <f t="shared" si="3"/>
        <v>12.736480437190385</v>
      </c>
      <c r="X12" s="25">
        <f t="shared" si="3"/>
        <v>13.036560225137645</v>
      </c>
      <c r="Y12" s="25">
        <f t="shared" si="3"/>
        <v>13.344561185122503</v>
      </c>
      <c r="Z12" s="25">
        <f t="shared" si="3"/>
        <v>13.727562757638136</v>
      </c>
      <c r="AA12" s="25">
        <f t="shared" si="3"/>
        <v>13.985608501331916</v>
      </c>
      <c r="AB12" s="25">
        <f t="shared" si="3"/>
        <v>14.319262370656535</v>
      </c>
      <c r="AC12" s="25">
        <f t="shared" si="3"/>
        <v>14.662052571194648</v>
      </c>
      <c r="AD12" s="25">
        <f t="shared" si="3"/>
        <v>15.014251391395851</v>
      </c>
      <c r="AE12" s="25">
        <f t="shared" si="3"/>
        <v>15.442877305473482</v>
      </c>
      <c r="AF12" s="25">
        <f t="shared" si="3"/>
        <v>15.747919125183476</v>
      </c>
      <c r="AG12" s="25">
        <f t="shared" si="3"/>
        <v>16.12989547740791</v>
      </c>
      <c r="AH12" s="25">
        <f t="shared" si="3"/>
        <v>16.522300828333766</v>
      </c>
      <c r="AI12" s="25">
        <f t="shared" si="3"/>
        <v>16.925386505602624</v>
      </c>
      <c r="AJ12" s="25">
        <f t="shared" si="3"/>
        <v>17.406163124814004</v>
      </c>
      <c r="AK12" s="25">
        <f t="shared" si="3"/>
        <v>0</v>
      </c>
    </row>
    <row r="13" spans="1:54">
      <c r="A13" s="390"/>
      <c r="E13" s="15">
        <f>SUM(E2:E6)</f>
        <v>0</v>
      </c>
      <c r="F13" s="15">
        <f t="shared" ref="F13:AS13" si="4">SUM(F2:F6)</f>
        <v>0</v>
      </c>
      <c r="G13" s="15">
        <f t="shared" si="4"/>
        <v>28277.982112190122</v>
      </c>
      <c r="H13" s="15">
        <f t="shared" si="4"/>
        <v>26794.547918280223</v>
      </c>
      <c r="I13" s="15">
        <f t="shared" si="4"/>
        <v>25341.375365687716</v>
      </c>
      <c r="J13" s="15">
        <f t="shared" si="4"/>
        <v>24272.08025010836</v>
      </c>
      <c r="K13" s="15">
        <f t="shared" si="4"/>
        <v>23376.357806218461</v>
      </c>
      <c r="L13" s="15">
        <f t="shared" si="4"/>
        <v>20348.107014468682</v>
      </c>
      <c r="M13" s="15">
        <f t="shared" si="4"/>
        <v>19774.298712725173</v>
      </c>
      <c r="N13" s="15">
        <f t="shared" si="4"/>
        <v>19312.969021196295</v>
      </c>
      <c r="O13" s="15">
        <f t="shared" si="4"/>
        <v>18854.399055503149</v>
      </c>
      <c r="P13" s="15">
        <f t="shared" si="4"/>
        <v>18416.665050592404</v>
      </c>
      <c r="Q13" s="15">
        <f t="shared" si="4"/>
        <v>17960.683247842659</v>
      </c>
      <c r="R13" s="15">
        <f t="shared" si="4"/>
        <v>17500.891158912003</v>
      </c>
      <c r="S13" s="15">
        <f t="shared" si="4"/>
        <v>17043.361353363427</v>
      </c>
      <c r="T13" s="15">
        <f t="shared" si="4"/>
        <v>16672.811563096817</v>
      </c>
      <c r="U13" s="15">
        <f t="shared" si="4"/>
        <v>16162.234295033111</v>
      </c>
      <c r="V13" s="15">
        <f t="shared" si="4"/>
        <v>15710.632294778781</v>
      </c>
      <c r="W13" s="15">
        <f t="shared" si="4"/>
        <v>16499.323971815989</v>
      </c>
      <c r="X13" s="15">
        <f t="shared" si="4"/>
        <v>15906.214957468484</v>
      </c>
      <c r="Y13" s="15">
        <f t="shared" si="4"/>
        <v>15314.822484957382</v>
      </c>
      <c r="Z13" s="15">
        <f t="shared" si="4"/>
        <v>14785.808671832179</v>
      </c>
      <c r="AA13" s="15">
        <f t="shared" si="4"/>
        <v>14372.970511966088</v>
      </c>
      <c r="AB13" s="15">
        <f t="shared" si="4"/>
        <v>13825.401568183064</v>
      </c>
      <c r="AC13" s="15">
        <f t="shared" si="4"/>
        <v>13421.703841240305</v>
      </c>
      <c r="AD13" s="15">
        <f t="shared" si="4"/>
        <v>12914.136111389307</v>
      </c>
      <c r="AE13" s="15">
        <f t="shared" si="4"/>
        <v>12539.215767693935</v>
      </c>
      <c r="AF13" s="15">
        <f t="shared" si="4"/>
        <v>12067.928656175158</v>
      </c>
      <c r="AG13" s="15">
        <f t="shared" si="4"/>
        <v>11634.436919655946</v>
      </c>
      <c r="AH13" s="15">
        <f t="shared" si="4"/>
        <v>11237.867068932363</v>
      </c>
      <c r="AI13" s="15">
        <f t="shared" si="4"/>
        <v>10843.00639758404</v>
      </c>
      <c r="AJ13" s="15">
        <f t="shared" si="4"/>
        <v>14056.643638094789</v>
      </c>
      <c r="AK13" s="15">
        <f t="shared" si="4"/>
        <v>0</v>
      </c>
      <c r="AL13" s="15">
        <f t="shared" si="4"/>
        <v>0</v>
      </c>
      <c r="AM13" s="15">
        <f t="shared" si="4"/>
        <v>0</v>
      </c>
      <c r="AN13" s="15">
        <f t="shared" si="4"/>
        <v>0</v>
      </c>
      <c r="AO13" s="15">
        <f t="shared" si="4"/>
        <v>0</v>
      </c>
      <c r="AP13" s="15">
        <f t="shared" si="4"/>
        <v>0</v>
      </c>
      <c r="AQ13" s="15">
        <f t="shared" si="4"/>
        <v>0</v>
      </c>
      <c r="AR13" s="15">
        <f t="shared" si="4"/>
        <v>0</v>
      </c>
      <c r="AS13" s="15">
        <f t="shared" si="4"/>
        <v>0</v>
      </c>
    </row>
    <row r="14" spans="1:54" s="15" customFormat="1">
      <c r="A14" s="38">
        <f>NPV('Financial Information'!$B$5,$E14:$AJ14)*(1+'Financial Information'!$B$5)</f>
        <v>117618.68703126813</v>
      </c>
      <c r="B14" s="401">
        <f>NPV('Financial Information'!$B$5,$G14:$AL14)</f>
        <v>125499.13906236316</v>
      </c>
      <c r="C14" s="400">
        <f>'[8]Solar Rev Req 1'!$B$35</f>
        <v>125499.13906236316</v>
      </c>
      <c r="D14" s="6"/>
      <c r="E14" s="15">
        <v>0</v>
      </c>
      <c r="F14" s="15">
        <v>0</v>
      </c>
      <c r="G14" s="15">
        <f>G13/2</f>
        <v>14138.991056095061</v>
      </c>
      <c r="H14" s="15">
        <f t="shared" ref="H14:AK14" si="5">H13/2</f>
        <v>13397.273959140111</v>
      </c>
      <c r="I14" s="15">
        <f t="shared" si="5"/>
        <v>12670.687682843858</v>
      </c>
      <c r="J14" s="15">
        <f t="shared" si="5"/>
        <v>12136.04012505418</v>
      </c>
      <c r="K14" s="15">
        <f t="shared" si="5"/>
        <v>11688.17890310923</v>
      </c>
      <c r="L14" s="15">
        <f t="shared" si="5"/>
        <v>10174.053507234341</v>
      </c>
      <c r="M14" s="15">
        <f t="shared" si="5"/>
        <v>9887.1493563625863</v>
      </c>
      <c r="N14" s="15">
        <f t="shared" si="5"/>
        <v>9656.4845105981476</v>
      </c>
      <c r="O14" s="15">
        <f t="shared" si="5"/>
        <v>9427.1995277515744</v>
      </c>
      <c r="P14" s="15">
        <f t="shared" si="5"/>
        <v>9208.3325252962022</v>
      </c>
      <c r="Q14" s="15">
        <f t="shared" si="5"/>
        <v>8980.3416239213293</v>
      </c>
      <c r="R14" s="15">
        <f t="shared" si="5"/>
        <v>8750.4455794560017</v>
      </c>
      <c r="S14" s="15">
        <f t="shared" si="5"/>
        <v>8521.6806766817135</v>
      </c>
      <c r="T14" s="15">
        <f t="shared" si="5"/>
        <v>8336.4057815484084</v>
      </c>
      <c r="U14" s="15">
        <f t="shared" si="5"/>
        <v>8081.1171475165556</v>
      </c>
      <c r="V14" s="15">
        <f t="shared" si="5"/>
        <v>7855.3161473893906</v>
      </c>
      <c r="W14" s="15">
        <f t="shared" si="5"/>
        <v>8249.6619859079947</v>
      </c>
      <c r="X14" s="15">
        <f t="shared" si="5"/>
        <v>7953.1074787342422</v>
      </c>
      <c r="Y14" s="15">
        <f t="shared" si="5"/>
        <v>7657.4112424786908</v>
      </c>
      <c r="Z14" s="15">
        <f t="shared" si="5"/>
        <v>7392.9043359160896</v>
      </c>
      <c r="AA14" s="15">
        <f t="shared" si="5"/>
        <v>7186.4852559830442</v>
      </c>
      <c r="AB14" s="15">
        <f t="shared" si="5"/>
        <v>6912.7007840915321</v>
      </c>
      <c r="AC14" s="15">
        <f t="shared" si="5"/>
        <v>6710.8519206201527</v>
      </c>
      <c r="AD14" s="15">
        <f t="shared" si="5"/>
        <v>6457.0680556946536</v>
      </c>
      <c r="AE14" s="15">
        <f t="shared" si="5"/>
        <v>6269.6078838469675</v>
      </c>
      <c r="AF14" s="15">
        <f t="shared" si="5"/>
        <v>6033.9643280875789</v>
      </c>
      <c r="AG14" s="15">
        <f t="shared" si="5"/>
        <v>5817.2184598279728</v>
      </c>
      <c r="AH14" s="15">
        <f t="shared" si="5"/>
        <v>5618.9335344661813</v>
      </c>
      <c r="AI14" s="15">
        <f t="shared" si="5"/>
        <v>5421.5031987920202</v>
      </c>
      <c r="AJ14" s="15">
        <f t="shared" si="5"/>
        <v>7028.3218190473945</v>
      </c>
      <c r="AK14" s="15">
        <f t="shared" si="5"/>
        <v>0</v>
      </c>
    </row>
    <row r="15" spans="1:54">
      <c r="AI15" s="16"/>
    </row>
    <row r="16" spans="1:54">
      <c r="A16" s="38">
        <f>NPV('Financial Information'!$B$5,$E16:$AJ16)*(1+'Financial Information'!$B$5)</f>
        <v>19889.076197292867</v>
      </c>
      <c r="B16" s="24">
        <f>NPV('Financial Information'!$B$5,$E16:$BB16)*(1+'Financial Information'!$B$5)</f>
        <v>19889.076197292867</v>
      </c>
      <c r="C16" s="6" t="str">
        <f>C6</f>
        <v>O&amp;M</v>
      </c>
      <c r="D16" s="6">
        <v>0</v>
      </c>
      <c r="E16" s="16">
        <f>E6</f>
        <v>0</v>
      </c>
      <c r="F16" s="16">
        <f t="shared" ref="F16:BB16" si="6">F6</f>
        <v>0</v>
      </c>
      <c r="G16" s="16">
        <f t="shared" si="6"/>
        <v>1227.7601741679971</v>
      </c>
      <c r="H16" s="16">
        <f t="shared" si="6"/>
        <v>1245.6362463783312</v>
      </c>
      <c r="I16" s="16">
        <f t="shared" si="6"/>
        <v>1274.235827223725</v>
      </c>
      <c r="J16" s="16">
        <f t="shared" si="6"/>
        <v>1303.5782848149502</v>
      </c>
      <c r="K16" s="16">
        <f t="shared" si="6"/>
        <v>1343.6835195211918</v>
      </c>
      <c r="L16" s="16">
        <f t="shared" si="6"/>
        <v>1477.5729052799634</v>
      </c>
      <c r="M16" s="16">
        <f t="shared" si="6"/>
        <v>1512.6397917284532</v>
      </c>
      <c r="N16" s="16">
        <f t="shared" si="6"/>
        <v>1548.4182110232991</v>
      </c>
      <c r="O16" s="16">
        <f t="shared" si="6"/>
        <v>1584.929517077172</v>
      </c>
      <c r="P16" s="16">
        <f t="shared" si="6"/>
        <v>1632.2021269490228</v>
      </c>
      <c r="Q16" s="16">
        <f t="shared" si="6"/>
        <v>1660.2709069695607</v>
      </c>
      <c r="R16" s="16">
        <f t="shared" si="6"/>
        <v>1699.1763142084437</v>
      </c>
      <c r="S16" s="16">
        <f t="shared" si="6"/>
        <v>1738.9633648835397</v>
      </c>
      <c r="T16" s="16">
        <f t="shared" si="6"/>
        <v>1864.6005069300127</v>
      </c>
      <c r="U16" s="16">
        <f t="shared" si="6"/>
        <v>1831.3784732462209</v>
      </c>
      <c r="V16" s="16">
        <f t="shared" si="6"/>
        <v>1864.1091857577796</v>
      </c>
      <c r="W16" s="16">
        <f t="shared" si="6"/>
        <v>1907.9247694911198</v>
      </c>
      <c r="X16" s="16">
        <f t="shared" si="6"/>
        <v>1952.8767217256193</v>
      </c>
      <c r="Y16" s="16">
        <f t="shared" si="6"/>
        <v>1999.0152655313511</v>
      </c>
      <c r="Z16" s="16">
        <f t="shared" si="6"/>
        <v>2056.388901094193</v>
      </c>
      <c r="AA16" s="16">
        <f t="shared" si="6"/>
        <v>2095.0441534995211</v>
      </c>
      <c r="AB16" s="16">
        <f t="shared" si="6"/>
        <v>2145.0255031243491</v>
      </c>
      <c r="AC16" s="16">
        <f t="shared" si="6"/>
        <v>2196.3754751649585</v>
      </c>
      <c r="AD16" s="16">
        <f t="shared" si="6"/>
        <v>2249.1348584310986</v>
      </c>
      <c r="AE16" s="16">
        <f t="shared" si="6"/>
        <v>2313.3430203599278</v>
      </c>
      <c r="AF16" s="16">
        <f t="shared" si="6"/>
        <v>2359.0382849524849</v>
      </c>
      <c r="AG16" s="16">
        <f t="shared" si="6"/>
        <v>2416.258342515705</v>
      </c>
      <c r="AH16" s="16">
        <f t="shared" si="6"/>
        <v>2475.0406640843985</v>
      </c>
      <c r="AI16" s="16">
        <f t="shared" si="6"/>
        <v>2535.4228985392733</v>
      </c>
      <c r="AJ16" s="16">
        <f t="shared" si="6"/>
        <v>2607.4432360971382</v>
      </c>
      <c r="AK16" s="16">
        <f t="shared" si="6"/>
        <v>0</v>
      </c>
      <c r="AL16" s="16">
        <f t="shared" si="6"/>
        <v>0</v>
      </c>
      <c r="AM16" s="16">
        <f t="shared" si="6"/>
        <v>0</v>
      </c>
      <c r="AN16" s="16">
        <f t="shared" si="6"/>
        <v>0</v>
      </c>
      <c r="AO16" s="16">
        <f t="shared" si="6"/>
        <v>0</v>
      </c>
      <c r="AP16" s="16">
        <f t="shared" si="6"/>
        <v>0</v>
      </c>
      <c r="AQ16" s="16">
        <f t="shared" si="6"/>
        <v>0</v>
      </c>
      <c r="AR16" s="16">
        <f t="shared" si="6"/>
        <v>0</v>
      </c>
      <c r="AS16" s="16">
        <f t="shared" si="6"/>
        <v>0</v>
      </c>
      <c r="AT16" s="16">
        <f t="shared" si="6"/>
        <v>0</v>
      </c>
      <c r="AU16" s="16">
        <f t="shared" si="6"/>
        <v>0</v>
      </c>
      <c r="AV16" s="16">
        <f t="shared" si="6"/>
        <v>0</v>
      </c>
      <c r="AW16" s="16">
        <f t="shared" si="6"/>
        <v>0</v>
      </c>
      <c r="AX16" s="16">
        <f t="shared" si="6"/>
        <v>0</v>
      </c>
      <c r="AY16" s="16">
        <f t="shared" si="6"/>
        <v>0</v>
      </c>
      <c r="AZ16" s="16">
        <f t="shared" si="6"/>
        <v>0</v>
      </c>
      <c r="BA16" s="16">
        <f t="shared" si="6"/>
        <v>0</v>
      </c>
      <c r="BB16" s="16">
        <f t="shared" si="6"/>
        <v>0</v>
      </c>
    </row>
    <row r="17" spans="1:68">
      <c r="A17" s="38">
        <f>NPV('Financial Information'!$B$5,$E17:$AJ17)*(1+'Financial Information'!$B$5)</f>
        <v>215348.2978652434</v>
      </c>
      <c r="B17" s="24">
        <f>NPV('Financial Information'!$B$5,$E17:$BB17)*(1+'Financial Information'!$B$5)</f>
        <v>215348.2978652434</v>
      </c>
      <c r="C17" s="6" t="s">
        <v>108</v>
      </c>
      <c r="D17" s="6">
        <v>0</v>
      </c>
      <c r="E17" s="16">
        <f>SUM(E2:E5)</f>
        <v>0</v>
      </c>
      <c r="F17" s="16">
        <f t="shared" ref="F17:BB17" si="7">SUM(F2:F5)</f>
        <v>0</v>
      </c>
      <c r="G17" s="16">
        <f t="shared" si="7"/>
        <v>27050.221938022125</v>
      </c>
      <c r="H17" s="16">
        <f t="shared" si="7"/>
        <v>25548.911671901893</v>
      </c>
      <c r="I17" s="16">
        <f t="shared" si="7"/>
        <v>24067.139538463991</v>
      </c>
      <c r="J17" s="16">
        <f t="shared" si="7"/>
        <v>22968.50196529341</v>
      </c>
      <c r="K17" s="16">
        <f t="shared" si="7"/>
        <v>22032.674286697267</v>
      </c>
      <c r="L17" s="16">
        <f t="shared" si="7"/>
        <v>18870.534109188717</v>
      </c>
      <c r="M17" s="16">
        <f t="shared" si="7"/>
        <v>18261.658920996721</v>
      </c>
      <c r="N17" s="16">
        <f t="shared" si="7"/>
        <v>17764.550810172997</v>
      </c>
      <c r="O17" s="16">
        <f t="shared" si="7"/>
        <v>17269.469538425976</v>
      </c>
      <c r="P17" s="16">
        <f t="shared" si="7"/>
        <v>16784.462923643383</v>
      </c>
      <c r="Q17" s="16">
        <f t="shared" si="7"/>
        <v>16300.412340873099</v>
      </c>
      <c r="R17" s="16">
        <f t="shared" si="7"/>
        <v>15801.714844703558</v>
      </c>
      <c r="S17" s="16">
        <f t="shared" si="7"/>
        <v>15304.397988479886</v>
      </c>
      <c r="T17" s="16">
        <f t="shared" si="7"/>
        <v>14808.211056166803</v>
      </c>
      <c r="U17" s="16">
        <f t="shared" si="7"/>
        <v>14330.85582178689</v>
      </c>
      <c r="V17" s="16">
        <f t="shared" si="7"/>
        <v>13846.523109021002</v>
      </c>
      <c r="W17" s="16">
        <f t="shared" si="7"/>
        <v>14591.39920232487</v>
      </c>
      <c r="X17" s="16">
        <f t="shared" si="7"/>
        <v>13953.338235742865</v>
      </c>
      <c r="Y17" s="16">
        <f t="shared" si="7"/>
        <v>13315.807219426031</v>
      </c>
      <c r="Z17" s="16">
        <f t="shared" si="7"/>
        <v>12729.419770737986</v>
      </c>
      <c r="AA17" s="16">
        <f t="shared" si="7"/>
        <v>12277.926358466568</v>
      </c>
      <c r="AB17" s="16">
        <f t="shared" si="7"/>
        <v>11680.376065058716</v>
      </c>
      <c r="AC17" s="16">
        <f t="shared" si="7"/>
        <v>11225.328366075348</v>
      </c>
      <c r="AD17" s="16">
        <f t="shared" si="7"/>
        <v>10665.001252958209</v>
      </c>
      <c r="AE17" s="16">
        <f t="shared" si="7"/>
        <v>10225.872747334008</v>
      </c>
      <c r="AF17" s="16">
        <f t="shared" si="7"/>
        <v>9708.8903712226729</v>
      </c>
      <c r="AG17" s="16">
        <f t="shared" si="7"/>
        <v>9218.178577140241</v>
      </c>
      <c r="AH17" s="16">
        <f t="shared" si="7"/>
        <v>8762.8264048479632</v>
      </c>
      <c r="AI17" s="16">
        <f t="shared" si="7"/>
        <v>8307.5834990447674</v>
      </c>
      <c r="AJ17" s="16">
        <f t="shared" si="7"/>
        <v>11449.20040199765</v>
      </c>
      <c r="AK17" s="16">
        <f t="shared" si="7"/>
        <v>0</v>
      </c>
      <c r="AL17" s="16">
        <f t="shared" si="7"/>
        <v>0</v>
      </c>
      <c r="AM17" s="16">
        <f t="shared" si="7"/>
        <v>0</v>
      </c>
      <c r="AN17" s="16">
        <f t="shared" si="7"/>
        <v>0</v>
      </c>
      <c r="AO17" s="16">
        <f t="shared" si="7"/>
        <v>0</v>
      </c>
      <c r="AP17" s="16">
        <f t="shared" si="7"/>
        <v>0</v>
      </c>
      <c r="AQ17" s="16">
        <f t="shared" si="7"/>
        <v>0</v>
      </c>
      <c r="AR17" s="16">
        <f t="shared" si="7"/>
        <v>0</v>
      </c>
      <c r="AS17" s="16">
        <f t="shared" si="7"/>
        <v>0</v>
      </c>
      <c r="AT17" s="16">
        <f t="shared" si="7"/>
        <v>0</v>
      </c>
      <c r="AU17" s="16">
        <f t="shared" si="7"/>
        <v>0</v>
      </c>
      <c r="AV17" s="16">
        <f t="shared" si="7"/>
        <v>0</v>
      </c>
      <c r="AW17" s="16">
        <f t="shared" si="7"/>
        <v>0</v>
      </c>
      <c r="AX17" s="16">
        <f t="shared" si="7"/>
        <v>0</v>
      </c>
      <c r="AY17" s="16">
        <f t="shared" si="7"/>
        <v>0</v>
      </c>
      <c r="AZ17" s="16">
        <f t="shared" si="7"/>
        <v>0</v>
      </c>
      <c r="BA17" s="16">
        <f t="shared" si="7"/>
        <v>0</v>
      </c>
      <c r="BB17" s="16">
        <f t="shared" si="7"/>
        <v>0</v>
      </c>
    </row>
    <row r="18" spans="1:68">
      <c r="A18" s="386">
        <f>NPV('Financial Information'!$B$5,$E18:$AJ18)*(1+'Financial Information'!$B$5)</f>
        <v>23676.441400003529</v>
      </c>
      <c r="B18" s="386">
        <f>NPV('Financial Information'!$B$5,$E18:$BB18)*(1+'Financial Information'!$B$5)</f>
        <v>24593.68218647984</v>
      </c>
      <c r="C18" s="6" t="s">
        <v>107</v>
      </c>
      <c r="D18" s="6">
        <v>0</v>
      </c>
      <c r="E18" s="16">
        <f>SUM(E7:E9)</f>
        <v>0</v>
      </c>
      <c r="F18" s="16">
        <f t="shared" ref="F18:AX18" si="8">SUM(F7:F9)</f>
        <v>0</v>
      </c>
      <c r="G18" s="16">
        <f t="shared" si="8"/>
        <v>2580.0820188433186</v>
      </c>
      <c r="H18" s="16">
        <f t="shared" si="8"/>
        <v>2511.6443513792565</v>
      </c>
      <c r="I18" s="16">
        <f t="shared" si="8"/>
        <v>2435.0252431738404</v>
      </c>
      <c r="J18" s="16">
        <f t="shared" si="8"/>
        <v>2362.5900947809196</v>
      </c>
      <c r="K18" s="16">
        <f t="shared" si="8"/>
        <v>2293.923613587629</v>
      </c>
      <c r="L18" s="16">
        <f t="shared" si="8"/>
        <v>2228.6798632617615</v>
      </c>
      <c r="M18" s="16">
        <f t="shared" si="8"/>
        <v>2165.8426932411135</v>
      </c>
      <c r="N18" s="16">
        <f t="shared" si="8"/>
        <v>2103.7950741931681</v>
      </c>
      <c r="O18" s="16">
        <f t="shared" si="8"/>
        <v>2041.7520178120917</v>
      </c>
      <c r="P18" s="16">
        <f t="shared" si="8"/>
        <v>1979.737465924449</v>
      </c>
      <c r="Q18" s="16">
        <f t="shared" si="8"/>
        <v>1917.7522736650428</v>
      </c>
      <c r="R18" s="16">
        <f t="shared" si="8"/>
        <v>1855.7973218227201</v>
      </c>
      <c r="S18" s="16">
        <f t="shared" si="8"/>
        <v>1793.8735176099935</v>
      </c>
      <c r="T18" s="16">
        <f t="shared" si="8"/>
        <v>1731.9817954557509</v>
      </c>
      <c r="U18" s="16">
        <f t="shared" si="8"/>
        <v>1670.1231178217467</v>
      </c>
      <c r="V18" s="16">
        <f t="shared" si="8"/>
        <v>1615.1163976305884</v>
      </c>
      <c r="W18" s="16">
        <f t="shared" si="8"/>
        <v>1573.8036891435511</v>
      </c>
      <c r="X18" s="16">
        <f t="shared" si="8"/>
        <v>1539.34501088298</v>
      </c>
      <c r="Y18" s="16">
        <f t="shared" si="8"/>
        <v>1504.9235245210596</v>
      </c>
      <c r="Z18" s="16">
        <f t="shared" si="8"/>
        <v>1470.5403458147498</v>
      </c>
      <c r="AA18" s="16">
        <f t="shared" si="8"/>
        <v>1436.196623993718</v>
      </c>
      <c r="AB18" s="16">
        <f t="shared" si="8"/>
        <v>1401.8935427645235</v>
      </c>
      <c r="AC18" s="16">
        <f t="shared" si="8"/>
        <v>1367.6323213449205</v>
      </c>
      <c r="AD18" s="16">
        <f t="shared" si="8"/>
        <v>1333.4142155291972</v>
      </c>
      <c r="AE18" s="16">
        <f t="shared" si="8"/>
        <v>1299.2405187854704</v>
      </c>
      <c r="AF18" s="16">
        <f t="shared" si="8"/>
        <v>1265.112563385899</v>
      </c>
      <c r="AG18" s="16">
        <f t="shared" si="8"/>
        <v>1231.0317215708083</v>
      </c>
      <c r="AH18" s="16">
        <f t="shared" si="8"/>
        <v>1196.9994067477326</v>
      </c>
      <c r="AI18" s="16">
        <f t="shared" si="8"/>
        <v>1163.0170747264326</v>
      </c>
      <c r="AJ18" s="16">
        <f t="shared" si="8"/>
        <v>1129.0862249909615</v>
      </c>
      <c r="AK18" s="16">
        <f t="shared" si="8"/>
        <v>1095.2084020098937</v>
      </c>
      <c r="AL18" s="16">
        <f t="shared" si="8"/>
        <v>1061.3851965858619</v>
      </c>
      <c r="AM18" s="16">
        <f t="shared" si="8"/>
        <v>1027.6182472455769</v>
      </c>
      <c r="AN18" s="16">
        <f t="shared" si="8"/>
        <v>993.90924167155094</v>
      </c>
      <c r="AO18" s="16">
        <f t="shared" si="8"/>
        <v>960.25991817677209</v>
      </c>
      <c r="AP18" s="16">
        <f t="shared" si="8"/>
        <v>926.67206722361743</v>
      </c>
      <c r="AQ18" s="16">
        <f t="shared" si="8"/>
        <v>893.14753298833614</v>
      </c>
      <c r="AR18" s="16">
        <f t="shared" si="8"/>
        <v>859.68821497246404</v>
      </c>
      <c r="AS18" s="16">
        <f t="shared" si="8"/>
        <v>826.29606966258359</v>
      </c>
      <c r="AT18" s="16">
        <f t="shared" si="8"/>
        <v>792.97311223985196</v>
      </c>
      <c r="AU18" s="16">
        <f t="shared" si="8"/>
        <v>0</v>
      </c>
      <c r="AV18" s="16">
        <f t="shared" si="8"/>
        <v>0</v>
      </c>
      <c r="AW18" s="16">
        <f t="shared" si="8"/>
        <v>0</v>
      </c>
      <c r="AX18" s="16">
        <f t="shared" si="8"/>
        <v>0</v>
      </c>
    </row>
    <row r="19" spans="1:68">
      <c r="A19" s="24">
        <f>SUM(A16:A18)</f>
        <v>258913.81546253979</v>
      </c>
      <c r="B19" s="24">
        <f>SUM(B16:B18)</f>
        <v>259831.05624901608</v>
      </c>
    </row>
    <row r="20" spans="1:68">
      <c r="D20" s="411"/>
      <c r="E20" s="411"/>
      <c r="F20" s="411"/>
      <c r="G20" s="411"/>
      <c r="AB20" s="157"/>
      <c r="AC20" s="157"/>
      <c r="AD20" s="157"/>
      <c r="AE20" s="157"/>
      <c r="AF20" s="157"/>
      <c r="AG20" s="157"/>
      <c r="AH20" s="157"/>
    </row>
    <row r="21" spans="1:68">
      <c r="B21" s="401">
        <f>NPV('Financial Information'!$B$5,$G21:$AT21)</f>
        <v>13120.72944648699</v>
      </c>
      <c r="C21" s="15">
        <f>'[8]NetUp Rev Req 1'!$B$37</f>
        <v>13120.72944648699</v>
      </c>
      <c r="D21" s="390"/>
      <c r="E21" s="16">
        <f>E18/2</f>
        <v>0</v>
      </c>
      <c r="F21" s="16">
        <f>F18/2</f>
        <v>0</v>
      </c>
      <c r="G21" s="16">
        <f>G18/2</f>
        <v>1290.0410094216593</v>
      </c>
      <c r="H21" s="16">
        <f t="shared" ref="H21:BB21" si="9">H18/2</f>
        <v>1255.8221756896282</v>
      </c>
      <c r="I21" s="16">
        <f t="shared" si="9"/>
        <v>1217.5126215869202</v>
      </c>
      <c r="J21" s="16">
        <f t="shared" si="9"/>
        <v>1181.2950473904598</v>
      </c>
      <c r="K21" s="16">
        <f t="shared" si="9"/>
        <v>1146.9618067938145</v>
      </c>
      <c r="L21" s="16">
        <f t="shared" si="9"/>
        <v>1114.3399316308808</v>
      </c>
      <c r="M21" s="16">
        <f t="shared" si="9"/>
        <v>1082.9213466205567</v>
      </c>
      <c r="N21" s="16">
        <f t="shared" si="9"/>
        <v>1051.8975370965841</v>
      </c>
      <c r="O21" s="16">
        <f t="shared" si="9"/>
        <v>1020.8760089060459</v>
      </c>
      <c r="P21" s="16">
        <f t="shared" si="9"/>
        <v>989.8687329622245</v>
      </c>
      <c r="Q21" s="16">
        <f t="shared" si="9"/>
        <v>958.87613683252141</v>
      </c>
      <c r="R21" s="16">
        <f t="shared" si="9"/>
        <v>927.89866091136003</v>
      </c>
      <c r="S21" s="16">
        <f t="shared" si="9"/>
        <v>896.93675880499677</v>
      </c>
      <c r="T21" s="16">
        <f t="shared" si="9"/>
        <v>865.99089772787545</v>
      </c>
      <c r="U21" s="16">
        <f t="shared" si="9"/>
        <v>835.06155891087337</v>
      </c>
      <c r="V21" s="16">
        <f t="shared" si="9"/>
        <v>807.55819881529419</v>
      </c>
      <c r="W21" s="16">
        <f t="shared" si="9"/>
        <v>786.90184457177554</v>
      </c>
      <c r="X21" s="16">
        <f t="shared" si="9"/>
        <v>769.67250544148999</v>
      </c>
      <c r="Y21" s="16">
        <f t="shared" si="9"/>
        <v>752.46176226052978</v>
      </c>
      <c r="Z21" s="16">
        <f t="shared" si="9"/>
        <v>735.2701729073749</v>
      </c>
      <c r="AA21" s="16">
        <f t="shared" si="9"/>
        <v>718.09831199685902</v>
      </c>
      <c r="AB21" s="16">
        <f t="shared" si="9"/>
        <v>700.94677138226177</v>
      </c>
      <c r="AC21" s="16">
        <f t="shared" si="9"/>
        <v>683.81616067246023</v>
      </c>
      <c r="AD21" s="16">
        <f t="shared" si="9"/>
        <v>666.70710776459862</v>
      </c>
      <c r="AE21" s="16">
        <f t="shared" si="9"/>
        <v>649.62025939273519</v>
      </c>
      <c r="AF21" s="16">
        <f t="shared" si="9"/>
        <v>632.55628169294948</v>
      </c>
      <c r="AG21" s="16">
        <f t="shared" si="9"/>
        <v>615.51586078540413</v>
      </c>
      <c r="AH21" s="16">
        <f t="shared" si="9"/>
        <v>598.49970337386628</v>
      </c>
      <c r="AI21" s="16">
        <f t="shared" si="9"/>
        <v>581.50853736321631</v>
      </c>
      <c r="AJ21" s="16">
        <f t="shared" si="9"/>
        <v>564.54311249548073</v>
      </c>
      <c r="AK21" s="16">
        <f t="shared" si="9"/>
        <v>547.60420100494684</v>
      </c>
      <c r="AL21" s="16">
        <f t="shared" si="9"/>
        <v>530.69259829293094</v>
      </c>
      <c r="AM21" s="16">
        <f t="shared" si="9"/>
        <v>513.80912362278843</v>
      </c>
      <c r="AN21" s="16">
        <f t="shared" si="9"/>
        <v>496.95462083577547</v>
      </c>
      <c r="AO21" s="16">
        <f t="shared" si="9"/>
        <v>480.12995908838604</v>
      </c>
      <c r="AP21" s="16">
        <f t="shared" si="9"/>
        <v>463.33603361180872</v>
      </c>
      <c r="AQ21" s="16">
        <f t="shared" si="9"/>
        <v>446.57376649416807</v>
      </c>
      <c r="AR21" s="16">
        <f t="shared" si="9"/>
        <v>429.84410748623202</v>
      </c>
      <c r="AS21" s="16">
        <f t="shared" si="9"/>
        <v>413.1480348312918</v>
      </c>
      <c r="AT21" s="16">
        <f t="shared" si="9"/>
        <v>396.48655611992598</v>
      </c>
      <c r="AU21" s="16">
        <f t="shared" si="9"/>
        <v>0</v>
      </c>
      <c r="AV21" s="16">
        <f t="shared" si="9"/>
        <v>0</v>
      </c>
      <c r="AW21" s="16">
        <f t="shared" si="9"/>
        <v>0</v>
      </c>
      <c r="AX21" s="16">
        <f t="shared" si="9"/>
        <v>0</v>
      </c>
      <c r="AY21" s="16">
        <f t="shared" si="9"/>
        <v>0</v>
      </c>
      <c r="AZ21" s="16">
        <f t="shared" si="9"/>
        <v>0</v>
      </c>
      <c r="BA21" s="16">
        <f t="shared" si="9"/>
        <v>0</v>
      </c>
      <c r="BB21" s="16">
        <f t="shared" si="9"/>
        <v>0</v>
      </c>
    </row>
    <row r="22" spans="1:68">
      <c r="A22" s="385"/>
      <c r="B22" s="385"/>
      <c r="C22" s="388"/>
      <c r="D22" s="385"/>
      <c r="E22" s="385"/>
      <c r="F22" s="385"/>
      <c r="G22" s="385"/>
      <c r="H22" s="385"/>
      <c r="I22" s="385"/>
      <c r="J22" s="385"/>
      <c r="K22" s="385"/>
      <c r="L22" s="385"/>
      <c r="M22" s="385"/>
      <c r="N22" s="385"/>
      <c r="O22" s="385"/>
      <c r="P22" s="385"/>
      <c r="Q22" s="385"/>
      <c r="R22" s="385"/>
      <c r="S22" s="385"/>
      <c r="T22" s="385"/>
      <c r="U22" s="385"/>
      <c r="V22" s="385"/>
      <c r="W22" s="385"/>
      <c r="X22" s="385"/>
      <c r="Y22" s="385"/>
      <c r="Z22" s="385"/>
      <c r="AA22" s="385"/>
      <c r="AB22" s="385"/>
      <c r="AC22" s="385"/>
      <c r="AD22" s="385"/>
      <c r="AE22" s="385"/>
      <c r="AF22" s="385"/>
      <c r="AG22" s="385"/>
      <c r="AH22" s="385"/>
      <c r="AI22" s="385"/>
      <c r="AJ22" s="385"/>
      <c r="AK22" s="385"/>
      <c r="AL22" s="385"/>
      <c r="AM22" s="385"/>
      <c r="AN22" s="385"/>
      <c r="AO22" s="385"/>
      <c r="AP22" s="385"/>
      <c r="AQ22" s="385"/>
      <c r="AR22" s="385"/>
      <c r="AS22" s="385"/>
      <c r="AT22" s="385"/>
      <c r="AU22" s="385"/>
      <c r="AV22" s="385"/>
      <c r="AW22" s="385"/>
      <c r="AX22" s="385"/>
      <c r="AY22" s="385"/>
      <c r="AZ22" s="385"/>
      <c r="BA22" s="385"/>
      <c r="BB22" s="385"/>
    </row>
    <row r="23" spans="1:68">
      <c r="A23" s="24"/>
      <c r="B23" s="24"/>
      <c r="D23" s="15"/>
      <c r="E23" s="15"/>
      <c r="F23" s="15"/>
      <c r="G23" s="15">
        <v>30858.064131033439</v>
      </c>
      <c r="H23" s="15">
        <v>87071.239005688461</v>
      </c>
      <c r="I23" s="15">
        <v>138321.48483336082</v>
      </c>
      <c r="J23" s="15">
        <v>131341.02763355372</v>
      </c>
      <c r="K23" s="15">
        <v>125328.29334309198</v>
      </c>
      <c r="L23" s="15">
        <v>112373.13136938053</v>
      </c>
      <c r="M23" s="15">
        <v>108556.50894868368</v>
      </c>
      <c r="N23" s="15">
        <v>105489.73259473426</v>
      </c>
      <c r="O23" s="15">
        <v>102876.56792502674</v>
      </c>
      <c r="P23" s="15">
        <v>100512.89638557828</v>
      </c>
      <c r="Q23" s="15">
        <v>98179.378177042949</v>
      </c>
      <c r="R23" s="15">
        <v>95847.943420614072</v>
      </c>
      <c r="S23" s="15">
        <v>93474.328160646066</v>
      </c>
      <c r="T23" s="15">
        <v>91186.331074785194</v>
      </c>
      <c r="U23" s="15">
        <v>88936.995255073954</v>
      </c>
      <c r="V23" s="15">
        <v>86647.56724640973</v>
      </c>
      <c r="W23" s="15">
        <v>90572.619755464009</v>
      </c>
      <c r="X23" s="15">
        <v>87771.728426826943</v>
      </c>
      <c r="Y23" s="15">
        <v>84961.95635676074</v>
      </c>
      <c r="Z23" s="15">
        <v>82175.389106315663</v>
      </c>
      <c r="AA23" s="15">
        <v>79628.352339490069</v>
      </c>
      <c r="AB23" s="15">
        <v>77276.014548631239</v>
      </c>
      <c r="AC23" s="15">
        <v>75020.683560031306</v>
      </c>
      <c r="AD23" s="15">
        <v>72691.083602545375</v>
      </c>
      <c r="AE23" s="15">
        <v>70559.218554413514</v>
      </c>
      <c r="AF23" s="15">
        <v>68396.619754674481</v>
      </c>
      <c r="AG23" s="15">
        <v>66331.776922346049</v>
      </c>
      <c r="AH23" s="15">
        <v>64197.278633921946</v>
      </c>
      <c r="AI23" s="15">
        <v>62201.468047298258</v>
      </c>
      <c r="AJ23" s="15">
        <v>63884.043803646688</v>
      </c>
      <c r="AK23" s="15">
        <v>54391.358551299607</v>
      </c>
      <c r="AL23" s="15">
        <v>31274.000020948155</v>
      </c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</row>
    <row r="24" spans="1:68">
      <c r="A24" s="24"/>
      <c r="B24" s="352">
        <f>NPV('Financial Information'!$B$5,$E24:$BB24)*(1+'Financial Information'!$B$5)</f>
        <v>1140298.2843495174</v>
      </c>
      <c r="C24" s="6">
        <f>SUMPRODUCT(D25:AL25,D26:AL26)</f>
        <v>1140.2982843495179</v>
      </c>
      <c r="D24" s="15">
        <v>0</v>
      </c>
      <c r="E24" s="15">
        <v>0</v>
      </c>
      <c r="F24" s="15">
        <v>0</v>
      </c>
      <c r="G24" s="15">
        <f>G10+CEC_2023!G10+CEC_2024!G10</f>
        <v>30858.064131033436</v>
      </c>
      <c r="H24" s="15">
        <f>H10+CEC_2023!H10+CEC_2024!H10</f>
        <v>87071.239005688432</v>
      </c>
      <c r="I24" s="15">
        <f>I10+CEC_2023!I10+CEC_2024!I10</f>
        <v>138321.48483336082</v>
      </c>
      <c r="J24" s="15">
        <f>J10+CEC_2023!J10+CEC_2024!J10</f>
        <v>131341.02763355375</v>
      </c>
      <c r="K24" s="15">
        <f>K10+CEC_2023!K10+CEC_2024!K10</f>
        <v>125328.29334309197</v>
      </c>
      <c r="L24" s="15">
        <f>L10+CEC_2023!L10+CEC_2024!L10</f>
        <v>112373.13136938054</v>
      </c>
      <c r="M24" s="15">
        <f>M10+CEC_2023!M10+CEC_2024!M10</f>
        <v>108556.5089486837</v>
      </c>
      <c r="N24" s="15">
        <f>N10+CEC_2023!N10+CEC_2024!N10</f>
        <v>105489.73259473423</v>
      </c>
      <c r="O24" s="15">
        <f>O10+CEC_2023!O10+CEC_2024!O10</f>
        <v>102876.56792502674</v>
      </c>
      <c r="P24" s="15">
        <f>P10+CEC_2023!P10+CEC_2024!P10</f>
        <v>100512.89638557826</v>
      </c>
      <c r="Q24" s="15">
        <f>Q10+CEC_2023!Q10+CEC_2024!Q10</f>
        <v>98179.378177042934</v>
      </c>
      <c r="R24" s="15">
        <f>R10+CEC_2023!R10+CEC_2024!R10</f>
        <v>95847.943420614058</v>
      </c>
      <c r="S24" s="15">
        <f>S10+CEC_2023!S10+CEC_2024!S10</f>
        <v>93474.328160646081</v>
      </c>
      <c r="T24" s="15">
        <f>T10+CEC_2023!T10+CEC_2024!T10</f>
        <v>91186.331074785179</v>
      </c>
      <c r="U24" s="15">
        <f>U10+CEC_2023!U10+CEC_2024!U10</f>
        <v>88936.99525507394</v>
      </c>
      <c r="V24" s="15">
        <f>V10+CEC_2023!V10+CEC_2024!V10</f>
        <v>86647.56724640973</v>
      </c>
      <c r="W24" s="15">
        <f>W10+CEC_2023!W10+CEC_2024!W10</f>
        <v>90572.619755463995</v>
      </c>
      <c r="X24" s="15">
        <f>X10+CEC_2023!X10+CEC_2024!X10</f>
        <v>87771.728426826943</v>
      </c>
      <c r="Y24" s="15">
        <f>Y10+CEC_2023!Y10+CEC_2024!Y10</f>
        <v>84961.956356760755</v>
      </c>
      <c r="Z24" s="15">
        <f>Z10+CEC_2023!Z10+CEC_2024!Z10</f>
        <v>82175.389106315692</v>
      </c>
      <c r="AA24" s="15">
        <f>AA10+CEC_2023!AA10+CEC_2024!AA10</f>
        <v>79628.352339490084</v>
      </c>
      <c r="AB24" s="15">
        <f>AB10+CEC_2023!AB10+CEC_2024!AB10</f>
        <v>77276.014548631239</v>
      </c>
      <c r="AC24" s="15">
        <f>AC10+CEC_2023!AC10+CEC_2024!AC10</f>
        <v>75020.683560031306</v>
      </c>
      <c r="AD24" s="15">
        <f>AD10+CEC_2023!AD10+CEC_2024!AD10</f>
        <v>72691.08360254539</v>
      </c>
      <c r="AE24" s="15">
        <f>AE10+CEC_2023!AE10+CEC_2024!AE10</f>
        <v>70559.218554413514</v>
      </c>
      <c r="AF24" s="15">
        <f>AF10+CEC_2023!AF10+CEC_2024!AF10</f>
        <v>68396.619754674481</v>
      </c>
      <c r="AG24" s="15">
        <f>AG10+CEC_2023!AG10+CEC_2024!AG10</f>
        <v>66331.776922346064</v>
      </c>
      <c r="AH24" s="15">
        <f>AH10+CEC_2023!AH10+CEC_2024!AH10</f>
        <v>64197.278633921931</v>
      </c>
      <c r="AI24" s="15">
        <f>AI10+CEC_2023!AI10+CEC_2024!AI10</f>
        <v>62201.468047298265</v>
      </c>
      <c r="AJ24" s="15">
        <f>AJ10+CEC_2023!AJ10+CEC_2024!AJ10</f>
        <v>63884.043803646702</v>
      </c>
      <c r="AK24" s="15">
        <f>AK10+CEC_2023!AK10+CEC_2024!AK10</f>
        <v>54391.358551299621</v>
      </c>
      <c r="AL24" s="15">
        <f>AL10+CEC_2023!AL10+CEC_2024!AL10</f>
        <v>31274.000020948148</v>
      </c>
      <c r="AM24" s="15">
        <f>AM10+CEC_2023!AM10+CEC_2024!AM10</f>
        <v>0</v>
      </c>
      <c r="AN24" s="15">
        <f>AN10+CEC_2023!AN10+CEC_2024!AN10</f>
        <v>0</v>
      </c>
      <c r="AO24" s="15">
        <f>AO10+CEC_2023!AO10+CEC_2024!AO10</f>
        <v>0</v>
      </c>
      <c r="AP24" s="15">
        <f>AP10+CEC_2023!AP10+CEC_2024!AP10</f>
        <v>0</v>
      </c>
      <c r="AQ24" s="15">
        <f>AQ10+CEC_2023!AQ10+CEC_2024!AQ10</f>
        <v>0</v>
      </c>
      <c r="AR24" s="15">
        <f>AR10+CEC_2023!AR10+CEC_2024!AR10</f>
        <v>0</v>
      </c>
      <c r="AS24" s="15">
        <f>AS10+CEC_2023!AS10+CEC_2024!AS10</f>
        <v>0</v>
      </c>
      <c r="AT24" s="15">
        <f>AT10+CEC_2023!AT10+CEC_2024!AT10</f>
        <v>0</v>
      </c>
      <c r="AU24" s="15"/>
      <c r="AV24" s="15"/>
      <c r="AW24" s="15"/>
      <c r="AX24" s="15"/>
      <c r="AY24" s="15"/>
      <c r="AZ24" s="15"/>
      <c r="BA24" s="15"/>
      <c r="BB24" s="15"/>
    </row>
    <row r="25" spans="1:68">
      <c r="A25" s="24"/>
      <c r="B25" s="24"/>
      <c r="C25" s="23">
        <f>SUM(D25:AL25)</f>
        <v>2728.3350814893174</v>
      </c>
      <c r="D25" s="15"/>
      <c r="E25" s="15"/>
      <c r="F25" s="15"/>
      <c r="G25" s="402">
        <f>G24/1000</f>
        <v>30.858064131033437</v>
      </c>
      <c r="H25" s="402">
        <f t="shared" ref="H25:AL25" si="10">H24/1000</f>
        <v>87.071239005688426</v>
      </c>
      <c r="I25" s="402">
        <f t="shared" si="10"/>
        <v>138.32148483336081</v>
      </c>
      <c r="J25" s="402">
        <f t="shared" si="10"/>
        <v>131.34102763355375</v>
      </c>
      <c r="K25" s="402">
        <f t="shared" si="10"/>
        <v>125.32829334309197</v>
      </c>
      <c r="L25" s="402">
        <f t="shared" si="10"/>
        <v>112.37313136938054</v>
      </c>
      <c r="M25" s="402">
        <f t="shared" si="10"/>
        <v>108.5565089486837</v>
      </c>
      <c r="N25" s="402">
        <f t="shared" si="10"/>
        <v>105.48973259473424</v>
      </c>
      <c r="O25" s="402">
        <f t="shared" si="10"/>
        <v>102.87656792502675</v>
      </c>
      <c r="P25" s="402">
        <f t="shared" si="10"/>
        <v>100.51289638557826</v>
      </c>
      <c r="Q25" s="402">
        <f t="shared" si="10"/>
        <v>98.179378177042935</v>
      </c>
      <c r="R25" s="402">
        <f t="shared" si="10"/>
        <v>95.847943420614058</v>
      </c>
      <c r="S25" s="402">
        <f t="shared" si="10"/>
        <v>93.474328160646081</v>
      </c>
      <c r="T25" s="402">
        <f t="shared" si="10"/>
        <v>91.186331074785173</v>
      </c>
      <c r="U25" s="402">
        <f t="shared" si="10"/>
        <v>88.936995255073938</v>
      </c>
      <c r="V25" s="402">
        <f t="shared" si="10"/>
        <v>86.647567246409736</v>
      </c>
      <c r="W25" s="402">
        <f t="shared" si="10"/>
        <v>90.57261975546399</v>
      </c>
      <c r="X25" s="402">
        <f t="shared" si="10"/>
        <v>87.77172842682694</v>
      </c>
      <c r="Y25" s="402">
        <f t="shared" si="10"/>
        <v>84.961956356760751</v>
      </c>
      <c r="Z25" s="402">
        <f t="shared" si="10"/>
        <v>82.175389106315691</v>
      </c>
      <c r="AA25" s="402">
        <f t="shared" si="10"/>
        <v>79.628352339490078</v>
      </c>
      <c r="AB25" s="402">
        <f t="shared" si="10"/>
        <v>77.276014548631238</v>
      </c>
      <c r="AC25" s="402">
        <f t="shared" si="10"/>
        <v>75.020683560031301</v>
      </c>
      <c r="AD25" s="402">
        <f t="shared" si="10"/>
        <v>72.69108360254539</v>
      </c>
      <c r="AE25" s="402">
        <f t="shared" si="10"/>
        <v>70.559218554413519</v>
      </c>
      <c r="AF25" s="402">
        <f t="shared" si="10"/>
        <v>68.396619754674475</v>
      </c>
      <c r="AG25" s="402">
        <f t="shared" si="10"/>
        <v>66.331776922346066</v>
      </c>
      <c r="AH25" s="402">
        <f t="shared" si="10"/>
        <v>64.197278633921925</v>
      </c>
      <c r="AI25" s="402">
        <f t="shared" si="10"/>
        <v>62.201468047298263</v>
      </c>
      <c r="AJ25" s="402">
        <f t="shared" si="10"/>
        <v>63.884043803646705</v>
      </c>
      <c r="AK25" s="402">
        <f t="shared" si="10"/>
        <v>54.391358551299625</v>
      </c>
      <c r="AL25" s="403">
        <f t="shared" si="10"/>
        <v>31.274000020948147</v>
      </c>
      <c r="AM25" s="402">
        <f t="shared" ref="AM25" si="11">AM24/1000</f>
        <v>0</v>
      </c>
      <c r="AN25" s="402">
        <f t="shared" ref="AN25" si="12">AN24/1000</f>
        <v>0</v>
      </c>
      <c r="AO25" s="402">
        <f t="shared" ref="AO25" si="13">AO24/1000</f>
        <v>0</v>
      </c>
      <c r="AP25" s="402">
        <f t="shared" ref="AP25" si="14">AP24/1000</f>
        <v>0</v>
      </c>
      <c r="AQ25" s="402">
        <f t="shared" ref="AQ25" si="15">AQ24/1000</f>
        <v>0</v>
      </c>
      <c r="AR25" s="402">
        <f t="shared" ref="AR25" si="16">AR24/1000</f>
        <v>0</v>
      </c>
      <c r="AS25" s="402">
        <f t="shared" ref="AS25" si="17">AS24/1000</f>
        <v>0</v>
      </c>
      <c r="AT25" s="402">
        <f t="shared" ref="AT25" si="18">AT24/1000</f>
        <v>0</v>
      </c>
      <c r="AU25" s="15"/>
      <c r="AV25" s="15"/>
      <c r="AW25" s="15"/>
      <c r="AX25" s="15"/>
      <c r="AY25" s="15"/>
      <c r="AZ25" s="15"/>
      <c r="BA25" s="15"/>
      <c r="BB25" s="15"/>
    </row>
    <row r="26" spans="1:68">
      <c r="A26" s="24"/>
      <c r="B26" s="24"/>
      <c r="C26" s="24"/>
      <c r="D26" s="25">
        <f t="shared" ref="D26:Q26" si="19">1/(1+6.7%)^(D1-2020)</f>
        <v>1.0669999999999999</v>
      </c>
      <c r="E26" s="25">
        <f t="shared" si="19"/>
        <v>1</v>
      </c>
      <c r="F26" s="25">
        <f t="shared" si="19"/>
        <v>0.93720712277413309</v>
      </c>
      <c r="G26" s="25">
        <f t="shared" si="19"/>
        <v>0.87835719097856912</v>
      </c>
      <c r="H26" s="25">
        <f t="shared" si="19"/>
        <v>0.82320261572499454</v>
      </c>
      <c r="I26" s="25">
        <f t="shared" si="19"/>
        <v>0.77151135494376255</v>
      </c>
      <c r="J26" s="25">
        <f t="shared" si="19"/>
        <v>0.72306593715441669</v>
      </c>
      <c r="K26" s="25">
        <f t="shared" si="19"/>
        <v>0.67766254653647295</v>
      </c>
      <c r="L26" s="25">
        <f t="shared" si="19"/>
        <v>0.63511016545123988</v>
      </c>
      <c r="M26" s="25">
        <f t="shared" si="19"/>
        <v>0.59522977080716033</v>
      </c>
      <c r="N26" s="25">
        <f t="shared" si="19"/>
        <v>0.55785358088768544</v>
      </c>
      <c r="O26" s="25">
        <f t="shared" si="19"/>
        <v>0.52282434947299483</v>
      </c>
      <c r="P26" s="25">
        <f t="shared" si="19"/>
        <v>0.48999470428584335</v>
      </c>
      <c r="Q26" s="25">
        <f t="shared" si="19"/>
        <v>0.45922652697829741</v>
      </c>
      <c r="R26" s="25">
        <f t="shared" ref="R26:AT26" si="20">1/(1+6.7%)^(R1-2020)</f>
        <v>0.43039037205088798</v>
      </c>
      <c r="S26" s="25">
        <f t="shared" si="20"/>
        <v>0.40336492225950138</v>
      </c>
      <c r="T26" s="25">
        <f t="shared" si="20"/>
        <v>0.37803647821883918</v>
      </c>
      <c r="U26" s="25">
        <f t="shared" si="20"/>
        <v>0.35429848005514458</v>
      </c>
      <c r="V26" s="25">
        <f t="shared" si="20"/>
        <v>0.33205105909573068</v>
      </c>
      <c r="W26" s="25">
        <f t="shared" si="20"/>
        <v>0.31120061770921342</v>
      </c>
      <c r="X26" s="25">
        <f t="shared" si="20"/>
        <v>0.29165943552878487</v>
      </c>
      <c r="Y26" s="25">
        <f t="shared" si="20"/>
        <v>0.27334530040186023</v>
      </c>
      <c r="Z26" s="25">
        <f t="shared" si="20"/>
        <v>0.25618116251345852</v>
      </c>
      <c r="AA26" s="25">
        <f t="shared" si="20"/>
        <v>0.24009481022817106</v>
      </c>
      <c r="AB26" s="25">
        <f t="shared" si="20"/>
        <v>0.22501856628694569</v>
      </c>
      <c r="AC26" s="25">
        <f t="shared" si="20"/>
        <v>0.21088900308054895</v>
      </c>
      <c r="AD26" s="25">
        <f t="shared" si="20"/>
        <v>0.19764667580182663</v>
      </c>
      <c r="AE26" s="25">
        <f t="shared" si="20"/>
        <v>0.1852358723541018</v>
      </c>
      <c r="AF26" s="25">
        <f t="shared" si="20"/>
        <v>0.17360437896354436</v>
      </c>
      <c r="AG26" s="25">
        <f t="shared" si="20"/>
        <v>0.16270326050941364</v>
      </c>
      <c r="AH26" s="25">
        <f t="shared" si="20"/>
        <v>0.15248665464799779</v>
      </c>
      <c r="AI26" s="25">
        <f t="shared" si="20"/>
        <v>0.14291157886410291</v>
      </c>
      <c r="AJ26" s="25">
        <f t="shared" si="20"/>
        <v>0.13393774963833452</v>
      </c>
      <c r="AK26" s="25">
        <f t="shared" si="20"/>
        <v>0.12552741296938569</v>
      </c>
      <c r="AL26" s="25">
        <f t="shared" si="20"/>
        <v>0.11764518553831838</v>
      </c>
      <c r="AM26" s="25">
        <f t="shared" si="20"/>
        <v>0.11025790584659642</v>
      </c>
      <c r="AN26" s="25">
        <f t="shared" si="20"/>
        <v>0.1033344947015899</v>
      </c>
      <c r="AO26" s="25">
        <f t="shared" si="20"/>
        <v>9.6845824462595986E-2</v>
      </c>
      <c r="AP26" s="25">
        <f t="shared" si="20"/>
        <v>9.0764596497278333E-2</v>
      </c>
      <c r="AQ26" s="25">
        <f t="shared" si="20"/>
        <v>8.5065226332969396E-2</v>
      </c>
      <c r="AR26" s="25">
        <f t="shared" si="20"/>
        <v>7.9723736019652672E-2</v>
      </c>
      <c r="AS26" s="25">
        <f t="shared" si="20"/>
        <v>7.47176532517832E-2</v>
      </c>
      <c r="AT26" s="25">
        <f t="shared" si="20"/>
        <v>7.0025916824539097E-2</v>
      </c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</row>
    <row r="27" spans="1:68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</row>
    <row r="28" spans="1:68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</row>
    <row r="29" spans="1:68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</row>
    <row r="30" spans="1:68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</row>
    <row r="31" spans="1:68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</row>
    <row r="32" spans="1:68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</row>
    <row r="33" spans="1:68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</row>
    <row r="34" spans="1:68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</row>
    <row r="35" spans="1:68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</row>
    <row r="36" spans="1:68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</row>
    <row r="37" spans="1:68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</row>
    <row r="38" spans="1:68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</row>
    <row r="39" spans="1:68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</row>
    <row r="40" spans="1:68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</row>
    <row r="53" spans="4:6">
      <c r="D53" s="155"/>
      <c r="F53" s="155"/>
    </row>
    <row r="54" spans="4:6">
      <c r="D54" s="153"/>
      <c r="F54" s="155"/>
    </row>
    <row r="55" spans="4:6">
      <c r="D55" s="155"/>
      <c r="F55" s="155"/>
    </row>
    <row r="56" spans="4:6">
      <c r="D56" s="155"/>
      <c r="F56" s="155"/>
    </row>
    <row r="57" spans="4:6">
      <c r="D57" s="155"/>
      <c r="F57" s="155"/>
    </row>
    <row r="58" spans="4:6">
      <c r="F58" s="155"/>
    </row>
    <row r="59" spans="4:6">
      <c r="F59" s="155"/>
    </row>
    <row r="60" spans="4:6">
      <c r="F60" s="155"/>
    </row>
    <row r="61" spans="4:6">
      <c r="F61" s="155"/>
    </row>
    <row r="62" spans="4:6">
      <c r="F62" s="155"/>
    </row>
  </sheetData>
  <mergeCells count="2">
    <mergeCell ref="D20:E20"/>
    <mergeCell ref="F20:G20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F64A7-6F2F-4A80-8D96-D6DFD7988041}">
  <sheetPr>
    <tabColor rgb="FFFFFF00"/>
  </sheetPr>
  <dimension ref="A1:BP62"/>
  <sheetViews>
    <sheetView workbookViewId="0">
      <pane xSplit="3" ySplit="1" topLeftCell="D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90625" defaultRowHeight="14.5"/>
  <cols>
    <col min="1" max="1" width="11.90625" style="6" bestFit="1" customWidth="1"/>
    <col min="2" max="2" width="11.54296875" style="6" bestFit="1" customWidth="1"/>
    <col min="3" max="3" width="16.36328125" style="6" bestFit="1" customWidth="1"/>
    <col min="4" max="7" width="5" style="6" bestFit="1" customWidth="1"/>
    <col min="8" max="37" width="7.54296875" style="6" bestFit="1" customWidth="1"/>
    <col min="38" max="47" width="6.54296875" style="6" bestFit="1" customWidth="1"/>
    <col min="48" max="54" width="5" style="6" bestFit="1" customWidth="1"/>
    <col min="55" max="16384" width="8.90625" style="6"/>
  </cols>
  <sheetData>
    <row r="1" spans="1:54">
      <c r="A1" s="385" t="s">
        <v>382</v>
      </c>
      <c r="B1" s="385" t="s">
        <v>5</v>
      </c>
      <c r="C1" s="388">
        <v>44927</v>
      </c>
      <c r="D1" s="385">
        <v>2019</v>
      </c>
      <c r="E1" s="385">
        <f t="shared" ref="E1:BB1" si="0">D1+1</f>
        <v>2020</v>
      </c>
      <c r="F1" s="385">
        <f t="shared" si="0"/>
        <v>2021</v>
      </c>
      <c r="G1" s="385">
        <f t="shared" si="0"/>
        <v>2022</v>
      </c>
      <c r="H1" s="385">
        <f t="shared" si="0"/>
        <v>2023</v>
      </c>
      <c r="I1" s="385">
        <f t="shared" si="0"/>
        <v>2024</v>
      </c>
      <c r="J1" s="385">
        <f t="shared" si="0"/>
        <v>2025</v>
      </c>
      <c r="K1" s="385">
        <f t="shared" si="0"/>
        <v>2026</v>
      </c>
      <c r="L1" s="385">
        <f t="shared" si="0"/>
        <v>2027</v>
      </c>
      <c r="M1" s="385">
        <f t="shared" si="0"/>
        <v>2028</v>
      </c>
      <c r="N1" s="385">
        <f t="shared" si="0"/>
        <v>2029</v>
      </c>
      <c r="O1" s="385">
        <f t="shared" si="0"/>
        <v>2030</v>
      </c>
      <c r="P1" s="385">
        <f t="shared" si="0"/>
        <v>2031</v>
      </c>
      <c r="Q1" s="385">
        <f t="shared" si="0"/>
        <v>2032</v>
      </c>
      <c r="R1" s="385">
        <f t="shared" si="0"/>
        <v>2033</v>
      </c>
      <c r="S1" s="385">
        <f t="shared" si="0"/>
        <v>2034</v>
      </c>
      <c r="T1" s="385">
        <f t="shared" si="0"/>
        <v>2035</v>
      </c>
      <c r="U1" s="385">
        <f t="shared" si="0"/>
        <v>2036</v>
      </c>
      <c r="V1" s="385">
        <f t="shared" si="0"/>
        <v>2037</v>
      </c>
      <c r="W1" s="385">
        <f t="shared" si="0"/>
        <v>2038</v>
      </c>
      <c r="X1" s="385">
        <f t="shared" si="0"/>
        <v>2039</v>
      </c>
      <c r="Y1" s="385">
        <f t="shared" si="0"/>
        <v>2040</v>
      </c>
      <c r="Z1" s="385">
        <f t="shared" si="0"/>
        <v>2041</v>
      </c>
      <c r="AA1" s="385">
        <f t="shared" si="0"/>
        <v>2042</v>
      </c>
      <c r="AB1" s="385">
        <f t="shared" si="0"/>
        <v>2043</v>
      </c>
      <c r="AC1" s="385">
        <f t="shared" si="0"/>
        <v>2044</v>
      </c>
      <c r="AD1" s="385">
        <f t="shared" si="0"/>
        <v>2045</v>
      </c>
      <c r="AE1" s="385">
        <f t="shared" si="0"/>
        <v>2046</v>
      </c>
      <c r="AF1" s="385">
        <f t="shared" si="0"/>
        <v>2047</v>
      </c>
      <c r="AG1" s="385">
        <f t="shared" si="0"/>
        <v>2048</v>
      </c>
      <c r="AH1" s="385">
        <f t="shared" si="0"/>
        <v>2049</v>
      </c>
      <c r="AI1" s="385">
        <f t="shared" si="0"/>
        <v>2050</v>
      </c>
      <c r="AJ1" s="385">
        <f t="shared" si="0"/>
        <v>2051</v>
      </c>
      <c r="AK1" s="397">
        <f t="shared" si="0"/>
        <v>2052</v>
      </c>
      <c r="AL1" s="385">
        <f t="shared" si="0"/>
        <v>2053</v>
      </c>
      <c r="AM1" s="385">
        <f t="shared" si="0"/>
        <v>2054</v>
      </c>
      <c r="AN1" s="385">
        <f t="shared" si="0"/>
        <v>2055</v>
      </c>
      <c r="AO1" s="385">
        <f t="shared" si="0"/>
        <v>2056</v>
      </c>
      <c r="AP1" s="385">
        <f t="shared" si="0"/>
        <v>2057</v>
      </c>
      <c r="AQ1" s="385">
        <f t="shared" si="0"/>
        <v>2058</v>
      </c>
      <c r="AR1" s="385">
        <f t="shared" si="0"/>
        <v>2059</v>
      </c>
      <c r="AS1" s="385">
        <f t="shared" si="0"/>
        <v>2060</v>
      </c>
      <c r="AT1" s="385">
        <f t="shared" si="0"/>
        <v>2061</v>
      </c>
      <c r="AU1" s="385">
        <f t="shared" si="0"/>
        <v>2062</v>
      </c>
      <c r="AV1" s="385">
        <f t="shared" si="0"/>
        <v>2063</v>
      </c>
      <c r="AW1" s="385">
        <f t="shared" si="0"/>
        <v>2064</v>
      </c>
      <c r="AX1" s="385">
        <f t="shared" si="0"/>
        <v>2065</v>
      </c>
      <c r="AY1" s="385">
        <f t="shared" si="0"/>
        <v>2066</v>
      </c>
      <c r="AZ1" s="385">
        <f t="shared" si="0"/>
        <v>2067</v>
      </c>
      <c r="BA1" s="385">
        <f t="shared" si="0"/>
        <v>2068</v>
      </c>
      <c r="BB1" s="385">
        <f t="shared" si="0"/>
        <v>2069</v>
      </c>
    </row>
    <row r="2" spans="1:54">
      <c r="A2" s="38">
        <f>NPV('Financial Information'!$B$5,$E2:$AK2)*(1+'Financial Information'!$B$5)</f>
        <v>328328.76164617069</v>
      </c>
      <c r="B2" s="24">
        <f>NPV('Financial Information'!$B$5,$E2:$BB2)*(1+'Financial Information'!$B$5)</f>
        <v>328328.76164617069</v>
      </c>
      <c r="C2" s="6" t="s">
        <v>0</v>
      </c>
      <c r="D2" s="15">
        <v>0</v>
      </c>
      <c r="E2" s="15">
        <v>0</v>
      </c>
      <c r="F2" s="15">
        <v>0</v>
      </c>
      <c r="G2" s="15">
        <v>0</v>
      </c>
      <c r="H2" s="15">
        <f>('[8]Solar Rev Req 2'!C$34*4)-SUM(H3:H6)</f>
        <v>46812.307735487317</v>
      </c>
      <c r="I2" s="15">
        <f>('[8]Solar Rev Req 2'!D$34*4)-SUM(I3:I6)</f>
        <v>43957.294150562579</v>
      </c>
      <c r="J2" s="15">
        <f>('[8]Solar Rev Req 2'!E$34*4)-SUM(J3:J6)</f>
        <v>41125.124017355702</v>
      </c>
      <c r="K2" s="15">
        <f>('[8]Solar Rev Req 2'!F$34*4)-SUM(K3:K6)</f>
        <v>39044.103509174864</v>
      </c>
      <c r="L2" s="15">
        <f>('[8]Solar Rev Req 2'!G$34*4)-SUM(L3:L6)</f>
        <v>33106.205666161455</v>
      </c>
      <c r="M2" s="15">
        <f>('[8]Solar Rev Req 2'!H$34*4)-SUM(M3:M6)</f>
        <v>31551.71479097561</v>
      </c>
      <c r="N2" s="15">
        <f>('[8]Solar Rev Req 2'!I$34*4)-SUM(N3:N6)</f>
        <v>30412.135465337684</v>
      </c>
      <c r="O2" s="15">
        <f>('[8]Solar Rev Req 2'!J$34*4)-SUM(O3:O6)</f>
        <v>29486.920413560205</v>
      </c>
      <c r="P2" s="15">
        <f>('[8]Solar Rev Req 2'!K$34*4)-SUM(P3:P6)</f>
        <v>28564.443822029971</v>
      </c>
      <c r="Q2" s="15">
        <f>('[8]Solar Rev Req 2'!L$34*4)-SUM(Q3:Q6)</f>
        <v>27674.182264602165</v>
      </c>
      <c r="R2" s="15">
        <f>('[8]Solar Rev Req 2'!M$34*4)-SUM(R3:R6)</f>
        <v>26771.0032382022</v>
      </c>
      <c r="S2" s="15">
        <f>('[8]Solar Rev Req 2'!N$34*4)-SUM(S3:S6)</f>
        <v>25851.164630444491</v>
      </c>
      <c r="T2" s="15">
        <f>('[8]Solar Rev Req 2'!O$34*4)-SUM(T3:T6)</f>
        <v>24932.631239946575</v>
      </c>
      <c r="U2" s="15">
        <f>('[8]Solar Rev Req 2'!P$34*4)-SUM(U3:U6)</f>
        <v>24014.867718327514</v>
      </c>
      <c r="V2" s="15">
        <f>('[8]Solar Rev Req 2'!Q$34*4)-SUM(V3:V6)</f>
        <v>23132.395655912169</v>
      </c>
      <c r="W2" s="15">
        <f>('[8]Solar Rev Req 2'!R$34*4)-SUM(W3:W6)</f>
        <v>22235.166169104232</v>
      </c>
      <c r="X2" s="15">
        <f>('[8]Solar Rev Req 2'!S$34*4)-SUM(X3:X6)</f>
        <v>21320.61006652379</v>
      </c>
      <c r="Y2" s="15">
        <f>('[8]Solar Rev Req 2'!T$34*4)-SUM(Y3:Y6)</f>
        <v>20407.695662739563</v>
      </c>
      <c r="Z2" s="15">
        <f>('[8]Solar Rev Req 2'!U$34*4)-SUM(Z3:Z6)</f>
        <v>19494.171332390782</v>
      </c>
      <c r="AA2" s="15">
        <f>('[8]Solar Rev Req 2'!V$34*4)-SUM(AA3:AA6)</f>
        <v>18610.087311990246</v>
      </c>
      <c r="AB2" s="15">
        <f>('[8]Solar Rev Req 2'!W$34*4)-SUM(AB3:AB6)</f>
        <v>17713.784715699079</v>
      </c>
      <c r="AC2" s="15">
        <f>('[8]Solar Rev Req 2'!X$34*4)-SUM(AC3:AC6)</f>
        <v>16804.819106438532</v>
      </c>
      <c r="AD2" s="15">
        <f>('[8]Solar Rev Req 2'!Y$34*4)-SUM(AD3:AD6)</f>
        <v>15897.941700275209</v>
      </c>
      <c r="AE2" s="15">
        <f>('[8]Solar Rev Req 2'!Z$34*4)-SUM(AE3:AE6)</f>
        <v>14989.488685301083</v>
      </c>
      <c r="AF2" s="15">
        <f>('[8]Solar Rev Req 2'!AA$34*4)-SUM(AF3:AF6)</f>
        <v>14109.674931668656</v>
      </c>
      <c r="AG2" s="15">
        <f>('[8]Solar Rev Req 2'!AB$34*4)-SUM(AG3:AG6)</f>
        <v>13213.72515875781</v>
      </c>
      <c r="AH2" s="15">
        <f>('[8]Solar Rev Req 2'!AC$34*4)-SUM(AH3:AH6)</f>
        <v>12298.027263691558</v>
      </c>
      <c r="AI2" s="15">
        <f>('[8]Solar Rev Req 2'!AD$34*4)-SUM(AI3:AI6)</f>
        <v>11380.71233699273</v>
      </c>
      <c r="AJ2" s="15">
        <f>('[8]Solar Rev Req 2'!AE$34*4)-SUM(AJ3:AJ6)</f>
        <v>10461.515905246757</v>
      </c>
      <c r="AK2" s="214">
        <f>('[8]Solar Rev Req 2'!AF$34*4)-SUM(AK3:AK6)</f>
        <v>16702.244452065726</v>
      </c>
      <c r="AL2" s="15">
        <f>('[8]Solar Rev Req 2'!AG$34*4)-SUM(AL3:AL6)</f>
        <v>0</v>
      </c>
      <c r="AM2" s="15">
        <f>('[8]Solar Rev Req 2'!AH$34*4)-SUM(AM3:AM6)</f>
        <v>0</v>
      </c>
      <c r="AN2" s="15">
        <f>('[8]Solar Rev Req 2'!AI$34*4)-SUM(AN3:AN6)</f>
        <v>0</v>
      </c>
      <c r="AO2" s="15">
        <f>('[8]Solar Rev Req 2'!AJ$34*4)-SUM(AO3:AO6)</f>
        <v>0</v>
      </c>
      <c r="AP2" s="15">
        <f>('[8]Solar Rev Req 2'!AK$34*4)-SUM(AP3:AP6)</f>
        <v>0</v>
      </c>
      <c r="AQ2" s="15">
        <f>('[8]Solar Rev Req 2'!AL$34*4)-SUM(AQ3:AQ6)</f>
        <v>0</v>
      </c>
      <c r="AR2" s="15">
        <f>('[8]Solar Rev Req 2'!AM$34*4)-SUM(AR3:AR6)</f>
        <v>0</v>
      </c>
      <c r="AS2" s="15">
        <f>('[8]Solar Rev Req 2'!AN$34*4)-SUM(AS3:AS6)</f>
        <v>0</v>
      </c>
      <c r="AT2" s="15">
        <f>('[8]Solar Rev Req 2'!AO$34*4)-SUM(AT3:AT6)</f>
        <v>0</v>
      </c>
      <c r="AU2" s="15">
        <f>('[8]Solar Rev Req 2'!AP$34*4)-SUM(AU3:AU6)</f>
        <v>0</v>
      </c>
      <c r="AV2" s="15">
        <f>('[8]Solar Rev Req 2'!AQ$34*4)-SUM(AV3:AV6)</f>
        <v>0</v>
      </c>
      <c r="AW2" s="15">
        <f>('[8]Solar Rev Req 2'!AR$34*4)-SUM(AW3:AW6)</f>
        <v>0</v>
      </c>
      <c r="AX2" s="15">
        <f>('[8]Solar Rev Req 2'!AS$34*4)-SUM(AX3:AX6)</f>
        <v>0</v>
      </c>
      <c r="AY2" s="15">
        <f>('[8]Solar Rev Req 2'!AT$34*4)-SUM(AY3:AY6)</f>
        <v>0</v>
      </c>
      <c r="AZ2" s="15">
        <f>('[8]Solar Rev Req 2'!AU$34*4)-SUM(AZ3:AZ6)</f>
        <v>0</v>
      </c>
      <c r="BA2" s="15">
        <f>('[8]Solar Rev Req 2'!AV$34*4)-SUM(BA3:BA6)</f>
        <v>0</v>
      </c>
      <c r="BB2" s="15">
        <f>('[8]Solar Rev Req 2'!AW$34*4)-SUM(BB3:BB6)</f>
        <v>0</v>
      </c>
    </row>
    <row r="3" spans="1:54">
      <c r="A3" s="38">
        <f>NPV('Financial Information'!$B$5,$E3:$AK3)*(1+'Financial Information'!$B$5)</f>
        <v>14738.395644554535</v>
      </c>
      <c r="B3" s="24">
        <f>NPV('Financial Information'!$B$5,$E3:$BB3)*(1+'Financial Information'!$B$5)</f>
        <v>14738.395644554535</v>
      </c>
      <c r="C3" s="6" t="s">
        <v>1</v>
      </c>
      <c r="D3" s="15">
        <v>0</v>
      </c>
      <c r="E3" s="15">
        <v>0</v>
      </c>
      <c r="F3" s="15">
        <v>0</v>
      </c>
      <c r="G3" s="15">
        <v>0</v>
      </c>
      <c r="H3" s="15">
        <f>'[8]Solar Rev Req 2'!C$32*4</f>
        <v>1278.119691542285</v>
      </c>
      <c r="I3" s="15">
        <f>'[8]Solar Rev Req 2'!D$32*4</f>
        <v>1238.9935785358884</v>
      </c>
      <c r="J3" s="15">
        <f>'[8]Solar Rev Req 2'!E$32*4</f>
        <v>1212.9095031982908</v>
      </c>
      <c r="K3" s="15">
        <f>'[8]Solar Rev Req 2'!F$32*4</f>
        <v>1173.7833901918941</v>
      </c>
      <c r="L3" s="15">
        <f>'[8]Solar Rev Req 2'!G$32*4</f>
        <v>1134.6572771854978</v>
      </c>
      <c r="M3" s="15">
        <f>'[8]Solar Rev Req 2'!H$32*4</f>
        <v>1095.5311641791013</v>
      </c>
      <c r="N3" s="15">
        <f>'[8]Solar Rev Req 2'!I$32*4</f>
        <v>1056.4050511727048</v>
      </c>
      <c r="O3" s="15">
        <f>'[8]Solar Rev Req 2'!J$32*4</f>
        <v>1017.2789381663083</v>
      </c>
      <c r="P3" s="15">
        <f>'[8]Solar Rev Req 2'!K$32*4</f>
        <v>978.15282515991191</v>
      </c>
      <c r="Q3" s="15">
        <f>'[8]Solar Rev Req 2'!L$32*4</f>
        <v>925.98467448471638</v>
      </c>
      <c r="R3" s="15">
        <f>'[8]Solar Rev Req 2'!M$32*4</f>
        <v>886.8585614783201</v>
      </c>
      <c r="S3" s="15">
        <f>'[8]Solar Rev Req 2'!N$32*4</f>
        <v>834.69041080312468</v>
      </c>
      <c r="T3" s="15">
        <f>'[8]Solar Rev Req 2'!O$32*4</f>
        <v>782.52226012792937</v>
      </c>
      <c r="U3" s="15">
        <f>'[8]Solar Rev Req 2'!P$32*4</f>
        <v>730.35410945273418</v>
      </c>
      <c r="V3" s="15">
        <f>'[8]Solar Rev Req 2'!Q$32*4</f>
        <v>678.18595877753887</v>
      </c>
      <c r="W3" s="15">
        <f>'[8]Solar Rev Req 2'!R$32*4</f>
        <v>3130.0890405117184</v>
      </c>
      <c r="X3" s="15">
        <f>'[8]Solar Rev Req 2'!S$32*4</f>
        <v>2869.248287135742</v>
      </c>
      <c r="Y3" s="15">
        <f>'[8]Solar Rev Req 2'!T$32*4</f>
        <v>2543.1973454157715</v>
      </c>
      <c r="Z3" s="15">
        <f>'[8]Solar Rev Req 2'!U$32*4</f>
        <v>2217.1464036958009</v>
      </c>
      <c r="AA3" s="15">
        <f>'[8]Solar Rev Req 2'!V$32*4</f>
        <v>1956.3056503198241</v>
      </c>
      <c r="AB3" s="15">
        <f>'[8]Solar Rev Req 2'!W$32*4</f>
        <v>1956.3056503198241</v>
      </c>
      <c r="AC3" s="15">
        <f>'[8]Solar Rev Req 2'!X$32*4</f>
        <v>1695.4648969438476</v>
      </c>
      <c r="AD3" s="15">
        <f>'[8]Solar Rev Req 2'!Y$32*4</f>
        <v>1695.4648969438476</v>
      </c>
      <c r="AE3" s="15">
        <f>'[8]Solar Rev Req 2'!Z$32*4</f>
        <v>1499.8343319118651</v>
      </c>
      <c r="AF3" s="15">
        <f>'[8]Solar Rev Req 2'!AA$32*4</f>
        <v>1499.8343319118651</v>
      </c>
      <c r="AG3" s="15">
        <f>'[8]Solar Rev Req 2'!AB$32*4</f>
        <v>1369.4139552238769</v>
      </c>
      <c r="AH3" s="15">
        <f>'[8]Solar Rev Req 2'!AC$32*4</f>
        <v>1304.2037668798828</v>
      </c>
      <c r="AI3" s="15">
        <f>'[8]Solar Rev Req 2'!AD$32*4</f>
        <v>1304.2037668798828</v>
      </c>
      <c r="AJ3" s="15">
        <f>'[8]Solar Rev Req 2'!AE$32*4</f>
        <v>1304.2037668798828</v>
      </c>
      <c r="AK3" s="214">
        <f>'[8]Solar Rev Req 2'!AF$32*4</f>
        <v>1304.2037668798828</v>
      </c>
      <c r="AL3" s="15">
        <f>'[8]Solar Rev Req 2'!AG$32*4</f>
        <v>0</v>
      </c>
      <c r="AM3" s="15">
        <f>'[8]Solar Rev Req 2'!AH$32*4</f>
        <v>0</v>
      </c>
      <c r="AN3" s="15">
        <f>'[8]Solar Rev Req 2'!AI$32*4</f>
        <v>0</v>
      </c>
      <c r="AO3" s="15">
        <f>'[8]Solar Rev Req 2'!AJ$32*4</f>
        <v>0</v>
      </c>
      <c r="AP3" s="15">
        <f>'[8]Solar Rev Req 2'!AK$32*4</f>
        <v>0</v>
      </c>
      <c r="AQ3" s="15">
        <f>'[8]Solar Rev Req 2'!AL$32*4</f>
        <v>0</v>
      </c>
      <c r="AR3" s="15">
        <f>'[8]Solar Rev Req 2'!AM$32*4</f>
        <v>0</v>
      </c>
      <c r="AS3" s="15">
        <f>'[8]Solar Rev Req 2'!AN$32*4</f>
        <v>0</v>
      </c>
      <c r="AT3" s="15">
        <f>'[8]Solar Rev Req 2'!AO$32*4</f>
        <v>0</v>
      </c>
      <c r="AU3" s="15">
        <f>'[8]Solar Rev Req 2'!AP$32*4</f>
        <v>0</v>
      </c>
      <c r="AV3" s="15">
        <f>'[8]Solar Rev Req 2'!AQ$32*4</f>
        <v>0</v>
      </c>
      <c r="AW3" s="15">
        <f>'[8]Solar Rev Req 2'!AR$32*4</f>
        <v>0</v>
      </c>
      <c r="AX3" s="15">
        <f>'[8]Solar Rev Req 2'!AS$32*4</f>
        <v>0</v>
      </c>
      <c r="AY3" s="15">
        <f>'[8]Solar Rev Req 2'!AT$32*4</f>
        <v>0</v>
      </c>
      <c r="AZ3" s="15">
        <f>'[8]Solar Rev Req 2'!AU$32*4</f>
        <v>0</v>
      </c>
      <c r="BA3" s="15">
        <f>'[8]Solar Rev Req 2'!AV$32*4</f>
        <v>0</v>
      </c>
      <c r="BB3" s="15">
        <f>'[8]Solar Rev Req 2'!AW$32*4</f>
        <v>0</v>
      </c>
    </row>
    <row r="4" spans="1:54">
      <c r="A4" s="38">
        <f>NPV('Financial Information'!$B$5,$E4:$AK4)*(1+'Financial Information'!$B$5)</f>
        <v>7269.326542045701</v>
      </c>
      <c r="B4" s="24">
        <f>NPV('Financial Information'!$B$5,$E4:$BB4)*(1+'Financial Information'!$B$5)</f>
        <v>7269.326542045701</v>
      </c>
      <c r="C4" s="6" t="s">
        <v>2</v>
      </c>
      <c r="D4" s="15">
        <v>0</v>
      </c>
      <c r="E4" s="15">
        <v>0</v>
      </c>
      <c r="F4" s="15">
        <v>0</v>
      </c>
      <c r="G4" s="15">
        <v>0</v>
      </c>
      <c r="H4" s="15">
        <f>'[8]Solar Rev Req 2'!C$33*4</f>
        <v>464.40191525268199</v>
      </c>
      <c r="I4" s="15">
        <f>'[8]Solar Rev Req 2'!D$33*4</f>
        <v>478.33397271026246</v>
      </c>
      <c r="J4" s="15">
        <f>'[8]Solar Rev Req 2'!E$33*4</f>
        <v>492.68399189157032</v>
      </c>
      <c r="K4" s="15">
        <f>'[8]Solar Rev Req 2'!F$33*4</f>
        <v>507.46451164831745</v>
      </c>
      <c r="L4" s="15">
        <f>'[8]Solar Rev Req 2'!G$33*4</f>
        <v>523.23679488999892</v>
      </c>
      <c r="M4" s="15">
        <f>'[8]Solar Rev Req 2'!H$33*4</f>
        <v>539.21275415026912</v>
      </c>
      <c r="N4" s="15">
        <f>'[8]Solar Rev Req 2'!I$33*4</f>
        <v>555.71848177013658</v>
      </c>
      <c r="O4" s="15">
        <f>'[8]Solar Rev Req 2'!J$33*4</f>
        <v>572.77007853552323</v>
      </c>
      <c r="P4" s="15">
        <f>'[8]Solar Rev Req 2'!K$33*4</f>
        <v>590.38375279062268</v>
      </c>
      <c r="Q4" s="15">
        <f>'[8]Solar Rev Req 2'!L$33*4</f>
        <v>609.21150958809847</v>
      </c>
      <c r="R4" s="15">
        <f>'[8]Solar Rev Req 2'!M$33*4</f>
        <v>628.01748861695614</v>
      </c>
      <c r="S4" s="15">
        <f>'[8]Solar Rev Req 2'!N$33*4</f>
        <v>647.43545269082335</v>
      </c>
      <c r="T4" s="15">
        <f>'[8]Solar Rev Req 2'!O$33*4</f>
        <v>667.48215118260248</v>
      </c>
      <c r="U4" s="15">
        <f>'[8]Solar Rev Req 2'!P$33*4</f>
        <v>688.17451673998562</v>
      </c>
      <c r="V4" s="15">
        <f>'[8]Solar Rev Req 2'!Q$33*4</f>
        <v>710.37717063436628</v>
      </c>
      <c r="W4" s="15">
        <f>'[8]Solar Rev Req 2'!R$33*4</f>
        <v>732.43798833247047</v>
      </c>
      <c r="X4" s="15">
        <f>'[8]Solar Rev Req 2'!S$33*4</f>
        <v>755.19747304632654</v>
      </c>
      <c r="Y4" s="15">
        <f>'[8]Solar Rev Req 2'!T$33*4</f>
        <v>778.6736754018491</v>
      </c>
      <c r="Z4" s="15">
        <f>'[8]Solar Rev Req 2'!U$33*4</f>
        <v>802.88503145348898</v>
      </c>
      <c r="AA4" s="15">
        <f>'[8]Solar Rev Req 2'!V$33*4</f>
        <v>828.70472137185448</v>
      </c>
      <c r="AB4" s="15">
        <f>'[8]Solar Rev Req 2'!W$33*4</f>
        <v>854.46911854957102</v>
      </c>
      <c r="AC4" s="15">
        <f>'[8]Solar Rev Req 2'!X$33*4</f>
        <v>881.02757333578313</v>
      </c>
      <c r="AD4" s="15">
        <f>'[8]Solar Rev Req 2'!Y$33*4</f>
        <v>908.40060775053109</v>
      </c>
      <c r="AE4" s="15">
        <f>'[8]Solar Rev Req 2'!Z$33*4</f>
        <v>936.60939508596471</v>
      </c>
      <c r="AF4" s="15">
        <f>'[8]Solar Rev Req 2'!AA$33*4</f>
        <v>966.66619073978438</v>
      </c>
      <c r="AG4" s="15">
        <f>'[8]Solar Rev Req 2'!AB$33*4</f>
        <v>996.64258671450625</v>
      </c>
      <c r="AH4" s="15">
        <f>'[8]Solar Rev Req 2'!AC$33*4</f>
        <v>1027.5235833869856</v>
      </c>
      <c r="AI4" s="15">
        <f>'[8]Solar Rev Req 2'!AD$33*4</f>
        <v>1059.3335069492139</v>
      </c>
      <c r="AJ4" s="15">
        <f>'[8]Solar Rev Req 2'!AE$33*4</f>
        <v>1092.0975869726781</v>
      </c>
      <c r="AK4" s="214">
        <f>'[8]Solar Rev Req 2'!AF$33*4</f>
        <v>1126.9901187317187</v>
      </c>
      <c r="AL4" s="15">
        <f>'[8]Solar Rev Req 2'!AG$33*4</f>
        <v>0</v>
      </c>
      <c r="AM4" s="15">
        <f>'[8]Solar Rev Req 2'!AH$33*4</f>
        <v>0</v>
      </c>
      <c r="AN4" s="15">
        <f>'[8]Solar Rev Req 2'!AI$33*4</f>
        <v>0</v>
      </c>
      <c r="AO4" s="15">
        <f>'[8]Solar Rev Req 2'!AJ$33*4</f>
        <v>0</v>
      </c>
      <c r="AP4" s="15">
        <f>'[8]Solar Rev Req 2'!AK$33*4</f>
        <v>0</v>
      </c>
      <c r="AQ4" s="15">
        <f>'[8]Solar Rev Req 2'!AL$33*4</f>
        <v>0</v>
      </c>
      <c r="AR4" s="15">
        <f>'[8]Solar Rev Req 2'!AM$33*4</f>
        <v>0</v>
      </c>
      <c r="AS4" s="15">
        <f>'[8]Solar Rev Req 2'!AN$33*4</f>
        <v>0</v>
      </c>
      <c r="AT4" s="15">
        <f>'[8]Solar Rev Req 2'!AO$33*4</f>
        <v>0</v>
      </c>
      <c r="AU4" s="15">
        <f>'[8]Solar Rev Req 2'!AP$33*4</f>
        <v>0</v>
      </c>
      <c r="AV4" s="15">
        <f>'[8]Solar Rev Req 2'!AQ$33*4</f>
        <v>0</v>
      </c>
      <c r="AW4" s="15">
        <f>'[8]Solar Rev Req 2'!AR$33*4</f>
        <v>0</v>
      </c>
      <c r="AX4" s="15">
        <f>'[8]Solar Rev Req 2'!AS$33*4</f>
        <v>0</v>
      </c>
      <c r="AY4" s="15">
        <f>'[8]Solar Rev Req 2'!AT$33*4</f>
        <v>0</v>
      </c>
      <c r="AZ4" s="15">
        <f>'[8]Solar Rev Req 2'!AU$33*4</f>
        <v>0</v>
      </c>
      <c r="BA4" s="15">
        <f>'[8]Solar Rev Req 2'!AV$33*4</f>
        <v>0</v>
      </c>
      <c r="BB4" s="15">
        <f>'[8]Solar Rev Req 2'!AW$33*4</f>
        <v>0</v>
      </c>
    </row>
    <row r="5" spans="1:54">
      <c r="A5" s="395">
        <f>NPV('Financial Information'!$B$5,$E5:$AK5)*(1+'Financial Information'!$B$5)</f>
        <v>22704.605829723096</v>
      </c>
      <c r="B5" s="13">
        <f>NPV('Financial Information'!$B$5,$E5:$BB5)*(1+'Financial Information'!$B$5)</f>
        <v>22704.605829723096</v>
      </c>
      <c r="C5" s="1" t="s">
        <v>3</v>
      </c>
      <c r="D5" s="17">
        <v>0</v>
      </c>
      <c r="E5" s="17">
        <v>0</v>
      </c>
      <c r="F5" s="17">
        <v>0</v>
      </c>
      <c r="G5" s="17">
        <v>0</v>
      </c>
      <c r="H5" s="17">
        <f>'[8]Solar Rev Req 2'!C$31*4</f>
        <v>1639.242</v>
      </c>
      <c r="I5" s="17">
        <f>'[8]Solar Rev Req 2'!D$31*4</f>
        <v>1672.0268400000002</v>
      </c>
      <c r="J5" s="17">
        <f>'[8]Solar Rev Req 2'!E$31*4</f>
        <v>1705.4673768000002</v>
      </c>
      <c r="K5" s="17">
        <f>'[8]Solar Rev Req 2'!F$31*4</f>
        <v>1739.5767243360003</v>
      </c>
      <c r="L5" s="17">
        <f>'[8]Solar Rev Req 2'!G$31*4</f>
        <v>1774.3682588227202</v>
      </c>
      <c r="M5" s="17">
        <f>'[8]Solar Rev Req 2'!H$31*4</f>
        <v>1809.8556239991749</v>
      </c>
      <c r="N5" s="17">
        <f>'[8]Solar Rev Req 2'!I$31*4</f>
        <v>1846.0527364791583</v>
      </c>
      <c r="O5" s="17">
        <f>'[8]Solar Rev Req 2'!J$31*4</f>
        <v>1882.9737912087414</v>
      </c>
      <c r="P5" s="17">
        <f>'[8]Solar Rev Req 2'!K$31*4</f>
        <v>1920.6332670329164</v>
      </c>
      <c r="Q5" s="17">
        <f>'[8]Solar Rev Req 2'!L$31*4</f>
        <v>1959.0459323735747</v>
      </c>
      <c r="R5" s="17">
        <f>'[8]Solar Rev Req 2'!M$31*4</f>
        <v>1998.2268510210465</v>
      </c>
      <c r="S5" s="17">
        <f>'[8]Solar Rev Req 2'!N$31*4</f>
        <v>2038.1913880414675</v>
      </c>
      <c r="T5" s="17">
        <f>'[8]Solar Rev Req 2'!O$31*4</f>
        <v>2078.9552158022966</v>
      </c>
      <c r="U5" s="17">
        <f>'[8]Solar Rev Req 2'!P$31*4</f>
        <v>2120.5343201183432</v>
      </c>
      <c r="V5" s="17">
        <f>'[8]Solar Rev Req 2'!Q$31*4</f>
        <v>2162.9450065207097</v>
      </c>
      <c r="W5" s="17">
        <f>'[8]Solar Rev Req 2'!R$31*4</f>
        <v>2206.2039066511238</v>
      </c>
      <c r="X5" s="17">
        <f>'[8]Solar Rev Req 2'!S$31*4</f>
        <v>2250.3279847841468</v>
      </c>
      <c r="Y5" s="17">
        <f>'[8]Solar Rev Req 2'!T$31*4</f>
        <v>2295.3345444798292</v>
      </c>
      <c r="Z5" s="17">
        <f>'[8]Solar Rev Req 2'!U$31*4</f>
        <v>2341.2412353694258</v>
      </c>
      <c r="AA5" s="17">
        <f>'[8]Solar Rev Req 2'!V$31*4</f>
        <v>2388.0660600768142</v>
      </c>
      <c r="AB5" s="17">
        <f>'[8]Solar Rev Req 2'!W$31*4</f>
        <v>2435.8273812783505</v>
      </c>
      <c r="AC5" s="17">
        <f>'[8]Solar Rev Req 2'!X$31*4</f>
        <v>2484.5439289039173</v>
      </c>
      <c r="AD5" s="17">
        <f>'[8]Solar Rev Req 2'!Y$31*4</f>
        <v>2534.2348074819956</v>
      </c>
      <c r="AE5" s="17">
        <f>'[8]Solar Rev Req 2'!Z$31*4</f>
        <v>2584.919503631636</v>
      </c>
      <c r="AF5" s="17">
        <f>'[8]Solar Rev Req 2'!AA$31*4</f>
        <v>2636.6178937042691</v>
      </c>
      <c r="AG5" s="17">
        <f>'[8]Solar Rev Req 2'!AB$31*4</f>
        <v>2689.3502515783543</v>
      </c>
      <c r="AH5" s="17">
        <f>'[8]Solar Rev Req 2'!AC$31*4</f>
        <v>2743.1372566099212</v>
      </c>
      <c r="AI5" s="17">
        <f>'[8]Solar Rev Req 2'!AD$31*4</f>
        <v>2798.0000017421198</v>
      </c>
      <c r="AJ5" s="17">
        <f>'[8]Solar Rev Req 2'!AE$31*4</f>
        <v>2853.9600017769626</v>
      </c>
      <c r="AK5" s="396">
        <f>'[8]Solar Rev Req 2'!AF$31*4</f>
        <v>2911.0392018125012</v>
      </c>
      <c r="AL5" s="17">
        <f>'[8]Solar Rev Req 2'!AG$31*4</f>
        <v>0</v>
      </c>
      <c r="AM5" s="17">
        <f>'[8]Solar Rev Req 2'!AH$31*4</f>
        <v>0</v>
      </c>
      <c r="AN5" s="17">
        <f>'[8]Solar Rev Req 2'!AI$31*4</f>
        <v>0</v>
      </c>
      <c r="AO5" s="17">
        <f>'[8]Solar Rev Req 2'!AJ$31*4</f>
        <v>0</v>
      </c>
      <c r="AP5" s="17">
        <f>'[8]Solar Rev Req 2'!AK$31*4</f>
        <v>0</v>
      </c>
      <c r="AQ5" s="17">
        <f>'[8]Solar Rev Req 2'!AL$31*4</f>
        <v>0</v>
      </c>
      <c r="AR5" s="17">
        <f>'[8]Solar Rev Req 2'!AM$31*4</f>
        <v>0</v>
      </c>
      <c r="AS5" s="17">
        <f>'[8]Solar Rev Req 2'!AN$31*4</f>
        <v>0</v>
      </c>
      <c r="AT5" s="17">
        <f>'[8]Solar Rev Req 2'!AO$31*4</f>
        <v>0</v>
      </c>
      <c r="AU5" s="17">
        <f>'[8]Solar Rev Req 2'!AP$31*4</f>
        <v>0</v>
      </c>
      <c r="AV5" s="17">
        <f>'[8]Solar Rev Req 2'!AQ$31*4</f>
        <v>0</v>
      </c>
      <c r="AW5" s="17">
        <f>'[8]Solar Rev Req 2'!AR$31*4</f>
        <v>0</v>
      </c>
      <c r="AX5" s="17">
        <f>'[8]Solar Rev Req 2'!AS$31*4</f>
        <v>0</v>
      </c>
      <c r="AY5" s="17">
        <f>'[8]Solar Rev Req 2'!AT$31*4</f>
        <v>0</v>
      </c>
      <c r="AZ5" s="17">
        <f>'[8]Solar Rev Req 2'!AU$31*4</f>
        <v>0</v>
      </c>
      <c r="BA5" s="17">
        <f>'[8]Solar Rev Req 2'!AV$31*4</f>
        <v>0</v>
      </c>
      <c r="BB5" s="17">
        <f>'[8]Solar Rev Req 2'!AW$31*4</f>
        <v>0</v>
      </c>
    </row>
    <row r="6" spans="1:54">
      <c r="A6" s="38">
        <f>NPV('Financial Information'!$B$5,$E6:$AK6)*(1+'Financial Information'!$B$5)</f>
        <v>37851.12820836663</v>
      </c>
      <c r="B6" s="24">
        <f>NPV('Financial Information'!$B$5,$E6:$BB6)*(1+'Financial Information'!$B$5)</f>
        <v>37851.12820836663</v>
      </c>
      <c r="C6" s="6" t="s">
        <v>4</v>
      </c>
      <c r="D6" s="15">
        <v>0</v>
      </c>
      <c r="E6" s="15">
        <v>0</v>
      </c>
      <c r="F6" s="15">
        <v>0</v>
      </c>
      <c r="G6" s="15">
        <v>0</v>
      </c>
      <c r="H6" s="15">
        <f>'[8]Solar Rev Req 2'!C$30*4</f>
        <v>2493.9786370326838</v>
      </c>
      <c r="I6" s="15">
        <f>'[8]Solar Rev Req 2'!D$30*4</f>
        <v>2530.730635114252</v>
      </c>
      <c r="J6" s="15">
        <f>'[8]Solar Rev Req 2'!E$30*4</f>
        <v>2588.9565187007679</v>
      </c>
      <c r="K6" s="15">
        <f>'[8]Solar Rev Req 2'!F$30*4</f>
        <v>2648.6957662764426</v>
      </c>
      <c r="L6" s="15">
        <f>'[8]Solar Rev Req 2'!G$30*4</f>
        <v>2729.9889418035877</v>
      </c>
      <c r="M6" s="15">
        <f>'[8]Solar Rev Req 2'!H$30*4</f>
        <v>2998.879577944374</v>
      </c>
      <c r="N6" s="15">
        <f>'[8]Solar Rev Req 2'!I$30*4</f>
        <v>3070.1551809429598</v>
      </c>
      <c r="O6" s="15">
        <f>'[8]Solar Rev Req 2'!J$30*4</f>
        <v>3142.8846449024863</v>
      </c>
      <c r="P6" s="15">
        <f>'[8]Solar Rev Req 2'!K$30*4</f>
        <v>3217.1115309142347</v>
      </c>
      <c r="Q6" s="15">
        <f>'[8]Solar Rev Req 2'!L$30*4</f>
        <v>3312.8935505131976</v>
      </c>
      <c r="R6" s="15">
        <f>'[8]Solar Rev Req 2'!M$30*4</f>
        <v>3370.3013386237585</v>
      </c>
      <c r="S6" s="15">
        <f>'[8]Solar Rev Req 2'!N$30*4</f>
        <v>3449.4167372090201</v>
      </c>
      <c r="T6" s="15">
        <f>'[8]Solar Rev Req 2'!O$30*4</f>
        <v>3530.3307328250885</v>
      </c>
      <c r="U6" s="15">
        <f>'[8]Solar Rev Req 2'!P$30*4</f>
        <v>3782.981202516441</v>
      </c>
      <c r="V6" s="15">
        <f>'[8]Solar Rev Req 2'!Q$30*4</f>
        <v>3717.9506210869758</v>
      </c>
      <c r="W6" s="15">
        <f>'[8]Solar Rev Req 2'!R$30*4</f>
        <v>3784.8638700300899</v>
      </c>
      <c r="X6" s="15">
        <f>'[8]Solar Rev Req 2'!S$30*4</f>
        <v>3873.9862665011306</v>
      </c>
      <c r="Y6" s="15">
        <f>'[8]Solar Rev Req 2'!T$30*4</f>
        <v>3965.4219024710465</v>
      </c>
      <c r="Z6" s="15">
        <f>'[8]Solar Rev Req 2'!U$30*4</f>
        <v>4059.272352676046</v>
      </c>
      <c r="AA6" s="15">
        <f>'[8]Solar Rev Req 2'!V$30*4</f>
        <v>4175.6357781674678</v>
      </c>
      <c r="AB6" s="15">
        <f>'[8]Solar Rev Req 2'!W$30*4</f>
        <v>4254.6064228050664</v>
      </c>
      <c r="AC6" s="15">
        <f>'[8]Solar Rev Req 2'!X$30*4</f>
        <v>4356.2744749942058</v>
      </c>
      <c r="AD6" s="15">
        <f>'[8]Solar Rev Req 2'!Y$30*4</f>
        <v>4460.726247721851</v>
      </c>
      <c r="AE6" s="15">
        <f>'[8]Solar Rev Req 2'!Z$30*4</f>
        <v>4568.0446171543172</v>
      </c>
      <c r="AF6" s="15">
        <f>'[8]Solar Rev Req 2'!AA$30*4</f>
        <v>4698.309653703991</v>
      </c>
      <c r="AG6" s="15">
        <f>'[8]Solar Rev Req 2'!AB$30*4</f>
        <v>4791.5993789714348</v>
      </c>
      <c r="AH6" s="15">
        <f>'[8]Solar Rev Req 2'!AC$30*4</f>
        <v>4907.9905863298127</v>
      </c>
      <c r="AI6" s="15">
        <f>'[8]Solar Rev Req 2'!AD$30*4</f>
        <v>5027.5596709014117</v>
      </c>
      <c r="AJ6" s="15">
        <f>'[8]Solar Rev Req 2'!AE$30*4</f>
        <v>5150.3834249593219</v>
      </c>
      <c r="AK6" s="214">
        <f>'[8]Solar Rev Req 2'!AF$30*4</f>
        <v>5296.5397661075749</v>
      </c>
      <c r="AL6" s="15">
        <f>'[8]Solar Rev Req 2'!AG$30*4</f>
        <v>0</v>
      </c>
      <c r="AM6" s="15">
        <f>'[8]Solar Rev Req 2'!AH$30*4</f>
        <v>0</v>
      </c>
      <c r="AN6" s="15">
        <f>'[8]Solar Rev Req 2'!AI$30*4</f>
        <v>0</v>
      </c>
      <c r="AO6" s="15">
        <f>'[8]Solar Rev Req 2'!AJ$30*4</f>
        <v>0</v>
      </c>
      <c r="AP6" s="15">
        <f>'[8]Solar Rev Req 2'!AK$30*4</f>
        <v>0</v>
      </c>
      <c r="AQ6" s="15">
        <f>'[8]Solar Rev Req 2'!AL$30*4</f>
        <v>0</v>
      </c>
      <c r="AR6" s="15">
        <f>'[8]Solar Rev Req 2'!AM$30*4</f>
        <v>0</v>
      </c>
      <c r="AS6" s="15">
        <f>'[8]Solar Rev Req 2'!AN$30*4</f>
        <v>0</v>
      </c>
      <c r="AT6" s="15">
        <f>'[8]Solar Rev Req 2'!AO$30*4</f>
        <v>0</v>
      </c>
      <c r="AU6" s="15">
        <f>'[8]Solar Rev Req 2'!AP$30*4</f>
        <v>0</v>
      </c>
      <c r="AV6" s="15">
        <f>'[8]Solar Rev Req 2'!AQ$30*4</f>
        <v>0</v>
      </c>
      <c r="AW6" s="15">
        <f>'[8]Solar Rev Req 2'!AR$30*4</f>
        <v>0</v>
      </c>
      <c r="AX6" s="15">
        <f>'[8]Solar Rev Req 2'!AS$30*4</f>
        <v>0</v>
      </c>
      <c r="AY6" s="15">
        <f>'[8]Solar Rev Req 2'!AT$30*4</f>
        <v>0</v>
      </c>
      <c r="AZ6" s="15">
        <f>'[8]Solar Rev Req 2'!AU$30*4</f>
        <v>0</v>
      </c>
      <c r="BA6" s="15">
        <f>'[8]Solar Rev Req 2'!AV$30*4</f>
        <v>0</v>
      </c>
      <c r="BB6" s="15">
        <f>'[8]Solar Rev Req 2'!AW$30*4</f>
        <v>0</v>
      </c>
    </row>
    <row r="7" spans="1:54">
      <c r="A7" s="38">
        <f>NPV('Financial Information'!$B$5,$E7:$AK7)*(1+'Financial Information'!$B$5)</f>
        <v>39119.262856534158</v>
      </c>
      <c r="B7" s="24">
        <f>NPV('Financial Information'!$B$5,$E7:$BB7)*(1+'Financial Information'!$B$5)</f>
        <v>40392.761229428696</v>
      </c>
      <c r="C7" s="6" t="s">
        <v>38</v>
      </c>
      <c r="D7" s="15">
        <v>0</v>
      </c>
      <c r="E7" s="15">
        <v>0</v>
      </c>
      <c r="F7" s="15">
        <v>0</v>
      </c>
      <c r="G7" s="15">
        <v>0</v>
      </c>
      <c r="H7" s="15">
        <f>('[8]NetUp Rev Req 2'!C$36*4)-SUM(H8:H9)</f>
        <v>4702.5776047139998</v>
      </c>
      <c r="I7" s="15">
        <f>('[8]NetUp Rev Req 2'!D$36*4)-SUM(I8:I9)</f>
        <v>4564.7755666271996</v>
      </c>
      <c r="J7" s="15">
        <f>('[8]NetUp Rev Req 2'!E$36*4)-SUM(J8:J9)</f>
        <v>4410.2361088342795</v>
      </c>
      <c r="K7" s="15">
        <f>('[8]NetUp Rev Req 2'!F$36*4)-SUM(K8:K9)</f>
        <v>4264.1832300472797</v>
      </c>
      <c r="L7" s="15">
        <f>('[8]NetUp Rev Req 2'!G$36*4)-SUM(L8:L9)</f>
        <v>4125.768272365608</v>
      </c>
      <c r="M7" s="15">
        <f>('[8]NetUp Rev Req 2'!H$36*4)-SUM(M8:M9)</f>
        <v>3994.2840208721041</v>
      </c>
      <c r="N7" s="15">
        <f>('[8]NetUp Rev Req 2'!I$36*4)-SUM(N8:N9)</f>
        <v>3867.6559784764313</v>
      </c>
      <c r="O7" s="15">
        <f>('[8]NetUp Rev Req 2'!J$36*4)-SUM(O8:O9)</f>
        <v>3742.583808898512</v>
      </c>
      <c r="P7" s="15">
        <f>('[8]NetUp Rev Req 2'!K$36*4)-SUM(P8:P9)</f>
        <v>3617.464491659448</v>
      </c>
      <c r="Q7" s="15">
        <f>('[8]NetUp Rev Req 2'!L$36*4)-SUM(Q8:Q9)</f>
        <v>3492.345174420384</v>
      </c>
      <c r="R7" s="15">
        <f>('[8]NetUp Rev Req 2'!M$36*4)-SUM(R8:R9)</f>
        <v>3367.2258571813204</v>
      </c>
      <c r="S7" s="15">
        <f>('[8]NetUp Rev Req 2'!N$36*4)-SUM(S8:S9)</f>
        <v>3242.1065399422564</v>
      </c>
      <c r="T7" s="15">
        <f>('[8]NetUp Rev Req 2'!O$36*4)-SUM(T8:T9)</f>
        <v>3116.9872227031924</v>
      </c>
      <c r="U7" s="15">
        <f>('[8]NetUp Rev Req 2'!P$36*4)-SUM(U8:U9)</f>
        <v>2991.8679054641279</v>
      </c>
      <c r="V7" s="15">
        <f>('[8]NetUp Rev Req 2'!Q$36*4)-SUM(V8:V9)</f>
        <v>2866.7485882250639</v>
      </c>
      <c r="W7" s="15">
        <f>('[8]NetUp Rev Req 2'!R$36*4)-SUM(W8:W9)</f>
        <v>2755.5378310234805</v>
      </c>
      <c r="X7" s="15">
        <f>('[8]NetUp Rev Req 2'!S$36*4)-SUM(X8:X9)</f>
        <v>2672.1913415580002</v>
      </c>
      <c r="Y7" s="15">
        <f>('[8]NetUp Rev Req 2'!T$36*4)-SUM(Y8:Y9)</f>
        <v>2602.75341213</v>
      </c>
      <c r="Z7" s="15">
        <f>('[8]NetUp Rev Req 2'!U$36*4)-SUM(Z8:Z9)</f>
        <v>2533.3154827019998</v>
      </c>
      <c r="AA7" s="15">
        <f>('[8]NetUp Rev Req 2'!V$36*4)-SUM(AA8:AA9)</f>
        <v>2463.8775532740001</v>
      </c>
      <c r="AB7" s="15">
        <f>('[8]NetUp Rev Req 2'!W$36*4)-SUM(AB8:AB9)</f>
        <v>2394.4396238459994</v>
      </c>
      <c r="AC7" s="15">
        <f>('[8]NetUp Rev Req 2'!X$36*4)-SUM(AC8:AC9)</f>
        <v>2325.0016944179997</v>
      </c>
      <c r="AD7" s="15">
        <f>('[8]NetUp Rev Req 2'!Y$36*4)-SUM(AD8:AD9)</f>
        <v>2255.5637649899991</v>
      </c>
      <c r="AE7" s="15">
        <f>('[8]NetUp Rev Req 2'!Z$36*4)-SUM(AE8:AE9)</f>
        <v>2186.1258355619993</v>
      </c>
      <c r="AF7" s="15">
        <f>('[8]NetUp Rev Req 2'!AA$36*4)-SUM(AF8:AF9)</f>
        <v>2116.6879061339991</v>
      </c>
      <c r="AG7" s="15">
        <f>('[8]NetUp Rev Req 2'!AB$36*4)-SUM(AG8:AG9)</f>
        <v>2047.2499767059992</v>
      </c>
      <c r="AH7" s="15">
        <f>('[8]NetUp Rev Req 2'!AC$36*4)-SUM(AH8:AH9)</f>
        <v>1977.8120472779988</v>
      </c>
      <c r="AI7" s="15">
        <f>('[8]NetUp Rev Req 2'!AD$36*4)-SUM(AI8:AI9)</f>
        <v>1908.3741178499986</v>
      </c>
      <c r="AJ7" s="15">
        <f>('[8]NetUp Rev Req 2'!AE$36*4)-SUM(AJ8:AJ9)</f>
        <v>1838.9361884219986</v>
      </c>
      <c r="AK7" s="214">
        <f>('[8]NetUp Rev Req 2'!AF$36*4)-SUM(AK8:AK9)</f>
        <v>1769.4982589939982</v>
      </c>
      <c r="AL7" s="15">
        <f>('[8]NetUp Rev Req 2'!AG$36*4)-SUM(AL8:AL9)</f>
        <v>1700.0603295659985</v>
      </c>
      <c r="AM7" s="15">
        <f>('[8]NetUp Rev Req 2'!AH$36*4)-SUM(AM8:AM9)</f>
        <v>1630.6224001379985</v>
      </c>
      <c r="AN7" s="15">
        <f>('[8]NetUp Rev Req 2'!AI$36*4)-SUM(AN8:AN9)</f>
        <v>1561.1844707099983</v>
      </c>
      <c r="AO7" s="15">
        <f>('[8]NetUp Rev Req 2'!AJ$36*4)-SUM(AO8:AO9)</f>
        <v>1491.7465412819979</v>
      </c>
      <c r="AP7" s="15">
        <f>('[8]NetUp Rev Req 2'!AK$36*4)-SUM(AP8:AP9)</f>
        <v>1422.3086118539977</v>
      </c>
      <c r="AQ7" s="15">
        <f>('[8]NetUp Rev Req 2'!AL$36*4)-SUM(AQ8:AQ9)</f>
        <v>1352.8706824259982</v>
      </c>
      <c r="AR7" s="15">
        <f>('[8]NetUp Rev Req 2'!AM$36*4)-SUM(AR8:AR9)</f>
        <v>1283.432752997998</v>
      </c>
      <c r="AS7" s="15">
        <f>('[8]NetUp Rev Req 2'!AN$36*4)-SUM(AS8:AS9)</f>
        <v>1213.9948235699978</v>
      </c>
      <c r="AT7" s="15">
        <f>('[8]NetUp Rev Req 2'!AO$36*4)-SUM(AT8:AT9)</f>
        <v>1144.5568941419974</v>
      </c>
      <c r="AU7" s="15">
        <f>('[8]NetUp Rev Req 2'!AP$36*4)-SUM(AU8:AU9)</f>
        <v>1075.1189647139731</v>
      </c>
      <c r="AV7" s="15">
        <f>('[8]NetUp Rev Req 2'!AQ$36*4)-SUM(AV8:AV9)</f>
        <v>0</v>
      </c>
      <c r="AW7" s="15">
        <f>('[8]NetUp Rev Req 2'!AR$36*4)-SUM(AW8:AW9)</f>
        <v>0</v>
      </c>
      <c r="AX7" s="15">
        <f>('[8]NetUp Rev Req 2'!AS$36*4)-SUM(AX8:AX9)</f>
        <v>0</v>
      </c>
      <c r="AY7" s="15">
        <f>('[8]NetUp Rev Req 2'!AT$36*4)-SUM(AY8:AY9)</f>
        <v>0</v>
      </c>
      <c r="AZ7" s="15">
        <f>('[8]NetUp Rev Req 2'!AU$36*4)-SUM(AZ8:AZ9)</f>
        <v>0</v>
      </c>
      <c r="BA7" s="15">
        <f>('[8]NetUp Rev Req 2'!AV$36*4)-SUM(BA8:BA9)</f>
        <v>0</v>
      </c>
      <c r="BB7" s="15">
        <f>('[8]NetUp Rev Req 2'!AW$36*4)-SUM(BB8:BB9)</f>
        <v>0</v>
      </c>
    </row>
    <row r="8" spans="1:54">
      <c r="A8" s="38">
        <f>NPV('Financial Information'!$B$5,$E8:$AK8)*(1+'Financial Information'!$B$5)</f>
        <v>3637.5258877588267</v>
      </c>
      <c r="B8" s="24">
        <f>NPV('Financial Information'!$B$5,$E8:$BB8)*(1+'Financial Information'!$B$5)</f>
        <v>3926.9442997751307</v>
      </c>
      <c r="C8" s="6" t="s">
        <v>39</v>
      </c>
      <c r="D8" s="15">
        <v>0</v>
      </c>
      <c r="E8" s="15">
        <v>0</v>
      </c>
      <c r="F8" s="15">
        <v>0</v>
      </c>
      <c r="G8" s="15">
        <v>0</v>
      </c>
      <c r="H8" s="15">
        <f>'[8]NetUp Rev Req 2'!C$34*4</f>
        <v>323.730864</v>
      </c>
      <c r="I8" s="15">
        <f>'[8]NetUp Rev Req 2'!D$34*4</f>
        <v>323.730864</v>
      </c>
      <c r="J8" s="15">
        <f>'[8]NetUp Rev Req 2'!E$34*4</f>
        <v>323.730864</v>
      </c>
      <c r="K8" s="15">
        <f>'[8]NetUp Rev Req 2'!F$34*4</f>
        <v>323.730864</v>
      </c>
      <c r="L8" s="15">
        <f>'[8]NetUp Rev Req 2'!G$34*4</f>
        <v>323.730864</v>
      </c>
      <c r="M8" s="15">
        <f>'[8]NetUp Rev Req 2'!H$34*4</f>
        <v>323.730864</v>
      </c>
      <c r="N8" s="15">
        <f>'[8]NetUp Rev Req 2'!I$34*4</f>
        <v>323.730864</v>
      </c>
      <c r="O8" s="15">
        <f>'[8]NetUp Rev Req 2'!J$34*4</f>
        <v>323.730864</v>
      </c>
      <c r="P8" s="15">
        <f>'[8]NetUp Rev Req 2'!K$34*4</f>
        <v>323.730864</v>
      </c>
      <c r="Q8" s="15">
        <f>'[8]NetUp Rev Req 2'!L$34*4</f>
        <v>323.730864</v>
      </c>
      <c r="R8" s="15">
        <f>'[8]NetUp Rev Req 2'!M$34*4</f>
        <v>323.730864</v>
      </c>
      <c r="S8" s="15">
        <f>'[8]NetUp Rev Req 2'!N$34*4</f>
        <v>323.730864</v>
      </c>
      <c r="T8" s="15">
        <f>'[8]NetUp Rev Req 2'!O$34*4</f>
        <v>323.730864</v>
      </c>
      <c r="U8" s="15">
        <f>'[8]NetUp Rev Req 2'!P$34*4</f>
        <v>323.730864</v>
      </c>
      <c r="V8" s="15">
        <f>'[8]NetUp Rev Req 2'!Q$34*4</f>
        <v>323.730864</v>
      </c>
      <c r="W8" s="15">
        <f>'[8]NetUp Rev Req 2'!R$34*4</f>
        <v>323.730864</v>
      </c>
      <c r="X8" s="15">
        <f>'[8]NetUp Rev Req 2'!S$34*4</f>
        <v>323.730864</v>
      </c>
      <c r="Y8" s="15">
        <f>'[8]NetUp Rev Req 2'!T$34*4</f>
        <v>323.730864</v>
      </c>
      <c r="Z8" s="15">
        <f>'[8]NetUp Rev Req 2'!U$34*4</f>
        <v>323.730864</v>
      </c>
      <c r="AA8" s="15">
        <f>'[8]NetUp Rev Req 2'!V$34*4</f>
        <v>323.730864</v>
      </c>
      <c r="AB8" s="15">
        <f>'[8]NetUp Rev Req 2'!W$34*4</f>
        <v>323.730864</v>
      </c>
      <c r="AC8" s="15">
        <f>'[8]NetUp Rev Req 2'!X$34*4</f>
        <v>323.730864</v>
      </c>
      <c r="AD8" s="15">
        <f>'[8]NetUp Rev Req 2'!Y$34*4</f>
        <v>323.730864</v>
      </c>
      <c r="AE8" s="15">
        <f>'[8]NetUp Rev Req 2'!Z$34*4</f>
        <v>323.730864</v>
      </c>
      <c r="AF8" s="15">
        <f>'[8]NetUp Rev Req 2'!AA$34*4</f>
        <v>323.730864</v>
      </c>
      <c r="AG8" s="15">
        <f>'[8]NetUp Rev Req 2'!AB$34*4</f>
        <v>323.730864</v>
      </c>
      <c r="AH8" s="15">
        <f>'[8]NetUp Rev Req 2'!AC$34*4</f>
        <v>323.730864</v>
      </c>
      <c r="AI8" s="15">
        <f>'[8]NetUp Rev Req 2'!AD$34*4</f>
        <v>323.730864</v>
      </c>
      <c r="AJ8" s="15">
        <f>'[8]NetUp Rev Req 2'!AE$34*4</f>
        <v>323.730864</v>
      </c>
      <c r="AK8" s="214">
        <f>'[8]NetUp Rev Req 2'!AF$34*4</f>
        <v>323.730864</v>
      </c>
      <c r="AL8" s="15">
        <f>'[8]NetUp Rev Req 2'!AG$34*4</f>
        <v>323.730864</v>
      </c>
      <c r="AM8" s="15">
        <f>'[8]NetUp Rev Req 2'!AH$34*4</f>
        <v>323.730864</v>
      </c>
      <c r="AN8" s="15">
        <f>'[8]NetUp Rev Req 2'!AI$34*4</f>
        <v>323.730864</v>
      </c>
      <c r="AO8" s="15">
        <f>'[8]NetUp Rev Req 2'!AJ$34*4</f>
        <v>323.730864</v>
      </c>
      <c r="AP8" s="15">
        <f>'[8]NetUp Rev Req 2'!AK$34*4</f>
        <v>323.730864</v>
      </c>
      <c r="AQ8" s="15">
        <f>'[8]NetUp Rev Req 2'!AL$34*4</f>
        <v>323.730864</v>
      </c>
      <c r="AR8" s="15">
        <f>'[8]NetUp Rev Req 2'!AM$34*4</f>
        <v>323.730864</v>
      </c>
      <c r="AS8" s="15">
        <f>'[8]NetUp Rev Req 2'!AN$34*4</f>
        <v>323.730864</v>
      </c>
      <c r="AT8" s="15">
        <f>'[8]NetUp Rev Req 2'!AO$34*4</f>
        <v>323.730864</v>
      </c>
      <c r="AU8" s="15">
        <f>'[8]NetUp Rev Req 2'!AP$34*4</f>
        <v>323.730864</v>
      </c>
      <c r="AV8" s="15">
        <f>'[8]NetUp Rev Req 2'!AQ$34*4</f>
        <v>0</v>
      </c>
      <c r="AW8" s="15">
        <f>'[8]NetUp Rev Req 2'!AR$34*4</f>
        <v>0</v>
      </c>
      <c r="AX8" s="15">
        <f>'[8]NetUp Rev Req 2'!AS$34*4</f>
        <v>0</v>
      </c>
      <c r="AY8" s="15">
        <f>'[8]NetUp Rev Req 2'!AT$34*4</f>
        <v>0</v>
      </c>
      <c r="AZ8" s="15">
        <f>'[8]NetUp Rev Req 2'!AU$34*4</f>
        <v>0</v>
      </c>
      <c r="BA8" s="15">
        <f>'[8]NetUp Rev Req 2'!AV$34*4</f>
        <v>0</v>
      </c>
      <c r="BB8" s="15">
        <f>'[8]NetUp Rev Req 2'!AW$34*4</f>
        <v>0</v>
      </c>
    </row>
    <row r="9" spans="1:54">
      <c r="A9" s="386">
        <f>NPV('Financial Information'!$B$5,$E9:$AK9)*(1+'Financial Information'!$B$5)</f>
        <v>785.9002771207596</v>
      </c>
      <c r="B9" s="386">
        <f>NPV('Financial Information'!$B$5,$E9:$BB9)*(1+'Financial Information'!$B$5)</f>
        <v>910.02410162414867</v>
      </c>
      <c r="C9" s="12" t="s">
        <v>40</v>
      </c>
      <c r="D9" s="389">
        <v>0</v>
      </c>
      <c r="E9" s="389">
        <v>0</v>
      </c>
      <c r="F9" s="389">
        <v>0</v>
      </c>
      <c r="G9" s="389">
        <v>0</v>
      </c>
      <c r="H9" s="389">
        <f>'[8]NetUp Rev Req 2'!C$35*4</f>
        <v>50.688287999999993</v>
      </c>
      <c r="I9" s="389">
        <f>'[8]NetUp Rev Req 2'!D$35*4</f>
        <v>52.208936639999997</v>
      </c>
      <c r="J9" s="389">
        <f>'[8]NetUp Rev Req 2'!E$35*4</f>
        <v>53.775204739199992</v>
      </c>
      <c r="K9" s="389">
        <f>'[8]NetUp Rev Req 2'!F$35*4</f>
        <v>55.388460881375991</v>
      </c>
      <c r="L9" s="389">
        <f>'[8]NetUp Rev Req 2'!G$35*4</f>
        <v>57.050114707817265</v>
      </c>
      <c r="M9" s="389">
        <f>'[8]NetUp Rev Req 2'!H$35*4</f>
        <v>58.761618149051785</v>
      </c>
      <c r="N9" s="389">
        <f>'[8]NetUp Rev Req 2'!I$35*4</f>
        <v>60.524466693523337</v>
      </c>
      <c r="O9" s="389">
        <f>'[8]NetUp Rev Req 2'!J$35*4</f>
        <v>62.340200694329042</v>
      </c>
      <c r="P9" s="389">
        <f>'[8]NetUp Rev Req 2'!K$35*4</f>
        <v>64.210406715158911</v>
      </c>
      <c r="Q9" s="389">
        <f>'[8]NetUp Rev Req 2'!L$35*4</f>
        <v>66.136718916613674</v>
      </c>
      <c r="R9" s="389">
        <f>'[8]NetUp Rev Req 2'!M$35*4</f>
        <v>68.120820484112087</v>
      </c>
      <c r="S9" s="389">
        <f>'[8]NetUp Rev Req 2'!N$35*4</f>
        <v>70.164445098635454</v>
      </c>
      <c r="T9" s="389">
        <f>'[8]NetUp Rev Req 2'!O$35*4</f>
        <v>72.269378451594505</v>
      </c>
      <c r="U9" s="389">
        <f>'[8]NetUp Rev Req 2'!P$35*4</f>
        <v>74.437459805142339</v>
      </c>
      <c r="V9" s="389">
        <f>'[8]NetUp Rev Req 2'!Q$35*4</f>
        <v>76.67058359929662</v>
      </c>
      <c r="W9" s="389">
        <f>'[8]NetUp Rev Req 2'!R$35*4</f>
        <v>78.970701107275517</v>
      </c>
      <c r="X9" s="389">
        <f>'[8]NetUp Rev Req 2'!S$35*4</f>
        <v>81.339822140493766</v>
      </c>
      <c r="Y9" s="389">
        <f>'[8]NetUp Rev Req 2'!T$35*4</f>
        <v>83.78001680470858</v>
      </c>
      <c r="Z9" s="389">
        <f>'[8]NetUp Rev Req 2'!U$35*4</f>
        <v>86.29341730884984</v>
      </c>
      <c r="AA9" s="389">
        <f>'[8]NetUp Rev Req 2'!V$35*4</f>
        <v>88.882219828115339</v>
      </c>
      <c r="AB9" s="389">
        <f>'[8]NetUp Rev Req 2'!W$35*4</f>
        <v>91.548686422958795</v>
      </c>
      <c r="AC9" s="389">
        <f>'[8]NetUp Rev Req 2'!X$35*4</f>
        <v>94.295147015647544</v>
      </c>
      <c r="AD9" s="389">
        <f>'[8]NetUp Rev Req 2'!Y$35*4</f>
        <v>97.124001426116976</v>
      </c>
      <c r="AE9" s="389">
        <f>'[8]NetUp Rev Req 2'!Z$35*4</f>
        <v>100.0377214689005</v>
      </c>
      <c r="AF9" s="389">
        <f>'[8]NetUp Rev Req 2'!AA$35*4</f>
        <v>103.03885311296749</v>
      </c>
      <c r="AG9" s="389">
        <f>'[8]NetUp Rev Req 2'!AB$35*4</f>
        <v>106.13001870635652</v>
      </c>
      <c r="AH9" s="389">
        <f>'[8]NetUp Rev Req 2'!AC$35*4</f>
        <v>109.31391926754723</v>
      </c>
      <c r="AI9" s="389">
        <f>'[8]NetUp Rev Req 2'!AD$35*4</f>
        <v>112.59333684557363</v>
      </c>
      <c r="AJ9" s="389">
        <f>'[8]NetUp Rev Req 2'!AE$35*4</f>
        <v>115.97113695094085</v>
      </c>
      <c r="AK9" s="398">
        <f>'[8]NetUp Rev Req 2'!AF$35*4</f>
        <v>119.45027105946906</v>
      </c>
      <c r="AL9" s="389">
        <f>'[8]NetUp Rev Req 2'!AG$35*4</f>
        <v>123.03377919125313</v>
      </c>
      <c r="AM9" s="389">
        <f>'[8]NetUp Rev Req 2'!AH$35*4</f>
        <v>126.72479256699074</v>
      </c>
      <c r="AN9" s="389">
        <f>'[8]NetUp Rev Req 2'!AI$35*4</f>
        <v>130.52653634400045</v>
      </c>
      <c r="AO9" s="389">
        <f>'[8]NetUp Rev Req 2'!AJ$35*4</f>
        <v>134.44233243432046</v>
      </c>
      <c r="AP9" s="389">
        <f>'[8]NetUp Rev Req 2'!AK$35*4</f>
        <v>138.47560240735004</v>
      </c>
      <c r="AQ9" s="389">
        <f>'[8]NetUp Rev Req 2'!AL$35*4</f>
        <v>142.62987047957057</v>
      </c>
      <c r="AR9" s="389">
        <f>'[8]NetUp Rev Req 2'!AM$35*4</f>
        <v>146.90876659395769</v>
      </c>
      <c r="AS9" s="389">
        <f>'[8]NetUp Rev Req 2'!AN$35*4</f>
        <v>151.31602959177638</v>
      </c>
      <c r="AT9" s="389">
        <f>'[8]NetUp Rev Req 2'!AO$35*4</f>
        <v>155.85551047952967</v>
      </c>
      <c r="AU9" s="389">
        <f>'[8]NetUp Rev Req 2'!AP$35*4</f>
        <v>160.53117579391559</v>
      </c>
      <c r="AV9" s="389">
        <f>'[8]NetUp Rev Req 2'!AQ$35*4</f>
        <v>0</v>
      </c>
      <c r="AW9" s="389">
        <f>'[8]NetUp Rev Req 2'!AR$35*4</f>
        <v>0</v>
      </c>
      <c r="AX9" s="389">
        <f>'[8]NetUp Rev Req 2'!AS$35*4</f>
        <v>0</v>
      </c>
      <c r="AY9" s="389">
        <f>'[8]NetUp Rev Req 2'!AT$35*4</f>
        <v>0</v>
      </c>
      <c r="AZ9" s="389">
        <f>'[8]NetUp Rev Req 2'!AU$35*4</f>
        <v>0</v>
      </c>
      <c r="BA9" s="389">
        <f>'[8]NetUp Rev Req 2'!AV$35*4</f>
        <v>0</v>
      </c>
      <c r="BB9" s="389">
        <f>'[8]NetUp Rev Req 2'!AW$35*4</f>
        <v>0</v>
      </c>
    </row>
    <row r="10" spans="1:54">
      <c r="A10" s="24">
        <f>SUM(A2:A9)</f>
        <v>454434.90689227439</v>
      </c>
      <c r="B10" s="24">
        <f>SUM(B2:B9)</f>
        <v>456121.94750168861</v>
      </c>
      <c r="D10" s="16">
        <f t="shared" ref="D10:AK10" si="1">SUM(D2:D9)</f>
        <v>0</v>
      </c>
      <c r="E10" s="16">
        <f t="shared" si="1"/>
        <v>0</v>
      </c>
      <c r="F10" s="16">
        <f t="shared" si="1"/>
        <v>0</v>
      </c>
      <c r="G10" s="16">
        <f t="shared" si="1"/>
        <v>0</v>
      </c>
      <c r="H10" s="16">
        <f t="shared" si="1"/>
        <v>57765.046736028962</v>
      </c>
      <c r="I10" s="16">
        <f t="shared" si="1"/>
        <v>54818.094544190186</v>
      </c>
      <c r="J10" s="16">
        <f t="shared" si="1"/>
        <v>51912.883585519812</v>
      </c>
      <c r="K10" s="16">
        <f t="shared" si="1"/>
        <v>49756.926456556168</v>
      </c>
      <c r="L10" s="16">
        <f t="shared" si="1"/>
        <v>43775.006189936692</v>
      </c>
      <c r="M10" s="16">
        <f t="shared" si="1"/>
        <v>42371.970414269679</v>
      </c>
      <c r="N10" s="16">
        <f t="shared" si="1"/>
        <v>41192.378224872598</v>
      </c>
      <c r="O10" s="16">
        <f t="shared" si="1"/>
        <v>40231.482739966101</v>
      </c>
      <c r="P10" s="16">
        <f t="shared" si="1"/>
        <v>39276.13096030226</v>
      </c>
      <c r="Q10" s="16">
        <f t="shared" si="1"/>
        <v>38363.530688898747</v>
      </c>
      <c r="R10" s="16">
        <f t="shared" si="1"/>
        <v>37413.48501960771</v>
      </c>
      <c r="S10" s="16">
        <f t="shared" si="1"/>
        <v>36456.900468229818</v>
      </c>
      <c r="T10" s="16">
        <f t="shared" si="1"/>
        <v>35504.909065039275</v>
      </c>
      <c r="U10" s="16">
        <f t="shared" si="1"/>
        <v>34726.948096424283</v>
      </c>
      <c r="V10" s="16">
        <f t="shared" si="1"/>
        <v>33669.004448756117</v>
      </c>
      <c r="W10" s="16">
        <f t="shared" si="1"/>
        <v>35247.000370760383</v>
      </c>
      <c r="X10" s="16">
        <f t="shared" si="1"/>
        <v>34146.632105689627</v>
      </c>
      <c r="Y10" s="16">
        <f t="shared" si="1"/>
        <v>33000.587423442768</v>
      </c>
      <c r="Z10" s="16">
        <f t="shared" si="1"/>
        <v>31858.0561195964</v>
      </c>
      <c r="AA10" s="16">
        <f t="shared" si="1"/>
        <v>30835.290159028322</v>
      </c>
      <c r="AB10" s="16">
        <f t="shared" si="1"/>
        <v>30024.712462920856</v>
      </c>
      <c r="AC10" s="16">
        <f t="shared" si="1"/>
        <v>28965.157686049937</v>
      </c>
      <c r="AD10" s="16">
        <f t="shared" si="1"/>
        <v>28173.186890589554</v>
      </c>
      <c r="AE10" s="16">
        <f t="shared" si="1"/>
        <v>27188.790954115768</v>
      </c>
      <c r="AF10" s="16">
        <f t="shared" si="1"/>
        <v>26454.560624975536</v>
      </c>
      <c r="AG10" s="16">
        <f t="shared" si="1"/>
        <v>25537.842190658339</v>
      </c>
      <c r="AH10" s="16">
        <f t="shared" si="1"/>
        <v>24691.739287443706</v>
      </c>
      <c r="AI10" s="16">
        <f t="shared" si="1"/>
        <v>23914.507602160931</v>
      </c>
      <c r="AJ10" s="16">
        <f t="shared" si="1"/>
        <v>23140.798875208544</v>
      </c>
      <c r="AK10" s="211">
        <f t="shared" si="1"/>
        <v>29553.696699650875</v>
      </c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</row>
    <row r="11" spans="1:54">
      <c r="A11" s="2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54">
      <c r="A12" s="390"/>
      <c r="B12" s="6">
        <f>74.9*4</f>
        <v>299.60000000000002</v>
      </c>
      <c r="C12" s="6" t="str">
        <f>C6&amp;" $/kw"</f>
        <v>O&amp;M $/kw</v>
      </c>
      <c r="E12" s="25">
        <f>E6/55</f>
        <v>0</v>
      </c>
      <c r="F12" s="25">
        <f t="shared" ref="F12:G12" si="2">F6/55</f>
        <v>0</v>
      </c>
      <c r="G12" s="25">
        <f t="shared" si="2"/>
        <v>0</v>
      </c>
      <c r="H12" s="25">
        <f>H6/$B$12</f>
        <v>8.3243612718046851</v>
      </c>
      <c r="I12" s="25">
        <f t="shared" ref="I12:AL12" si="3">I6/$B$12</f>
        <v>8.447031492370666</v>
      </c>
      <c r="J12" s="25">
        <f t="shared" si="3"/>
        <v>8.6413768982001589</v>
      </c>
      <c r="K12" s="25">
        <f t="shared" si="3"/>
        <v>8.8407735857024115</v>
      </c>
      <c r="L12" s="25">
        <f t="shared" si="3"/>
        <v>9.1121126228424156</v>
      </c>
      <c r="M12" s="25">
        <f t="shared" si="3"/>
        <v>10.009611408359058</v>
      </c>
      <c r="N12" s="25">
        <f t="shared" si="3"/>
        <v>10.24751395508331</v>
      </c>
      <c r="O12" s="25">
        <f t="shared" si="3"/>
        <v>10.490269175241943</v>
      </c>
      <c r="P12" s="25">
        <f t="shared" si="3"/>
        <v>10.738022466335895</v>
      </c>
      <c r="Q12" s="25">
        <f t="shared" si="3"/>
        <v>11.05772213121895</v>
      </c>
      <c r="R12" s="25">
        <f t="shared" si="3"/>
        <v>11.249336911294254</v>
      </c>
      <c r="S12" s="25">
        <f t="shared" si="3"/>
        <v>11.513407000030107</v>
      </c>
      <c r="T12" s="25">
        <f t="shared" si="3"/>
        <v>11.783480416639147</v>
      </c>
      <c r="U12" s="25">
        <f t="shared" si="3"/>
        <v>12.626773039106945</v>
      </c>
      <c r="V12" s="25">
        <f t="shared" si="3"/>
        <v>12.409715023654792</v>
      </c>
      <c r="W12" s="25">
        <f t="shared" si="3"/>
        <v>12.63305697606839</v>
      </c>
      <c r="X12" s="25">
        <f t="shared" si="3"/>
        <v>12.930528259349567</v>
      </c>
      <c r="Y12" s="25">
        <f t="shared" si="3"/>
        <v>13.235720635751155</v>
      </c>
      <c r="Z12" s="25">
        <f t="shared" si="3"/>
        <v>13.548973139773183</v>
      </c>
      <c r="AA12" s="25">
        <f t="shared" si="3"/>
        <v>13.937369086006234</v>
      </c>
      <c r="AB12" s="25">
        <f t="shared" si="3"/>
        <v>14.200956017373384</v>
      </c>
      <c r="AC12" s="25">
        <f t="shared" si="3"/>
        <v>14.540301985961968</v>
      </c>
      <c r="AD12" s="25">
        <f t="shared" si="3"/>
        <v>14.888939411621664</v>
      </c>
      <c r="AE12" s="25">
        <f t="shared" si="3"/>
        <v>15.247144917070484</v>
      </c>
      <c r="AF12" s="25">
        <f t="shared" si="3"/>
        <v>15.681941434258981</v>
      </c>
      <c r="AG12" s="25">
        <f t="shared" si="3"/>
        <v>15.993322359717739</v>
      </c>
      <c r="AH12" s="25">
        <f t="shared" si="3"/>
        <v>16.381811035813794</v>
      </c>
      <c r="AI12" s="25">
        <f t="shared" si="3"/>
        <v>16.78090677870965</v>
      </c>
      <c r="AJ12" s="25">
        <f t="shared" si="3"/>
        <v>17.190865904403609</v>
      </c>
      <c r="AK12" s="25">
        <f t="shared" si="3"/>
        <v>17.678704159237565</v>
      </c>
      <c r="AL12" s="6">
        <f t="shared" si="3"/>
        <v>0</v>
      </c>
    </row>
    <row r="13" spans="1:54">
      <c r="A13" s="390"/>
      <c r="E13" s="15">
        <f>SUM(E2:E6)</f>
        <v>0</v>
      </c>
      <c r="F13" s="15">
        <f t="shared" ref="F13:AS13" si="4">SUM(F2:F6)</f>
        <v>0</v>
      </c>
      <c r="G13" s="15">
        <f t="shared" si="4"/>
        <v>0</v>
      </c>
      <c r="H13" s="15">
        <f t="shared" si="4"/>
        <v>52688.049979314965</v>
      </c>
      <c r="I13" s="15">
        <f t="shared" si="4"/>
        <v>49877.379176922987</v>
      </c>
      <c r="J13" s="15">
        <f t="shared" si="4"/>
        <v>47125.141407946336</v>
      </c>
      <c r="K13" s="15">
        <f t="shared" si="4"/>
        <v>45113.623901627514</v>
      </c>
      <c r="L13" s="15">
        <f t="shared" si="4"/>
        <v>39268.456938863266</v>
      </c>
      <c r="M13" s="15">
        <f t="shared" si="4"/>
        <v>37995.193911248527</v>
      </c>
      <c r="N13" s="15">
        <f t="shared" si="4"/>
        <v>36940.466915702644</v>
      </c>
      <c r="O13" s="15">
        <f t="shared" si="4"/>
        <v>36102.827866373264</v>
      </c>
      <c r="P13" s="15">
        <f t="shared" si="4"/>
        <v>35270.725197927655</v>
      </c>
      <c r="Q13" s="15">
        <f t="shared" si="4"/>
        <v>34481.317931561753</v>
      </c>
      <c r="R13" s="15">
        <f t="shared" si="4"/>
        <v>33654.407477942281</v>
      </c>
      <c r="S13" s="15">
        <f t="shared" si="4"/>
        <v>32820.898619188927</v>
      </c>
      <c r="T13" s="15">
        <f t="shared" si="4"/>
        <v>31991.921599884492</v>
      </c>
      <c r="U13" s="15">
        <f t="shared" si="4"/>
        <v>31336.911867155017</v>
      </c>
      <c r="V13" s="15">
        <f t="shared" si="4"/>
        <v>30401.85441293176</v>
      </c>
      <c r="W13" s="15">
        <f t="shared" si="4"/>
        <v>32088.760974629633</v>
      </c>
      <c r="X13" s="15">
        <f t="shared" si="4"/>
        <v>31069.370077991138</v>
      </c>
      <c r="Y13" s="15">
        <f t="shared" si="4"/>
        <v>29990.323130508059</v>
      </c>
      <c r="Z13" s="15">
        <f t="shared" si="4"/>
        <v>28914.716355585548</v>
      </c>
      <c r="AA13" s="15">
        <f t="shared" si="4"/>
        <v>27958.799521926205</v>
      </c>
      <c r="AB13" s="15">
        <f t="shared" si="4"/>
        <v>27214.993288651895</v>
      </c>
      <c r="AC13" s="15">
        <f t="shared" si="4"/>
        <v>26222.12998061629</v>
      </c>
      <c r="AD13" s="15">
        <f t="shared" si="4"/>
        <v>25496.768260173438</v>
      </c>
      <c r="AE13" s="15">
        <f t="shared" si="4"/>
        <v>24578.896533084866</v>
      </c>
      <c r="AF13" s="15">
        <f t="shared" si="4"/>
        <v>23911.103001728567</v>
      </c>
      <c r="AG13" s="15">
        <f t="shared" si="4"/>
        <v>23060.731331245981</v>
      </c>
      <c r="AH13" s="15">
        <f t="shared" si="4"/>
        <v>22280.882456898158</v>
      </c>
      <c r="AI13" s="15">
        <f t="shared" si="4"/>
        <v>21569.809283465358</v>
      </c>
      <c r="AJ13" s="15">
        <f t="shared" si="4"/>
        <v>20862.160685835603</v>
      </c>
      <c r="AK13" s="15">
        <f t="shared" si="4"/>
        <v>27341.017305597408</v>
      </c>
      <c r="AL13" s="15">
        <f t="shared" si="4"/>
        <v>0</v>
      </c>
      <c r="AM13" s="15">
        <f t="shared" si="4"/>
        <v>0</v>
      </c>
      <c r="AN13" s="15">
        <f t="shared" si="4"/>
        <v>0</v>
      </c>
      <c r="AO13" s="15">
        <f t="shared" si="4"/>
        <v>0</v>
      </c>
      <c r="AP13" s="15">
        <f t="shared" si="4"/>
        <v>0</v>
      </c>
      <c r="AQ13" s="15">
        <f t="shared" si="4"/>
        <v>0</v>
      </c>
      <c r="AR13" s="15">
        <f t="shared" si="4"/>
        <v>0</v>
      </c>
      <c r="AS13" s="15">
        <f t="shared" si="4"/>
        <v>0</v>
      </c>
    </row>
    <row r="14" spans="1:54" s="15" customFormat="1">
      <c r="A14" s="38">
        <f>NPV('Financial Information'!$B$5,$E14:$AK14)*(1+'Financial Information'!$B$5)</f>
        <v>102723.05446771516</v>
      </c>
      <c r="B14" s="399">
        <f>NPV('Financial Information'!$B$5,$H14:$AL14)</f>
        <v>116949.06755789457</v>
      </c>
      <c r="C14" s="400">
        <f>'[8]Solar Rev Req 2'!$B$35</f>
        <v>116949.06755789457</v>
      </c>
      <c r="D14" s="6"/>
      <c r="E14" s="15">
        <v>0</v>
      </c>
      <c r="F14" s="15">
        <v>0</v>
      </c>
      <c r="G14" s="15">
        <v>0</v>
      </c>
      <c r="H14" s="15">
        <f>H13/4</f>
        <v>13172.012494828741</v>
      </c>
      <c r="I14" s="15">
        <f t="shared" ref="I14:AK14" si="5">I13/4</f>
        <v>12469.344794230747</v>
      </c>
      <c r="J14" s="15">
        <f t="shared" si="5"/>
        <v>11781.285351986584</v>
      </c>
      <c r="K14" s="15">
        <f t="shared" si="5"/>
        <v>11278.405975406878</v>
      </c>
      <c r="L14" s="15">
        <f t="shared" si="5"/>
        <v>9817.1142347158166</v>
      </c>
      <c r="M14" s="15">
        <f t="shared" si="5"/>
        <v>9498.7984778121318</v>
      </c>
      <c r="N14" s="15">
        <f t="shared" si="5"/>
        <v>9235.1167289256609</v>
      </c>
      <c r="O14" s="15">
        <f t="shared" si="5"/>
        <v>9025.7069665933159</v>
      </c>
      <c r="P14" s="15">
        <f t="shared" si="5"/>
        <v>8817.6812994819138</v>
      </c>
      <c r="Q14" s="15">
        <f t="shared" si="5"/>
        <v>8620.3294828904382</v>
      </c>
      <c r="R14" s="15">
        <f t="shared" si="5"/>
        <v>8413.6018694855702</v>
      </c>
      <c r="S14" s="15">
        <f t="shared" si="5"/>
        <v>8205.2246547972318</v>
      </c>
      <c r="T14" s="15">
        <f t="shared" si="5"/>
        <v>7997.980399971123</v>
      </c>
      <c r="U14" s="15">
        <f t="shared" si="5"/>
        <v>7834.2279667887542</v>
      </c>
      <c r="V14" s="15">
        <f t="shared" si="5"/>
        <v>7600.4636032329399</v>
      </c>
      <c r="W14" s="15">
        <f t="shared" si="5"/>
        <v>8022.1902436574082</v>
      </c>
      <c r="X14" s="15">
        <f t="shared" si="5"/>
        <v>7767.3425194977845</v>
      </c>
      <c r="Y14" s="15">
        <f t="shared" si="5"/>
        <v>7497.5807826270147</v>
      </c>
      <c r="Z14" s="15">
        <f t="shared" si="5"/>
        <v>7228.6790888963869</v>
      </c>
      <c r="AA14" s="15">
        <f t="shared" si="5"/>
        <v>6989.6998804815512</v>
      </c>
      <c r="AB14" s="15">
        <f t="shared" si="5"/>
        <v>6803.7483221629736</v>
      </c>
      <c r="AC14" s="15">
        <f t="shared" si="5"/>
        <v>6555.5324951540724</v>
      </c>
      <c r="AD14" s="15">
        <f t="shared" si="5"/>
        <v>6374.1920650433594</v>
      </c>
      <c r="AE14" s="15">
        <f t="shared" si="5"/>
        <v>6144.7241332712165</v>
      </c>
      <c r="AF14" s="15">
        <f t="shared" si="5"/>
        <v>5977.7757504321416</v>
      </c>
      <c r="AG14" s="15">
        <f t="shared" si="5"/>
        <v>5765.1828328114952</v>
      </c>
      <c r="AH14" s="15">
        <f t="shared" si="5"/>
        <v>5570.2206142245395</v>
      </c>
      <c r="AI14" s="15">
        <f t="shared" si="5"/>
        <v>5392.4523208663395</v>
      </c>
      <c r="AJ14" s="15">
        <f t="shared" si="5"/>
        <v>5215.5401714589007</v>
      </c>
      <c r="AK14" s="15">
        <f t="shared" si="5"/>
        <v>6835.2543263993521</v>
      </c>
    </row>
    <row r="15" spans="1:54">
      <c r="AI15" s="16"/>
    </row>
    <row r="16" spans="1:54">
      <c r="A16" s="38">
        <f>NPV('Financial Information'!$B$5,$E16:$AK16)*(1+'Financial Information'!$B$5)</f>
        <v>37851.12820836663</v>
      </c>
      <c r="B16" s="24">
        <f>NPV('Financial Information'!$B$5,$D16:$BB16)*(1+'Financial Information'!$B$5)</f>
        <v>35474.346961918112</v>
      </c>
      <c r="C16" s="6" t="str">
        <f>C6</f>
        <v>O&amp;M</v>
      </c>
      <c r="D16" s="6">
        <v>0</v>
      </c>
      <c r="E16" s="16">
        <f>E6</f>
        <v>0</v>
      </c>
      <c r="F16" s="16">
        <f t="shared" ref="F16:BB16" si="6">F6</f>
        <v>0</v>
      </c>
      <c r="G16" s="16">
        <f t="shared" si="6"/>
        <v>0</v>
      </c>
      <c r="H16" s="16">
        <f t="shared" si="6"/>
        <v>2493.9786370326838</v>
      </c>
      <c r="I16" s="16">
        <f t="shared" si="6"/>
        <v>2530.730635114252</v>
      </c>
      <c r="J16" s="16">
        <f t="shared" si="6"/>
        <v>2588.9565187007679</v>
      </c>
      <c r="K16" s="16">
        <f t="shared" si="6"/>
        <v>2648.6957662764426</v>
      </c>
      <c r="L16" s="16">
        <f t="shared" si="6"/>
        <v>2729.9889418035877</v>
      </c>
      <c r="M16" s="16">
        <f t="shared" si="6"/>
        <v>2998.879577944374</v>
      </c>
      <c r="N16" s="16">
        <f t="shared" si="6"/>
        <v>3070.1551809429598</v>
      </c>
      <c r="O16" s="16">
        <f t="shared" si="6"/>
        <v>3142.8846449024863</v>
      </c>
      <c r="P16" s="16">
        <f t="shared" si="6"/>
        <v>3217.1115309142347</v>
      </c>
      <c r="Q16" s="16">
        <f t="shared" si="6"/>
        <v>3312.8935505131976</v>
      </c>
      <c r="R16" s="16">
        <f t="shared" si="6"/>
        <v>3370.3013386237585</v>
      </c>
      <c r="S16" s="16">
        <f t="shared" si="6"/>
        <v>3449.4167372090201</v>
      </c>
      <c r="T16" s="16">
        <f t="shared" si="6"/>
        <v>3530.3307328250885</v>
      </c>
      <c r="U16" s="16">
        <f t="shared" si="6"/>
        <v>3782.981202516441</v>
      </c>
      <c r="V16" s="16">
        <f t="shared" si="6"/>
        <v>3717.9506210869758</v>
      </c>
      <c r="W16" s="16">
        <f t="shared" si="6"/>
        <v>3784.8638700300899</v>
      </c>
      <c r="X16" s="16">
        <f t="shared" si="6"/>
        <v>3873.9862665011306</v>
      </c>
      <c r="Y16" s="16">
        <f t="shared" si="6"/>
        <v>3965.4219024710465</v>
      </c>
      <c r="Z16" s="16">
        <f t="shared" si="6"/>
        <v>4059.272352676046</v>
      </c>
      <c r="AA16" s="16">
        <f t="shared" si="6"/>
        <v>4175.6357781674678</v>
      </c>
      <c r="AB16" s="16">
        <f t="shared" si="6"/>
        <v>4254.6064228050664</v>
      </c>
      <c r="AC16" s="16">
        <f t="shared" si="6"/>
        <v>4356.2744749942058</v>
      </c>
      <c r="AD16" s="16">
        <f t="shared" si="6"/>
        <v>4460.726247721851</v>
      </c>
      <c r="AE16" s="16">
        <f t="shared" si="6"/>
        <v>4568.0446171543172</v>
      </c>
      <c r="AF16" s="16">
        <f t="shared" si="6"/>
        <v>4698.309653703991</v>
      </c>
      <c r="AG16" s="16">
        <f t="shared" si="6"/>
        <v>4791.5993789714348</v>
      </c>
      <c r="AH16" s="16">
        <f t="shared" si="6"/>
        <v>4907.9905863298127</v>
      </c>
      <c r="AI16" s="16">
        <f t="shared" si="6"/>
        <v>5027.5596709014117</v>
      </c>
      <c r="AJ16" s="16">
        <f t="shared" si="6"/>
        <v>5150.3834249593219</v>
      </c>
      <c r="AK16" s="16">
        <f t="shared" si="6"/>
        <v>5296.5397661075749</v>
      </c>
      <c r="AL16" s="16">
        <f t="shared" si="6"/>
        <v>0</v>
      </c>
      <c r="AM16" s="16">
        <f t="shared" si="6"/>
        <v>0</v>
      </c>
      <c r="AN16" s="16">
        <f t="shared" si="6"/>
        <v>0</v>
      </c>
      <c r="AO16" s="16">
        <f t="shared" si="6"/>
        <v>0</v>
      </c>
      <c r="AP16" s="16">
        <f t="shared" si="6"/>
        <v>0</v>
      </c>
      <c r="AQ16" s="16">
        <f t="shared" si="6"/>
        <v>0</v>
      </c>
      <c r="AR16" s="16">
        <f t="shared" si="6"/>
        <v>0</v>
      </c>
      <c r="AS16" s="16">
        <f t="shared" si="6"/>
        <v>0</v>
      </c>
      <c r="AT16" s="16">
        <f t="shared" si="6"/>
        <v>0</v>
      </c>
      <c r="AU16" s="16">
        <f t="shared" si="6"/>
        <v>0</v>
      </c>
      <c r="AV16" s="16">
        <f t="shared" si="6"/>
        <v>0</v>
      </c>
      <c r="AW16" s="16">
        <f t="shared" si="6"/>
        <v>0</v>
      </c>
      <c r="AX16" s="16">
        <f t="shared" si="6"/>
        <v>0</v>
      </c>
      <c r="AY16" s="16">
        <f t="shared" si="6"/>
        <v>0</v>
      </c>
      <c r="AZ16" s="16">
        <f t="shared" si="6"/>
        <v>0</v>
      </c>
      <c r="BA16" s="16">
        <f t="shared" si="6"/>
        <v>0</v>
      </c>
      <c r="BB16" s="16">
        <f t="shared" si="6"/>
        <v>0</v>
      </c>
    </row>
    <row r="17" spans="1:68">
      <c r="A17" s="38">
        <f>NPV('Financial Information'!$B$5,$E17:$AK17)*(1+'Financial Information'!$B$5)</f>
        <v>373041.08966249414</v>
      </c>
      <c r="B17" s="24">
        <f>NPV('Financial Information'!$B$5,$D17:$BB17)*(1+'Financial Information'!$B$5)</f>
        <v>349616.76631911343</v>
      </c>
      <c r="C17" s="6" t="s">
        <v>108</v>
      </c>
      <c r="D17" s="6">
        <v>0</v>
      </c>
      <c r="E17" s="16">
        <f>SUM(E2:E5)</f>
        <v>0</v>
      </c>
      <c r="F17" s="16">
        <f t="shared" ref="F17:BB17" si="7">SUM(F2:F5)</f>
        <v>0</v>
      </c>
      <c r="G17" s="16">
        <f t="shared" si="7"/>
        <v>0</v>
      </c>
      <c r="H17" s="16">
        <f t="shared" si="7"/>
        <v>50194.071342282281</v>
      </c>
      <c r="I17" s="16">
        <f t="shared" si="7"/>
        <v>47346.648541808732</v>
      </c>
      <c r="J17" s="16">
        <f t="shared" si="7"/>
        <v>44536.184889245567</v>
      </c>
      <c r="K17" s="16">
        <f t="shared" si="7"/>
        <v>42464.928135351074</v>
      </c>
      <c r="L17" s="16">
        <f t="shared" si="7"/>
        <v>36538.467997059677</v>
      </c>
      <c r="M17" s="16">
        <f t="shared" si="7"/>
        <v>34996.314333304152</v>
      </c>
      <c r="N17" s="16">
        <f t="shared" si="7"/>
        <v>33870.311734759685</v>
      </c>
      <c r="O17" s="16">
        <f t="shared" si="7"/>
        <v>32959.943221470778</v>
      </c>
      <c r="P17" s="16">
        <f t="shared" si="7"/>
        <v>32053.613667013422</v>
      </c>
      <c r="Q17" s="16">
        <f t="shared" si="7"/>
        <v>31168.424381048553</v>
      </c>
      <c r="R17" s="16">
        <f t="shared" si="7"/>
        <v>30284.106139318519</v>
      </c>
      <c r="S17" s="16">
        <f t="shared" si="7"/>
        <v>29371.481881979907</v>
      </c>
      <c r="T17" s="16">
        <f t="shared" si="7"/>
        <v>28461.590867059404</v>
      </c>
      <c r="U17" s="16">
        <f t="shared" si="7"/>
        <v>27553.930664638578</v>
      </c>
      <c r="V17" s="16">
        <f t="shared" si="7"/>
        <v>26683.903791844783</v>
      </c>
      <c r="W17" s="16">
        <f t="shared" si="7"/>
        <v>28303.897104599542</v>
      </c>
      <c r="X17" s="16">
        <f t="shared" si="7"/>
        <v>27195.383811490006</v>
      </c>
      <c r="Y17" s="16">
        <f t="shared" si="7"/>
        <v>26024.901228037012</v>
      </c>
      <c r="Z17" s="16">
        <f t="shared" si="7"/>
        <v>24855.444002909502</v>
      </c>
      <c r="AA17" s="16">
        <f t="shared" si="7"/>
        <v>23783.163743758738</v>
      </c>
      <c r="AB17" s="16">
        <f t="shared" si="7"/>
        <v>22960.386865846827</v>
      </c>
      <c r="AC17" s="16">
        <f t="shared" si="7"/>
        <v>21865.855505622083</v>
      </c>
      <c r="AD17" s="16">
        <f t="shared" si="7"/>
        <v>21036.042012451588</v>
      </c>
      <c r="AE17" s="16">
        <f t="shared" si="7"/>
        <v>20010.851915930551</v>
      </c>
      <c r="AF17" s="16">
        <f t="shared" si="7"/>
        <v>19212.793348024574</v>
      </c>
      <c r="AG17" s="16">
        <f t="shared" si="7"/>
        <v>18269.131952274547</v>
      </c>
      <c r="AH17" s="16">
        <f t="shared" si="7"/>
        <v>17372.891870568346</v>
      </c>
      <c r="AI17" s="16">
        <f t="shared" si="7"/>
        <v>16542.249612563945</v>
      </c>
      <c r="AJ17" s="16">
        <f t="shared" si="7"/>
        <v>15711.777260876279</v>
      </c>
      <c r="AK17" s="16">
        <f t="shared" si="7"/>
        <v>22044.477539489832</v>
      </c>
      <c r="AL17" s="16">
        <f t="shared" si="7"/>
        <v>0</v>
      </c>
      <c r="AM17" s="16">
        <f t="shared" si="7"/>
        <v>0</v>
      </c>
      <c r="AN17" s="16">
        <f t="shared" si="7"/>
        <v>0</v>
      </c>
      <c r="AO17" s="16">
        <f t="shared" si="7"/>
        <v>0</v>
      </c>
      <c r="AP17" s="16">
        <f t="shared" si="7"/>
        <v>0</v>
      </c>
      <c r="AQ17" s="16">
        <f t="shared" si="7"/>
        <v>0</v>
      </c>
      <c r="AR17" s="16">
        <f t="shared" si="7"/>
        <v>0</v>
      </c>
      <c r="AS17" s="16">
        <f t="shared" si="7"/>
        <v>0</v>
      </c>
      <c r="AT17" s="16">
        <f t="shared" si="7"/>
        <v>0</v>
      </c>
      <c r="AU17" s="16">
        <f t="shared" si="7"/>
        <v>0</v>
      </c>
      <c r="AV17" s="16">
        <f t="shared" si="7"/>
        <v>0</v>
      </c>
      <c r="AW17" s="16">
        <f t="shared" si="7"/>
        <v>0</v>
      </c>
      <c r="AX17" s="16">
        <f t="shared" si="7"/>
        <v>0</v>
      </c>
      <c r="AY17" s="16">
        <f t="shared" si="7"/>
        <v>0</v>
      </c>
      <c r="AZ17" s="16">
        <f t="shared" si="7"/>
        <v>0</v>
      </c>
      <c r="BA17" s="16">
        <f t="shared" si="7"/>
        <v>0</v>
      </c>
      <c r="BB17" s="16">
        <f t="shared" si="7"/>
        <v>0</v>
      </c>
    </row>
    <row r="18" spans="1:68">
      <c r="A18" s="386">
        <f>NPV('Financial Information'!$B$5,$E18:$AK18)*(1+'Financial Information'!$B$5)</f>
        <v>43542.68902141376</v>
      </c>
      <c r="B18" s="386">
        <f>NPV('Financial Information'!$B$5,$D18:$BB18)*(1+'Financial Information'!$B$5)</f>
        <v>42389.624771160248</v>
      </c>
      <c r="C18" s="6" t="s">
        <v>107</v>
      </c>
      <c r="D18" s="6">
        <v>0</v>
      </c>
      <c r="E18" s="16">
        <f>SUM(E7:E9)</f>
        <v>0</v>
      </c>
      <c r="F18" s="16">
        <f t="shared" ref="F18:AX18" si="8">SUM(F7:F9)</f>
        <v>0</v>
      </c>
      <c r="G18" s="16">
        <f t="shared" si="8"/>
        <v>0</v>
      </c>
      <c r="H18" s="16">
        <f t="shared" si="8"/>
        <v>5076.9967567140002</v>
      </c>
      <c r="I18" s="16">
        <f t="shared" si="8"/>
        <v>4940.7153672671993</v>
      </c>
      <c r="J18" s="16">
        <f t="shared" si="8"/>
        <v>4787.7421775734792</v>
      </c>
      <c r="K18" s="16">
        <f t="shared" si="8"/>
        <v>4643.3025549286558</v>
      </c>
      <c r="L18" s="16">
        <f t="shared" si="8"/>
        <v>4506.5492510734257</v>
      </c>
      <c r="M18" s="16">
        <f t="shared" si="8"/>
        <v>4376.7765030211558</v>
      </c>
      <c r="N18" s="16">
        <f t="shared" si="8"/>
        <v>4251.9113091699546</v>
      </c>
      <c r="O18" s="16">
        <f t="shared" si="8"/>
        <v>4128.6548735928409</v>
      </c>
      <c r="P18" s="16">
        <f t="shared" si="8"/>
        <v>4005.4057623746071</v>
      </c>
      <c r="Q18" s="16">
        <f t="shared" si="8"/>
        <v>3882.2127573369976</v>
      </c>
      <c r="R18" s="16">
        <f t="shared" si="8"/>
        <v>3759.0775416654328</v>
      </c>
      <c r="S18" s="16">
        <f t="shared" si="8"/>
        <v>3636.001849040892</v>
      </c>
      <c r="T18" s="16">
        <f t="shared" si="8"/>
        <v>3512.9874651547871</v>
      </c>
      <c r="U18" s="16">
        <f t="shared" si="8"/>
        <v>3390.0362292692703</v>
      </c>
      <c r="V18" s="16">
        <f t="shared" si="8"/>
        <v>3267.1500358243607</v>
      </c>
      <c r="W18" s="16">
        <f t="shared" si="8"/>
        <v>3158.2393961307562</v>
      </c>
      <c r="X18" s="16">
        <f t="shared" si="8"/>
        <v>3077.262027698494</v>
      </c>
      <c r="Y18" s="16">
        <f t="shared" si="8"/>
        <v>3010.2642929347089</v>
      </c>
      <c r="Z18" s="16">
        <f t="shared" si="8"/>
        <v>2943.3397640108496</v>
      </c>
      <c r="AA18" s="16">
        <f t="shared" si="8"/>
        <v>2876.4906371021157</v>
      </c>
      <c r="AB18" s="16">
        <f t="shared" si="8"/>
        <v>2809.7191742689583</v>
      </c>
      <c r="AC18" s="16">
        <f t="shared" si="8"/>
        <v>2743.0277054336475</v>
      </c>
      <c r="AD18" s="16">
        <f t="shared" si="8"/>
        <v>2676.4186304161162</v>
      </c>
      <c r="AE18" s="16">
        <f t="shared" si="8"/>
        <v>2609.8944210309</v>
      </c>
      <c r="AF18" s="16">
        <f t="shared" si="8"/>
        <v>2543.4576232469667</v>
      </c>
      <c r="AG18" s="16">
        <f t="shared" si="8"/>
        <v>2477.1108594123557</v>
      </c>
      <c r="AH18" s="16">
        <f t="shared" si="8"/>
        <v>2410.856830545546</v>
      </c>
      <c r="AI18" s="16">
        <f t="shared" si="8"/>
        <v>2344.6983186955722</v>
      </c>
      <c r="AJ18" s="16">
        <f t="shared" si="8"/>
        <v>2278.6381893729395</v>
      </c>
      <c r="AK18" s="16">
        <f t="shared" si="8"/>
        <v>2212.6793940534671</v>
      </c>
      <c r="AL18" s="16">
        <f t="shared" si="8"/>
        <v>2146.8249727572515</v>
      </c>
      <c r="AM18" s="16">
        <f t="shared" si="8"/>
        <v>2081.0780567049892</v>
      </c>
      <c r="AN18" s="16">
        <f t="shared" si="8"/>
        <v>2015.4418710539987</v>
      </c>
      <c r="AO18" s="16">
        <f t="shared" si="8"/>
        <v>1949.9197377163184</v>
      </c>
      <c r="AP18" s="16">
        <f t="shared" si="8"/>
        <v>1884.5150782613478</v>
      </c>
      <c r="AQ18" s="16">
        <f t="shared" si="8"/>
        <v>1819.2314169055687</v>
      </c>
      <c r="AR18" s="16">
        <f t="shared" si="8"/>
        <v>1754.0723835919557</v>
      </c>
      <c r="AS18" s="16">
        <f t="shared" si="8"/>
        <v>1689.0417171617742</v>
      </c>
      <c r="AT18" s="16">
        <f t="shared" si="8"/>
        <v>1624.1432686215271</v>
      </c>
      <c r="AU18" s="16">
        <f t="shared" si="8"/>
        <v>1559.3810045078887</v>
      </c>
      <c r="AV18" s="16">
        <f t="shared" si="8"/>
        <v>0</v>
      </c>
      <c r="AW18" s="16">
        <f t="shared" si="8"/>
        <v>0</v>
      </c>
      <c r="AX18" s="16">
        <f t="shared" si="8"/>
        <v>0</v>
      </c>
    </row>
    <row r="19" spans="1:68">
      <c r="A19" s="24">
        <f>SUM(A16:A18)</f>
        <v>454434.90689227451</v>
      </c>
      <c r="B19" s="24">
        <f>SUM(B16:B18)</f>
        <v>427480.73805219179</v>
      </c>
    </row>
    <row r="20" spans="1:68">
      <c r="D20" s="411"/>
      <c r="E20" s="411"/>
      <c r="F20" s="411"/>
      <c r="G20" s="411"/>
      <c r="AB20" s="157"/>
      <c r="AC20" s="157"/>
      <c r="AD20" s="157"/>
      <c r="AE20" s="157"/>
      <c r="AF20" s="157"/>
      <c r="AG20" s="157"/>
      <c r="AH20" s="157"/>
    </row>
    <row r="21" spans="1:68">
      <c r="B21" s="401">
        <f>NPV('Financial Information'!$B$5,$H21:$BB21)</f>
        <v>12873.387414417928</v>
      </c>
      <c r="C21" s="15">
        <f>'[8]NetUp Rev Req 2'!$B$37</f>
        <v>12873.387414417928</v>
      </c>
      <c r="D21" s="390"/>
      <c r="E21" s="16">
        <f>E18/4</f>
        <v>0</v>
      </c>
      <c r="F21" s="16">
        <f t="shared" ref="F21:BB21" si="9">F18/4</f>
        <v>0</v>
      </c>
      <c r="G21" s="16">
        <f t="shared" si="9"/>
        <v>0</v>
      </c>
      <c r="H21" s="16">
        <f t="shared" si="9"/>
        <v>1269.2491891785</v>
      </c>
      <c r="I21" s="16">
        <f t="shared" si="9"/>
        <v>1235.1788418167998</v>
      </c>
      <c r="J21" s="16">
        <f t="shared" si="9"/>
        <v>1196.9355443933698</v>
      </c>
      <c r="K21" s="16">
        <f t="shared" si="9"/>
        <v>1160.825638732164</v>
      </c>
      <c r="L21" s="16">
        <f t="shared" si="9"/>
        <v>1126.6373127683564</v>
      </c>
      <c r="M21" s="16">
        <f t="shared" si="9"/>
        <v>1094.194125755289</v>
      </c>
      <c r="N21" s="16">
        <f t="shared" si="9"/>
        <v>1062.9778272924887</v>
      </c>
      <c r="O21" s="16">
        <f t="shared" si="9"/>
        <v>1032.1637183982102</v>
      </c>
      <c r="P21" s="16">
        <f t="shared" si="9"/>
        <v>1001.3514405936518</v>
      </c>
      <c r="Q21" s="16">
        <f t="shared" si="9"/>
        <v>970.5531893342494</v>
      </c>
      <c r="R21" s="16">
        <f t="shared" si="9"/>
        <v>939.7693854163582</v>
      </c>
      <c r="S21" s="16">
        <f t="shared" si="9"/>
        <v>909.000462260223</v>
      </c>
      <c r="T21" s="16">
        <f t="shared" si="9"/>
        <v>878.24686628869676</v>
      </c>
      <c r="U21" s="16">
        <f t="shared" si="9"/>
        <v>847.50905731731757</v>
      </c>
      <c r="V21" s="16">
        <f t="shared" si="9"/>
        <v>816.78750895609016</v>
      </c>
      <c r="W21" s="16">
        <f t="shared" si="9"/>
        <v>789.55984903268904</v>
      </c>
      <c r="X21" s="16">
        <f t="shared" si="9"/>
        <v>769.31550692462349</v>
      </c>
      <c r="Y21" s="16">
        <f t="shared" si="9"/>
        <v>752.56607323367723</v>
      </c>
      <c r="Z21" s="16">
        <f t="shared" si="9"/>
        <v>735.83494100271241</v>
      </c>
      <c r="AA21" s="16">
        <f t="shared" si="9"/>
        <v>719.12265927552892</v>
      </c>
      <c r="AB21" s="16">
        <f t="shared" si="9"/>
        <v>702.42979356723959</v>
      </c>
      <c r="AC21" s="16">
        <f t="shared" si="9"/>
        <v>685.75692635841187</v>
      </c>
      <c r="AD21" s="16">
        <f t="shared" si="9"/>
        <v>669.10465760402906</v>
      </c>
      <c r="AE21" s="16">
        <f t="shared" si="9"/>
        <v>652.47360525772501</v>
      </c>
      <c r="AF21" s="16">
        <f t="shared" si="9"/>
        <v>635.86440581174168</v>
      </c>
      <c r="AG21" s="16">
        <f t="shared" si="9"/>
        <v>619.27771485308892</v>
      </c>
      <c r="AH21" s="16">
        <f t="shared" si="9"/>
        <v>602.7142076363865</v>
      </c>
      <c r="AI21" s="16">
        <f t="shared" si="9"/>
        <v>586.17457967389305</v>
      </c>
      <c r="AJ21" s="16">
        <f t="shared" si="9"/>
        <v>569.65954734323486</v>
      </c>
      <c r="AK21" s="16">
        <f t="shared" si="9"/>
        <v>553.16984851336679</v>
      </c>
      <c r="AL21" s="16">
        <f t="shared" si="9"/>
        <v>536.70624318931289</v>
      </c>
      <c r="AM21" s="16">
        <f t="shared" si="9"/>
        <v>520.2695141762473</v>
      </c>
      <c r="AN21" s="16">
        <f t="shared" si="9"/>
        <v>503.86046776349968</v>
      </c>
      <c r="AO21" s="16">
        <f t="shared" si="9"/>
        <v>487.47993442907961</v>
      </c>
      <c r="AP21" s="16">
        <f t="shared" si="9"/>
        <v>471.12876956533694</v>
      </c>
      <c r="AQ21" s="16">
        <f t="shared" si="9"/>
        <v>454.80785422639218</v>
      </c>
      <c r="AR21" s="16">
        <f t="shared" si="9"/>
        <v>438.51809589798893</v>
      </c>
      <c r="AS21" s="16">
        <f t="shared" si="9"/>
        <v>422.26042929044354</v>
      </c>
      <c r="AT21" s="16">
        <f t="shared" si="9"/>
        <v>406.03581715538178</v>
      </c>
      <c r="AU21" s="16">
        <f t="shared" si="9"/>
        <v>389.84525112697219</v>
      </c>
      <c r="AV21" s="16">
        <f t="shared" si="9"/>
        <v>0</v>
      </c>
      <c r="AW21" s="16">
        <f t="shared" si="9"/>
        <v>0</v>
      </c>
      <c r="AX21" s="16">
        <f t="shared" si="9"/>
        <v>0</v>
      </c>
      <c r="AY21" s="16">
        <f t="shared" si="9"/>
        <v>0</v>
      </c>
      <c r="AZ21" s="16">
        <f t="shared" si="9"/>
        <v>0</v>
      </c>
      <c r="BA21" s="16">
        <f t="shared" si="9"/>
        <v>0</v>
      </c>
      <c r="BB21" s="16">
        <f t="shared" si="9"/>
        <v>0</v>
      </c>
    </row>
    <row r="22" spans="1:68">
      <c r="A22" s="385"/>
      <c r="B22" s="385"/>
      <c r="C22" s="388"/>
      <c r="D22" s="385"/>
      <c r="E22" s="385"/>
      <c r="F22" s="385"/>
      <c r="G22" s="385"/>
      <c r="H22" s="385"/>
      <c r="I22" s="385"/>
      <c r="J22" s="385"/>
      <c r="K22" s="385"/>
      <c r="L22" s="385"/>
      <c r="M22" s="385"/>
      <c r="N22" s="385"/>
      <c r="O22" s="385"/>
      <c r="P22" s="385"/>
      <c r="Q22" s="385"/>
      <c r="R22" s="385"/>
      <c r="S22" s="385"/>
      <c r="T22" s="385"/>
      <c r="U22" s="385"/>
      <c r="V22" s="385"/>
      <c r="W22" s="385"/>
      <c r="X22" s="385"/>
      <c r="Y22" s="385"/>
      <c r="Z22" s="385"/>
      <c r="AA22" s="385"/>
      <c r="AB22" s="385"/>
      <c r="AC22" s="385"/>
      <c r="AD22" s="385"/>
      <c r="AE22" s="385"/>
      <c r="AF22" s="385"/>
      <c r="AG22" s="385"/>
      <c r="AH22" s="385"/>
      <c r="AI22" s="385"/>
      <c r="AJ22" s="385"/>
      <c r="AK22" s="385"/>
      <c r="AL22" s="385"/>
      <c r="AM22" s="385"/>
      <c r="AN22" s="385"/>
      <c r="AO22" s="385"/>
      <c r="AP22" s="385"/>
      <c r="AQ22" s="385"/>
      <c r="AR22" s="385"/>
      <c r="AS22" s="385"/>
      <c r="AT22" s="385"/>
      <c r="AU22" s="385"/>
      <c r="AV22" s="385"/>
      <c r="AW22" s="385"/>
      <c r="AX22" s="385"/>
      <c r="AY22" s="385"/>
      <c r="AZ22" s="385"/>
      <c r="BA22" s="385"/>
      <c r="BB22" s="385"/>
    </row>
    <row r="23" spans="1:68">
      <c r="A23" s="24"/>
      <c r="B23" s="2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</row>
    <row r="24" spans="1:68">
      <c r="A24" s="24"/>
      <c r="B24" s="2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</row>
    <row r="25" spans="1:68">
      <c r="A25" s="24"/>
      <c r="B25" s="24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</row>
    <row r="26" spans="1:68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</row>
    <row r="27" spans="1:68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</row>
    <row r="28" spans="1:68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</row>
    <row r="29" spans="1:68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</row>
    <row r="30" spans="1:68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</row>
    <row r="31" spans="1:68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</row>
    <row r="32" spans="1:68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</row>
    <row r="33" spans="1:68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</row>
    <row r="34" spans="1:68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</row>
    <row r="35" spans="1:68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</row>
    <row r="36" spans="1:68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</row>
    <row r="37" spans="1:68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</row>
    <row r="38" spans="1:68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</row>
    <row r="39" spans="1:68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</row>
    <row r="40" spans="1:68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</row>
    <row r="53" spans="4:6">
      <c r="D53" s="155"/>
      <c r="F53" s="155"/>
    </row>
    <row r="54" spans="4:6">
      <c r="D54" s="153"/>
      <c r="F54" s="155"/>
    </row>
    <row r="55" spans="4:6">
      <c r="D55" s="155"/>
      <c r="F55" s="155"/>
    </row>
    <row r="56" spans="4:6">
      <c r="D56" s="155"/>
      <c r="F56" s="155"/>
    </row>
    <row r="57" spans="4:6">
      <c r="D57" s="155"/>
      <c r="F57" s="155"/>
    </row>
    <row r="58" spans="4:6">
      <c r="F58" s="155"/>
    </row>
    <row r="59" spans="4:6">
      <c r="F59" s="155"/>
    </row>
    <row r="60" spans="4:6">
      <c r="F60" s="155"/>
    </row>
    <row r="61" spans="4:6">
      <c r="F61" s="155"/>
    </row>
    <row r="62" spans="4:6">
      <c r="F62" s="155"/>
    </row>
  </sheetData>
  <mergeCells count="2">
    <mergeCell ref="D20:E20"/>
    <mergeCell ref="F20:G20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C6391-07AF-426A-BE67-456C953FA5B7}">
  <sheetPr>
    <tabColor rgb="FFFFFF00"/>
  </sheetPr>
  <dimension ref="A1:XFD62"/>
  <sheetViews>
    <sheetView workbookViewId="0">
      <pane xSplit="3" ySplit="1" topLeftCell="D2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ColWidth="8.90625" defaultRowHeight="14.5"/>
  <cols>
    <col min="1" max="2" width="11.54296875" style="6" bestFit="1" customWidth="1"/>
    <col min="3" max="3" width="16.36328125" style="6" bestFit="1" customWidth="1"/>
    <col min="4" max="8" width="5" style="6" bestFit="1" customWidth="1"/>
    <col min="9" max="38" width="7.54296875" style="6" bestFit="1" customWidth="1"/>
    <col min="39" max="39" width="8.08984375" style="6" bestFit="1" customWidth="1"/>
    <col min="40" max="40" width="9.54296875" style="6" bestFit="1" customWidth="1"/>
    <col min="41" max="48" width="6.54296875" style="6" bestFit="1" customWidth="1"/>
    <col min="49" max="54" width="5" style="6" bestFit="1" customWidth="1"/>
    <col min="55" max="55" width="4.81640625" style="6" bestFit="1" customWidth="1"/>
    <col min="56" max="16384" width="8.90625" style="6"/>
  </cols>
  <sheetData>
    <row r="1" spans="1:55">
      <c r="A1" s="385" t="s">
        <v>230</v>
      </c>
      <c r="B1" s="385" t="s">
        <v>5</v>
      </c>
      <c r="C1" s="388">
        <v>45292</v>
      </c>
      <c r="D1" s="385">
        <v>2019</v>
      </c>
      <c r="E1" s="385">
        <f t="shared" ref="E1:BB1" si="0">D1+1</f>
        <v>2020</v>
      </c>
      <c r="F1" s="385">
        <f t="shared" si="0"/>
        <v>2021</v>
      </c>
      <c r="G1" s="385">
        <f t="shared" si="0"/>
        <v>2022</v>
      </c>
      <c r="H1" s="385">
        <f t="shared" si="0"/>
        <v>2023</v>
      </c>
      <c r="I1" s="385">
        <f t="shared" si="0"/>
        <v>2024</v>
      </c>
      <c r="J1" s="385">
        <f t="shared" si="0"/>
        <v>2025</v>
      </c>
      <c r="K1" s="385">
        <f t="shared" si="0"/>
        <v>2026</v>
      </c>
      <c r="L1" s="385">
        <f t="shared" si="0"/>
        <v>2027</v>
      </c>
      <c r="M1" s="385">
        <f t="shared" si="0"/>
        <v>2028</v>
      </c>
      <c r="N1" s="385">
        <f t="shared" si="0"/>
        <v>2029</v>
      </c>
      <c r="O1" s="385">
        <f t="shared" si="0"/>
        <v>2030</v>
      </c>
      <c r="P1" s="385">
        <f t="shared" si="0"/>
        <v>2031</v>
      </c>
      <c r="Q1" s="385">
        <f t="shared" si="0"/>
        <v>2032</v>
      </c>
      <c r="R1" s="385">
        <f t="shared" si="0"/>
        <v>2033</v>
      </c>
      <c r="S1" s="385">
        <f t="shared" si="0"/>
        <v>2034</v>
      </c>
      <c r="T1" s="385">
        <f t="shared" si="0"/>
        <v>2035</v>
      </c>
      <c r="U1" s="385">
        <f t="shared" si="0"/>
        <v>2036</v>
      </c>
      <c r="V1" s="385">
        <f t="shared" si="0"/>
        <v>2037</v>
      </c>
      <c r="W1" s="385">
        <f t="shared" si="0"/>
        <v>2038</v>
      </c>
      <c r="X1" s="385">
        <f t="shared" si="0"/>
        <v>2039</v>
      </c>
      <c r="Y1" s="385">
        <f t="shared" si="0"/>
        <v>2040</v>
      </c>
      <c r="Z1" s="385">
        <f t="shared" si="0"/>
        <v>2041</v>
      </c>
      <c r="AA1" s="385">
        <f t="shared" si="0"/>
        <v>2042</v>
      </c>
      <c r="AB1" s="385">
        <f t="shared" si="0"/>
        <v>2043</v>
      </c>
      <c r="AC1" s="385">
        <f t="shared" si="0"/>
        <v>2044</v>
      </c>
      <c r="AD1" s="385">
        <f t="shared" si="0"/>
        <v>2045</v>
      </c>
      <c r="AE1" s="385">
        <f t="shared" si="0"/>
        <v>2046</v>
      </c>
      <c r="AF1" s="385">
        <f t="shared" si="0"/>
        <v>2047</v>
      </c>
      <c r="AG1" s="385">
        <f t="shared" si="0"/>
        <v>2048</v>
      </c>
      <c r="AH1" s="385">
        <f t="shared" si="0"/>
        <v>2049</v>
      </c>
      <c r="AI1" s="385">
        <f t="shared" si="0"/>
        <v>2050</v>
      </c>
      <c r="AJ1" s="385">
        <f t="shared" si="0"/>
        <v>2051</v>
      </c>
      <c r="AK1" s="385">
        <f t="shared" si="0"/>
        <v>2052</v>
      </c>
      <c r="AL1" s="397">
        <f t="shared" si="0"/>
        <v>2053</v>
      </c>
      <c r="AM1" s="385">
        <f t="shared" si="0"/>
        <v>2054</v>
      </c>
      <c r="AN1" s="385">
        <f t="shared" si="0"/>
        <v>2055</v>
      </c>
      <c r="AO1" s="385">
        <f t="shared" si="0"/>
        <v>2056</v>
      </c>
      <c r="AP1" s="385">
        <f t="shared" si="0"/>
        <v>2057</v>
      </c>
      <c r="AQ1" s="385">
        <f t="shared" si="0"/>
        <v>2058</v>
      </c>
      <c r="AR1" s="385">
        <f t="shared" si="0"/>
        <v>2059</v>
      </c>
      <c r="AS1" s="385">
        <f t="shared" si="0"/>
        <v>2060</v>
      </c>
      <c r="AT1" s="385">
        <f t="shared" si="0"/>
        <v>2061</v>
      </c>
      <c r="AU1" s="385">
        <f t="shared" si="0"/>
        <v>2062</v>
      </c>
      <c r="AV1" s="385">
        <f t="shared" si="0"/>
        <v>2063</v>
      </c>
      <c r="AW1" s="385">
        <f t="shared" si="0"/>
        <v>2064</v>
      </c>
      <c r="AX1" s="385">
        <f t="shared" si="0"/>
        <v>2065</v>
      </c>
      <c r="AY1" s="385">
        <f t="shared" si="0"/>
        <v>2066</v>
      </c>
      <c r="AZ1" s="385">
        <f t="shared" si="0"/>
        <v>2067</v>
      </c>
      <c r="BA1" s="385">
        <f t="shared" si="0"/>
        <v>2068</v>
      </c>
      <c r="BB1" s="385">
        <f t="shared" si="0"/>
        <v>2069</v>
      </c>
    </row>
    <row r="2" spans="1:55">
      <c r="A2" s="38">
        <f>NPV('Financial Information'!$B$5,$E2:$AL2)*(1+'Financial Information'!$B$5)</f>
        <v>306953.78984074981</v>
      </c>
      <c r="B2" s="24">
        <f>NPV('Financial Information'!$B$5,$E2:$BB2)*(1+'Financial Information'!$B$5)</f>
        <v>306953.78984074981</v>
      </c>
      <c r="C2" s="6" t="s">
        <v>0</v>
      </c>
      <c r="D2" s="15">
        <v>0</v>
      </c>
      <c r="E2" s="15">
        <v>0</v>
      </c>
      <c r="F2" s="15">
        <v>0</v>
      </c>
      <c r="G2" s="15">
        <v>0</v>
      </c>
      <c r="H2" s="15">
        <v>0</v>
      </c>
      <c r="I2" s="15">
        <f>('[8]Solar Rev Req 3'!C$34*4)-SUM(I3:I6)</f>
        <v>44667.88724698298</v>
      </c>
      <c r="J2" s="15">
        <f>('[8]Solar Rev Req 3'!D$34*4)-SUM(J3:J6)</f>
        <v>41826.305666760738</v>
      </c>
      <c r="K2" s="15">
        <f>('[8]Solar Rev Req 3'!E$34*4)-SUM(K3:K6)</f>
        <v>39007.783384169903</v>
      </c>
      <c r="L2" s="15">
        <f>('[8]Solar Rev Req 3'!F$34*4)-SUM(L3:L6)</f>
        <v>35203.081474041857</v>
      </c>
      <c r="M2" s="15">
        <f>('[8]Solar Rev Req 3'!G$34*4)-SUM(M3:M6)</f>
        <v>33470.091646685716</v>
      </c>
      <c r="N2" s="15">
        <f>('[8]Solar Rev Req 3'!H$34*4)-SUM(N3:N6)</f>
        <v>31954.592452403591</v>
      </c>
      <c r="O2" s="15">
        <f>('[8]Solar Rev Req 3'!I$34*4)-SUM(O3:O6)</f>
        <v>30862.586630337337</v>
      </c>
      <c r="P2" s="15">
        <f>('[8]Solar Rev Req 3'!J$34*4)-SUM(P3:P6)</f>
        <v>29989.27343874006</v>
      </c>
      <c r="Q2" s="15">
        <f>('[8]Solar Rev Req 3'!K$34*4)-SUM(Q3:Q6)</f>
        <v>29118.746787500051</v>
      </c>
      <c r="R2" s="15">
        <f>('[8]Solar Rev Req 3'!L$34*4)-SUM(R3:R6)</f>
        <v>28280.442095936021</v>
      </c>
      <c r="S2" s="15">
        <f>('[8]Solar Rev Req 3'!M$34*4)-SUM(S3:S6)</f>
        <v>27429.219935399855</v>
      </c>
      <c r="T2" s="15">
        <f>('[8]Solar Rev Req 3'!N$34*4)-SUM(T3:T6)</f>
        <v>26561.338193505919</v>
      </c>
      <c r="U2" s="15">
        <f>('[8]Solar Rev Req 3'!O$34*4)-SUM(U3:U6)</f>
        <v>25694.761668871797</v>
      </c>
      <c r="V2" s="15">
        <f>('[8]Solar Rev Req 3'!P$34*4)-SUM(V3:V6)</f>
        <v>24828.955013116523</v>
      </c>
      <c r="W2" s="15">
        <f>('[8]Solar Rev Req 3'!Q$34*4)-SUM(W3:W6)</f>
        <v>23998.439816564958</v>
      </c>
      <c r="X2" s="15">
        <f>('[8]Solar Rev Req 3'!R$34*4)-SUM(X3:X6)</f>
        <v>23153.202105320441</v>
      </c>
      <c r="Y2" s="15">
        <f>('[8]Solar Rev Req 3'!S$34*4)-SUM(Y3:Y6)</f>
        <v>22290.707716040641</v>
      </c>
      <c r="Z2" s="15">
        <f>('[8]Solar Rev Req 3'!T$34*4)-SUM(Z3:Z6)</f>
        <v>21429.889935256702</v>
      </c>
      <c r="AA2" s="15">
        <f>('[8]Solar Rev Req 3'!U$34*4)-SUM(AA3:AA6)</f>
        <v>20568.462227908189</v>
      </c>
      <c r="AB2" s="15">
        <f>('[8]Solar Rev Req 3'!V$34*4)-SUM(AB3:AB6)</f>
        <v>19736.474830507937</v>
      </c>
      <c r="AC2" s="15">
        <f>('[8]Solar Rev Req 3'!W$34*4)-SUM(AC3:AC6)</f>
        <v>18892.520925178709</v>
      </c>
      <c r="AD2" s="15">
        <f>('[8]Solar Rev Req 3'!X$34*4)-SUM(AD3:AD6)</f>
        <v>18036.408029819169</v>
      </c>
      <c r="AE2" s="15">
        <f>('[8]Solar Rev Req 3'!Y$34*4)-SUM(AE3:AE6)</f>
        <v>17182.635405518507</v>
      </c>
      <c r="AF2" s="15">
        <f>('[8]Solar Rev Req 3'!Z$34*4)-SUM(AF3:AF6)</f>
        <v>16327.287172407061</v>
      </c>
      <c r="AG2" s="15">
        <f>('[8]Solar Rev Req 3'!AA$34*4)-SUM(AG3:AG6)</f>
        <v>15500.578200637312</v>
      </c>
      <c r="AH2" s="15">
        <f>('[8]Solar Rev Req 3'!AB$34*4)-SUM(AH3:AH6)</f>
        <v>14657.733209589132</v>
      </c>
      <c r="AI2" s="15">
        <f>('[8]Solar Rev Req 3'!AC$34*4)-SUM(AI3:AI6)</f>
        <v>13795.140096385556</v>
      </c>
      <c r="AJ2" s="15">
        <f>('[8]Solar Rev Req 3'!AD$34*4)-SUM(AJ3:AJ6)</f>
        <v>12930.929951549399</v>
      </c>
      <c r="AK2" s="15">
        <f>('[8]Solar Rev Req 3'!AE$34*4)-SUM(AK3:AK6)</f>
        <v>12064.838301666096</v>
      </c>
      <c r="AL2" s="214">
        <f>('[8]Solar Rev Req 3'!AF$34*4)-SUM(AL3:AL6)</f>
        <v>18328.20969840619</v>
      </c>
      <c r="AM2" s="15">
        <f>('[8]Solar Rev Req 3'!AG$34*4)-SUM(AM3:AM6)</f>
        <v>0</v>
      </c>
      <c r="AN2" s="15">
        <f>('[8]Solar Rev Req 3'!AH$34*4)-SUM(AN3:AN6)</f>
        <v>0</v>
      </c>
      <c r="AO2" s="15">
        <f>('[8]Solar Rev Req 3'!AI$34*4)-SUM(AO3:AO6)</f>
        <v>0</v>
      </c>
      <c r="AP2" s="15">
        <f>('[8]Solar Rev Req 3'!AJ$34*4)-SUM(AP3:AP6)</f>
        <v>0</v>
      </c>
      <c r="AQ2" s="15">
        <f>('[8]Solar Rev Req 3'!AK$34*4)-SUM(AQ3:AQ6)</f>
        <v>0</v>
      </c>
      <c r="AR2" s="15">
        <f>('[8]Solar Rev Req 3'!AL$34*4)-SUM(AR3:AR6)</f>
        <v>0</v>
      </c>
      <c r="AS2" s="15">
        <f>('[8]Solar Rev Req 3'!AM$34*4)-SUM(AS3:AS6)</f>
        <v>0</v>
      </c>
      <c r="AT2" s="15">
        <f>('[8]Solar Rev Req 3'!AN$34*4)-SUM(AT3:AT6)</f>
        <v>0</v>
      </c>
      <c r="AU2" s="15">
        <f>('[8]Solar Rev Req 3'!AO$34*4)-SUM(AU3:AU6)</f>
        <v>0</v>
      </c>
      <c r="AV2" s="15">
        <f>('[8]Solar Rev Req 3'!AP$34*4)-SUM(AV3:AV6)</f>
        <v>0</v>
      </c>
      <c r="AW2" s="15">
        <f>('[8]Solar Rev Req 3'!AQ$34*4)-SUM(AW3:AW6)</f>
        <v>0</v>
      </c>
      <c r="AX2" s="15">
        <f>('[8]Solar Rev Req 3'!AR$34*4)-SUM(AX3:AX6)</f>
        <v>0</v>
      </c>
      <c r="AY2" s="15">
        <f>('[8]Solar Rev Req 3'!AS$34*4)-SUM(AY3:AY6)</f>
        <v>0</v>
      </c>
      <c r="AZ2" s="15">
        <f>('[8]Solar Rev Req 3'!AT$34*4)-SUM(AZ3:AZ6)</f>
        <v>0</v>
      </c>
      <c r="BA2" s="15">
        <f>('[8]Solar Rev Req 3'!AU$34*4)-SUM(BA3:BA6)</f>
        <v>0</v>
      </c>
      <c r="BB2" s="15">
        <f>('[8]Solar Rev Req 3'!AV$34*4)-SUM(BB3:BB6)</f>
        <v>0</v>
      </c>
      <c r="BC2" s="15">
        <f>('[8]Solar Rev Req 3'!AW$34*4)-SUM(BC3:BC6)</f>
        <v>0</v>
      </c>
    </row>
    <row r="3" spans="1:55">
      <c r="A3" s="38">
        <f>NPV('Financial Information'!$B$5,$E3:$AL3)*(1+'Financial Information'!$B$5)</f>
        <v>14072.301078252696</v>
      </c>
      <c r="B3" s="24">
        <f>NPV('Financial Information'!$B$5,$E3:$BB3)*(1+'Financial Information'!$B$5)</f>
        <v>14072.301078252696</v>
      </c>
      <c r="C3" s="6" t="s">
        <v>1</v>
      </c>
      <c r="D3" s="15">
        <v>0</v>
      </c>
      <c r="E3" s="15">
        <v>0</v>
      </c>
      <c r="F3" s="15">
        <v>0</v>
      </c>
      <c r="G3" s="15">
        <v>0</v>
      </c>
      <c r="H3" s="15">
        <v>0</v>
      </c>
      <c r="I3" s="15">
        <f>'[8]Solar Rev Req 3'!C$32*4</f>
        <v>1227.1213126420405</v>
      </c>
      <c r="J3" s="15">
        <f>'[8]Solar Rev Req 3'!D$32*4</f>
        <v>1189.5563744999374</v>
      </c>
      <c r="K3" s="15">
        <f>'[8]Solar Rev Req 3'!E$32*4</f>
        <v>1164.5130824052019</v>
      </c>
      <c r="L3" s="15">
        <f>'[8]Solar Rev Req 3'!F$32*4</f>
        <v>1126.9481442630984</v>
      </c>
      <c r="M3" s="15">
        <f>'[8]Solar Rev Req 3'!G$32*4</f>
        <v>1089.3832061209951</v>
      </c>
      <c r="N3" s="15">
        <f>'[8]Solar Rev Req 3'!H$32*4</f>
        <v>1051.8182679788918</v>
      </c>
      <c r="O3" s="15">
        <f>'[8]Solar Rev Req 3'!I$32*4</f>
        <v>1014.2533298367886</v>
      </c>
      <c r="P3" s="15">
        <f>'[8]Solar Rev Req 3'!J$32*4</f>
        <v>976.68839169468527</v>
      </c>
      <c r="Q3" s="15">
        <f>'[8]Solar Rev Req 3'!K$32*4</f>
        <v>939.12345355258208</v>
      </c>
      <c r="R3" s="15">
        <f>'[8]Solar Rev Req 3'!L$32*4</f>
        <v>889.0368693631109</v>
      </c>
      <c r="S3" s="15">
        <f>'[8]Solar Rev Req 3'!M$32*4</f>
        <v>851.47193122100771</v>
      </c>
      <c r="T3" s="15">
        <f>'[8]Solar Rev Req 3'!N$32*4</f>
        <v>801.38534703153653</v>
      </c>
      <c r="U3" s="15">
        <f>'[8]Solar Rev Req 3'!O$32*4</f>
        <v>751.29876284206557</v>
      </c>
      <c r="V3" s="15">
        <f>'[8]Solar Rev Req 3'!P$32*4</f>
        <v>701.21217865259462</v>
      </c>
      <c r="W3" s="15">
        <f>'[8]Solar Rev Req 3'!Q$32*4</f>
        <v>3255.6279723156185</v>
      </c>
      <c r="X3" s="15">
        <f>'[8]Solar Rev Req 3'!R$32*4</f>
        <v>3005.1950513682627</v>
      </c>
      <c r="Y3" s="15">
        <f>'[8]Solar Rev Req 3'!S$32*4</f>
        <v>2754.7621304209079</v>
      </c>
      <c r="Z3" s="15">
        <f>'[8]Solar Rev Req 3'!T$32*4</f>
        <v>2441.7209792367139</v>
      </c>
      <c r="AA3" s="15">
        <f>'[8]Solar Rev Req 3'!U$32*4</f>
        <v>2128.67982805252</v>
      </c>
      <c r="AB3" s="15">
        <f>'[8]Solar Rev Req 3'!V$32*4</f>
        <v>1878.2469071051644</v>
      </c>
      <c r="AC3" s="15">
        <f>'[8]Solar Rev Req 3'!W$32*4</f>
        <v>1878.2469071051644</v>
      </c>
      <c r="AD3" s="15">
        <f>'[8]Solar Rev Req 3'!X$32*4</f>
        <v>1627.8139861578093</v>
      </c>
      <c r="AE3" s="15">
        <f>'[8]Solar Rev Req 3'!Y$32*4</f>
        <v>1627.8139861578093</v>
      </c>
      <c r="AF3" s="15">
        <f>'[8]Solar Rev Req 3'!Z$32*4</f>
        <v>1439.9892954472928</v>
      </c>
      <c r="AG3" s="15">
        <f>'[8]Solar Rev Req 3'!AA$32*4</f>
        <v>1439.9892954472928</v>
      </c>
      <c r="AH3" s="15">
        <f>'[8]Solar Rev Req 3'!AB$32*4</f>
        <v>1314.7728349736151</v>
      </c>
      <c r="AI3" s="15">
        <f>'[8]Solar Rev Req 3'!AC$32*4</f>
        <v>1252.1646047367763</v>
      </c>
      <c r="AJ3" s="15">
        <f>'[8]Solar Rev Req 3'!AD$32*4</f>
        <v>1252.1646047367763</v>
      </c>
      <c r="AK3" s="15">
        <f>'[8]Solar Rev Req 3'!AE$32*4</f>
        <v>1252.1646047367763</v>
      </c>
      <c r="AL3" s="214">
        <f>'[8]Solar Rev Req 3'!AF$32*4</f>
        <v>1252.1646047367763</v>
      </c>
      <c r="AM3" s="15">
        <f>'[8]Solar Rev Req 3'!AG$32*4</f>
        <v>0</v>
      </c>
      <c r="AN3" s="15">
        <f>'[8]Solar Rev Req 3'!AH$32*4</f>
        <v>0</v>
      </c>
      <c r="AO3" s="15">
        <f>'[8]Solar Rev Req 3'!AI$32*4</f>
        <v>0</v>
      </c>
      <c r="AP3" s="15">
        <f>'[8]Solar Rev Req 3'!AJ$32*4</f>
        <v>0</v>
      </c>
      <c r="AQ3" s="15">
        <f>'[8]Solar Rev Req 3'!AK$32*4</f>
        <v>0</v>
      </c>
      <c r="AR3" s="15">
        <f>'[8]Solar Rev Req 3'!AL$32*4</f>
        <v>0</v>
      </c>
      <c r="AS3" s="15">
        <f>'[8]Solar Rev Req 3'!AM$32*4</f>
        <v>0</v>
      </c>
      <c r="AT3" s="15">
        <f>'[8]Solar Rev Req 3'!AN$32*4</f>
        <v>0</v>
      </c>
      <c r="AU3" s="15">
        <f>'[8]Solar Rev Req 3'!AO$32*4</f>
        <v>0</v>
      </c>
      <c r="AV3" s="15">
        <f>'[8]Solar Rev Req 3'!AP$32*4</f>
        <v>0</v>
      </c>
      <c r="AW3" s="15">
        <f>'[8]Solar Rev Req 3'!AQ$32*4</f>
        <v>0</v>
      </c>
      <c r="AX3" s="15">
        <f>'[8]Solar Rev Req 3'!AR$32*4</f>
        <v>0</v>
      </c>
      <c r="AY3" s="15">
        <f>'[8]Solar Rev Req 3'!AS$32*4</f>
        <v>0</v>
      </c>
      <c r="AZ3" s="15">
        <f>'[8]Solar Rev Req 3'!AT$32*4</f>
        <v>0</v>
      </c>
      <c r="BA3" s="15">
        <f>'[8]Solar Rev Req 3'!AU$32*4</f>
        <v>0</v>
      </c>
      <c r="BB3" s="15">
        <f>'[8]Solar Rev Req 3'!AV$32*4</f>
        <v>0</v>
      </c>
      <c r="BC3" s="15">
        <f>'[8]Solar Rev Req 3'!AW$32*4</f>
        <v>0</v>
      </c>
    </row>
    <row r="4" spans="1:55">
      <c r="A4" s="38">
        <f>NPV('Financial Information'!$B$5,$E4:$AL4)*(1+'Financial Information'!$B$5)</f>
        <v>6543.6031216416541</v>
      </c>
      <c r="B4" s="24">
        <f>NPV('Financial Information'!$B$5,$E4:$BB4)*(1+'Financial Information'!$B$5)</f>
        <v>6543.6031216416541</v>
      </c>
      <c r="C4" s="6" t="s">
        <v>2</v>
      </c>
      <c r="D4" s="15">
        <v>0</v>
      </c>
      <c r="E4" s="15">
        <v>0</v>
      </c>
      <c r="F4" s="15">
        <v>0</v>
      </c>
      <c r="G4" s="15">
        <v>0</v>
      </c>
      <c r="H4" s="15">
        <v>0</v>
      </c>
      <c r="I4" s="15">
        <f>'[8]Solar Rev Req 3'!C$33*4</f>
        <v>445.87176898173561</v>
      </c>
      <c r="J4" s="15">
        <f>'[8]Solar Rev Req 3'!D$33*4</f>
        <v>459.24792205118769</v>
      </c>
      <c r="K4" s="15">
        <f>'[8]Solar Rev Req 3'!E$33*4</f>
        <v>473.02535971272329</v>
      </c>
      <c r="L4" s="15">
        <f>'[8]Solar Rev Req 3'!F$33*4</f>
        <v>487.21612050410499</v>
      </c>
      <c r="M4" s="15">
        <f>'[8]Solar Rev Req 3'!G$33*4</f>
        <v>502.38095201146007</v>
      </c>
      <c r="N4" s="15">
        <f>'[8]Solar Rev Req 3'!H$33*4</f>
        <v>517.73123598537416</v>
      </c>
      <c r="O4" s="15">
        <f>'[8]Solar Rev Req 3'!I$33*4</f>
        <v>533.59251806029476</v>
      </c>
      <c r="P4" s="15">
        <f>'[8]Solar Rev Req 3'!J$33*4</f>
        <v>549.98033591438616</v>
      </c>
      <c r="Q4" s="15">
        <f>'[8]Solar Rev Req 3'!K$33*4</f>
        <v>566.91031789085139</v>
      </c>
      <c r="R4" s="15">
        <f>'[8]Solar Rev Req 3'!L$33*4</f>
        <v>585.03387164133414</v>
      </c>
      <c r="S4" s="15">
        <f>'[8]Solar Rev Req 3'!M$33*4</f>
        <v>603.11452153178891</v>
      </c>
      <c r="T4" s="15">
        <f>'[8]Solar Rev Req 3'!N$33*4</f>
        <v>621.78539659310104</v>
      </c>
      <c r="U4" s="15">
        <f>'[8]Solar Rev Req 3'!O$33*4</f>
        <v>641.06259340194845</v>
      </c>
      <c r="V4" s="15">
        <f>'[8]Solar Rev Req 3'!P$33*4</f>
        <v>660.96237222591208</v>
      </c>
      <c r="W4" s="15">
        <f>'[8]Solar Rev Req 3'!Q$33*4</f>
        <v>682.34866178487039</v>
      </c>
      <c r="X4" s="15">
        <f>'[8]Solar Rev Req 3'!R$33*4</f>
        <v>703.56862421748986</v>
      </c>
      <c r="Y4" s="15">
        <f>'[8]Solar Rev Req 3'!S$33*4</f>
        <v>725.46202800789638</v>
      </c>
      <c r="Z4" s="15">
        <f>'[8]Solar Rev Req 3'!T$33*4</f>
        <v>748.0461670122661</v>
      </c>
      <c r="AA4" s="15">
        <f>'[8]Solar Rev Req 3'!U$33*4</f>
        <v>771.33869781221847</v>
      </c>
      <c r="AB4" s="15">
        <f>'[8]Solar Rev Req 3'!V$33*4</f>
        <v>796.21199772134594</v>
      </c>
      <c r="AC4" s="15">
        <f>'[8]Solar Rev Req 3'!W$33*4</f>
        <v>821.00161318954724</v>
      </c>
      <c r="AD4" s="15">
        <f>'[8]Solar Rev Req 3'!X$33*4</f>
        <v>846.55604281495857</v>
      </c>
      <c r="AE4" s="15">
        <f>'[8]Solar Rev Req 3'!Y$33*4</f>
        <v>872.89493131408176</v>
      </c>
      <c r="AF4" s="15">
        <f>'[8]Solar Rev Req 3'!Z$33*4</f>
        <v>900.03854835642198</v>
      </c>
      <c r="AG4" s="15">
        <f>'[8]Solar Rev Req 3'!AA$33*4</f>
        <v>928.99821860835527</v>
      </c>
      <c r="AH4" s="15">
        <f>'[8]Solar Rev Req 3'!AB$33*4</f>
        <v>957.84457541913434</v>
      </c>
      <c r="AI4" s="15">
        <f>'[8]Solar Rev Req 3'!AC$33*4</f>
        <v>987.56163175275265</v>
      </c>
      <c r="AJ4" s="15">
        <f>'[8]Solar Rev Req 3'!AD$33*4</f>
        <v>1018.1726967659539</v>
      </c>
      <c r="AK4" s="15">
        <f>'[8]Solar Rev Req 3'!AE$33*4</f>
        <v>1049.7019524839204</v>
      </c>
      <c r="AL4" s="214">
        <f>'[8]Solar Rev Req 3'!AF$33*4</f>
        <v>1083.322615208298</v>
      </c>
      <c r="AM4" s="15">
        <f>'[8]Solar Rev Req 3'!AG$33*4</f>
        <v>0</v>
      </c>
      <c r="AN4" s="15">
        <f>'[8]Solar Rev Req 3'!AH$33*4</f>
        <v>0</v>
      </c>
      <c r="AO4" s="15">
        <f>'[8]Solar Rev Req 3'!AI$33*4</f>
        <v>0</v>
      </c>
      <c r="AP4" s="15">
        <f>'[8]Solar Rev Req 3'!AJ$33*4</f>
        <v>0</v>
      </c>
      <c r="AQ4" s="15">
        <f>'[8]Solar Rev Req 3'!AK$33*4</f>
        <v>0</v>
      </c>
      <c r="AR4" s="15">
        <f>'[8]Solar Rev Req 3'!AL$33*4</f>
        <v>0</v>
      </c>
      <c r="AS4" s="15">
        <f>'[8]Solar Rev Req 3'!AM$33*4</f>
        <v>0</v>
      </c>
      <c r="AT4" s="15">
        <f>'[8]Solar Rev Req 3'!AN$33*4</f>
        <v>0</v>
      </c>
      <c r="AU4" s="15">
        <f>'[8]Solar Rev Req 3'!AO$33*4</f>
        <v>0</v>
      </c>
      <c r="AV4" s="15">
        <f>'[8]Solar Rev Req 3'!AP$33*4</f>
        <v>0</v>
      </c>
      <c r="AW4" s="15">
        <f>'[8]Solar Rev Req 3'!AQ$33*4</f>
        <v>0</v>
      </c>
      <c r="AX4" s="15">
        <f>'[8]Solar Rev Req 3'!AR$33*4</f>
        <v>0</v>
      </c>
      <c r="AY4" s="15">
        <f>'[8]Solar Rev Req 3'!AS$33*4</f>
        <v>0</v>
      </c>
      <c r="AZ4" s="15">
        <f>'[8]Solar Rev Req 3'!AT$33*4</f>
        <v>0</v>
      </c>
      <c r="BA4" s="15">
        <f>'[8]Solar Rev Req 3'!AU$33*4</f>
        <v>0</v>
      </c>
      <c r="BB4" s="15">
        <f>'[8]Solar Rev Req 3'!AV$33*4</f>
        <v>0</v>
      </c>
      <c r="BC4" s="15">
        <f>'[8]Solar Rev Req 3'!AW$33*4</f>
        <v>0</v>
      </c>
    </row>
    <row r="5" spans="1:55">
      <c r="A5" s="395">
        <f>NPV('Financial Information'!$B$5,$E5:$AL5)*(1+'Financial Information'!$B$5)</f>
        <v>21704.496669463508</v>
      </c>
      <c r="B5" s="13">
        <f>NPV('Financial Information'!$B$5,$E5:$BB5)*(1+'Financial Information'!$B$5)</f>
        <v>21704.496669463508</v>
      </c>
      <c r="C5" s="1" t="s">
        <v>3</v>
      </c>
      <c r="D5" s="17">
        <v>0</v>
      </c>
      <c r="E5" s="17">
        <v>0</v>
      </c>
      <c r="F5" s="17">
        <v>0</v>
      </c>
      <c r="G5" s="17">
        <v>0</v>
      </c>
      <c r="H5" s="17">
        <v>0</v>
      </c>
      <c r="I5" s="17">
        <f>'[8]Solar Rev Req 3'!C$31*4</f>
        <v>1672.0268400000002</v>
      </c>
      <c r="J5" s="17">
        <f>'[8]Solar Rev Req 3'!D$31*4</f>
        <v>1705.4673768000002</v>
      </c>
      <c r="K5" s="17">
        <f>'[8]Solar Rev Req 3'!E$31*4</f>
        <v>1739.5767243360003</v>
      </c>
      <c r="L5" s="17">
        <f>'[8]Solar Rev Req 3'!F$31*4</f>
        <v>1774.3682588227202</v>
      </c>
      <c r="M5" s="17">
        <f>'[8]Solar Rev Req 3'!G$31*4</f>
        <v>1809.8556239991749</v>
      </c>
      <c r="N5" s="17">
        <f>'[8]Solar Rev Req 3'!H$31*4</f>
        <v>1846.0527364791583</v>
      </c>
      <c r="O5" s="17">
        <f>'[8]Solar Rev Req 3'!I$31*4</f>
        <v>1882.9737912087414</v>
      </c>
      <c r="P5" s="17">
        <f>'[8]Solar Rev Req 3'!J$31*4</f>
        <v>1920.6332670329164</v>
      </c>
      <c r="Q5" s="17">
        <f>'[8]Solar Rev Req 3'!K$31*4</f>
        <v>1959.0459323735747</v>
      </c>
      <c r="R5" s="17">
        <f>'[8]Solar Rev Req 3'!L$31*4</f>
        <v>1998.2268510210465</v>
      </c>
      <c r="S5" s="17">
        <f>'[8]Solar Rev Req 3'!M$31*4</f>
        <v>2038.1913880414675</v>
      </c>
      <c r="T5" s="17">
        <f>'[8]Solar Rev Req 3'!N$31*4</f>
        <v>2078.9552158022966</v>
      </c>
      <c r="U5" s="17">
        <f>'[8]Solar Rev Req 3'!O$31*4</f>
        <v>2120.5343201183432</v>
      </c>
      <c r="V5" s="17">
        <f>'[8]Solar Rev Req 3'!P$31*4</f>
        <v>2162.9450065207097</v>
      </c>
      <c r="W5" s="17">
        <f>'[8]Solar Rev Req 3'!Q$31*4</f>
        <v>2206.2039066511238</v>
      </c>
      <c r="X5" s="17">
        <f>'[8]Solar Rev Req 3'!R$31*4</f>
        <v>2250.3279847841468</v>
      </c>
      <c r="Y5" s="17">
        <f>'[8]Solar Rev Req 3'!S$31*4</f>
        <v>2295.3345444798292</v>
      </c>
      <c r="Z5" s="17">
        <f>'[8]Solar Rev Req 3'!T$31*4</f>
        <v>2341.2412353694258</v>
      </c>
      <c r="AA5" s="17">
        <f>'[8]Solar Rev Req 3'!U$31*4</f>
        <v>2388.0660600768142</v>
      </c>
      <c r="AB5" s="17">
        <f>'[8]Solar Rev Req 3'!V$31*4</f>
        <v>2435.8273812783505</v>
      </c>
      <c r="AC5" s="17">
        <f>'[8]Solar Rev Req 3'!W$31*4</f>
        <v>2484.5439289039173</v>
      </c>
      <c r="AD5" s="17">
        <f>'[8]Solar Rev Req 3'!X$31*4</f>
        <v>2534.2348074819956</v>
      </c>
      <c r="AE5" s="17">
        <f>'[8]Solar Rev Req 3'!Y$31*4</f>
        <v>2584.919503631636</v>
      </c>
      <c r="AF5" s="17">
        <f>'[8]Solar Rev Req 3'!Z$31*4</f>
        <v>2636.6178937042691</v>
      </c>
      <c r="AG5" s="17">
        <f>'[8]Solar Rev Req 3'!AA$31*4</f>
        <v>2689.3502515783543</v>
      </c>
      <c r="AH5" s="17">
        <f>'[8]Solar Rev Req 3'!AB$31*4</f>
        <v>2743.1372566099212</v>
      </c>
      <c r="AI5" s="17">
        <f>'[8]Solar Rev Req 3'!AC$31*4</f>
        <v>2798.0000017421198</v>
      </c>
      <c r="AJ5" s="17">
        <f>'[8]Solar Rev Req 3'!AD$31*4</f>
        <v>2853.9600017769626</v>
      </c>
      <c r="AK5" s="17">
        <f>'[8]Solar Rev Req 3'!AE$31*4</f>
        <v>2911.0392018125012</v>
      </c>
      <c r="AL5" s="396">
        <f>'[8]Solar Rev Req 3'!AF$31*4</f>
        <v>2969.259985848752</v>
      </c>
      <c r="AM5" s="17">
        <f>'[8]Solar Rev Req 3'!AG$31*4</f>
        <v>0</v>
      </c>
      <c r="AN5" s="17">
        <f>'[8]Solar Rev Req 3'!AH$31*4</f>
        <v>0</v>
      </c>
      <c r="AO5" s="17">
        <f>'[8]Solar Rev Req 3'!AI$31*4</f>
        <v>0</v>
      </c>
      <c r="AP5" s="17">
        <f>'[8]Solar Rev Req 3'!AJ$31*4</f>
        <v>0</v>
      </c>
      <c r="AQ5" s="17">
        <f>'[8]Solar Rev Req 3'!AK$31*4</f>
        <v>0</v>
      </c>
      <c r="AR5" s="17">
        <f>'[8]Solar Rev Req 3'!AL$31*4</f>
        <v>0</v>
      </c>
      <c r="AS5" s="17">
        <f>'[8]Solar Rev Req 3'!AM$31*4</f>
        <v>0</v>
      </c>
      <c r="AT5" s="17">
        <f>'[8]Solar Rev Req 3'!AN$31*4</f>
        <v>0</v>
      </c>
      <c r="AU5" s="17">
        <f>'[8]Solar Rev Req 3'!AO$31*4</f>
        <v>0</v>
      </c>
      <c r="AV5" s="17">
        <f>'[8]Solar Rev Req 3'!AP$31*4</f>
        <v>0</v>
      </c>
      <c r="AW5" s="17">
        <f>'[8]Solar Rev Req 3'!AQ$31*4</f>
        <v>0</v>
      </c>
      <c r="AX5" s="17">
        <f>'[8]Solar Rev Req 3'!AR$31*4</f>
        <v>0</v>
      </c>
      <c r="AY5" s="17">
        <f>'[8]Solar Rev Req 3'!AS$31*4</f>
        <v>0</v>
      </c>
      <c r="AZ5" s="17">
        <f>'[8]Solar Rev Req 3'!AT$31*4</f>
        <v>0</v>
      </c>
      <c r="BA5" s="17">
        <f>'[8]Solar Rev Req 3'!AU$31*4</f>
        <v>0</v>
      </c>
      <c r="BB5" s="17">
        <f>'[8]Solar Rev Req 3'!AV$31*4</f>
        <v>0</v>
      </c>
      <c r="BC5" s="15">
        <f>'[8]Solar Rev Req 3'!AW$31*4</f>
        <v>0</v>
      </c>
    </row>
    <row r="6" spans="1:55">
      <c r="A6" s="38">
        <f>NPV('Financial Information'!$B$5,$E6:$AL6)*(1+'Financial Information'!$B$5)</f>
        <v>36050.682623075729</v>
      </c>
      <c r="B6" s="24">
        <f>NPV('Financial Information'!$B$5,$E6:$BB6)*(1+'Financial Information'!$B$5)</f>
        <v>36050.682623075729</v>
      </c>
      <c r="C6" s="6" t="s">
        <v>4</v>
      </c>
      <c r="D6" s="15">
        <v>0</v>
      </c>
      <c r="E6" s="15">
        <v>0</v>
      </c>
      <c r="F6" s="15">
        <v>0</v>
      </c>
      <c r="G6" s="15">
        <v>0</v>
      </c>
      <c r="H6" s="15">
        <v>0</v>
      </c>
      <c r="I6" s="15">
        <f>'[8]Solar Rev Req 3'!C$30*4</f>
        <v>2535.5458198540377</v>
      </c>
      <c r="J6" s="15">
        <f>'[8]Solar Rev Req 3'!D$30*4</f>
        <v>2573.3666884202466</v>
      </c>
      <c r="K6" s="15">
        <f>'[8]Solar Rev Req 3'!E$30*4</f>
        <v>2632.6898949809424</v>
      </c>
      <c r="L6" s="15">
        <f>'[8]Solar Rev Req 3'!F$30*4</f>
        <v>2693.555698054397</v>
      </c>
      <c r="M6" s="15">
        <f>'[8]Solar Rev Req 3'!G$30*4</f>
        <v>2776.0054635354904</v>
      </c>
      <c r="N6" s="15">
        <f>'[8]Solar Rev Req 3'!H$30*4</f>
        <v>3046.0835485435791</v>
      </c>
      <c r="O6" s="15">
        <f>'[8]Solar Rev Req 3'!I$30*4</f>
        <v>3118.5783069488834</v>
      </c>
      <c r="P6" s="15">
        <f>'[8]Solar Rev Req 3'!J$30*4</f>
        <v>3192.5595043124231</v>
      </c>
      <c r="Q6" s="15">
        <f>'[8]Solar Rev Req 3'!K$30*4</f>
        <v>3268.0715976973338</v>
      </c>
      <c r="R6" s="15">
        <f>'[8]Solar Rev Req 3'!L$30*4</f>
        <v>3365.1732198263858</v>
      </c>
      <c r="S6" s="15">
        <f>'[8]Solar Rev Req 3'!M$30*4</f>
        <v>3423.9359527499837</v>
      </c>
      <c r="T6" s="15">
        <f>'[8]Solar Rev Req 3'!N$30*4</f>
        <v>3504.4426122387722</v>
      </c>
      <c r="U6" s="15">
        <f>'[8]Solar Rev Req 3'!O$30*4</f>
        <v>3586.7851861027793</v>
      </c>
      <c r="V6" s="15">
        <f>'[8]Solar Rev Req 3'!P$30*4</f>
        <v>3840.9025808738547</v>
      </c>
      <c r="W6" s="15">
        <f>'[8]Solar Rev Req 3'!Q$30*4</f>
        <v>3777.378329886646</v>
      </c>
      <c r="X6" s="15">
        <f>'[8]Solar Rev Req 3'!R$30*4</f>
        <v>3845.8384030421412</v>
      </c>
      <c r="Y6" s="15">
        <f>'[8]Solar Rev Req 3'!S$30*4</f>
        <v>3936.5492366378057</v>
      </c>
      <c r="Z6" s="15">
        <f>'[8]Solar Rev Req 3'!T$30*4</f>
        <v>4029.6160734038444</v>
      </c>
      <c r="AA6" s="15">
        <f>'[8]Solar Rev Req 3'!U$30*4</f>
        <v>4125.1416713611452</v>
      </c>
      <c r="AB6" s="15">
        <f>'[8]Solar Rev Req 3'!V$30*4</f>
        <v>4243.2254083058351</v>
      </c>
      <c r="AC6" s="15">
        <f>'[8]Solar Rev Req 3'!W$30*4</f>
        <v>4323.962779264466</v>
      </c>
      <c r="AD6" s="15">
        <f>'[8]Solar Rev Req 3'!X$30*4</f>
        <v>4427.4452592210773</v>
      </c>
      <c r="AE6" s="15">
        <f>'[8]Solar Rev Req 3'!Y$30*4</f>
        <v>4533.7604841718712</v>
      </c>
      <c r="AF6" s="15">
        <f>'[8]Solar Rev Req 3'!Z$30*4</f>
        <v>4642.9926907713198</v>
      </c>
      <c r="AG6" s="15">
        <f>'[8]Solar Rev Req 3'!AA$30*4</f>
        <v>4775.2233484777462</v>
      </c>
      <c r="AH6" s="15">
        <f>'[8]Solar Rev Req 3'!AB$30*4</f>
        <v>4870.5319176057319</v>
      </c>
      <c r="AI6" s="15">
        <f>'[8]Solar Rev Req 3'!AC$30*4</f>
        <v>4988.9966710531917</v>
      </c>
      <c r="AJ6" s="15">
        <f>'[8]Solar Rev Req 3'!AD$30*4</f>
        <v>5110.6955254538289</v>
      </c>
      <c r="AK6" s="15">
        <f>'[8]Solar Rev Req 3'!AE$30*4</f>
        <v>5235.706837789051</v>
      </c>
      <c r="AL6" s="214">
        <f>'[8]Solar Rev Req 3'!AF$30*4</f>
        <v>5384.1101348135944</v>
      </c>
      <c r="AM6" s="15">
        <f>'[8]Solar Rev Req 3'!AG$30*4</f>
        <v>0</v>
      </c>
      <c r="AN6" s="15">
        <f>'[8]Solar Rev Req 3'!AH$30*4</f>
        <v>0</v>
      </c>
      <c r="AO6" s="15">
        <f>'[8]Solar Rev Req 3'!AI$30*4</f>
        <v>0</v>
      </c>
      <c r="AP6" s="15">
        <f>'[8]Solar Rev Req 3'!AJ$30*4</f>
        <v>0</v>
      </c>
      <c r="AQ6" s="15">
        <f>'[8]Solar Rev Req 3'!AK$30*4</f>
        <v>0</v>
      </c>
      <c r="AR6" s="15">
        <f>'[8]Solar Rev Req 3'!AL$30*4</f>
        <v>0</v>
      </c>
      <c r="AS6" s="15">
        <f>'[8]Solar Rev Req 3'!AM$30*4</f>
        <v>0</v>
      </c>
      <c r="AT6" s="15">
        <f>'[8]Solar Rev Req 3'!AN$30*4</f>
        <v>0</v>
      </c>
      <c r="AU6" s="15">
        <f>'[8]Solar Rev Req 3'!AO$30*4</f>
        <v>0</v>
      </c>
      <c r="AV6" s="15">
        <f>'[8]Solar Rev Req 3'!AP$30*4</f>
        <v>0</v>
      </c>
      <c r="AW6" s="15">
        <f>'[8]Solar Rev Req 3'!AQ$30*4</f>
        <v>0</v>
      </c>
      <c r="AX6" s="15">
        <f>'[8]Solar Rev Req 3'!AR$30*4</f>
        <v>0</v>
      </c>
      <c r="AY6" s="15">
        <f>'[8]Solar Rev Req 3'!AS$30*4</f>
        <v>0</v>
      </c>
      <c r="AZ6" s="15">
        <f>'[8]Solar Rev Req 3'!AT$30*4</f>
        <v>0</v>
      </c>
      <c r="BA6" s="15">
        <f>'[8]Solar Rev Req 3'!AU$30*4</f>
        <v>0</v>
      </c>
      <c r="BB6" s="15">
        <f>'[8]Solar Rev Req 3'!AV$30*4</f>
        <v>0</v>
      </c>
      <c r="BC6" s="15">
        <f>'[8]Solar Rev Req 3'!AW$30*4</f>
        <v>0</v>
      </c>
    </row>
    <row r="7" spans="1:55">
      <c r="A7" s="24">
        <f>NPV('Financial Information'!$B$5,$E7:$AL7)*(1+'Financial Information'!$B$5)</f>
        <v>37396.108822553753</v>
      </c>
      <c r="B7" s="24">
        <f>NPV('Financial Information'!$B$5,$E7:$BB7)*(1+'Financial Information'!$B$5)</f>
        <v>38613.511203390153</v>
      </c>
      <c r="C7" s="6" t="s">
        <v>38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f>('[8]NetUp Rev Req 3'!C$36*4)-SUM(I8:I9)</f>
        <v>4796.6291568082797</v>
      </c>
      <c r="J7" s="15">
        <f>('[8]NetUp Rev Req 3'!D$36*4)-SUM(J8:J9)</f>
        <v>4656.0710779597421</v>
      </c>
      <c r="K7" s="15">
        <f>('[8]NetUp Rev Req 3'!E$36*4)-SUM(K8:K9)</f>
        <v>4498.4408310109648</v>
      </c>
      <c r="L7" s="15">
        <f>('[8]NetUp Rev Req 3'!F$36*4)-SUM(L8:L9)</f>
        <v>4349.4668946482252</v>
      </c>
      <c r="M7" s="15">
        <f>('[8]NetUp Rev Req 3'!G$36*4)-SUM(M8:M9)</f>
        <v>4208.2836378129196</v>
      </c>
      <c r="N7" s="15">
        <f>('[8]NetUp Rev Req 3'!H$36*4)-SUM(N8:N9)</f>
        <v>4074.1697012895461</v>
      </c>
      <c r="O7" s="15">
        <f>('[8]NetUp Rev Req 3'!I$36*4)-SUM(O8:O9)</f>
        <v>3945.0090980459609</v>
      </c>
      <c r="P7" s="15">
        <f>('[8]NetUp Rev Req 3'!J$36*4)-SUM(P8:P9)</f>
        <v>3817.4354850764817</v>
      </c>
      <c r="Q7" s="15">
        <f>('[8]NetUp Rev Req 3'!K$36*4)-SUM(Q8:Q9)</f>
        <v>3689.8137814926363</v>
      </c>
      <c r="R7" s="15">
        <f>('[8]NetUp Rev Req 3'!L$36*4)-SUM(R8:R9)</f>
        <v>3562.1920779087914</v>
      </c>
      <c r="S7" s="15">
        <f>('[8]NetUp Rev Req 3'!M$36*4)-SUM(S8:S9)</f>
        <v>3434.570374324946</v>
      </c>
      <c r="T7" s="15">
        <f>('[8]NetUp Rev Req 3'!N$36*4)-SUM(T8:T9)</f>
        <v>3306.9486707411006</v>
      </c>
      <c r="U7" s="15">
        <f>('[8]NetUp Rev Req 3'!O$36*4)-SUM(U8:U9)</f>
        <v>3179.3269671572552</v>
      </c>
      <c r="V7" s="15">
        <f>('[8]NetUp Rev Req 3'!P$36*4)-SUM(V8:V9)</f>
        <v>3051.7052635734103</v>
      </c>
      <c r="W7" s="15">
        <f>('[8]NetUp Rev Req 3'!Q$36*4)-SUM(W8:W9)</f>
        <v>2924.0835599895645</v>
      </c>
      <c r="X7" s="15">
        <f>('[8]NetUp Rev Req 3'!R$36*4)-SUM(X8:X9)</f>
        <v>2810.6485876439492</v>
      </c>
      <c r="Y7" s="15">
        <f>('[8]NetUp Rev Req 3'!S$36*4)-SUM(Y8:Y9)</f>
        <v>2725.6351683891594</v>
      </c>
      <c r="Z7" s="15">
        <f>('[8]NetUp Rev Req 3'!T$36*4)-SUM(Z8:Z9)</f>
        <v>2654.8084803725997</v>
      </c>
      <c r="AA7" s="15">
        <f>('[8]NetUp Rev Req 3'!U$36*4)-SUM(AA8:AA9)</f>
        <v>2583.9817923560399</v>
      </c>
      <c r="AB7" s="15">
        <f>('[8]NetUp Rev Req 3'!V$36*4)-SUM(AB8:AB9)</f>
        <v>2513.1551043394802</v>
      </c>
      <c r="AC7" s="15">
        <f>('[8]NetUp Rev Req 3'!W$36*4)-SUM(AC8:AC9)</f>
        <v>2442.3284163229205</v>
      </c>
      <c r="AD7" s="15">
        <f>('[8]NetUp Rev Req 3'!X$36*4)-SUM(AD8:AD9)</f>
        <v>2371.5017283063607</v>
      </c>
      <c r="AE7" s="15">
        <f>('[8]NetUp Rev Req 3'!Y$36*4)-SUM(AE8:AE9)</f>
        <v>2300.6750402898006</v>
      </c>
      <c r="AF7" s="15">
        <f>('[8]NetUp Rev Req 3'!Z$36*4)-SUM(AF8:AF9)</f>
        <v>2229.8483522732408</v>
      </c>
      <c r="AG7" s="15">
        <f>('[8]NetUp Rev Req 3'!AA$36*4)-SUM(AG8:AG9)</f>
        <v>2159.0216642566807</v>
      </c>
      <c r="AH7" s="15">
        <f>('[8]NetUp Rev Req 3'!AB$36*4)-SUM(AH8:AH9)</f>
        <v>2088.1949762401214</v>
      </c>
      <c r="AI7" s="15">
        <f>('[8]NetUp Rev Req 3'!AC$36*4)-SUM(AI8:AI9)</f>
        <v>2017.3682882235612</v>
      </c>
      <c r="AJ7" s="15">
        <f>('[8]NetUp Rev Req 3'!AD$36*4)-SUM(AJ8:AJ9)</f>
        <v>1946.541600207001</v>
      </c>
      <c r="AK7" s="15">
        <f>('[8]NetUp Rev Req 3'!AE$36*4)-SUM(AK8:AK9)</f>
        <v>1875.7149121904408</v>
      </c>
      <c r="AL7" s="214">
        <f>('[8]NetUp Rev Req 3'!AF$36*4)-SUM(AL8:AL9)</f>
        <v>1804.8882241738809</v>
      </c>
      <c r="AM7" s="15">
        <f>('[8]NetUp Rev Req 3'!AG$36*4)-SUM(AM8:AM9)</f>
        <v>1734.0615361573214</v>
      </c>
      <c r="AN7" s="15">
        <f>('[8]NetUp Rev Req 3'!AH$36*4)-SUM(AN8:AN9)</f>
        <v>1663.2348481407607</v>
      </c>
      <c r="AO7" s="15">
        <f>('[8]NetUp Rev Req 3'!AI$36*4)-SUM(AO8:AO9)</f>
        <v>1592.408160124201</v>
      </c>
      <c r="AP7" s="15">
        <f>('[8]NetUp Rev Req 3'!AJ$36*4)-SUM(AP8:AP9)</f>
        <v>1521.5814721076408</v>
      </c>
      <c r="AQ7" s="15">
        <f>('[8]NetUp Rev Req 3'!AK$36*4)-SUM(AQ8:AQ9)</f>
        <v>1450.7547840910811</v>
      </c>
      <c r="AR7" s="15">
        <f>('[8]NetUp Rev Req 3'!AL$36*4)-SUM(AR8:AR9)</f>
        <v>1379.9280960745214</v>
      </c>
      <c r="AS7" s="15">
        <f>('[8]NetUp Rev Req 3'!AM$36*4)-SUM(AS8:AS9)</f>
        <v>1309.1014080579612</v>
      </c>
      <c r="AT7" s="15">
        <f>('[8]NetUp Rev Req 3'!AN$36*4)-SUM(AT8:AT9)</f>
        <v>1238.2747200414015</v>
      </c>
      <c r="AU7" s="15">
        <f>('[8]NetUp Rev Req 3'!AO$36*4)-SUM(AU8:AU9)</f>
        <v>1167.4480320248417</v>
      </c>
      <c r="AV7" s="15">
        <f>('[8]NetUp Rev Req 3'!AP$36*4)-SUM(AV8:AV9)</f>
        <v>1096.6213440083015</v>
      </c>
      <c r="AW7" s="15">
        <f>('[8]NetUp Rev Req 3'!AQ$36*4)-SUM(AW8:AW9)</f>
        <v>0</v>
      </c>
      <c r="AX7" s="15">
        <f>('[8]NetUp Rev Req 3'!AR$36*4)-SUM(AX8:AX9)</f>
        <v>0</v>
      </c>
      <c r="AY7" s="15">
        <f>('[8]NetUp Rev Req 3'!AS$36*4)-SUM(AY8:AY9)</f>
        <v>0</v>
      </c>
      <c r="AZ7" s="15">
        <f>('[8]NetUp Rev Req 3'!AT$36*4)-SUM(AZ8:AZ9)</f>
        <v>0</v>
      </c>
      <c r="BA7" s="15">
        <f>('[8]NetUp Rev Req 3'!AU$36*4)-SUM(BA8:BA9)</f>
        <v>0</v>
      </c>
      <c r="BB7" s="15">
        <f>('[8]NetUp Rev Req 3'!AV$36*4)-SUM(BB8:BB9)</f>
        <v>0</v>
      </c>
      <c r="BC7" s="15">
        <f>('[8]NetUp Rev Req 3'!AW$36*4)-SUM(BC8:BC9)</f>
        <v>0</v>
      </c>
    </row>
    <row r="8" spans="1:55">
      <c r="A8" s="24">
        <f>NPV('Financial Information'!$B$5,$E8:$AL8)*(1+'Financial Information'!$B$5)</f>
        <v>3477.2974747085323</v>
      </c>
      <c r="B8" s="24">
        <f>NPV('Financial Information'!$B$5,$E8:$BB8)*(1+'Financial Information'!$B$5)</f>
        <v>3753.967371856264</v>
      </c>
      <c r="C8" s="6" t="s">
        <v>39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f>'[8]NetUp Rev Req 3'!C$34*4</f>
        <v>330.20548128000001</v>
      </c>
      <c r="J8" s="15">
        <f>'[8]NetUp Rev Req 3'!D$34*4</f>
        <v>330.20548128000001</v>
      </c>
      <c r="K8" s="15">
        <f>'[8]NetUp Rev Req 3'!E$34*4</f>
        <v>330.20548128000001</v>
      </c>
      <c r="L8" s="15">
        <f>'[8]NetUp Rev Req 3'!F$34*4</f>
        <v>330.20548128000001</v>
      </c>
      <c r="M8" s="15">
        <f>'[8]NetUp Rev Req 3'!G$34*4</f>
        <v>330.20548128000001</v>
      </c>
      <c r="N8" s="15">
        <f>'[8]NetUp Rev Req 3'!H$34*4</f>
        <v>330.20548128000001</v>
      </c>
      <c r="O8" s="15">
        <f>'[8]NetUp Rev Req 3'!I$34*4</f>
        <v>330.20548128000001</v>
      </c>
      <c r="P8" s="15">
        <f>'[8]NetUp Rev Req 3'!J$34*4</f>
        <v>330.20548128000001</v>
      </c>
      <c r="Q8" s="15">
        <f>'[8]NetUp Rev Req 3'!K$34*4</f>
        <v>330.20548128000001</v>
      </c>
      <c r="R8" s="15">
        <f>'[8]NetUp Rev Req 3'!L$34*4</f>
        <v>330.20548128000001</v>
      </c>
      <c r="S8" s="15">
        <f>'[8]NetUp Rev Req 3'!M$34*4</f>
        <v>330.20548128000001</v>
      </c>
      <c r="T8" s="15">
        <f>'[8]NetUp Rev Req 3'!N$34*4</f>
        <v>330.20548128000001</v>
      </c>
      <c r="U8" s="15">
        <f>'[8]NetUp Rev Req 3'!O$34*4</f>
        <v>330.20548128000001</v>
      </c>
      <c r="V8" s="15">
        <f>'[8]NetUp Rev Req 3'!P$34*4</f>
        <v>330.20548128000001</v>
      </c>
      <c r="W8" s="15">
        <f>'[8]NetUp Rev Req 3'!Q$34*4</f>
        <v>330.20548128000001</v>
      </c>
      <c r="X8" s="15">
        <f>'[8]NetUp Rev Req 3'!R$34*4</f>
        <v>330.20548128000001</v>
      </c>
      <c r="Y8" s="15">
        <f>'[8]NetUp Rev Req 3'!S$34*4</f>
        <v>330.20548128000001</v>
      </c>
      <c r="Z8" s="15">
        <f>'[8]NetUp Rev Req 3'!T$34*4</f>
        <v>330.20548128000001</v>
      </c>
      <c r="AA8" s="15">
        <f>'[8]NetUp Rev Req 3'!U$34*4</f>
        <v>330.20548128000001</v>
      </c>
      <c r="AB8" s="15">
        <f>'[8]NetUp Rev Req 3'!V$34*4</f>
        <v>330.20548128000001</v>
      </c>
      <c r="AC8" s="15">
        <f>'[8]NetUp Rev Req 3'!W$34*4</f>
        <v>330.20548128000001</v>
      </c>
      <c r="AD8" s="15">
        <f>'[8]NetUp Rev Req 3'!X$34*4</f>
        <v>330.20548128000001</v>
      </c>
      <c r="AE8" s="15">
        <f>'[8]NetUp Rev Req 3'!Y$34*4</f>
        <v>330.20548128000001</v>
      </c>
      <c r="AF8" s="15">
        <f>'[8]NetUp Rev Req 3'!Z$34*4</f>
        <v>330.20548128000001</v>
      </c>
      <c r="AG8" s="15">
        <f>'[8]NetUp Rev Req 3'!AA$34*4</f>
        <v>330.20548128000001</v>
      </c>
      <c r="AH8" s="15">
        <f>'[8]NetUp Rev Req 3'!AB$34*4</f>
        <v>330.20548128000001</v>
      </c>
      <c r="AI8" s="15">
        <f>'[8]NetUp Rev Req 3'!AC$34*4</f>
        <v>330.20548128000001</v>
      </c>
      <c r="AJ8" s="15">
        <f>'[8]NetUp Rev Req 3'!AD$34*4</f>
        <v>330.20548128000001</v>
      </c>
      <c r="AK8" s="15">
        <f>'[8]NetUp Rev Req 3'!AE$34*4</f>
        <v>330.20548128000001</v>
      </c>
      <c r="AL8" s="214">
        <f>'[8]NetUp Rev Req 3'!AF$34*4</f>
        <v>330.20548128000001</v>
      </c>
      <c r="AM8" s="15">
        <f>'[8]NetUp Rev Req 3'!AG$34*4</f>
        <v>330.20548128000001</v>
      </c>
      <c r="AN8" s="15">
        <f>'[8]NetUp Rev Req 3'!AH$34*4</f>
        <v>330.20548128000001</v>
      </c>
      <c r="AO8" s="15">
        <f>'[8]NetUp Rev Req 3'!AI$34*4</f>
        <v>330.20548128000001</v>
      </c>
      <c r="AP8" s="15">
        <f>'[8]NetUp Rev Req 3'!AJ$34*4</f>
        <v>330.20548128000001</v>
      </c>
      <c r="AQ8" s="15">
        <f>'[8]NetUp Rev Req 3'!AK$34*4</f>
        <v>330.20548128000001</v>
      </c>
      <c r="AR8" s="15">
        <f>'[8]NetUp Rev Req 3'!AL$34*4</f>
        <v>330.20548128000001</v>
      </c>
      <c r="AS8" s="15">
        <f>'[8]NetUp Rev Req 3'!AM$34*4</f>
        <v>330.20548128000001</v>
      </c>
      <c r="AT8" s="15">
        <f>'[8]NetUp Rev Req 3'!AN$34*4</f>
        <v>330.20548128000001</v>
      </c>
      <c r="AU8" s="15">
        <f>'[8]NetUp Rev Req 3'!AO$34*4</f>
        <v>330.20548128000001</v>
      </c>
      <c r="AV8" s="15">
        <f>'[8]NetUp Rev Req 3'!AP$34*4</f>
        <v>330.20548128000001</v>
      </c>
      <c r="AW8" s="15">
        <f>'[8]NetUp Rev Req 3'!AQ$34*4</f>
        <v>0</v>
      </c>
      <c r="AX8" s="15">
        <f>'[8]NetUp Rev Req 3'!AR$34*4</f>
        <v>0</v>
      </c>
      <c r="AY8" s="15">
        <f>'[8]NetUp Rev Req 3'!AS$34*4</f>
        <v>0</v>
      </c>
      <c r="AZ8" s="15">
        <f>'[8]NetUp Rev Req 3'!AT$34*4</f>
        <v>0</v>
      </c>
      <c r="BA8" s="15">
        <f>'[8]NetUp Rev Req 3'!AU$34*4</f>
        <v>0</v>
      </c>
      <c r="BB8" s="15">
        <f>'[8]NetUp Rev Req 3'!AV$34*4</f>
        <v>0</v>
      </c>
      <c r="BC8" s="15">
        <f>'[8]NetUp Rev Req 3'!AW$34*4</f>
        <v>0</v>
      </c>
    </row>
    <row r="9" spans="1:55">
      <c r="A9" s="386">
        <f>NPV('Financial Information'!$B$5,$E9:$AL9)*(1+'Financial Information'!$B$5)</f>
        <v>751.28236425789612</v>
      </c>
      <c r="B9" s="386">
        <f>NPV('Financial Information'!$B$5,$E9:$BB9)*(1+'Financial Information'!$B$5)</f>
        <v>869.9386913370497</v>
      </c>
      <c r="C9" s="12" t="s">
        <v>40</v>
      </c>
      <c r="D9" s="389">
        <v>0</v>
      </c>
      <c r="E9" s="389">
        <v>0</v>
      </c>
      <c r="F9" s="389">
        <v>0</v>
      </c>
      <c r="G9" s="389">
        <v>0</v>
      </c>
      <c r="H9" s="389">
        <v>0</v>
      </c>
      <c r="I9" s="389">
        <f>'[8]NetUp Rev Req 3'!C$35*4</f>
        <v>51.702053759999998</v>
      </c>
      <c r="J9" s="389">
        <f>'[8]NetUp Rev Req 3'!D$35*4</f>
        <v>53.253115372799996</v>
      </c>
      <c r="K9" s="389">
        <f>'[8]NetUp Rev Req 3'!E$35*4</f>
        <v>54.850708833983994</v>
      </c>
      <c r="L9" s="389">
        <f>'[8]NetUp Rev Req 3'!F$35*4</f>
        <v>56.496230099003519</v>
      </c>
      <c r="M9" s="389">
        <f>'[8]NetUp Rev Req 3'!G$35*4</f>
        <v>58.191117001973616</v>
      </c>
      <c r="N9" s="389">
        <f>'[8]NetUp Rev Req 3'!H$35*4</f>
        <v>59.936850512032827</v>
      </c>
      <c r="O9" s="389">
        <f>'[8]NetUp Rev Req 3'!I$35*4</f>
        <v>61.734956027393814</v>
      </c>
      <c r="P9" s="389">
        <f>'[8]NetUp Rev Req 3'!J$35*4</f>
        <v>63.58700470821563</v>
      </c>
      <c r="Q9" s="389">
        <f>'[8]NetUp Rev Req 3'!K$35*4</f>
        <v>65.494614849462096</v>
      </c>
      <c r="R9" s="389">
        <f>'[8]NetUp Rev Req 3'!L$35*4</f>
        <v>67.459453294945959</v>
      </c>
      <c r="S9" s="389">
        <f>'[8]NetUp Rev Req 3'!M$35*4</f>
        <v>69.483236893794341</v>
      </c>
      <c r="T9" s="389">
        <f>'[8]NetUp Rev Req 3'!N$35*4</f>
        <v>71.567734000608169</v>
      </c>
      <c r="U9" s="389">
        <f>'[8]NetUp Rev Req 3'!O$35*4</f>
        <v>73.714766020626399</v>
      </c>
      <c r="V9" s="389">
        <f>'[8]NetUp Rev Req 3'!P$35*4</f>
        <v>75.926209001245184</v>
      </c>
      <c r="W9" s="389">
        <f>'[8]NetUp Rev Req 3'!Q$35*4</f>
        <v>78.203995271282551</v>
      </c>
      <c r="X9" s="389">
        <f>'[8]NetUp Rev Req 3'!R$35*4</f>
        <v>80.55011512942103</v>
      </c>
      <c r="Y9" s="389">
        <f>'[8]NetUp Rev Req 3'!S$35*4</f>
        <v>82.966618583303656</v>
      </c>
      <c r="Z9" s="389">
        <f>'[8]NetUp Rev Req 3'!T$35*4</f>
        <v>85.455617140802758</v>
      </c>
      <c r="AA9" s="389">
        <f>'[8]NetUp Rev Req 3'!U$35*4</f>
        <v>88.019285655026849</v>
      </c>
      <c r="AB9" s="389">
        <f>'[8]NetUp Rev Req 3'!V$35*4</f>
        <v>90.659864224677648</v>
      </c>
      <c r="AC9" s="389">
        <f>'[8]NetUp Rev Req 3'!W$35*4</f>
        <v>93.37966015141798</v>
      </c>
      <c r="AD9" s="389">
        <f>'[8]NetUp Rev Req 3'!X$35*4</f>
        <v>96.181049955960503</v>
      </c>
      <c r="AE9" s="389">
        <f>'[8]NetUp Rev Req 3'!Y$35*4</f>
        <v>99.06648145463933</v>
      </c>
      <c r="AF9" s="389">
        <f>'[8]NetUp Rev Req 3'!Z$35*4</f>
        <v>102.03847589827852</v>
      </c>
      <c r="AG9" s="389">
        <f>'[8]NetUp Rev Req 3'!AA$35*4</f>
        <v>105.09963017522685</v>
      </c>
      <c r="AH9" s="389">
        <f>'[8]NetUp Rev Req 3'!AB$35*4</f>
        <v>108.25261908048365</v>
      </c>
      <c r="AI9" s="389">
        <f>'[8]NetUp Rev Req 3'!AC$35*4</f>
        <v>111.50019765289818</v>
      </c>
      <c r="AJ9" s="389">
        <f>'[8]NetUp Rev Req 3'!AD$35*4</f>
        <v>114.84520358248511</v>
      </c>
      <c r="AK9" s="389">
        <f>'[8]NetUp Rev Req 3'!AE$35*4</f>
        <v>118.29055968995966</v>
      </c>
      <c r="AL9" s="398">
        <f>'[8]NetUp Rev Req 3'!AF$35*4</f>
        <v>121.83927648065844</v>
      </c>
      <c r="AM9" s="389">
        <f>'[8]NetUp Rev Req 3'!AG$35*4</f>
        <v>125.4944547750782</v>
      </c>
      <c r="AN9" s="389">
        <f>'[8]NetUp Rev Req 3'!AH$35*4</f>
        <v>129.25928841833056</v>
      </c>
      <c r="AO9" s="389">
        <f>'[8]NetUp Rev Req 3'!AI$35*4</f>
        <v>133.13706707088045</v>
      </c>
      <c r="AP9" s="389">
        <f>'[8]NetUp Rev Req 3'!AJ$35*4</f>
        <v>137.13117908300688</v>
      </c>
      <c r="AQ9" s="389">
        <f>'[8]NetUp Rev Req 3'!AK$35*4</f>
        <v>141.24511445549706</v>
      </c>
      <c r="AR9" s="389">
        <f>'[8]NetUp Rev Req 3'!AL$35*4</f>
        <v>145.482467889162</v>
      </c>
      <c r="AS9" s="389">
        <f>'[8]NetUp Rev Req 3'!AM$35*4</f>
        <v>149.84694192583686</v>
      </c>
      <c r="AT9" s="389">
        <f>'[8]NetUp Rev Req 3'!AN$35*4</f>
        <v>154.34235018361193</v>
      </c>
      <c r="AU9" s="389">
        <f>'[8]NetUp Rev Req 3'!AO$35*4</f>
        <v>158.9726206891203</v>
      </c>
      <c r="AV9" s="389">
        <f>'[8]NetUp Rev Req 3'!AP$35*4</f>
        <v>163.74179930979392</v>
      </c>
      <c r="AW9" s="389">
        <f>'[8]NetUp Rev Req 3'!AQ$35*4</f>
        <v>0</v>
      </c>
      <c r="AX9" s="389">
        <f>'[8]NetUp Rev Req 3'!AR$35*4</f>
        <v>0</v>
      </c>
      <c r="AY9" s="389">
        <f>'[8]NetUp Rev Req 3'!AS$35*4</f>
        <v>0</v>
      </c>
      <c r="AZ9" s="389">
        <f>'[8]NetUp Rev Req 3'!AT$35*4</f>
        <v>0</v>
      </c>
      <c r="BA9" s="389">
        <f>'[8]NetUp Rev Req 3'!AU$35*4</f>
        <v>0</v>
      </c>
      <c r="BB9" s="389">
        <f>'[8]NetUp Rev Req 3'!AV$35*4</f>
        <v>0</v>
      </c>
      <c r="BC9" s="389">
        <f>'[8]NetUp Rev Req 3'!AW$35*4</f>
        <v>0</v>
      </c>
    </row>
    <row r="10" spans="1:55">
      <c r="A10" s="24">
        <f>SUM(A2:A9)</f>
        <v>426949.5619947036</v>
      </c>
      <c r="B10" s="24">
        <f>SUM(B2:B9)</f>
        <v>428562.29059976689</v>
      </c>
      <c r="D10" s="16">
        <f t="shared" ref="D10:AL10" si="1">SUM(D2:D9)</f>
        <v>0</v>
      </c>
      <c r="E10" s="16">
        <f t="shared" si="1"/>
        <v>0</v>
      </c>
      <c r="F10" s="16">
        <f t="shared" si="1"/>
        <v>0</v>
      </c>
      <c r="G10" s="16">
        <f t="shared" si="1"/>
        <v>0</v>
      </c>
      <c r="H10" s="16">
        <f t="shared" si="1"/>
        <v>0</v>
      </c>
      <c r="I10" s="16">
        <f t="shared" si="1"/>
        <v>55726.989680309067</v>
      </c>
      <c r="J10" s="16">
        <f t="shared" si="1"/>
        <v>52793.473703144649</v>
      </c>
      <c r="K10" s="16">
        <f t="shared" si="1"/>
        <v>49901.085466729717</v>
      </c>
      <c r="L10" s="16">
        <f t="shared" si="1"/>
        <v>46021.338301713404</v>
      </c>
      <c r="M10" s="16">
        <f t="shared" si="1"/>
        <v>44244.39712844773</v>
      </c>
      <c r="N10" s="16">
        <f t="shared" si="1"/>
        <v>42880.590274472168</v>
      </c>
      <c r="O10" s="16">
        <f t="shared" si="1"/>
        <v>41748.934111745402</v>
      </c>
      <c r="P10" s="16">
        <f t="shared" si="1"/>
        <v>40840.362908759162</v>
      </c>
      <c r="Q10" s="16">
        <f t="shared" si="1"/>
        <v>39937.411966636493</v>
      </c>
      <c r="R10" s="16">
        <f t="shared" si="1"/>
        <v>39077.769920271632</v>
      </c>
      <c r="S10" s="16">
        <f t="shared" si="1"/>
        <v>38180.192821442841</v>
      </c>
      <c r="T10" s="16">
        <f t="shared" si="1"/>
        <v>37276.628651193329</v>
      </c>
      <c r="U10" s="16">
        <f t="shared" si="1"/>
        <v>36377.689745794814</v>
      </c>
      <c r="V10" s="16">
        <f t="shared" si="1"/>
        <v>35652.814105244244</v>
      </c>
      <c r="W10" s="16">
        <f t="shared" si="1"/>
        <v>37252.49172374406</v>
      </c>
      <c r="X10" s="16">
        <f t="shared" si="1"/>
        <v>36179.53635278585</v>
      </c>
      <c r="Y10" s="16">
        <f t="shared" si="1"/>
        <v>35141.622923839546</v>
      </c>
      <c r="Z10" s="16">
        <f t="shared" si="1"/>
        <v>34060.98396907236</v>
      </c>
      <c r="AA10" s="16">
        <f t="shared" si="1"/>
        <v>32983.895044501951</v>
      </c>
      <c r="AB10" s="16">
        <f t="shared" si="1"/>
        <v>32024.006974762793</v>
      </c>
      <c r="AC10" s="16">
        <f t="shared" si="1"/>
        <v>31266.189711396146</v>
      </c>
      <c r="AD10" s="16">
        <f t="shared" si="1"/>
        <v>30270.346385037334</v>
      </c>
      <c r="AE10" s="16">
        <f t="shared" si="1"/>
        <v>29531.971313818343</v>
      </c>
      <c r="AF10" s="16">
        <f t="shared" si="1"/>
        <v>28609.017910137885</v>
      </c>
      <c r="AG10" s="16">
        <f t="shared" si="1"/>
        <v>27928.46609046097</v>
      </c>
      <c r="AH10" s="16">
        <f t="shared" si="1"/>
        <v>27070.672870798135</v>
      </c>
      <c r="AI10" s="16">
        <f t="shared" si="1"/>
        <v>26280.936972826858</v>
      </c>
      <c r="AJ10" s="16">
        <f t="shared" si="1"/>
        <v>25557.515065352411</v>
      </c>
      <c r="AK10" s="16">
        <f t="shared" si="1"/>
        <v>24837.661851648743</v>
      </c>
      <c r="AL10" s="211">
        <f t="shared" si="1"/>
        <v>31274.000020948148</v>
      </c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1:55">
      <c r="A11" s="2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55">
      <c r="A12" s="390"/>
      <c r="B12" s="6">
        <f>74.9*4</f>
        <v>299.60000000000002</v>
      </c>
      <c r="C12" s="6" t="str">
        <f>C6&amp;" $/kw"</f>
        <v>O&amp;M $/kw</v>
      </c>
      <c r="E12" s="25">
        <f>E6/55</f>
        <v>0</v>
      </c>
      <c r="F12" s="25">
        <f t="shared" ref="F12:H12" si="2">F6/55</f>
        <v>0</v>
      </c>
      <c r="G12" s="25">
        <f t="shared" si="2"/>
        <v>0</v>
      </c>
      <c r="H12" s="25">
        <f t="shared" si="2"/>
        <v>0</v>
      </c>
      <c r="I12" s="25">
        <f>I6/$B$12</f>
        <v>8.4631035375635424</v>
      </c>
      <c r="J12" s="25">
        <f t="shared" ref="J12:AM12" si="3">J6/$B$12</f>
        <v>8.589341416622986</v>
      </c>
      <c r="K12" s="25">
        <f t="shared" si="3"/>
        <v>8.7873494492020772</v>
      </c>
      <c r="L12" s="25">
        <f t="shared" si="3"/>
        <v>8.9905063352950485</v>
      </c>
      <c r="M12" s="25">
        <f t="shared" si="3"/>
        <v>9.26570581954436</v>
      </c>
      <c r="N12" s="25">
        <f t="shared" si="3"/>
        <v>10.167168052548661</v>
      </c>
      <c r="O12" s="25">
        <f t="shared" si="3"/>
        <v>10.409139876331386</v>
      </c>
      <c r="P12" s="25">
        <f t="shared" si="3"/>
        <v>10.65607311185722</v>
      </c>
      <c r="Q12" s="25">
        <f t="shared" si="3"/>
        <v>10.908116147187362</v>
      </c>
      <c r="R12" s="25">
        <f t="shared" si="3"/>
        <v>11.232220359901154</v>
      </c>
      <c r="S12" s="25">
        <f t="shared" si="3"/>
        <v>11.42835765270355</v>
      </c>
      <c r="T12" s="25">
        <f t="shared" si="3"/>
        <v>11.697071469421802</v>
      </c>
      <c r="U12" s="25">
        <f t="shared" si="3"/>
        <v>11.971913171237579</v>
      </c>
      <c r="V12" s="25">
        <f t="shared" si="3"/>
        <v>12.820102072342639</v>
      </c>
      <c r="W12" s="25">
        <f t="shared" si="3"/>
        <v>12.608071862104959</v>
      </c>
      <c r="X12" s="25">
        <f t="shared" si="3"/>
        <v>12.836576779179376</v>
      </c>
      <c r="Y12" s="25">
        <f t="shared" si="3"/>
        <v>13.139349922022047</v>
      </c>
      <c r="Z12" s="25">
        <f t="shared" si="3"/>
        <v>13.449986893871309</v>
      </c>
      <c r="AA12" s="25">
        <f t="shared" si="3"/>
        <v>13.768830678775517</v>
      </c>
      <c r="AB12" s="25">
        <f t="shared" si="3"/>
        <v>14.162968652556192</v>
      </c>
      <c r="AC12" s="25">
        <f t="shared" si="3"/>
        <v>14.432452534260566</v>
      </c>
      <c r="AD12" s="25">
        <f t="shared" si="3"/>
        <v>14.777854670297319</v>
      </c>
      <c r="AE12" s="25">
        <f t="shared" si="3"/>
        <v>15.132711896434817</v>
      </c>
      <c r="AF12" s="25">
        <f t="shared" si="3"/>
        <v>15.497305376406272</v>
      </c>
      <c r="AG12" s="25">
        <f t="shared" si="3"/>
        <v>15.938662711874986</v>
      </c>
      <c r="AH12" s="25">
        <f t="shared" si="3"/>
        <v>16.256782101487754</v>
      </c>
      <c r="AI12" s="25">
        <f t="shared" si="3"/>
        <v>16.652191825945231</v>
      </c>
      <c r="AJ12" s="25">
        <f t="shared" si="3"/>
        <v>17.058396279885944</v>
      </c>
      <c r="AK12" s="25">
        <f t="shared" si="3"/>
        <v>17.475657001966123</v>
      </c>
      <c r="AL12" s="25">
        <f t="shared" si="3"/>
        <v>17.970995109524679</v>
      </c>
      <c r="AM12" s="25">
        <f t="shared" si="3"/>
        <v>0</v>
      </c>
    </row>
    <row r="13" spans="1:55">
      <c r="A13" s="390"/>
      <c r="E13" s="15">
        <f>SUM(E2:E6)</f>
        <v>0</v>
      </c>
      <c r="F13" s="15">
        <f t="shared" ref="F13:AS13" si="4">SUM(F2:F6)</f>
        <v>0</v>
      </c>
      <c r="G13" s="15">
        <f t="shared" si="4"/>
        <v>0</v>
      </c>
      <c r="H13" s="15">
        <f t="shared" si="4"/>
        <v>0</v>
      </c>
      <c r="I13" s="15">
        <f t="shared" si="4"/>
        <v>50548.452988460791</v>
      </c>
      <c r="J13" s="15">
        <f t="shared" si="4"/>
        <v>47753.944028532111</v>
      </c>
      <c r="K13" s="15">
        <f t="shared" si="4"/>
        <v>45017.588445604772</v>
      </c>
      <c r="L13" s="15">
        <f t="shared" si="4"/>
        <v>41285.169695686178</v>
      </c>
      <c r="M13" s="15">
        <f t="shared" si="4"/>
        <v>39647.716892352837</v>
      </c>
      <c r="N13" s="15">
        <f t="shared" si="4"/>
        <v>38416.278241390595</v>
      </c>
      <c r="O13" s="15">
        <f t="shared" si="4"/>
        <v>37411.984576392046</v>
      </c>
      <c r="P13" s="15">
        <f t="shared" si="4"/>
        <v>36629.134937694471</v>
      </c>
      <c r="Q13" s="15">
        <f t="shared" si="4"/>
        <v>35851.898089014394</v>
      </c>
      <c r="R13" s="15">
        <f t="shared" si="4"/>
        <v>35117.912907787897</v>
      </c>
      <c r="S13" s="15">
        <f t="shared" si="4"/>
        <v>34345.933728944103</v>
      </c>
      <c r="T13" s="15">
        <f t="shared" si="4"/>
        <v>33567.906765171625</v>
      </c>
      <c r="U13" s="15">
        <f t="shared" si="4"/>
        <v>32794.442531336936</v>
      </c>
      <c r="V13" s="15">
        <f t="shared" si="4"/>
        <v>32194.977151389594</v>
      </c>
      <c r="W13" s="15">
        <f t="shared" si="4"/>
        <v>33919.998687203217</v>
      </c>
      <c r="X13" s="15">
        <f t="shared" si="4"/>
        <v>32958.132168732482</v>
      </c>
      <c r="Y13" s="15">
        <f t="shared" si="4"/>
        <v>32002.815655587081</v>
      </c>
      <c r="Z13" s="15">
        <f t="shared" si="4"/>
        <v>30990.514390278957</v>
      </c>
      <c r="AA13" s="15">
        <f t="shared" si="4"/>
        <v>29981.688485210885</v>
      </c>
      <c r="AB13" s="15">
        <f t="shared" si="4"/>
        <v>29089.986524918633</v>
      </c>
      <c r="AC13" s="15">
        <f t="shared" si="4"/>
        <v>28400.276153641804</v>
      </c>
      <c r="AD13" s="15">
        <f t="shared" si="4"/>
        <v>27472.45812549501</v>
      </c>
      <c r="AE13" s="15">
        <f t="shared" si="4"/>
        <v>26802.024310793902</v>
      </c>
      <c r="AF13" s="15">
        <f t="shared" si="4"/>
        <v>25946.925600686362</v>
      </c>
      <c r="AG13" s="15">
        <f t="shared" si="4"/>
        <v>25334.13931474906</v>
      </c>
      <c r="AH13" s="15">
        <f t="shared" si="4"/>
        <v>24544.019794197531</v>
      </c>
      <c r="AI13" s="15">
        <f t="shared" si="4"/>
        <v>23821.863005670395</v>
      </c>
      <c r="AJ13" s="15">
        <f t="shared" si="4"/>
        <v>23165.922780282923</v>
      </c>
      <c r="AK13" s="15">
        <f t="shared" si="4"/>
        <v>22513.450898488343</v>
      </c>
      <c r="AL13" s="15">
        <f t="shared" si="4"/>
        <v>29017.067039013607</v>
      </c>
      <c r="AM13" s="15">
        <f t="shared" si="4"/>
        <v>0</v>
      </c>
      <c r="AN13" s="15">
        <f t="shared" si="4"/>
        <v>0</v>
      </c>
      <c r="AO13" s="15">
        <f t="shared" si="4"/>
        <v>0</v>
      </c>
      <c r="AP13" s="15">
        <f t="shared" si="4"/>
        <v>0</v>
      </c>
      <c r="AQ13" s="15">
        <f t="shared" si="4"/>
        <v>0</v>
      </c>
      <c r="AR13" s="15">
        <f t="shared" si="4"/>
        <v>0</v>
      </c>
      <c r="AS13" s="15">
        <f t="shared" si="4"/>
        <v>0</v>
      </c>
    </row>
    <row r="14" spans="1:55" s="15" customFormat="1">
      <c r="A14" s="38">
        <f>NPV('Financial Information'!$B$5,$E14:$AL14)*(1+'Financial Information'!$B$5)</f>
        <v>96331.218333295867</v>
      </c>
      <c r="B14" s="399">
        <f>NPV('Financial Information'!$B$5,$I14:$AL14)</f>
        <v>117020.05860180235</v>
      </c>
      <c r="C14" s="400">
        <f>'[8]Solar Rev Req 3'!$B$35</f>
        <v>117020.05860180235</v>
      </c>
      <c r="D14" s="6"/>
      <c r="E14" s="15">
        <v>0</v>
      </c>
      <c r="F14" s="15">
        <v>0</v>
      </c>
      <c r="G14" s="15">
        <v>0</v>
      </c>
      <c r="H14" s="15">
        <f>H13/4</f>
        <v>0</v>
      </c>
      <c r="I14" s="15">
        <f t="shared" ref="I14:AL14" si="5">I13/4</f>
        <v>12637.113247115198</v>
      </c>
      <c r="J14" s="15">
        <f t="shared" si="5"/>
        <v>11938.486007133028</v>
      </c>
      <c r="K14" s="15">
        <f t="shared" si="5"/>
        <v>11254.397111401193</v>
      </c>
      <c r="L14" s="15">
        <f t="shared" si="5"/>
        <v>10321.292423921544</v>
      </c>
      <c r="M14" s="15">
        <f t="shared" si="5"/>
        <v>9911.9292230882093</v>
      </c>
      <c r="N14" s="15">
        <f t="shared" si="5"/>
        <v>9604.0695603476488</v>
      </c>
      <c r="O14" s="15">
        <f t="shared" si="5"/>
        <v>9352.9961440980114</v>
      </c>
      <c r="P14" s="15">
        <f t="shared" si="5"/>
        <v>9157.2837344236177</v>
      </c>
      <c r="Q14" s="15">
        <f t="shared" si="5"/>
        <v>8962.9745222535985</v>
      </c>
      <c r="R14" s="15">
        <f t="shared" si="5"/>
        <v>8779.4782269469742</v>
      </c>
      <c r="S14" s="15">
        <f t="shared" si="5"/>
        <v>8586.4834322360257</v>
      </c>
      <c r="T14" s="15">
        <f t="shared" si="5"/>
        <v>8391.9766912929063</v>
      </c>
      <c r="U14" s="15">
        <f t="shared" si="5"/>
        <v>8198.6106328342339</v>
      </c>
      <c r="V14" s="15">
        <f t="shared" si="5"/>
        <v>8048.7442878473985</v>
      </c>
      <c r="W14" s="15">
        <f t="shared" si="5"/>
        <v>8479.9996718008042</v>
      </c>
      <c r="X14" s="15">
        <f t="shared" si="5"/>
        <v>8239.5330421831204</v>
      </c>
      <c r="Y14" s="15">
        <f t="shared" si="5"/>
        <v>8000.7039138967702</v>
      </c>
      <c r="Z14" s="15">
        <f t="shared" si="5"/>
        <v>7747.6285975697392</v>
      </c>
      <c r="AA14" s="15">
        <f t="shared" si="5"/>
        <v>7495.4221213027213</v>
      </c>
      <c r="AB14" s="15">
        <f t="shared" si="5"/>
        <v>7272.4966312296583</v>
      </c>
      <c r="AC14" s="15">
        <f t="shared" si="5"/>
        <v>7100.069038410451</v>
      </c>
      <c r="AD14" s="15">
        <f t="shared" si="5"/>
        <v>6868.1145313737525</v>
      </c>
      <c r="AE14" s="15">
        <f t="shared" si="5"/>
        <v>6700.5060776984756</v>
      </c>
      <c r="AF14" s="15">
        <f t="shared" si="5"/>
        <v>6486.7314001715904</v>
      </c>
      <c r="AG14" s="15">
        <f t="shared" si="5"/>
        <v>6333.534828687265</v>
      </c>
      <c r="AH14" s="15">
        <f t="shared" si="5"/>
        <v>6136.0049485493828</v>
      </c>
      <c r="AI14" s="15">
        <f t="shared" si="5"/>
        <v>5955.4657514175988</v>
      </c>
      <c r="AJ14" s="15">
        <f t="shared" si="5"/>
        <v>5791.4806950707307</v>
      </c>
      <c r="AK14" s="15">
        <f t="shared" si="5"/>
        <v>5628.3627246220858</v>
      </c>
      <c r="AL14" s="15">
        <f t="shared" si="5"/>
        <v>7254.2667597534019</v>
      </c>
    </row>
    <row r="15" spans="1:55">
      <c r="AI15" s="16"/>
    </row>
    <row r="16" spans="1:55">
      <c r="A16" s="38">
        <f>NPV('Financial Information'!$B$5,$E16:$AL16)*(1+'Financial Information'!$B$5)</f>
        <v>36050.682623075729</v>
      </c>
      <c r="B16" s="24">
        <f>NPV('Financial Information'!$B$5,$D16:$BB16)*(1+'Financial Information'!$B$5)</f>
        <v>33786.956535216232</v>
      </c>
      <c r="C16" s="6" t="str">
        <f>C6</f>
        <v>O&amp;M</v>
      </c>
      <c r="D16" s="16">
        <v>0</v>
      </c>
      <c r="E16" s="16">
        <f>E6</f>
        <v>0</v>
      </c>
      <c r="F16" s="16">
        <f t="shared" ref="F16:BB16" si="6">F6</f>
        <v>0</v>
      </c>
      <c r="G16" s="16">
        <f t="shared" si="6"/>
        <v>0</v>
      </c>
      <c r="H16" s="16">
        <f t="shared" si="6"/>
        <v>0</v>
      </c>
      <c r="I16" s="16">
        <f t="shared" si="6"/>
        <v>2535.5458198540377</v>
      </c>
      <c r="J16" s="16">
        <f t="shared" si="6"/>
        <v>2573.3666884202466</v>
      </c>
      <c r="K16" s="16">
        <f t="shared" si="6"/>
        <v>2632.6898949809424</v>
      </c>
      <c r="L16" s="16">
        <f t="shared" si="6"/>
        <v>2693.555698054397</v>
      </c>
      <c r="M16" s="16">
        <f t="shared" si="6"/>
        <v>2776.0054635354904</v>
      </c>
      <c r="N16" s="16">
        <f t="shared" si="6"/>
        <v>3046.0835485435791</v>
      </c>
      <c r="O16" s="16">
        <f t="shared" si="6"/>
        <v>3118.5783069488834</v>
      </c>
      <c r="P16" s="16">
        <f t="shared" si="6"/>
        <v>3192.5595043124231</v>
      </c>
      <c r="Q16" s="16">
        <f t="shared" si="6"/>
        <v>3268.0715976973338</v>
      </c>
      <c r="R16" s="16">
        <f t="shared" si="6"/>
        <v>3365.1732198263858</v>
      </c>
      <c r="S16" s="16">
        <f t="shared" si="6"/>
        <v>3423.9359527499837</v>
      </c>
      <c r="T16" s="16">
        <f t="shared" si="6"/>
        <v>3504.4426122387722</v>
      </c>
      <c r="U16" s="16">
        <f t="shared" si="6"/>
        <v>3586.7851861027793</v>
      </c>
      <c r="V16" s="16">
        <f t="shared" si="6"/>
        <v>3840.9025808738547</v>
      </c>
      <c r="W16" s="16">
        <f t="shared" si="6"/>
        <v>3777.378329886646</v>
      </c>
      <c r="X16" s="16">
        <f t="shared" si="6"/>
        <v>3845.8384030421412</v>
      </c>
      <c r="Y16" s="16">
        <f t="shared" si="6"/>
        <v>3936.5492366378057</v>
      </c>
      <c r="Z16" s="16">
        <f t="shared" si="6"/>
        <v>4029.6160734038444</v>
      </c>
      <c r="AA16" s="16">
        <f t="shared" si="6"/>
        <v>4125.1416713611452</v>
      </c>
      <c r="AB16" s="16">
        <f t="shared" si="6"/>
        <v>4243.2254083058351</v>
      </c>
      <c r="AC16" s="16">
        <f t="shared" si="6"/>
        <v>4323.962779264466</v>
      </c>
      <c r="AD16" s="16">
        <f t="shared" si="6"/>
        <v>4427.4452592210773</v>
      </c>
      <c r="AE16" s="16">
        <f t="shared" si="6"/>
        <v>4533.7604841718712</v>
      </c>
      <c r="AF16" s="16">
        <f t="shared" si="6"/>
        <v>4642.9926907713198</v>
      </c>
      <c r="AG16" s="16">
        <f t="shared" si="6"/>
        <v>4775.2233484777462</v>
      </c>
      <c r="AH16" s="16">
        <f t="shared" si="6"/>
        <v>4870.5319176057319</v>
      </c>
      <c r="AI16" s="16">
        <f t="shared" si="6"/>
        <v>4988.9966710531917</v>
      </c>
      <c r="AJ16" s="16">
        <f t="shared" si="6"/>
        <v>5110.6955254538289</v>
      </c>
      <c r="AK16" s="16">
        <f t="shared" si="6"/>
        <v>5235.706837789051</v>
      </c>
      <c r="AL16" s="16">
        <f t="shared" si="6"/>
        <v>5384.1101348135944</v>
      </c>
      <c r="AM16" s="16">
        <f t="shared" si="6"/>
        <v>0</v>
      </c>
      <c r="AN16" s="16">
        <f t="shared" si="6"/>
        <v>0</v>
      </c>
      <c r="AO16" s="16">
        <f t="shared" si="6"/>
        <v>0</v>
      </c>
      <c r="AP16" s="16">
        <f t="shared" si="6"/>
        <v>0</v>
      </c>
      <c r="AQ16" s="16">
        <f t="shared" si="6"/>
        <v>0</v>
      </c>
      <c r="AR16" s="16">
        <f t="shared" si="6"/>
        <v>0</v>
      </c>
      <c r="AS16" s="16">
        <f t="shared" si="6"/>
        <v>0</v>
      </c>
      <c r="AT16" s="16">
        <f t="shared" si="6"/>
        <v>0</v>
      </c>
      <c r="AU16" s="16">
        <f t="shared" si="6"/>
        <v>0</v>
      </c>
      <c r="AV16" s="16">
        <f t="shared" si="6"/>
        <v>0</v>
      </c>
      <c r="AW16" s="16">
        <f t="shared" si="6"/>
        <v>0</v>
      </c>
      <c r="AX16" s="16">
        <f t="shared" si="6"/>
        <v>0</v>
      </c>
      <c r="AY16" s="16">
        <f t="shared" si="6"/>
        <v>0</v>
      </c>
      <c r="AZ16" s="16">
        <f t="shared" si="6"/>
        <v>0</v>
      </c>
      <c r="BA16" s="16">
        <f t="shared" si="6"/>
        <v>0</v>
      </c>
      <c r="BB16" s="16">
        <f t="shared" si="6"/>
        <v>0</v>
      </c>
    </row>
    <row r="17" spans="1:68">
      <c r="A17" s="38">
        <f>NPV('Financial Information'!$B$5,$E17:$AL17)*(1+'Financial Information'!$B$5)</f>
        <v>349274.19071010774</v>
      </c>
      <c r="B17" s="24">
        <f>NPV('Financial Information'!$B$5,$D17:$BB17)*(1+'Financial Information'!$B$5)</f>
        <v>327342.25933468394</v>
      </c>
      <c r="C17" s="6" t="s">
        <v>108</v>
      </c>
      <c r="D17" s="16">
        <v>0</v>
      </c>
      <c r="E17" s="16">
        <f>SUM(E2:E5)</f>
        <v>0</v>
      </c>
      <c r="F17" s="16">
        <f t="shared" ref="F17:BB17" si="7">SUM(F2:F5)</f>
        <v>0</v>
      </c>
      <c r="G17" s="16">
        <f t="shared" si="7"/>
        <v>0</v>
      </c>
      <c r="H17" s="16">
        <f t="shared" si="7"/>
        <v>0</v>
      </c>
      <c r="I17" s="16">
        <f t="shared" si="7"/>
        <v>48012.907168606755</v>
      </c>
      <c r="J17" s="16">
        <f t="shared" si="7"/>
        <v>45180.577340111864</v>
      </c>
      <c r="K17" s="16">
        <f t="shared" si="7"/>
        <v>42384.898550623831</v>
      </c>
      <c r="L17" s="16">
        <f t="shared" si="7"/>
        <v>38591.613997631779</v>
      </c>
      <c r="M17" s="16">
        <f t="shared" si="7"/>
        <v>36871.711428817347</v>
      </c>
      <c r="N17" s="16">
        <f t="shared" si="7"/>
        <v>35370.194692847013</v>
      </c>
      <c r="O17" s="16">
        <f t="shared" si="7"/>
        <v>34293.406269443163</v>
      </c>
      <c r="P17" s="16">
        <f t="shared" si="7"/>
        <v>33436.575433382044</v>
      </c>
      <c r="Q17" s="16">
        <f t="shared" si="7"/>
        <v>32583.826491317061</v>
      </c>
      <c r="R17" s="16">
        <f t="shared" si="7"/>
        <v>31752.739687961512</v>
      </c>
      <c r="S17" s="16">
        <f t="shared" si="7"/>
        <v>30921.997776194119</v>
      </c>
      <c r="T17" s="16">
        <f t="shared" si="7"/>
        <v>30063.464152932855</v>
      </c>
      <c r="U17" s="16">
        <f t="shared" si="7"/>
        <v>29207.657345234154</v>
      </c>
      <c r="V17" s="16">
        <f t="shared" si="7"/>
        <v>28354.074570515739</v>
      </c>
      <c r="W17" s="16">
        <f t="shared" si="7"/>
        <v>30142.620357316573</v>
      </c>
      <c r="X17" s="16">
        <f t="shared" si="7"/>
        <v>29112.293765690341</v>
      </c>
      <c r="Y17" s="16">
        <f t="shared" si="7"/>
        <v>28066.266418949275</v>
      </c>
      <c r="Z17" s="16">
        <f t="shared" si="7"/>
        <v>26960.898316875111</v>
      </c>
      <c r="AA17" s="16">
        <f t="shared" si="7"/>
        <v>25856.546813849738</v>
      </c>
      <c r="AB17" s="16">
        <f t="shared" si="7"/>
        <v>24846.761116612797</v>
      </c>
      <c r="AC17" s="16">
        <f t="shared" si="7"/>
        <v>24076.313374377336</v>
      </c>
      <c r="AD17" s="16">
        <f t="shared" si="7"/>
        <v>23045.012866273933</v>
      </c>
      <c r="AE17" s="16">
        <f t="shared" si="7"/>
        <v>22268.263826622031</v>
      </c>
      <c r="AF17" s="16">
        <f t="shared" si="7"/>
        <v>21303.932909915042</v>
      </c>
      <c r="AG17" s="16">
        <f t="shared" si="7"/>
        <v>20558.915966271314</v>
      </c>
      <c r="AH17" s="16">
        <f t="shared" si="7"/>
        <v>19673.4878765918</v>
      </c>
      <c r="AI17" s="16">
        <f t="shared" si="7"/>
        <v>18832.866334617203</v>
      </c>
      <c r="AJ17" s="16">
        <f t="shared" si="7"/>
        <v>18055.227254829093</v>
      </c>
      <c r="AK17" s="16">
        <f t="shared" si="7"/>
        <v>17277.744060699293</v>
      </c>
      <c r="AL17" s="16">
        <f t="shared" si="7"/>
        <v>23632.956904200015</v>
      </c>
      <c r="AM17" s="16">
        <f t="shared" si="7"/>
        <v>0</v>
      </c>
      <c r="AN17" s="16">
        <f t="shared" si="7"/>
        <v>0</v>
      </c>
      <c r="AO17" s="16">
        <f t="shared" si="7"/>
        <v>0</v>
      </c>
      <c r="AP17" s="16">
        <f t="shared" si="7"/>
        <v>0</v>
      </c>
      <c r="AQ17" s="16">
        <f t="shared" si="7"/>
        <v>0</v>
      </c>
      <c r="AR17" s="16">
        <f t="shared" si="7"/>
        <v>0</v>
      </c>
      <c r="AS17" s="16">
        <f t="shared" si="7"/>
        <v>0</v>
      </c>
      <c r="AT17" s="16">
        <f t="shared" si="7"/>
        <v>0</v>
      </c>
      <c r="AU17" s="16">
        <f t="shared" si="7"/>
        <v>0</v>
      </c>
      <c r="AV17" s="16">
        <f t="shared" si="7"/>
        <v>0</v>
      </c>
      <c r="AW17" s="16">
        <f t="shared" si="7"/>
        <v>0</v>
      </c>
      <c r="AX17" s="16">
        <f t="shared" si="7"/>
        <v>0</v>
      </c>
      <c r="AY17" s="16">
        <f t="shared" si="7"/>
        <v>0</v>
      </c>
      <c r="AZ17" s="16">
        <f t="shared" si="7"/>
        <v>0</v>
      </c>
      <c r="BA17" s="16">
        <f t="shared" si="7"/>
        <v>0</v>
      </c>
      <c r="BB17" s="16">
        <f t="shared" si="7"/>
        <v>0</v>
      </c>
    </row>
    <row r="18" spans="1:68">
      <c r="A18" s="386">
        <f>NPV('Financial Information'!$B$5,$E18:$AL18)*(1+'Financial Information'!$B$5)</f>
        <v>41624.68866152018</v>
      </c>
      <c r="B18" s="386">
        <f>NPV('Financial Information'!$B$5,$D18:$BB18)*(1+'Financial Information'!$B$5)</f>
        <v>40522.415432599308</v>
      </c>
      <c r="C18" s="6" t="s">
        <v>107</v>
      </c>
      <c r="D18" s="16">
        <v>0</v>
      </c>
      <c r="E18" s="16">
        <f>SUM(E7:E9)</f>
        <v>0</v>
      </c>
      <c r="F18" s="16">
        <f t="shared" ref="F18:AX18" si="8">SUM(F7:F9)</f>
        <v>0</v>
      </c>
      <c r="G18" s="16">
        <f t="shared" si="8"/>
        <v>0</v>
      </c>
      <c r="H18" s="16">
        <f t="shared" si="8"/>
        <v>0</v>
      </c>
      <c r="I18" s="16">
        <f t="shared" si="8"/>
        <v>5178.5366918482796</v>
      </c>
      <c r="J18" s="16">
        <f t="shared" si="8"/>
        <v>5039.5296746125414</v>
      </c>
      <c r="K18" s="16">
        <f t="shared" si="8"/>
        <v>4883.4970211249483</v>
      </c>
      <c r="L18" s="16">
        <f t="shared" si="8"/>
        <v>4736.1686060272286</v>
      </c>
      <c r="M18" s="16">
        <f t="shared" si="8"/>
        <v>4596.6802360948932</v>
      </c>
      <c r="N18" s="16">
        <f t="shared" si="8"/>
        <v>4464.3120330815791</v>
      </c>
      <c r="O18" s="16">
        <f t="shared" si="8"/>
        <v>4336.9495353533548</v>
      </c>
      <c r="P18" s="16">
        <f t="shared" si="8"/>
        <v>4211.2279710646972</v>
      </c>
      <c r="Q18" s="16">
        <f t="shared" si="8"/>
        <v>4085.5138776220983</v>
      </c>
      <c r="R18" s="16">
        <f t="shared" si="8"/>
        <v>3959.8570124837374</v>
      </c>
      <c r="S18" s="16">
        <f t="shared" si="8"/>
        <v>3834.2590924987403</v>
      </c>
      <c r="T18" s="16">
        <f t="shared" si="8"/>
        <v>3708.721886021709</v>
      </c>
      <c r="U18" s="16">
        <f t="shared" si="8"/>
        <v>3583.2472144578819</v>
      </c>
      <c r="V18" s="16">
        <f t="shared" si="8"/>
        <v>3457.8369538546558</v>
      </c>
      <c r="W18" s="16">
        <f t="shared" si="8"/>
        <v>3332.4930365408472</v>
      </c>
      <c r="X18" s="16">
        <f t="shared" si="8"/>
        <v>3221.4041840533705</v>
      </c>
      <c r="Y18" s="16">
        <f t="shared" si="8"/>
        <v>3138.807268252463</v>
      </c>
      <c r="Z18" s="16">
        <f t="shared" si="8"/>
        <v>3070.4695787934024</v>
      </c>
      <c r="AA18" s="16">
        <f t="shared" si="8"/>
        <v>3002.2065592910672</v>
      </c>
      <c r="AB18" s="16">
        <f t="shared" si="8"/>
        <v>2934.0204498441581</v>
      </c>
      <c r="AC18" s="16">
        <f t="shared" si="8"/>
        <v>2865.9135577543389</v>
      </c>
      <c r="AD18" s="16">
        <f t="shared" si="8"/>
        <v>2797.8882595423215</v>
      </c>
      <c r="AE18" s="16">
        <f t="shared" si="8"/>
        <v>2729.9470030244402</v>
      </c>
      <c r="AF18" s="16">
        <f t="shared" si="8"/>
        <v>2662.0923094515197</v>
      </c>
      <c r="AG18" s="16">
        <f t="shared" si="8"/>
        <v>2594.3267757119079</v>
      </c>
      <c r="AH18" s="16">
        <f t="shared" si="8"/>
        <v>2526.6530766006053</v>
      </c>
      <c r="AI18" s="16">
        <f t="shared" si="8"/>
        <v>2459.0739671564597</v>
      </c>
      <c r="AJ18" s="16">
        <f t="shared" si="8"/>
        <v>2391.5922850694865</v>
      </c>
      <c r="AK18" s="16">
        <f t="shared" si="8"/>
        <v>2324.2109531604005</v>
      </c>
      <c r="AL18" s="16">
        <f t="shared" si="8"/>
        <v>2256.9329819345394</v>
      </c>
      <c r="AM18" s="16">
        <f t="shared" si="8"/>
        <v>2189.7614722123999</v>
      </c>
      <c r="AN18" s="16">
        <f t="shared" si="8"/>
        <v>2122.6996178390914</v>
      </c>
      <c r="AO18" s="16">
        <f t="shared" si="8"/>
        <v>2055.7507084750814</v>
      </c>
      <c r="AP18" s="16">
        <f t="shared" si="8"/>
        <v>1988.9181324706476</v>
      </c>
      <c r="AQ18" s="16">
        <f t="shared" si="8"/>
        <v>1922.2053798265781</v>
      </c>
      <c r="AR18" s="16">
        <f t="shared" si="8"/>
        <v>1855.6160452436834</v>
      </c>
      <c r="AS18" s="16">
        <f t="shared" si="8"/>
        <v>1789.1538312637981</v>
      </c>
      <c r="AT18" s="16">
        <f t="shared" si="8"/>
        <v>1722.8225515050133</v>
      </c>
      <c r="AU18" s="16">
        <f t="shared" si="8"/>
        <v>1656.626133993962</v>
      </c>
      <c r="AV18" s="16">
        <f t="shared" si="8"/>
        <v>1590.5686245980955</v>
      </c>
      <c r="AW18" s="16">
        <f t="shared" si="8"/>
        <v>0</v>
      </c>
      <c r="AX18" s="16">
        <f t="shared" si="8"/>
        <v>0</v>
      </c>
    </row>
    <row r="19" spans="1:68">
      <c r="A19" s="24">
        <f>SUM(A16:A18)</f>
        <v>426949.56199470366</v>
      </c>
      <c r="B19" s="24">
        <f>SUM(B16:B18)</f>
        <v>401651.6313024995</v>
      </c>
    </row>
    <row r="20" spans="1:68">
      <c r="D20" s="411"/>
      <c r="E20" s="411"/>
      <c r="F20" s="411"/>
      <c r="G20" s="411"/>
      <c r="AB20" s="157"/>
      <c r="AC20" s="157"/>
      <c r="AD20" s="157"/>
      <c r="AE20" s="157"/>
      <c r="AF20" s="157"/>
      <c r="AG20" s="157"/>
      <c r="AH20" s="157"/>
    </row>
    <row r="21" spans="1:68">
      <c r="B21" s="401">
        <f>NPV('Financial Information'!$B$5,$I21:$BB21)</f>
        <v>13130.855162706293</v>
      </c>
      <c r="C21" s="15">
        <f>'[8]NetUp Rev Req 3'!$B$37</f>
        <v>13130.85516270629</v>
      </c>
      <c r="D21" s="390"/>
      <c r="E21" s="16">
        <f>E18/4</f>
        <v>0</v>
      </c>
      <c r="F21" s="16">
        <f t="shared" ref="F21:BB21" si="9">F18/4</f>
        <v>0</v>
      </c>
      <c r="G21" s="16">
        <f t="shared" si="9"/>
        <v>0</v>
      </c>
      <c r="H21" s="16">
        <f t="shared" si="9"/>
        <v>0</v>
      </c>
      <c r="I21" s="16">
        <f t="shared" si="9"/>
        <v>1294.6341729620699</v>
      </c>
      <c r="J21" s="16">
        <f t="shared" si="9"/>
        <v>1259.8824186531353</v>
      </c>
      <c r="K21" s="16">
        <f t="shared" si="9"/>
        <v>1220.8742552812371</v>
      </c>
      <c r="L21" s="16">
        <f t="shared" si="9"/>
        <v>1184.0421515068072</v>
      </c>
      <c r="M21" s="16">
        <f t="shared" si="9"/>
        <v>1149.1700590237233</v>
      </c>
      <c r="N21" s="16">
        <f t="shared" si="9"/>
        <v>1116.0780082703948</v>
      </c>
      <c r="O21" s="16">
        <f t="shared" si="9"/>
        <v>1084.2373838383387</v>
      </c>
      <c r="P21" s="16">
        <f t="shared" si="9"/>
        <v>1052.8069927661743</v>
      </c>
      <c r="Q21" s="16">
        <f t="shared" si="9"/>
        <v>1021.3784694055246</v>
      </c>
      <c r="R21" s="16">
        <f t="shared" si="9"/>
        <v>989.96425312093436</v>
      </c>
      <c r="S21" s="16">
        <f t="shared" si="9"/>
        <v>958.56477312468508</v>
      </c>
      <c r="T21" s="16">
        <f t="shared" si="9"/>
        <v>927.18047150542725</v>
      </c>
      <c r="U21" s="16">
        <f t="shared" si="9"/>
        <v>895.81180361447048</v>
      </c>
      <c r="V21" s="16">
        <f t="shared" si="9"/>
        <v>864.45923846366395</v>
      </c>
      <c r="W21" s="16">
        <f t="shared" si="9"/>
        <v>833.12325913521181</v>
      </c>
      <c r="X21" s="16">
        <f t="shared" si="9"/>
        <v>805.35104601334262</v>
      </c>
      <c r="Y21" s="16">
        <f t="shared" si="9"/>
        <v>784.70181706311575</v>
      </c>
      <c r="Z21" s="16">
        <f t="shared" si="9"/>
        <v>767.61739469835061</v>
      </c>
      <c r="AA21" s="16">
        <f t="shared" si="9"/>
        <v>750.55163982276679</v>
      </c>
      <c r="AB21" s="16">
        <f t="shared" si="9"/>
        <v>733.50511246103952</v>
      </c>
      <c r="AC21" s="16">
        <f t="shared" si="9"/>
        <v>716.47838943858471</v>
      </c>
      <c r="AD21" s="16">
        <f t="shared" si="9"/>
        <v>699.47206488558038</v>
      </c>
      <c r="AE21" s="16">
        <f t="shared" si="9"/>
        <v>682.48675075611004</v>
      </c>
      <c r="AF21" s="16">
        <f t="shared" si="9"/>
        <v>665.52307736287992</v>
      </c>
      <c r="AG21" s="16">
        <f t="shared" si="9"/>
        <v>648.58169392797697</v>
      </c>
      <c r="AH21" s="16">
        <f t="shared" si="9"/>
        <v>631.66326915015134</v>
      </c>
      <c r="AI21" s="16">
        <f t="shared" si="9"/>
        <v>614.76849178911493</v>
      </c>
      <c r="AJ21" s="16">
        <f t="shared" si="9"/>
        <v>597.89807126737162</v>
      </c>
      <c r="AK21" s="16">
        <f t="shared" si="9"/>
        <v>581.05273829010014</v>
      </c>
      <c r="AL21" s="16">
        <f t="shared" si="9"/>
        <v>564.23324548363485</v>
      </c>
      <c r="AM21" s="16">
        <f t="shared" si="9"/>
        <v>547.44036805309997</v>
      </c>
      <c r="AN21" s="16">
        <f t="shared" si="9"/>
        <v>530.67490445977285</v>
      </c>
      <c r="AO21" s="16">
        <f t="shared" si="9"/>
        <v>513.93767711877035</v>
      </c>
      <c r="AP21" s="16">
        <f t="shared" si="9"/>
        <v>497.2295331176619</v>
      </c>
      <c r="AQ21" s="16">
        <f t="shared" si="9"/>
        <v>480.55134495664453</v>
      </c>
      <c r="AR21" s="16">
        <f t="shared" si="9"/>
        <v>463.90401131092085</v>
      </c>
      <c r="AS21" s="16">
        <f t="shared" si="9"/>
        <v>447.28845781594953</v>
      </c>
      <c r="AT21" s="16">
        <f t="shared" si="9"/>
        <v>430.70563787625332</v>
      </c>
      <c r="AU21" s="16">
        <f t="shared" si="9"/>
        <v>414.15653349849049</v>
      </c>
      <c r="AV21" s="16">
        <f t="shared" si="9"/>
        <v>397.64215614952388</v>
      </c>
      <c r="AW21" s="16">
        <f t="shared" si="9"/>
        <v>0</v>
      </c>
      <c r="AX21" s="16">
        <f t="shared" si="9"/>
        <v>0</v>
      </c>
      <c r="AY21" s="16">
        <f t="shared" si="9"/>
        <v>0</v>
      </c>
      <c r="AZ21" s="16">
        <f t="shared" si="9"/>
        <v>0</v>
      </c>
      <c r="BA21" s="16">
        <f t="shared" si="9"/>
        <v>0</v>
      </c>
      <c r="BB21" s="16">
        <f t="shared" si="9"/>
        <v>0</v>
      </c>
    </row>
    <row r="22" spans="1:68">
      <c r="A22" s="385"/>
      <c r="B22" s="385"/>
      <c r="C22" s="388"/>
      <c r="D22" s="385"/>
      <c r="E22" s="385"/>
      <c r="F22" s="385"/>
      <c r="G22" s="385"/>
      <c r="H22" s="385"/>
      <c r="I22" s="385"/>
      <c r="J22" s="385"/>
      <c r="K22" s="385"/>
      <c r="L22" s="385"/>
      <c r="M22" s="385"/>
      <c r="N22" s="385"/>
      <c r="O22" s="385"/>
      <c r="P22" s="385"/>
      <c r="Q22" s="385"/>
      <c r="R22" s="385"/>
      <c r="S22" s="385"/>
      <c r="T22" s="385"/>
      <c r="U22" s="385"/>
      <c r="V22" s="385"/>
      <c r="W22" s="385"/>
      <c r="X22" s="385"/>
      <c r="Y22" s="385"/>
      <c r="Z22" s="385"/>
      <c r="AA22" s="385"/>
      <c r="AB22" s="385"/>
      <c r="AC22" s="385"/>
      <c r="AD22" s="385"/>
      <c r="AE22" s="385"/>
      <c r="AF22" s="385"/>
      <c r="AG22" s="385"/>
      <c r="AH22" s="385"/>
      <c r="AI22" s="385"/>
      <c r="AJ22" s="385"/>
      <c r="AK22" s="385"/>
      <c r="AL22" s="385"/>
      <c r="AM22" s="385"/>
      <c r="AN22" s="385"/>
      <c r="AO22" s="385"/>
      <c r="AP22" s="385"/>
      <c r="AQ22" s="385"/>
      <c r="AR22" s="385"/>
      <c r="AS22" s="385"/>
      <c r="AT22" s="385"/>
      <c r="AU22" s="385"/>
      <c r="AV22" s="385"/>
      <c r="AW22" s="385"/>
      <c r="AX22" s="385"/>
      <c r="AY22" s="385"/>
      <c r="AZ22" s="385"/>
      <c r="BA22" s="385"/>
      <c r="BB22" s="385"/>
    </row>
    <row r="23" spans="1:68">
      <c r="A23" s="24"/>
      <c r="B23" s="2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</row>
    <row r="24" spans="1:68">
      <c r="A24" s="24"/>
      <c r="B24" s="2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393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</row>
    <row r="25" spans="1:68">
      <c r="A25" s="24"/>
      <c r="B25" s="24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393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</row>
    <row r="26" spans="1:68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</row>
    <row r="27" spans="1:68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</row>
    <row r="28" spans="1:68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</row>
    <row r="29" spans="1:68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</row>
    <row r="30" spans="1:68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</row>
    <row r="31" spans="1:68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</row>
    <row r="32" spans="1:68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</row>
    <row r="33" spans="1:16384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</row>
    <row r="34" spans="1:16384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</row>
    <row r="35" spans="1:16384" ht="12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</row>
    <row r="36" spans="1:16384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pans="1:16384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pans="1:16384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pans="1:16384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pans="1:16384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pans="1:16384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pans="1:16384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pans="1:16384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pans="1:16384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pans="1:16384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pans="1:16384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pans="1:16384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  <row r="48" spans="1:16384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24"/>
      <c r="CFQ48" s="24"/>
      <c r="CFR48" s="24"/>
      <c r="CFS48" s="24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  <c r="CHW48" s="24"/>
      <c r="CHX48" s="24"/>
      <c r="CHY48" s="24"/>
      <c r="CHZ48" s="24"/>
      <c r="CIA48" s="24"/>
      <c r="CIB48" s="24"/>
      <c r="CIC48" s="24"/>
      <c r="CID48" s="24"/>
      <c r="CIE48" s="24"/>
      <c r="CIF48" s="24"/>
      <c r="CIG48" s="24"/>
      <c r="CIH48" s="24"/>
      <c r="CII48" s="24"/>
      <c r="CIJ48" s="24"/>
      <c r="CIK48" s="24"/>
      <c r="CIL48" s="24"/>
      <c r="CIM48" s="24"/>
      <c r="CIN48" s="24"/>
      <c r="CIO48" s="24"/>
      <c r="CIP48" s="24"/>
      <c r="CIQ48" s="24"/>
      <c r="CIR48" s="24"/>
      <c r="CIS48" s="24"/>
      <c r="CIT48" s="24"/>
      <c r="CIU48" s="24"/>
      <c r="CIV48" s="24"/>
      <c r="CIW48" s="24"/>
      <c r="CIX48" s="24"/>
      <c r="CIY48" s="24"/>
      <c r="CIZ48" s="24"/>
      <c r="CJA48" s="24"/>
      <c r="CJB48" s="24"/>
      <c r="CJC48" s="24"/>
      <c r="CJD48" s="24"/>
      <c r="CJE48" s="24"/>
      <c r="CJF48" s="24"/>
      <c r="CJG48" s="24"/>
      <c r="CJH48" s="24"/>
      <c r="CJI48" s="24"/>
      <c r="CJJ48" s="24"/>
      <c r="CJK48" s="24"/>
      <c r="CJL48" s="24"/>
      <c r="CJM48" s="24"/>
      <c r="CJN48" s="24"/>
      <c r="CJO48" s="24"/>
      <c r="CJP48" s="24"/>
      <c r="CJQ48" s="24"/>
      <c r="CJR48" s="24"/>
      <c r="CJS48" s="24"/>
      <c r="CJT48" s="24"/>
      <c r="CJU48" s="24"/>
      <c r="CJV48" s="24"/>
      <c r="CJW48" s="24"/>
      <c r="CJX48" s="24"/>
      <c r="CJY48" s="24"/>
      <c r="CJZ48" s="24"/>
      <c r="CKA48" s="24"/>
      <c r="CKB48" s="24"/>
      <c r="CKC48" s="24"/>
      <c r="CKD48" s="24"/>
      <c r="CKE48" s="24"/>
      <c r="CKF48" s="24"/>
      <c r="CKG48" s="24"/>
      <c r="CKH48" s="24"/>
      <c r="CKI48" s="24"/>
      <c r="CKJ48" s="24"/>
      <c r="CKK48" s="24"/>
      <c r="CKL48" s="24"/>
      <c r="CKM48" s="24"/>
      <c r="CKN48" s="24"/>
      <c r="CKO48" s="24"/>
      <c r="CKP48" s="24"/>
      <c r="CKQ48" s="24"/>
      <c r="CKR48" s="24"/>
      <c r="CKS48" s="24"/>
      <c r="CKT48" s="24"/>
      <c r="CKU48" s="24"/>
      <c r="CKV48" s="24"/>
      <c r="CKW48" s="24"/>
      <c r="CKX48" s="24"/>
      <c r="CKY48" s="24"/>
      <c r="CKZ48" s="24"/>
      <c r="CLA48" s="24"/>
      <c r="CLB48" s="24"/>
      <c r="CLC48" s="24"/>
      <c r="CLD48" s="24"/>
      <c r="CLE48" s="24"/>
      <c r="CLF48" s="24"/>
      <c r="CLG48" s="24"/>
      <c r="CLH48" s="24"/>
      <c r="CLI48" s="24"/>
      <c r="CLJ48" s="24"/>
      <c r="CLK48" s="24"/>
      <c r="CLL48" s="24"/>
      <c r="CLM48" s="24"/>
      <c r="CLN48" s="24"/>
      <c r="CLO48" s="24"/>
      <c r="CLP48" s="24"/>
      <c r="CLQ48" s="24"/>
      <c r="CLR48" s="24"/>
      <c r="CLS48" s="24"/>
      <c r="CLT48" s="24"/>
      <c r="CLU48" s="24"/>
      <c r="CLV48" s="24"/>
      <c r="CLW48" s="24"/>
      <c r="CLX48" s="24"/>
      <c r="CLY48" s="24"/>
      <c r="CLZ48" s="24"/>
      <c r="CMA48" s="24"/>
      <c r="CMB48" s="24"/>
      <c r="CMC48" s="24"/>
      <c r="CMD48" s="24"/>
      <c r="CME48" s="24"/>
      <c r="CMF48" s="24"/>
      <c r="CMG48" s="24"/>
      <c r="CMH48" s="24"/>
      <c r="CMI48" s="24"/>
      <c r="CMJ48" s="24"/>
      <c r="CMK48" s="24"/>
      <c r="CML48" s="24"/>
      <c r="CMM48" s="24"/>
      <c r="CMN48" s="24"/>
      <c r="CMO48" s="24"/>
      <c r="CMP48" s="24"/>
      <c r="CMQ48" s="24"/>
      <c r="CMR48" s="24"/>
      <c r="CMS48" s="24"/>
      <c r="CMT48" s="24"/>
      <c r="CMU48" s="24"/>
      <c r="CMV48" s="24"/>
      <c r="CMW48" s="24"/>
      <c r="CMX48" s="24"/>
      <c r="CMY48" s="24"/>
      <c r="CMZ48" s="24"/>
      <c r="CNA48" s="24"/>
      <c r="CNB48" s="24"/>
      <c r="CNC48" s="24"/>
      <c r="CND48" s="24"/>
      <c r="CNE48" s="24"/>
      <c r="CNF48" s="24"/>
      <c r="CNG48" s="24"/>
      <c r="CNH48" s="24"/>
      <c r="CNI48" s="24"/>
      <c r="CNJ48" s="24"/>
      <c r="CNK48" s="24"/>
      <c r="CNL48" s="24"/>
      <c r="CNM48" s="24"/>
      <c r="CNN48" s="24"/>
      <c r="CNO48" s="24"/>
      <c r="CNP48" s="24"/>
      <c r="CNQ48" s="24"/>
      <c r="CNR48" s="24"/>
      <c r="CNS48" s="24"/>
      <c r="CNT48" s="24"/>
      <c r="CNU48" s="24"/>
      <c r="CNV48" s="24"/>
      <c r="CNW48" s="24"/>
      <c r="CNX48" s="24"/>
      <c r="CNY48" s="24"/>
      <c r="CNZ48" s="24"/>
      <c r="COA48" s="24"/>
      <c r="COB48" s="24"/>
      <c r="COC48" s="24"/>
      <c r="COD48" s="24"/>
      <c r="COE48" s="24"/>
      <c r="COF48" s="24"/>
      <c r="COG48" s="24"/>
      <c r="COH48" s="24"/>
      <c r="COI48" s="24"/>
      <c r="COJ48" s="24"/>
      <c r="COK48" s="24"/>
      <c r="COL48" s="24"/>
      <c r="COM48" s="24"/>
      <c r="CON48" s="24"/>
      <c r="COO48" s="24"/>
      <c r="COP48" s="24"/>
      <c r="COQ48" s="24"/>
      <c r="COR48" s="24"/>
      <c r="COS48" s="24"/>
      <c r="COT48" s="24"/>
      <c r="COU48" s="24"/>
      <c r="COV48" s="24"/>
      <c r="COW48" s="24"/>
      <c r="COX48" s="24"/>
      <c r="COY48" s="24"/>
      <c r="COZ48" s="24"/>
      <c r="CPA48" s="24"/>
      <c r="CPB48" s="24"/>
      <c r="CPC48" s="24"/>
      <c r="CPD48" s="24"/>
      <c r="CPE48" s="24"/>
      <c r="CPF48" s="24"/>
      <c r="CPG48" s="24"/>
      <c r="CPH48" s="24"/>
      <c r="CPI48" s="24"/>
      <c r="CPJ48" s="24"/>
      <c r="CPK48" s="24"/>
      <c r="CPL48" s="24"/>
      <c r="CPM48" s="24"/>
      <c r="CPN48" s="24"/>
      <c r="CPO48" s="24"/>
      <c r="CPP48" s="24"/>
      <c r="CPQ48" s="24"/>
      <c r="CPR48" s="24"/>
      <c r="CPS48" s="24"/>
      <c r="CPT48" s="24"/>
      <c r="CPU48" s="24"/>
      <c r="CPV48" s="24"/>
      <c r="CPW48" s="24"/>
      <c r="CPX48" s="24"/>
      <c r="CPY48" s="24"/>
      <c r="CPZ48" s="24"/>
      <c r="CQA48" s="24"/>
      <c r="CQB48" s="24"/>
      <c r="CQC48" s="24"/>
      <c r="CQD48" s="24"/>
      <c r="CQE48" s="24"/>
      <c r="CQF48" s="24"/>
      <c r="CQG48" s="24"/>
      <c r="CQH48" s="24"/>
      <c r="CQI48" s="24"/>
      <c r="CQJ48" s="24"/>
      <c r="CQK48" s="24"/>
      <c r="CQL48" s="24"/>
      <c r="CQM48" s="24"/>
      <c r="CQN48" s="24"/>
      <c r="CQO48" s="24"/>
      <c r="CQP48" s="24"/>
      <c r="CQQ48" s="24"/>
      <c r="CQR48" s="24"/>
      <c r="CQS48" s="24"/>
      <c r="CQT48" s="24"/>
      <c r="CQU48" s="24"/>
      <c r="CQV48" s="24"/>
      <c r="CQW48" s="24"/>
      <c r="CQX48" s="24"/>
      <c r="CQY48" s="24"/>
      <c r="CQZ48" s="24"/>
      <c r="CRA48" s="24"/>
      <c r="CRB48" s="24"/>
      <c r="CRC48" s="24"/>
      <c r="CRD48" s="24"/>
      <c r="CRE48" s="24"/>
      <c r="CRF48" s="24"/>
      <c r="CRG48" s="24"/>
      <c r="CRH48" s="24"/>
      <c r="CRI48" s="24"/>
      <c r="CRJ48" s="24"/>
      <c r="CRK48" s="24"/>
      <c r="CRL48" s="24"/>
      <c r="CRM48" s="24"/>
      <c r="CRN48" s="24"/>
      <c r="CRO48" s="24"/>
      <c r="CRP48" s="24"/>
      <c r="CRQ48" s="24"/>
      <c r="CRR48" s="24"/>
      <c r="CRS48" s="24"/>
      <c r="CRT48" s="24"/>
      <c r="CRU48" s="24"/>
      <c r="CRV48" s="24"/>
      <c r="CRW48" s="24"/>
      <c r="CRX48" s="24"/>
      <c r="CRY48" s="24"/>
      <c r="CRZ48" s="24"/>
      <c r="CSA48" s="24"/>
      <c r="CSB48" s="24"/>
      <c r="CSC48" s="24"/>
      <c r="CSD48" s="24"/>
      <c r="CSE48" s="24"/>
      <c r="CSF48" s="24"/>
      <c r="CSG48" s="24"/>
      <c r="CSH48" s="24"/>
      <c r="CSI48" s="24"/>
      <c r="CSJ48" s="24"/>
      <c r="CSK48" s="24"/>
      <c r="CSL48" s="24"/>
      <c r="CSM48" s="24"/>
      <c r="CSN48" s="24"/>
      <c r="CSO48" s="24"/>
      <c r="CSP48" s="24"/>
      <c r="CSQ48" s="24"/>
      <c r="CSR48" s="24"/>
      <c r="CSS48" s="24"/>
      <c r="CST48" s="24"/>
      <c r="CSU48" s="24"/>
      <c r="CSV48" s="24"/>
      <c r="CSW48" s="24"/>
      <c r="CSX48" s="24"/>
      <c r="CSY48" s="24"/>
      <c r="CSZ48" s="24"/>
      <c r="CTA48" s="24"/>
      <c r="CTB48" s="24"/>
      <c r="CTC48" s="24"/>
      <c r="CTD48" s="24"/>
      <c r="CTE48" s="24"/>
      <c r="CTF48" s="24"/>
      <c r="CTG48" s="24"/>
      <c r="CTH48" s="24"/>
      <c r="CTI48" s="24"/>
      <c r="CTJ48" s="24"/>
      <c r="CTK48" s="24"/>
      <c r="CTL48" s="24"/>
      <c r="CTM48" s="24"/>
      <c r="CTN48" s="24"/>
      <c r="CTO48" s="24"/>
      <c r="CTP48" s="24"/>
      <c r="CTQ48" s="24"/>
      <c r="CTR48" s="24"/>
      <c r="CTS48" s="24"/>
      <c r="CTT48" s="24"/>
      <c r="CTU48" s="24"/>
      <c r="CTV48" s="24"/>
      <c r="CTW48" s="24"/>
      <c r="CTX48" s="24"/>
      <c r="CTY48" s="24"/>
      <c r="CTZ48" s="24"/>
      <c r="CUA48" s="24"/>
      <c r="CUB48" s="24"/>
      <c r="CUC48" s="24"/>
      <c r="CUD48" s="24"/>
      <c r="CUE48" s="24"/>
      <c r="CUF48" s="24"/>
      <c r="CUG48" s="24"/>
      <c r="CUH48" s="24"/>
      <c r="CUI48" s="24"/>
      <c r="CUJ48" s="24"/>
      <c r="CUK48" s="24"/>
      <c r="CUL48" s="24"/>
      <c r="CUM48" s="24"/>
      <c r="CUN48" s="24"/>
      <c r="CUO48" s="24"/>
      <c r="CUP48" s="24"/>
      <c r="CUQ48" s="24"/>
      <c r="CUR48" s="24"/>
      <c r="CUS48" s="24"/>
      <c r="CUT48" s="24"/>
      <c r="CUU48" s="24"/>
      <c r="CUV48" s="24"/>
      <c r="CUW48" s="24"/>
      <c r="CUX48" s="24"/>
      <c r="CUY48" s="24"/>
      <c r="CUZ48" s="24"/>
      <c r="CVA48" s="24"/>
      <c r="CVB48" s="24"/>
      <c r="CVC48" s="24"/>
      <c r="CVD48" s="24"/>
      <c r="CVE48" s="24"/>
      <c r="CVF48" s="24"/>
      <c r="CVG48" s="24"/>
      <c r="CVH48" s="24"/>
      <c r="CVI48" s="24"/>
      <c r="CVJ48" s="24"/>
      <c r="CVK48" s="24"/>
      <c r="CVL48" s="24"/>
      <c r="CVM48" s="24"/>
      <c r="CVN48" s="24"/>
      <c r="CVO48" s="24"/>
      <c r="CVP48" s="24"/>
      <c r="CVQ48" s="24"/>
      <c r="CVR48" s="24"/>
      <c r="CVS48" s="24"/>
      <c r="CVT48" s="24"/>
      <c r="CVU48" s="24"/>
      <c r="CVV48" s="24"/>
      <c r="CVW48" s="24"/>
      <c r="CVX48" s="24"/>
      <c r="CVY48" s="24"/>
      <c r="CVZ48" s="24"/>
      <c r="CWA48" s="24"/>
      <c r="CWB48" s="24"/>
      <c r="CWC48" s="24"/>
      <c r="CWD48" s="24"/>
      <c r="CWE48" s="24"/>
      <c r="CWF48" s="24"/>
      <c r="CWG48" s="24"/>
      <c r="CWH48" s="24"/>
      <c r="CWI48" s="24"/>
      <c r="CWJ48" s="24"/>
      <c r="CWK48" s="24"/>
      <c r="CWL48" s="24"/>
      <c r="CWM48" s="24"/>
      <c r="CWN48" s="24"/>
      <c r="CWO48" s="24"/>
      <c r="CWP48" s="24"/>
      <c r="CWQ48" s="24"/>
      <c r="CWR48" s="24"/>
      <c r="CWS48" s="24"/>
      <c r="CWT48" s="24"/>
      <c r="CWU48" s="24"/>
      <c r="CWV48" s="24"/>
      <c r="CWW48" s="24"/>
      <c r="CWX48" s="24"/>
      <c r="CWY48" s="24"/>
      <c r="CWZ48" s="24"/>
      <c r="CXA48" s="24"/>
      <c r="CXB48" s="24"/>
      <c r="CXC48" s="24"/>
      <c r="CXD48" s="24"/>
      <c r="CXE48" s="24"/>
      <c r="CXF48" s="24"/>
      <c r="CXG48" s="24"/>
      <c r="CXH48" s="24"/>
      <c r="CXI48" s="24"/>
      <c r="CXJ48" s="24"/>
      <c r="CXK48" s="24"/>
      <c r="CXL48" s="24"/>
      <c r="CXM48" s="24"/>
      <c r="CXN48" s="24"/>
      <c r="CXO48" s="24"/>
      <c r="CXP48" s="24"/>
      <c r="CXQ48" s="24"/>
      <c r="CXR48" s="24"/>
      <c r="CXS48" s="24"/>
      <c r="CXT48" s="24"/>
      <c r="CXU48" s="24"/>
      <c r="CXV48" s="24"/>
      <c r="CXW48" s="24"/>
      <c r="CXX48" s="24"/>
      <c r="CXY48" s="24"/>
      <c r="CXZ48" s="24"/>
      <c r="CYA48" s="24"/>
      <c r="CYB48" s="24"/>
      <c r="CYC48" s="24"/>
      <c r="CYD48" s="24"/>
      <c r="CYE48" s="24"/>
      <c r="CYF48" s="24"/>
      <c r="CYG48" s="24"/>
      <c r="CYH48" s="24"/>
      <c r="CYI48" s="24"/>
      <c r="CYJ48" s="24"/>
      <c r="CYK48" s="24"/>
      <c r="CYL48" s="24"/>
      <c r="CYM48" s="24"/>
      <c r="CYN48" s="24"/>
      <c r="CYO48" s="24"/>
      <c r="CYP48" s="24"/>
      <c r="CYQ48" s="24"/>
      <c r="CYR48" s="24"/>
      <c r="CYS48" s="24"/>
      <c r="CYT48" s="24"/>
      <c r="CYU48" s="24"/>
      <c r="CYV48" s="24"/>
      <c r="CYW48" s="24"/>
      <c r="CYX48" s="24"/>
      <c r="CYY48" s="24"/>
      <c r="CYZ48" s="24"/>
      <c r="CZA48" s="24"/>
      <c r="CZB48" s="24"/>
      <c r="CZC48" s="24"/>
      <c r="CZD48" s="24"/>
      <c r="CZE48" s="24"/>
      <c r="CZF48" s="24"/>
      <c r="CZG48" s="24"/>
      <c r="CZH48" s="24"/>
      <c r="CZI48" s="24"/>
      <c r="CZJ48" s="24"/>
      <c r="CZK48" s="24"/>
      <c r="CZL48" s="24"/>
      <c r="CZM48" s="24"/>
      <c r="CZN48" s="24"/>
      <c r="CZO48" s="24"/>
      <c r="CZP48" s="24"/>
      <c r="CZQ48" s="24"/>
      <c r="CZR48" s="24"/>
      <c r="CZS48" s="24"/>
      <c r="CZT48" s="24"/>
      <c r="CZU48" s="24"/>
      <c r="CZV48" s="24"/>
      <c r="CZW48" s="24"/>
      <c r="CZX48" s="24"/>
      <c r="CZY48" s="24"/>
      <c r="CZZ48" s="24"/>
      <c r="DAA48" s="24"/>
      <c r="DAB48" s="24"/>
      <c r="DAC48" s="24"/>
      <c r="DAD48" s="24"/>
      <c r="DAE48" s="24"/>
      <c r="DAF48" s="24"/>
      <c r="DAG48" s="24"/>
      <c r="DAH48" s="24"/>
      <c r="DAI48" s="24"/>
      <c r="DAJ48" s="24"/>
      <c r="DAK48" s="24"/>
      <c r="DAL48" s="24"/>
      <c r="DAM48" s="24"/>
      <c r="DAN48" s="24"/>
      <c r="DAO48" s="24"/>
      <c r="DAP48" s="24"/>
      <c r="DAQ48" s="24"/>
      <c r="DAR48" s="24"/>
      <c r="DAS48" s="24"/>
      <c r="DAT48" s="24"/>
      <c r="DAU48" s="24"/>
      <c r="DAV48" s="24"/>
      <c r="DAW48" s="24"/>
      <c r="DAX48" s="24"/>
      <c r="DAY48" s="24"/>
      <c r="DAZ48" s="24"/>
      <c r="DBA48" s="24"/>
      <c r="DBB48" s="24"/>
      <c r="DBC48" s="24"/>
      <c r="DBD48" s="24"/>
      <c r="DBE48" s="24"/>
      <c r="DBF48" s="24"/>
      <c r="DBG48" s="24"/>
      <c r="DBH48" s="24"/>
      <c r="DBI48" s="24"/>
      <c r="DBJ48" s="24"/>
      <c r="DBK48" s="24"/>
      <c r="DBL48" s="24"/>
      <c r="DBM48" s="24"/>
      <c r="DBN48" s="24"/>
      <c r="DBO48" s="24"/>
      <c r="DBP48" s="24"/>
      <c r="DBQ48" s="24"/>
      <c r="DBR48" s="24"/>
      <c r="DBS48" s="24"/>
      <c r="DBT48" s="24"/>
      <c r="DBU48" s="24"/>
      <c r="DBV48" s="24"/>
      <c r="DBW48" s="24"/>
      <c r="DBX48" s="24"/>
      <c r="DBY48" s="24"/>
      <c r="DBZ48" s="24"/>
      <c r="DCA48" s="24"/>
      <c r="DCB48" s="24"/>
      <c r="DCC48" s="24"/>
      <c r="DCD48" s="24"/>
      <c r="DCE48" s="24"/>
      <c r="DCF48" s="24"/>
      <c r="DCG48" s="24"/>
      <c r="DCH48" s="24"/>
      <c r="DCI48" s="24"/>
      <c r="DCJ48" s="24"/>
      <c r="DCK48" s="24"/>
      <c r="DCL48" s="24"/>
      <c r="DCM48" s="24"/>
      <c r="DCN48" s="24"/>
      <c r="DCO48" s="24"/>
      <c r="DCP48" s="24"/>
      <c r="DCQ48" s="24"/>
      <c r="DCR48" s="24"/>
      <c r="DCS48" s="24"/>
      <c r="DCT48" s="24"/>
      <c r="DCU48" s="24"/>
      <c r="DCV48" s="24"/>
      <c r="DCW48" s="24"/>
      <c r="DCX48" s="24"/>
      <c r="DCY48" s="24"/>
      <c r="DCZ48" s="24"/>
      <c r="DDA48" s="24"/>
      <c r="DDB48" s="24"/>
      <c r="DDC48" s="24"/>
      <c r="DDD48" s="24"/>
      <c r="DDE48" s="24"/>
      <c r="DDF48" s="24"/>
      <c r="DDG48" s="24"/>
      <c r="DDH48" s="24"/>
      <c r="DDI48" s="24"/>
      <c r="DDJ48" s="24"/>
      <c r="DDK48" s="24"/>
      <c r="DDL48" s="24"/>
      <c r="DDM48" s="24"/>
      <c r="DDN48" s="24"/>
      <c r="DDO48" s="24"/>
      <c r="DDP48" s="24"/>
      <c r="DDQ48" s="24"/>
      <c r="DDR48" s="24"/>
      <c r="DDS48" s="24"/>
      <c r="DDT48" s="24"/>
      <c r="DDU48" s="24"/>
      <c r="DDV48" s="24"/>
      <c r="DDW48" s="24"/>
      <c r="DDX48" s="24"/>
      <c r="DDY48" s="24"/>
      <c r="DDZ48" s="24"/>
      <c r="DEA48" s="24"/>
      <c r="DEB48" s="24"/>
      <c r="DEC48" s="24"/>
      <c r="DED48" s="24"/>
      <c r="DEE48" s="24"/>
      <c r="DEF48" s="24"/>
      <c r="DEG48" s="24"/>
      <c r="DEH48" s="24"/>
      <c r="DEI48" s="24"/>
      <c r="DEJ48" s="24"/>
      <c r="DEK48" s="24"/>
      <c r="DEL48" s="24"/>
      <c r="DEM48" s="24"/>
      <c r="DEN48" s="24"/>
      <c r="DEO48" s="24"/>
      <c r="DEP48" s="24"/>
      <c r="DEQ48" s="24"/>
      <c r="DER48" s="24"/>
      <c r="DES48" s="24"/>
      <c r="DET48" s="24"/>
      <c r="DEU48" s="24"/>
      <c r="DEV48" s="24"/>
      <c r="DEW48" s="24"/>
      <c r="DEX48" s="24"/>
      <c r="DEY48" s="24"/>
      <c r="DEZ48" s="24"/>
      <c r="DFA48" s="24"/>
      <c r="DFB48" s="24"/>
      <c r="DFC48" s="24"/>
      <c r="DFD48" s="24"/>
      <c r="DFE48" s="24"/>
      <c r="DFF48" s="24"/>
      <c r="DFG48" s="24"/>
      <c r="DFH48" s="24"/>
      <c r="DFI48" s="24"/>
      <c r="DFJ48" s="24"/>
      <c r="DFK48" s="24"/>
      <c r="DFL48" s="24"/>
      <c r="DFM48" s="24"/>
      <c r="DFN48" s="24"/>
      <c r="DFO48" s="24"/>
      <c r="DFP48" s="24"/>
      <c r="DFQ48" s="24"/>
      <c r="DFR48" s="24"/>
      <c r="DFS48" s="24"/>
      <c r="DFT48" s="24"/>
      <c r="DFU48" s="24"/>
      <c r="DFV48" s="24"/>
      <c r="DFW48" s="24"/>
      <c r="DFX48" s="24"/>
      <c r="DFY48" s="24"/>
      <c r="DFZ48" s="24"/>
      <c r="DGA48" s="24"/>
      <c r="DGB48" s="24"/>
      <c r="DGC48" s="24"/>
      <c r="DGD48" s="24"/>
      <c r="DGE48" s="24"/>
      <c r="DGF48" s="24"/>
      <c r="DGG48" s="24"/>
      <c r="DGH48" s="24"/>
      <c r="DGI48" s="24"/>
      <c r="DGJ48" s="24"/>
      <c r="DGK48" s="24"/>
      <c r="DGL48" s="24"/>
      <c r="DGM48" s="24"/>
      <c r="DGN48" s="24"/>
      <c r="DGO48" s="24"/>
      <c r="DGP48" s="24"/>
      <c r="DGQ48" s="24"/>
      <c r="DGR48" s="24"/>
      <c r="DGS48" s="24"/>
      <c r="DGT48" s="24"/>
      <c r="DGU48" s="24"/>
      <c r="DGV48" s="24"/>
      <c r="DGW48" s="24"/>
      <c r="DGX48" s="24"/>
      <c r="DGY48" s="24"/>
      <c r="DGZ48" s="24"/>
      <c r="DHA48" s="24"/>
      <c r="DHB48" s="24"/>
      <c r="DHC48" s="24"/>
      <c r="DHD48" s="24"/>
      <c r="DHE48" s="24"/>
      <c r="DHF48" s="24"/>
      <c r="DHG48" s="24"/>
      <c r="DHH48" s="24"/>
      <c r="DHI48" s="24"/>
      <c r="DHJ48" s="24"/>
      <c r="DHK48" s="24"/>
      <c r="DHL48" s="24"/>
      <c r="DHM48" s="24"/>
      <c r="DHN48" s="24"/>
      <c r="DHO48" s="24"/>
      <c r="DHP48" s="24"/>
      <c r="DHQ48" s="24"/>
      <c r="DHR48" s="24"/>
      <c r="DHS48" s="24"/>
      <c r="DHT48" s="24"/>
      <c r="DHU48" s="24"/>
      <c r="DHV48" s="24"/>
      <c r="DHW48" s="24"/>
      <c r="DHX48" s="24"/>
      <c r="DHY48" s="24"/>
      <c r="DHZ48" s="24"/>
      <c r="DIA48" s="24"/>
      <c r="DIB48" s="24"/>
      <c r="DIC48" s="24"/>
      <c r="DID48" s="24"/>
      <c r="DIE48" s="24"/>
      <c r="DIF48" s="24"/>
      <c r="DIG48" s="24"/>
      <c r="DIH48" s="24"/>
      <c r="DII48" s="24"/>
      <c r="DIJ48" s="24"/>
      <c r="DIK48" s="24"/>
      <c r="DIL48" s="24"/>
      <c r="DIM48" s="24"/>
      <c r="DIN48" s="24"/>
      <c r="DIO48" s="24"/>
      <c r="DIP48" s="24"/>
      <c r="DIQ48" s="24"/>
      <c r="DIR48" s="24"/>
      <c r="DIS48" s="24"/>
      <c r="DIT48" s="24"/>
      <c r="DIU48" s="24"/>
      <c r="DIV48" s="24"/>
      <c r="DIW48" s="24"/>
      <c r="DIX48" s="24"/>
      <c r="DIY48" s="24"/>
      <c r="DIZ48" s="24"/>
      <c r="DJA48" s="24"/>
      <c r="DJB48" s="24"/>
      <c r="DJC48" s="24"/>
      <c r="DJD48" s="24"/>
      <c r="DJE48" s="24"/>
      <c r="DJF48" s="24"/>
      <c r="DJG48" s="24"/>
      <c r="DJH48" s="24"/>
      <c r="DJI48" s="24"/>
      <c r="DJJ48" s="24"/>
      <c r="DJK48" s="24"/>
      <c r="DJL48" s="24"/>
      <c r="DJM48" s="24"/>
      <c r="DJN48" s="24"/>
      <c r="DJO48" s="24"/>
      <c r="DJP48" s="24"/>
      <c r="DJQ48" s="24"/>
      <c r="DJR48" s="24"/>
      <c r="DJS48" s="24"/>
      <c r="DJT48" s="24"/>
      <c r="DJU48" s="24"/>
      <c r="DJV48" s="24"/>
      <c r="DJW48" s="24"/>
      <c r="DJX48" s="24"/>
      <c r="DJY48" s="24"/>
      <c r="DJZ48" s="24"/>
      <c r="DKA48" s="24"/>
      <c r="DKB48" s="24"/>
      <c r="DKC48" s="24"/>
      <c r="DKD48" s="24"/>
      <c r="DKE48" s="24"/>
      <c r="DKF48" s="24"/>
      <c r="DKG48" s="24"/>
      <c r="DKH48" s="24"/>
      <c r="DKI48" s="24"/>
      <c r="DKJ48" s="24"/>
      <c r="DKK48" s="24"/>
      <c r="DKL48" s="24"/>
      <c r="DKM48" s="24"/>
      <c r="DKN48" s="24"/>
      <c r="DKO48" s="24"/>
      <c r="DKP48" s="24"/>
      <c r="DKQ48" s="24"/>
      <c r="DKR48" s="24"/>
      <c r="DKS48" s="24"/>
      <c r="DKT48" s="24"/>
      <c r="DKU48" s="24"/>
      <c r="DKV48" s="24"/>
      <c r="DKW48" s="24"/>
      <c r="DKX48" s="24"/>
      <c r="DKY48" s="24"/>
      <c r="DKZ48" s="24"/>
      <c r="DLA48" s="24"/>
      <c r="DLB48" s="24"/>
      <c r="DLC48" s="24"/>
      <c r="DLD48" s="24"/>
      <c r="DLE48" s="24"/>
      <c r="DLF48" s="24"/>
      <c r="DLG48" s="24"/>
      <c r="DLH48" s="24"/>
      <c r="DLI48" s="24"/>
      <c r="DLJ48" s="24"/>
      <c r="DLK48" s="24"/>
      <c r="DLL48" s="24"/>
      <c r="DLM48" s="24"/>
      <c r="DLN48" s="24"/>
      <c r="DLO48" s="24"/>
      <c r="DLP48" s="24"/>
      <c r="DLQ48" s="24"/>
      <c r="DLR48" s="24"/>
      <c r="DLS48" s="24"/>
      <c r="DLT48" s="24"/>
      <c r="DLU48" s="24"/>
      <c r="DLV48" s="24"/>
      <c r="DLW48" s="24"/>
      <c r="DLX48" s="24"/>
      <c r="DLY48" s="24"/>
      <c r="DLZ48" s="24"/>
      <c r="DMA48" s="24"/>
      <c r="DMB48" s="24"/>
      <c r="DMC48" s="24"/>
      <c r="DMD48" s="24"/>
      <c r="DME48" s="24"/>
      <c r="DMF48" s="24"/>
      <c r="DMG48" s="24"/>
      <c r="DMH48" s="24"/>
      <c r="DMI48" s="24"/>
      <c r="DMJ48" s="24"/>
      <c r="DMK48" s="24"/>
      <c r="DML48" s="24"/>
      <c r="DMM48" s="24"/>
      <c r="DMN48" s="24"/>
      <c r="DMO48" s="24"/>
      <c r="DMP48" s="24"/>
      <c r="DMQ48" s="24"/>
      <c r="DMR48" s="24"/>
      <c r="DMS48" s="24"/>
      <c r="DMT48" s="24"/>
      <c r="DMU48" s="24"/>
      <c r="DMV48" s="24"/>
      <c r="DMW48" s="24"/>
      <c r="DMX48" s="24"/>
      <c r="DMY48" s="24"/>
      <c r="DMZ48" s="24"/>
      <c r="DNA48" s="24"/>
      <c r="DNB48" s="24"/>
      <c r="DNC48" s="24"/>
      <c r="DND48" s="24"/>
      <c r="DNE48" s="24"/>
      <c r="DNF48" s="24"/>
      <c r="DNG48" s="24"/>
      <c r="DNH48" s="24"/>
      <c r="DNI48" s="24"/>
      <c r="DNJ48" s="24"/>
      <c r="DNK48" s="24"/>
      <c r="DNL48" s="24"/>
      <c r="DNM48" s="24"/>
      <c r="DNN48" s="24"/>
      <c r="DNO48" s="24"/>
      <c r="DNP48" s="24"/>
      <c r="DNQ48" s="24"/>
      <c r="DNR48" s="24"/>
      <c r="DNS48" s="24"/>
      <c r="DNT48" s="24"/>
      <c r="DNU48" s="24"/>
      <c r="DNV48" s="24"/>
      <c r="DNW48" s="24"/>
      <c r="DNX48" s="24"/>
      <c r="DNY48" s="24"/>
      <c r="DNZ48" s="24"/>
      <c r="DOA48" s="24"/>
      <c r="DOB48" s="24"/>
      <c r="DOC48" s="24"/>
      <c r="DOD48" s="24"/>
      <c r="DOE48" s="24"/>
      <c r="DOF48" s="24"/>
      <c r="DOG48" s="24"/>
      <c r="DOH48" s="24"/>
      <c r="DOI48" s="24"/>
      <c r="DOJ48" s="24"/>
      <c r="DOK48" s="24"/>
      <c r="DOL48" s="24"/>
      <c r="DOM48" s="24"/>
      <c r="DON48" s="24"/>
      <c r="DOO48" s="24"/>
      <c r="DOP48" s="24"/>
      <c r="DOQ48" s="24"/>
      <c r="DOR48" s="24"/>
      <c r="DOS48" s="24"/>
      <c r="DOT48" s="24"/>
      <c r="DOU48" s="24"/>
      <c r="DOV48" s="24"/>
      <c r="DOW48" s="24"/>
      <c r="DOX48" s="24"/>
      <c r="DOY48" s="24"/>
      <c r="DOZ48" s="24"/>
      <c r="DPA48" s="24"/>
      <c r="DPB48" s="24"/>
      <c r="DPC48" s="24"/>
      <c r="DPD48" s="24"/>
      <c r="DPE48" s="24"/>
      <c r="DPF48" s="24"/>
      <c r="DPG48" s="24"/>
      <c r="DPH48" s="24"/>
      <c r="DPI48" s="24"/>
      <c r="DPJ48" s="24"/>
      <c r="DPK48" s="24"/>
      <c r="DPL48" s="24"/>
      <c r="DPM48" s="24"/>
      <c r="DPN48" s="24"/>
      <c r="DPO48" s="24"/>
      <c r="DPP48" s="24"/>
      <c r="DPQ48" s="24"/>
      <c r="DPR48" s="24"/>
      <c r="DPS48" s="24"/>
      <c r="DPT48" s="24"/>
      <c r="DPU48" s="24"/>
      <c r="DPV48" s="24"/>
      <c r="DPW48" s="24"/>
      <c r="DPX48" s="24"/>
      <c r="DPY48" s="24"/>
      <c r="DPZ48" s="24"/>
      <c r="DQA48" s="24"/>
      <c r="DQB48" s="24"/>
      <c r="DQC48" s="24"/>
      <c r="DQD48" s="24"/>
      <c r="DQE48" s="24"/>
      <c r="DQF48" s="24"/>
      <c r="DQG48" s="24"/>
      <c r="DQH48" s="24"/>
      <c r="DQI48" s="24"/>
      <c r="DQJ48" s="24"/>
      <c r="DQK48" s="24"/>
      <c r="DQL48" s="24"/>
      <c r="DQM48" s="24"/>
      <c r="DQN48" s="24"/>
      <c r="DQO48" s="24"/>
      <c r="DQP48" s="24"/>
      <c r="DQQ48" s="24"/>
      <c r="DQR48" s="24"/>
      <c r="DQS48" s="24"/>
      <c r="DQT48" s="24"/>
      <c r="DQU48" s="24"/>
      <c r="DQV48" s="24"/>
      <c r="DQW48" s="24"/>
      <c r="DQX48" s="24"/>
      <c r="DQY48" s="24"/>
      <c r="DQZ48" s="24"/>
      <c r="DRA48" s="24"/>
      <c r="DRB48" s="24"/>
      <c r="DRC48" s="24"/>
      <c r="DRD48" s="24"/>
      <c r="DRE48" s="24"/>
      <c r="DRF48" s="24"/>
      <c r="DRG48" s="24"/>
      <c r="DRH48" s="24"/>
      <c r="DRI48" s="24"/>
      <c r="DRJ48" s="24"/>
      <c r="DRK48" s="24"/>
      <c r="DRL48" s="24"/>
      <c r="DRM48" s="24"/>
      <c r="DRN48" s="24"/>
      <c r="DRO48" s="24"/>
      <c r="DRP48" s="24"/>
      <c r="DRQ48" s="24"/>
      <c r="DRR48" s="24"/>
      <c r="DRS48" s="24"/>
      <c r="DRT48" s="24"/>
      <c r="DRU48" s="24"/>
      <c r="DRV48" s="24"/>
      <c r="DRW48" s="24"/>
      <c r="DRX48" s="24"/>
      <c r="DRY48" s="24"/>
      <c r="DRZ48" s="24"/>
      <c r="DSA48" s="24"/>
      <c r="DSB48" s="24"/>
      <c r="DSC48" s="24"/>
      <c r="DSD48" s="24"/>
      <c r="DSE48" s="24"/>
      <c r="DSF48" s="24"/>
      <c r="DSG48" s="24"/>
      <c r="DSH48" s="24"/>
      <c r="DSI48" s="24"/>
      <c r="DSJ48" s="24"/>
      <c r="DSK48" s="24"/>
      <c r="DSL48" s="24"/>
      <c r="DSM48" s="24"/>
      <c r="DSN48" s="24"/>
      <c r="DSO48" s="24"/>
      <c r="DSP48" s="24"/>
      <c r="DSQ48" s="24"/>
      <c r="DSR48" s="24"/>
      <c r="DSS48" s="24"/>
      <c r="DST48" s="24"/>
      <c r="DSU48" s="24"/>
      <c r="DSV48" s="24"/>
      <c r="DSW48" s="24"/>
      <c r="DSX48" s="24"/>
      <c r="DSY48" s="24"/>
      <c r="DSZ48" s="24"/>
      <c r="DTA48" s="24"/>
      <c r="DTB48" s="24"/>
      <c r="DTC48" s="24"/>
      <c r="DTD48" s="24"/>
      <c r="DTE48" s="24"/>
      <c r="DTF48" s="24"/>
      <c r="DTG48" s="24"/>
      <c r="DTH48" s="24"/>
      <c r="DTI48" s="24"/>
      <c r="DTJ48" s="24"/>
      <c r="DTK48" s="24"/>
      <c r="DTL48" s="24"/>
      <c r="DTM48" s="24"/>
      <c r="DTN48" s="24"/>
      <c r="DTO48" s="24"/>
      <c r="DTP48" s="24"/>
      <c r="DTQ48" s="24"/>
      <c r="DTR48" s="24"/>
      <c r="DTS48" s="24"/>
      <c r="DTT48" s="24"/>
      <c r="DTU48" s="24"/>
      <c r="DTV48" s="24"/>
      <c r="DTW48" s="24"/>
      <c r="DTX48" s="24"/>
      <c r="DTY48" s="24"/>
      <c r="DTZ48" s="24"/>
      <c r="DUA48" s="24"/>
      <c r="DUB48" s="24"/>
      <c r="DUC48" s="24"/>
      <c r="DUD48" s="24"/>
      <c r="DUE48" s="24"/>
      <c r="DUF48" s="24"/>
      <c r="DUG48" s="24"/>
      <c r="DUH48" s="24"/>
      <c r="DUI48" s="24"/>
      <c r="DUJ48" s="24"/>
      <c r="DUK48" s="24"/>
      <c r="DUL48" s="24"/>
      <c r="DUM48" s="24"/>
      <c r="DUN48" s="24"/>
      <c r="DUO48" s="24"/>
      <c r="DUP48" s="24"/>
      <c r="DUQ48" s="24"/>
      <c r="DUR48" s="24"/>
      <c r="DUS48" s="24"/>
      <c r="DUT48" s="24"/>
      <c r="DUU48" s="24"/>
      <c r="DUV48" s="24"/>
      <c r="DUW48" s="24"/>
      <c r="DUX48" s="24"/>
      <c r="DUY48" s="24"/>
      <c r="DUZ48" s="24"/>
      <c r="DVA48" s="24"/>
      <c r="DVB48" s="24"/>
      <c r="DVC48" s="24"/>
      <c r="DVD48" s="24"/>
      <c r="DVE48" s="24"/>
      <c r="DVF48" s="24"/>
      <c r="DVG48" s="24"/>
      <c r="DVH48" s="24"/>
      <c r="DVI48" s="24"/>
      <c r="DVJ48" s="24"/>
      <c r="DVK48" s="24"/>
      <c r="DVL48" s="24"/>
      <c r="DVM48" s="24"/>
      <c r="DVN48" s="24"/>
      <c r="DVO48" s="24"/>
      <c r="DVP48" s="24"/>
      <c r="DVQ48" s="24"/>
      <c r="DVR48" s="24"/>
      <c r="DVS48" s="24"/>
      <c r="DVT48" s="24"/>
      <c r="DVU48" s="24"/>
      <c r="DVV48" s="24"/>
      <c r="DVW48" s="24"/>
      <c r="DVX48" s="24"/>
      <c r="DVY48" s="24"/>
      <c r="DVZ48" s="24"/>
      <c r="DWA48" s="24"/>
      <c r="DWB48" s="24"/>
      <c r="DWC48" s="24"/>
      <c r="DWD48" s="24"/>
      <c r="DWE48" s="24"/>
      <c r="DWF48" s="24"/>
      <c r="DWG48" s="24"/>
      <c r="DWH48" s="24"/>
      <c r="DWI48" s="24"/>
      <c r="DWJ48" s="24"/>
      <c r="DWK48" s="24"/>
      <c r="DWL48" s="24"/>
      <c r="DWM48" s="24"/>
      <c r="DWN48" s="24"/>
      <c r="DWO48" s="24"/>
      <c r="DWP48" s="24"/>
      <c r="DWQ48" s="24"/>
      <c r="DWR48" s="24"/>
      <c r="DWS48" s="24"/>
      <c r="DWT48" s="24"/>
      <c r="DWU48" s="24"/>
      <c r="DWV48" s="24"/>
      <c r="DWW48" s="24"/>
      <c r="DWX48" s="24"/>
      <c r="DWY48" s="24"/>
      <c r="DWZ48" s="24"/>
      <c r="DXA48" s="24"/>
      <c r="DXB48" s="24"/>
      <c r="DXC48" s="24"/>
      <c r="DXD48" s="24"/>
      <c r="DXE48" s="24"/>
      <c r="DXF48" s="24"/>
      <c r="DXG48" s="24"/>
      <c r="DXH48" s="24"/>
      <c r="DXI48" s="24"/>
      <c r="DXJ48" s="24"/>
      <c r="DXK48" s="24"/>
      <c r="DXL48" s="24"/>
      <c r="DXM48" s="24"/>
      <c r="DXN48" s="24"/>
      <c r="DXO48" s="24"/>
      <c r="DXP48" s="24"/>
      <c r="DXQ48" s="24"/>
      <c r="DXR48" s="24"/>
      <c r="DXS48" s="24"/>
      <c r="DXT48" s="24"/>
      <c r="DXU48" s="24"/>
      <c r="DXV48" s="24"/>
      <c r="DXW48" s="24"/>
      <c r="DXX48" s="24"/>
      <c r="DXY48" s="24"/>
      <c r="DXZ48" s="24"/>
      <c r="DYA48" s="24"/>
      <c r="DYB48" s="24"/>
      <c r="DYC48" s="24"/>
      <c r="DYD48" s="24"/>
      <c r="DYE48" s="24"/>
      <c r="DYF48" s="24"/>
      <c r="DYG48" s="24"/>
      <c r="DYH48" s="24"/>
      <c r="DYI48" s="24"/>
      <c r="DYJ48" s="24"/>
      <c r="DYK48" s="24"/>
      <c r="DYL48" s="24"/>
      <c r="DYM48" s="24"/>
      <c r="DYN48" s="24"/>
      <c r="DYO48" s="24"/>
      <c r="DYP48" s="24"/>
      <c r="DYQ48" s="24"/>
      <c r="DYR48" s="24"/>
      <c r="DYS48" s="24"/>
      <c r="DYT48" s="24"/>
      <c r="DYU48" s="24"/>
      <c r="DYV48" s="24"/>
      <c r="DYW48" s="24"/>
      <c r="DYX48" s="24"/>
      <c r="DYY48" s="24"/>
      <c r="DYZ48" s="24"/>
      <c r="DZA48" s="24"/>
      <c r="DZB48" s="24"/>
      <c r="DZC48" s="24"/>
      <c r="DZD48" s="24"/>
      <c r="DZE48" s="24"/>
      <c r="DZF48" s="24"/>
      <c r="DZG48" s="24"/>
      <c r="DZH48" s="24"/>
      <c r="DZI48" s="24"/>
      <c r="DZJ48" s="24"/>
      <c r="DZK48" s="24"/>
      <c r="DZL48" s="24"/>
      <c r="DZM48" s="24"/>
      <c r="DZN48" s="24"/>
      <c r="DZO48" s="24"/>
      <c r="DZP48" s="24"/>
      <c r="DZQ48" s="24"/>
      <c r="DZR48" s="24"/>
      <c r="DZS48" s="24"/>
      <c r="DZT48" s="24"/>
      <c r="DZU48" s="24"/>
      <c r="DZV48" s="24"/>
      <c r="DZW48" s="24"/>
      <c r="DZX48" s="24"/>
      <c r="DZY48" s="24"/>
      <c r="DZZ48" s="24"/>
      <c r="EAA48" s="24"/>
      <c r="EAB48" s="24"/>
      <c r="EAC48" s="24"/>
      <c r="EAD48" s="24"/>
      <c r="EAE48" s="24"/>
      <c r="EAF48" s="24"/>
      <c r="EAG48" s="24"/>
      <c r="EAH48" s="24"/>
      <c r="EAI48" s="24"/>
      <c r="EAJ48" s="24"/>
      <c r="EAK48" s="24"/>
      <c r="EAL48" s="24"/>
      <c r="EAM48" s="24"/>
      <c r="EAN48" s="24"/>
      <c r="EAO48" s="24"/>
      <c r="EAP48" s="24"/>
      <c r="EAQ48" s="24"/>
      <c r="EAR48" s="24"/>
      <c r="EAS48" s="24"/>
      <c r="EAT48" s="24"/>
      <c r="EAU48" s="24"/>
      <c r="EAV48" s="24"/>
      <c r="EAW48" s="24"/>
      <c r="EAX48" s="24"/>
      <c r="EAY48" s="24"/>
      <c r="EAZ48" s="24"/>
      <c r="EBA48" s="24"/>
      <c r="EBB48" s="24"/>
      <c r="EBC48" s="24"/>
      <c r="EBD48" s="24"/>
      <c r="EBE48" s="24"/>
      <c r="EBF48" s="24"/>
      <c r="EBG48" s="24"/>
      <c r="EBH48" s="24"/>
      <c r="EBI48" s="24"/>
      <c r="EBJ48" s="24"/>
      <c r="EBK48" s="24"/>
      <c r="EBL48" s="24"/>
      <c r="EBM48" s="24"/>
      <c r="EBN48" s="24"/>
      <c r="EBO48" s="24"/>
      <c r="EBP48" s="24"/>
      <c r="EBQ48" s="24"/>
      <c r="EBR48" s="24"/>
      <c r="EBS48" s="24"/>
      <c r="EBT48" s="24"/>
      <c r="EBU48" s="24"/>
      <c r="EBV48" s="24"/>
      <c r="EBW48" s="24"/>
      <c r="EBX48" s="24"/>
      <c r="EBY48" s="24"/>
      <c r="EBZ48" s="24"/>
      <c r="ECA48" s="24"/>
      <c r="ECB48" s="24"/>
      <c r="ECC48" s="24"/>
      <c r="ECD48" s="24"/>
      <c r="ECE48" s="24"/>
      <c r="ECF48" s="24"/>
      <c r="ECG48" s="24"/>
      <c r="ECH48" s="24"/>
      <c r="ECI48" s="24"/>
      <c r="ECJ48" s="24"/>
      <c r="ECK48" s="24"/>
      <c r="ECL48" s="24"/>
      <c r="ECM48" s="24"/>
      <c r="ECN48" s="24"/>
      <c r="ECO48" s="24"/>
      <c r="ECP48" s="24"/>
      <c r="ECQ48" s="24"/>
      <c r="ECR48" s="24"/>
      <c r="ECS48" s="24"/>
      <c r="ECT48" s="24"/>
      <c r="ECU48" s="24"/>
      <c r="ECV48" s="24"/>
      <c r="ECW48" s="24"/>
      <c r="ECX48" s="24"/>
      <c r="ECY48" s="24"/>
      <c r="ECZ48" s="24"/>
      <c r="EDA48" s="24"/>
      <c r="EDB48" s="24"/>
      <c r="EDC48" s="24"/>
      <c r="EDD48" s="24"/>
      <c r="EDE48" s="24"/>
      <c r="EDF48" s="24"/>
      <c r="EDG48" s="24"/>
      <c r="EDH48" s="24"/>
      <c r="EDI48" s="24"/>
      <c r="EDJ48" s="24"/>
      <c r="EDK48" s="24"/>
      <c r="EDL48" s="24"/>
      <c r="EDM48" s="24"/>
      <c r="EDN48" s="24"/>
      <c r="EDO48" s="24"/>
      <c r="EDP48" s="24"/>
      <c r="EDQ48" s="24"/>
      <c r="EDR48" s="24"/>
      <c r="EDS48" s="24"/>
      <c r="EDT48" s="24"/>
      <c r="EDU48" s="24"/>
      <c r="EDV48" s="24"/>
      <c r="EDW48" s="24"/>
      <c r="EDX48" s="24"/>
      <c r="EDY48" s="24"/>
      <c r="EDZ48" s="24"/>
      <c r="EEA48" s="24"/>
      <c r="EEB48" s="24"/>
      <c r="EEC48" s="24"/>
      <c r="EED48" s="24"/>
      <c r="EEE48" s="24"/>
      <c r="EEF48" s="24"/>
      <c r="EEG48" s="24"/>
      <c r="EEH48" s="24"/>
      <c r="EEI48" s="24"/>
      <c r="EEJ48" s="24"/>
      <c r="EEK48" s="24"/>
      <c r="EEL48" s="24"/>
      <c r="EEM48" s="24"/>
      <c r="EEN48" s="24"/>
      <c r="EEO48" s="24"/>
      <c r="EEP48" s="24"/>
      <c r="EEQ48" s="24"/>
      <c r="EER48" s="24"/>
      <c r="EES48" s="24"/>
      <c r="EET48" s="24"/>
      <c r="EEU48" s="24"/>
      <c r="EEV48" s="24"/>
      <c r="EEW48" s="24"/>
      <c r="EEX48" s="24"/>
      <c r="EEY48" s="24"/>
      <c r="EEZ48" s="24"/>
      <c r="EFA48" s="24"/>
      <c r="EFB48" s="24"/>
      <c r="EFC48" s="24"/>
      <c r="EFD48" s="24"/>
      <c r="EFE48" s="24"/>
      <c r="EFF48" s="24"/>
      <c r="EFG48" s="24"/>
      <c r="EFH48" s="24"/>
      <c r="EFI48" s="24"/>
      <c r="EFJ48" s="24"/>
      <c r="EFK48" s="24"/>
      <c r="EFL48" s="24"/>
      <c r="EFM48" s="24"/>
      <c r="EFN48" s="24"/>
      <c r="EFO48" s="24"/>
      <c r="EFP48" s="24"/>
      <c r="EFQ48" s="24"/>
      <c r="EFR48" s="24"/>
      <c r="EFS48" s="24"/>
      <c r="EFT48" s="24"/>
      <c r="EFU48" s="24"/>
      <c r="EFV48" s="24"/>
      <c r="EFW48" s="24"/>
      <c r="EFX48" s="24"/>
      <c r="EFY48" s="24"/>
      <c r="EFZ48" s="24"/>
      <c r="EGA48" s="24"/>
      <c r="EGB48" s="24"/>
      <c r="EGC48" s="24"/>
      <c r="EGD48" s="24"/>
      <c r="EGE48" s="24"/>
      <c r="EGF48" s="24"/>
      <c r="EGG48" s="24"/>
      <c r="EGH48" s="24"/>
      <c r="EGI48" s="24"/>
      <c r="EGJ48" s="24"/>
      <c r="EGK48" s="24"/>
      <c r="EGL48" s="24"/>
      <c r="EGM48" s="24"/>
      <c r="EGN48" s="24"/>
      <c r="EGO48" s="24"/>
      <c r="EGP48" s="24"/>
      <c r="EGQ48" s="24"/>
      <c r="EGR48" s="24"/>
      <c r="EGS48" s="24"/>
      <c r="EGT48" s="24"/>
      <c r="EGU48" s="24"/>
      <c r="EGV48" s="24"/>
      <c r="EGW48" s="24"/>
      <c r="EGX48" s="24"/>
      <c r="EGY48" s="24"/>
      <c r="EGZ48" s="24"/>
      <c r="EHA48" s="24"/>
      <c r="EHB48" s="24"/>
      <c r="EHC48" s="24"/>
      <c r="EHD48" s="24"/>
      <c r="EHE48" s="24"/>
      <c r="EHF48" s="24"/>
      <c r="EHG48" s="24"/>
      <c r="EHH48" s="24"/>
      <c r="EHI48" s="24"/>
      <c r="EHJ48" s="24"/>
      <c r="EHK48" s="24"/>
      <c r="EHL48" s="24"/>
      <c r="EHM48" s="24"/>
      <c r="EHN48" s="24"/>
      <c r="EHO48" s="24"/>
      <c r="EHP48" s="24"/>
      <c r="EHQ48" s="24"/>
      <c r="EHR48" s="24"/>
      <c r="EHS48" s="24"/>
      <c r="EHT48" s="24"/>
      <c r="EHU48" s="24"/>
      <c r="EHV48" s="24"/>
      <c r="EHW48" s="24"/>
      <c r="EHX48" s="24"/>
      <c r="EHY48" s="24"/>
      <c r="EHZ48" s="24"/>
      <c r="EIA48" s="24"/>
      <c r="EIB48" s="24"/>
      <c r="EIC48" s="24"/>
      <c r="EID48" s="24"/>
      <c r="EIE48" s="24"/>
      <c r="EIF48" s="24"/>
      <c r="EIG48" s="24"/>
      <c r="EIH48" s="24"/>
      <c r="EII48" s="24"/>
      <c r="EIJ48" s="24"/>
      <c r="EIK48" s="24"/>
      <c r="EIL48" s="24"/>
      <c r="EIM48" s="24"/>
      <c r="EIN48" s="24"/>
      <c r="EIO48" s="24"/>
      <c r="EIP48" s="24"/>
      <c r="EIQ48" s="24"/>
      <c r="EIR48" s="24"/>
      <c r="EIS48" s="24"/>
      <c r="EIT48" s="24"/>
      <c r="EIU48" s="24"/>
      <c r="EIV48" s="24"/>
      <c r="EIW48" s="24"/>
      <c r="EIX48" s="24"/>
      <c r="EIY48" s="24"/>
      <c r="EIZ48" s="24"/>
      <c r="EJA48" s="24"/>
      <c r="EJB48" s="24"/>
      <c r="EJC48" s="24"/>
      <c r="EJD48" s="24"/>
      <c r="EJE48" s="24"/>
      <c r="EJF48" s="24"/>
      <c r="EJG48" s="24"/>
      <c r="EJH48" s="24"/>
      <c r="EJI48" s="24"/>
      <c r="EJJ48" s="24"/>
      <c r="EJK48" s="24"/>
      <c r="EJL48" s="24"/>
      <c r="EJM48" s="24"/>
      <c r="EJN48" s="24"/>
      <c r="EJO48" s="24"/>
      <c r="EJP48" s="24"/>
      <c r="EJQ48" s="24"/>
      <c r="EJR48" s="24"/>
      <c r="EJS48" s="24"/>
      <c r="EJT48" s="24"/>
      <c r="EJU48" s="24"/>
      <c r="EJV48" s="24"/>
      <c r="EJW48" s="24"/>
      <c r="EJX48" s="24"/>
      <c r="EJY48" s="24"/>
      <c r="EJZ48" s="24"/>
      <c r="EKA48" s="24"/>
      <c r="EKB48" s="24"/>
      <c r="EKC48" s="24"/>
      <c r="EKD48" s="24"/>
      <c r="EKE48" s="24"/>
      <c r="EKF48" s="24"/>
      <c r="EKG48" s="24"/>
      <c r="EKH48" s="24"/>
      <c r="EKI48" s="24"/>
      <c r="EKJ48" s="24"/>
      <c r="EKK48" s="24"/>
      <c r="EKL48" s="24"/>
      <c r="EKM48" s="24"/>
      <c r="EKN48" s="24"/>
      <c r="EKO48" s="24"/>
      <c r="EKP48" s="24"/>
      <c r="EKQ48" s="24"/>
      <c r="EKR48" s="24"/>
      <c r="EKS48" s="24"/>
      <c r="EKT48" s="24"/>
      <c r="EKU48" s="24"/>
      <c r="EKV48" s="24"/>
      <c r="EKW48" s="24"/>
      <c r="EKX48" s="24"/>
      <c r="EKY48" s="24"/>
      <c r="EKZ48" s="24"/>
      <c r="ELA48" s="24"/>
      <c r="ELB48" s="24"/>
      <c r="ELC48" s="24"/>
      <c r="ELD48" s="24"/>
      <c r="ELE48" s="24"/>
      <c r="ELF48" s="24"/>
      <c r="ELG48" s="24"/>
      <c r="ELH48" s="24"/>
      <c r="ELI48" s="24"/>
      <c r="ELJ48" s="24"/>
      <c r="ELK48" s="24"/>
      <c r="ELL48" s="24"/>
      <c r="ELM48" s="24"/>
      <c r="ELN48" s="24"/>
      <c r="ELO48" s="24"/>
      <c r="ELP48" s="24"/>
      <c r="ELQ48" s="24"/>
      <c r="ELR48" s="24"/>
      <c r="ELS48" s="24"/>
      <c r="ELT48" s="24"/>
      <c r="ELU48" s="24"/>
      <c r="ELV48" s="24"/>
      <c r="ELW48" s="24"/>
      <c r="ELX48" s="24"/>
      <c r="ELY48" s="24"/>
      <c r="ELZ48" s="24"/>
      <c r="EMA48" s="24"/>
      <c r="EMB48" s="24"/>
      <c r="EMC48" s="24"/>
      <c r="EMD48" s="24"/>
      <c r="EME48" s="24"/>
      <c r="EMF48" s="24"/>
      <c r="EMG48" s="24"/>
      <c r="EMH48" s="24"/>
      <c r="EMI48" s="24"/>
      <c r="EMJ48" s="24"/>
      <c r="EMK48" s="24"/>
      <c r="EML48" s="24"/>
      <c r="EMM48" s="24"/>
      <c r="EMN48" s="24"/>
      <c r="EMO48" s="24"/>
      <c r="EMP48" s="24"/>
      <c r="EMQ48" s="24"/>
      <c r="EMR48" s="24"/>
      <c r="EMS48" s="24"/>
      <c r="EMT48" s="24"/>
      <c r="EMU48" s="24"/>
      <c r="EMV48" s="24"/>
      <c r="EMW48" s="24"/>
      <c r="EMX48" s="24"/>
      <c r="EMY48" s="24"/>
      <c r="EMZ48" s="24"/>
      <c r="ENA48" s="24"/>
      <c r="ENB48" s="24"/>
      <c r="ENC48" s="24"/>
      <c r="END48" s="24"/>
      <c r="ENE48" s="24"/>
      <c r="ENF48" s="24"/>
      <c r="ENG48" s="24"/>
      <c r="ENH48" s="24"/>
      <c r="ENI48" s="24"/>
      <c r="ENJ48" s="24"/>
      <c r="ENK48" s="24"/>
      <c r="ENL48" s="24"/>
      <c r="ENM48" s="24"/>
      <c r="ENN48" s="24"/>
      <c r="ENO48" s="24"/>
      <c r="ENP48" s="24"/>
      <c r="ENQ48" s="24"/>
      <c r="ENR48" s="24"/>
      <c r="ENS48" s="24"/>
      <c r="ENT48" s="24"/>
      <c r="ENU48" s="24"/>
      <c r="ENV48" s="24"/>
      <c r="ENW48" s="24"/>
      <c r="ENX48" s="24"/>
      <c r="ENY48" s="24"/>
      <c r="ENZ48" s="24"/>
      <c r="EOA48" s="24"/>
      <c r="EOB48" s="24"/>
      <c r="EOC48" s="24"/>
      <c r="EOD48" s="24"/>
      <c r="EOE48" s="24"/>
      <c r="EOF48" s="24"/>
      <c r="EOG48" s="24"/>
      <c r="EOH48" s="24"/>
      <c r="EOI48" s="24"/>
      <c r="EOJ48" s="24"/>
      <c r="EOK48" s="24"/>
      <c r="EOL48" s="24"/>
      <c r="EOM48" s="24"/>
      <c r="EON48" s="24"/>
      <c r="EOO48" s="24"/>
      <c r="EOP48" s="24"/>
      <c r="EOQ48" s="24"/>
      <c r="EOR48" s="24"/>
      <c r="EOS48" s="24"/>
      <c r="EOT48" s="24"/>
      <c r="EOU48" s="24"/>
      <c r="EOV48" s="24"/>
      <c r="EOW48" s="24"/>
      <c r="EOX48" s="24"/>
      <c r="EOY48" s="24"/>
      <c r="EOZ48" s="24"/>
      <c r="EPA48" s="24"/>
      <c r="EPB48" s="24"/>
      <c r="EPC48" s="24"/>
      <c r="EPD48" s="24"/>
      <c r="EPE48" s="24"/>
      <c r="EPF48" s="24"/>
      <c r="EPG48" s="24"/>
      <c r="EPH48" s="24"/>
      <c r="EPI48" s="24"/>
      <c r="EPJ48" s="24"/>
      <c r="EPK48" s="24"/>
      <c r="EPL48" s="24"/>
      <c r="EPM48" s="24"/>
      <c r="EPN48" s="24"/>
      <c r="EPO48" s="24"/>
      <c r="EPP48" s="24"/>
      <c r="EPQ48" s="24"/>
      <c r="EPR48" s="24"/>
      <c r="EPS48" s="24"/>
      <c r="EPT48" s="24"/>
      <c r="EPU48" s="24"/>
      <c r="EPV48" s="24"/>
      <c r="EPW48" s="24"/>
      <c r="EPX48" s="24"/>
      <c r="EPY48" s="24"/>
      <c r="EPZ48" s="24"/>
      <c r="EQA48" s="24"/>
      <c r="EQB48" s="24"/>
      <c r="EQC48" s="24"/>
      <c r="EQD48" s="24"/>
      <c r="EQE48" s="24"/>
      <c r="EQF48" s="24"/>
      <c r="EQG48" s="24"/>
      <c r="EQH48" s="24"/>
      <c r="EQI48" s="24"/>
      <c r="EQJ48" s="24"/>
      <c r="EQK48" s="24"/>
      <c r="EQL48" s="24"/>
      <c r="EQM48" s="24"/>
      <c r="EQN48" s="24"/>
      <c r="EQO48" s="24"/>
      <c r="EQP48" s="24"/>
      <c r="EQQ48" s="24"/>
      <c r="EQR48" s="24"/>
      <c r="EQS48" s="24"/>
      <c r="EQT48" s="24"/>
      <c r="EQU48" s="24"/>
      <c r="EQV48" s="24"/>
      <c r="EQW48" s="24"/>
      <c r="EQX48" s="24"/>
      <c r="EQY48" s="24"/>
      <c r="EQZ48" s="24"/>
      <c r="ERA48" s="24"/>
      <c r="ERB48" s="24"/>
      <c r="ERC48" s="24"/>
      <c r="ERD48" s="24"/>
      <c r="ERE48" s="24"/>
      <c r="ERF48" s="24"/>
      <c r="ERG48" s="24"/>
      <c r="ERH48" s="24"/>
      <c r="ERI48" s="24"/>
      <c r="ERJ48" s="24"/>
      <c r="ERK48" s="24"/>
      <c r="ERL48" s="24"/>
      <c r="ERM48" s="24"/>
      <c r="ERN48" s="24"/>
      <c r="ERO48" s="24"/>
      <c r="ERP48" s="24"/>
      <c r="ERQ48" s="24"/>
      <c r="ERR48" s="24"/>
      <c r="ERS48" s="24"/>
      <c r="ERT48" s="24"/>
      <c r="ERU48" s="24"/>
      <c r="ERV48" s="24"/>
      <c r="ERW48" s="24"/>
      <c r="ERX48" s="24"/>
      <c r="ERY48" s="24"/>
      <c r="ERZ48" s="24"/>
      <c r="ESA48" s="24"/>
      <c r="ESB48" s="24"/>
      <c r="ESC48" s="24"/>
      <c r="ESD48" s="24"/>
      <c r="ESE48" s="24"/>
      <c r="ESF48" s="24"/>
      <c r="ESG48" s="24"/>
      <c r="ESH48" s="24"/>
      <c r="ESI48" s="24"/>
      <c r="ESJ48" s="24"/>
      <c r="ESK48" s="24"/>
      <c r="ESL48" s="24"/>
      <c r="ESM48" s="24"/>
      <c r="ESN48" s="24"/>
      <c r="ESO48" s="24"/>
      <c r="ESP48" s="24"/>
      <c r="ESQ48" s="24"/>
      <c r="ESR48" s="24"/>
      <c r="ESS48" s="24"/>
      <c r="EST48" s="24"/>
      <c r="ESU48" s="24"/>
      <c r="ESV48" s="24"/>
      <c r="ESW48" s="24"/>
      <c r="ESX48" s="24"/>
      <c r="ESY48" s="24"/>
      <c r="ESZ48" s="24"/>
      <c r="ETA48" s="24"/>
      <c r="ETB48" s="24"/>
      <c r="ETC48" s="24"/>
      <c r="ETD48" s="24"/>
      <c r="ETE48" s="24"/>
      <c r="ETF48" s="24"/>
      <c r="ETG48" s="24"/>
      <c r="ETH48" s="24"/>
      <c r="ETI48" s="24"/>
      <c r="ETJ48" s="24"/>
      <c r="ETK48" s="24"/>
      <c r="ETL48" s="24"/>
      <c r="ETM48" s="24"/>
      <c r="ETN48" s="24"/>
      <c r="ETO48" s="24"/>
      <c r="ETP48" s="24"/>
      <c r="ETQ48" s="24"/>
      <c r="ETR48" s="24"/>
      <c r="ETS48" s="24"/>
      <c r="ETT48" s="24"/>
      <c r="ETU48" s="24"/>
      <c r="ETV48" s="24"/>
      <c r="ETW48" s="24"/>
      <c r="ETX48" s="24"/>
      <c r="ETY48" s="24"/>
      <c r="ETZ48" s="24"/>
      <c r="EUA48" s="24"/>
      <c r="EUB48" s="24"/>
      <c r="EUC48" s="24"/>
      <c r="EUD48" s="24"/>
      <c r="EUE48" s="24"/>
      <c r="EUF48" s="24"/>
      <c r="EUG48" s="24"/>
      <c r="EUH48" s="24"/>
      <c r="EUI48" s="24"/>
      <c r="EUJ48" s="24"/>
      <c r="EUK48" s="24"/>
      <c r="EUL48" s="24"/>
      <c r="EUM48" s="24"/>
      <c r="EUN48" s="24"/>
      <c r="EUO48" s="24"/>
      <c r="EUP48" s="24"/>
      <c r="EUQ48" s="24"/>
      <c r="EUR48" s="24"/>
      <c r="EUS48" s="24"/>
      <c r="EUT48" s="24"/>
      <c r="EUU48" s="24"/>
      <c r="EUV48" s="24"/>
      <c r="EUW48" s="24"/>
      <c r="EUX48" s="24"/>
      <c r="EUY48" s="24"/>
      <c r="EUZ48" s="24"/>
      <c r="EVA48" s="24"/>
      <c r="EVB48" s="24"/>
      <c r="EVC48" s="24"/>
      <c r="EVD48" s="24"/>
      <c r="EVE48" s="24"/>
      <c r="EVF48" s="24"/>
      <c r="EVG48" s="24"/>
      <c r="EVH48" s="24"/>
      <c r="EVI48" s="24"/>
      <c r="EVJ48" s="24"/>
      <c r="EVK48" s="24"/>
      <c r="EVL48" s="24"/>
      <c r="EVM48" s="24"/>
      <c r="EVN48" s="24"/>
      <c r="EVO48" s="24"/>
      <c r="EVP48" s="24"/>
      <c r="EVQ48" s="24"/>
      <c r="EVR48" s="24"/>
      <c r="EVS48" s="24"/>
      <c r="EVT48" s="24"/>
      <c r="EVU48" s="24"/>
      <c r="EVV48" s="24"/>
      <c r="EVW48" s="24"/>
      <c r="EVX48" s="24"/>
      <c r="EVY48" s="24"/>
      <c r="EVZ48" s="24"/>
      <c r="EWA48" s="24"/>
      <c r="EWB48" s="24"/>
      <c r="EWC48" s="24"/>
      <c r="EWD48" s="24"/>
      <c r="EWE48" s="24"/>
      <c r="EWF48" s="24"/>
      <c r="EWG48" s="24"/>
      <c r="EWH48" s="24"/>
      <c r="EWI48" s="24"/>
      <c r="EWJ48" s="24"/>
      <c r="EWK48" s="24"/>
      <c r="EWL48" s="24"/>
      <c r="EWM48" s="24"/>
      <c r="EWN48" s="24"/>
      <c r="EWO48" s="24"/>
      <c r="EWP48" s="24"/>
      <c r="EWQ48" s="24"/>
      <c r="EWR48" s="24"/>
      <c r="EWS48" s="24"/>
      <c r="EWT48" s="24"/>
      <c r="EWU48" s="24"/>
      <c r="EWV48" s="24"/>
      <c r="EWW48" s="24"/>
      <c r="EWX48" s="24"/>
      <c r="EWY48" s="24"/>
      <c r="EWZ48" s="24"/>
      <c r="EXA48" s="24"/>
      <c r="EXB48" s="24"/>
      <c r="EXC48" s="24"/>
      <c r="EXD48" s="24"/>
      <c r="EXE48" s="24"/>
      <c r="EXF48" s="24"/>
      <c r="EXG48" s="24"/>
      <c r="EXH48" s="24"/>
      <c r="EXI48" s="24"/>
      <c r="EXJ48" s="24"/>
      <c r="EXK48" s="24"/>
      <c r="EXL48" s="24"/>
      <c r="EXM48" s="24"/>
      <c r="EXN48" s="24"/>
      <c r="EXO48" s="24"/>
      <c r="EXP48" s="24"/>
      <c r="EXQ48" s="24"/>
      <c r="EXR48" s="24"/>
      <c r="EXS48" s="24"/>
      <c r="EXT48" s="24"/>
      <c r="EXU48" s="24"/>
      <c r="EXV48" s="24"/>
      <c r="EXW48" s="24"/>
      <c r="EXX48" s="24"/>
      <c r="EXY48" s="24"/>
      <c r="EXZ48" s="24"/>
      <c r="EYA48" s="24"/>
      <c r="EYB48" s="24"/>
      <c r="EYC48" s="24"/>
      <c r="EYD48" s="24"/>
      <c r="EYE48" s="24"/>
      <c r="EYF48" s="24"/>
      <c r="EYG48" s="24"/>
      <c r="EYH48" s="24"/>
      <c r="EYI48" s="24"/>
      <c r="EYJ48" s="24"/>
      <c r="EYK48" s="24"/>
      <c r="EYL48" s="24"/>
      <c r="EYM48" s="24"/>
      <c r="EYN48" s="24"/>
      <c r="EYO48" s="24"/>
      <c r="EYP48" s="24"/>
      <c r="EYQ48" s="24"/>
      <c r="EYR48" s="24"/>
      <c r="EYS48" s="24"/>
      <c r="EYT48" s="24"/>
      <c r="EYU48" s="24"/>
      <c r="EYV48" s="24"/>
      <c r="EYW48" s="24"/>
      <c r="EYX48" s="24"/>
      <c r="EYY48" s="24"/>
      <c r="EYZ48" s="24"/>
      <c r="EZA48" s="24"/>
      <c r="EZB48" s="24"/>
      <c r="EZC48" s="24"/>
      <c r="EZD48" s="24"/>
      <c r="EZE48" s="24"/>
      <c r="EZF48" s="24"/>
      <c r="EZG48" s="24"/>
      <c r="EZH48" s="24"/>
      <c r="EZI48" s="24"/>
      <c r="EZJ48" s="24"/>
      <c r="EZK48" s="24"/>
      <c r="EZL48" s="24"/>
      <c r="EZM48" s="24"/>
      <c r="EZN48" s="24"/>
      <c r="EZO48" s="24"/>
      <c r="EZP48" s="24"/>
      <c r="EZQ48" s="24"/>
      <c r="EZR48" s="24"/>
      <c r="EZS48" s="24"/>
      <c r="EZT48" s="24"/>
      <c r="EZU48" s="24"/>
      <c r="EZV48" s="24"/>
      <c r="EZW48" s="24"/>
      <c r="EZX48" s="24"/>
      <c r="EZY48" s="24"/>
      <c r="EZZ48" s="24"/>
      <c r="FAA48" s="24"/>
      <c r="FAB48" s="24"/>
      <c r="FAC48" s="24"/>
      <c r="FAD48" s="24"/>
      <c r="FAE48" s="24"/>
      <c r="FAF48" s="24"/>
      <c r="FAG48" s="24"/>
      <c r="FAH48" s="24"/>
      <c r="FAI48" s="24"/>
      <c r="FAJ48" s="24"/>
      <c r="FAK48" s="24"/>
      <c r="FAL48" s="24"/>
      <c r="FAM48" s="24"/>
      <c r="FAN48" s="24"/>
      <c r="FAO48" s="24"/>
      <c r="FAP48" s="24"/>
      <c r="FAQ48" s="24"/>
      <c r="FAR48" s="24"/>
      <c r="FAS48" s="24"/>
      <c r="FAT48" s="24"/>
      <c r="FAU48" s="24"/>
      <c r="FAV48" s="24"/>
      <c r="FAW48" s="24"/>
      <c r="FAX48" s="24"/>
      <c r="FAY48" s="24"/>
      <c r="FAZ48" s="24"/>
      <c r="FBA48" s="24"/>
      <c r="FBB48" s="24"/>
      <c r="FBC48" s="24"/>
      <c r="FBD48" s="24"/>
      <c r="FBE48" s="24"/>
      <c r="FBF48" s="24"/>
      <c r="FBG48" s="24"/>
      <c r="FBH48" s="24"/>
      <c r="FBI48" s="24"/>
      <c r="FBJ48" s="24"/>
      <c r="FBK48" s="24"/>
      <c r="FBL48" s="24"/>
      <c r="FBM48" s="24"/>
      <c r="FBN48" s="24"/>
      <c r="FBO48" s="24"/>
      <c r="FBP48" s="24"/>
      <c r="FBQ48" s="24"/>
      <c r="FBR48" s="24"/>
      <c r="FBS48" s="24"/>
      <c r="FBT48" s="24"/>
      <c r="FBU48" s="24"/>
      <c r="FBV48" s="24"/>
      <c r="FBW48" s="24"/>
      <c r="FBX48" s="24"/>
      <c r="FBY48" s="24"/>
      <c r="FBZ48" s="24"/>
      <c r="FCA48" s="24"/>
      <c r="FCB48" s="24"/>
      <c r="FCC48" s="24"/>
      <c r="FCD48" s="24"/>
      <c r="FCE48" s="24"/>
      <c r="FCF48" s="24"/>
      <c r="FCG48" s="24"/>
      <c r="FCH48" s="24"/>
      <c r="FCI48" s="24"/>
      <c r="FCJ48" s="24"/>
      <c r="FCK48" s="24"/>
      <c r="FCL48" s="24"/>
      <c r="FCM48" s="24"/>
      <c r="FCN48" s="24"/>
      <c r="FCO48" s="24"/>
      <c r="FCP48" s="24"/>
      <c r="FCQ48" s="24"/>
      <c r="FCR48" s="24"/>
      <c r="FCS48" s="24"/>
      <c r="FCT48" s="24"/>
      <c r="FCU48" s="24"/>
      <c r="FCV48" s="24"/>
      <c r="FCW48" s="24"/>
      <c r="FCX48" s="24"/>
      <c r="FCY48" s="24"/>
      <c r="FCZ48" s="24"/>
      <c r="FDA48" s="24"/>
      <c r="FDB48" s="24"/>
      <c r="FDC48" s="24"/>
      <c r="FDD48" s="24"/>
      <c r="FDE48" s="24"/>
      <c r="FDF48" s="24"/>
      <c r="FDG48" s="24"/>
      <c r="FDH48" s="24"/>
      <c r="FDI48" s="24"/>
      <c r="FDJ48" s="24"/>
      <c r="FDK48" s="24"/>
      <c r="FDL48" s="24"/>
      <c r="FDM48" s="24"/>
      <c r="FDN48" s="24"/>
      <c r="FDO48" s="24"/>
      <c r="FDP48" s="24"/>
      <c r="FDQ48" s="24"/>
      <c r="FDR48" s="24"/>
      <c r="FDS48" s="24"/>
      <c r="FDT48" s="24"/>
      <c r="FDU48" s="24"/>
      <c r="FDV48" s="24"/>
      <c r="FDW48" s="24"/>
      <c r="FDX48" s="24"/>
      <c r="FDY48" s="24"/>
      <c r="FDZ48" s="24"/>
      <c r="FEA48" s="24"/>
      <c r="FEB48" s="24"/>
      <c r="FEC48" s="24"/>
      <c r="FED48" s="24"/>
      <c r="FEE48" s="24"/>
      <c r="FEF48" s="24"/>
      <c r="FEG48" s="24"/>
      <c r="FEH48" s="24"/>
      <c r="FEI48" s="24"/>
      <c r="FEJ48" s="24"/>
      <c r="FEK48" s="24"/>
      <c r="FEL48" s="24"/>
      <c r="FEM48" s="24"/>
      <c r="FEN48" s="24"/>
      <c r="FEO48" s="24"/>
      <c r="FEP48" s="24"/>
      <c r="FEQ48" s="24"/>
      <c r="FER48" s="24"/>
      <c r="FES48" s="24"/>
      <c r="FET48" s="24"/>
      <c r="FEU48" s="24"/>
      <c r="FEV48" s="24"/>
      <c r="FEW48" s="24"/>
      <c r="FEX48" s="24"/>
      <c r="FEY48" s="24"/>
      <c r="FEZ48" s="24"/>
      <c r="FFA48" s="24"/>
      <c r="FFB48" s="24"/>
      <c r="FFC48" s="24"/>
      <c r="FFD48" s="24"/>
      <c r="FFE48" s="24"/>
      <c r="FFF48" s="24"/>
      <c r="FFG48" s="24"/>
      <c r="FFH48" s="24"/>
      <c r="FFI48" s="24"/>
      <c r="FFJ48" s="24"/>
      <c r="FFK48" s="24"/>
      <c r="FFL48" s="24"/>
      <c r="FFM48" s="24"/>
      <c r="FFN48" s="24"/>
      <c r="FFO48" s="24"/>
      <c r="FFP48" s="24"/>
      <c r="FFQ48" s="24"/>
      <c r="FFR48" s="24"/>
      <c r="FFS48" s="24"/>
      <c r="FFT48" s="24"/>
      <c r="FFU48" s="24"/>
      <c r="FFV48" s="24"/>
      <c r="FFW48" s="24"/>
      <c r="FFX48" s="24"/>
      <c r="FFY48" s="24"/>
      <c r="FFZ48" s="24"/>
      <c r="FGA48" s="24"/>
      <c r="FGB48" s="24"/>
      <c r="FGC48" s="24"/>
      <c r="FGD48" s="24"/>
      <c r="FGE48" s="24"/>
      <c r="FGF48" s="24"/>
      <c r="FGG48" s="24"/>
      <c r="FGH48" s="24"/>
      <c r="FGI48" s="24"/>
      <c r="FGJ48" s="24"/>
      <c r="FGK48" s="24"/>
      <c r="FGL48" s="24"/>
      <c r="FGM48" s="24"/>
      <c r="FGN48" s="24"/>
      <c r="FGO48" s="24"/>
      <c r="FGP48" s="24"/>
      <c r="FGQ48" s="24"/>
      <c r="FGR48" s="24"/>
      <c r="FGS48" s="24"/>
      <c r="FGT48" s="24"/>
      <c r="FGU48" s="24"/>
      <c r="FGV48" s="24"/>
      <c r="FGW48" s="24"/>
      <c r="FGX48" s="24"/>
      <c r="FGY48" s="24"/>
      <c r="FGZ48" s="24"/>
      <c r="FHA48" s="24"/>
      <c r="FHB48" s="24"/>
      <c r="FHC48" s="24"/>
      <c r="FHD48" s="24"/>
      <c r="FHE48" s="24"/>
      <c r="FHF48" s="24"/>
      <c r="FHG48" s="24"/>
      <c r="FHH48" s="24"/>
      <c r="FHI48" s="24"/>
      <c r="FHJ48" s="24"/>
      <c r="FHK48" s="24"/>
      <c r="FHL48" s="24"/>
      <c r="FHM48" s="24"/>
      <c r="FHN48" s="24"/>
      <c r="FHO48" s="24"/>
      <c r="FHP48" s="24"/>
      <c r="FHQ48" s="24"/>
      <c r="FHR48" s="24"/>
      <c r="FHS48" s="24"/>
      <c r="FHT48" s="24"/>
      <c r="FHU48" s="24"/>
      <c r="FHV48" s="24"/>
      <c r="FHW48" s="24"/>
      <c r="FHX48" s="24"/>
      <c r="FHY48" s="24"/>
      <c r="FHZ48" s="24"/>
      <c r="FIA48" s="24"/>
      <c r="FIB48" s="24"/>
      <c r="FIC48" s="24"/>
      <c r="FID48" s="24"/>
      <c r="FIE48" s="24"/>
      <c r="FIF48" s="24"/>
      <c r="FIG48" s="24"/>
      <c r="FIH48" s="24"/>
      <c r="FII48" s="24"/>
      <c r="FIJ48" s="24"/>
      <c r="FIK48" s="24"/>
      <c r="FIL48" s="24"/>
      <c r="FIM48" s="24"/>
      <c r="FIN48" s="24"/>
      <c r="FIO48" s="24"/>
      <c r="FIP48" s="24"/>
      <c r="FIQ48" s="24"/>
      <c r="FIR48" s="24"/>
      <c r="FIS48" s="24"/>
      <c r="FIT48" s="24"/>
      <c r="FIU48" s="24"/>
      <c r="FIV48" s="24"/>
      <c r="FIW48" s="24"/>
      <c r="FIX48" s="24"/>
      <c r="FIY48" s="24"/>
      <c r="FIZ48" s="24"/>
      <c r="FJA48" s="24"/>
      <c r="FJB48" s="24"/>
      <c r="FJC48" s="24"/>
      <c r="FJD48" s="24"/>
      <c r="FJE48" s="24"/>
      <c r="FJF48" s="24"/>
      <c r="FJG48" s="24"/>
      <c r="FJH48" s="24"/>
      <c r="FJI48" s="24"/>
      <c r="FJJ48" s="24"/>
      <c r="FJK48" s="24"/>
      <c r="FJL48" s="24"/>
      <c r="FJM48" s="24"/>
      <c r="FJN48" s="24"/>
      <c r="FJO48" s="24"/>
      <c r="FJP48" s="24"/>
      <c r="FJQ48" s="24"/>
      <c r="FJR48" s="24"/>
      <c r="FJS48" s="24"/>
      <c r="FJT48" s="24"/>
      <c r="FJU48" s="24"/>
      <c r="FJV48" s="24"/>
      <c r="FJW48" s="24"/>
      <c r="FJX48" s="24"/>
      <c r="FJY48" s="24"/>
      <c r="FJZ48" s="24"/>
      <c r="FKA48" s="24"/>
      <c r="FKB48" s="24"/>
      <c r="FKC48" s="24"/>
      <c r="FKD48" s="24"/>
      <c r="FKE48" s="24"/>
      <c r="FKF48" s="24"/>
      <c r="FKG48" s="24"/>
      <c r="FKH48" s="24"/>
      <c r="FKI48" s="24"/>
      <c r="FKJ48" s="24"/>
      <c r="FKK48" s="24"/>
      <c r="FKL48" s="24"/>
      <c r="FKM48" s="24"/>
      <c r="FKN48" s="24"/>
      <c r="FKO48" s="24"/>
      <c r="FKP48" s="24"/>
      <c r="FKQ48" s="24"/>
      <c r="FKR48" s="24"/>
      <c r="FKS48" s="24"/>
      <c r="FKT48" s="24"/>
      <c r="FKU48" s="24"/>
      <c r="FKV48" s="24"/>
      <c r="FKW48" s="24"/>
      <c r="FKX48" s="24"/>
      <c r="FKY48" s="24"/>
      <c r="FKZ48" s="24"/>
      <c r="FLA48" s="24"/>
      <c r="FLB48" s="24"/>
      <c r="FLC48" s="24"/>
      <c r="FLD48" s="24"/>
      <c r="FLE48" s="24"/>
      <c r="FLF48" s="24"/>
      <c r="FLG48" s="24"/>
      <c r="FLH48" s="24"/>
      <c r="FLI48" s="24"/>
      <c r="FLJ48" s="24"/>
      <c r="FLK48" s="24"/>
      <c r="FLL48" s="24"/>
      <c r="FLM48" s="24"/>
      <c r="FLN48" s="24"/>
      <c r="FLO48" s="24"/>
      <c r="FLP48" s="24"/>
      <c r="FLQ48" s="24"/>
      <c r="FLR48" s="24"/>
      <c r="FLS48" s="24"/>
      <c r="FLT48" s="24"/>
      <c r="FLU48" s="24"/>
      <c r="FLV48" s="24"/>
      <c r="FLW48" s="24"/>
      <c r="FLX48" s="24"/>
      <c r="FLY48" s="24"/>
      <c r="FLZ48" s="24"/>
      <c r="FMA48" s="24"/>
      <c r="FMB48" s="24"/>
      <c r="FMC48" s="24"/>
      <c r="FMD48" s="24"/>
      <c r="FME48" s="24"/>
      <c r="FMF48" s="24"/>
      <c r="FMG48" s="24"/>
      <c r="FMH48" s="24"/>
      <c r="FMI48" s="24"/>
      <c r="FMJ48" s="24"/>
      <c r="FMK48" s="24"/>
      <c r="FML48" s="24"/>
      <c r="FMM48" s="24"/>
      <c r="FMN48" s="24"/>
      <c r="FMO48" s="24"/>
      <c r="FMP48" s="24"/>
      <c r="FMQ48" s="24"/>
      <c r="FMR48" s="24"/>
      <c r="FMS48" s="24"/>
      <c r="FMT48" s="24"/>
      <c r="FMU48" s="24"/>
      <c r="FMV48" s="24"/>
      <c r="FMW48" s="24"/>
      <c r="FMX48" s="24"/>
      <c r="FMY48" s="24"/>
      <c r="FMZ48" s="24"/>
      <c r="FNA48" s="24"/>
      <c r="FNB48" s="24"/>
      <c r="FNC48" s="24"/>
      <c r="FND48" s="24"/>
      <c r="FNE48" s="24"/>
      <c r="FNF48" s="24"/>
      <c r="FNG48" s="24"/>
      <c r="FNH48" s="24"/>
      <c r="FNI48" s="24"/>
      <c r="FNJ48" s="24"/>
      <c r="FNK48" s="24"/>
      <c r="FNL48" s="24"/>
      <c r="FNM48" s="24"/>
      <c r="FNN48" s="24"/>
      <c r="FNO48" s="24"/>
      <c r="FNP48" s="24"/>
      <c r="FNQ48" s="24"/>
      <c r="FNR48" s="24"/>
      <c r="FNS48" s="24"/>
      <c r="FNT48" s="24"/>
      <c r="FNU48" s="24"/>
      <c r="FNV48" s="24"/>
      <c r="FNW48" s="24"/>
      <c r="FNX48" s="24"/>
      <c r="FNY48" s="24"/>
      <c r="FNZ48" s="24"/>
      <c r="FOA48" s="24"/>
      <c r="FOB48" s="24"/>
      <c r="FOC48" s="24"/>
      <c r="FOD48" s="24"/>
      <c r="FOE48" s="24"/>
      <c r="FOF48" s="24"/>
      <c r="FOG48" s="24"/>
      <c r="FOH48" s="24"/>
      <c r="FOI48" s="24"/>
      <c r="FOJ48" s="24"/>
      <c r="FOK48" s="24"/>
      <c r="FOL48" s="24"/>
      <c r="FOM48" s="24"/>
      <c r="FON48" s="24"/>
      <c r="FOO48" s="24"/>
      <c r="FOP48" s="24"/>
      <c r="FOQ48" s="24"/>
      <c r="FOR48" s="24"/>
      <c r="FOS48" s="24"/>
      <c r="FOT48" s="24"/>
      <c r="FOU48" s="24"/>
      <c r="FOV48" s="24"/>
      <c r="FOW48" s="24"/>
      <c r="FOX48" s="24"/>
      <c r="FOY48" s="24"/>
      <c r="FOZ48" s="24"/>
      <c r="FPA48" s="24"/>
      <c r="FPB48" s="24"/>
      <c r="FPC48" s="24"/>
      <c r="FPD48" s="24"/>
      <c r="FPE48" s="24"/>
      <c r="FPF48" s="24"/>
      <c r="FPG48" s="24"/>
      <c r="FPH48" s="24"/>
      <c r="FPI48" s="24"/>
      <c r="FPJ48" s="24"/>
      <c r="FPK48" s="24"/>
      <c r="FPL48" s="24"/>
      <c r="FPM48" s="24"/>
      <c r="FPN48" s="24"/>
      <c r="FPO48" s="24"/>
      <c r="FPP48" s="24"/>
      <c r="FPQ48" s="24"/>
      <c r="FPR48" s="24"/>
      <c r="FPS48" s="24"/>
      <c r="FPT48" s="24"/>
      <c r="FPU48" s="24"/>
      <c r="FPV48" s="24"/>
      <c r="FPW48" s="24"/>
      <c r="FPX48" s="24"/>
      <c r="FPY48" s="24"/>
      <c r="FPZ48" s="24"/>
      <c r="FQA48" s="24"/>
      <c r="FQB48" s="24"/>
      <c r="FQC48" s="24"/>
      <c r="FQD48" s="24"/>
      <c r="FQE48" s="24"/>
      <c r="FQF48" s="24"/>
      <c r="FQG48" s="24"/>
      <c r="FQH48" s="24"/>
      <c r="FQI48" s="24"/>
      <c r="FQJ48" s="24"/>
      <c r="FQK48" s="24"/>
      <c r="FQL48" s="24"/>
      <c r="FQM48" s="24"/>
      <c r="FQN48" s="24"/>
      <c r="FQO48" s="24"/>
      <c r="FQP48" s="24"/>
      <c r="FQQ48" s="24"/>
      <c r="FQR48" s="24"/>
      <c r="FQS48" s="24"/>
      <c r="FQT48" s="24"/>
      <c r="FQU48" s="24"/>
      <c r="FQV48" s="24"/>
      <c r="FQW48" s="24"/>
      <c r="FQX48" s="24"/>
      <c r="FQY48" s="24"/>
      <c r="FQZ48" s="24"/>
      <c r="FRA48" s="24"/>
      <c r="FRB48" s="24"/>
      <c r="FRC48" s="24"/>
      <c r="FRD48" s="24"/>
      <c r="FRE48" s="24"/>
      <c r="FRF48" s="24"/>
      <c r="FRG48" s="24"/>
      <c r="FRH48" s="24"/>
      <c r="FRI48" s="24"/>
      <c r="FRJ48" s="24"/>
      <c r="FRK48" s="24"/>
      <c r="FRL48" s="24"/>
      <c r="FRM48" s="24"/>
      <c r="FRN48" s="24"/>
      <c r="FRO48" s="24"/>
      <c r="FRP48" s="24"/>
      <c r="FRQ48" s="24"/>
      <c r="FRR48" s="24"/>
      <c r="FRS48" s="24"/>
      <c r="FRT48" s="24"/>
      <c r="FRU48" s="24"/>
      <c r="FRV48" s="24"/>
      <c r="FRW48" s="24"/>
      <c r="FRX48" s="24"/>
      <c r="FRY48" s="24"/>
      <c r="FRZ48" s="24"/>
      <c r="FSA48" s="24"/>
      <c r="FSB48" s="24"/>
      <c r="FSC48" s="24"/>
      <c r="FSD48" s="24"/>
      <c r="FSE48" s="24"/>
      <c r="FSF48" s="24"/>
      <c r="FSG48" s="24"/>
      <c r="FSH48" s="24"/>
      <c r="FSI48" s="24"/>
      <c r="FSJ48" s="24"/>
      <c r="FSK48" s="24"/>
      <c r="FSL48" s="24"/>
      <c r="FSM48" s="24"/>
      <c r="FSN48" s="24"/>
      <c r="FSO48" s="24"/>
      <c r="FSP48" s="24"/>
      <c r="FSQ48" s="24"/>
      <c r="FSR48" s="24"/>
      <c r="FSS48" s="24"/>
      <c r="FST48" s="24"/>
      <c r="FSU48" s="24"/>
      <c r="FSV48" s="24"/>
      <c r="FSW48" s="24"/>
      <c r="FSX48" s="24"/>
      <c r="FSY48" s="24"/>
      <c r="FSZ48" s="24"/>
      <c r="FTA48" s="24"/>
      <c r="FTB48" s="24"/>
      <c r="FTC48" s="24"/>
      <c r="FTD48" s="24"/>
      <c r="FTE48" s="24"/>
      <c r="FTF48" s="24"/>
      <c r="FTG48" s="24"/>
      <c r="FTH48" s="24"/>
      <c r="FTI48" s="24"/>
      <c r="FTJ48" s="24"/>
      <c r="FTK48" s="24"/>
      <c r="FTL48" s="24"/>
      <c r="FTM48" s="24"/>
      <c r="FTN48" s="24"/>
      <c r="FTO48" s="24"/>
      <c r="FTP48" s="24"/>
      <c r="FTQ48" s="24"/>
      <c r="FTR48" s="24"/>
      <c r="FTS48" s="24"/>
      <c r="FTT48" s="24"/>
      <c r="FTU48" s="24"/>
      <c r="FTV48" s="24"/>
      <c r="FTW48" s="24"/>
      <c r="FTX48" s="24"/>
      <c r="FTY48" s="24"/>
      <c r="FTZ48" s="24"/>
      <c r="FUA48" s="24"/>
      <c r="FUB48" s="24"/>
      <c r="FUC48" s="24"/>
      <c r="FUD48" s="24"/>
      <c r="FUE48" s="24"/>
      <c r="FUF48" s="24"/>
      <c r="FUG48" s="24"/>
      <c r="FUH48" s="24"/>
      <c r="FUI48" s="24"/>
      <c r="FUJ48" s="24"/>
      <c r="FUK48" s="24"/>
      <c r="FUL48" s="24"/>
      <c r="FUM48" s="24"/>
      <c r="FUN48" s="24"/>
      <c r="FUO48" s="24"/>
      <c r="FUP48" s="24"/>
      <c r="FUQ48" s="24"/>
      <c r="FUR48" s="24"/>
      <c r="FUS48" s="24"/>
      <c r="FUT48" s="24"/>
      <c r="FUU48" s="24"/>
      <c r="FUV48" s="24"/>
      <c r="FUW48" s="24"/>
      <c r="FUX48" s="24"/>
      <c r="FUY48" s="24"/>
      <c r="FUZ48" s="24"/>
      <c r="FVA48" s="24"/>
      <c r="FVB48" s="24"/>
      <c r="FVC48" s="24"/>
      <c r="FVD48" s="24"/>
      <c r="FVE48" s="24"/>
      <c r="FVF48" s="24"/>
      <c r="FVG48" s="24"/>
      <c r="FVH48" s="24"/>
      <c r="FVI48" s="24"/>
      <c r="FVJ48" s="24"/>
      <c r="FVK48" s="24"/>
      <c r="FVL48" s="24"/>
      <c r="FVM48" s="24"/>
      <c r="FVN48" s="24"/>
      <c r="FVO48" s="24"/>
      <c r="FVP48" s="24"/>
      <c r="FVQ48" s="24"/>
      <c r="FVR48" s="24"/>
      <c r="FVS48" s="24"/>
      <c r="FVT48" s="24"/>
      <c r="FVU48" s="24"/>
      <c r="FVV48" s="24"/>
      <c r="FVW48" s="24"/>
      <c r="FVX48" s="24"/>
      <c r="FVY48" s="24"/>
      <c r="FVZ48" s="24"/>
      <c r="FWA48" s="24"/>
      <c r="FWB48" s="24"/>
      <c r="FWC48" s="24"/>
      <c r="FWD48" s="24"/>
      <c r="FWE48" s="24"/>
      <c r="FWF48" s="24"/>
      <c r="FWG48" s="24"/>
      <c r="FWH48" s="24"/>
      <c r="FWI48" s="24"/>
      <c r="FWJ48" s="24"/>
      <c r="FWK48" s="24"/>
      <c r="FWL48" s="24"/>
      <c r="FWM48" s="24"/>
      <c r="FWN48" s="24"/>
      <c r="FWO48" s="24"/>
      <c r="FWP48" s="24"/>
      <c r="FWQ48" s="24"/>
      <c r="FWR48" s="24"/>
      <c r="FWS48" s="24"/>
      <c r="FWT48" s="24"/>
      <c r="FWU48" s="24"/>
      <c r="FWV48" s="24"/>
      <c r="FWW48" s="24"/>
      <c r="FWX48" s="24"/>
      <c r="FWY48" s="24"/>
      <c r="FWZ48" s="24"/>
      <c r="FXA48" s="24"/>
      <c r="FXB48" s="24"/>
      <c r="FXC48" s="24"/>
      <c r="FXD48" s="24"/>
      <c r="FXE48" s="24"/>
      <c r="FXF48" s="24"/>
      <c r="FXG48" s="24"/>
      <c r="FXH48" s="24"/>
      <c r="FXI48" s="24"/>
      <c r="FXJ48" s="24"/>
      <c r="FXK48" s="24"/>
      <c r="FXL48" s="24"/>
      <c r="FXM48" s="24"/>
      <c r="FXN48" s="24"/>
      <c r="FXO48" s="24"/>
      <c r="FXP48" s="24"/>
      <c r="FXQ48" s="24"/>
      <c r="FXR48" s="24"/>
      <c r="FXS48" s="24"/>
      <c r="FXT48" s="24"/>
      <c r="FXU48" s="24"/>
      <c r="FXV48" s="24"/>
      <c r="FXW48" s="24"/>
      <c r="FXX48" s="24"/>
      <c r="FXY48" s="24"/>
      <c r="FXZ48" s="24"/>
      <c r="FYA48" s="24"/>
      <c r="FYB48" s="24"/>
      <c r="FYC48" s="24"/>
      <c r="FYD48" s="24"/>
      <c r="FYE48" s="24"/>
      <c r="FYF48" s="24"/>
      <c r="FYG48" s="24"/>
      <c r="FYH48" s="24"/>
      <c r="FYI48" s="24"/>
      <c r="FYJ48" s="24"/>
      <c r="FYK48" s="24"/>
      <c r="FYL48" s="24"/>
      <c r="FYM48" s="24"/>
      <c r="FYN48" s="24"/>
      <c r="FYO48" s="24"/>
      <c r="FYP48" s="24"/>
      <c r="FYQ48" s="24"/>
      <c r="FYR48" s="24"/>
      <c r="FYS48" s="24"/>
      <c r="FYT48" s="24"/>
      <c r="FYU48" s="24"/>
      <c r="FYV48" s="24"/>
      <c r="FYW48" s="24"/>
      <c r="FYX48" s="24"/>
      <c r="FYY48" s="24"/>
      <c r="FYZ48" s="24"/>
      <c r="FZA48" s="24"/>
      <c r="FZB48" s="24"/>
      <c r="FZC48" s="24"/>
      <c r="FZD48" s="24"/>
      <c r="FZE48" s="24"/>
      <c r="FZF48" s="24"/>
      <c r="FZG48" s="24"/>
      <c r="FZH48" s="24"/>
      <c r="FZI48" s="24"/>
      <c r="FZJ48" s="24"/>
      <c r="FZK48" s="24"/>
      <c r="FZL48" s="24"/>
      <c r="FZM48" s="24"/>
      <c r="FZN48" s="24"/>
      <c r="FZO48" s="24"/>
      <c r="FZP48" s="24"/>
      <c r="FZQ48" s="24"/>
      <c r="FZR48" s="24"/>
      <c r="FZS48" s="24"/>
      <c r="FZT48" s="24"/>
      <c r="FZU48" s="24"/>
      <c r="FZV48" s="24"/>
      <c r="FZW48" s="24"/>
      <c r="FZX48" s="24"/>
      <c r="FZY48" s="24"/>
      <c r="FZZ48" s="24"/>
      <c r="GAA48" s="24"/>
      <c r="GAB48" s="24"/>
      <c r="GAC48" s="24"/>
      <c r="GAD48" s="24"/>
      <c r="GAE48" s="24"/>
      <c r="GAF48" s="24"/>
      <c r="GAG48" s="24"/>
      <c r="GAH48" s="24"/>
      <c r="GAI48" s="24"/>
      <c r="GAJ48" s="24"/>
      <c r="GAK48" s="24"/>
      <c r="GAL48" s="24"/>
      <c r="GAM48" s="24"/>
      <c r="GAN48" s="24"/>
      <c r="GAO48" s="24"/>
      <c r="GAP48" s="24"/>
      <c r="GAQ48" s="24"/>
      <c r="GAR48" s="24"/>
      <c r="GAS48" s="24"/>
      <c r="GAT48" s="24"/>
      <c r="GAU48" s="24"/>
      <c r="GAV48" s="24"/>
      <c r="GAW48" s="24"/>
      <c r="GAX48" s="24"/>
      <c r="GAY48" s="24"/>
      <c r="GAZ48" s="24"/>
      <c r="GBA48" s="24"/>
      <c r="GBB48" s="24"/>
      <c r="GBC48" s="24"/>
      <c r="GBD48" s="24"/>
      <c r="GBE48" s="24"/>
      <c r="GBF48" s="24"/>
      <c r="GBG48" s="24"/>
      <c r="GBH48" s="24"/>
      <c r="GBI48" s="24"/>
      <c r="GBJ48" s="24"/>
      <c r="GBK48" s="24"/>
      <c r="GBL48" s="24"/>
      <c r="GBM48" s="24"/>
      <c r="GBN48" s="24"/>
      <c r="GBO48" s="24"/>
      <c r="GBP48" s="24"/>
      <c r="GBQ48" s="24"/>
      <c r="GBR48" s="24"/>
      <c r="GBS48" s="24"/>
      <c r="GBT48" s="24"/>
      <c r="GBU48" s="24"/>
      <c r="GBV48" s="24"/>
      <c r="GBW48" s="24"/>
      <c r="GBX48" s="24"/>
      <c r="GBY48" s="24"/>
      <c r="GBZ48" s="24"/>
      <c r="GCA48" s="24"/>
      <c r="GCB48" s="24"/>
      <c r="GCC48" s="24"/>
      <c r="GCD48" s="24"/>
      <c r="GCE48" s="24"/>
      <c r="GCF48" s="24"/>
      <c r="GCG48" s="24"/>
      <c r="GCH48" s="24"/>
      <c r="GCI48" s="24"/>
      <c r="GCJ48" s="24"/>
      <c r="GCK48" s="24"/>
      <c r="GCL48" s="24"/>
      <c r="GCM48" s="24"/>
      <c r="GCN48" s="24"/>
      <c r="GCO48" s="24"/>
      <c r="GCP48" s="24"/>
      <c r="GCQ48" s="24"/>
      <c r="GCR48" s="24"/>
      <c r="GCS48" s="24"/>
      <c r="GCT48" s="24"/>
      <c r="GCU48" s="24"/>
      <c r="GCV48" s="24"/>
      <c r="GCW48" s="24"/>
      <c r="GCX48" s="24"/>
      <c r="GCY48" s="24"/>
      <c r="GCZ48" s="24"/>
      <c r="GDA48" s="24"/>
      <c r="GDB48" s="24"/>
      <c r="GDC48" s="24"/>
      <c r="GDD48" s="24"/>
      <c r="GDE48" s="24"/>
      <c r="GDF48" s="24"/>
      <c r="GDG48" s="24"/>
      <c r="GDH48" s="24"/>
      <c r="GDI48" s="24"/>
      <c r="GDJ48" s="24"/>
      <c r="GDK48" s="24"/>
      <c r="GDL48" s="24"/>
      <c r="GDM48" s="24"/>
      <c r="GDN48" s="24"/>
      <c r="GDO48" s="24"/>
      <c r="GDP48" s="24"/>
      <c r="GDQ48" s="24"/>
      <c r="GDR48" s="24"/>
      <c r="GDS48" s="24"/>
      <c r="GDT48" s="24"/>
      <c r="GDU48" s="24"/>
      <c r="GDV48" s="24"/>
      <c r="GDW48" s="24"/>
      <c r="GDX48" s="24"/>
      <c r="GDY48" s="24"/>
      <c r="GDZ48" s="24"/>
      <c r="GEA48" s="24"/>
      <c r="GEB48" s="24"/>
      <c r="GEC48" s="24"/>
      <c r="GED48" s="24"/>
      <c r="GEE48" s="24"/>
      <c r="GEF48" s="24"/>
      <c r="GEG48" s="24"/>
      <c r="GEH48" s="24"/>
      <c r="GEI48" s="24"/>
      <c r="GEJ48" s="24"/>
      <c r="GEK48" s="24"/>
      <c r="GEL48" s="24"/>
      <c r="GEM48" s="24"/>
      <c r="GEN48" s="24"/>
      <c r="GEO48" s="24"/>
      <c r="GEP48" s="24"/>
      <c r="GEQ48" s="24"/>
      <c r="GER48" s="24"/>
      <c r="GES48" s="24"/>
      <c r="GET48" s="24"/>
      <c r="GEU48" s="24"/>
      <c r="GEV48" s="24"/>
      <c r="GEW48" s="24"/>
      <c r="GEX48" s="24"/>
      <c r="GEY48" s="24"/>
      <c r="GEZ48" s="24"/>
      <c r="GFA48" s="24"/>
      <c r="GFB48" s="24"/>
      <c r="GFC48" s="24"/>
      <c r="GFD48" s="24"/>
      <c r="GFE48" s="24"/>
      <c r="GFF48" s="24"/>
      <c r="GFG48" s="24"/>
      <c r="GFH48" s="24"/>
      <c r="GFI48" s="24"/>
      <c r="GFJ48" s="24"/>
      <c r="GFK48" s="24"/>
      <c r="GFL48" s="24"/>
      <c r="GFM48" s="24"/>
      <c r="GFN48" s="24"/>
      <c r="GFO48" s="24"/>
      <c r="GFP48" s="24"/>
      <c r="GFQ48" s="24"/>
      <c r="GFR48" s="24"/>
      <c r="GFS48" s="24"/>
      <c r="GFT48" s="24"/>
      <c r="GFU48" s="24"/>
      <c r="GFV48" s="24"/>
      <c r="GFW48" s="24"/>
      <c r="GFX48" s="24"/>
      <c r="GFY48" s="24"/>
      <c r="GFZ48" s="24"/>
      <c r="GGA48" s="24"/>
      <c r="GGB48" s="24"/>
      <c r="GGC48" s="24"/>
      <c r="GGD48" s="24"/>
      <c r="GGE48" s="24"/>
      <c r="GGF48" s="24"/>
      <c r="GGG48" s="24"/>
      <c r="GGH48" s="24"/>
      <c r="GGI48" s="24"/>
      <c r="GGJ48" s="24"/>
      <c r="GGK48" s="24"/>
      <c r="GGL48" s="24"/>
      <c r="GGM48" s="24"/>
      <c r="GGN48" s="24"/>
      <c r="GGO48" s="24"/>
      <c r="GGP48" s="24"/>
      <c r="GGQ48" s="24"/>
      <c r="GGR48" s="24"/>
      <c r="GGS48" s="24"/>
      <c r="GGT48" s="24"/>
      <c r="GGU48" s="24"/>
      <c r="GGV48" s="24"/>
      <c r="GGW48" s="24"/>
      <c r="GGX48" s="24"/>
      <c r="GGY48" s="24"/>
      <c r="GGZ48" s="24"/>
      <c r="GHA48" s="24"/>
      <c r="GHB48" s="24"/>
      <c r="GHC48" s="24"/>
      <c r="GHD48" s="24"/>
      <c r="GHE48" s="24"/>
      <c r="GHF48" s="24"/>
      <c r="GHG48" s="24"/>
      <c r="GHH48" s="24"/>
      <c r="GHI48" s="24"/>
      <c r="GHJ48" s="24"/>
      <c r="GHK48" s="24"/>
      <c r="GHL48" s="24"/>
      <c r="GHM48" s="24"/>
      <c r="GHN48" s="24"/>
      <c r="GHO48" s="24"/>
      <c r="GHP48" s="24"/>
      <c r="GHQ48" s="24"/>
      <c r="GHR48" s="24"/>
      <c r="GHS48" s="24"/>
      <c r="GHT48" s="24"/>
      <c r="GHU48" s="24"/>
      <c r="GHV48" s="24"/>
      <c r="GHW48" s="24"/>
      <c r="GHX48" s="24"/>
      <c r="GHY48" s="24"/>
      <c r="GHZ48" s="24"/>
      <c r="GIA48" s="24"/>
      <c r="GIB48" s="24"/>
      <c r="GIC48" s="24"/>
      <c r="GID48" s="24"/>
      <c r="GIE48" s="24"/>
      <c r="GIF48" s="24"/>
      <c r="GIG48" s="24"/>
      <c r="GIH48" s="24"/>
      <c r="GII48" s="24"/>
      <c r="GIJ48" s="24"/>
      <c r="GIK48" s="24"/>
      <c r="GIL48" s="24"/>
      <c r="GIM48" s="24"/>
      <c r="GIN48" s="24"/>
      <c r="GIO48" s="24"/>
      <c r="GIP48" s="24"/>
      <c r="GIQ48" s="24"/>
      <c r="GIR48" s="24"/>
      <c r="GIS48" s="24"/>
      <c r="GIT48" s="24"/>
      <c r="GIU48" s="24"/>
      <c r="GIV48" s="24"/>
      <c r="GIW48" s="24"/>
      <c r="GIX48" s="24"/>
      <c r="GIY48" s="24"/>
      <c r="GIZ48" s="24"/>
      <c r="GJA48" s="24"/>
      <c r="GJB48" s="24"/>
      <c r="GJC48" s="24"/>
      <c r="GJD48" s="24"/>
      <c r="GJE48" s="24"/>
      <c r="GJF48" s="24"/>
      <c r="GJG48" s="24"/>
      <c r="GJH48" s="24"/>
      <c r="GJI48" s="24"/>
      <c r="GJJ48" s="24"/>
      <c r="GJK48" s="24"/>
      <c r="GJL48" s="24"/>
      <c r="GJM48" s="24"/>
      <c r="GJN48" s="24"/>
      <c r="GJO48" s="24"/>
      <c r="GJP48" s="24"/>
      <c r="GJQ48" s="24"/>
      <c r="GJR48" s="24"/>
      <c r="GJS48" s="24"/>
      <c r="GJT48" s="24"/>
      <c r="GJU48" s="24"/>
      <c r="GJV48" s="24"/>
      <c r="GJW48" s="24"/>
      <c r="GJX48" s="24"/>
      <c r="GJY48" s="24"/>
      <c r="GJZ48" s="24"/>
      <c r="GKA48" s="24"/>
      <c r="GKB48" s="24"/>
      <c r="GKC48" s="24"/>
      <c r="GKD48" s="24"/>
      <c r="GKE48" s="24"/>
      <c r="GKF48" s="24"/>
      <c r="GKG48" s="24"/>
      <c r="GKH48" s="24"/>
      <c r="GKI48" s="24"/>
      <c r="GKJ48" s="24"/>
      <c r="GKK48" s="24"/>
      <c r="GKL48" s="24"/>
      <c r="GKM48" s="24"/>
      <c r="GKN48" s="24"/>
      <c r="GKO48" s="24"/>
      <c r="GKP48" s="24"/>
      <c r="GKQ48" s="24"/>
      <c r="GKR48" s="24"/>
      <c r="GKS48" s="24"/>
      <c r="GKT48" s="24"/>
      <c r="GKU48" s="24"/>
      <c r="GKV48" s="24"/>
      <c r="GKW48" s="24"/>
      <c r="GKX48" s="24"/>
      <c r="GKY48" s="24"/>
      <c r="GKZ48" s="24"/>
      <c r="GLA48" s="24"/>
      <c r="GLB48" s="24"/>
      <c r="GLC48" s="24"/>
      <c r="GLD48" s="24"/>
      <c r="GLE48" s="24"/>
      <c r="GLF48" s="24"/>
      <c r="GLG48" s="24"/>
      <c r="GLH48" s="24"/>
      <c r="GLI48" s="24"/>
      <c r="GLJ48" s="24"/>
      <c r="GLK48" s="24"/>
      <c r="GLL48" s="24"/>
      <c r="GLM48" s="24"/>
      <c r="GLN48" s="24"/>
      <c r="GLO48" s="24"/>
      <c r="GLP48" s="24"/>
      <c r="GLQ48" s="24"/>
      <c r="GLR48" s="24"/>
      <c r="GLS48" s="24"/>
      <c r="GLT48" s="24"/>
      <c r="GLU48" s="24"/>
      <c r="GLV48" s="24"/>
      <c r="GLW48" s="24"/>
      <c r="GLX48" s="24"/>
      <c r="GLY48" s="24"/>
      <c r="GLZ48" s="24"/>
      <c r="GMA48" s="24"/>
      <c r="GMB48" s="24"/>
      <c r="GMC48" s="24"/>
      <c r="GMD48" s="24"/>
      <c r="GME48" s="24"/>
      <c r="GMF48" s="24"/>
      <c r="GMG48" s="24"/>
      <c r="GMH48" s="24"/>
      <c r="GMI48" s="24"/>
      <c r="GMJ48" s="24"/>
      <c r="GMK48" s="24"/>
      <c r="GML48" s="24"/>
      <c r="GMM48" s="24"/>
      <c r="GMN48" s="24"/>
      <c r="GMO48" s="24"/>
      <c r="GMP48" s="24"/>
      <c r="GMQ48" s="24"/>
      <c r="GMR48" s="24"/>
      <c r="GMS48" s="24"/>
      <c r="GMT48" s="24"/>
      <c r="GMU48" s="24"/>
      <c r="GMV48" s="24"/>
      <c r="GMW48" s="24"/>
      <c r="GMX48" s="24"/>
      <c r="GMY48" s="24"/>
      <c r="GMZ48" s="24"/>
      <c r="GNA48" s="24"/>
      <c r="GNB48" s="24"/>
      <c r="GNC48" s="24"/>
      <c r="GND48" s="24"/>
      <c r="GNE48" s="24"/>
      <c r="GNF48" s="24"/>
      <c r="GNG48" s="24"/>
      <c r="GNH48" s="24"/>
      <c r="GNI48" s="24"/>
      <c r="GNJ48" s="24"/>
      <c r="GNK48" s="24"/>
      <c r="GNL48" s="24"/>
      <c r="GNM48" s="24"/>
      <c r="GNN48" s="24"/>
      <c r="GNO48" s="24"/>
      <c r="GNP48" s="24"/>
      <c r="GNQ48" s="24"/>
      <c r="GNR48" s="24"/>
      <c r="GNS48" s="24"/>
      <c r="GNT48" s="24"/>
      <c r="GNU48" s="24"/>
      <c r="GNV48" s="24"/>
      <c r="GNW48" s="24"/>
      <c r="GNX48" s="24"/>
      <c r="GNY48" s="24"/>
      <c r="GNZ48" s="24"/>
      <c r="GOA48" s="24"/>
      <c r="GOB48" s="24"/>
      <c r="GOC48" s="24"/>
      <c r="GOD48" s="24"/>
      <c r="GOE48" s="24"/>
      <c r="GOF48" s="24"/>
      <c r="GOG48" s="24"/>
      <c r="GOH48" s="24"/>
      <c r="GOI48" s="24"/>
      <c r="GOJ48" s="24"/>
      <c r="GOK48" s="24"/>
      <c r="GOL48" s="24"/>
      <c r="GOM48" s="24"/>
      <c r="GON48" s="24"/>
      <c r="GOO48" s="24"/>
      <c r="GOP48" s="24"/>
      <c r="GOQ48" s="24"/>
      <c r="GOR48" s="24"/>
      <c r="GOS48" s="24"/>
      <c r="GOT48" s="24"/>
      <c r="GOU48" s="24"/>
      <c r="GOV48" s="24"/>
      <c r="GOW48" s="24"/>
      <c r="GOX48" s="24"/>
      <c r="GOY48" s="24"/>
      <c r="GOZ48" s="24"/>
      <c r="GPA48" s="24"/>
      <c r="GPB48" s="24"/>
      <c r="GPC48" s="24"/>
      <c r="GPD48" s="24"/>
      <c r="GPE48" s="24"/>
      <c r="GPF48" s="24"/>
      <c r="GPG48" s="24"/>
      <c r="GPH48" s="24"/>
      <c r="GPI48" s="24"/>
      <c r="GPJ48" s="24"/>
      <c r="GPK48" s="24"/>
      <c r="GPL48" s="24"/>
      <c r="GPM48" s="24"/>
      <c r="GPN48" s="24"/>
      <c r="GPO48" s="24"/>
      <c r="GPP48" s="24"/>
      <c r="GPQ48" s="24"/>
      <c r="GPR48" s="24"/>
      <c r="GPS48" s="24"/>
      <c r="GPT48" s="24"/>
      <c r="GPU48" s="24"/>
      <c r="GPV48" s="24"/>
      <c r="GPW48" s="24"/>
      <c r="GPX48" s="24"/>
      <c r="GPY48" s="24"/>
      <c r="GPZ48" s="24"/>
      <c r="GQA48" s="24"/>
      <c r="GQB48" s="24"/>
      <c r="GQC48" s="24"/>
      <c r="GQD48" s="24"/>
      <c r="GQE48" s="24"/>
      <c r="GQF48" s="24"/>
      <c r="GQG48" s="24"/>
      <c r="GQH48" s="24"/>
      <c r="GQI48" s="24"/>
      <c r="GQJ48" s="24"/>
      <c r="GQK48" s="24"/>
      <c r="GQL48" s="24"/>
      <c r="GQM48" s="24"/>
      <c r="GQN48" s="24"/>
      <c r="GQO48" s="24"/>
      <c r="GQP48" s="24"/>
      <c r="GQQ48" s="24"/>
      <c r="GQR48" s="24"/>
      <c r="GQS48" s="24"/>
      <c r="GQT48" s="24"/>
      <c r="GQU48" s="24"/>
      <c r="GQV48" s="24"/>
      <c r="GQW48" s="24"/>
      <c r="GQX48" s="24"/>
      <c r="GQY48" s="24"/>
      <c r="GQZ48" s="24"/>
      <c r="GRA48" s="24"/>
      <c r="GRB48" s="24"/>
      <c r="GRC48" s="24"/>
      <c r="GRD48" s="24"/>
      <c r="GRE48" s="24"/>
      <c r="GRF48" s="24"/>
      <c r="GRG48" s="24"/>
      <c r="GRH48" s="24"/>
      <c r="GRI48" s="24"/>
      <c r="GRJ48" s="24"/>
      <c r="GRK48" s="24"/>
      <c r="GRL48" s="24"/>
      <c r="GRM48" s="24"/>
      <c r="GRN48" s="24"/>
      <c r="GRO48" s="24"/>
      <c r="GRP48" s="24"/>
      <c r="GRQ48" s="24"/>
      <c r="GRR48" s="24"/>
      <c r="GRS48" s="24"/>
      <c r="GRT48" s="24"/>
      <c r="GRU48" s="24"/>
      <c r="GRV48" s="24"/>
      <c r="GRW48" s="24"/>
      <c r="GRX48" s="24"/>
      <c r="GRY48" s="24"/>
      <c r="GRZ48" s="24"/>
      <c r="GSA48" s="24"/>
      <c r="GSB48" s="24"/>
      <c r="GSC48" s="24"/>
      <c r="GSD48" s="24"/>
      <c r="GSE48" s="24"/>
      <c r="GSF48" s="24"/>
      <c r="GSG48" s="24"/>
      <c r="GSH48" s="24"/>
      <c r="GSI48" s="24"/>
      <c r="GSJ48" s="24"/>
      <c r="GSK48" s="24"/>
      <c r="GSL48" s="24"/>
      <c r="GSM48" s="24"/>
      <c r="GSN48" s="24"/>
      <c r="GSO48" s="24"/>
      <c r="GSP48" s="24"/>
      <c r="GSQ48" s="24"/>
      <c r="GSR48" s="24"/>
      <c r="GSS48" s="24"/>
      <c r="GST48" s="24"/>
      <c r="GSU48" s="24"/>
      <c r="GSV48" s="24"/>
      <c r="GSW48" s="24"/>
      <c r="GSX48" s="24"/>
      <c r="GSY48" s="24"/>
      <c r="GSZ48" s="24"/>
      <c r="GTA48" s="24"/>
      <c r="GTB48" s="24"/>
      <c r="GTC48" s="24"/>
      <c r="GTD48" s="24"/>
      <c r="GTE48" s="24"/>
      <c r="GTF48" s="24"/>
      <c r="GTG48" s="24"/>
      <c r="GTH48" s="24"/>
      <c r="GTI48" s="24"/>
      <c r="GTJ48" s="24"/>
      <c r="GTK48" s="24"/>
      <c r="GTL48" s="24"/>
      <c r="GTM48" s="24"/>
      <c r="GTN48" s="24"/>
      <c r="GTO48" s="24"/>
      <c r="GTP48" s="24"/>
      <c r="GTQ48" s="24"/>
      <c r="GTR48" s="24"/>
      <c r="GTS48" s="24"/>
      <c r="GTT48" s="24"/>
      <c r="GTU48" s="24"/>
      <c r="GTV48" s="24"/>
      <c r="GTW48" s="24"/>
      <c r="GTX48" s="24"/>
      <c r="GTY48" s="24"/>
      <c r="GTZ48" s="24"/>
      <c r="GUA48" s="24"/>
      <c r="GUB48" s="24"/>
      <c r="GUC48" s="24"/>
      <c r="GUD48" s="24"/>
      <c r="GUE48" s="24"/>
      <c r="GUF48" s="24"/>
      <c r="GUG48" s="24"/>
      <c r="GUH48" s="24"/>
      <c r="GUI48" s="24"/>
      <c r="GUJ48" s="24"/>
      <c r="GUK48" s="24"/>
      <c r="GUL48" s="24"/>
      <c r="GUM48" s="24"/>
      <c r="GUN48" s="24"/>
      <c r="GUO48" s="24"/>
      <c r="GUP48" s="24"/>
      <c r="GUQ48" s="24"/>
      <c r="GUR48" s="24"/>
      <c r="GUS48" s="24"/>
      <c r="GUT48" s="24"/>
      <c r="GUU48" s="24"/>
      <c r="GUV48" s="24"/>
      <c r="GUW48" s="24"/>
      <c r="GUX48" s="24"/>
      <c r="GUY48" s="24"/>
      <c r="GUZ48" s="24"/>
      <c r="GVA48" s="24"/>
      <c r="GVB48" s="24"/>
      <c r="GVC48" s="24"/>
      <c r="GVD48" s="24"/>
      <c r="GVE48" s="24"/>
      <c r="GVF48" s="24"/>
      <c r="GVG48" s="24"/>
      <c r="GVH48" s="24"/>
      <c r="GVI48" s="24"/>
      <c r="GVJ48" s="24"/>
      <c r="GVK48" s="24"/>
      <c r="GVL48" s="24"/>
      <c r="GVM48" s="24"/>
      <c r="GVN48" s="24"/>
      <c r="GVO48" s="24"/>
      <c r="GVP48" s="24"/>
      <c r="GVQ48" s="24"/>
      <c r="GVR48" s="24"/>
      <c r="GVS48" s="24"/>
      <c r="GVT48" s="24"/>
      <c r="GVU48" s="24"/>
      <c r="GVV48" s="24"/>
      <c r="GVW48" s="24"/>
      <c r="GVX48" s="24"/>
      <c r="GVY48" s="24"/>
      <c r="GVZ48" s="24"/>
      <c r="GWA48" s="24"/>
      <c r="GWB48" s="24"/>
      <c r="GWC48" s="24"/>
      <c r="GWD48" s="24"/>
      <c r="GWE48" s="24"/>
      <c r="GWF48" s="24"/>
      <c r="GWG48" s="24"/>
      <c r="GWH48" s="24"/>
      <c r="GWI48" s="24"/>
      <c r="GWJ48" s="24"/>
      <c r="GWK48" s="24"/>
      <c r="GWL48" s="24"/>
      <c r="GWM48" s="24"/>
      <c r="GWN48" s="24"/>
      <c r="GWO48" s="24"/>
      <c r="GWP48" s="24"/>
      <c r="GWQ48" s="24"/>
      <c r="GWR48" s="24"/>
      <c r="GWS48" s="24"/>
      <c r="GWT48" s="24"/>
      <c r="GWU48" s="24"/>
      <c r="GWV48" s="24"/>
      <c r="GWW48" s="24"/>
      <c r="GWX48" s="24"/>
      <c r="GWY48" s="24"/>
      <c r="GWZ48" s="24"/>
      <c r="GXA48" s="24"/>
      <c r="GXB48" s="24"/>
      <c r="GXC48" s="24"/>
      <c r="GXD48" s="24"/>
      <c r="GXE48" s="24"/>
      <c r="GXF48" s="24"/>
      <c r="GXG48" s="24"/>
      <c r="GXH48" s="24"/>
      <c r="GXI48" s="24"/>
      <c r="GXJ48" s="24"/>
      <c r="GXK48" s="24"/>
      <c r="GXL48" s="24"/>
      <c r="GXM48" s="24"/>
      <c r="GXN48" s="24"/>
      <c r="GXO48" s="24"/>
      <c r="GXP48" s="24"/>
      <c r="GXQ48" s="24"/>
      <c r="GXR48" s="24"/>
      <c r="GXS48" s="24"/>
      <c r="GXT48" s="24"/>
      <c r="GXU48" s="24"/>
      <c r="GXV48" s="24"/>
      <c r="GXW48" s="24"/>
      <c r="GXX48" s="24"/>
      <c r="GXY48" s="24"/>
      <c r="GXZ48" s="24"/>
      <c r="GYA48" s="24"/>
      <c r="GYB48" s="24"/>
      <c r="GYC48" s="24"/>
      <c r="GYD48" s="24"/>
      <c r="GYE48" s="24"/>
      <c r="GYF48" s="24"/>
      <c r="GYG48" s="24"/>
      <c r="GYH48" s="24"/>
      <c r="GYI48" s="24"/>
      <c r="GYJ48" s="24"/>
      <c r="GYK48" s="24"/>
      <c r="GYL48" s="24"/>
      <c r="GYM48" s="24"/>
      <c r="GYN48" s="24"/>
      <c r="GYO48" s="24"/>
      <c r="GYP48" s="24"/>
      <c r="GYQ48" s="24"/>
      <c r="GYR48" s="24"/>
      <c r="GYS48" s="24"/>
      <c r="GYT48" s="24"/>
      <c r="GYU48" s="24"/>
      <c r="GYV48" s="24"/>
      <c r="GYW48" s="24"/>
      <c r="GYX48" s="24"/>
      <c r="GYY48" s="24"/>
      <c r="GYZ48" s="24"/>
      <c r="GZA48" s="24"/>
      <c r="GZB48" s="24"/>
      <c r="GZC48" s="24"/>
      <c r="GZD48" s="24"/>
      <c r="GZE48" s="24"/>
      <c r="GZF48" s="24"/>
      <c r="GZG48" s="24"/>
      <c r="GZH48" s="24"/>
      <c r="GZI48" s="24"/>
      <c r="GZJ48" s="24"/>
      <c r="GZK48" s="24"/>
      <c r="GZL48" s="24"/>
      <c r="GZM48" s="24"/>
      <c r="GZN48" s="24"/>
      <c r="GZO48" s="24"/>
      <c r="GZP48" s="24"/>
      <c r="GZQ48" s="24"/>
      <c r="GZR48" s="24"/>
      <c r="GZS48" s="24"/>
      <c r="GZT48" s="24"/>
      <c r="GZU48" s="24"/>
      <c r="GZV48" s="24"/>
      <c r="GZW48" s="24"/>
      <c r="GZX48" s="24"/>
      <c r="GZY48" s="24"/>
      <c r="GZZ48" s="24"/>
      <c r="HAA48" s="24"/>
      <c r="HAB48" s="24"/>
      <c r="HAC48" s="24"/>
      <c r="HAD48" s="24"/>
      <c r="HAE48" s="24"/>
      <c r="HAF48" s="24"/>
      <c r="HAG48" s="24"/>
      <c r="HAH48" s="24"/>
      <c r="HAI48" s="24"/>
      <c r="HAJ48" s="24"/>
      <c r="HAK48" s="24"/>
      <c r="HAL48" s="24"/>
      <c r="HAM48" s="24"/>
      <c r="HAN48" s="24"/>
      <c r="HAO48" s="24"/>
      <c r="HAP48" s="24"/>
      <c r="HAQ48" s="24"/>
      <c r="HAR48" s="24"/>
      <c r="HAS48" s="24"/>
      <c r="HAT48" s="24"/>
      <c r="HAU48" s="24"/>
      <c r="HAV48" s="24"/>
      <c r="HAW48" s="24"/>
      <c r="HAX48" s="24"/>
      <c r="HAY48" s="24"/>
      <c r="HAZ48" s="24"/>
      <c r="HBA48" s="24"/>
      <c r="HBB48" s="24"/>
      <c r="HBC48" s="24"/>
      <c r="HBD48" s="24"/>
      <c r="HBE48" s="24"/>
      <c r="HBF48" s="24"/>
      <c r="HBG48" s="24"/>
      <c r="HBH48" s="24"/>
      <c r="HBI48" s="24"/>
      <c r="HBJ48" s="24"/>
      <c r="HBK48" s="24"/>
      <c r="HBL48" s="24"/>
      <c r="HBM48" s="24"/>
      <c r="HBN48" s="24"/>
      <c r="HBO48" s="24"/>
      <c r="HBP48" s="24"/>
      <c r="HBQ48" s="24"/>
      <c r="HBR48" s="24"/>
      <c r="HBS48" s="24"/>
      <c r="HBT48" s="24"/>
      <c r="HBU48" s="24"/>
      <c r="HBV48" s="24"/>
      <c r="HBW48" s="24"/>
      <c r="HBX48" s="24"/>
      <c r="HBY48" s="24"/>
      <c r="HBZ48" s="24"/>
      <c r="HCA48" s="24"/>
      <c r="HCB48" s="24"/>
      <c r="HCC48" s="24"/>
      <c r="HCD48" s="24"/>
      <c r="HCE48" s="24"/>
      <c r="HCF48" s="24"/>
      <c r="HCG48" s="24"/>
      <c r="HCH48" s="24"/>
      <c r="HCI48" s="24"/>
      <c r="HCJ48" s="24"/>
      <c r="HCK48" s="24"/>
      <c r="HCL48" s="24"/>
      <c r="HCM48" s="24"/>
      <c r="HCN48" s="24"/>
      <c r="HCO48" s="24"/>
      <c r="HCP48" s="24"/>
      <c r="HCQ48" s="24"/>
      <c r="HCR48" s="24"/>
      <c r="HCS48" s="24"/>
      <c r="HCT48" s="24"/>
      <c r="HCU48" s="24"/>
      <c r="HCV48" s="24"/>
      <c r="HCW48" s="24"/>
      <c r="HCX48" s="24"/>
      <c r="HCY48" s="24"/>
      <c r="HCZ48" s="24"/>
      <c r="HDA48" s="24"/>
      <c r="HDB48" s="24"/>
      <c r="HDC48" s="24"/>
      <c r="HDD48" s="24"/>
      <c r="HDE48" s="24"/>
      <c r="HDF48" s="24"/>
      <c r="HDG48" s="24"/>
      <c r="HDH48" s="24"/>
      <c r="HDI48" s="24"/>
      <c r="HDJ48" s="24"/>
      <c r="HDK48" s="24"/>
      <c r="HDL48" s="24"/>
      <c r="HDM48" s="24"/>
      <c r="HDN48" s="24"/>
      <c r="HDO48" s="24"/>
      <c r="HDP48" s="24"/>
      <c r="HDQ48" s="24"/>
      <c r="HDR48" s="24"/>
      <c r="HDS48" s="24"/>
      <c r="HDT48" s="24"/>
      <c r="HDU48" s="24"/>
      <c r="HDV48" s="24"/>
      <c r="HDW48" s="24"/>
      <c r="HDX48" s="24"/>
      <c r="HDY48" s="24"/>
      <c r="HDZ48" s="24"/>
      <c r="HEA48" s="24"/>
      <c r="HEB48" s="24"/>
      <c r="HEC48" s="24"/>
      <c r="HED48" s="24"/>
      <c r="HEE48" s="24"/>
      <c r="HEF48" s="24"/>
      <c r="HEG48" s="24"/>
      <c r="HEH48" s="24"/>
      <c r="HEI48" s="24"/>
      <c r="HEJ48" s="24"/>
      <c r="HEK48" s="24"/>
      <c r="HEL48" s="24"/>
      <c r="HEM48" s="24"/>
      <c r="HEN48" s="24"/>
      <c r="HEO48" s="24"/>
      <c r="HEP48" s="24"/>
      <c r="HEQ48" s="24"/>
      <c r="HER48" s="24"/>
      <c r="HES48" s="24"/>
      <c r="HET48" s="24"/>
      <c r="HEU48" s="24"/>
      <c r="HEV48" s="24"/>
      <c r="HEW48" s="24"/>
      <c r="HEX48" s="24"/>
      <c r="HEY48" s="24"/>
      <c r="HEZ48" s="24"/>
      <c r="HFA48" s="24"/>
      <c r="HFB48" s="24"/>
      <c r="HFC48" s="24"/>
      <c r="HFD48" s="24"/>
      <c r="HFE48" s="24"/>
      <c r="HFF48" s="24"/>
      <c r="HFG48" s="24"/>
      <c r="HFH48" s="24"/>
      <c r="HFI48" s="24"/>
      <c r="HFJ48" s="24"/>
      <c r="HFK48" s="24"/>
      <c r="HFL48" s="24"/>
      <c r="HFM48" s="24"/>
      <c r="HFN48" s="24"/>
      <c r="HFO48" s="24"/>
      <c r="HFP48" s="24"/>
      <c r="HFQ48" s="24"/>
      <c r="HFR48" s="24"/>
      <c r="HFS48" s="24"/>
      <c r="HFT48" s="24"/>
      <c r="HFU48" s="24"/>
      <c r="HFV48" s="24"/>
      <c r="HFW48" s="24"/>
      <c r="HFX48" s="24"/>
      <c r="HFY48" s="24"/>
      <c r="HFZ48" s="24"/>
      <c r="HGA48" s="24"/>
      <c r="HGB48" s="24"/>
      <c r="HGC48" s="24"/>
      <c r="HGD48" s="24"/>
      <c r="HGE48" s="24"/>
      <c r="HGF48" s="24"/>
      <c r="HGG48" s="24"/>
      <c r="HGH48" s="24"/>
      <c r="HGI48" s="24"/>
      <c r="HGJ48" s="24"/>
      <c r="HGK48" s="24"/>
      <c r="HGL48" s="24"/>
      <c r="HGM48" s="24"/>
      <c r="HGN48" s="24"/>
      <c r="HGO48" s="24"/>
      <c r="HGP48" s="24"/>
      <c r="HGQ48" s="24"/>
      <c r="HGR48" s="24"/>
      <c r="HGS48" s="24"/>
      <c r="HGT48" s="24"/>
      <c r="HGU48" s="24"/>
      <c r="HGV48" s="24"/>
      <c r="HGW48" s="24"/>
      <c r="HGX48" s="24"/>
      <c r="HGY48" s="24"/>
      <c r="HGZ48" s="24"/>
      <c r="HHA48" s="24"/>
      <c r="HHB48" s="24"/>
      <c r="HHC48" s="24"/>
      <c r="HHD48" s="24"/>
      <c r="HHE48" s="24"/>
      <c r="HHF48" s="24"/>
      <c r="HHG48" s="24"/>
      <c r="HHH48" s="24"/>
      <c r="HHI48" s="24"/>
      <c r="HHJ48" s="24"/>
      <c r="HHK48" s="24"/>
      <c r="HHL48" s="24"/>
      <c r="HHM48" s="24"/>
      <c r="HHN48" s="24"/>
      <c r="HHO48" s="24"/>
      <c r="HHP48" s="24"/>
      <c r="HHQ48" s="24"/>
      <c r="HHR48" s="24"/>
      <c r="HHS48" s="24"/>
      <c r="HHT48" s="24"/>
      <c r="HHU48" s="24"/>
      <c r="HHV48" s="24"/>
      <c r="HHW48" s="24"/>
      <c r="HHX48" s="24"/>
      <c r="HHY48" s="24"/>
      <c r="HHZ48" s="24"/>
      <c r="HIA48" s="24"/>
      <c r="HIB48" s="24"/>
      <c r="HIC48" s="24"/>
      <c r="HID48" s="24"/>
      <c r="HIE48" s="24"/>
      <c r="HIF48" s="24"/>
      <c r="HIG48" s="24"/>
      <c r="HIH48" s="24"/>
      <c r="HII48" s="24"/>
      <c r="HIJ48" s="24"/>
      <c r="HIK48" s="24"/>
      <c r="HIL48" s="24"/>
      <c r="HIM48" s="24"/>
      <c r="HIN48" s="24"/>
      <c r="HIO48" s="24"/>
      <c r="HIP48" s="24"/>
      <c r="HIQ48" s="24"/>
      <c r="HIR48" s="24"/>
      <c r="HIS48" s="24"/>
      <c r="HIT48" s="24"/>
      <c r="HIU48" s="24"/>
      <c r="HIV48" s="24"/>
      <c r="HIW48" s="24"/>
      <c r="HIX48" s="24"/>
      <c r="HIY48" s="24"/>
      <c r="HIZ48" s="24"/>
      <c r="HJA48" s="24"/>
      <c r="HJB48" s="24"/>
      <c r="HJC48" s="24"/>
      <c r="HJD48" s="24"/>
      <c r="HJE48" s="24"/>
      <c r="HJF48" s="24"/>
      <c r="HJG48" s="24"/>
      <c r="HJH48" s="24"/>
      <c r="HJI48" s="24"/>
      <c r="HJJ48" s="24"/>
      <c r="HJK48" s="24"/>
      <c r="HJL48" s="24"/>
      <c r="HJM48" s="24"/>
      <c r="HJN48" s="24"/>
      <c r="HJO48" s="24"/>
      <c r="HJP48" s="24"/>
      <c r="HJQ48" s="24"/>
      <c r="HJR48" s="24"/>
      <c r="HJS48" s="24"/>
      <c r="HJT48" s="24"/>
      <c r="HJU48" s="24"/>
      <c r="HJV48" s="24"/>
      <c r="HJW48" s="24"/>
      <c r="HJX48" s="24"/>
      <c r="HJY48" s="24"/>
      <c r="HJZ48" s="24"/>
      <c r="HKA48" s="24"/>
      <c r="HKB48" s="24"/>
      <c r="HKC48" s="24"/>
      <c r="HKD48" s="24"/>
      <c r="HKE48" s="24"/>
      <c r="HKF48" s="24"/>
      <c r="HKG48" s="24"/>
      <c r="HKH48" s="24"/>
      <c r="HKI48" s="24"/>
      <c r="HKJ48" s="24"/>
      <c r="HKK48" s="24"/>
      <c r="HKL48" s="24"/>
      <c r="HKM48" s="24"/>
      <c r="HKN48" s="24"/>
      <c r="HKO48" s="24"/>
      <c r="HKP48" s="24"/>
      <c r="HKQ48" s="24"/>
      <c r="HKR48" s="24"/>
      <c r="HKS48" s="24"/>
      <c r="HKT48" s="24"/>
      <c r="HKU48" s="24"/>
      <c r="HKV48" s="24"/>
      <c r="HKW48" s="24"/>
      <c r="HKX48" s="24"/>
      <c r="HKY48" s="24"/>
      <c r="HKZ48" s="24"/>
      <c r="HLA48" s="24"/>
      <c r="HLB48" s="24"/>
      <c r="HLC48" s="24"/>
      <c r="HLD48" s="24"/>
      <c r="HLE48" s="24"/>
      <c r="HLF48" s="24"/>
      <c r="HLG48" s="24"/>
      <c r="HLH48" s="24"/>
      <c r="HLI48" s="24"/>
      <c r="HLJ48" s="24"/>
      <c r="HLK48" s="24"/>
      <c r="HLL48" s="24"/>
      <c r="HLM48" s="24"/>
      <c r="HLN48" s="24"/>
      <c r="HLO48" s="24"/>
      <c r="HLP48" s="24"/>
      <c r="HLQ48" s="24"/>
      <c r="HLR48" s="24"/>
      <c r="HLS48" s="24"/>
      <c r="HLT48" s="24"/>
      <c r="HLU48" s="24"/>
      <c r="HLV48" s="24"/>
      <c r="HLW48" s="24"/>
      <c r="HLX48" s="24"/>
      <c r="HLY48" s="24"/>
      <c r="HLZ48" s="24"/>
      <c r="HMA48" s="24"/>
      <c r="HMB48" s="24"/>
      <c r="HMC48" s="24"/>
      <c r="HMD48" s="24"/>
      <c r="HME48" s="24"/>
      <c r="HMF48" s="24"/>
      <c r="HMG48" s="24"/>
      <c r="HMH48" s="24"/>
      <c r="HMI48" s="24"/>
      <c r="HMJ48" s="24"/>
      <c r="HMK48" s="24"/>
      <c r="HML48" s="24"/>
      <c r="HMM48" s="24"/>
      <c r="HMN48" s="24"/>
      <c r="HMO48" s="24"/>
      <c r="HMP48" s="24"/>
      <c r="HMQ48" s="24"/>
      <c r="HMR48" s="24"/>
      <c r="HMS48" s="24"/>
      <c r="HMT48" s="24"/>
      <c r="HMU48" s="24"/>
      <c r="HMV48" s="24"/>
      <c r="HMW48" s="24"/>
      <c r="HMX48" s="24"/>
      <c r="HMY48" s="24"/>
      <c r="HMZ48" s="24"/>
      <c r="HNA48" s="24"/>
      <c r="HNB48" s="24"/>
      <c r="HNC48" s="24"/>
      <c r="HND48" s="24"/>
      <c r="HNE48" s="24"/>
      <c r="HNF48" s="24"/>
      <c r="HNG48" s="24"/>
      <c r="HNH48" s="24"/>
      <c r="HNI48" s="24"/>
      <c r="HNJ48" s="24"/>
      <c r="HNK48" s="24"/>
      <c r="HNL48" s="24"/>
      <c r="HNM48" s="24"/>
      <c r="HNN48" s="24"/>
      <c r="HNO48" s="24"/>
      <c r="HNP48" s="24"/>
      <c r="HNQ48" s="24"/>
      <c r="HNR48" s="24"/>
      <c r="HNS48" s="24"/>
      <c r="HNT48" s="24"/>
      <c r="HNU48" s="24"/>
      <c r="HNV48" s="24"/>
      <c r="HNW48" s="24"/>
      <c r="HNX48" s="24"/>
      <c r="HNY48" s="24"/>
      <c r="HNZ48" s="24"/>
      <c r="HOA48" s="24"/>
      <c r="HOB48" s="24"/>
      <c r="HOC48" s="24"/>
      <c r="HOD48" s="24"/>
      <c r="HOE48" s="24"/>
      <c r="HOF48" s="24"/>
      <c r="HOG48" s="24"/>
      <c r="HOH48" s="24"/>
      <c r="HOI48" s="24"/>
      <c r="HOJ48" s="24"/>
      <c r="HOK48" s="24"/>
      <c r="HOL48" s="24"/>
      <c r="HOM48" s="24"/>
      <c r="HON48" s="24"/>
      <c r="HOO48" s="24"/>
      <c r="HOP48" s="24"/>
      <c r="HOQ48" s="24"/>
      <c r="HOR48" s="24"/>
      <c r="HOS48" s="24"/>
      <c r="HOT48" s="24"/>
      <c r="HOU48" s="24"/>
      <c r="HOV48" s="24"/>
      <c r="HOW48" s="24"/>
      <c r="HOX48" s="24"/>
      <c r="HOY48" s="24"/>
      <c r="HOZ48" s="24"/>
      <c r="HPA48" s="24"/>
      <c r="HPB48" s="24"/>
      <c r="HPC48" s="24"/>
      <c r="HPD48" s="24"/>
      <c r="HPE48" s="24"/>
      <c r="HPF48" s="24"/>
      <c r="HPG48" s="24"/>
      <c r="HPH48" s="24"/>
      <c r="HPI48" s="24"/>
      <c r="HPJ48" s="24"/>
      <c r="HPK48" s="24"/>
      <c r="HPL48" s="24"/>
      <c r="HPM48" s="24"/>
      <c r="HPN48" s="24"/>
      <c r="HPO48" s="24"/>
      <c r="HPP48" s="24"/>
      <c r="HPQ48" s="24"/>
      <c r="HPR48" s="24"/>
      <c r="HPS48" s="24"/>
      <c r="HPT48" s="24"/>
      <c r="HPU48" s="24"/>
      <c r="HPV48" s="24"/>
      <c r="HPW48" s="24"/>
      <c r="HPX48" s="24"/>
      <c r="HPY48" s="24"/>
      <c r="HPZ48" s="24"/>
      <c r="HQA48" s="24"/>
      <c r="HQB48" s="24"/>
      <c r="HQC48" s="24"/>
      <c r="HQD48" s="24"/>
      <c r="HQE48" s="24"/>
      <c r="HQF48" s="24"/>
      <c r="HQG48" s="24"/>
      <c r="HQH48" s="24"/>
      <c r="HQI48" s="24"/>
      <c r="HQJ48" s="24"/>
      <c r="HQK48" s="24"/>
      <c r="HQL48" s="24"/>
      <c r="HQM48" s="24"/>
      <c r="HQN48" s="24"/>
      <c r="HQO48" s="24"/>
      <c r="HQP48" s="24"/>
      <c r="HQQ48" s="24"/>
      <c r="HQR48" s="24"/>
      <c r="HQS48" s="24"/>
      <c r="HQT48" s="24"/>
      <c r="HQU48" s="24"/>
      <c r="HQV48" s="24"/>
      <c r="HQW48" s="24"/>
      <c r="HQX48" s="24"/>
      <c r="HQY48" s="24"/>
      <c r="HQZ48" s="24"/>
      <c r="HRA48" s="24"/>
      <c r="HRB48" s="24"/>
      <c r="HRC48" s="24"/>
      <c r="HRD48" s="24"/>
      <c r="HRE48" s="24"/>
      <c r="HRF48" s="24"/>
      <c r="HRG48" s="24"/>
      <c r="HRH48" s="24"/>
      <c r="HRI48" s="24"/>
      <c r="HRJ48" s="24"/>
      <c r="HRK48" s="24"/>
      <c r="HRL48" s="24"/>
      <c r="HRM48" s="24"/>
      <c r="HRN48" s="24"/>
      <c r="HRO48" s="24"/>
      <c r="HRP48" s="24"/>
      <c r="HRQ48" s="24"/>
      <c r="HRR48" s="24"/>
      <c r="HRS48" s="24"/>
      <c r="HRT48" s="24"/>
      <c r="HRU48" s="24"/>
      <c r="HRV48" s="24"/>
      <c r="HRW48" s="24"/>
      <c r="HRX48" s="24"/>
      <c r="HRY48" s="24"/>
      <c r="HRZ48" s="24"/>
      <c r="HSA48" s="24"/>
      <c r="HSB48" s="24"/>
      <c r="HSC48" s="24"/>
      <c r="HSD48" s="24"/>
      <c r="HSE48" s="24"/>
      <c r="HSF48" s="24"/>
      <c r="HSG48" s="24"/>
      <c r="HSH48" s="24"/>
      <c r="HSI48" s="24"/>
      <c r="HSJ48" s="24"/>
      <c r="HSK48" s="24"/>
      <c r="HSL48" s="24"/>
      <c r="HSM48" s="24"/>
      <c r="HSN48" s="24"/>
      <c r="HSO48" s="24"/>
      <c r="HSP48" s="24"/>
      <c r="HSQ48" s="24"/>
      <c r="HSR48" s="24"/>
      <c r="HSS48" s="24"/>
      <c r="HST48" s="24"/>
      <c r="HSU48" s="24"/>
      <c r="HSV48" s="24"/>
      <c r="HSW48" s="24"/>
      <c r="HSX48" s="24"/>
      <c r="HSY48" s="24"/>
      <c r="HSZ48" s="24"/>
      <c r="HTA48" s="24"/>
      <c r="HTB48" s="24"/>
      <c r="HTC48" s="24"/>
      <c r="HTD48" s="24"/>
      <c r="HTE48" s="24"/>
      <c r="HTF48" s="24"/>
      <c r="HTG48" s="24"/>
      <c r="HTH48" s="24"/>
      <c r="HTI48" s="24"/>
      <c r="HTJ48" s="24"/>
      <c r="HTK48" s="24"/>
      <c r="HTL48" s="24"/>
      <c r="HTM48" s="24"/>
      <c r="HTN48" s="24"/>
      <c r="HTO48" s="24"/>
      <c r="HTP48" s="24"/>
      <c r="HTQ48" s="24"/>
      <c r="HTR48" s="24"/>
      <c r="HTS48" s="24"/>
      <c r="HTT48" s="24"/>
      <c r="HTU48" s="24"/>
      <c r="HTV48" s="24"/>
      <c r="HTW48" s="24"/>
      <c r="HTX48" s="24"/>
      <c r="HTY48" s="24"/>
      <c r="HTZ48" s="24"/>
      <c r="HUA48" s="24"/>
      <c r="HUB48" s="24"/>
      <c r="HUC48" s="24"/>
      <c r="HUD48" s="24"/>
      <c r="HUE48" s="24"/>
      <c r="HUF48" s="24"/>
      <c r="HUG48" s="24"/>
      <c r="HUH48" s="24"/>
      <c r="HUI48" s="24"/>
      <c r="HUJ48" s="24"/>
      <c r="HUK48" s="24"/>
      <c r="HUL48" s="24"/>
      <c r="HUM48" s="24"/>
      <c r="HUN48" s="24"/>
      <c r="HUO48" s="24"/>
      <c r="HUP48" s="24"/>
      <c r="HUQ48" s="24"/>
      <c r="HUR48" s="24"/>
      <c r="HUS48" s="24"/>
      <c r="HUT48" s="24"/>
      <c r="HUU48" s="24"/>
      <c r="HUV48" s="24"/>
      <c r="HUW48" s="24"/>
      <c r="HUX48" s="24"/>
      <c r="HUY48" s="24"/>
      <c r="HUZ48" s="24"/>
      <c r="HVA48" s="24"/>
      <c r="HVB48" s="24"/>
      <c r="HVC48" s="24"/>
      <c r="HVD48" s="24"/>
      <c r="HVE48" s="24"/>
      <c r="HVF48" s="24"/>
      <c r="HVG48" s="24"/>
      <c r="HVH48" s="24"/>
      <c r="HVI48" s="24"/>
      <c r="HVJ48" s="24"/>
      <c r="HVK48" s="24"/>
      <c r="HVL48" s="24"/>
      <c r="HVM48" s="24"/>
      <c r="HVN48" s="24"/>
      <c r="HVO48" s="24"/>
      <c r="HVP48" s="24"/>
      <c r="HVQ48" s="24"/>
      <c r="HVR48" s="24"/>
      <c r="HVS48" s="24"/>
      <c r="HVT48" s="24"/>
      <c r="HVU48" s="24"/>
      <c r="HVV48" s="24"/>
      <c r="HVW48" s="24"/>
      <c r="HVX48" s="24"/>
      <c r="HVY48" s="24"/>
      <c r="HVZ48" s="24"/>
      <c r="HWA48" s="24"/>
      <c r="HWB48" s="24"/>
      <c r="HWC48" s="24"/>
      <c r="HWD48" s="24"/>
      <c r="HWE48" s="24"/>
      <c r="HWF48" s="24"/>
      <c r="HWG48" s="24"/>
      <c r="HWH48" s="24"/>
      <c r="HWI48" s="24"/>
      <c r="HWJ48" s="24"/>
      <c r="HWK48" s="24"/>
      <c r="HWL48" s="24"/>
      <c r="HWM48" s="24"/>
      <c r="HWN48" s="24"/>
      <c r="HWO48" s="24"/>
      <c r="HWP48" s="24"/>
      <c r="HWQ48" s="24"/>
      <c r="HWR48" s="24"/>
      <c r="HWS48" s="24"/>
      <c r="HWT48" s="24"/>
      <c r="HWU48" s="24"/>
      <c r="HWV48" s="24"/>
      <c r="HWW48" s="24"/>
      <c r="HWX48" s="24"/>
      <c r="HWY48" s="24"/>
      <c r="HWZ48" s="24"/>
      <c r="HXA48" s="24"/>
      <c r="HXB48" s="24"/>
      <c r="HXC48" s="24"/>
      <c r="HXD48" s="24"/>
      <c r="HXE48" s="24"/>
      <c r="HXF48" s="24"/>
      <c r="HXG48" s="24"/>
      <c r="HXH48" s="24"/>
      <c r="HXI48" s="24"/>
      <c r="HXJ48" s="24"/>
      <c r="HXK48" s="24"/>
      <c r="HXL48" s="24"/>
      <c r="HXM48" s="24"/>
      <c r="HXN48" s="24"/>
      <c r="HXO48" s="24"/>
      <c r="HXP48" s="24"/>
      <c r="HXQ48" s="24"/>
      <c r="HXR48" s="24"/>
      <c r="HXS48" s="24"/>
      <c r="HXT48" s="24"/>
      <c r="HXU48" s="24"/>
      <c r="HXV48" s="24"/>
      <c r="HXW48" s="24"/>
      <c r="HXX48" s="24"/>
      <c r="HXY48" s="24"/>
      <c r="HXZ48" s="24"/>
      <c r="HYA48" s="24"/>
      <c r="HYB48" s="24"/>
      <c r="HYC48" s="24"/>
      <c r="HYD48" s="24"/>
      <c r="HYE48" s="24"/>
      <c r="HYF48" s="24"/>
      <c r="HYG48" s="24"/>
      <c r="HYH48" s="24"/>
      <c r="HYI48" s="24"/>
      <c r="HYJ48" s="24"/>
      <c r="HYK48" s="24"/>
      <c r="HYL48" s="24"/>
      <c r="HYM48" s="24"/>
      <c r="HYN48" s="24"/>
      <c r="HYO48" s="24"/>
      <c r="HYP48" s="24"/>
      <c r="HYQ48" s="24"/>
      <c r="HYR48" s="24"/>
      <c r="HYS48" s="24"/>
      <c r="HYT48" s="24"/>
      <c r="HYU48" s="24"/>
      <c r="HYV48" s="24"/>
      <c r="HYW48" s="24"/>
      <c r="HYX48" s="24"/>
      <c r="HYY48" s="24"/>
      <c r="HYZ48" s="24"/>
      <c r="HZA48" s="24"/>
      <c r="HZB48" s="24"/>
      <c r="HZC48" s="24"/>
      <c r="HZD48" s="24"/>
      <c r="HZE48" s="24"/>
      <c r="HZF48" s="24"/>
      <c r="HZG48" s="24"/>
      <c r="HZH48" s="24"/>
      <c r="HZI48" s="24"/>
      <c r="HZJ48" s="24"/>
      <c r="HZK48" s="24"/>
      <c r="HZL48" s="24"/>
      <c r="HZM48" s="24"/>
      <c r="HZN48" s="24"/>
      <c r="HZO48" s="24"/>
      <c r="HZP48" s="24"/>
      <c r="HZQ48" s="24"/>
      <c r="HZR48" s="24"/>
      <c r="HZS48" s="24"/>
      <c r="HZT48" s="24"/>
      <c r="HZU48" s="24"/>
      <c r="HZV48" s="24"/>
      <c r="HZW48" s="24"/>
      <c r="HZX48" s="24"/>
      <c r="HZY48" s="24"/>
      <c r="HZZ48" s="24"/>
      <c r="IAA48" s="24"/>
      <c r="IAB48" s="24"/>
      <c r="IAC48" s="24"/>
      <c r="IAD48" s="24"/>
      <c r="IAE48" s="24"/>
      <c r="IAF48" s="24"/>
      <c r="IAG48" s="24"/>
      <c r="IAH48" s="24"/>
      <c r="IAI48" s="24"/>
      <c r="IAJ48" s="24"/>
      <c r="IAK48" s="24"/>
      <c r="IAL48" s="24"/>
      <c r="IAM48" s="24"/>
      <c r="IAN48" s="24"/>
      <c r="IAO48" s="24"/>
      <c r="IAP48" s="24"/>
      <c r="IAQ48" s="24"/>
      <c r="IAR48" s="24"/>
      <c r="IAS48" s="24"/>
      <c r="IAT48" s="24"/>
      <c r="IAU48" s="24"/>
      <c r="IAV48" s="24"/>
      <c r="IAW48" s="24"/>
      <c r="IAX48" s="24"/>
      <c r="IAY48" s="24"/>
      <c r="IAZ48" s="24"/>
      <c r="IBA48" s="24"/>
      <c r="IBB48" s="24"/>
      <c r="IBC48" s="24"/>
      <c r="IBD48" s="24"/>
      <c r="IBE48" s="24"/>
      <c r="IBF48" s="24"/>
      <c r="IBG48" s="24"/>
      <c r="IBH48" s="24"/>
      <c r="IBI48" s="24"/>
      <c r="IBJ48" s="24"/>
      <c r="IBK48" s="24"/>
      <c r="IBL48" s="24"/>
      <c r="IBM48" s="24"/>
      <c r="IBN48" s="24"/>
      <c r="IBO48" s="24"/>
      <c r="IBP48" s="24"/>
      <c r="IBQ48" s="24"/>
      <c r="IBR48" s="24"/>
      <c r="IBS48" s="24"/>
      <c r="IBT48" s="24"/>
      <c r="IBU48" s="24"/>
      <c r="IBV48" s="24"/>
      <c r="IBW48" s="24"/>
      <c r="IBX48" s="24"/>
      <c r="IBY48" s="24"/>
      <c r="IBZ48" s="24"/>
      <c r="ICA48" s="24"/>
      <c r="ICB48" s="24"/>
      <c r="ICC48" s="24"/>
      <c r="ICD48" s="24"/>
      <c r="ICE48" s="24"/>
      <c r="ICF48" s="24"/>
      <c r="ICG48" s="24"/>
      <c r="ICH48" s="24"/>
      <c r="ICI48" s="24"/>
      <c r="ICJ48" s="24"/>
      <c r="ICK48" s="24"/>
      <c r="ICL48" s="24"/>
      <c r="ICM48" s="24"/>
      <c r="ICN48" s="24"/>
      <c r="ICO48" s="24"/>
      <c r="ICP48" s="24"/>
      <c r="ICQ48" s="24"/>
      <c r="ICR48" s="24"/>
      <c r="ICS48" s="24"/>
      <c r="ICT48" s="24"/>
      <c r="ICU48" s="24"/>
      <c r="ICV48" s="24"/>
      <c r="ICW48" s="24"/>
      <c r="ICX48" s="24"/>
      <c r="ICY48" s="24"/>
      <c r="ICZ48" s="24"/>
      <c r="IDA48" s="24"/>
      <c r="IDB48" s="24"/>
      <c r="IDC48" s="24"/>
      <c r="IDD48" s="24"/>
      <c r="IDE48" s="24"/>
      <c r="IDF48" s="24"/>
      <c r="IDG48" s="24"/>
      <c r="IDH48" s="24"/>
      <c r="IDI48" s="24"/>
      <c r="IDJ48" s="24"/>
      <c r="IDK48" s="24"/>
      <c r="IDL48" s="24"/>
      <c r="IDM48" s="24"/>
      <c r="IDN48" s="24"/>
      <c r="IDO48" s="24"/>
      <c r="IDP48" s="24"/>
      <c r="IDQ48" s="24"/>
      <c r="IDR48" s="24"/>
      <c r="IDS48" s="24"/>
      <c r="IDT48" s="24"/>
      <c r="IDU48" s="24"/>
      <c r="IDV48" s="24"/>
      <c r="IDW48" s="24"/>
      <c r="IDX48" s="24"/>
      <c r="IDY48" s="24"/>
      <c r="IDZ48" s="24"/>
      <c r="IEA48" s="24"/>
      <c r="IEB48" s="24"/>
      <c r="IEC48" s="24"/>
      <c r="IED48" s="24"/>
      <c r="IEE48" s="24"/>
      <c r="IEF48" s="24"/>
      <c r="IEG48" s="24"/>
      <c r="IEH48" s="24"/>
      <c r="IEI48" s="24"/>
      <c r="IEJ48" s="24"/>
      <c r="IEK48" s="24"/>
      <c r="IEL48" s="24"/>
      <c r="IEM48" s="24"/>
      <c r="IEN48" s="24"/>
      <c r="IEO48" s="24"/>
      <c r="IEP48" s="24"/>
      <c r="IEQ48" s="24"/>
      <c r="IER48" s="24"/>
      <c r="IES48" s="24"/>
      <c r="IET48" s="24"/>
      <c r="IEU48" s="24"/>
      <c r="IEV48" s="24"/>
      <c r="IEW48" s="24"/>
      <c r="IEX48" s="24"/>
      <c r="IEY48" s="24"/>
      <c r="IEZ48" s="24"/>
      <c r="IFA48" s="24"/>
      <c r="IFB48" s="24"/>
      <c r="IFC48" s="24"/>
      <c r="IFD48" s="24"/>
      <c r="IFE48" s="24"/>
      <c r="IFF48" s="24"/>
      <c r="IFG48" s="24"/>
      <c r="IFH48" s="24"/>
      <c r="IFI48" s="24"/>
      <c r="IFJ48" s="24"/>
      <c r="IFK48" s="24"/>
      <c r="IFL48" s="24"/>
      <c r="IFM48" s="24"/>
      <c r="IFN48" s="24"/>
      <c r="IFO48" s="24"/>
      <c r="IFP48" s="24"/>
      <c r="IFQ48" s="24"/>
      <c r="IFR48" s="24"/>
      <c r="IFS48" s="24"/>
      <c r="IFT48" s="24"/>
      <c r="IFU48" s="24"/>
      <c r="IFV48" s="24"/>
      <c r="IFW48" s="24"/>
      <c r="IFX48" s="24"/>
      <c r="IFY48" s="24"/>
      <c r="IFZ48" s="24"/>
      <c r="IGA48" s="24"/>
      <c r="IGB48" s="24"/>
      <c r="IGC48" s="24"/>
      <c r="IGD48" s="24"/>
      <c r="IGE48" s="24"/>
      <c r="IGF48" s="24"/>
      <c r="IGG48" s="24"/>
      <c r="IGH48" s="24"/>
      <c r="IGI48" s="24"/>
      <c r="IGJ48" s="24"/>
      <c r="IGK48" s="24"/>
      <c r="IGL48" s="24"/>
      <c r="IGM48" s="24"/>
      <c r="IGN48" s="24"/>
      <c r="IGO48" s="24"/>
      <c r="IGP48" s="24"/>
      <c r="IGQ48" s="24"/>
      <c r="IGR48" s="24"/>
      <c r="IGS48" s="24"/>
      <c r="IGT48" s="24"/>
      <c r="IGU48" s="24"/>
      <c r="IGV48" s="24"/>
      <c r="IGW48" s="24"/>
      <c r="IGX48" s="24"/>
      <c r="IGY48" s="24"/>
      <c r="IGZ48" s="24"/>
      <c r="IHA48" s="24"/>
      <c r="IHB48" s="24"/>
      <c r="IHC48" s="24"/>
      <c r="IHD48" s="24"/>
      <c r="IHE48" s="24"/>
      <c r="IHF48" s="24"/>
      <c r="IHG48" s="24"/>
      <c r="IHH48" s="24"/>
      <c r="IHI48" s="24"/>
      <c r="IHJ48" s="24"/>
      <c r="IHK48" s="24"/>
      <c r="IHL48" s="24"/>
      <c r="IHM48" s="24"/>
      <c r="IHN48" s="24"/>
      <c r="IHO48" s="24"/>
      <c r="IHP48" s="24"/>
      <c r="IHQ48" s="24"/>
      <c r="IHR48" s="24"/>
      <c r="IHS48" s="24"/>
      <c r="IHT48" s="24"/>
      <c r="IHU48" s="24"/>
      <c r="IHV48" s="24"/>
      <c r="IHW48" s="24"/>
      <c r="IHX48" s="24"/>
      <c r="IHY48" s="24"/>
      <c r="IHZ48" s="24"/>
      <c r="IIA48" s="24"/>
      <c r="IIB48" s="24"/>
      <c r="IIC48" s="24"/>
      <c r="IID48" s="24"/>
      <c r="IIE48" s="24"/>
      <c r="IIF48" s="24"/>
      <c r="IIG48" s="24"/>
      <c r="IIH48" s="24"/>
      <c r="III48" s="24"/>
      <c r="IIJ48" s="24"/>
      <c r="IIK48" s="24"/>
      <c r="IIL48" s="24"/>
      <c r="IIM48" s="24"/>
      <c r="IIN48" s="24"/>
      <c r="IIO48" s="24"/>
      <c r="IIP48" s="24"/>
      <c r="IIQ48" s="24"/>
      <c r="IIR48" s="24"/>
      <c r="IIS48" s="24"/>
      <c r="IIT48" s="24"/>
      <c r="IIU48" s="24"/>
      <c r="IIV48" s="24"/>
      <c r="IIW48" s="24"/>
      <c r="IIX48" s="24"/>
      <c r="IIY48" s="24"/>
      <c r="IIZ48" s="24"/>
      <c r="IJA48" s="24"/>
      <c r="IJB48" s="24"/>
      <c r="IJC48" s="24"/>
      <c r="IJD48" s="24"/>
      <c r="IJE48" s="24"/>
      <c r="IJF48" s="24"/>
      <c r="IJG48" s="24"/>
      <c r="IJH48" s="24"/>
      <c r="IJI48" s="24"/>
      <c r="IJJ48" s="24"/>
      <c r="IJK48" s="24"/>
      <c r="IJL48" s="24"/>
      <c r="IJM48" s="24"/>
      <c r="IJN48" s="24"/>
      <c r="IJO48" s="24"/>
      <c r="IJP48" s="24"/>
      <c r="IJQ48" s="24"/>
      <c r="IJR48" s="24"/>
      <c r="IJS48" s="24"/>
      <c r="IJT48" s="24"/>
      <c r="IJU48" s="24"/>
      <c r="IJV48" s="24"/>
      <c r="IJW48" s="24"/>
      <c r="IJX48" s="24"/>
      <c r="IJY48" s="24"/>
      <c r="IJZ48" s="24"/>
      <c r="IKA48" s="24"/>
      <c r="IKB48" s="24"/>
      <c r="IKC48" s="24"/>
      <c r="IKD48" s="24"/>
      <c r="IKE48" s="24"/>
      <c r="IKF48" s="24"/>
      <c r="IKG48" s="24"/>
      <c r="IKH48" s="24"/>
      <c r="IKI48" s="24"/>
      <c r="IKJ48" s="24"/>
      <c r="IKK48" s="24"/>
      <c r="IKL48" s="24"/>
      <c r="IKM48" s="24"/>
      <c r="IKN48" s="24"/>
      <c r="IKO48" s="24"/>
      <c r="IKP48" s="24"/>
      <c r="IKQ48" s="24"/>
      <c r="IKR48" s="24"/>
      <c r="IKS48" s="24"/>
      <c r="IKT48" s="24"/>
      <c r="IKU48" s="24"/>
      <c r="IKV48" s="24"/>
      <c r="IKW48" s="24"/>
      <c r="IKX48" s="24"/>
      <c r="IKY48" s="24"/>
      <c r="IKZ48" s="24"/>
      <c r="ILA48" s="24"/>
      <c r="ILB48" s="24"/>
      <c r="ILC48" s="24"/>
      <c r="ILD48" s="24"/>
      <c r="ILE48" s="24"/>
      <c r="ILF48" s="24"/>
      <c r="ILG48" s="24"/>
      <c r="ILH48" s="24"/>
      <c r="ILI48" s="24"/>
      <c r="ILJ48" s="24"/>
      <c r="ILK48" s="24"/>
      <c r="ILL48" s="24"/>
      <c r="ILM48" s="24"/>
      <c r="ILN48" s="24"/>
      <c r="ILO48" s="24"/>
      <c r="ILP48" s="24"/>
      <c r="ILQ48" s="24"/>
      <c r="ILR48" s="24"/>
      <c r="ILS48" s="24"/>
      <c r="ILT48" s="24"/>
      <c r="ILU48" s="24"/>
      <c r="ILV48" s="24"/>
      <c r="ILW48" s="24"/>
      <c r="ILX48" s="24"/>
      <c r="ILY48" s="24"/>
      <c r="ILZ48" s="24"/>
      <c r="IMA48" s="24"/>
      <c r="IMB48" s="24"/>
      <c r="IMC48" s="24"/>
      <c r="IMD48" s="24"/>
      <c r="IME48" s="24"/>
      <c r="IMF48" s="24"/>
      <c r="IMG48" s="24"/>
      <c r="IMH48" s="24"/>
      <c r="IMI48" s="24"/>
      <c r="IMJ48" s="24"/>
      <c r="IMK48" s="24"/>
      <c r="IML48" s="24"/>
      <c r="IMM48" s="24"/>
      <c r="IMN48" s="24"/>
      <c r="IMO48" s="24"/>
      <c r="IMP48" s="24"/>
      <c r="IMQ48" s="24"/>
      <c r="IMR48" s="24"/>
      <c r="IMS48" s="24"/>
      <c r="IMT48" s="24"/>
      <c r="IMU48" s="24"/>
      <c r="IMV48" s="24"/>
      <c r="IMW48" s="24"/>
      <c r="IMX48" s="24"/>
      <c r="IMY48" s="24"/>
      <c r="IMZ48" s="24"/>
      <c r="INA48" s="24"/>
      <c r="INB48" s="24"/>
      <c r="INC48" s="24"/>
      <c r="IND48" s="24"/>
      <c r="INE48" s="24"/>
      <c r="INF48" s="24"/>
      <c r="ING48" s="24"/>
      <c r="INH48" s="24"/>
      <c r="INI48" s="24"/>
      <c r="INJ48" s="24"/>
      <c r="INK48" s="24"/>
      <c r="INL48" s="24"/>
      <c r="INM48" s="24"/>
      <c r="INN48" s="24"/>
      <c r="INO48" s="24"/>
      <c r="INP48" s="24"/>
      <c r="INQ48" s="24"/>
      <c r="INR48" s="24"/>
      <c r="INS48" s="24"/>
      <c r="INT48" s="24"/>
      <c r="INU48" s="24"/>
      <c r="INV48" s="24"/>
      <c r="INW48" s="24"/>
      <c r="INX48" s="24"/>
      <c r="INY48" s="24"/>
      <c r="INZ48" s="24"/>
      <c r="IOA48" s="24"/>
      <c r="IOB48" s="24"/>
      <c r="IOC48" s="24"/>
      <c r="IOD48" s="24"/>
      <c r="IOE48" s="24"/>
      <c r="IOF48" s="24"/>
      <c r="IOG48" s="24"/>
      <c r="IOH48" s="24"/>
      <c r="IOI48" s="24"/>
      <c r="IOJ48" s="24"/>
      <c r="IOK48" s="24"/>
      <c r="IOL48" s="24"/>
      <c r="IOM48" s="24"/>
      <c r="ION48" s="24"/>
      <c r="IOO48" s="24"/>
      <c r="IOP48" s="24"/>
      <c r="IOQ48" s="24"/>
      <c r="IOR48" s="24"/>
      <c r="IOS48" s="24"/>
      <c r="IOT48" s="24"/>
      <c r="IOU48" s="24"/>
      <c r="IOV48" s="24"/>
      <c r="IOW48" s="24"/>
      <c r="IOX48" s="24"/>
      <c r="IOY48" s="24"/>
      <c r="IOZ48" s="24"/>
      <c r="IPA48" s="24"/>
      <c r="IPB48" s="24"/>
      <c r="IPC48" s="24"/>
      <c r="IPD48" s="24"/>
      <c r="IPE48" s="24"/>
      <c r="IPF48" s="24"/>
      <c r="IPG48" s="24"/>
      <c r="IPH48" s="24"/>
      <c r="IPI48" s="24"/>
      <c r="IPJ48" s="24"/>
      <c r="IPK48" s="24"/>
      <c r="IPL48" s="24"/>
      <c r="IPM48" s="24"/>
      <c r="IPN48" s="24"/>
      <c r="IPO48" s="24"/>
      <c r="IPP48" s="24"/>
      <c r="IPQ48" s="24"/>
      <c r="IPR48" s="24"/>
      <c r="IPS48" s="24"/>
      <c r="IPT48" s="24"/>
      <c r="IPU48" s="24"/>
      <c r="IPV48" s="24"/>
      <c r="IPW48" s="24"/>
      <c r="IPX48" s="24"/>
      <c r="IPY48" s="24"/>
      <c r="IPZ48" s="24"/>
      <c r="IQA48" s="24"/>
      <c r="IQB48" s="24"/>
      <c r="IQC48" s="24"/>
      <c r="IQD48" s="24"/>
      <c r="IQE48" s="24"/>
      <c r="IQF48" s="24"/>
      <c r="IQG48" s="24"/>
      <c r="IQH48" s="24"/>
      <c r="IQI48" s="24"/>
      <c r="IQJ48" s="24"/>
      <c r="IQK48" s="24"/>
      <c r="IQL48" s="24"/>
      <c r="IQM48" s="24"/>
      <c r="IQN48" s="24"/>
      <c r="IQO48" s="24"/>
      <c r="IQP48" s="24"/>
      <c r="IQQ48" s="24"/>
      <c r="IQR48" s="24"/>
      <c r="IQS48" s="24"/>
      <c r="IQT48" s="24"/>
      <c r="IQU48" s="24"/>
      <c r="IQV48" s="24"/>
      <c r="IQW48" s="24"/>
      <c r="IQX48" s="24"/>
      <c r="IQY48" s="24"/>
      <c r="IQZ48" s="24"/>
      <c r="IRA48" s="24"/>
      <c r="IRB48" s="24"/>
      <c r="IRC48" s="24"/>
      <c r="IRD48" s="24"/>
      <c r="IRE48" s="24"/>
      <c r="IRF48" s="24"/>
      <c r="IRG48" s="24"/>
      <c r="IRH48" s="24"/>
      <c r="IRI48" s="24"/>
      <c r="IRJ48" s="24"/>
      <c r="IRK48" s="24"/>
      <c r="IRL48" s="24"/>
      <c r="IRM48" s="24"/>
      <c r="IRN48" s="24"/>
      <c r="IRO48" s="24"/>
      <c r="IRP48" s="24"/>
      <c r="IRQ48" s="24"/>
      <c r="IRR48" s="24"/>
      <c r="IRS48" s="24"/>
      <c r="IRT48" s="24"/>
      <c r="IRU48" s="24"/>
      <c r="IRV48" s="24"/>
      <c r="IRW48" s="24"/>
      <c r="IRX48" s="24"/>
      <c r="IRY48" s="24"/>
      <c r="IRZ48" s="24"/>
      <c r="ISA48" s="24"/>
      <c r="ISB48" s="24"/>
      <c r="ISC48" s="24"/>
      <c r="ISD48" s="24"/>
      <c r="ISE48" s="24"/>
      <c r="ISF48" s="24"/>
      <c r="ISG48" s="24"/>
      <c r="ISH48" s="24"/>
      <c r="ISI48" s="24"/>
      <c r="ISJ48" s="24"/>
      <c r="ISK48" s="24"/>
      <c r="ISL48" s="24"/>
      <c r="ISM48" s="24"/>
      <c r="ISN48" s="24"/>
      <c r="ISO48" s="24"/>
      <c r="ISP48" s="24"/>
      <c r="ISQ48" s="24"/>
      <c r="ISR48" s="24"/>
      <c r="ISS48" s="24"/>
      <c r="IST48" s="24"/>
      <c r="ISU48" s="24"/>
      <c r="ISV48" s="24"/>
      <c r="ISW48" s="24"/>
      <c r="ISX48" s="24"/>
      <c r="ISY48" s="24"/>
      <c r="ISZ48" s="24"/>
      <c r="ITA48" s="24"/>
      <c r="ITB48" s="24"/>
      <c r="ITC48" s="24"/>
      <c r="ITD48" s="24"/>
      <c r="ITE48" s="24"/>
      <c r="ITF48" s="24"/>
      <c r="ITG48" s="24"/>
      <c r="ITH48" s="24"/>
      <c r="ITI48" s="24"/>
      <c r="ITJ48" s="24"/>
      <c r="ITK48" s="24"/>
      <c r="ITL48" s="24"/>
      <c r="ITM48" s="24"/>
      <c r="ITN48" s="24"/>
      <c r="ITO48" s="24"/>
      <c r="ITP48" s="24"/>
      <c r="ITQ48" s="24"/>
      <c r="ITR48" s="24"/>
      <c r="ITS48" s="24"/>
      <c r="ITT48" s="24"/>
      <c r="ITU48" s="24"/>
      <c r="ITV48" s="24"/>
      <c r="ITW48" s="24"/>
      <c r="ITX48" s="24"/>
      <c r="ITY48" s="24"/>
      <c r="ITZ48" s="24"/>
      <c r="IUA48" s="24"/>
      <c r="IUB48" s="24"/>
      <c r="IUC48" s="24"/>
      <c r="IUD48" s="24"/>
      <c r="IUE48" s="24"/>
      <c r="IUF48" s="24"/>
      <c r="IUG48" s="24"/>
      <c r="IUH48" s="24"/>
      <c r="IUI48" s="24"/>
      <c r="IUJ48" s="24"/>
      <c r="IUK48" s="24"/>
      <c r="IUL48" s="24"/>
      <c r="IUM48" s="24"/>
      <c r="IUN48" s="24"/>
      <c r="IUO48" s="24"/>
      <c r="IUP48" s="24"/>
      <c r="IUQ48" s="24"/>
      <c r="IUR48" s="24"/>
      <c r="IUS48" s="24"/>
      <c r="IUT48" s="24"/>
      <c r="IUU48" s="24"/>
      <c r="IUV48" s="24"/>
      <c r="IUW48" s="24"/>
      <c r="IUX48" s="24"/>
      <c r="IUY48" s="24"/>
      <c r="IUZ48" s="24"/>
      <c r="IVA48" s="24"/>
      <c r="IVB48" s="24"/>
      <c r="IVC48" s="24"/>
      <c r="IVD48" s="24"/>
      <c r="IVE48" s="24"/>
      <c r="IVF48" s="24"/>
      <c r="IVG48" s="24"/>
      <c r="IVH48" s="24"/>
      <c r="IVI48" s="24"/>
      <c r="IVJ48" s="24"/>
      <c r="IVK48" s="24"/>
      <c r="IVL48" s="24"/>
      <c r="IVM48" s="24"/>
      <c r="IVN48" s="24"/>
      <c r="IVO48" s="24"/>
      <c r="IVP48" s="24"/>
      <c r="IVQ48" s="24"/>
      <c r="IVR48" s="24"/>
      <c r="IVS48" s="24"/>
      <c r="IVT48" s="24"/>
      <c r="IVU48" s="24"/>
      <c r="IVV48" s="24"/>
      <c r="IVW48" s="24"/>
      <c r="IVX48" s="24"/>
      <c r="IVY48" s="24"/>
      <c r="IVZ48" s="24"/>
      <c r="IWA48" s="24"/>
      <c r="IWB48" s="24"/>
      <c r="IWC48" s="24"/>
      <c r="IWD48" s="24"/>
      <c r="IWE48" s="24"/>
      <c r="IWF48" s="24"/>
      <c r="IWG48" s="24"/>
      <c r="IWH48" s="24"/>
      <c r="IWI48" s="24"/>
      <c r="IWJ48" s="24"/>
      <c r="IWK48" s="24"/>
      <c r="IWL48" s="24"/>
      <c r="IWM48" s="24"/>
      <c r="IWN48" s="24"/>
      <c r="IWO48" s="24"/>
      <c r="IWP48" s="24"/>
      <c r="IWQ48" s="24"/>
      <c r="IWR48" s="24"/>
      <c r="IWS48" s="24"/>
      <c r="IWT48" s="24"/>
      <c r="IWU48" s="24"/>
      <c r="IWV48" s="24"/>
      <c r="IWW48" s="24"/>
      <c r="IWX48" s="24"/>
      <c r="IWY48" s="24"/>
      <c r="IWZ48" s="24"/>
      <c r="IXA48" s="24"/>
      <c r="IXB48" s="24"/>
      <c r="IXC48" s="24"/>
      <c r="IXD48" s="24"/>
      <c r="IXE48" s="24"/>
      <c r="IXF48" s="24"/>
      <c r="IXG48" s="24"/>
      <c r="IXH48" s="24"/>
      <c r="IXI48" s="24"/>
      <c r="IXJ48" s="24"/>
      <c r="IXK48" s="24"/>
      <c r="IXL48" s="24"/>
      <c r="IXM48" s="24"/>
      <c r="IXN48" s="24"/>
      <c r="IXO48" s="24"/>
      <c r="IXP48" s="24"/>
      <c r="IXQ48" s="24"/>
      <c r="IXR48" s="24"/>
      <c r="IXS48" s="24"/>
      <c r="IXT48" s="24"/>
      <c r="IXU48" s="24"/>
      <c r="IXV48" s="24"/>
      <c r="IXW48" s="24"/>
      <c r="IXX48" s="24"/>
      <c r="IXY48" s="24"/>
      <c r="IXZ48" s="24"/>
      <c r="IYA48" s="24"/>
      <c r="IYB48" s="24"/>
      <c r="IYC48" s="24"/>
      <c r="IYD48" s="24"/>
      <c r="IYE48" s="24"/>
      <c r="IYF48" s="24"/>
      <c r="IYG48" s="24"/>
      <c r="IYH48" s="24"/>
      <c r="IYI48" s="24"/>
      <c r="IYJ48" s="24"/>
      <c r="IYK48" s="24"/>
      <c r="IYL48" s="24"/>
      <c r="IYM48" s="24"/>
      <c r="IYN48" s="24"/>
      <c r="IYO48" s="24"/>
      <c r="IYP48" s="24"/>
      <c r="IYQ48" s="24"/>
      <c r="IYR48" s="24"/>
      <c r="IYS48" s="24"/>
      <c r="IYT48" s="24"/>
      <c r="IYU48" s="24"/>
      <c r="IYV48" s="24"/>
      <c r="IYW48" s="24"/>
      <c r="IYX48" s="24"/>
      <c r="IYY48" s="24"/>
      <c r="IYZ48" s="24"/>
      <c r="IZA48" s="24"/>
      <c r="IZB48" s="24"/>
      <c r="IZC48" s="24"/>
      <c r="IZD48" s="24"/>
      <c r="IZE48" s="24"/>
      <c r="IZF48" s="24"/>
      <c r="IZG48" s="24"/>
      <c r="IZH48" s="24"/>
      <c r="IZI48" s="24"/>
      <c r="IZJ48" s="24"/>
      <c r="IZK48" s="24"/>
      <c r="IZL48" s="24"/>
      <c r="IZM48" s="24"/>
      <c r="IZN48" s="24"/>
      <c r="IZO48" s="24"/>
      <c r="IZP48" s="24"/>
      <c r="IZQ48" s="24"/>
      <c r="IZR48" s="24"/>
      <c r="IZS48" s="24"/>
      <c r="IZT48" s="24"/>
      <c r="IZU48" s="24"/>
      <c r="IZV48" s="24"/>
      <c r="IZW48" s="24"/>
      <c r="IZX48" s="24"/>
      <c r="IZY48" s="24"/>
      <c r="IZZ48" s="24"/>
      <c r="JAA48" s="24"/>
      <c r="JAB48" s="24"/>
      <c r="JAC48" s="24"/>
      <c r="JAD48" s="24"/>
      <c r="JAE48" s="24"/>
      <c r="JAF48" s="24"/>
      <c r="JAG48" s="24"/>
      <c r="JAH48" s="24"/>
      <c r="JAI48" s="24"/>
      <c r="JAJ48" s="24"/>
      <c r="JAK48" s="24"/>
      <c r="JAL48" s="24"/>
      <c r="JAM48" s="24"/>
      <c r="JAN48" s="24"/>
      <c r="JAO48" s="24"/>
      <c r="JAP48" s="24"/>
      <c r="JAQ48" s="24"/>
      <c r="JAR48" s="24"/>
      <c r="JAS48" s="24"/>
      <c r="JAT48" s="24"/>
      <c r="JAU48" s="24"/>
      <c r="JAV48" s="24"/>
      <c r="JAW48" s="24"/>
      <c r="JAX48" s="24"/>
      <c r="JAY48" s="24"/>
      <c r="JAZ48" s="24"/>
      <c r="JBA48" s="24"/>
      <c r="JBB48" s="24"/>
      <c r="JBC48" s="24"/>
      <c r="JBD48" s="24"/>
      <c r="JBE48" s="24"/>
      <c r="JBF48" s="24"/>
      <c r="JBG48" s="24"/>
      <c r="JBH48" s="24"/>
      <c r="JBI48" s="24"/>
      <c r="JBJ48" s="24"/>
      <c r="JBK48" s="24"/>
      <c r="JBL48" s="24"/>
      <c r="JBM48" s="24"/>
      <c r="JBN48" s="24"/>
      <c r="JBO48" s="24"/>
      <c r="JBP48" s="24"/>
      <c r="JBQ48" s="24"/>
      <c r="JBR48" s="24"/>
      <c r="JBS48" s="24"/>
      <c r="JBT48" s="24"/>
      <c r="JBU48" s="24"/>
      <c r="JBV48" s="24"/>
      <c r="JBW48" s="24"/>
      <c r="JBX48" s="24"/>
      <c r="JBY48" s="24"/>
      <c r="JBZ48" s="24"/>
      <c r="JCA48" s="24"/>
      <c r="JCB48" s="24"/>
      <c r="JCC48" s="24"/>
      <c r="JCD48" s="24"/>
      <c r="JCE48" s="24"/>
      <c r="JCF48" s="24"/>
      <c r="JCG48" s="24"/>
      <c r="JCH48" s="24"/>
      <c r="JCI48" s="24"/>
      <c r="JCJ48" s="24"/>
      <c r="JCK48" s="24"/>
      <c r="JCL48" s="24"/>
      <c r="JCM48" s="24"/>
      <c r="JCN48" s="24"/>
      <c r="JCO48" s="24"/>
      <c r="JCP48" s="24"/>
      <c r="JCQ48" s="24"/>
      <c r="JCR48" s="24"/>
      <c r="JCS48" s="24"/>
      <c r="JCT48" s="24"/>
      <c r="JCU48" s="24"/>
      <c r="JCV48" s="24"/>
      <c r="JCW48" s="24"/>
      <c r="JCX48" s="24"/>
      <c r="JCY48" s="24"/>
      <c r="JCZ48" s="24"/>
      <c r="JDA48" s="24"/>
      <c r="JDB48" s="24"/>
      <c r="JDC48" s="24"/>
      <c r="JDD48" s="24"/>
      <c r="JDE48" s="24"/>
      <c r="JDF48" s="24"/>
      <c r="JDG48" s="24"/>
      <c r="JDH48" s="24"/>
      <c r="JDI48" s="24"/>
      <c r="JDJ48" s="24"/>
      <c r="JDK48" s="24"/>
      <c r="JDL48" s="24"/>
      <c r="JDM48" s="24"/>
      <c r="JDN48" s="24"/>
      <c r="JDO48" s="24"/>
      <c r="JDP48" s="24"/>
      <c r="JDQ48" s="24"/>
      <c r="JDR48" s="24"/>
      <c r="JDS48" s="24"/>
      <c r="JDT48" s="24"/>
      <c r="JDU48" s="24"/>
      <c r="JDV48" s="24"/>
      <c r="JDW48" s="24"/>
      <c r="JDX48" s="24"/>
      <c r="JDY48" s="24"/>
      <c r="JDZ48" s="24"/>
      <c r="JEA48" s="24"/>
      <c r="JEB48" s="24"/>
      <c r="JEC48" s="24"/>
      <c r="JED48" s="24"/>
      <c r="JEE48" s="24"/>
      <c r="JEF48" s="24"/>
      <c r="JEG48" s="24"/>
      <c r="JEH48" s="24"/>
      <c r="JEI48" s="24"/>
      <c r="JEJ48" s="24"/>
      <c r="JEK48" s="24"/>
      <c r="JEL48" s="24"/>
      <c r="JEM48" s="24"/>
      <c r="JEN48" s="24"/>
      <c r="JEO48" s="24"/>
      <c r="JEP48" s="24"/>
      <c r="JEQ48" s="24"/>
      <c r="JER48" s="24"/>
      <c r="JES48" s="24"/>
      <c r="JET48" s="24"/>
      <c r="JEU48" s="24"/>
      <c r="JEV48" s="24"/>
      <c r="JEW48" s="24"/>
      <c r="JEX48" s="24"/>
      <c r="JEY48" s="24"/>
      <c r="JEZ48" s="24"/>
      <c r="JFA48" s="24"/>
      <c r="JFB48" s="24"/>
      <c r="JFC48" s="24"/>
      <c r="JFD48" s="24"/>
      <c r="JFE48" s="24"/>
      <c r="JFF48" s="24"/>
      <c r="JFG48" s="24"/>
      <c r="JFH48" s="24"/>
      <c r="JFI48" s="24"/>
      <c r="JFJ48" s="24"/>
      <c r="JFK48" s="24"/>
      <c r="JFL48" s="24"/>
      <c r="JFM48" s="24"/>
      <c r="JFN48" s="24"/>
      <c r="JFO48" s="24"/>
      <c r="JFP48" s="24"/>
      <c r="JFQ48" s="24"/>
      <c r="JFR48" s="24"/>
      <c r="JFS48" s="24"/>
      <c r="JFT48" s="24"/>
      <c r="JFU48" s="24"/>
      <c r="JFV48" s="24"/>
      <c r="JFW48" s="24"/>
      <c r="JFX48" s="24"/>
      <c r="JFY48" s="24"/>
      <c r="JFZ48" s="24"/>
      <c r="JGA48" s="24"/>
      <c r="JGB48" s="24"/>
      <c r="JGC48" s="24"/>
      <c r="JGD48" s="24"/>
      <c r="JGE48" s="24"/>
      <c r="JGF48" s="24"/>
      <c r="JGG48" s="24"/>
      <c r="JGH48" s="24"/>
      <c r="JGI48" s="24"/>
      <c r="JGJ48" s="24"/>
      <c r="JGK48" s="24"/>
      <c r="JGL48" s="24"/>
      <c r="JGM48" s="24"/>
      <c r="JGN48" s="24"/>
      <c r="JGO48" s="24"/>
      <c r="JGP48" s="24"/>
      <c r="JGQ48" s="24"/>
      <c r="JGR48" s="24"/>
      <c r="JGS48" s="24"/>
      <c r="JGT48" s="24"/>
      <c r="JGU48" s="24"/>
      <c r="JGV48" s="24"/>
      <c r="JGW48" s="24"/>
      <c r="JGX48" s="24"/>
      <c r="JGY48" s="24"/>
      <c r="JGZ48" s="24"/>
      <c r="JHA48" s="24"/>
      <c r="JHB48" s="24"/>
      <c r="JHC48" s="24"/>
      <c r="JHD48" s="24"/>
      <c r="JHE48" s="24"/>
      <c r="JHF48" s="24"/>
      <c r="JHG48" s="24"/>
      <c r="JHH48" s="24"/>
      <c r="JHI48" s="24"/>
      <c r="JHJ48" s="24"/>
      <c r="JHK48" s="24"/>
      <c r="JHL48" s="24"/>
      <c r="JHM48" s="24"/>
      <c r="JHN48" s="24"/>
      <c r="JHO48" s="24"/>
      <c r="JHP48" s="24"/>
      <c r="JHQ48" s="24"/>
      <c r="JHR48" s="24"/>
      <c r="JHS48" s="24"/>
      <c r="JHT48" s="24"/>
      <c r="JHU48" s="24"/>
      <c r="JHV48" s="24"/>
      <c r="JHW48" s="24"/>
      <c r="JHX48" s="24"/>
      <c r="JHY48" s="24"/>
      <c r="JHZ48" s="24"/>
      <c r="JIA48" s="24"/>
      <c r="JIB48" s="24"/>
      <c r="JIC48" s="24"/>
      <c r="JID48" s="24"/>
      <c r="JIE48" s="24"/>
      <c r="JIF48" s="24"/>
      <c r="JIG48" s="24"/>
      <c r="JIH48" s="24"/>
      <c r="JII48" s="24"/>
      <c r="JIJ48" s="24"/>
      <c r="JIK48" s="24"/>
      <c r="JIL48" s="24"/>
      <c r="JIM48" s="24"/>
      <c r="JIN48" s="24"/>
      <c r="JIO48" s="24"/>
      <c r="JIP48" s="24"/>
      <c r="JIQ48" s="24"/>
      <c r="JIR48" s="24"/>
      <c r="JIS48" s="24"/>
      <c r="JIT48" s="24"/>
      <c r="JIU48" s="24"/>
      <c r="JIV48" s="24"/>
      <c r="JIW48" s="24"/>
      <c r="JIX48" s="24"/>
      <c r="JIY48" s="24"/>
      <c r="JIZ48" s="24"/>
      <c r="JJA48" s="24"/>
      <c r="JJB48" s="24"/>
      <c r="JJC48" s="24"/>
      <c r="JJD48" s="24"/>
      <c r="JJE48" s="24"/>
      <c r="JJF48" s="24"/>
      <c r="JJG48" s="24"/>
      <c r="JJH48" s="24"/>
      <c r="JJI48" s="24"/>
      <c r="JJJ48" s="24"/>
      <c r="JJK48" s="24"/>
      <c r="JJL48" s="24"/>
      <c r="JJM48" s="24"/>
      <c r="JJN48" s="24"/>
      <c r="JJO48" s="24"/>
      <c r="JJP48" s="24"/>
      <c r="JJQ48" s="24"/>
      <c r="JJR48" s="24"/>
      <c r="JJS48" s="24"/>
      <c r="JJT48" s="24"/>
      <c r="JJU48" s="24"/>
      <c r="JJV48" s="24"/>
      <c r="JJW48" s="24"/>
      <c r="JJX48" s="24"/>
      <c r="JJY48" s="24"/>
      <c r="JJZ48" s="24"/>
      <c r="JKA48" s="24"/>
      <c r="JKB48" s="24"/>
      <c r="JKC48" s="24"/>
      <c r="JKD48" s="24"/>
      <c r="JKE48" s="24"/>
      <c r="JKF48" s="24"/>
      <c r="JKG48" s="24"/>
      <c r="JKH48" s="24"/>
      <c r="JKI48" s="24"/>
      <c r="JKJ48" s="24"/>
      <c r="JKK48" s="24"/>
      <c r="JKL48" s="24"/>
      <c r="JKM48" s="24"/>
      <c r="JKN48" s="24"/>
      <c r="JKO48" s="24"/>
      <c r="JKP48" s="24"/>
      <c r="JKQ48" s="24"/>
      <c r="JKR48" s="24"/>
      <c r="JKS48" s="24"/>
      <c r="JKT48" s="24"/>
      <c r="JKU48" s="24"/>
      <c r="JKV48" s="24"/>
      <c r="JKW48" s="24"/>
      <c r="JKX48" s="24"/>
      <c r="JKY48" s="24"/>
      <c r="JKZ48" s="24"/>
      <c r="JLA48" s="24"/>
      <c r="JLB48" s="24"/>
      <c r="JLC48" s="24"/>
      <c r="JLD48" s="24"/>
      <c r="JLE48" s="24"/>
      <c r="JLF48" s="24"/>
      <c r="JLG48" s="24"/>
      <c r="JLH48" s="24"/>
      <c r="JLI48" s="24"/>
      <c r="JLJ48" s="24"/>
      <c r="JLK48" s="24"/>
      <c r="JLL48" s="24"/>
      <c r="JLM48" s="24"/>
      <c r="JLN48" s="24"/>
      <c r="JLO48" s="24"/>
      <c r="JLP48" s="24"/>
      <c r="JLQ48" s="24"/>
      <c r="JLR48" s="24"/>
      <c r="JLS48" s="24"/>
      <c r="JLT48" s="24"/>
      <c r="JLU48" s="24"/>
      <c r="JLV48" s="24"/>
      <c r="JLW48" s="24"/>
      <c r="JLX48" s="24"/>
      <c r="JLY48" s="24"/>
      <c r="JLZ48" s="24"/>
      <c r="JMA48" s="24"/>
      <c r="JMB48" s="24"/>
      <c r="JMC48" s="24"/>
      <c r="JMD48" s="24"/>
      <c r="JME48" s="24"/>
      <c r="JMF48" s="24"/>
      <c r="JMG48" s="24"/>
      <c r="JMH48" s="24"/>
      <c r="JMI48" s="24"/>
      <c r="JMJ48" s="24"/>
      <c r="JMK48" s="24"/>
      <c r="JML48" s="24"/>
      <c r="JMM48" s="24"/>
      <c r="JMN48" s="24"/>
      <c r="JMO48" s="24"/>
      <c r="JMP48" s="24"/>
      <c r="JMQ48" s="24"/>
      <c r="JMR48" s="24"/>
      <c r="JMS48" s="24"/>
      <c r="JMT48" s="24"/>
      <c r="JMU48" s="24"/>
      <c r="JMV48" s="24"/>
      <c r="JMW48" s="24"/>
      <c r="JMX48" s="24"/>
      <c r="JMY48" s="24"/>
      <c r="JMZ48" s="24"/>
      <c r="JNA48" s="24"/>
      <c r="JNB48" s="24"/>
      <c r="JNC48" s="24"/>
      <c r="JND48" s="24"/>
      <c r="JNE48" s="24"/>
      <c r="JNF48" s="24"/>
      <c r="JNG48" s="24"/>
      <c r="JNH48" s="24"/>
      <c r="JNI48" s="24"/>
      <c r="JNJ48" s="24"/>
      <c r="JNK48" s="24"/>
      <c r="JNL48" s="24"/>
      <c r="JNM48" s="24"/>
      <c r="JNN48" s="24"/>
      <c r="JNO48" s="24"/>
      <c r="JNP48" s="24"/>
      <c r="JNQ48" s="24"/>
      <c r="JNR48" s="24"/>
      <c r="JNS48" s="24"/>
      <c r="JNT48" s="24"/>
      <c r="JNU48" s="24"/>
      <c r="JNV48" s="24"/>
      <c r="JNW48" s="24"/>
      <c r="JNX48" s="24"/>
      <c r="JNY48" s="24"/>
      <c r="JNZ48" s="24"/>
      <c r="JOA48" s="24"/>
      <c r="JOB48" s="24"/>
      <c r="JOC48" s="24"/>
      <c r="JOD48" s="24"/>
      <c r="JOE48" s="24"/>
      <c r="JOF48" s="24"/>
      <c r="JOG48" s="24"/>
      <c r="JOH48" s="24"/>
      <c r="JOI48" s="24"/>
      <c r="JOJ48" s="24"/>
      <c r="JOK48" s="24"/>
      <c r="JOL48" s="24"/>
      <c r="JOM48" s="24"/>
      <c r="JON48" s="24"/>
      <c r="JOO48" s="24"/>
      <c r="JOP48" s="24"/>
      <c r="JOQ48" s="24"/>
      <c r="JOR48" s="24"/>
      <c r="JOS48" s="24"/>
      <c r="JOT48" s="24"/>
      <c r="JOU48" s="24"/>
      <c r="JOV48" s="24"/>
      <c r="JOW48" s="24"/>
      <c r="JOX48" s="24"/>
      <c r="JOY48" s="24"/>
      <c r="JOZ48" s="24"/>
      <c r="JPA48" s="24"/>
      <c r="JPB48" s="24"/>
      <c r="JPC48" s="24"/>
      <c r="JPD48" s="24"/>
      <c r="JPE48" s="24"/>
      <c r="JPF48" s="24"/>
      <c r="JPG48" s="24"/>
      <c r="JPH48" s="24"/>
      <c r="JPI48" s="24"/>
      <c r="JPJ48" s="24"/>
      <c r="JPK48" s="24"/>
      <c r="JPL48" s="24"/>
      <c r="JPM48" s="24"/>
      <c r="JPN48" s="24"/>
      <c r="JPO48" s="24"/>
      <c r="JPP48" s="24"/>
      <c r="JPQ48" s="24"/>
      <c r="JPR48" s="24"/>
      <c r="JPS48" s="24"/>
      <c r="JPT48" s="24"/>
      <c r="JPU48" s="24"/>
      <c r="JPV48" s="24"/>
      <c r="JPW48" s="24"/>
      <c r="JPX48" s="24"/>
      <c r="JPY48" s="24"/>
      <c r="JPZ48" s="24"/>
      <c r="JQA48" s="24"/>
      <c r="JQB48" s="24"/>
      <c r="JQC48" s="24"/>
      <c r="JQD48" s="24"/>
      <c r="JQE48" s="24"/>
      <c r="JQF48" s="24"/>
      <c r="JQG48" s="24"/>
      <c r="JQH48" s="24"/>
      <c r="JQI48" s="24"/>
      <c r="JQJ48" s="24"/>
      <c r="JQK48" s="24"/>
      <c r="JQL48" s="24"/>
      <c r="JQM48" s="24"/>
      <c r="JQN48" s="24"/>
      <c r="JQO48" s="24"/>
      <c r="JQP48" s="24"/>
      <c r="JQQ48" s="24"/>
      <c r="JQR48" s="24"/>
      <c r="JQS48" s="24"/>
      <c r="JQT48" s="24"/>
      <c r="JQU48" s="24"/>
      <c r="JQV48" s="24"/>
      <c r="JQW48" s="24"/>
      <c r="JQX48" s="24"/>
      <c r="JQY48" s="24"/>
      <c r="JQZ48" s="24"/>
      <c r="JRA48" s="24"/>
      <c r="JRB48" s="24"/>
      <c r="JRC48" s="24"/>
      <c r="JRD48" s="24"/>
      <c r="JRE48" s="24"/>
      <c r="JRF48" s="24"/>
      <c r="JRG48" s="24"/>
      <c r="JRH48" s="24"/>
      <c r="JRI48" s="24"/>
      <c r="JRJ48" s="24"/>
      <c r="JRK48" s="24"/>
      <c r="JRL48" s="24"/>
      <c r="JRM48" s="24"/>
      <c r="JRN48" s="24"/>
      <c r="JRO48" s="24"/>
      <c r="JRP48" s="24"/>
      <c r="JRQ48" s="24"/>
      <c r="JRR48" s="24"/>
      <c r="JRS48" s="24"/>
      <c r="JRT48" s="24"/>
      <c r="JRU48" s="24"/>
      <c r="JRV48" s="24"/>
      <c r="JRW48" s="24"/>
      <c r="JRX48" s="24"/>
      <c r="JRY48" s="24"/>
      <c r="JRZ48" s="24"/>
      <c r="JSA48" s="24"/>
      <c r="JSB48" s="24"/>
      <c r="JSC48" s="24"/>
      <c r="JSD48" s="24"/>
      <c r="JSE48" s="24"/>
      <c r="JSF48" s="24"/>
      <c r="JSG48" s="24"/>
      <c r="JSH48" s="24"/>
      <c r="JSI48" s="24"/>
      <c r="JSJ48" s="24"/>
      <c r="JSK48" s="24"/>
      <c r="JSL48" s="24"/>
      <c r="JSM48" s="24"/>
      <c r="JSN48" s="24"/>
      <c r="JSO48" s="24"/>
      <c r="JSP48" s="24"/>
      <c r="JSQ48" s="24"/>
      <c r="JSR48" s="24"/>
      <c r="JSS48" s="24"/>
      <c r="JST48" s="24"/>
      <c r="JSU48" s="24"/>
      <c r="JSV48" s="24"/>
      <c r="JSW48" s="24"/>
      <c r="JSX48" s="24"/>
      <c r="JSY48" s="24"/>
      <c r="JSZ48" s="24"/>
      <c r="JTA48" s="24"/>
      <c r="JTB48" s="24"/>
      <c r="JTC48" s="24"/>
      <c r="JTD48" s="24"/>
      <c r="JTE48" s="24"/>
      <c r="JTF48" s="24"/>
      <c r="JTG48" s="24"/>
      <c r="JTH48" s="24"/>
      <c r="JTI48" s="24"/>
      <c r="JTJ48" s="24"/>
      <c r="JTK48" s="24"/>
      <c r="JTL48" s="24"/>
      <c r="JTM48" s="24"/>
      <c r="JTN48" s="24"/>
      <c r="JTO48" s="24"/>
      <c r="JTP48" s="24"/>
      <c r="JTQ48" s="24"/>
      <c r="JTR48" s="24"/>
      <c r="JTS48" s="24"/>
      <c r="JTT48" s="24"/>
      <c r="JTU48" s="24"/>
      <c r="JTV48" s="24"/>
      <c r="JTW48" s="24"/>
      <c r="JTX48" s="24"/>
      <c r="JTY48" s="24"/>
      <c r="JTZ48" s="24"/>
      <c r="JUA48" s="24"/>
      <c r="JUB48" s="24"/>
      <c r="JUC48" s="24"/>
      <c r="JUD48" s="24"/>
      <c r="JUE48" s="24"/>
      <c r="JUF48" s="24"/>
      <c r="JUG48" s="24"/>
      <c r="JUH48" s="24"/>
      <c r="JUI48" s="24"/>
      <c r="JUJ48" s="24"/>
      <c r="JUK48" s="24"/>
      <c r="JUL48" s="24"/>
      <c r="JUM48" s="24"/>
      <c r="JUN48" s="24"/>
      <c r="JUO48" s="24"/>
      <c r="JUP48" s="24"/>
      <c r="JUQ48" s="24"/>
      <c r="JUR48" s="24"/>
      <c r="JUS48" s="24"/>
      <c r="JUT48" s="24"/>
      <c r="JUU48" s="24"/>
      <c r="JUV48" s="24"/>
      <c r="JUW48" s="24"/>
      <c r="JUX48" s="24"/>
      <c r="JUY48" s="24"/>
      <c r="JUZ48" s="24"/>
      <c r="JVA48" s="24"/>
      <c r="JVB48" s="24"/>
      <c r="JVC48" s="24"/>
      <c r="JVD48" s="24"/>
      <c r="JVE48" s="24"/>
      <c r="JVF48" s="24"/>
      <c r="JVG48" s="24"/>
      <c r="JVH48" s="24"/>
      <c r="JVI48" s="24"/>
      <c r="JVJ48" s="24"/>
      <c r="JVK48" s="24"/>
      <c r="JVL48" s="24"/>
      <c r="JVM48" s="24"/>
      <c r="JVN48" s="24"/>
      <c r="JVO48" s="24"/>
      <c r="JVP48" s="24"/>
      <c r="JVQ48" s="24"/>
      <c r="JVR48" s="24"/>
      <c r="JVS48" s="24"/>
      <c r="JVT48" s="24"/>
      <c r="JVU48" s="24"/>
      <c r="JVV48" s="24"/>
      <c r="JVW48" s="24"/>
      <c r="JVX48" s="24"/>
      <c r="JVY48" s="24"/>
      <c r="JVZ48" s="24"/>
      <c r="JWA48" s="24"/>
      <c r="JWB48" s="24"/>
      <c r="JWC48" s="24"/>
      <c r="JWD48" s="24"/>
      <c r="JWE48" s="24"/>
      <c r="JWF48" s="24"/>
      <c r="JWG48" s="24"/>
      <c r="JWH48" s="24"/>
      <c r="JWI48" s="24"/>
      <c r="JWJ48" s="24"/>
      <c r="JWK48" s="24"/>
      <c r="JWL48" s="24"/>
      <c r="JWM48" s="24"/>
      <c r="JWN48" s="24"/>
      <c r="JWO48" s="24"/>
      <c r="JWP48" s="24"/>
      <c r="JWQ48" s="24"/>
      <c r="JWR48" s="24"/>
      <c r="JWS48" s="24"/>
      <c r="JWT48" s="24"/>
      <c r="JWU48" s="24"/>
      <c r="JWV48" s="24"/>
      <c r="JWW48" s="24"/>
      <c r="JWX48" s="24"/>
      <c r="JWY48" s="24"/>
      <c r="JWZ48" s="24"/>
      <c r="JXA48" s="24"/>
      <c r="JXB48" s="24"/>
      <c r="JXC48" s="24"/>
      <c r="JXD48" s="24"/>
      <c r="JXE48" s="24"/>
      <c r="JXF48" s="24"/>
      <c r="JXG48" s="24"/>
      <c r="JXH48" s="24"/>
      <c r="JXI48" s="24"/>
      <c r="JXJ48" s="24"/>
      <c r="JXK48" s="24"/>
      <c r="JXL48" s="24"/>
      <c r="JXM48" s="24"/>
      <c r="JXN48" s="24"/>
      <c r="JXO48" s="24"/>
      <c r="JXP48" s="24"/>
      <c r="JXQ48" s="24"/>
      <c r="JXR48" s="24"/>
      <c r="JXS48" s="24"/>
      <c r="JXT48" s="24"/>
      <c r="JXU48" s="24"/>
      <c r="JXV48" s="24"/>
      <c r="JXW48" s="24"/>
      <c r="JXX48" s="24"/>
      <c r="JXY48" s="24"/>
      <c r="JXZ48" s="24"/>
      <c r="JYA48" s="24"/>
      <c r="JYB48" s="24"/>
      <c r="JYC48" s="24"/>
      <c r="JYD48" s="24"/>
      <c r="JYE48" s="24"/>
      <c r="JYF48" s="24"/>
      <c r="JYG48" s="24"/>
      <c r="JYH48" s="24"/>
      <c r="JYI48" s="24"/>
      <c r="JYJ48" s="24"/>
      <c r="JYK48" s="24"/>
      <c r="JYL48" s="24"/>
      <c r="JYM48" s="24"/>
      <c r="JYN48" s="24"/>
      <c r="JYO48" s="24"/>
      <c r="JYP48" s="24"/>
      <c r="JYQ48" s="24"/>
      <c r="JYR48" s="24"/>
      <c r="JYS48" s="24"/>
      <c r="JYT48" s="24"/>
      <c r="JYU48" s="24"/>
      <c r="JYV48" s="24"/>
      <c r="JYW48" s="24"/>
      <c r="JYX48" s="24"/>
      <c r="JYY48" s="24"/>
      <c r="JYZ48" s="24"/>
      <c r="JZA48" s="24"/>
      <c r="JZB48" s="24"/>
      <c r="JZC48" s="24"/>
      <c r="JZD48" s="24"/>
      <c r="JZE48" s="24"/>
      <c r="JZF48" s="24"/>
      <c r="JZG48" s="24"/>
      <c r="JZH48" s="24"/>
      <c r="JZI48" s="24"/>
      <c r="JZJ48" s="24"/>
      <c r="JZK48" s="24"/>
      <c r="JZL48" s="24"/>
      <c r="JZM48" s="24"/>
      <c r="JZN48" s="24"/>
      <c r="JZO48" s="24"/>
      <c r="JZP48" s="24"/>
      <c r="JZQ48" s="24"/>
      <c r="JZR48" s="24"/>
      <c r="JZS48" s="24"/>
      <c r="JZT48" s="24"/>
      <c r="JZU48" s="24"/>
      <c r="JZV48" s="24"/>
      <c r="JZW48" s="24"/>
      <c r="JZX48" s="24"/>
      <c r="JZY48" s="24"/>
      <c r="JZZ48" s="24"/>
      <c r="KAA48" s="24"/>
      <c r="KAB48" s="24"/>
      <c r="KAC48" s="24"/>
      <c r="KAD48" s="24"/>
      <c r="KAE48" s="24"/>
      <c r="KAF48" s="24"/>
      <c r="KAG48" s="24"/>
      <c r="KAH48" s="24"/>
      <c r="KAI48" s="24"/>
      <c r="KAJ48" s="24"/>
      <c r="KAK48" s="24"/>
      <c r="KAL48" s="24"/>
      <c r="KAM48" s="24"/>
      <c r="KAN48" s="24"/>
      <c r="KAO48" s="24"/>
      <c r="KAP48" s="24"/>
      <c r="KAQ48" s="24"/>
      <c r="KAR48" s="24"/>
      <c r="KAS48" s="24"/>
      <c r="KAT48" s="24"/>
      <c r="KAU48" s="24"/>
      <c r="KAV48" s="24"/>
      <c r="KAW48" s="24"/>
      <c r="KAX48" s="24"/>
      <c r="KAY48" s="24"/>
      <c r="KAZ48" s="24"/>
      <c r="KBA48" s="24"/>
      <c r="KBB48" s="24"/>
      <c r="KBC48" s="24"/>
      <c r="KBD48" s="24"/>
      <c r="KBE48" s="24"/>
      <c r="KBF48" s="24"/>
      <c r="KBG48" s="24"/>
      <c r="KBH48" s="24"/>
      <c r="KBI48" s="24"/>
      <c r="KBJ48" s="24"/>
      <c r="KBK48" s="24"/>
      <c r="KBL48" s="24"/>
      <c r="KBM48" s="24"/>
      <c r="KBN48" s="24"/>
      <c r="KBO48" s="24"/>
      <c r="KBP48" s="24"/>
      <c r="KBQ48" s="24"/>
      <c r="KBR48" s="24"/>
      <c r="KBS48" s="24"/>
      <c r="KBT48" s="24"/>
      <c r="KBU48" s="24"/>
      <c r="KBV48" s="24"/>
      <c r="KBW48" s="24"/>
      <c r="KBX48" s="24"/>
      <c r="KBY48" s="24"/>
      <c r="KBZ48" s="24"/>
      <c r="KCA48" s="24"/>
      <c r="KCB48" s="24"/>
      <c r="KCC48" s="24"/>
      <c r="KCD48" s="24"/>
      <c r="KCE48" s="24"/>
      <c r="KCF48" s="24"/>
      <c r="KCG48" s="24"/>
      <c r="KCH48" s="24"/>
      <c r="KCI48" s="24"/>
      <c r="KCJ48" s="24"/>
      <c r="KCK48" s="24"/>
      <c r="KCL48" s="24"/>
      <c r="KCM48" s="24"/>
      <c r="KCN48" s="24"/>
      <c r="KCO48" s="24"/>
      <c r="KCP48" s="24"/>
      <c r="KCQ48" s="24"/>
      <c r="KCR48" s="24"/>
      <c r="KCS48" s="24"/>
      <c r="KCT48" s="24"/>
      <c r="KCU48" s="24"/>
      <c r="KCV48" s="24"/>
      <c r="KCW48" s="24"/>
      <c r="KCX48" s="24"/>
      <c r="KCY48" s="24"/>
      <c r="KCZ48" s="24"/>
      <c r="KDA48" s="24"/>
      <c r="KDB48" s="24"/>
      <c r="KDC48" s="24"/>
      <c r="KDD48" s="24"/>
      <c r="KDE48" s="24"/>
      <c r="KDF48" s="24"/>
      <c r="KDG48" s="24"/>
      <c r="KDH48" s="24"/>
      <c r="KDI48" s="24"/>
      <c r="KDJ48" s="24"/>
      <c r="KDK48" s="24"/>
      <c r="KDL48" s="24"/>
      <c r="KDM48" s="24"/>
      <c r="KDN48" s="24"/>
      <c r="KDO48" s="24"/>
      <c r="KDP48" s="24"/>
      <c r="KDQ48" s="24"/>
      <c r="KDR48" s="24"/>
      <c r="KDS48" s="24"/>
      <c r="KDT48" s="24"/>
      <c r="KDU48" s="24"/>
      <c r="KDV48" s="24"/>
      <c r="KDW48" s="24"/>
      <c r="KDX48" s="24"/>
      <c r="KDY48" s="24"/>
      <c r="KDZ48" s="24"/>
      <c r="KEA48" s="24"/>
      <c r="KEB48" s="24"/>
      <c r="KEC48" s="24"/>
      <c r="KED48" s="24"/>
      <c r="KEE48" s="24"/>
      <c r="KEF48" s="24"/>
      <c r="KEG48" s="24"/>
      <c r="KEH48" s="24"/>
      <c r="KEI48" s="24"/>
      <c r="KEJ48" s="24"/>
      <c r="KEK48" s="24"/>
      <c r="KEL48" s="24"/>
      <c r="KEM48" s="24"/>
      <c r="KEN48" s="24"/>
      <c r="KEO48" s="24"/>
      <c r="KEP48" s="24"/>
      <c r="KEQ48" s="24"/>
      <c r="KER48" s="24"/>
      <c r="KES48" s="24"/>
      <c r="KET48" s="24"/>
      <c r="KEU48" s="24"/>
      <c r="KEV48" s="24"/>
      <c r="KEW48" s="24"/>
      <c r="KEX48" s="24"/>
      <c r="KEY48" s="24"/>
      <c r="KEZ48" s="24"/>
      <c r="KFA48" s="24"/>
      <c r="KFB48" s="24"/>
      <c r="KFC48" s="24"/>
      <c r="KFD48" s="24"/>
      <c r="KFE48" s="24"/>
      <c r="KFF48" s="24"/>
      <c r="KFG48" s="24"/>
      <c r="KFH48" s="24"/>
      <c r="KFI48" s="24"/>
      <c r="KFJ48" s="24"/>
      <c r="KFK48" s="24"/>
      <c r="KFL48" s="24"/>
      <c r="KFM48" s="24"/>
      <c r="KFN48" s="24"/>
      <c r="KFO48" s="24"/>
      <c r="KFP48" s="24"/>
      <c r="KFQ48" s="24"/>
      <c r="KFR48" s="24"/>
      <c r="KFS48" s="24"/>
      <c r="KFT48" s="24"/>
      <c r="KFU48" s="24"/>
      <c r="KFV48" s="24"/>
      <c r="KFW48" s="24"/>
      <c r="KFX48" s="24"/>
      <c r="KFY48" s="24"/>
      <c r="KFZ48" s="24"/>
      <c r="KGA48" s="24"/>
      <c r="KGB48" s="24"/>
      <c r="KGC48" s="24"/>
      <c r="KGD48" s="24"/>
      <c r="KGE48" s="24"/>
      <c r="KGF48" s="24"/>
      <c r="KGG48" s="24"/>
      <c r="KGH48" s="24"/>
      <c r="KGI48" s="24"/>
      <c r="KGJ48" s="24"/>
      <c r="KGK48" s="24"/>
      <c r="KGL48" s="24"/>
      <c r="KGM48" s="24"/>
      <c r="KGN48" s="24"/>
      <c r="KGO48" s="24"/>
      <c r="KGP48" s="24"/>
      <c r="KGQ48" s="24"/>
      <c r="KGR48" s="24"/>
      <c r="KGS48" s="24"/>
      <c r="KGT48" s="24"/>
      <c r="KGU48" s="24"/>
      <c r="KGV48" s="24"/>
      <c r="KGW48" s="24"/>
      <c r="KGX48" s="24"/>
      <c r="KGY48" s="24"/>
      <c r="KGZ48" s="24"/>
      <c r="KHA48" s="24"/>
      <c r="KHB48" s="24"/>
      <c r="KHC48" s="24"/>
      <c r="KHD48" s="24"/>
      <c r="KHE48" s="24"/>
      <c r="KHF48" s="24"/>
      <c r="KHG48" s="24"/>
      <c r="KHH48" s="24"/>
      <c r="KHI48" s="24"/>
      <c r="KHJ48" s="24"/>
      <c r="KHK48" s="24"/>
      <c r="KHL48" s="24"/>
      <c r="KHM48" s="24"/>
      <c r="KHN48" s="24"/>
      <c r="KHO48" s="24"/>
      <c r="KHP48" s="24"/>
      <c r="KHQ48" s="24"/>
      <c r="KHR48" s="24"/>
      <c r="KHS48" s="24"/>
      <c r="KHT48" s="24"/>
      <c r="KHU48" s="24"/>
      <c r="KHV48" s="24"/>
      <c r="KHW48" s="24"/>
      <c r="KHX48" s="24"/>
      <c r="KHY48" s="24"/>
      <c r="KHZ48" s="24"/>
      <c r="KIA48" s="24"/>
      <c r="KIB48" s="24"/>
      <c r="KIC48" s="24"/>
      <c r="KID48" s="24"/>
      <c r="KIE48" s="24"/>
      <c r="KIF48" s="24"/>
      <c r="KIG48" s="24"/>
      <c r="KIH48" s="24"/>
      <c r="KII48" s="24"/>
      <c r="KIJ48" s="24"/>
      <c r="KIK48" s="24"/>
      <c r="KIL48" s="24"/>
      <c r="KIM48" s="24"/>
      <c r="KIN48" s="24"/>
      <c r="KIO48" s="24"/>
      <c r="KIP48" s="24"/>
      <c r="KIQ48" s="24"/>
      <c r="KIR48" s="24"/>
      <c r="KIS48" s="24"/>
      <c r="KIT48" s="24"/>
      <c r="KIU48" s="24"/>
      <c r="KIV48" s="24"/>
      <c r="KIW48" s="24"/>
      <c r="KIX48" s="24"/>
      <c r="KIY48" s="24"/>
      <c r="KIZ48" s="24"/>
      <c r="KJA48" s="24"/>
      <c r="KJB48" s="24"/>
      <c r="KJC48" s="24"/>
      <c r="KJD48" s="24"/>
      <c r="KJE48" s="24"/>
      <c r="KJF48" s="24"/>
      <c r="KJG48" s="24"/>
      <c r="KJH48" s="24"/>
      <c r="KJI48" s="24"/>
      <c r="KJJ48" s="24"/>
      <c r="KJK48" s="24"/>
      <c r="KJL48" s="24"/>
      <c r="KJM48" s="24"/>
      <c r="KJN48" s="24"/>
      <c r="KJO48" s="24"/>
      <c r="KJP48" s="24"/>
      <c r="KJQ48" s="24"/>
      <c r="KJR48" s="24"/>
      <c r="KJS48" s="24"/>
      <c r="KJT48" s="24"/>
      <c r="KJU48" s="24"/>
      <c r="KJV48" s="24"/>
      <c r="KJW48" s="24"/>
      <c r="KJX48" s="24"/>
      <c r="KJY48" s="24"/>
      <c r="KJZ48" s="24"/>
      <c r="KKA48" s="24"/>
      <c r="KKB48" s="24"/>
      <c r="KKC48" s="24"/>
      <c r="KKD48" s="24"/>
      <c r="KKE48" s="24"/>
      <c r="KKF48" s="24"/>
      <c r="KKG48" s="24"/>
      <c r="KKH48" s="24"/>
      <c r="KKI48" s="24"/>
      <c r="KKJ48" s="24"/>
      <c r="KKK48" s="24"/>
      <c r="KKL48" s="24"/>
      <c r="KKM48" s="24"/>
      <c r="KKN48" s="24"/>
      <c r="KKO48" s="24"/>
      <c r="KKP48" s="24"/>
      <c r="KKQ48" s="24"/>
      <c r="KKR48" s="24"/>
      <c r="KKS48" s="24"/>
      <c r="KKT48" s="24"/>
      <c r="KKU48" s="24"/>
      <c r="KKV48" s="24"/>
      <c r="KKW48" s="24"/>
      <c r="KKX48" s="24"/>
      <c r="KKY48" s="24"/>
      <c r="KKZ48" s="24"/>
      <c r="KLA48" s="24"/>
      <c r="KLB48" s="24"/>
      <c r="KLC48" s="24"/>
      <c r="KLD48" s="24"/>
      <c r="KLE48" s="24"/>
      <c r="KLF48" s="24"/>
      <c r="KLG48" s="24"/>
      <c r="KLH48" s="24"/>
      <c r="KLI48" s="24"/>
      <c r="KLJ48" s="24"/>
      <c r="KLK48" s="24"/>
      <c r="KLL48" s="24"/>
      <c r="KLM48" s="24"/>
      <c r="KLN48" s="24"/>
      <c r="KLO48" s="24"/>
      <c r="KLP48" s="24"/>
      <c r="KLQ48" s="24"/>
      <c r="KLR48" s="24"/>
      <c r="KLS48" s="24"/>
      <c r="KLT48" s="24"/>
      <c r="KLU48" s="24"/>
      <c r="KLV48" s="24"/>
      <c r="KLW48" s="24"/>
      <c r="KLX48" s="24"/>
      <c r="KLY48" s="24"/>
      <c r="KLZ48" s="24"/>
      <c r="KMA48" s="24"/>
      <c r="KMB48" s="24"/>
      <c r="KMC48" s="24"/>
      <c r="KMD48" s="24"/>
      <c r="KME48" s="24"/>
      <c r="KMF48" s="24"/>
      <c r="KMG48" s="24"/>
      <c r="KMH48" s="24"/>
      <c r="KMI48" s="24"/>
      <c r="KMJ48" s="24"/>
      <c r="KMK48" s="24"/>
      <c r="KML48" s="24"/>
      <c r="KMM48" s="24"/>
      <c r="KMN48" s="24"/>
      <c r="KMO48" s="24"/>
      <c r="KMP48" s="24"/>
      <c r="KMQ48" s="24"/>
      <c r="KMR48" s="24"/>
      <c r="KMS48" s="24"/>
      <c r="KMT48" s="24"/>
      <c r="KMU48" s="24"/>
      <c r="KMV48" s="24"/>
      <c r="KMW48" s="24"/>
      <c r="KMX48" s="24"/>
      <c r="KMY48" s="24"/>
      <c r="KMZ48" s="24"/>
      <c r="KNA48" s="24"/>
      <c r="KNB48" s="24"/>
      <c r="KNC48" s="24"/>
      <c r="KND48" s="24"/>
      <c r="KNE48" s="24"/>
      <c r="KNF48" s="24"/>
      <c r="KNG48" s="24"/>
      <c r="KNH48" s="24"/>
      <c r="KNI48" s="24"/>
      <c r="KNJ48" s="24"/>
      <c r="KNK48" s="24"/>
      <c r="KNL48" s="24"/>
      <c r="KNM48" s="24"/>
      <c r="KNN48" s="24"/>
      <c r="KNO48" s="24"/>
      <c r="KNP48" s="24"/>
      <c r="KNQ48" s="24"/>
      <c r="KNR48" s="24"/>
      <c r="KNS48" s="24"/>
      <c r="KNT48" s="24"/>
      <c r="KNU48" s="24"/>
      <c r="KNV48" s="24"/>
      <c r="KNW48" s="24"/>
      <c r="KNX48" s="24"/>
      <c r="KNY48" s="24"/>
      <c r="KNZ48" s="24"/>
      <c r="KOA48" s="24"/>
      <c r="KOB48" s="24"/>
      <c r="KOC48" s="24"/>
      <c r="KOD48" s="24"/>
      <c r="KOE48" s="24"/>
      <c r="KOF48" s="24"/>
      <c r="KOG48" s="24"/>
      <c r="KOH48" s="24"/>
      <c r="KOI48" s="24"/>
      <c r="KOJ48" s="24"/>
      <c r="KOK48" s="24"/>
      <c r="KOL48" s="24"/>
      <c r="KOM48" s="24"/>
      <c r="KON48" s="24"/>
      <c r="KOO48" s="24"/>
      <c r="KOP48" s="24"/>
      <c r="KOQ48" s="24"/>
      <c r="KOR48" s="24"/>
      <c r="KOS48" s="24"/>
      <c r="KOT48" s="24"/>
      <c r="KOU48" s="24"/>
      <c r="KOV48" s="24"/>
      <c r="KOW48" s="24"/>
      <c r="KOX48" s="24"/>
      <c r="KOY48" s="24"/>
      <c r="KOZ48" s="24"/>
      <c r="KPA48" s="24"/>
      <c r="KPB48" s="24"/>
      <c r="KPC48" s="24"/>
      <c r="KPD48" s="24"/>
      <c r="KPE48" s="24"/>
      <c r="KPF48" s="24"/>
      <c r="KPG48" s="24"/>
      <c r="KPH48" s="24"/>
      <c r="KPI48" s="24"/>
      <c r="KPJ48" s="24"/>
      <c r="KPK48" s="24"/>
      <c r="KPL48" s="24"/>
      <c r="KPM48" s="24"/>
      <c r="KPN48" s="24"/>
      <c r="KPO48" s="24"/>
      <c r="KPP48" s="24"/>
      <c r="KPQ48" s="24"/>
      <c r="KPR48" s="24"/>
      <c r="KPS48" s="24"/>
      <c r="KPT48" s="24"/>
      <c r="KPU48" s="24"/>
      <c r="KPV48" s="24"/>
      <c r="KPW48" s="24"/>
      <c r="KPX48" s="24"/>
      <c r="KPY48" s="24"/>
      <c r="KPZ48" s="24"/>
      <c r="KQA48" s="24"/>
      <c r="KQB48" s="24"/>
      <c r="KQC48" s="24"/>
      <c r="KQD48" s="24"/>
      <c r="KQE48" s="24"/>
      <c r="KQF48" s="24"/>
      <c r="KQG48" s="24"/>
      <c r="KQH48" s="24"/>
      <c r="KQI48" s="24"/>
      <c r="KQJ48" s="24"/>
      <c r="KQK48" s="24"/>
      <c r="KQL48" s="24"/>
      <c r="KQM48" s="24"/>
      <c r="KQN48" s="24"/>
      <c r="KQO48" s="24"/>
      <c r="KQP48" s="24"/>
      <c r="KQQ48" s="24"/>
      <c r="KQR48" s="24"/>
      <c r="KQS48" s="24"/>
      <c r="KQT48" s="24"/>
      <c r="KQU48" s="24"/>
      <c r="KQV48" s="24"/>
      <c r="KQW48" s="24"/>
      <c r="KQX48" s="24"/>
      <c r="KQY48" s="24"/>
      <c r="KQZ48" s="24"/>
      <c r="KRA48" s="24"/>
      <c r="KRB48" s="24"/>
      <c r="KRC48" s="24"/>
      <c r="KRD48" s="24"/>
      <c r="KRE48" s="24"/>
      <c r="KRF48" s="24"/>
      <c r="KRG48" s="24"/>
      <c r="KRH48" s="24"/>
      <c r="KRI48" s="24"/>
      <c r="KRJ48" s="24"/>
      <c r="KRK48" s="24"/>
      <c r="KRL48" s="24"/>
      <c r="KRM48" s="24"/>
      <c r="KRN48" s="24"/>
      <c r="KRO48" s="24"/>
      <c r="KRP48" s="24"/>
      <c r="KRQ48" s="24"/>
      <c r="KRR48" s="24"/>
      <c r="KRS48" s="24"/>
      <c r="KRT48" s="24"/>
      <c r="KRU48" s="24"/>
      <c r="KRV48" s="24"/>
      <c r="KRW48" s="24"/>
      <c r="KRX48" s="24"/>
      <c r="KRY48" s="24"/>
      <c r="KRZ48" s="24"/>
      <c r="KSA48" s="24"/>
      <c r="KSB48" s="24"/>
      <c r="KSC48" s="24"/>
      <c r="KSD48" s="24"/>
      <c r="KSE48" s="24"/>
      <c r="KSF48" s="24"/>
      <c r="KSG48" s="24"/>
      <c r="KSH48" s="24"/>
      <c r="KSI48" s="24"/>
      <c r="KSJ48" s="24"/>
      <c r="KSK48" s="24"/>
      <c r="KSL48" s="24"/>
      <c r="KSM48" s="24"/>
      <c r="KSN48" s="24"/>
      <c r="KSO48" s="24"/>
      <c r="KSP48" s="24"/>
      <c r="KSQ48" s="24"/>
      <c r="KSR48" s="24"/>
      <c r="KSS48" s="24"/>
      <c r="KST48" s="24"/>
      <c r="KSU48" s="24"/>
      <c r="KSV48" s="24"/>
      <c r="KSW48" s="24"/>
      <c r="KSX48" s="24"/>
      <c r="KSY48" s="24"/>
      <c r="KSZ48" s="24"/>
      <c r="KTA48" s="24"/>
      <c r="KTB48" s="24"/>
      <c r="KTC48" s="24"/>
      <c r="KTD48" s="24"/>
      <c r="KTE48" s="24"/>
      <c r="KTF48" s="24"/>
      <c r="KTG48" s="24"/>
      <c r="KTH48" s="24"/>
      <c r="KTI48" s="24"/>
      <c r="KTJ48" s="24"/>
      <c r="KTK48" s="24"/>
      <c r="KTL48" s="24"/>
      <c r="KTM48" s="24"/>
      <c r="KTN48" s="24"/>
      <c r="KTO48" s="24"/>
      <c r="KTP48" s="24"/>
      <c r="KTQ48" s="24"/>
      <c r="KTR48" s="24"/>
      <c r="KTS48" s="24"/>
      <c r="KTT48" s="24"/>
      <c r="KTU48" s="24"/>
      <c r="KTV48" s="24"/>
      <c r="KTW48" s="24"/>
      <c r="KTX48" s="24"/>
      <c r="KTY48" s="24"/>
      <c r="KTZ48" s="24"/>
      <c r="KUA48" s="24"/>
      <c r="KUB48" s="24"/>
      <c r="KUC48" s="24"/>
      <c r="KUD48" s="24"/>
      <c r="KUE48" s="24"/>
      <c r="KUF48" s="24"/>
      <c r="KUG48" s="24"/>
      <c r="KUH48" s="24"/>
      <c r="KUI48" s="24"/>
      <c r="KUJ48" s="24"/>
      <c r="KUK48" s="24"/>
      <c r="KUL48" s="24"/>
      <c r="KUM48" s="24"/>
      <c r="KUN48" s="24"/>
      <c r="KUO48" s="24"/>
      <c r="KUP48" s="24"/>
      <c r="KUQ48" s="24"/>
      <c r="KUR48" s="24"/>
      <c r="KUS48" s="24"/>
      <c r="KUT48" s="24"/>
      <c r="KUU48" s="24"/>
      <c r="KUV48" s="24"/>
      <c r="KUW48" s="24"/>
      <c r="KUX48" s="24"/>
      <c r="KUY48" s="24"/>
      <c r="KUZ48" s="24"/>
      <c r="KVA48" s="24"/>
      <c r="KVB48" s="24"/>
      <c r="KVC48" s="24"/>
      <c r="KVD48" s="24"/>
      <c r="KVE48" s="24"/>
      <c r="KVF48" s="24"/>
      <c r="KVG48" s="24"/>
      <c r="KVH48" s="24"/>
      <c r="KVI48" s="24"/>
      <c r="KVJ48" s="24"/>
      <c r="KVK48" s="24"/>
      <c r="KVL48" s="24"/>
      <c r="KVM48" s="24"/>
      <c r="KVN48" s="24"/>
      <c r="KVO48" s="24"/>
      <c r="KVP48" s="24"/>
      <c r="KVQ48" s="24"/>
      <c r="KVR48" s="24"/>
      <c r="KVS48" s="24"/>
      <c r="KVT48" s="24"/>
      <c r="KVU48" s="24"/>
      <c r="KVV48" s="24"/>
      <c r="KVW48" s="24"/>
      <c r="KVX48" s="24"/>
      <c r="KVY48" s="24"/>
      <c r="KVZ48" s="24"/>
      <c r="KWA48" s="24"/>
      <c r="KWB48" s="24"/>
      <c r="KWC48" s="24"/>
      <c r="KWD48" s="24"/>
      <c r="KWE48" s="24"/>
      <c r="KWF48" s="24"/>
      <c r="KWG48" s="24"/>
      <c r="KWH48" s="24"/>
      <c r="KWI48" s="24"/>
      <c r="KWJ48" s="24"/>
      <c r="KWK48" s="24"/>
      <c r="KWL48" s="24"/>
      <c r="KWM48" s="24"/>
      <c r="KWN48" s="24"/>
      <c r="KWO48" s="24"/>
      <c r="KWP48" s="24"/>
      <c r="KWQ48" s="24"/>
      <c r="KWR48" s="24"/>
      <c r="KWS48" s="24"/>
      <c r="KWT48" s="24"/>
      <c r="KWU48" s="24"/>
      <c r="KWV48" s="24"/>
      <c r="KWW48" s="24"/>
      <c r="KWX48" s="24"/>
      <c r="KWY48" s="24"/>
      <c r="KWZ48" s="24"/>
      <c r="KXA48" s="24"/>
      <c r="KXB48" s="24"/>
      <c r="KXC48" s="24"/>
      <c r="KXD48" s="24"/>
      <c r="KXE48" s="24"/>
      <c r="KXF48" s="24"/>
      <c r="KXG48" s="24"/>
      <c r="KXH48" s="24"/>
      <c r="KXI48" s="24"/>
      <c r="KXJ48" s="24"/>
      <c r="KXK48" s="24"/>
      <c r="KXL48" s="24"/>
      <c r="KXM48" s="24"/>
      <c r="KXN48" s="24"/>
      <c r="KXO48" s="24"/>
      <c r="KXP48" s="24"/>
      <c r="KXQ48" s="24"/>
      <c r="KXR48" s="24"/>
      <c r="KXS48" s="24"/>
      <c r="KXT48" s="24"/>
      <c r="KXU48" s="24"/>
      <c r="KXV48" s="24"/>
      <c r="KXW48" s="24"/>
      <c r="KXX48" s="24"/>
      <c r="KXY48" s="24"/>
      <c r="KXZ48" s="24"/>
      <c r="KYA48" s="24"/>
      <c r="KYB48" s="24"/>
      <c r="KYC48" s="24"/>
      <c r="KYD48" s="24"/>
      <c r="KYE48" s="24"/>
      <c r="KYF48" s="24"/>
      <c r="KYG48" s="24"/>
      <c r="KYH48" s="24"/>
      <c r="KYI48" s="24"/>
      <c r="KYJ48" s="24"/>
      <c r="KYK48" s="24"/>
      <c r="KYL48" s="24"/>
      <c r="KYM48" s="24"/>
      <c r="KYN48" s="24"/>
      <c r="KYO48" s="24"/>
      <c r="KYP48" s="24"/>
      <c r="KYQ48" s="24"/>
      <c r="KYR48" s="24"/>
      <c r="KYS48" s="24"/>
      <c r="KYT48" s="24"/>
      <c r="KYU48" s="24"/>
      <c r="KYV48" s="24"/>
      <c r="KYW48" s="24"/>
      <c r="KYX48" s="24"/>
      <c r="KYY48" s="24"/>
      <c r="KYZ48" s="24"/>
      <c r="KZA48" s="24"/>
      <c r="KZB48" s="24"/>
      <c r="KZC48" s="24"/>
      <c r="KZD48" s="24"/>
      <c r="KZE48" s="24"/>
      <c r="KZF48" s="24"/>
      <c r="KZG48" s="24"/>
      <c r="KZH48" s="24"/>
      <c r="KZI48" s="24"/>
      <c r="KZJ48" s="24"/>
      <c r="KZK48" s="24"/>
      <c r="KZL48" s="24"/>
      <c r="KZM48" s="24"/>
      <c r="KZN48" s="24"/>
      <c r="KZO48" s="24"/>
      <c r="KZP48" s="24"/>
      <c r="KZQ48" s="24"/>
      <c r="KZR48" s="24"/>
      <c r="KZS48" s="24"/>
      <c r="KZT48" s="24"/>
      <c r="KZU48" s="24"/>
      <c r="KZV48" s="24"/>
      <c r="KZW48" s="24"/>
      <c r="KZX48" s="24"/>
      <c r="KZY48" s="24"/>
      <c r="KZZ48" s="24"/>
      <c r="LAA48" s="24"/>
      <c r="LAB48" s="24"/>
      <c r="LAC48" s="24"/>
      <c r="LAD48" s="24"/>
      <c r="LAE48" s="24"/>
      <c r="LAF48" s="24"/>
      <c r="LAG48" s="24"/>
      <c r="LAH48" s="24"/>
      <c r="LAI48" s="24"/>
      <c r="LAJ48" s="24"/>
      <c r="LAK48" s="24"/>
      <c r="LAL48" s="24"/>
      <c r="LAM48" s="24"/>
      <c r="LAN48" s="24"/>
      <c r="LAO48" s="24"/>
      <c r="LAP48" s="24"/>
      <c r="LAQ48" s="24"/>
      <c r="LAR48" s="24"/>
      <c r="LAS48" s="24"/>
      <c r="LAT48" s="24"/>
      <c r="LAU48" s="24"/>
      <c r="LAV48" s="24"/>
      <c r="LAW48" s="24"/>
      <c r="LAX48" s="24"/>
      <c r="LAY48" s="24"/>
      <c r="LAZ48" s="24"/>
      <c r="LBA48" s="24"/>
      <c r="LBB48" s="24"/>
      <c r="LBC48" s="24"/>
      <c r="LBD48" s="24"/>
      <c r="LBE48" s="24"/>
      <c r="LBF48" s="24"/>
      <c r="LBG48" s="24"/>
      <c r="LBH48" s="24"/>
      <c r="LBI48" s="24"/>
      <c r="LBJ48" s="24"/>
      <c r="LBK48" s="24"/>
      <c r="LBL48" s="24"/>
      <c r="LBM48" s="24"/>
      <c r="LBN48" s="24"/>
      <c r="LBO48" s="24"/>
      <c r="LBP48" s="24"/>
      <c r="LBQ48" s="24"/>
      <c r="LBR48" s="24"/>
      <c r="LBS48" s="24"/>
      <c r="LBT48" s="24"/>
      <c r="LBU48" s="24"/>
      <c r="LBV48" s="24"/>
      <c r="LBW48" s="24"/>
      <c r="LBX48" s="24"/>
      <c r="LBY48" s="24"/>
      <c r="LBZ48" s="24"/>
      <c r="LCA48" s="24"/>
      <c r="LCB48" s="24"/>
      <c r="LCC48" s="24"/>
      <c r="LCD48" s="24"/>
      <c r="LCE48" s="24"/>
      <c r="LCF48" s="24"/>
      <c r="LCG48" s="24"/>
      <c r="LCH48" s="24"/>
      <c r="LCI48" s="24"/>
      <c r="LCJ48" s="24"/>
      <c r="LCK48" s="24"/>
      <c r="LCL48" s="24"/>
      <c r="LCM48" s="24"/>
      <c r="LCN48" s="24"/>
      <c r="LCO48" s="24"/>
      <c r="LCP48" s="24"/>
      <c r="LCQ48" s="24"/>
      <c r="LCR48" s="24"/>
      <c r="LCS48" s="24"/>
      <c r="LCT48" s="24"/>
      <c r="LCU48" s="24"/>
      <c r="LCV48" s="24"/>
      <c r="LCW48" s="24"/>
      <c r="LCX48" s="24"/>
      <c r="LCY48" s="24"/>
      <c r="LCZ48" s="24"/>
      <c r="LDA48" s="24"/>
      <c r="LDB48" s="24"/>
      <c r="LDC48" s="24"/>
      <c r="LDD48" s="24"/>
      <c r="LDE48" s="24"/>
      <c r="LDF48" s="24"/>
      <c r="LDG48" s="24"/>
      <c r="LDH48" s="24"/>
      <c r="LDI48" s="24"/>
      <c r="LDJ48" s="24"/>
      <c r="LDK48" s="24"/>
      <c r="LDL48" s="24"/>
      <c r="LDM48" s="24"/>
      <c r="LDN48" s="24"/>
      <c r="LDO48" s="24"/>
      <c r="LDP48" s="24"/>
      <c r="LDQ48" s="24"/>
      <c r="LDR48" s="24"/>
      <c r="LDS48" s="24"/>
      <c r="LDT48" s="24"/>
      <c r="LDU48" s="24"/>
      <c r="LDV48" s="24"/>
      <c r="LDW48" s="24"/>
      <c r="LDX48" s="24"/>
      <c r="LDY48" s="24"/>
      <c r="LDZ48" s="24"/>
      <c r="LEA48" s="24"/>
      <c r="LEB48" s="24"/>
      <c r="LEC48" s="24"/>
      <c r="LED48" s="24"/>
      <c r="LEE48" s="24"/>
      <c r="LEF48" s="24"/>
      <c r="LEG48" s="24"/>
      <c r="LEH48" s="24"/>
      <c r="LEI48" s="24"/>
      <c r="LEJ48" s="24"/>
      <c r="LEK48" s="24"/>
      <c r="LEL48" s="24"/>
      <c r="LEM48" s="24"/>
      <c r="LEN48" s="24"/>
      <c r="LEO48" s="24"/>
      <c r="LEP48" s="24"/>
      <c r="LEQ48" s="24"/>
      <c r="LER48" s="24"/>
      <c r="LES48" s="24"/>
      <c r="LET48" s="24"/>
      <c r="LEU48" s="24"/>
      <c r="LEV48" s="24"/>
      <c r="LEW48" s="24"/>
      <c r="LEX48" s="24"/>
      <c r="LEY48" s="24"/>
      <c r="LEZ48" s="24"/>
      <c r="LFA48" s="24"/>
      <c r="LFB48" s="24"/>
      <c r="LFC48" s="24"/>
      <c r="LFD48" s="24"/>
      <c r="LFE48" s="24"/>
      <c r="LFF48" s="24"/>
      <c r="LFG48" s="24"/>
      <c r="LFH48" s="24"/>
      <c r="LFI48" s="24"/>
      <c r="LFJ48" s="24"/>
      <c r="LFK48" s="24"/>
      <c r="LFL48" s="24"/>
      <c r="LFM48" s="24"/>
      <c r="LFN48" s="24"/>
      <c r="LFO48" s="24"/>
      <c r="LFP48" s="24"/>
      <c r="LFQ48" s="24"/>
      <c r="LFR48" s="24"/>
      <c r="LFS48" s="24"/>
      <c r="LFT48" s="24"/>
      <c r="LFU48" s="24"/>
      <c r="LFV48" s="24"/>
      <c r="LFW48" s="24"/>
      <c r="LFX48" s="24"/>
      <c r="LFY48" s="24"/>
      <c r="LFZ48" s="24"/>
      <c r="LGA48" s="24"/>
      <c r="LGB48" s="24"/>
      <c r="LGC48" s="24"/>
      <c r="LGD48" s="24"/>
      <c r="LGE48" s="24"/>
      <c r="LGF48" s="24"/>
      <c r="LGG48" s="24"/>
      <c r="LGH48" s="24"/>
      <c r="LGI48" s="24"/>
      <c r="LGJ48" s="24"/>
      <c r="LGK48" s="24"/>
      <c r="LGL48" s="24"/>
      <c r="LGM48" s="24"/>
      <c r="LGN48" s="24"/>
      <c r="LGO48" s="24"/>
      <c r="LGP48" s="24"/>
      <c r="LGQ48" s="24"/>
      <c r="LGR48" s="24"/>
      <c r="LGS48" s="24"/>
      <c r="LGT48" s="24"/>
      <c r="LGU48" s="24"/>
      <c r="LGV48" s="24"/>
      <c r="LGW48" s="24"/>
      <c r="LGX48" s="24"/>
      <c r="LGY48" s="24"/>
      <c r="LGZ48" s="24"/>
      <c r="LHA48" s="24"/>
      <c r="LHB48" s="24"/>
      <c r="LHC48" s="24"/>
      <c r="LHD48" s="24"/>
      <c r="LHE48" s="24"/>
      <c r="LHF48" s="24"/>
      <c r="LHG48" s="24"/>
      <c r="LHH48" s="24"/>
      <c r="LHI48" s="24"/>
      <c r="LHJ48" s="24"/>
      <c r="LHK48" s="24"/>
      <c r="LHL48" s="24"/>
      <c r="LHM48" s="24"/>
      <c r="LHN48" s="24"/>
      <c r="LHO48" s="24"/>
      <c r="LHP48" s="24"/>
      <c r="LHQ48" s="24"/>
      <c r="LHR48" s="24"/>
      <c r="LHS48" s="24"/>
      <c r="LHT48" s="24"/>
      <c r="LHU48" s="24"/>
      <c r="LHV48" s="24"/>
      <c r="LHW48" s="24"/>
      <c r="LHX48" s="24"/>
      <c r="LHY48" s="24"/>
      <c r="LHZ48" s="24"/>
      <c r="LIA48" s="24"/>
      <c r="LIB48" s="24"/>
      <c r="LIC48" s="24"/>
      <c r="LID48" s="24"/>
      <c r="LIE48" s="24"/>
      <c r="LIF48" s="24"/>
      <c r="LIG48" s="24"/>
      <c r="LIH48" s="24"/>
      <c r="LII48" s="24"/>
      <c r="LIJ48" s="24"/>
      <c r="LIK48" s="24"/>
      <c r="LIL48" s="24"/>
      <c r="LIM48" s="24"/>
      <c r="LIN48" s="24"/>
      <c r="LIO48" s="24"/>
      <c r="LIP48" s="24"/>
      <c r="LIQ48" s="24"/>
      <c r="LIR48" s="24"/>
      <c r="LIS48" s="24"/>
      <c r="LIT48" s="24"/>
      <c r="LIU48" s="24"/>
      <c r="LIV48" s="24"/>
      <c r="LIW48" s="24"/>
      <c r="LIX48" s="24"/>
      <c r="LIY48" s="24"/>
      <c r="LIZ48" s="24"/>
      <c r="LJA48" s="24"/>
      <c r="LJB48" s="24"/>
      <c r="LJC48" s="24"/>
      <c r="LJD48" s="24"/>
      <c r="LJE48" s="24"/>
      <c r="LJF48" s="24"/>
      <c r="LJG48" s="24"/>
      <c r="LJH48" s="24"/>
      <c r="LJI48" s="24"/>
      <c r="LJJ48" s="24"/>
      <c r="LJK48" s="24"/>
      <c r="LJL48" s="24"/>
      <c r="LJM48" s="24"/>
      <c r="LJN48" s="24"/>
      <c r="LJO48" s="24"/>
      <c r="LJP48" s="24"/>
      <c r="LJQ48" s="24"/>
      <c r="LJR48" s="24"/>
      <c r="LJS48" s="24"/>
      <c r="LJT48" s="24"/>
      <c r="LJU48" s="24"/>
      <c r="LJV48" s="24"/>
      <c r="LJW48" s="24"/>
      <c r="LJX48" s="24"/>
      <c r="LJY48" s="24"/>
      <c r="LJZ48" s="24"/>
      <c r="LKA48" s="24"/>
      <c r="LKB48" s="24"/>
      <c r="LKC48" s="24"/>
      <c r="LKD48" s="24"/>
      <c r="LKE48" s="24"/>
      <c r="LKF48" s="24"/>
      <c r="LKG48" s="24"/>
      <c r="LKH48" s="24"/>
      <c r="LKI48" s="24"/>
      <c r="LKJ48" s="24"/>
      <c r="LKK48" s="24"/>
      <c r="LKL48" s="24"/>
      <c r="LKM48" s="24"/>
      <c r="LKN48" s="24"/>
      <c r="LKO48" s="24"/>
      <c r="LKP48" s="24"/>
      <c r="LKQ48" s="24"/>
      <c r="LKR48" s="24"/>
      <c r="LKS48" s="24"/>
      <c r="LKT48" s="24"/>
      <c r="LKU48" s="24"/>
      <c r="LKV48" s="24"/>
      <c r="LKW48" s="24"/>
      <c r="LKX48" s="24"/>
      <c r="LKY48" s="24"/>
      <c r="LKZ48" s="24"/>
      <c r="LLA48" s="24"/>
      <c r="LLB48" s="24"/>
      <c r="LLC48" s="24"/>
      <c r="LLD48" s="24"/>
      <c r="LLE48" s="24"/>
      <c r="LLF48" s="24"/>
      <c r="LLG48" s="24"/>
      <c r="LLH48" s="24"/>
      <c r="LLI48" s="24"/>
      <c r="LLJ48" s="24"/>
      <c r="LLK48" s="24"/>
      <c r="LLL48" s="24"/>
      <c r="LLM48" s="24"/>
      <c r="LLN48" s="24"/>
      <c r="LLO48" s="24"/>
      <c r="LLP48" s="24"/>
      <c r="LLQ48" s="24"/>
      <c r="LLR48" s="24"/>
      <c r="LLS48" s="24"/>
      <c r="LLT48" s="24"/>
      <c r="LLU48" s="24"/>
      <c r="LLV48" s="24"/>
      <c r="LLW48" s="24"/>
      <c r="LLX48" s="24"/>
      <c r="LLY48" s="24"/>
      <c r="LLZ48" s="24"/>
      <c r="LMA48" s="24"/>
      <c r="LMB48" s="24"/>
      <c r="LMC48" s="24"/>
      <c r="LMD48" s="24"/>
      <c r="LME48" s="24"/>
      <c r="LMF48" s="24"/>
      <c r="LMG48" s="24"/>
      <c r="LMH48" s="24"/>
      <c r="LMI48" s="24"/>
      <c r="LMJ48" s="24"/>
      <c r="LMK48" s="24"/>
      <c r="LML48" s="24"/>
      <c r="LMM48" s="24"/>
      <c r="LMN48" s="24"/>
      <c r="LMO48" s="24"/>
      <c r="LMP48" s="24"/>
      <c r="LMQ48" s="24"/>
      <c r="LMR48" s="24"/>
      <c r="LMS48" s="24"/>
      <c r="LMT48" s="24"/>
      <c r="LMU48" s="24"/>
      <c r="LMV48" s="24"/>
      <c r="LMW48" s="24"/>
      <c r="LMX48" s="24"/>
      <c r="LMY48" s="24"/>
      <c r="LMZ48" s="24"/>
      <c r="LNA48" s="24"/>
      <c r="LNB48" s="24"/>
      <c r="LNC48" s="24"/>
      <c r="LND48" s="24"/>
      <c r="LNE48" s="24"/>
      <c r="LNF48" s="24"/>
      <c r="LNG48" s="24"/>
      <c r="LNH48" s="24"/>
      <c r="LNI48" s="24"/>
      <c r="LNJ48" s="24"/>
      <c r="LNK48" s="24"/>
      <c r="LNL48" s="24"/>
      <c r="LNM48" s="24"/>
      <c r="LNN48" s="24"/>
      <c r="LNO48" s="24"/>
      <c r="LNP48" s="24"/>
      <c r="LNQ48" s="24"/>
      <c r="LNR48" s="24"/>
      <c r="LNS48" s="24"/>
      <c r="LNT48" s="24"/>
      <c r="LNU48" s="24"/>
      <c r="LNV48" s="24"/>
      <c r="LNW48" s="24"/>
      <c r="LNX48" s="24"/>
      <c r="LNY48" s="24"/>
      <c r="LNZ48" s="24"/>
      <c r="LOA48" s="24"/>
      <c r="LOB48" s="24"/>
      <c r="LOC48" s="24"/>
      <c r="LOD48" s="24"/>
      <c r="LOE48" s="24"/>
      <c r="LOF48" s="24"/>
      <c r="LOG48" s="24"/>
      <c r="LOH48" s="24"/>
      <c r="LOI48" s="24"/>
      <c r="LOJ48" s="24"/>
      <c r="LOK48" s="24"/>
      <c r="LOL48" s="24"/>
      <c r="LOM48" s="24"/>
      <c r="LON48" s="24"/>
      <c r="LOO48" s="24"/>
      <c r="LOP48" s="24"/>
      <c r="LOQ48" s="24"/>
      <c r="LOR48" s="24"/>
      <c r="LOS48" s="24"/>
      <c r="LOT48" s="24"/>
      <c r="LOU48" s="24"/>
      <c r="LOV48" s="24"/>
      <c r="LOW48" s="24"/>
      <c r="LOX48" s="24"/>
      <c r="LOY48" s="24"/>
      <c r="LOZ48" s="24"/>
      <c r="LPA48" s="24"/>
      <c r="LPB48" s="24"/>
      <c r="LPC48" s="24"/>
      <c r="LPD48" s="24"/>
      <c r="LPE48" s="24"/>
      <c r="LPF48" s="24"/>
      <c r="LPG48" s="24"/>
      <c r="LPH48" s="24"/>
      <c r="LPI48" s="24"/>
      <c r="LPJ48" s="24"/>
      <c r="LPK48" s="24"/>
      <c r="LPL48" s="24"/>
      <c r="LPM48" s="24"/>
      <c r="LPN48" s="24"/>
      <c r="LPO48" s="24"/>
      <c r="LPP48" s="24"/>
      <c r="LPQ48" s="24"/>
      <c r="LPR48" s="24"/>
      <c r="LPS48" s="24"/>
      <c r="LPT48" s="24"/>
      <c r="LPU48" s="24"/>
      <c r="LPV48" s="24"/>
      <c r="LPW48" s="24"/>
      <c r="LPX48" s="24"/>
      <c r="LPY48" s="24"/>
      <c r="LPZ48" s="24"/>
      <c r="LQA48" s="24"/>
      <c r="LQB48" s="24"/>
      <c r="LQC48" s="24"/>
      <c r="LQD48" s="24"/>
      <c r="LQE48" s="24"/>
      <c r="LQF48" s="24"/>
      <c r="LQG48" s="24"/>
      <c r="LQH48" s="24"/>
      <c r="LQI48" s="24"/>
      <c r="LQJ48" s="24"/>
      <c r="LQK48" s="24"/>
      <c r="LQL48" s="24"/>
      <c r="LQM48" s="24"/>
      <c r="LQN48" s="24"/>
      <c r="LQO48" s="24"/>
      <c r="LQP48" s="24"/>
      <c r="LQQ48" s="24"/>
      <c r="LQR48" s="24"/>
      <c r="LQS48" s="24"/>
      <c r="LQT48" s="24"/>
      <c r="LQU48" s="24"/>
      <c r="LQV48" s="24"/>
      <c r="LQW48" s="24"/>
      <c r="LQX48" s="24"/>
      <c r="LQY48" s="24"/>
      <c r="LQZ48" s="24"/>
      <c r="LRA48" s="24"/>
      <c r="LRB48" s="24"/>
      <c r="LRC48" s="24"/>
      <c r="LRD48" s="24"/>
      <c r="LRE48" s="24"/>
      <c r="LRF48" s="24"/>
      <c r="LRG48" s="24"/>
      <c r="LRH48" s="24"/>
      <c r="LRI48" s="24"/>
      <c r="LRJ48" s="24"/>
      <c r="LRK48" s="24"/>
      <c r="LRL48" s="24"/>
      <c r="LRM48" s="24"/>
      <c r="LRN48" s="24"/>
      <c r="LRO48" s="24"/>
      <c r="LRP48" s="24"/>
      <c r="LRQ48" s="24"/>
      <c r="LRR48" s="24"/>
      <c r="LRS48" s="24"/>
      <c r="LRT48" s="24"/>
      <c r="LRU48" s="24"/>
      <c r="LRV48" s="24"/>
      <c r="LRW48" s="24"/>
      <c r="LRX48" s="24"/>
      <c r="LRY48" s="24"/>
      <c r="LRZ48" s="24"/>
      <c r="LSA48" s="24"/>
      <c r="LSB48" s="24"/>
      <c r="LSC48" s="24"/>
      <c r="LSD48" s="24"/>
      <c r="LSE48" s="24"/>
      <c r="LSF48" s="24"/>
      <c r="LSG48" s="24"/>
      <c r="LSH48" s="24"/>
      <c r="LSI48" s="24"/>
      <c r="LSJ48" s="24"/>
      <c r="LSK48" s="24"/>
      <c r="LSL48" s="24"/>
      <c r="LSM48" s="24"/>
      <c r="LSN48" s="24"/>
      <c r="LSO48" s="24"/>
      <c r="LSP48" s="24"/>
      <c r="LSQ48" s="24"/>
      <c r="LSR48" s="24"/>
      <c r="LSS48" s="24"/>
      <c r="LST48" s="24"/>
      <c r="LSU48" s="24"/>
      <c r="LSV48" s="24"/>
      <c r="LSW48" s="24"/>
      <c r="LSX48" s="24"/>
      <c r="LSY48" s="24"/>
      <c r="LSZ48" s="24"/>
      <c r="LTA48" s="24"/>
      <c r="LTB48" s="24"/>
      <c r="LTC48" s="24"/>
      <c r="LTD48" s="24"/>
      <c r="LTE48" s="24"/>
      <c r="LTF48" s="24"/>
      <c r="LTG48" s="24"/>
      <c r="LTH48" s="24"/>
      <c r="LTI48" s="24"/>
      <c r="LTJ48" s="24"/>
      <c r="LTK48" s="24"/>
      <c r="LTL48" s="24"/>
      <c r="LTM48" s="24"/>
      <c r="LTN48" s="24"/>
      <c r="LTO48" s="24"/>
      <c r="LTP48" s="24"/>
      <c r="LTQ48" s="24"/>
      <c r="LTR48" s="24"/>
      <c r="LTS48" s="24"/>
      <c r="LTT48" s="24"/>
      <c r="LTU48" s="24"/>
      <c r="LTV48" s="24"/>
      <c r="LTW48" s="24"/>
      <c r="LTX48" s="24"/>
      <c r="LTY48" s="24"/>
      <c r="LTZ48" s="24"/>
      <c r="LUA48" s="24"/>
      <c r="LUB48" s="24"/>
      <c r="LUC48" s="24"/>
      <c r="LUD48" s="24"/>
      <c r="LUE48" s="24"/>
      <c r="LUF48" s="24"/>
      <c r="LUG48" s="24"/>
      <c r="LUH48" s="24"/>
      <c r="LUI48" s="24"/>
      <c r="LUJ48" s="24"/>
      <c r="LUK48" s="24"/>
      <c r="LUL48" s="24"/>
      <c r="LUM48" s="24"/>
      <c r="LUN48" s="24"/>
      <c r="LUO48" s="24"/>
      <c r="LUP48" s="24"/>
      <c r="LUQ48" s="24"/>
      <c r="LUR48" s="24"/>
      <c r="LUS48" s="24"/>
      <c r="LUT48" s="24"/>
      <c r="LUU48" s="24"/>
      <c r="LUV48" s="24"/>
      <c r="LUW48" s="24"/>
      <c r="LUX48" s="24"/>
      <c r="LUY48" s="24"/>
      <c r="LUZ48" s="24"/>
      <c r="LVA48" s="24"/>
      <c r="LVB48" s="24"/>
      <c r="LVC48" s="24"/>
      <c r="LVD48" s="24"/>
      <c r="LVE48" s="24"/>
      <c r="LVF48" s="24"/>
      <c r="LVG48" s="24"/>
      <c r="LVH48" s="24"/>
      <c r="LVI48" s="24"/>
      <c r="LVJ48" s="24"/>
      <c r="LVK48" s="24"/>
      <c r="LVL48" s="24"/>
      <c r="LVM48" s="24"/>
      <c r="LVN48" s="24"/>
      <c r="LVO48" s="24"/>
      <c r="LVP48" s="24"/>
      <c r="LVQ48" s="24"/>
      <c r="LVR48" s="24"/>
      <c r="LVS48" s="24"/>
      <c r="LVT48" s="24"/>
      <c r="LVU48" s="24"/>
      <c r="LVV48" s="24"/>
      <c r="LVW48" s="24"/>
      <c r="LVX48" s="24"/>
      <c r="LVY48" s="24"/>
      <c r="LVZ48" s="24"/>
      <c r="LWA48" s="24"/>
      <c r="LWB48" s="24"/>
      <c r="LWC48" s="24"/>
      <c r="LWD48" s="24"/>
      <c r="LWE48" s="24"/>
      <c r="LWF48" s="24"/>
      <c r="LWG48" s="24"/>
      <c r="LWH48" s="24"/>
      <c r="LWI48" s="24"/>
      <c r="LWJ48" s="24"/>
      <c r="LWK48" s="24"/>
      <c r="LWL48" s="24"/>
      <c r="LWM48" s="24"/>
      <c r="LWN48" s="24"/>
      <c r="LWO48" s="24"/>
      <c r="LWP48" s="24"/>
      <c r="LWQ48" s="24"/>
      <c r="LWR48" s="24"/>
      <c r="LWS48" s="24"/>
      <c r="LWT48" s="24"/>
      <c r="LWU48" s="24"/>
      <c r="LWV48" s="24"/>
      <c r="LWW48" s="24"/>
      <c r="LWX48" s="24"/>
      <c r="LWY48" s="24"/>
      <c r="LWZ48" s="24"/>
      <c r="LXA48" s="24"/>
      <c r="LXB48" s="24"/>
      <c r="LXC48" s="24"/>
      <c r="LXD48" s="24"/>
      <c r="LXE48" s="24"/>
      <c r="LXF48" s="24"/>
      <c r="LXG48" s="24"/>
      <c r="LXH48" s="24"/>
      <c r="LXI48" s="24"/>
      <c r="LXJ48" s="24"/>
      <c r="LXK48" s="24"/>
      <c r="LXL48" s="24"/>
      <c r="LXM48" s="24"/>
      <c r="LXN48" s="24"/>
      <c r="LXO48" s="24"/>
      <c r="LXP48" s="24"/>
      <c r="LXQ48" s="24"/>
      <c r="LXR48" s="24"/>
      <c r="LXS48" s="24"/>
      <c r="LXT48" s="24"/>
      <c r="LXU48" s="24"/>
      <c r="LXV48" s="24"/>
      <c r="LXW48" s="24"/>
      <c r="LXX48" s="24"/>
      <c r="LXY48" s="24"/>
      <c r="LXZ48" s="24"/>
      <c r="LYA48" s="24"/>
      <c r="LYB48" s="24"/>
      <c r="LYC48" s="24"/>
      <c r="LYD48" s="24"/>
      <c r="LYE48" s="24"/>
      <c r="LYF48" s="24"/>
      <c r="LYG48" s="24"/>
      <c r="LYH48" s="24"/>
      <c r="LYI48" s="24"/>
      <c r="LYJ48" s="24"/>
      <c r="LYK48" s="24"/>
      <c r="LYL48" s="24"/>
      <c r="LYM48" s="24"/>
      <c r="LYN48" s="24"/>
      <c r="LYO48" s="24"/>
      <c r="LYP48" s="24"/>
      <c r="LYQ48" s="24"/>
      <c r="LYR48" s="24"/>
      <c r="LYS48" s="24"/>
      <c r="LYT48" s="24"/>
      <c r="LYU48" s="24"/>
      <c r="LYV48" s="24"/>
      <c r="LYW48" s="24"/>
      <c r="LYX48" s="24"/>
      <c r="LYY48" s="24"/>
      <c r="LYZ48" s="24"/>
      <c r="LZA48" s="24"/>
      <c r="LZB48" s="24"/>
      <c r="LZC48" s="24"/>
      <c r="LZD48" s="24"/>
      <c r="LZE48" s="24"/>
      <c r="LZF48" s="24"/>
      <c r="LZG48" s="24"/>
      <c r="LZH48" s="24"/>
      <c r="LZI48" s="24"/>
      <c r="LZJ48" s="24"/>
      <c r="LZK48" s="24"/>
      <c r="LZL48" s="24"/>
      <c r="LZM48" s="24"/>
      <c r="LZN48" s="24"/>
      <c r="LZO48" s="24"/>
      <c r="LZP48" s="24"/>
      <c r="LZQ48" s="24"/>
      <c r="LZR48" s="24"/>
      <c r="LZS48" s="24"/>
      <c r="LZT48" s="24"/>
      <c r="LZU48" s="24"/>
      <c r="LZV48" s="24"/>
      <c r="LZW48" s="24"/>
      <c r="LZX48" s="24"/>
      <c r="LZY48" s="24"/>
      <c r="LZZ48" s="24"/>
      <c r="MAA48" s="24"/>
      <c r="MAB48" s="24"/>
      <c r="MAC48" s="24"/>
      <c r="MAD48" s="24"/>
      <c r="MAE48" s="24"/>
      <c r="MAF48" s="24"/>
      <c r="MAG48" s="24"/>
      <c r="MAH48" s="24"/>
      <c r="MAI48" s="24"/>
      <c r="MAJ48" s="24"/>
      <c r="MAK48" s="24"/>
      <c r="MAL48" s="24"/>
      <c r="MAM48" s="24"/>
      <c r="MAN48" s="24"/>
      <c r="MAO48" s="24"/>
      <c r="MAP48" s="24"/>
      <c r="MAQ48" s="24"/>
      <c r="MAR48" s="24"/>
      <c r="MAS48" s="24"/>
      <c r="MAT48" s="24"/>
      <c r="MAU48" s="24"/>
      <c r="MAV48" s="24"/>
      <c r="MAW48" s="24"/>
      <c r="MAX48" s="24"/>
      <c r="MAY48" s="24"/>
      <c r="MAZ48" s="24"/>
      <c r="MBA48" s="24"/>
      <c r="MBB48" s="24"/>
      <c r="MBC48" s="24"/>
      <c r="MBD48" s="24"/>
      <c r="MBE48" s="24"/>
      <c r="MBF48" s="24"/>
      <c r="MBG48" s="24"/>
      <c r="MBH48" s="24"/>
      <c r="MBI48" s="24"/>
      <c r="MBJ48" s="24"/>
      <c r="MBK48" s="24"/>
      <c r="MBL48" s="24"/>
      <c r="MBM48" s="24"/>
      <c r="MBN48" s="24"/>
      <c r="MBO48" s="24"/>
      <c r="MBP48" s="24"/>
      <c r="MBQ48" s="24"/>
      <c r="MBR48" s="24"/>
      <c r="MBS48" s="24"/>
      <c r="MBT48" s="24"/>
      <c r="MBU48" s="24"/>
      <c r="MBV48" s="24"/>
      <c r="MBW48" s="24"/>
      <c r="MBX48" s="24"/>
      <c r="MBY48" s="24"/>
      <c r="MBZ48" s="24"/>
      <c r="MCA48" s="24"/>
      <c r="MCB48" s="24"/>
      <c r="MCC48" s="24"/>
      <c r="MCD48" s="24"/>
      <c r="MCE48" s="24"/>
      <c r="MCF48" s="24"/>
      <c r="MCG48" s="24"/>
      <c r="MCH48" s="24"/>
      <c r="MCI48" s="24"/>
      <c r="MCJ48" s="24"/>
      <c r="MCK48" s="24"/>
      <c r="MCL48" s="24"/>
      <c r="MCM48" s="24"/>
      <c r="MCN48" s="24"/>
      <c r="MCO48" s="24"/>
      <c r="MCP48" s="24"/>
      <c r="MCQ48" s="24"/>
      <c r="MCR48" s="24"/>
      <c r="MCS48" s="24"/>
      <c r="MCT48" s="24"/>
      <c r="MCU48" s="24"/>
      <c r="MCV48" s="24"/>
      <c r="MCW48" s="24"/>
      <c r="MCX48" s="24"/>
      <c r="MCY48" s="24"/>
      <c r="MCZ48" s="24"/>
      <c r="MDA48" s="24"/>
      <c r="MDB48" s="24"/>
      <c r="MDC48" s="24"/>
      <c r="MDD48" s="24"/>
      <c r="MDE48" s="24"/>
      <c r="MDF48" s="24"/>
      <c r="MDG48" s="24"/>
      <c r="MDH48" s="24"/>
      <c r="MDI48" s="24"/>
      <c r="MDJ48" s="24"/>
      <c r="MDK48" s="24"/>
      <c r="MDL48" s="24"/>
      <c r="MDM48" s="24"/>
      <c r="MDN48" s="24"/>
      <c r="MDO48" s="24"/>
      <c r="MDP48" s="24"/>
      <c r="MDQ48" s="24"/>
      <c r="MDR48" s="24"/>
      <c r="MDS48" s="24"/>
      <c r="MDT48" s="24"/>
      <c r="MDU48" s="24"/>
      <c r="MDV48" s="24"/>
      <c r="MDW48" s="24"/>
      <c r="MDX48" s="24"/>
      <c r="MDY48" s="24"/>
      <c r="MDZ48" s="24"/>
      <c r="MEA48" s="24"/>
      <c r="MEB48" s="24"/>
      <c r="MEC48" s="24"/>
      <c r="MED48" s="24"/>
      <c r="MEE48" s="24"/>
      <c r="MEF48" s="24"/>
      <c r="MEG48" s="24"/>
      <c r="MEH48" s="24"/>
      <c r="MEI48" s="24"/>
      <c r="MEJ48" s="24"/>
      <c r="MEK48" s="24"/>
      <c r="MEL48" s="24"/>
      <c r="MEM48" s="24"/>
      <c r="MEN48" s="24"/>
      <c r="MEO48" s="24"/>
      <c r="MEP48" s="24"/>
      <c r="MEQ48" s="24"/>
      <c r="MER48" s="24"/>
      <c r="MES48" s="24"/>
      <c r="MET48" s="24"/>
      <c r="MEU48" s="24"/>
      <c r="MEV48" s="24"/>
      <c r="MEW48" s="24"/>
      <c r="MEX48" s="24"/>
      <c r="MEY48" s="24"/>
      <c r="MEZ48" s="24"/>
      <c r="MFA48" s="24"/>
      <c r="MFB48" s="24"/>
      <c r="MFC48" s="24"/>
      <c r="MFD48" s="24"/>
      <c r="MFE48" s="24"/>
      <c r="MFF48" s="24"/>
      <c r="MFG48" s="24"/>
      <c r="MFH48" s="24"/>
      <c r="MFI48" s="24"/>
      <c r="MFJ48" s="24"/>
      <c r="MFK48" s="24"/>
      <c r="MFL48" s="24"/>
      <c r="MFM48" s="24"/>
      <c r="MFN48" s="24"/>
      <c r="MFO48" s="24"/>
      <c r="MFP48" s="24"/>
      <c r="MFQ48" s="24"/>
      <c r="MFR48" s="24"/>
      <c r="MFS48" s="24"/>
      <c r="MFT48" s="24"/>
      <c r="MFU48" s="24"/>
      <c r="MFV48" s="24"/>
      <c r="MFW48" s="24"/>
      <c r="MFX48" s="24"/>
      <c r="MFY48" s="24"/>
      <c r="MFZ48" s="24"/>
      <c r="MGA48" s="24"/>
      <c r="MGB48" s="24"/>
      <c r="MGC48" s="24"/>
      <c r="MGD48" s="24"/>
      <c r="MGE48" s="24"/>
      <c r="MGF48" s="24"/>
      <c r="MGG48" s="24"/>
      <c r="MGH48" s="24"/>
      <c r="MGI48" s="24"/>
      <c r="MGJ48" s="24"/>
      <c r="MGK48" s="24"/>
      <c r="MGL48" s="24"/>
      <c r="MGM48" s="24"/>
      <c r="MGN48" s="24"/>
      <c r="MGO48" s="24"/>
      <c r="MGP48" s="24"/>
      <c r="MGQ48" s="24"/>
      <c r="MGR48" s="24"/>
      <c r="MGS48" s="24"/>
      <c r="MGT48" s="24"/>
      <c r="MGU48" s="24"/>
      <c r="MGV48" s="24"/>
      <c r="MGW48" s="24"/>
      <c r="MGX48" s="24"/>
      <c r="MGY48" s="24"/>
      <c r="MGZ48" s="24"/>
      <c r="MHA48" s="24"/>
      <c r="MHB48" s="24"/>
      <c r="MHC48" s="24"/>
      <c r="MHD48" s="24"/>
      <c r="MHE48" s="24"/>
      <c r="MHF48" s="24"/>
      <c r="MHG48" s="24"/>
      <c r="MHH48" s="24"/>
      <c r="MHI48" s="24"/>
      <c r="MHJ48" s="24"/>
      <c r="MHK48" s="24"/>
      <c r="MHL48" s="24"/>
      <c r="MHM48" s="24"/>
      <c r="MHN48" s="24"/>
      <c r="MHO48" s="24"/>
      <c r="MHP48" s="24"/>
      <c r="MHQ48" s="24"/>
      <c r="MHR48" s="24"/>
      <c r="MHS48" s="24"/>
      <c r="MHT48" s="24"/>
      <c r="MHU48" s="24"/>
      <c r="MHV48" s="24"/>
      <c r="MHW48" s="24"/>
      <c r="MHX48" s="24"/>
      <c r="MHY48" s="24"/>
      <c r="MHZ48" s="24"/>
      <c r="MIA48" s="24"/>
      <c r="MIB48" s="24"/>
      <c r="MIC48" s="24"/>
      <c r="MID48" s="24"/>
      <c r="MIE48" s="24"/>
      <c r="MIF48" s="24"/>
      <c r="MIG48" s="24"/>
      <c r="MIH48" s="24"/>
      <c r="MII48" s="24"/>
      <c r="MIJ48" s="24"/>
      <c r="MIK48" s="24"/>
      <c r="MIL48" s="24"/>
      <c r="MIM48" s="24"/>
      <c r="MIN48" s="24"/>
      <c r="MIO48" s="24"/>
      <c r="MIP48" s="24"/>
      <c r="MIQ48" s="24"/>
      <c r="MIR48" s="24"/>
      <c r="MIS48" s="24"/>
      <c r="MIT48" s="24"/>
      <c r="MIU48" s="24"/>
      <c r="MIV48" s="24"/>
      <c r="MIW48" s="24"/>
      <c r="MIX48" s="24"/>
      <c r="MIY48" s="24"/>
      <c r="MIZ48" s="24"/>
      <c r="MJA48" s="24"/>
      <c r="MJB48" s="24"/>
      <c r="MJC48" s="24"/>
      <c r="MJD48" s="24"/>
      <c r="MJE48" s="24"/>
      <c r="MJF48" s="24"/>
      <c r="MJG48" s="24"/>
      <c r="MJH48" s="24"/>
      <c r="MJI48" s="24"/>
      <c r="MJJ48" s="24"/>
      <c r="MJK48" s="24"/>
      <c r="MJL48" s="24"/>
      <c r="MJM48" s="24"/>
      <c r="MJN48" s="24"/>
      <c r="MJO48" s="24"/>
      <c r="MJP48" s="24"/>
      <c r="MJQ48" s="24"/>
      <c r="MJR48" s="24"/>
      <c r="MJS48" s="24"/>
      <c r="MJT48" s="24"/>
      <c r="MJU48" s="24"/>
      <c r="MJV48" s="24"/>
      <c r="MJW48" s="24"/>
      <c r="MJX48" s="24"/>
      <c r="MJY48" s="24"/>
      <c r="MJZ48" s="24"/>
      <c r="MKA48" s="24"/>
      <c r="MKB48" s="24"/>
      <c r="MKC48" s="24"/>
      <c r="MKD48" s="24"/>
      <c r="MKE48" s="24"/>
      <c r="MKF48" s="24"/>
      <c r="MKG48" s="24"/>
      <c r="MKH48" s="24"/>
      <c r="MKI48" s="24"/>
      <c r="MKJ48" s="24"/>
      <c r="MKK48" s="24"/>
      <c r="MKL48" s="24"/>
      <c r="MKM48" s="24"/>
      <c r="MKN48" s="24"/>
      <c r="MKO48" s="24"/>
      <c r="MKP48" s="24"/>
      <c r="MKQ48" s="24"/>
      <c r="MKR48" s="24"/>
      <c r="MKS48" s="24"/>
      <c r="MKT48" s="24"/>
      <c r="MKU48" s="24"/>
      <c r="MKV48" s="24"/>
      <c r="MKW48" s="24"/>
      <c r="MKX48" s="24"/>
      <c r="MKY48" s="24"/>
      <c r="MKZ48" s="24"/>
      <c r="MLA48" s="24"/>
      <c r="MLB48" s="24"/>
      <c r="MLC48" s="24"/>
      <c r="MLD48" s="24"/>
      <c r="MLE48" s="24"/>
      <c r="MLF48" s="24"/>
      <c r="MLG48" s="24"/>
      <c r="MLH48" s="24"/>
      <c r="MLI48" s="24"/>
      <c r="MLJ48" s="24"/>
      <c r="MLK48" s="24"/>
      <c r="MLL48" s="24"/>
      <c r="MLM48" s="24"/>
      <c r="MLN48" s="24"/>
      <c r="MLO48" s="24"/>
      <c r="MLP48" s="24"/>
      <c r="MLQ48" s="24"/>
      <c r="MLR48" s="24"/>
      <c r="MLS48" s="24"/>
      <c r="MLT48" s="24"/>
      <c r="MLU48" s="24"/>
      <c r="MLV48" s="24"/>
      <c r="MLW48" s="24"/>
      <c r="MLX48" s="24"/>
      <c r="MLY48" s="24"/>
      <c r="MLZ48" s="24"/>
      <c r="MMA48" s="24"/>
      <c r="MMB48" s="24"/>
      <c r="MMC48" s="24"/>
      <c r="MMD48" s="24"/>
      <c r="MME48" s="24"/>
      <c r="MMF48" s="24"/>
      <c r="MMG48" s="24"/>
      <c r="MMH48" s="24"/>
      <c r="MMI48" s="24"/>
      <c r="MMJ48" s="24"/>
      <c r="MMK48" s="24"/>
      <c r="MML48" s="24"/>
      <c r="MMM48" s="24"/>
      <c r="MMN48" s="24"/>
      <c r="MMO48" s="24"/>
      <c r="MMP48" s="24"/>
      <c r="MMQ48" s="24"/>
      <c r="MMR48" s="24"/>
      <c r="MMS48" s="24"/>
      <c r="MMT48" s="24"/>
      <c r="MMU48" s="24"/>
      <c r="MMV48" s="24"/>
      <c r="MMW48" s="24"/>
      <c r="MMX48" s="24"/>
      <c r="MMY48" s="24"/>
      <c r="MMZ48" s="24"/>
      <c r="MNA48" s="24"/>
      <c r="MNB48" s="24"/>
      <c r="MNC48" s="24"/>
      <c r="MND48" s="24"/>
      <c r="MNE48" s="24"/>
      <c r="MNF48" s="24"/>
      <c r="MNG48" s="24"/>
      <c r="MNH48" s="24"/>
      <c r="MNI48" s="24"/>
      <c r="MNJ48" s="24"/>
      <c r="MNK48" s="24"/>
      <c r="MNL48" s="24"/>
      <c r="MNM48" s="24"/>
      <c r="MNN48" s="24"/>
      <c r="MNO48" s="24"/>
      <c r="MNP48" s="24"/>
      <c r="MNQ48" s="24"/>
      <c r="MNR48" s="24"/>
      <c r="MNS48" s="24"/>
      <c r="MNT48" s="24"/>
      <c r="MNU48" s="24"/>
      <c r="MNV48" s="24"/>
      <c r="MNW48" s="24"/>
      <c r="MNX48" s="24"/>
      <c r="MNY48" s="24"/>
      <c r="MNZ48" s="24"/>
      <c r="MOA48" s="24"/>
      <c r="MOB48" s="24"/>
      <c r="MOC48" s="24"/>
      <c r="MOD48" s="24"/>
      <c r="MOE48" s="24"/>
      <c r="MOF48" s="24"/>
      <c r="MOG48" s="24"/>
      <c r="MOH48" s="24"/>
      <c r="MOI48" s="24"/>
      <c r="MOJ48" s="24"/>
      <c r="MOK48" s="24"/>
      <c r="MOL48" s="24"/>
      <c r="MOM48" s="24"/>
      <c r="MON48" s="24"/>
      <c r="MOO48" s="24"/>
      <c r="MOP48" s="24"/>
      <c r="MOQ48" s="24"/>
      <c r="MOR48" s="24"/>
      <c r="MOS48" s="24"/>
      <c r="MOT48" s="24"/>
      <c r="MOU48" s="24"/>
      <c r="MOV48" s="24"/>
      <c r="MOW48" s="24"/>
      <c r="MOX48" s="24"/>
      <c r="MOY48" s="24"/>
      <c r="MOZ48" s="24"/>
      <c r="MPA48" s="24"/>
      <c r="MPB48" s="24"/>
      <c r="MPC48" s="24"/>
      <c r="MPD48" s="24"/>
      <c r="MPE48" s="24"/>
      <c r="MPF48" s="24"/>
      <c r="MPG48" s="24"/>
      <c r="MPH48" s="24"/>
      <c r="MPI48" s="24"/>
      <c r="MPJ48" s="24"/>
      <c r="MPK48" s="24"/>
      <c r="MPL48" s="24"/>
      <c r="MPM48" s="24"/>
      <c r="MPN48" s="24"/>
      <c r="MPO48" s="24"/>
      <c r="MPP48" s="24"/>
      <c r="MPQ48" s="24"/>
      <c r="MPR48" s="24"/>
      <c r="MPS48" s="24"/>
      <c r="MPT48" s="24"/>
      <c r="MPU48" s="24"/>
      <c r="MPV48" s="24"/>
      <c r="MPW48" s="24"/>
      <c r="MPX48" s="24"/>
      <c r="MPY48" s="24"/>
      <c r="MPZ48" s="24"/>
      <c r="MQA48" s="24"/>
      <c r="MQB48" s="24"/>
      <c r="MQC48" s="24"/>
      <c r="MQD48" s="24"/>
      <c r="MQE48" s="24"/>
      <c r="MQF48" s="24"/>
      <c r="MQG48" s="24"/>
      <c r="MQH48" s="24"/>
      <c r="MQI48" s="24"/>
      <c r="MQJ48" s="24"/>
      <c r="MQK48" s="24"/>
      <c r="MQL48" s="24"/>
      <c r="MQM48" s="24"/>
      <c r="MQN48" s="24"/>
      <c r="MQO48" s="24"/>
      <c r="MQP48" s="24"/>
      <c r="MQQ48" s="24"/>
      <c r="MQR48" s="24"/>
      <c r="MQS48" s="24"/>
      <c r="MQT48" s="24"/>
      <c r="MQU48" s="24"/>
      <c r="MQV48" s="24"/>
      <c r="MQW48" s="24"/>
      <c r="MQX48" s="24"/>
      <c r="MQY48" s="24"/>
      <c r="MQZ48" s="24"/>
      <c r="MRA48" s="24"/>
      <c r="MRB48" s="24"/>
      <c r="MRC48" s="24"/>
      <c r="MRD48" s="24"/>
      <c r="MRE48" s="24"/>
      <c r="MRF48" s="24"/>
      <c r="MRG48" s="24"/>
      <c r="MRH48" s="24"/>
      <c r="MRI48" s="24"/>
      <c r="MRJ48" s="24"/>
      <c r="MRK48" s="24"/>
      <c r="MRL48" s="24"/>
      <c r="MRM48" s="24"/>
      <c r="MRN48" s="24"/>
      <c r="MRO48" s="24"/>
      <c r="MRP48" s="24"/>
      <c r="MRQ48" s="24"/>
      <c r="MRR48" s="24"/>
      <c r="MRS48" s="24"/>
      <c r="MRT48" s="24"/>
      <c r="MRU48" s="24"/>
      <c r="MRV48" s="24"/>
      <c r="MRW48" s="24"/>
      <c r="MRX48" s="24"/>
      <c r="MRY48" s="24"/>
      <c r="MRZ48" s="24"/>
      <c r="MSA48" s="24"/>
      <c r="MSB48" s="24"/>
      <c r="MSC48" s="24"/>
      <c r="MSD48" s="24"/>
      <c r="MSE48" s="24"/>
      <c r="MSF48" s="24"/>
      <c r="MSG48" s="24"/>
      <c r="MSH48" s="24"/>
      <c r="MSI48" s="24"/>
      <c r="MSJ48" s="24"/>
      <c r="MSK48" s="24"/>
      <c r="MSL48" s="24"/>
      <c r="MSM48" s="24"/>
      <c r="MSN48" s="24"/>
      <c r="MSO48" s="24"/>
      <c r="MSP48" s="24"/>
      <c r="MSQ48" s="24"/>
      <c r="MSR48" s="24"/>
      <c r="MSS48" s="24"/>
      <c r="MST48" s="24"/>
      <c r="MSU48" s="24"/>
      <c r="MSV48" s="24"/>
      <c r="MSW48" s="24"/>
      <c r="MSX48" s="24"/>
      <c r="MSY48" s="24"/>
      <c r="MSZ48" s="24"/>
      <c r="MTA48" s="24"/>
      <c r="MTB48" s="24"/>
      <c r="MTC48" s="24"/>
      <c r="MTD48" s="24"/>
      <c r="MTE48" s="24"/>
      <c r="MTF48" s="24"/>
      <c r="MTG48" s="24"/>
      <c r="MTH48" s="24"/>
      <c r="MTI48" s="24"/>
      <c r="MTJ48" s="24"/>
      <c r="MTK48" s="24"/>
      <c r="MTL48" s="24"/>
      <c r="MTM48" s="24"/>
      <c r="MTN48" s="24"/>
      <c r="MTO48" s="24"/>
      <c r="MTP48" s="24"/>
      <c r="MTQ48" s="24"/>
      <c r="MTR48" s="24"/>
      <c r="MTS48" s="24"/>
      <c r="MTT48" s="24"/>
      <c r="MTU48" s="24"/>
      <c r="MTV48" s="24"/>
      <c r="MTW48" s="24"/>
      <c r="MTX48" s="24"/>
      <c r="MTY48" s="24"/>
      <c r="MTZ48" s="24"/>
      <c r="MUA48" s="24"/>
      <c r="MUB48" s="24"/>
      <c r="MUC48" s="24"/>
      <c r="MUD48" s="24"/>
      <c r="MUE48" s="24"/>
      <c r="MUF48" s="24"/>
      <c r="MUG48" s="24"/>
      <c r="MUH48" s="24"/>
      <c r="MUI48" s="24"/>
      <c r="MUJ48" s="24"/>
      <c r="MUK48" s="24"/>
      <c r="MUL48" s="24"/>
      <c r="MUM48" s="24"/>
      <c r="MUN48" s="24"/>
      <c r="MUO48" s="24"/>
      <c r="MUP48" s="24"/>
      <c r="MUQ48" s="24"/>
      <c r="MUR48" s="24"/>
      <c r="MUS48" s="24"/>
      <c r="MUT48" s="24"/>
      <c r="MUU48" s="24"/>
      <c r="MUV48" s="24"/>
      <c r="MUW48" s="24"/>
      <c r="MUX48" s="24"/>
      <c r="MUY48" s="24"/>
      <c r="MUZ48" s="24"/>
      <c r="MVA48" s="24"/>
      <c r="MVB48" s="24"/>
      <c r="MVC48" s="24"/>
      <c r="MVD48" s="24"/>
      <c r="MVE48" s="24"/>
      <c r="MVF48" s="24"/>
      <c r="MVG48" s="24"/>
      <c r="MVH48" s="24"/>
      <c r="MVI48" s="24"/>
      <c r="MVJ48" s="24"/>
      <c r="MVK48" s="24"/>
      <c r="MVL48" s="24"/>
      <c r="MVM48" s="24"/>
      <c r="MVN48" s="24"/>
      <c r="MVO48" s="24"/>
      <c r="MVP48" s="24"/>
      <c r="MVQ48" s="24"/>
      <c r="MVR48" s="24"/>
      <c r="MVS48" s="24"/>
      <c r="MVT48" s="24"/>
      <c r="MVU48" s="24"/>
      <c r="MVV48" s="24"/>
      <c r="MVW48" s="24"/>
      <c r="MVX48" s="24"/>
      <c r="MVY48" s="24"/>
      <c r="MVZ48" s="24"/>
      <c r="MWA48" s="24"/>
      <c r="MWB48" s="24"/>
      <c r="MWC48" s="24"/>
      <c r="MWD48" s="24"/>
      <c r="MWE48" s="24"/>
      <c r="MWF48" s="24"/>
      <c r="MWG48" s="24"/>
      <c r="MWH48" s="24"/>
      <c r="MWI48" s="24"/>
      <c r="MWJ48" s="24"/>
      <c r="MWK48" s="24"/>
      <c r="MWL48" s="24"/>
      <c r="MWM48" s="24"/>
      <c r="MWN48" s="24"/>
      <c r="MWO48" s="24"/>
      <c r="MWP48" s="24"/>
      <c r="MWQ48" s="24"/>
      <c r="MWR48" s="24"/>
      <c r="MWS48" s="24"/>
      <c r="MWT48" s="24"/>
      <c r="MWU48" s="24"/>
      <c r="MWV48" s="24"/>
      <c r="MWW48" s="24"/>
      <c r="MWX48" s="24"/>
      <c r="MWY48" s="24"/>
      <c r="MWZ48" s="24"/>
      <c r="MXA48" s="24"/>
      <c r="MXB48" s="24"/>
      <c r="MXC48" s="24"/>
      <c r="MXD48" s="24"/>
      <c r="MXE48" s="24"/>
      <c r="MXF48" s="24"/>
      <c r="MXG48" s="24"/>
      <c r="MXH48" s="24"/>
      <c r="MXI48" s="24"/>
      <c r="MXJ48" s="24"/>
      <c r="MXK48" s="24"/>
      <c r="MXL48" s="24"/>
      <c r="MXM48" s="24"/>
      <c r="MXN48" s="24"/>
      <c r="MXO48" s="24"/>
      <c r="MXP48" s="24"/>
      <c r="MXQ48" s="24"/>
      <c r="MXR48" s="24"/>
      <c r="MXS48" s="24"/>
      <c r="MXT48" s="24"/>
      <c r="MXU48" s="24"/>
      <c r="MXV48" s="24"/>
      <c r="MXW48" s="24"/>
      <c r="MXX48" s="24"/>
      <c r="MXY48" s="24"/>
      <c r="MXZ48" s="24"/>
      <c r="MYA48" s="24"/>
      <c r="MYB48" s="24"/>
      <c r="MYC48" s="24"/>
      <c r="MYD48" s="24"/>
      <c r="MYE48" s="24"/>
      <c r="MYF48" s="24"/>
      <c r="MYG48" s="24"/>
      <c r="MYH48" s="24"/>
      <c r="MYI48" s="24"/>
      <c r="MYJ48" s="24"/>
      <c r="MYK48" s="24"/>
      <c r="MYL48" s="24"/>
      <c r="MYM48" s="24"/>
      <c r="MYN48" s="24"/>
      <c r="MYO48" s="24"/>
      <c r="MYP48" s="24"/>
      <c r="MYQ48" s="24"/>
      <c r="MYR48" s="24"/>
      <c r="MYS48" s="24"/>
      <c r="MYT48" s="24"/>
      <c r="MYU48" s="24"/>
      <c r="MYV48" s="24"/>
      <c r="MYW48" s="24"/>
      <c r="MYX48" s="24"/>
      <c r="MYY48" s="24"/>
      <c r="MYZ48" s="24"/>
      <c r="MZA48" s="24"/>
      <c r="MZB48" s="24"/>
      <c r="MZC48" s="24"/>
      <c r="MZD48" s="24"/>
      <c r="MZE48" s="24"/>
      <c r="MZF48" s="24"/>
      <c r="MZG48" s="24"/>
      <c r="MZH48" s="24"/>
      <c r="MZI48" s="24"/>
      <c r="MZJ48" s="24"/>
      <c r="MZK48" s="24"/>
      <c r="MZL48" s="24"/>
      <c r="MZM48" s="24"/>
      <c r="MZN48" s="24"/>
      <c r="MZO48" s="24"/>
      <c r="MZP48" s="24"/>
      <c r="MZQ48" s="24"/>
      <c r="MZR48" s="24"/>
      <c r="MZS48" s="24"/>
      <c r="MZT48" s="24"/>
      <c r="MZU48" s="24"/>
      <c r="MZV48" s="24"/>
      <c r="MZW48" s="24"/>
      <c r="MZX48" s="24"/>
      <c r="MZY48" s="24"/>
      <c r="MZZ48" s="24"/>
      <c r="NAA48" s="24"/>
      <c r="NAB48" s="24"/>
      <c r="NAC48" s="24"/>
      <c r="NAD48" s="24"/>
      <c r="NAE48" s="24"/>
      <c r="NAF48" s="24"/>
      <c r="NAG48" s="24"/>
      <c r="NAH48" s="24"/>
      <c r="NAI48" s="24"/>
      <c r="NAJ48" s="24"/>
      <c r="NAK48" s="24"/>
      <c r="NAL48" s="24"/>
      <c r="NAM48" s="24"/>
      <c r="NAN48" s="24"/>
      <c r="NAO48" s="24"/>
      <c r="NAP48" s="24"/>
      <c r="NAQ48" s="24"/>
      <c r="NAR48" s="24"/>
      <c r="NAS48" s="24"/>
      <c r="NAT48" s="24"/>
      <c r="NAU48" s="24"/>
      <c r="NAV48" s="24"/>
      <c r="NAW48" s="24"/>
      <c r="NAX48" s="24"/>
      <c r="NAY48" s="24"/>
      <c r="NAZ48" s="24"/>
      <c r="NBA48" s="24"/>
      <c r="NBB48" s="24"/>
      <c r="NBC48" s="24"/>
      <c r="NBD48" s="24"/>
      <c r="NBE48" s="24"/>
      <c r="NBF48" s="24"/>
      <c r="NBG48" s="24"/>
      <c r="NBH48" s="24"/>
      <c r="NBI48" s="24"/>
      <c r="NBJ48" s="24"/>
      <c r="NBK48" s="24"/>
      <c r="NBL48" s="24"/>
      <c r="NBM48" s="24"/>
      <c r="NBN48" s="24"/>
      <c r="NBO48" s="24"/>
      <c r="NBP48" s="24"/>
      <c r="NBQ48" s="24"/>
      <c r="NBR48" s="24"/>
      <c r="NBS48" s="24"/>
      <c r="NBT48" s="24"/>
      <c r="NBU48" s="24"/>
      <c r="NBV48" s="24"/>
      <c r="NBW48" s="24"/>
      <c r="NBX48" s="24"/>
      <c r="NBY48" s="24"/>
      <c r="NBZ48" s="24"/>
      <c r="NCA48" s="24"/>
      <c r="NCB48" s="24"/>
      <c r="NCC48" s="24"/>
      <c r="NCD48" s="24"/>
      <c r="NCE48" s="24"/>
      <c r="NCF48" s="24"/>
      <c r="NCG48" s="24"/>
      <c r="NCH48" s="24"/>
      <c r="NCI48" s="24"/>
      <c r="NCJ48" s="24"/>
      <c r="NCK48" s="24"/>
      <c r="NCL48" s="24"/>
      <c r="NCM48" s="24"/>
      <c r="NCN48" s="24"/>
      <c r="NCO48" s="24"/>
      <c r="NCP48" s="24"/>
      <c r="NCQ48" s="24"/>
      <c r="NCR48" s="24"/>
      <c r="NCS48" s="24"/>
      <c r="NCT48" s="24"/>
      <c r="NCU48" s="24"/>
      <c r="NCV48" s="24"/>
      <c r="NCW48" s="24"/>
      <c r="NCX48" s="24"/>
      <c r="NCY48" s="24"/>
      <c r="NCZ48" s="24"/>
      <c r="NDA48" s="24"/>
      <c r="NDB48" s="24"/>
      <c r="NDC48" s="24"/>
      <c r="NDD48" s="24"/>
      <c r="NDE48" s="24"/>
      <c r="NDF48" s="24"/>
      <c r="NDG48" s="24"/>
      <c r="NDH48" s="24"/>
      <c r="NDI48" s="24"/>
      <c r="NDJ48" s="24"/>
      <c r="NDK48" s="24"/>
      <c r="NDL48" s="24"/>
      <c r="NDM48" s="24"/>
      <c r="NDN48" s="24"/>
      <c r="NDO48" s="24"/>
      <c r="NDP48" s="24"/>
      <c r="NDQ48" s="24"/>
      <c r="NDR48" s="24"/>
      <c r="NDS48" s="24"/>
      <c r="NDT48" s="24"/>
      <c r="NDU48" s="24"/>
      <c r="NDV48" s="24"/>
      <c r="NDW48" s="24"/>
      <c r="NDX48" s="24"/>
      <c r="NDY48" s="24"/>
      <c r="NDZ48" s="24"/>
      <c r="NEA48" s="24"/>
      <c r="NEB48" s="24"/>
      <c r="NEC48" s="24"/>
      <c r="NED48" s="24"/>
      <c r="NEE48" s="24"/>
      <c r="NEF48" s="24"/>
      <c r="NEG48" s="24"/>
      <c r="NEH48" s="24"/>
      <c r="NEI48" s="24"/>
      <c r="NEJ48" s="24"/>
      <c r="NEK48" s="24"/>
      <c r="NEL48" s="24"/>
      <c r="NEM48" s="24"/>
      <c r="NEN48" s="24"/>
      <c r="NEO48" s="24"/>
      <c r="NEP48" s="24"/>
      <c r="NEQ48" s="24"/>
      <c r="NER48" s="24"/>
      <c r="NES48" s="24"/>
      <c r="NET48" s="24"/>
      <c r="NEU48" s="24"/>
      <c r="NEV48" s="24"/>
      <c r="NEW48" s="24"/>
      <c r="NEX48" s="24"/>
      <c r="NEY48" s="24"/>
      <c r="NEZ48" s="24"/>
      <c r="NFA48" s="24"/>
      <c r="NFB48" s="24"/>
      <c r="NFC48" s="24"/>
      <c r="NFD48" s="24"/>
      <c r="NFE48" s="24"/>
      <c r="NFF48" s="24"/>
      <c r="NFG48" s="24"/>
      <c r="NFH48" s="24"/>
      <c r="NFI48" s="24"/>
      <c r="NFJ48" s="24"/>
      <c r="NFK48" s="24"/>
      <c r="NFL48" s="24"/>
      <c r="NFM48" s="24"/>
      <c r="NFN48" s="24"/>
      <c r="NFO48" s="24"/>
      <c r="NFP48" s="24"/>
      <c r="NFQ48" s="24"/>
      <c r="NFR48" s="24"/>
      <c r="NFS48" s="24"/>
      <c r="NFT48" s="24"/>
      <c r="NFU48" s="24"/>
      <c r="NFV48" s="24"/>
      <c r="NFW48" s="24"/>
      <c r="NFX48" s="24"/>
      <c r="NFY48" s="24"/>
      <c r="NFZ48" s="24"/>
      <c r="NGA48" s="24"/>
      <c r="NGB48" s="24"/>
      <c r="NGC48" s="24"/>
      <c r="NGD48" s="24"/>
      <c r="NGE48" s="24"/>
      <c r="NGF48" s="24"/>
      <c r="NGG48" s="24"/>
      <c r="NGH48" s="24"/>
      <c r="NGI48" s="24"/>
      <c r="NGJ48" s="24"/>
      <c r="NGK48" s="24"/>
      <c r="NGL48" s="24"/>
      <c r="NGM48" s="24"/>
      <c r="NGN48" s="24"/>
      <c r="NGO48" s="24"/>
      <c r="NGP48" s="24"/>
      <c r="NGQ48" s="24"/>
      <c r="NGR48" s="24"/>
      <c r="NGS48" s="24"/>
      <c r="NGT48" s="24"/>
      <c r="NGU48" s="24"/>
      <c r="NGV48" s="24"/>
      <c r="NGW48" s="24"/>
      <c r="NGX48" s="24"/>
      <c r="NGY48" s="24"/>
      <c r="NGZ48" s="24"/>
      <c r="NHA48" s="24"/>
      <c r="NHB48" s="24"/>
      <c r="NHC48" s="24"/>
      <c r="NHD48" s="24"/>
      <c r="NHE48" s="24"/>
      <c r="NHF48" s="24"/>
      <c r="NHG48" s="24"/>
      <c r="NHH48" s="24"/>
      <c r="NHI48" s="24"/>
      <c r="NHJ48" s="24"/>
      <c r="NHK48" s="24"/>
      <c r="NHL48" s="24"/>
      <c r="NHM48" s="24"/>
      <c r="NHN48" s="24"/>
      <c r="NHO48" s="24"/>
      <c r="NHP48" s="24"/>
      <c r="NHQ48" s="24"/>
      <c r="NHR48" s="24"/>
      <c r="NHS48" s="24"/>
      <c r="NHT48" s="24"/>
      <c r="NHU48" s="24"/>
      <c r="NHV48" s="24"/>
      <c r="NHW48" s="24"/>
      <c r="NHX48" s="24"/>
      <c r="NHY48" s="24"/>
      <c r="NHZ48" s="24"/>
      <c r="NIA48" s="24"/>
      <c r="NIB48" s="24"/>
      <c r="NIC48" s="24"/>
      <c r="NID48" s="24"/>
      <c r="NIE48" s="24"/>
      <c r="NIF48" s="24"/>
      <c r="NIG48" s="24"/>
      <c r="NIH48" s="24"/>
      <c r="NII48" s="24"/>
      <c r="NIJ48" s="24"/>
      <c r="NIK48" s="24"/>
      <c r="NIL48" s="24"/>
      <c r="NIM48" s="24"/>
      <c r="NIN48" s="24"/>
      <c r="NIO48" s="24"/>
      <c r="NIP48" s="24"/>
      <c r="NIQ48" s="24"/>
      <c r="NIR48" s="24"/>
      <c r="NIS48" s="24"/>
      <c r="NIT48" s="24"/>
      <c r="NIU48" s="24"/>
      <c r="NIV48" s="24"/>
      <c r="NIW48" s="24"/>
      <c r="NIX48" s="24"/>
      <c r="NIY48" s="24"/>
      <c r="NIZ48" s="24"/>
      <c r="NJA48" s="24"/>
      <c r="NJB48" s="24"/>
      <c r="NJC48" s="24"/>
      <c r="NJD48" s="24"/>
      <c r="NJE48" s="24"/>
      <c r="NJF48" s="24"/>
      <c r="NJG48" s="24"/>
      <c r="NJH48" s="24"/>
      <c r="NJI48" s="24"/>
      <c r="NJJ48" s="24"/>
      <c r="NJK48" s="24"/>
      <c r="NJL48" s="24"/>
      <c r="NJM48" s="24"/>
      <c r="NJN48" s="24"/>
      <c r="NJO48" s="24"/>
      <c r="NJP48" s="24"/>
      <c r="NJQ48" s="24"/>
      <c r="NJR48" s="24"/>
      <c r="NJS48" s="24"/>
      <c r="NJT48" s="24"/>
      <c r="NJU48" s="24"/>
      <c r="NJV48" s="24"/>
      <c r="NJW48" s="24"/>
      <c r="NJX48" s="24"/>
      <c r="NJY48" s="24"/>
      <c r="NJZ48" s="24"/>
      <c r="NKA48" s="24"/>
      <c r="NKB48" s="24"/>
      <c r="NKC48" s="24"/>
      <c r="NKD48" s="24"/>
      <c r="NKE48" s="24"/>
      <c r="NKF48" s="24"/>
      <c r="NKG48" s="24"/>
      <c r="NKH48" s="24"/>
      <c r="NKI48" s="24"/>
      <c r="NKJ48" s="24"/>
      <c r="NKK48" s="24"/>
      <c r="NKL48" s="24"/>
      <c r="NKM48" s="24"/>
      <c r="NKN48" s="24"/>
      <c r="NKO48" s="24"/>
      <c r="NKP48" s="24"/>
      <c r="NKQ48" s="24"/>
      <c r="NKR48" s="24"/>
      <c r="NKS48" s="24"/>
      <c r="NKT48" s="24"/>
      <c r="NKU48" s="24"/>
      <c r="NKV48" s="24"/>
      <c r="NKW48" s="24"/>
      <c r="NKX48" s="24"/>
      <c r="NKY48" s="24"/>
      <c r="NKZ48" s="24"/>
      <c r="NLA48" s="24"/>
      <c r="NLB48" s="24"/>
      <c r="NLC48" s="24"/>
      <c r="NLD48" s="24"/>
      <c r="NLE48" s="24"/>
      <c r="NLF48" s="24"/>
      <c r="NLG48" s="24"/>
      <c r="NLH48" s="24"/>
      <c r="NLI48" s="24"/>
      <c r="NLJ48" s="24"/>
      <c r="NLK48" s="24"/>
      <c r="NLL48" s="24"/>
      <c r="NLM48" s="24"/>
      <c r="NLN48" s="24"/>
      <c r="NLO48" s="24"/>
      <c r="NLP48" s="24"/>
      <c r="NLQ48" s="24"/>
      <c r="NLR48" s="24"/>
      <c r="NLS48" s="24"/>
      <c r="NLT48" s="24"/>
      <c r="NLU48" s="24"/>
      <c r="NLV48" s="24"/>
      <c r="NLW48" s="24"/>
      <c r="NLX48" s="24"/>
      <c r="NLY48" s="24"/>
      <c r="NLZ48" s="24"/>
      <c r="NMA48" s="24"/>
      <c r="NMB48" s="24"/>
      <c r="NMC48" s="24"/>
      <c r="NMD48" s="24"/>
      <c r="NME48" s="24"/>
      <c r="NMF48" s="24"/>
      <c r="NMG48" s="24"/>
      <c r="NMH48" s="24"/>
      <c r="NMI48" s="24"/>
      <c r="NMJ48" s="24"/>
      <c r="NMK48" s="24"/>
      <c r="NML48" s="24"/>
      <c r="NMM48" s="24"/>
      <c r="NMN48" s="24"/>
      <c r="NMO48" s="24"/>
      <c r="NMP48" s="24"/>
      <c r="NMQ48" s="24"/>
      <c r="NMR48" s="24"/>
      <c r="NMS48" s="24"/>
      <c r="NMT48" s="24"/>
      <c r="NMU48" s="24"/>
      <c r="NMV48" s="24"/>
      <c r="NMW48" s="24"/>
      <c r="NMX48" s="24"/>
      <c r="NMY48" s="24"/>
      <c r="NMZ48" s="24"/>
      <c r="NNA48" s="24"/>
      <c r="NNB48" s="24"/>
      <c r="NNC48" s="24"/>
      <c r="NND48" s="24"/>
      <c r="NNE48" s="24"/>
      <c r="NNF48" s="24"/>
      <c r="NNG48" s="24"/>
      <c r="NNH48" s="24"/>
      <c r="NNI48" s="24"/>
      <c r="NNJ48" s="24"/>
      <c r="NNK48" s="24"/>
      <c r="NNL48" s="24"/>
      <c r="NNM48" s="24"/>
      <c r="NNN48" s="24"/>
      <c r="NNO48" s="24"/>
      <c r="NNP48" s="24"/>
      <c r="NNQ48" s="24"/>
      <c r="NNR48" s="24"/>
      <c r="NNS48" s="24"/>
      <c r="NNT48" s="24"/>
      <c r="NNU48" s="24"/>
      <c r="NNV48" s="24"/>
      <c r="NNW48" s="24"/>
      <c r="NNX48" s="24"/>
      <c r="NNY48" s="24"/>
      <c r="NNZ48" s="24"/>
      <c r="NOA48" s="24"/>
      <c r="NOB48" s="24"/>
      <c r="NOC48" s="24"/>
      <c r="NOD48" s="24"/>
      <c r="NOE48" s="24"/>
      <c r="NOF48" s="24"/>
      <c r="NOG48" s="24"/>
      <c r="NOH48" s="24"/>
      <c r="NOI48" s="24"/>
      <c r="NOJ48" s="24"/>
      <c r="NOK48" s="24"/>
      <c r="NOL48" s="24"/>
      <c r="NOM48" s="24"/>
      <c r="NON48" s="24"/>
      <c r="NOO48" s="24"/>
      <c r="NOP48" s="24"/>
      <c r="NOQ48" s="24"/>
      <c r="NOR48" s="24"/>
      <c r="NOS48" s="24"/>
      <c r="NOT48" s="24"/>
      <c r="NOU48" s="24"/>
      <c r="NOV48" s="24"/>
      <c r="NOW48" s="24"/>
      <c r="NOX48" s="24"/>
      <c r="NOY48" s="24"/>
      <c r="NOZ48" s="24"/>
      <c r="NPA48" s="24"/>
      <c r="NPB48" s="24"/>
      <c r="NPC48" s="24"/>
      <c r="NPD48" s="24"/>
      <c r="NPE48" s="24"/>
      <c r="NPF48" s="24"/>
      <c r="NPG48" s="24"/>
      <c r="NPH48" s="24"/>
      <c r="NPI48" s="24"/>
      <c r="NPJ48" s="24"/>
      <c r="NPK48" s="24"/>
      <c r="NPL48" s="24"/>
      <c r="NPM48" s="24"/>
      <c r="NPN48" s="24"/>
      <c r="NPO48" s="24"/>
      <c r="NPP48" s="24"/>
      <c r="NPQ48" s="24"/>
      <c r="NPR48" s="24"/>
      <c r="NPS48" s="24"/>
      <c r="NPT48" s="24"/>
      <c r="NPU48" s="24"/>
      <c r="NPV48" s="24"/>
      <c r="NPW48" s="24"/>
      <c r="NPX48" s="24"/>
      <c r="NPY48" s="24"/>
      <c r="NPZ48" s="24"/>
      <c r="NQA48" s="24"/>
      <c r="NQB48" s="24"/>
      <c r="NQC48" s="24"/>
      <c r="NQD48" s="24"/>
      <c r="NQE48" s="24"/>
      <c r="NQF48" s="24"/>
      <c r="NQG48" s="24"/>
      <c r="NQH48" s="24"/>
      <c r="NQI48" s="24"/>
      <c r="NQJ48" s="24"/>
      <c r="NQK48" s="24"/>
      <c r="NQL48" s="24"/>
      <c r="NQM48" s="24"/>
      <c r="NQN48" s="24"/>
      <c r="NQO48" s="24"/>
      <c r="NQP48" s="24"/>
      <c r="NQQ48" s="24"/>
      <c r="NQR48" s="24"/>
      <c r="NQS48" s="24"/>
      <c r="NQT48" s="24"/>
      <c r="NQU48" s="24"/>
      <c r="NQV48" s="24"/>
      <c r="NQW48" s="24"/>
      <c r="NQX48" s="24"/>
      <c r="NQY48" s="24"/>
      <c r="NQZ48" s="24"/>
      <c r="NRA48" s="24"/>
      <c r="NRB48" s="24"/>
      <c r="NRC48" s="24"/>
      <c r="NRD48" s="24"/>
      <c r="NRE48" s="24"/>
      <c r="NRF48" s="24"/>
      <c r="NRG48" s="24"/>
      <c r="NRH48" s="24"/>
      <c r="NRI48" s="24"/>
      <c r="NRJ48" s="24"/>
      <c r="NRK48" s="24"/>
      <c r="NRL48" s="24"/>
      <c r="NRM48" s="24"/>
      <c r="NRN48" s="24"/>
      <c r="NRO48" s="24"/>
      <c r="NRP48" s="24"/>
      <c r="NRQ48" s="24"/>
      <c r="NRR48" s="24"/>
      <c r="NRS48" s="24"/>
      <c r="NRT48" s="24"/>
      <c r="NRU48" s="24"/>
      <c r="NRV48" s="24"/>
      <c r="NRW48" s="24"/>
      <c r="NRX48" s="24"/>
      <c r="NRY48" s="24"/>
      <c r="NRZ48" s="24"/>
      <c r="NSA48" s="24"/>
      <c r="NSB48" s="24"/>
      <c r="NSC48" s="24"/>
      <c r="NSD48" s="24"/>
      <c r="NSE48" s="24"/>
      <c r="NSF48" s="24"/>
      <c r="NSG48" s="24"/>
      <c r="NSH48" s="24"/>
      <c r="NSI48" s="24"/>
      <c r="NSJ48" s="24"/>
      <c r="NSK48" s="24"/>
      <c r="NSL48" s="24"/>
      <c r="NSM48" s="24"/>
      <c r="NSN48" s="24"/>
      <c r="NSO48" s="24"/>
      <c r="NSP48" s="24"/>
      <c r="NSQ48" s="24"/>
      <c r="NSR48" s="24"/>
      <c r="NSS48" s="24"/>
      <c r="NST48" s="24"/>
      <c r="NSU48" s="24"/>
      <c r="NSV48" s="24"/>
      <c r="NSW48" s="24"/>
      <c r="NSX48" s="24"/>
      <c r="NSY48" s="24"/>
      <c r="NSZ48" s="24"/>
      <c r="NTA48" s="24"/>
      <c r="NTB48" s="24"/>
      <c r="NTC48" s="24"/>
      <c r="NTD48" s="24"/>
      <c r="NTE48" s="24"/>
      <c r="NTF48" s="24"/>
      <c r="NTG48" s="24"/>
      <c r="NTH48" s="24"/>
      <c r="NTI48" s="24"/>
      <c r="NTJ48" s="24"/>
      <c r="NTK48" s="24"/>
      <c r="NTL48" s="24"/>
      <c r="NTM48" s="24"/>
      <c r="NTN48" s="24"/>
      <c r="NTO48" s="24"/>
      <c r="NTP48" s="24"/>
      <c r="NTQ48" s="24"/>
      <c r="NTR48" s="24"/>
      <c r="NTS48" s="24"/>
      <c r="NTT48" s="24"/>
      <c r="NTU48" s="24"/>
      <c r="NTV48" s="24"/>
      <c r="NTW48" s="24"/>
      <c r="NTX48" s="24"/>
      <c r="NTY48" s="24"/>
      <c r="NTZ48" s="24"/>
      <c r="NUA48" s="24"/>
      <c r="NUB48" s="24"/>
      <c r="NUC48" s="24"/>
      <c r="NUD48" s="24"/>
      <c r="NUE48" s="24"/>
      <c r="NUF48" s="24"/>
      <c r="NUG48" s="24"/>
      <c r="NUH48" s="24"/>
      <c r="NUI48" s="24"/>
      <c r="NUJ48" s="24"/>
      <c r="NUK48" s="24"/>
      <c r="NUL48" s="24"/>
      <c r="NUM48" s="24"/>
      <c r="NUN48" s="24"/>
      <c r="NUO48" s="24"/>
      <c r="NUP48" s="24"/>
      <c r="NUQ48" s="24"/>
      <c r="NUR48" s="24"/>
      <c r="NUS48" s="24"/>
      <c r="NUT48" s="24"/>
      <c r="NUU48" s="24"/>
      <c r="NUV48" s="24"/>
      <c r="NUW48" s="24"/>
      <c r="NUX48" s="24"/>
      <c r="NUY48" s="24"/>
      <c r="NUZ48" s="24"/>
      <c r="NVA48" s="24"/>
      <c r="NVB48" s="24"/>
      <c r="NVC48" s="24"/>
      <c r="NVD48" s="24"/>
      <c r="NVE48" s="24"/>
      <c r="NVF48" s="24"/>
      <c r="NVG48" s="24"/>
      <c r="NVH48" s="24"/>
      <c r="NVI48" s="24"/>
      <c r="NVJ48" s="24"/>
      <c r="NVK48" s="24"/>
      <c r="NVL48" s="24"/>
      <c r="NVM48" s="24"/>
      <c r="NVN48" s="24"/>
      <c r="NVO48" s="24"/>
      <c r="NVP48" s="24"/>
      <c r="NVQ48" s="24"/>
      <c r="NVR48" s="24"/>
      <c r="NVS48" s="24"/>
      <c r="NVT48" s="24"/>
      <c r="NVU48" s="24"/>
      <c r="NVV48" s="24"/>
      <c r="NVW48" s="24"/>
      <c r="NVX48" s="24"/>
      <c r="NVY48" s="24"/>
      <c r="NVZ48" s="24"/>
      <c r="NWA48" s="24"/>
      <c r="NWB48" s="24"/>
      <c r="NWC48" s="24"/>
      <c r="NWD48" s="24"/>
      <c r="NWE48" s="24"/>
      <c r="NWF48" s="24"/>
      <c r="NWG48" s="24"/>
      <c r="NWH48" s="24"/>
      <c r="NWI48" s="24"/>
      <c r="NWJ48" s="24"/>
      <c r="NWK48" s="24"/>
      <c r="NWL48" s="24"/>
      <c r="NWM48" s="24"/>
      <c r="NWN48" s="24"/>
      <c r="NWO48" s="24"/>
      <c r="NWP48" s="24"/>
      <c r="NWQ48" s="24"/>
      <c r="NWR48" s="24"/>
      <c r="NWS48" s="24"/>
      <c r="NWT48" s="24"/>
      <c r="NWU48" s="24"/>
      <c r="NWV48" s="24"/>
      <c r="NWW48" s="24"/>
      <c r="NWX48" s="24"/>
      <c r="NWY48" s="24"/>
      <c r="NWZ48" s="24"/>
      <c r="NXA48" s="24"/>
      <c r="NXB48" s="24"/>
      <c r="NXC48" s="24"/>
      <c r="NXD48" s="24"/>
      <c r="NXE48" s="24"/>
      <c r="NXF48" s="24"/>
      <c r="NXG48" s="24"/>
      <c r="NXH48" s="24"/>
      <c r="NXI48" s="24"/>
      <c r="NXJ48" s="24"/>
      <c r="NXK48" s="24"/>
      <c r="NXL48" s="24"/>
      <c r="NXM48" s="24"/>
      <c r="NXN48" s="24"/>
      <c r="NXO48" s="24"/>
      <c r="NXP48" s="24"/>
      <c r="NXQ48" s="24"/>
      <c r="NXR48" s="24"/>
      <c r="NXS48" s="24"/>
      <c r="NXT48" s="24"/>
      <c r="NXU48" s="24"/>
      <c r="NXV48" s="24"/>
      <c r="NXW48" s="24"/>
      <c r="NXX48" s="24"/>
      <c r="NXY48" s="24"/>
      <c r="NXZ48" s="24"/>
      <c r="NYA48" s="24"/>
      <c r="NYB48" s="24"/>
      <c r="NYC48" s="24"/>
      <c r="NYD48" s="24"/>
      <c r="NYE48" s="24"/>
      <c r="NYF48" s="24"/>
      <c r="NYG48" s="24"/>
      <c r="NYH48" s="24"/>
      <c r="NYI48" s="24"/>
      <c r="NYJ48" s="24"/>
      <c r="NYK48" s="24"/>
      <c r="NYL48" s="24"/>
      <c r="NYM48" s="24"/>
      <c r="NYN48" s="24"/>
      <c r="NYO48" s="24"/>
      <c r="NYP48" s="24"/>
      <c r="NYQ48" s="24"/>
      <c r="NYR48" s="24"/>
      <c r="NYS48" s="24"/>
      <c r="NYT48" s="24"/>
      <c r="NYU48" s="24"/>
      <c r="NYV48" s="24"/>
      <c r="NYW48" s="24"/>
      <c r="NYX48" s="24"/>
      <c r="NYY48" s="24"/>
      <c r="NYZ48" s="24"/>
      <c r="NZA48" s="24"/>
      <c r="NZB48" s="24"/>
      <c r="NZC48" s="24"/>
      <c r="NZD48" s="24"/>
      <c r="NZE48" s="24"/>
      <c r="NZF48" s="24"/>
      <c r="NZG48" s="24"/>
      <c r="NZH48" s="24"/>
      <c r="NZI48" s="24"/>
      <c r="NZJ48" s="24"/>
      <c r="NZK48" s="24"/>
      <c r="NZL48" s="24"/>
      <c r="NZM48" s="24"/>
      <c r="NZN48" s="24"/>
      <c r="NZO48" s="24"/>
      <c r="NZP48" s="24"/>
      <c r="NZQ48" s="24"/>
      <c r="NZR48" s="24"/>
      <c r="NZS48" s="24"/>
      <c r="NZT48" s="24"/>
      <c r="NZU48" s="24"/>
      <c r="NZV48" s="24"/>
      <c r="NZW48" s="24"/>
      <c r="NZX48" s="24"/>
      <c r="NZY48" s="24"/>
      <c r="NZZ48" s="24"/>
      <c r="OAA48" s="24"/>
      <c r="OAB48" s="24"/>
      <c r="OAC48" s="24"/>
      <c r="OAD48" s="24"/>
      <c r="OAE48" s="24"/>
      <c r="OAF48" s="24"/>
      <c r="OAG48" s="24"/>
      <c r="OAH48" s="24"/>
      <c r="OAI48" s="24"/>
      <c r="OAJ48" s="24"/>
      <c r="OAK48" s="24"/>
      <c r="OAL48" s="24"/>
      <c r="OAM48" s="24"/>
      <c r="OAN48" s="24"/>
      <c r="OAO48" s="24"/>
      <c r="OAP48" s="24"/>
      <c r="OAQ48" s="24"/>
      <c r="OAR48" s="24"/>
      <c r="OAS48" s="24"/>
      <c r="OAT48" s="24"/>
      <c r="OAU48" s="24"/>
      <c r="OAV48" s="24"/>
      <c r="OAW48" s="24"/>
      <c r="OAX48" s="24"/>
      <c r="OAY48" s="24"/>
      <c r="OAZ48" s="24"/>
      <c r="OBA48" s="24"/>
      <c r="OBB48" s="24"/>
      <c r="OBC48" s="24"/>
      <c r="OBD48" s="24"/>
      <c r="OBE48" s="24"/>
      <c r="OBF48" s="24"/>
      <c r="OBG48" s="24"/>
      <c r="OBH48" s="24"/>
      <c r="OBI48" s="24"/>
      <c r="OBJ48" s="24"/>
      <c r="OBK48" s="24"/>
      <c r="OBL48" s="24"/>
      <c r="OBM48" s="24"/>
      <c r="OBN48" s="24"/>
      <c r="OBO48" s="24"/>
      <c r="OBP48" s="24"/>
      <c r="OBQ48" s="24"/>
      <c r="OBR48" s="24"/>
      <c r="OBS48" s="24"/>
      <c r="OBT48" s="24"/>
      <c r="OBU48" s="24"/>
      <c r="OBV48" s="24"/>
      <c r="OBW48" s="24"/>
      <c r="OBX48" s="24"/>
      <c r="OBY48" s="24"/>
      <c r="OBZ48" s="24"/>
      <c r="OCA48" s="24"/>
      <c r="OCB48" s="24"/>
      <c r="OCC48" s="24"/>
      <c r="OCD48" s="24"/>
      <c r="OCE48" s="24"/>
      <c r="OCF48" s="24"/>
      <c r="OCG48" s="24"/>
      <c r="OCH48" s="24"/>
      <c r="OCI48" s="24"/>
      <c r="OCJ48" s="24"/>
      <c r="OCK48" s="24"/>
      <c r="OCL48" s="24"/>
      <c r="OCM48" s="24"/>
      <c r="OCN48" s="24"/>
      <c r="OCO48" s="24"/>
      <c r="OCP48" s="24"/>
      <c r="OCQ48" s="24"/>
      <c r="OCR48" s="24"/>
      <c r="OCS48" s="24"/>
      <c r="OCT48" s="24"/>
      <c r="OCU48" s="24"/>
      <c r="OCV48" s="24"/>
      <c r="OCW48" s="24"/>
      <c r="OCX48" s="24"/>
      <c r="OCY48" s="24"/>
      <c r="OCZ48" s="24"/>
      <c r="ODA48" s="24"/>
      <c r="ODB48" s="24"/>
      <c r="ODC48" s="24"/>
      <c r="ODD48" s="24"/>
      <c r="ODE48" s="24"/>
      <c r="ODF48" s="24"/>
      <c r="ODG48" s="24"/>
      <c r="ODH48" s="24"/>
      <c r="ODI48" s="24"/>
      <c r="ODJ48" s="24"/>
      <c r="ODK48" s="24"/>
      <c r="ODL48" s="24"/>
      <c r="ODM48" s="24"/>
      <c r="ODN48" s="24"/>
      <c r="ODO48" s="24"/>
      <c r="ODP48" s="24"/>
      <c r="ODQ48" s="24"/>
      <c r="ODR48" s="24"/>
      <c r="ODS48" s="24"/>
      <c r="ODT48" s="24"/>
      <c r="ODU48" s="24"/>
      <c r="ODV48" s="24"/>
      <c r="ODW48" s="24"/>
      <c r="ODX48" s="24"/>
      <c r="ODY48" s="24"/>
      <c r="ODZ48" s="24"/>
      <c r="OEA48" s="24"/>
      <c r="OEB48" s="24"/>
      <c r="OEC48" s="24"/>
      <c r="OED48" s="24"/>
      <c r="OEE48" s="24"/>
      <c r="OEF48" s="24"/>
      <c r="OEG48" s="24"/>
      <c r="OEH48" s="24"/>
      <c r="OEI48" s="24"/>
      <c r="OEJ48" s="24"/>
      <c r="OEK48" s="24"/>
      <c r="OEL48" s="24"/>
      <c r="OEM48" s="24"/>
      <c r="OEN48" s="24"/>
      <c r="OEO48" s="24"/>
      <c r="OEP48" s="24"/>
      <c r="OEQ48" s="24"/>
      <c r="OER48" s="24"/>
      <c r="OES48" s="24"/>
      <c r="OET48" s="24"/>
      <c r="OEU48" s="24"/>
      <c r="OEV48" s="24"/>
      <c r="OEW48" s="24"/>
      <c r="OEX48" s="24"/>
      <c r="OEY48" s="24"/>
      <c r="OEZ48" s="24"/>
      <c r="OFA48" s="24"/>
      <c r="OFB48" s="24"/>
      <c r="OFC48" s="24"/>
      <c r="OFD48" s="24"/>
      <c r="OFE48" s="24"/>
      <c r="OFF48" s="24"/>
      <c r="OFG48" s="24"/>
      <c r="OFH48" s="24"/>
      <c r="OFI48" s="24"/>
      <c r="OFJ48" s="24"/>
      <c r="OFK48" s="24"/>
      <c r="OFL48" s="24"/>
      <c r="OFM48" s="24"/>
      <c r="OFN48" s="24"/>
      <c r="OFO48" s="24"/>
      <c r="OFP48" s="24"/>
      <c r="OFQ48" s="24"/>
      <c r="OFR48" s="24"/>
      <c r="OFS48" s="24"/>
      <c r="OFT48" s="24"/>
      <c r="OFU48" s="24"/>
      <c r="OFV48" s="24"/>
      <c r="OFW48" s="24"/>
      <c r="OFX48" s="24"/>
      <c r="OFY48" s="24"/>
      <c r="OFZ48" s="24"/>
      <c r="OGA48" s="24"/>
      <c r="OGB48" s="24"/>
      <c r="OGC48" s="24"/>
      <c r="OGD48" s="24"/>
      <c r="OGE48" s="24"/>
      <c r="OGF48" s="24"/>
      <c r="OGG48" s="24"/>
      <c r="OGH48" s="24"/>
      <c r="OGI48" s="24"/>
      <c r="OGJ48" s="24"/>
      <c r="OGK48" s="24"/>
      <c r="OGL48" s="24"/>
      <c r="OGM48" s="24"/>
      <c r="OGN48" s="24"/>
      <c r="OGO48" s="24"/>
      <c r="OGP48" s="24"/>
      <c r="OGQ48" s="24"/>
      <c r="OGR48" s="24"/>
      <c r="OGS48" s="24"/>
      <c r="OGT48" s="24"/>
      <c r="OGU48" s="24"/>
      <c r="OGV48" s="24"/>
      <c r="OGW48" s="24"/>
      <c r="OGX48" s="24"/>
      <c r="OGY48" s="24"/>
      <c r="OGZ48" s="24"/>
      <c r="OHA48" s="24"/>
      <c r="OHB48" s="24"/>
      <c r="OHC48" s="24"/>
      <c r="OHD48" s="24"/>
      <c r="OHE48" s="24"/>
      <c r="OHF48" s="24"/>
      <c r="OHG48" s="24"/>
      <c r="OHH48" s="24"/>
      <c r="OHI48" s="24"/>
      <c r="OHJ48" s="24"/>
      <c r="OHK48" s="24"/>
      <c r="OHL48" s="24"/>
      <c r="OHM48" s="24"/>
      <c r="OHN48" s="24"/>
      <c r="OHO48" s="24"/>
      <c r="OHP48" s="24"/>
      <c r="OHQ48" s="24"/>
      <c r="OHR48" s="24"/>
      <c r="OHS48" s="24"/>
      <c r="OHT48" s="24"/>
      <c r="OHU48" s="24"/>
      <c r="OHV48" s="24"/>
      <c r="OHW48" s="24"/>
      <c r="OHX48" s="24"/>
      <c r="OHY48" s="24"/>
      <c r="OHZ48" s="24"/>
      <c r="OIA48" s="24"/>
      <c r="OIB48" s="24"/>
      <c r="OIC48" s="24"/>
      <c r="OID48" s="24"/>
      <c r="OIE48" s="24"/>
      <c r="OIF48" s="24"/>
      <c r="OIG48" s="24"/>
      <c r="OIH48" s="24"/>
      <c r="OII48" s="24"/>
      <c r="OIJ48" s="24"/>
      <c r="OIK48" s="24"/>
      <c r="OIL48" s="24"/>
      <c r="OIM48" s="24"/>
      <c r="OIN48" s="24"/>
      <c r="OIO48" s="24"/>
      <c r="OIP48" s="24"/>
      <c r="OIQ48" s="24"/>
      <c r="OIR48" s="24"/>
      <c r="OIS48" s="24"/>
      <c r="OIT48" s="24"/>
      <c r="OIU48" s="24"/>
      <c r="OIV48" s="24"/>
      <c r="OIW48" s="24"/>
      <c r="OIX48" s="24"/>
      <c r="OIY48" s="24"/>
      <c r="OIZ48" s="24"/>
      <c r="OJA48" s="24"/>
      <c r="OJB48" s="24"/>
      <c r="OJC48" s="24"/>
      <c r="OJD48" s="24"/>
      <c r="OJE48" s="24"/>
      <c r="OJF48" s="24"/>
      <c r="OJG48" s="24"/>
      <c r="OJH48" s="24"/>
      <c r="OJI48" s="24"/>
      <c r="OJJ48" s="24"/>
      <c r="OJK48" s="24"/>
      <c r="OJL48" s="24"/>
      <c r="OJM48" s="24"/>
      <c r="OJN48" s="24"/>
      <c r="OJO48" s="24"/>
      <c r="OJP48" s="24"/>
      <c r="OJQ48" s="24"/>
      <c r="OJR48" s="24"/>
      <c r="OJS48" s="24"/>
      <c r="OJT48" s="24"/>
      <c r="OJU48" s="24"/>
      <c r="OJV48" s="24"/>
      <c r="OJW48" s="24"/>
      <c r="OJX48" s="24"/>
      <c r="OJY48" s="24"/>
      <c r="OJZ48" s="24"/>
      <c r="OKA48" s="24"/>
      <c r="OKB48" s="24"/>
      <c r="OKC48" s="24"/>
      <c r="OKD48" s="24"/>
      <c r="OKE48" s="24"/>
      <c r="OKF48" s="24"/>
      <c r="OKG48" s="24"/>
      <c r="OKH48" s="24"/>
      <c r="OKI48" s="24"/>
      <c r="OKJ48" s="24"/>
      <c r="OKK48" s="24"/>
      <c r="OKL48" s="24"/>
      <c r="OKM48" s="24"/>
      <c r="OKN48" s="24"/>
      <c r="OKO48" s="24"/>
      <c r="OKP48" s="24"/>
      <c r="OKQ48" s="24"/>
      <c r="OKR48" s="24"/>
      <c r="OKS48" s="24"/>
      <c r="OKT48" s="24"/>
      <c r="OKU48" s="24"/>
      <c r="OKV48" s="24"/>
      <c r="OKW48" s="24"/>
      <c r="OKX48" s="24"/>
      <c r="OKY48" s="24"/>
      <c r="OKZ48" s="24"/>
      <c r="OLA48" s="24"/>
      <c r="OLB48" s="24"/>
      <c r="OLC48" s="24"/>
      <c r="OLD48" s="24"/>
      <c r="OLE48" s="24"/>
      <c r="OLF48" s="24"/>
      <c r="OLG48" s="24"/>
      <c r="OLH48" s="24"/>
      <c r="OLI48" s="24"/>
      <c r="OLJ48" s="24"/>
      <c r="OLK48" s="24"/>
      <c r="OLL48" s="24"/>
      <c r="OLM48" s="24"/>
      <c r="OLN48" s="24"/>
      <c r="OLO48" s="24"/>
      <c r="OLP48" s="24"/>
      <c r="OLQ48" s="24"/>
      <c r="OLR48" s="24"/>
      <c r="OLS48" s="24"/>
      <c r="OLT48" s="24"/>
      <c r="OLU48" s="24"/>
      <c r="OLV48" s="24"/>
      <c r="OLW48" s="24"/>
      <c r="OLX48" s="24"/>
      <c r="OLY48" s="24"/>
      <c r="OLZ48" s="24"/>
      <c r="OMA48" s="24"/>
      <c r="OMB48" s="24"/>
      <c r="OMC48" s="24"/>
      <c r="OMD48" s="24"/>
      <c r="OME48" s="24"/>
      <c r="OMF48" s="24"/>
      <c r="OMG48" s="24"/>
      <c r="OMH48" s="24"/>
      <c r="OMI48" s="24"/>
      <c r="OMJ48" s="24"/>
      <c r="OMK48" s="24"/>
      <c r="OML48" s="24"/>
      <c r="OMM48" s="24"/>
      <c r="OMN48" s="24"/>
      <c r="OMO48" s="24"/>
      <c r="OMP48" s="24"/>
      <c r="OMQ48" s="24"/>
      <c r="OMR48" s="24"/>
      <c r="OMS48" s="24"/>
      <c r="OMT48" s="24"/>
      <c r="OMU48" s="24"/>
      <c r="OMV48" s="24"/>
      <c r="OMW48" s="24"/>
      <c r="OMX48" s="24"/>
      <c r="OMY48" s="24"/>
      <c r="OMZ48" s="24"/>
      <c r="ONA48" s="24"/>
      <c r="ONB48" s="24"/>
      <c r="ONC48" s="24"/>
      <c r="OND48" s="24"/>
      <c r="ONE48" s="24"/>
      <c r="ONF48" s="24"/>
      <c r="ONG48" s="24"/>
      <c r="ONH48" s="24"/>
      <c r="ONI48" s="24"/>
      <c r="ONJ48" s="24"/>
      <c r="ONK48" s="24"/>
      <c r="ONL48" s="24"/>
      <c r="ONM48" s="24"/>
      <c r="ONN48" s="24"/>
      <c r="ONO48" s="24"/>
      <c r="ONP48" s="24"/>
      <c r="ONQ48" s="24"/>
      <c r="ONR48" s="24"/>
      <c r="ONS48" s="24"/>
      <c r="ONT48" s="24"/>
      <c r="ONU48" s="24"/>
      <c r="ONV48" s="24"/>
      <c r="ONW48" s="24"/>
      <c r="ONX48" s="24"/>
      <c r="ONY48" s="24"/>
      <c r="ONZ48" s="24"/>
      <c r="OOA48" s="24"/>
      <c r="OOB48" s="24"/>
      <c r="OOC48" s="24"/>
      <c r="OOD48" s="24"/>
      <c r="OOE48" s="24"/>
      <c r="OOF48" s="24"/>
      <c r="OOG48" s="24"/>
      <c r="OOH48" s="24"/>
      <c r="OOI48" s="24"/>
      <c r="OOJ48" s="24"/>
      <c r="OOK48" s="24"/>
      <c r="OOL48" s="24"/>
      <c r="OOM48" s="24"/>
      <c r="OON48" s="24"/>
      <c r="OOO48" s="24"/>
      <c r="OOP48" s="24"/>
      <c r="OOQ48" s="24"/>
      <c r="OOR48" s="24"/>
      <c r="OOS48" s="24"/>
      <c r="OOT48" s="24"/>
      <c r="OOU48" s="24"/>
      <c r="OOV48" s="24"/>
      <c r="OOW48" s="24"/>
      <c r="OOX48" s="24"/>
      <c r="OOY48" s="24"/>
      <c r="OOZ48" s="24"/>
      <c r="OPA48" s="24"/>
      <c r="OPB48" s="24"/>
      <c r="OPC48" s="24"/>
      <c r="OPD48" s="24"/>
      <c r="OPE48" s="24"/>
      <c r="OPF48" s="24"/>
      <c r="OPG48" s="24"/>
      <c r="OPH48" s="24"/>
      <c r="OPI48" s="24"/>
      <c r="OPJ48" s="24"/>
      <c r="OPK48" s="24"/>
      <c r="OPL48" s="24"/>
      <c r="OPM48" s="24"/>
      <c r="OPN48" s="24"/>
      <c r="OPO48" s="24"/>
      <c r="OPP48" s="24"/>
      <c r="OPQ48" s="24"/>
      <c r="OPR48" s="24"/>
      <c r="OPS48" s="24"/>
      <c r="OPT48" s="24"/>
      <c r="OPU48" s="24"/>
      <c r="OPV48" s="24"/>
      <c r="OPW48" s="24"/>
      <c r="OPX48" s="24"/>
      <c r="OPY48" s="24"/>
      <c r="OPZ48" s="24"/>
      <c r="OQA48" s="24"/>
      <c r="OQB48" s="24"/>
      <c r="OQC48" s="24"/>
      <c r="OQD48" s="24"/>
      <c r="OQE48" s="24"/>
      <c r="OQF48" s="24"/>
      <c r="OQG48" s="24"/>
      <c r="OQH48" s="24"/>
      <c r="OQI48" s="24"/>
      <c r="OQJ48" s="24"/>
      <c r="OQK48" s="24"/>
      <c r="OQL48" s="24"/>
      <c r="OQM48" s="24"/>
      <c r="OQN48" s="24"/>
      <c r="OQO48" s="24"/>
      <c r="OQP48" s="24"/>
      <c r="OQQ48" s="24"/>
      <c r="OQR48" s="24"/>
      <c r="OQS48" s="24"/>
      <c r="OQT48" s="24"/>
      <c r="OQU48" s="24"/>
      <c r="OQV48" s="24"/>
      <c r="OQW48" s="24"/>
      <c r="OQX48" s="24"/>
      <c r="OQY48" s="24"/>
      <c r="OQZ48" s="24"/>
      <c r="ORA48" s="24"/>
      <c r="ORB48" s="24"/>
      <c r="ORC48" s="24"/>
      <c r="ORD48" s="24"/>
      <c r="ORE48" s="24"/>
      <c r="ORF48" s="24"/>
      <c r="ORG48" s="24"/>
      <c r="ORH48" s="24"/>
      <c r="ORI48" s="24"/>
      <c r="ORJ48" s="24"/>
      <c r="ORK48" s="24"/>
      <c r="ORL48" s="24"/>
      <c r="ORM48" s="24"/>
      <c r="ORN48" s="24"/>
      <c r="ORO48" s="24"/>
      <c r="ORP48" s="24"/>
      <c r="ORQ48" s="24"/>
      <c r="ORR48" s="24"/>
      <c r="ORS48" s="24"/>
      <c r="ORT48" s="24"/>
      <c r="ORU48" s="24"/>
      <c r="ORV48" s="24"/>
      <c r="ORW48" s="24"/>
      <c r="ORX48" s="24"/>
      <c r="ORY48" s="24"/>
      <c r="ORZ48" s="24"/>
      <c r="OSA48" s="24"/>
      <c r="OSB48" s="24"/>
      <c r="OSC48" s="24"/>
      <c r="OSD48" s="24"/>
      <c r="OSE48" s="24"/>
      <c r="OSF48" s="24"/>
      <c r="OSG48" s="24"/>
      <c r="OSH48" s="24"/>
      <c r="OSI48" s="24"/>
      <c r="OSJ48" s="24"/>
      <c r="OSK48" s="24"/>
      <c r="OSL48" s="24"/>
      <c r="OSM48" s="24"/>
      <c r="OSN48" s="24"/>
      <c r="OSO48" s="24"/>
      <c r="OSP48" s="24"/>
      <c r="OSQ48" s="24"/>
      <c r="OSR48" s="24"/>
      <c r="OSS48" s="24"/>
      <c r="OST48" s="24"/>
      <c r="OSU48" s="24"/>
      <c r="OSV48" s="24"/>
      <c r="OSW48" s="24"/>
      <c r="OSX48" s="24"/>
      <c r="OSY48" s="24"/>
      <c r="OSZ48" s="24"/>
      <c r="OTA48" s="24"/>
      <c r="OTB48" s="24"/>
      <c r="OTC48" s="24"/>
      <c r="OTD48" s="24"/>
      <c r="OTE48" s="24"/>
      <c r="OTF48" s="24"/>
      <c r="OTG48" s="24"/>
      <c r="OTH48" s="24"/>
      <c r="OTI48" s="24"/>
      <c r="OTJ48" s="24"/>
      <c r="OTK48" s="24"/>
      <c r="OTL48" s="24"/>
      <c r="OTM48" s="24"/>
      <c r="OTN48" s="24"/>
      <c r="OTO48" s="24"/>
      <c r="OTP48" s="24"/>
      <c r="OTQ48" s="24"/>
      <c r="OTR48" s="24"/>
      <c r="OTS48" s="24"/>
      <c r="OTT48" s="24"/>
      <c r="OTU48" s="24"/>
      <c r="OTV48" s="24"/>
      <c r="OTW48" s="24"/>
      <c r="OTX48" s="24"/>
      <c r="OTY48" s="24"/>
      <c r="OTZ48" s="24"/>
      <c r="OUA48" s="24"/>
      <c r="OUB48" s="24"/>
      <c r="OUC48" s="24"/>
      <c r="OUD48" s="24"/>
      <c r="OUE48" s="24"/>
      <c r="OUF48" s="24"/>
      <c r="OUG48" s="24"/>
      <c r="OUH48" s="24"/>
      <c r="OUI48" s="24"/>
      <c r="OUJ48" s="24"/>
      <c r="OUK48" s="24"/>
      <c r="OUL48" s="24"/>
      <c r="OUM48" s="24"/>
      <c r="OUN48" s="24"/>
      <c r="OUO48" s="24"/>
      <c r="OUP48" s="24"/>
      <c r="OUQ48" s="24"/>
      <c r="OUR48" s="24"/>
      <c r="OUS48" s="24"/>
      <c r="OUT48" s="24"/>
      <c r="OUU48" s="24"/>
      <c r="OUV48" s="24"/>
      <c r="OUW48" s="24"/>
      <c r="OUX48" s="24"/>
      <c r="OUY48" s="24"/>
      <c r="OUZ48" s="24"/>
      <c r="OVA48" s="24"/>
      <c r="OVB48" s="24"/>
      <c r="OVC48" s="24"/>
      <c r="OVD48" s="24"/>
      <c r="OVE48" s="24"/>
      <c r="OVF48" s="24"/>
      <c r="OVG48" s="24"/>
      <c r="OVH48" s="24"/>
      <c r="OVI48" s="24"/>
      <c r="OVJ48" s="24"/>
      <c r="OVK48" s="24"/>
      <c r="OVL48" s="24"/>
      <c r="OVM48" s="24"/>
      <c r="OVN48" s="24"/>
      <c r="OVO48" s="24"/>
      <c r="OVP48" s="24"/>
      <c r="OVQ48" s="24"/>
      <c r="OVR48" s="24"/>
      <c r="OVS48" s="24"/>
      <c r="OVT48" s="24"/>
      <c r="OVU48" s="24"/>
      <c r="OVV48" s="24"/>
      <c r="OVW48" s="24"/>
      <c r="OVX48" s="24"/>
      <c r="OVY48" s="24"/>
      <c r="OVZ48" s="24"/>
      <c r="OWA48" s="24"/>
      <c r="OWB48" s="24"/>
      <c r="OWC48" s="24"/>
      <c r="OWD48" s="24"/>
      <c r="OWE48" s="24"/>
      <c r="OWF48" s="24"/>
      <c r="OWG48" s="24"/>
      <c r="OWH48" s="24"/>
      <c r="OWI48" s="24"/>
      <c r="OWJ48" s="24"/>
      <c r="OWK48" s="24"/>
      <c r="OWL48" s="24"/>
      <c r="OWM48" s="24"/>
      <c r="OWN48" s="24"/>
      <c r="OWO48" s="24"/>
      <c r="OWP48" s="24"/>
      <c r="OWQ48" s="24"/>
      <c r="OWR48" s="24"/>
      <c r="OWS48" s="24"/>
      <c r="OWT48" s="24"/>
      <c r="OWU48" s="24"/>
      <c r="OWV48" s="24"/>
      <c r="OWW48" s="24"/>
      <c r="OWX48" s="24"/>
      <c r="OWY48" s="24"/>
      <c r="OWZ48" s="24"/>
      <c r="OXA48" s="24"/>
      <c r="OXB48" s="24"/>
      <c r="OXC48" s="24"/>
      <c r="OXD48" s="24"/>
      <c r="OXE48" s="24"/>
      <c r="OXF48" s="24"/>
      <c r="OXG48" s="24"/>
      <c r="OXH48" s="24"/>
      <c r="OXI48" s="24"/>
      <c r="OXJ48" s="24"/>
      <c r="OXK48" s="24"/>
      <c r="OXL48" s="24"/>
      <c r="OXM48" s="24"/>
      <c r="OXN48" s="24"/>
      <c r="OXO48" s="24"/>
      <c r="OXP48" s="24"/>
      <c r="OXQ48" s="24"/>
      <c r="OXR48" s="24"/>
      <c r="OXS48" s="24"/>
      <c r="OXT48" s="24"/>
      <c r="OXU48" s="24"/>
      <c r="OXV48" s="24"/>
      <c r="OXW48" s="24"/>
      <c r="OXX48" s="24"/>
      <c r="OXY48" s="24"/>
      <c r="OXZ48" s="24"/>
      <c r="OYA48" s="24"/>
      <c r="OYB48" s="24"/>
      <c r="OYC48" s="24"/>
      <c r="OYD48" s="24"/>
      <c r="OYE48" s="24"/>
      <c r="OYF48" s="24"/>
      <c r="OYG48" s="24"/>
      <c r="OYH48" s="24"/>
      <c r="OYI48" s="24"/>
      <c r="OYJ48" s="24"/>
      <c r="OYK48" s="24"/>
      <c r="OYL48" s="24"/>
      <c r="OYM48" s="24"/>
      <c r="OYN48" s="24"/>
      <c r="OYO48" s="24"/>
      <c r="OYP48" s="24"/>
      <c r="OYQ48" s="24"/>
      <c r="OYR48" s="24"/>
      <c r="OYS48" s="24"/>
      <c r="OYT48" s="24"/>
      <c r="OYU48" s="24"/>
      <c r="OYV48" s="24"/>
      <c r="OYW48" s="24"/>
      <c r="OYX48" s="24"/>
      <c r="OYY48" s="24"/>
      <c r="OYZ48" s="24"/>
      <c r="OZA48" s="24"/>
      <c r="OZB48" s="24"/>
      <c r="OZC48" s="24"/>
      <c r="OZD48" s="24"/>
      <c r="OZE48" s="24"/>
      <c r="OZF48" s="24"/>
      <c r="OZG48" s="24"/>
      <c r="OZH48" s="24"/>
      <c r="OZI48" s="24"/>
      <c r="OZJ48" s="24"/>
      <c r="OZK48" s="24"/>
      <c r="OZL48" s="24"/>
      <c r="OZM48" s="24"/>
      <c r="OZN48" s="24"/>
      <c r="OZO48" s="24"/>
      <c r="OZP48" s="24"/>
      <c r="OZQ48" s="24"/>
      <c r="OZR48" s="24"/>
      <c r="OZS48" s="24"/>
      <c r="OZT48" s="24"/>
      <c r="OZU48" s="24"/>
      <c r="OZV48" s="24"/>
      <c r="OZW48" s="24"/>
      <c r="OZX48" s="24"/>
      <c r="OZY48" s="24"/>
      <c r="OZZ48" s="24"/>
      <c r="PAA48" s="24"/>
      <c r="PAB48" s="24"/>
      <c r="PAC48" s="24"/>
      <c r="PAD48" s="24"/>
      <c r="PAE48" s="24"/>
      <c r="PAF48" s="24"/>
      <c r="PAG48" s="24"/>
      <c r="PAH48" s="24"/>
      <c r="PAI48" s="24"/>
      <c r="PAJ48" s="24"/>
      <c r="PAK48" s="24"/>
      <c r="PAL48" s="24"/>
      <c r="PAM48" s="24"/>
      <c r="PAN48" s="24"/>
      <c r="PAO48" s="24"/>
      <c r="PAP48" s="24"/>
      <c r="PAQ48" s="24"/>
      <c r="PAR48" s="24"/>
      <c r="PAS48" s="24"/>
      <c r="PAT48" s="24"/>
      <c r="PAU48" s="24"/>
      <c r="PAV48" s="24"/>
      <c r="PAW48" s="24"/>
      <c r="PAX48" s="24"/>
      <c r="PAY48" s="24"/>
      <c r="PAZ48" s="24"/>
      <c r="PBA48" s="24"/>
      <c r="PBB48" s="24"/>
      <c r="PBC48" s="24"/>
      <c r="PBD48" s="24"/>
      <c r="PBE48" s="24"/>
      <c r="PBF48" s="24"/>
      <c r="PBG48" s="24"/>
      <c r="PBH48" s="24"/>
      <c r="PBI48" s="24"/>
      <c r="PBJ48" s="24"/>
      <c r="PBK48" s="24"/>
      <c r="PBL48" s="24"/>
      <c r="PBM48" s="24"/>
      <c r="PBN48" s="24"/>
      <c r="PBO48" s="24"/>
      <c r="PBP48" s="24"/>
      <c r="PBQ48" s="24"/>
      <c r="PBR48" s="24"/>
      <c r="PBS48" s="24"/>
      <c r="PBT48" s="24"/>
      <c r="PBU48" s="24"/>
      <c r="PBV48" s="24"/>
      <c r="PBW48" s="24"/>
      <c r="PBX48" s="24"/>
      <c r="PBY48" s="24"/>
      <c r="PBZ48" s="24"/>
      <c r="PCA48" s="24"/>
      <c r="PCB48" s="24"/>
      <c r="PCC48" s="24"/>
      <c r="PCD48" s="24"/>
      <c r="PCE48" s="24"/>
      <c r="PCF48" s="24"/>
      <c r="PCG48" s="24"/>
      <c r="PCH48" s="24"/>
      <c r="PCI48" s="24"/>
      <c r="PCJ48" s="24"/>
      <c r="PCK48" s="24"/>
      <c r="PCL48" s="24"/>
      <c r="PCM48" s="24"/>
      <c r="PCN48" s="24"/>
      <c r="PCO48" s="24"/>
      <c r="PCP48" s="24"/>
      <c r="PCQ48" s="24"/>
      <c r="PCR48" s="24"/>
      <c r="PCS48" s="24"/>
      <c r="PCT48" s="24"/>
      <c r="PCU48" s="24"/>
      <c r="PCV48" s="24"/>
      <c r="PCW48" s="24"/>
      <c r="PCX48" s="24"/>
      <c r="PCY48" s="24"/>
      <c r="PCZ48" s="24"/>
      <c r="PDA48" s="24"/>
      <c r="PDB48" s="24"/>
      <c r="PDC48" s="24"/>
      <c r="PDD48" s="24"/>
      <c r="PDE48" s="24"/>
      <c r="PDF48" s="24"/>
      <c r="PDG48" s="24"/>
      <c r="PDH48" s="24"/>
      <c r="PDI48" s="24"/>
      <c r="PDJ48" s="24"/>
      <c r="PDK48" s="24"/>
      <c r="PDL48" s="24"/>
      <c r="PDM48" s="24"/>
      <c r="PDN48" s="24"/>
      <c r="PDO48" s="24"/>
      <c r="PDP48" s="24"/>
      <c r="PDQ48" s="24"/>
      <c r="PDR48" s="24"/>
      <c r="PDS48" s="24"/>
      <c r="PDT48" s="24"/>
      <c r="PDU48" s="24"/>
      <c r="PDV48" s="24"/>
      <c r="PDW48" s="24"/>
      <c r="PDX48" s="24"/>
      <c r="PDY48" s="24"/>
      <c r="PDZ48" s="24"/>
      <c r="PEA48" s="24"/>
      <c r="PEB48" s="24"/>
      <c r="PEC48" s="24"/>
      <c r="PED48" s="24"/>
      <c r="PEE48" s="24"/>
      <c r="PEF48" s="24"/>
      <c r="PEG48" s="24"/>
      <c r="PEH48" s="24"/>
      <c r="PEI48" s="24"/>
      <c r="PEJ48" s="24"/>
      <c r="PEK48" s="24"/>
      <c r="PEL48" s="24"/>
      <c r="PEM48" s="24"/>
      <c r="PEN48" s="24"/>
      <c r="PEO48" s="24"/>
      <c r="PEP48" s="24"/>
      <c r="PEQ48" s="24"/>
      <c r="PER48" s="24"/>
      <c r="PES48" s="24"/>
      <c r="PET48" s="24"/>
      <c r="PEU48" s="24"/>
      <c r="PEV48" s="24"/>
      <c r="PEW48" s="24"/>
      <c r="PEX48" s="24"/>
      <c r="PEY48" s="24"/>
      <c r="PEZ48" s="24"/>
      <c r="PFA48" s="24"/>
      <c r="PFB48" s="24"/>
      <c r="PFC48" s="24"/>
      <c r="PFD48" s="24"/>
      <c r="PFE48" s="24"/>
      <c r="PFF48" s="24"/>
      <c r="PFG48" s="24"/>
      <c r="PFH48" s="24"/>
      <c r="PFI48" s="24"/>
      <c r="PFJ48" s="24"/>
      <c r="PFK48" s="24"/>
      <c r="PFL48" s="24"/>
      <c r="PFM48" s="24"/>
      <c r="PFN48" s="24"/>
      <c r="PFO48" s="24"/>
      <c r="PFP48" s="24"/>
      <c r="PFQ48" s="24"/>
      <c r="PFR48" s="24"/>
      <c r="PFS48" s="24"/>
      <c r="PFT48" s="24"/>
      <c r="PFU48" s="24"/>
      <c r="PFV48" s="24"/>
      <c r="PFW48" s="24"/>
      <c r="PFX48" s="24"/>
      <c r="PFY48" s="24"/>
      <c r="PFZ48" s="24"/>
      <c r="PGA48" s="24"/>
      <c r="PGB48" s="24"/>
      <c r="PGC48" s="24"/>
      <c r="PGD48" s="24"/>
      <c r="PGE48" s="24"/>
      <c r="PGF48" s="24"/>
      <c r="PGG48" s="24"/>
      <c r="PGH48" s="24"/>
      <c r="PGI48" s="24"/>
      <c r="PGJ48" s="24"/>
      <c r="PGK48" s="24"/>
      <c r="PGL48" s="24"/>
      <c r="PGM48" s="24"/>
      <c r="PGN48" s="24"/>
      <c r="PGO48" s="24"/>
      <c r="PGP48" s="24"/>
      <c r="PGQ48" s="24"/>
      <c r="PGR48" s="24"/>
      <c r="PGS48" s="24"/>
      <c r="PGT48" s="24"/>
      <c r="PGU48" s="24"/>
      <c r="PGV48" s="24"/>
      <c r="PGW48" s="24"/>
      <c r="PGX48" s="24"/>
      <c r="PGY48" s="24"/>
      <c r="PGZ48" s="24"/>
      <c r="PHA48" s="24"/>
      <c r="PHB48" s="24"/>
      <c r="PHC48" s="24"/>
      <c r="PHD48" s="24"/>
      <c r="PHE48" s="24"/>
      <c r="PHF48" s="24"/>
      <c r="PHG48" s="24"/>
      <c r="PHH48" s="24"/>
      <c r="PHI48" s="24"/>
      <c r="PHJ48" s="24"/>
      <c r="PHK48" s="24"/>
      <c r="PHL48" s="24"/>
      <c r="PHM48" s="24"/>
      <c r="PHN48" s="24"/>
      <c r="PHO48" s="24"/>
      <c r="PHP48" s="24"/>
      <c r="PHQ48" s="24"/>
      <c r="PHR48" s="24"/>
      <c r="PHS48" s="24"/>
      <c r="PHT48" s="24"/>
      <c r="PHU48" s="24"/>
      <c r="PHV48" s="24"/>
      <c r="PHW48" s="24"/>
      <c r="PHX48" s="24"/>
      <c r="PHY48" s="24"/>
      <c r="PHZ48" s="24"/>
      <c r="PIA48" s="24"/>
      <c r="PIB48" s="24"/>
      <c r="PIC48" s="24"/>
      <c r="PID48" s="24"/>
      <c r="PIE48" s="24"/>
      <c r="PIF48" s="24"/>
      <c r="PIG48" s="24"/>
      <c r="PIH48" s="24"/>
      <c r="PII48" s="24"/>
      <c r="PIJ48" s="24"/>
      <c r="PIK48" s="24"/>
      <c r="PIL48" s="24"/>
      <c r="PIM48" s="24"/>
      <c r="PIN48" s="24"/>
      <c r="PIO48" s="24"/>
      <c r="PIP48" s="24"/>
      <c r="PIQ48" s="24"/>
      <c r="PIR48" s="24"/>
      <c r="PIS48" s="24"/>
      <c r="PIT48" s="24"/>
      <c r="PIU48" s="24"/>
      <c r="PIV48" s="24"/>
      <c r="PIW48" s="24"/>
      <c r="PIX48" s="24"/>
      <c r="PIY48" s="24"/>
      <c r="PIZ48" s="24"/>
      <c r="PJA48" s="24"/>
      <c r="PJB48" s="24"/>
      <c r="PJC48" s="24"/>
      <c r="PJD48" s="24"/>
      <c r="PJE48" s="24"/>
      <c r="PJF48" s="24"/>
      <c r="PJG48" s="24"/>
      <c r="PJH48" s="24"/>
      <c r="PJI48" s="24"/>
      <c r="PJJ48" s="24"/>
      <c r="PJK48" s="24"/>
      <c r="PJL48" s="24"/>
      <c r="PJM48" s="24"/>
      <c r="PJN48" s="24"/>
      <c r="PJO48" s="24"/>
      <c r="PJP48" s="24"/>
      <c r="PJQ48" s="24"/>
      <c r="PJR48" s="24"/>
      <c r="PJS48" s="24"/>
      <c r="PJT48" s="24"/>
      <c r="PJU48" s="24"/>
      <c r="PJV48" s="24"/>
      <c r="PJW48" s="24"/>
      <c r="PJX48" s="24"/>
      <c r="PJY48" s="24"/>
      <c r="PJZ48" s="24"/>
      <c r="PKA48" s="24"/>
      <c r="PKB48" s="24"/>
      <c r="PKC48" s="24"/>
      <c r="PKD48" s="24"/>
      <c r="PKE48" s="24"/>
      <c r="PKF48" s="24"/>
      <c r="PKG48" s="24"/>
      <c r="PKH48" s="24"/>
      <c r="PKI48" s="24"/>
      <c r="PKJ48" s="24"/>
      <c r="PKK48" s="24"/>
      <c r="PKL48" s="24"/>
      <c r="PKM48" s="24"/>
      <c r="PKN48" s="24"/>
      <c r="PKO48" s="24"/>
      <c r="PKP48" s="24"/>
      <c r="PKQ48" s="24"/>
      <c r="PKR48" s="24"/>
      <c r="PKS48" s="24"/>
      <c r="PKT48" s="24"/>
      <c r="PKU48" s="24"/>
      <c r="PKV48" s="24"/>
      <c r="PKW48" s="24"/>
      <c r="PKX48" s="24"/>
      <c r="PKY48" s="24"/>
      <c r="PKZ48" s="24"/>
      <c r="PLA48" s="24"/>
      <c r="PLB48" s="24"/>
      <c r="PLC48" s="24"/>
      <c r="PLD48" s="24"/>
      <c r="PLE48" s="24"/>
      <c r="PLF48" s="24"/>
      <c r="PLG48" s="24"/>
      <c r="PLH48" s="24"/>
      <c r="PLI48" s="24"/>
      <c r="PLJ48" s="24"/>
      <c r="PLK48" s="24"/>
      <c r="PLL48" s="24"/>
      <c r="PLM48" s="24"/>
      <c r="PLN48" s="24"/>
      <c r="PLO48" s="24"/>
      <c r="PLP48" s="24"/>
      <c r="PLQ48" s="24"/>
      <c r="PLR48" s="24"/>
      <c r="PLS48" s="24"/>
      <c r="PLT48" s="24"/>
      <c r="PLU48" s="24"/>
      <c r="PLV48" s="24"/>
      <c r="PLW48" s="24"/>
      <c r="PLX48" s="24"/>
      <c r="PLY48" s="24"/>
      <c r="PLZ48" s="24"/>
      <c r="PMA48" s="24"/>
      <c r="PMB48" s="24"/>
      <c r="PMC48" s="24"/>
      <c r="PMD48" s="24"/>
      <c r="PME48" s="24"/>
      <c r="PMF48" s="24"/>
      <c r="PMG48" s="24"/>
      <c r="PMH48" s="24"/>
      <c r="PMI48" s="24"/>
      <c r="PMJ48" s="24"/>
      <c r="PMK48" s="24"/>
      <c r="PML48" s="24"/>
      <c r="PMM48" s="24"/>
      <c r="PMN48" s="24"/>
      <c r="PMO48" s="24"/>
      <c r="PMP48" s="24"/>
      <c r="PMQ48" s="24"/>
      <c r="PMR48" s="24"/>
      <c r="PMS48" s="24"/>
      <c r="PMT48" s="24"/>
      <c r="PMU48" s="24"/>
      <c r="PMV48" s="24"/>
      <c r="PMW48" s="24"/>
      <c r="PMX48" s="24"/>
      <c r="PMY48" s="24"/>
      <c r="PMZ48" s="24"/>
      <c r="PNA48" s="24"/>
      <c r="PNB48" s="24"/>
      <c r="PNC48" s="24"/>
      <c r="PND48" s="24"/>
      <c r="PNE48" s="24"/>
      <c r="PNF48" s="24"/>
      <c r="PNG48" s="24"/>
      <c r="PNH48" s="24"/>
      <c r="PNI48" s="24"/>
      <c r="PNJ48" s="24"/>
      <c r="PNK48" s="24"/>
      <c r="PNL48" s="24"/>
      <c r="PNM48" s="24"/>
      <c r="PNN48" s="24"/>
      <c r="PNO48" s="24"/>
      <c r="PNP48" s="24"/>
      <c r="PNQ48" s="24"/>
      <c r="PNR48" s="24"/>
      <c r="PNS48" s="24"/>
      <c r="PNT48" s="24"/>
      <c r="PNU48" s="24"/>
      <c r="PNV48" s="24"/>
      <c r="PNW48" s="24"/>
      <c r="PNX48" s="24"/>
      <c r="PNY48" s="24"/>
      <c r="PNZ48" s="24"/>
      <c r="POA48" s="24"/>
      <c r="POB48" s="24"/>
      <c r="POC48" s="24"/>
      <c r="POD48" s="24"/>
      <c r="POE48" s="24"/>
      <c r="POF48" s="24"/>
      <c r="POG48" s="24"/>
      <c r="POH48" s="24"/>
      <c r="POI48" s="24"/>
      <c r="POJ48" s="24"/>
      <c r="POK48" s="24"/>
      <c r="POL48" s="24"/>
      <c r="POM48" s="24"/>
      <c r="PON48" s="24"/>
      <c r="POO48" s="24"/>
      <c r="POP48" s="24"/>
      <c r="POQ48" s="24"/>
      <c r="POR48" s="24"/>
      <c r="POS48" s="24"/>
      <c r="POT48" s="24"/>
      <c r="POU48" s="24"/>
      <c r="POV48" s="24"/>
      <c r="POW48" s="24"/>
      <c r="POX48" s="24"/>
      <c r="POY48" s="24"/>
      <c r="POZ48" s="24"/>
      <c r="PPA48" s="24"/>
      <c r="PPB48" s="24"/>
      <c r="PPC48" s="24"/>
      <c r="PPD48" s="24"/>
      <c r="PPE48" s="24"/>
      <c r="PPF48" s="24"/>
      <c r="PPG48" s="24"/>
      <c r="PPH48" s="24"/>
      <c r="PPI48" s="24"/>
      <c r="PPJ48" s="24"/>
      <c r="PPK48" s="24"/>
      <c r="PPL48" s="24"/>
      <c r="PPM48" s="24"/>
      <c r="PPN48" s="24"/>
      <c r="PPO48" s="24"/>
      <c r="PPP48" s="24"/>
      <c r="PPQ48" s="24"/>
      <c r="PPR48" s="24"/>
      <c r="PPS48" s="24"/>
      <c r="PPT48" s="24"/>
      <c r="PPU48" s="24"/>
      <c r="PPV48" s="24"/>
      <c r="PPW48" s="24"/>
      <c r="PPX48" s="24"/>
      <c r="PPY48" s="24"/>
      <c r="PPZ48" s="24"/>
      <c r="PQA48" s="24"/>
      <c r="PQB48" s="24"/>
      <c r="PQC48" s="24"/>
      <c r="PQD48" s="24"/>
      <c r="PQE48" s="24"/>
      <c r="PQF48" s="24"/>
      <c r="PQG48" s="24"/>
      <c r="PQH48" s="24"/>
      <c r="PQI48" s="24"/>
      <c r="PQJ48" s="24"/>
      <c r="PQK48" s="24"/>
      <c r="PQL48" s="24"/>
      <c r="PQM48" s="24"/>
      <c r="PQN48" s="24"/>
      <c r="PQO48" s="24"/>
      <c r="PQP48" s="24"/>
      <c r="PQQ48" s="24"/>
      <c r="PQR48" s="24"/>
      <c r="PQS48" s="24"/>
      <c r="PQT48" s="24"/>
      <c r="PQU48" s="24"/>
      <c r="PQV48" s="24"/>
      <c r="PQW48" s="24"/>
      <c r="PQX48" s="24"/>
      <c r="PQY48" s="24"/>
      <c r="PQZ48" s="24"/>
      <c r="PRA48" s="24"/>
      <c r="PRB48" s="24"/>
      <c r="PRC48" s="24"/>
      <c r="PRD48" s="24"/>
      <c r="PRE48" s="24"/>
      <c r="PRF48" s="24"/>
      <c r="PRG48" s="24"/>
      <c r="PRH48" s="24"/>
      <c r="PRI48" s="24"/>
      <c r="PRJ48" s="24"/>
      <c r="PRK48" s="24"/>
      <c r="PRL48" s="24"/>
      <c r="PRM48" s="24"/>
      <c r="PRN48" s="24"/>
      <c r="PRO48" s="24"/>
      <c r="PRP48" s="24"/>
      <c r="PRQ48" s="24"/>
      <c r="PRR48" s="24"/>
      <c r="PRS48" s="24"/>
      <c r="PRT48" s="24"/>
      <c r="PRU48" s="24"/>
      <c r="PRV48" s="24"/>
      <c r="PRW48" s="24"/>
      <c r="PRX48" s="24"/>
      <c r="PRY48" s="24"/>
      <c r="PRZ48" s="24"/>
      <c r="PSA48" s="24"/>
      <c r="PSB48" s="24"/>
      <c r="PSC48" s="24"/>
      <c r="PSD48" s="24"/>
      <c r="PSE48" s="24"/>
      <c r="PSF48" s="24"/>
      <c r="PSG48" s="24"/>
      <c r="PSH48" s="24"/>
      <c r="PSI48" s="24"/>
      <c r="PSJ48" s="24"/>
      <c r="PSK48" s="24"/>
      <c r="PSL48" s="24"/>
      <c r="PSM48" s="24"/>
      <c r="PSN48" s="24"/>
      <c r="PSO48" s="24"/>
      <c r="PSP48" s="24"/>
      <c r="PSQ48" s="24"/>
      <c r="PSR48" s="24"/>
      <c r="PSS48" s="24"/>
      <c r="PST48" s="24"/>
      <c r="PSU48" s="24"/>
      <c r="PSV48" s="24"/>
      <c r="PSW48" s="24"/>
      <c r="PSX48" s="24"/>
      <c r="PSY48" s="24"/>
      <c r="PSZ48" s="24"/>
      <c r="PTA48" s="24"/>
      <c r="PTB48" s="24"/>
      <c r="PTC48" s="24"/>
      <c r="PTD48" s="24"/>
      <c r="PTE48" s="24"/>
      <c r="PTF48" s="24"/>
      <c r="PTG48" s="24"/>
      <c r="PTH48" s="24"/>
      <c r="PTI48" s="24"/>
      <c r="PTJ48" s="24"/>
      <c r="PTK48" s="24"/>
      <c r="PTL48" s="24"/>
      <c r="PTM48" s="24"/>
      <c r="PTN48" s="24"/>
      <c r="PTO48" s="24"/>
      <c r="PTP48" s="24"/>
      <c r="PTQ48" s="24"/>
      <c r="PTR48" s="24"/>
      <c r="PTS48" s="24"/>
      <c r="PTT48" s="24"/>
      <c r="PTU48" s="24"/>
      <c r="PTV48" s="24"/>
      <c r="PTW48" s="24"/>
      <c r="PTX48" s="24"/>
      <c r="PTY48" s="24"/>
      <c r="PTZ48" s="24"/>
      <c r="PUA48" s="24"/>
      <c r="PUB48" s="24"/>
      <c r="PUC48" s="24"/>
      <c r="PUD48" s="24"/>
      <c r="PUE48" s="24"/>
      <c r="PUF48" s="24"/>
      <c r="PUG48" s="24"/>
      <c r="PUH48" s="24"/>
      <c r="PUI48" s="24"/>
      <c r="PUJ48" s="24"/>
      <c r="PUK48" s="24"/>
      <c r="PUL48" s="24"/>
      <c r="PUM48" s="24"/>
      <c r="PUN48" s="24"/>
      <c r="PUO48" s="24"/>
      <c r="PUP48" s="24"/>
      <c r="PUQ48" s="24"/>
      <c r="PUR48" s="24"/>
      <c r="PUS48" s="24"/>
      <c r="PUT48" s="24"/>
      <c r="PUU48" s="24"/>
      <c r="PUV48" s="24"/>
      <c r="PUW48" s="24"/>
      <c r="PUX48" s="24"/>
      <c r="PUY48" s="24"/>
      <c r="PUZ48" s="24"/>
      <c r="PVA48" s="24"/>
      <c r="PVB48" s="24"/>
      <c r="PVC48" s="24"/>
      <c r="PVD48" s="24"/>
      <c r="PVE48" s="24"/>
      <c r="PVF48" s="24"/>
      <c r="PVG48" s="24"/>
      <c r="PVH48" s="24"/>
      <c r="PVI48" s="24"/>
      <c r="PVJ48" s="24"/>
      <c r="PVK48" s="24"/>
      <c r="PVL48" s="24"/>
      <c r="PVM48" s="24"/>
      <c r="PVN48" s="24"/>
      <c r="PVO48" s="24"/>
      <c r="PVP48" s="24"/>
      <c r="PVQ48" s="24"/>
      <c r="PVR48" s="24"/>
      <c r="PVS48" s="24"/>
      <c r="PVT48" s="24"/>
      <c r="PVU48" s="24"/>
      <c r="PVV48" s="24"/>
      <c r="PVW48" s="24"/>
      <c r="PVX48" s="24"/>
      <c r="PVY48" s="24"/>
      <c r="PVZ48" s="24"/>
      <c r="PWA48" s="24"/>
      <c r="PWB48" s="24"/>
      <c r="PWC48" s="24"/>
      <c r="PWD48" s="24"/>
      <c r="PWE48" s="24"/>
      <c r="PWF48" s="24"/>
      <c r="PWG48" s="24"/>
      <c r="PWH48" s="24"/>
      <c r="PWI48" s="24"/>
      <c r="PWJ48" s="24"/>
      <c r="PWK48" s="24"/>
      <c r="PWL48" s="24"/>
      <c r="PWM48" s="24"/>
      <c r="PWN48" s="24"/>
      <c r="PWO48" s="24"/>
      <c r="PWP48" s="24"/>
      <c r="PWQ48" s="24"/>
      <c r="PWR48" s="24"/>
      <c r="PWS48" s="24"/>
      <c r="PWT48" s="24"/>
      <c r="PWU48" s="24"/>
      <c r="PWV48" s="24"/>
      <c r="PWW48" s="24"/>
      <c r="PWX48" s="24"/>
      <c r="PWY48" s="24"/>
      <c r="PWZ48" s="24"/>
      <c r="PXA48" s="24"/>
      <c r="PXB48" s="24"/>
      <c r="PXC48" s="24"/>
      <c r="PXD48" s="24"/>
      <c r="PXE48" s="24"/>
      <c r="PXF48" s="24"/>
      <c r="PXG48" s="24"/>
      <c r="PXH48" s="24"/>
      <c r="PXI48" s="24"/>
      <c r="PXJ48" s="24"/>
      <c r="PXK48" s="24"/>
      <c r="PXL48" s="24"/>
      <c r="PXM48" s="24"/>
      <c r="PXN48" s="24"/>
      <c r="PXO48" s="24"/>
      <c r="PXP48" s="24"/>
      <c r="PXQ48" s="24"/>
      <c r="PXR48" s="24"/>
      <c r="PXS48" s="24"/>
      <c r="PXT48" s="24"/>
      <c r="PXU48" s="24"/>
      <c r="PXV48" s="24"/>
      <c r="PXW48" s="24"/>
      <c r="PXX48" s="24"/>
      <c r="PXY48" s="24"/>
      <c r="PXZ48" s="24"/>
      <c r="PYA48" s="24"/>
      <c r="PYB48" s="24"/>
      <c r="PYC48" s="24"/>
      <c r="PYD48" s="24"/>
      <c r="PYE48" s="24"/>
      <c r="PYF48" s="24"/>
      <c r="PYG48" s="24"/>
      <c r="PYH48" s="24"/>
      <c r="PYI48" s="24"/>
      <c r="PYJ48" s="24"/>
      <c r="PYK48" s="24"/>
      <c r="PYL48" s="24"/>
      <c r="PYM48" s="24"/>
      <c r="PYN48" s="24"/>
      <c r="PYO48" s="24"/>
      <c r="PYP48" s="24"/>
      <c r="PYQ48" s="24"/>
      <c r="PYR48" s="24"/>
      <c r="PYS48" s="24"/>
      <c r="PYT48" s="24"/>
      <c r="PYU48" s="24"/>
      <c r="PYV48" s="24"/>
      <c r="PYW48" s="24"/>
      <c r="PYX48" s="24"/>
      <c r="PYY48" s="24"/>
      <c r="PYZ48" s="24"/>
      <c r="PZA48" s="24"/>
      <c r="PZB48" s="24"/>
      <c r="PZC48" s="24"/>
      <c r="PZD48" s="24"/>
      <c r="PZE48" s="24"/>
      <c r="PZF48" s="24"/>
      <c r="PZG48" s="24"/>
      <c r="PZH48" s="24"/>
      <c r="PZI48" s="24"/>
      <c r="PZJ48" s="24"/>
      <c r="PZK48" s="24"/>
      <c r="PZL48" s="24"/>
      <c r="PZM48" s="24"/>
      <c r="PZN48" s="24"/>
      <c r="PZO48" s="24"/>
      <c r="PZP48" s="24"/>
      <c r="PZQ48" s="24"/>
      <c r="PZR48" s="24"/>
      <c r="PZS48" s="24"/>
      <c r="PZT48" s="24"/>
      <c r="PZU48" s="24"/>
      <c r="PZV48" s="24"/>
      <c r="PZW48" s="24"/>
      <c r="PZX48" s="24"/>
      <c r="PZY48" s="24"/>
      <c r="PZZ48" s="24"/>
      <c r="QAA48" s="24"/>
      <c r="QAB48" s="24"/>
      <c r="QAC48" s="24"/>
      <c r="QAD48" s="24"/>
      <c r="QAE48" s="24"/>
      <c r="QAF48" s="24"/>
      <c r="QAG48" s="24"/>
      <c r="QAH48" s="24"/>
      <c r="QAI48" s="24"/>
      <c r="QAJ48" s="24"/>
      <c r="QAK48" s="24"/>
      <c r="QAL48" s="24"/>
      <c r="QAM48" s="24"/>
      <c r="QAN48" s="24"/>
      <c r="QAO48" s="24"/>
      <c r="QAP48" s="24"/>
      <c r="QAQ48" s="24"/>
      <c r="QAR48" s="24"/>
      <c r="QAS48" s="24"/>
      <c r="QAT48" s="24"/>
      <c r="QAU48" s="24"/>
      <c r="QAV48" s="24"/>
      <c r="QAW48" s="24"/>
      <c r="QAX48" s="24"/>
      <c r="QAY48" s="24"/>
      <c r="QAZ48" s="24"/>
      <c r="QBA48" s="24"/>
      <c r="QBB48" s="24"/>
      <c r="QBC48" s="24"/>
      <c r="QBD48" s="24"/>
      <c r="QBE48" s="24"/>
      <c r="QBF48" s="24"/>
      <c r="QBG48" s="24"/>
      <c r="QBH48" s="24"/>
      <c r="QBI48" s="24"/>
      <c r="QBJ48" s="24"/>
      <c r="QBK48" s="24"/>
      <c r="QBL48" s="24"/>
      <c r="QBM48" s="24"/>
      <c r="QBN48" s="24"/>
      <c r="QBO48" s="24"/>
      <c r="QBP48" s="24"/>
      <c r="QBQ48" s="24"/>
      <c r="QBR48" s="24"/>
      <c r="QBS48" s="24"/>
      <c r="QBT48" s="24"/>
      <c r="QBU48" s="24"/>
      <c r="QBV48" s="24"/>
      <c r="QBW48" s="24"/>
      <c r="QBX48" s="24"/>
      <c r="QBY48" s="24"/>
      <c r="QBZ48" s="24"/>
      <c r="QCA48" s="24"/>
      <c r="QCB48" s="24"/>
      <c r="QCC48" s="24"/>
      <c r="QCD48" s="24"/>
      <c r="QCE48" s="24"/>
      <c r="QCF48" s="24"/>
      <c r="QCG48" s="24"/>
      <c r="QCH48" s="24"/>
      <c r="QCI48" s="24"/>
      <c r="QCJ48" s="24"/>
      <c r="QCK48" s="24"/>
      <c r="QCL48" s="24"/>
      <c r="QCM48" s="24"/>
      <c r="QCN48" s="24"/>
      <c r="QCO48" s="24"/>
      <c r="QCP48" s="24"/>
      <c r="QCQ48" s="24"/>
      <c r="QCR48" s="24"/>
      <c r="QCS48" s="24"/>
      <c r="QCT48" s="24"/>
      <c r="QCU48" s="24"/>
      <c r="QCV48" s="24"/>
      <c r="QCW48" s="24"/>
      <c r="QCX48" s="24"/>
      <c r="QCY48" s="24"/>
      <c r="QCZ48" s="24"/>
      <c r="QDA48" s="24"/>
      <c r="QDB48" s="24"/>
      <c r="QDC48" s="24"/>
      <c r="QDD48" s="24"/>
      <c r="QDE48" s="24"/>
      <c r="QDF48" s="24"/>
      <c r="QDG48" s="24"/>
      <c r="QDH48" s="24"/>
      <c r="QDI48" s="24"/>
      <c r="QDJ48" s="24"/>
      <c r="QDK48" s="24"/>
      <c r="QDL48" s="24"/>
      <c r="QDM48" s="24"/>
      <c r="QDN48" s="24"/>
      <c r="QDO48" s="24"/>
      <c r="QDP48" s="24"/>
      <c r="QDQ48" s="24"/>
      <c r="QDR48" s="24"/>
      <c r="QDS48" s="24"/>
      <c r="QDT48" s="24"/>
      <c r="QDU48" s="24"/>
      <c r="QDV48" s="24"/>
      <c r="QDW48" s="24"/>
      <c r="QDX48" s="24"/>
      <c r="QDY48" s="24"/>
      <c r="QDZ48" s="24"/>
      <c r="QEA48" s="24"/>
      <c r="QEB48" s="24"/>
      <c r="QEC48" s="24"/>
      <c r="QED48" s="24"/>
      <c r="QEE48" s="24"/>
      <c r="QEF48" s="24"/>
      <c r="QEG48" s="24"/>
      <c r="QEH48" s="24"/>
      <c r="QEI48" s="24"/>
      <c r="QEJ48" s="24"/>
      <c r="QEK48" s="24"/>
      <c r="QEL48" s="24"/>
      <c r="QEM48" s="24"/>
      <c r="QEN48" s="24"/>
      <c r="QEO48" s="24"/>
      <c r="QEP48" s="24"/>
      <c r="QEQ48" s="24"/>
      <c r="QER48" s="24"/>
      <c r="QES48" s="24"/>
      <c r="QET48" s="24"/>
      <c r="QEU48" s="24"/>
      <c r="QEV48" s="24"/>
      <c r="QEW48" s="24"/>
      <c r="QEX48" s="24"/>
      <c r="QEY48" s="24"/>
      <c r="QEZ48" s="24"/>
      <c r="QFA48" s="24"/>
      <c r="QFB48" s="24"/>
      <c r="QFC48" s="24"/>
      <c r="QFD48" s="24"/>
      <c r="QFE48" s="24"/>
      <c r="QFF48" s="24"/>
      <c r="QFG48" s="24"/>
      <c r="QFH48" s="24"/>
      <c r="QFI48" s="24"/>
      <c r="QFJ48" s="24"/>
      <c r="QFK48" s="24"/>
      <c r="QFL48" s="24"/>
      <c r="QFM48" s="24"/>
      <c r="QFN48" s="24"/>
      <c r="QFO48" s="24"/>
      <c r="QFP48" s="24"/>
      <c r="QFQ48" s="24"/>
      <c r="QFR48" s="24"/>
      <c r="QFS48" s="24"/>
      <c r="QFT48" s="24"/>
      <c r="QFU48" s="24"/>
      <c r="QFV48" s="24"/>
      <c r="QFW48" s="24"/>
      <c r="QFX48" s="24"/>
      <c r="QFY48" s="24"/>
      <c r="QFZ48" s="24"/>
      <c r="QGA48" s="24"/>
      <c r="QGB48" s="24"/>
      <c r="QGC48" s="24"/>
      <c r="QGD48" s="24"/>
      <c r="QGE48" s="24"/>
      <c r="QGF48" s="24"/>
      <c r="QGG48" s="24"/>
      <c r="QGH48" s="24"/>
      <c r="QGI48" s="24"/>
      <c r="QGJ48" s="24"/>
      <c r="QGK48" s="24"/>
      <c r="QGL48" s="24"/>
      <c r="QGM48" s="24"/>
      <c r="QGN48" s="24"/>
      <c r="QGO48" s="24"/>
      <c r="QGP48" s="24"/>
      <c r="QGQ48" s="24"/>
      <c r="QGR48" s="24"/>
      <c r="QGS48" s="24"/>
      <c r="QGT48" s="24"/>
      <c r="QGU48" s="24"/>
      <c r="QGV48" s="24"/>
      <c r="QGW48" s="24"/>
      <c r="QGX48" s="24"/>
      <c r="QGY48" s="24"/>
      <c r="QGZ48" s="24"/>
      <c r="QHA48" s="24"/>
      <c r="QHB48" s="24"/>
      <c r="QHC48" s="24"/>
      <c r="QHD48" s="24"/>
      <c r="QHE48" s="24"/>
      <c r="QHF48" s="24"/>
      <c r="QHG48" s="24"/>
      <c r="QHH48" s="24"/>
      <c r="QHI48" s="24"/>
      <c r="QHJ48" s="24"/>
      <c r="QHK48" s="24"/>
      <c r="QHL48" s="24"/>
      <c r="QHM48" s="24"/>
      <c r="QHN48" s="24"/>
      <c r="QHO48" s="24"/>
      <c r="QHP48" s="24"/>
      <c r="QHQ48" s="24"/>
      <c r="QHR48" s="24"/>
      <c r="QHS48" s="24"/>
      <c r="QHT48" s="24"/>
      <c r="QHU48" s="24"/>
      <c r="QHV48" s="24"/>
      <c r="QHW48" s="24"/>
      <c r="QHX48" s="24"/>
      <c r="QHY48" s="24"/>
      <c r="QHZ48" s="24"/>
      <c r="QIA48" s="24"/>
      <c r="QIB48" s="24"/>
      <c r="QIC48" s="24"/>
      <c r="QID48" s="24"/>
      <c r="QIE48" s="24"/>
      <c r="QIF48" s="24"/>
      <c r="QIG48" s="24"/>
      <c r="QIH48" s="24"/>
      <c r="QII48" s="24"/>
      <c r="QIJ48" s="24"/>
      <c r="QIK48" s="24"/>
      <c r="QIL48" s="24"/>
      <c r="QIM48" s="24"/>
      <c r="QIN48" s="24"/>
      <c r="QIO48" s="24"/>
      <c r="QIP48" s="24"/>
      <c r="QIQ48" s="24"/>
      <c r="QIR48" s="24"/>
      <c r="QIS48" s="24"/>
      <c r="QIT48" s="24"/>
      <c r="QIU48" s="24"/>
      <c r="QIV48" s="24"/>
      <c r="QIW48" s="24"/>
      <c r="QIX48" s="24"/>
      <c r="QIY48" s="24"/>
      <c r="QIZ48" s="24"/>
      <c r="QJA48" s="24"/>
      <c r="QJB48" s="24"/>
      <c r="QJC48" s="24"/>
      <c r="QJD48" s="24"/>
      <c r="QJE48" s="24"/>
      <c r="QJF48" s="24"/>
      <c r="QJG48" s="24"/>
      <c r="QJH48" s="24"/>
      <c r="QJI48" s="24"/>
      <c r="QJJ48" s="24"/>
      <c r="QJK48" s="24"/>
      <c r="QJL48" s="24"/>
      <c r="QJM48" s="24"/>
      <c r="QJN48" s="24"/>
      <c r="QJO48" s="24"/>
      <c r="QJP48" s="24"/>
      <c r="QJQ48" s="24"/>
      <c r="QJR48" s="24"/>
      <c r="QJS48" s="24"/>
      <c r="QJT48" s="24"/>
      <c r="QJU48" s="24"/>
      <c r="QJV48" s="24"/>
      <c r="QJW48" s="24"/>
      <c r="QJX48" s="24"/>
      <c r="QJY48" s="24"/>
      <c r="QJZ48" s="24"/>
      <c r="QKA48" s="24"/>
      <c r="QKB48" s="24"/>
      <c r="QKC48" s="24"/>
      <c r="QKD48" s="24"/>
      <c r="QKE48" s="24"/>
      <c r="QKF48" s="24"/>
      <c r="QKG48" s="24"/>
      <c r="QKH48" s="24"/>
      <c r="QKI48" s="24"/>
      <c r="QKJ48" s="24"/>
      <c r="QKK48" s="24"/>
      <c r="QKL48" s="24"/>
      <c r="QKM48" s="24"/>
      <c r="QKN48" s="24"/>
      <c r="QKO48" s="24"/>
      <c r="QKP48" s="24"/>
      <c r="QKQ48" s="24"/>
      <c r="QKR48" s="24"/>
      <c r="QKS48" s="24"/>
      <c r="QKT48" s="24"/>
      <c r="QKU48" s="24"/>
      <c r="QKV48" s="24"/>
      <c r="QKW48" s="24"/>
      <c r="QKX48" s="24"/>
      <c r="QKY48" s="24"/>
      <c r="QKZ48" s="24"/>
      <c r="QLA48" s="24"/>
      <c r="QLB48" s="24"/>
      <c r="QLC48" s="24"/>
      <c r="QLD48" s="24"/>
      <c r="QLE48" s="24"/>
      <c r="QLF48" s="24"/>
      <c r="QLG48" s="24"/>
      <c r="QLH48" s="24"/>
      <c r="QLI48" s="24"/>
      <c r="QLJ48" s="24"/>
      <c r="QLK48" s="24"/>
      <c r="QLL48" s="24"/>
      <c r="QLM48" s="24"/>
      <c r="QLN48" s="24"/>
      <c r="QLO48" s="24"/>
      <c r="QLP48" s="24"/>
      <c r="QLQ48" s="24"/>
      <c r="QLR48" s="24"/>
      <c r="QLS48" s="24"/>
      <c r="QLT48" s="24"/>
      <c r="QLU48" s="24"/>
      <c r="QLV48" s="24"/>
      <c r="QLW48" s="24"/>
      <c r="QLX48" s="24"/>
      <c r="QLY48" s="24"/>
      <c r="QLZ48" s="24"/>
      <c r="QMA48" s="24"/>
      <c r="QMB48" s="24"/>
      <c r="QMC48" s="24"/>
      <c r="QMD48" s="24"/>
      <c r="QME48" s="24"/>
      <c r="QMF48" s="24"/>
      <c r="QMG48" s="24"/>
      <c r="QMH48" s="24"/>
      <c r="QMI48" s="24"/>
      <c r="QMJ48" s="24"/>
      <c r="QMK48" s="24"/>
      <c r="QML48" s="24"/>
      <c r="QMM48" s="24"/>
      <c r="QMN48" s="24"/>
      <c r="QMO48" s="24"/>
      <c r="QMP48" s="24"/>
      <c r="QMQ48" s="24"/>
      <c r="QMR48" s="24"/>
      <c r="QMS48" s="24"/>
      <c r="QMT48" s="24"/>
      <c r="QMU48" s="24"/>
      <c r="QMV48" s="24"/>
      <c r="QMW48" s="24"/>
      <c r="QMX48" s="24"/>
      <c r="QMY48" s="24"/>
      <c r="QMZ48" s="24"/>
      <c r="QNA48" s="24"/>
      <c r="QNB48" s="24"/>
      <c r="QNC48" s="24"/>
      <c r="QND48" s="24"/>
      <c r="QNE48" s="24"/>
      <c r="QNF48" s="24"/>
      <c r="QNG48" s="24"/>
      <c r="QNH48" s="24"/>
      <c r="QNI48" s="24"/>
      <c r="QNJ48" s="24"/>
      <c r="QNK48" s="24"/>
      <c r="QNL48" s="24"/>
      <c r="QNM48" s="24"/>
      <c r="QNN48" s="24"/>
      <c r="QNO48" s="24"/>
      <c r="QNP48" s="24"/>
      <c r="QNQ48" s="24"/>
      <c r="QNR48" s="24"/>
      <c r="QNS48" s="24"/>
      <c r="QNT48" s="24"/>
      <c r="QNU48" s="24"/>
      <c r="QNV48" s="24"/>
      <c r="QNW48" s="24"/>
      <c r="QNX48" s="24"/>
      <c r="QNY48" s="24"/>
      <c r="QNZ48" s="24"/>
      <c r="QOA48" s="24"/>
      <c r="QOB48" s="24"/>
      <c r="QOC48" s="24"/>
      <c r="QOD48" s="24"/>
      <c r="QOE48" s="24"/>
      <c r="QOF48" s="24"/>
      <c r="QOG48" s="24"/>
      <c r="QOH48" s="24"/>
      <c r="QOI48" s="24"/>
      <c r="QOJ48" s="24"/>
      <c r="QOK48" s="24"/>
      <c r="QOL48" s="24"/>
      <c r="QOM48" s="24"/>
      <c r="QON48" s="24"/>
      <c r="QOO48" s="24"/>
      <c r="QOP48" s="24"/>
      <c r="QOQ48" s="24"/>
      <c r="QOR48" s="24"/>
      <c r="QOS48" s="24"/>
      <c r="QOT48" s="24"/>
      <c r="QOU48" s="24"/>
      <c r="QOV48" s="24"/>
      <c r="QOW48" s="24"/>
      <c r="QOX48" s="24"/>
      <c r="QOY48" s="24"/>
      <c r="QOZ48" s="24"/>
      <c r="QPA48" s="24"/>
      <c r="QPB48" s="24"/>
      <c r="QPC48" s="24"/>
      <c r="QPD48" s="24"/>
      <c r="QPE48" s="24"/>
      <c r="QPF48" s="24"/>
      <c r="QPG48" s="24"/>
      <c r="QPH48" s="24"/>
      <c r="QPI48" s="24"/>
      <c r="QPJ48" s="24"/>
      <c r="QPK48" s="24"/>
      <c r="QPL48" s="24"/>
      <c r="QPM48" s="24"/>
      <c r="QPN48" s="24"/>
      <c r="QPO48" s="24"/>
      <c r="QPP48" s="24"/>
      <c r="QPQ48" s="24"/>
      <c r="QPR48" s="24"/>
      <c r="QPS48" s="24"/>
      <c r="QPT48" s="24"/>
      <c r="QPU48" s="24"/>
      <c r="QPV48" s="24"/>
      <c r="QPW48" s="24"/>
      <c r="QPX48" s="24"/>
      <c r="QPY48" s="24"/>
      <c r="QPZ48" s="24"/>
      <c r="QQA48" s="24"/>
      <c r="QQB48" s="24"/>
      <c r="QQC48" s="24"/>
      <c r="QQD48" s="24"/>
      <c r="QQE48" s="24"/>
      <c r="QQF48" s="24"/>
      <c r="QQG48" s="24"/>
      <c r="QQH48" s="24"/>
      <c r="QQI48" s="24"/>
      <c r="QQJ48" s="24"/>
      <c r="QQK48" s="24"/>
      <c r="QQL48" s="24"/>
      <c r="QQM48" s="24"/>
      <c r="QQN48" s="24"/>
      <c r="QQO48" s="24"/>
      <c r="QQP48" s="24"/>
      <c r="QQQ48" s="24"/>
      <c r="QQR48" s="24"/>
      <c r="QQS48" s="24"/>
      <c r="QQT48" s="24"/>
      <c r="QQU48" s="24"/>
      <c r="QQV48" s="24"/>
      <c r="QQW48" s="24"/>
      <c r="QQX48" s="24"/>
      <c r="QQY48" s="24"/>
      <c r="QQZ48" s="24"/>
      <c r="QRA48" s="24"/>
      <c r="QRB48" s="24"/>
      <c r="QRC48" s="24"/>
      <c r="QRD48" s="24"/>
      <c r="QRE48" s="24"/>
      <c r="QRF48" s="24"/>
      <c r="QRG48" s="24"/>
      <c r="QRH48" s="24"/>
      <c r="QRI48" s="24"/>
      <c r="QRJ48" s="24"/>
      <c r="QRK48" s="24"/>
      <c r="QRL48" s="24"/>
      <c r="QRM48" s="24"/>
      <c r="QRN48" s="24"/>
      <c r="QRO48" s="24"/>
      <c r="QRP48" s="24"/>
      <c r="QRQ48" s="24"/>
      <c r="QRR48" s="24"/>
      <c r="QRS48" s="24"/>
      <c r="QRT48" s="24"/>
      <c r="QRU48" s="24"/>
      <c r="QRV48" s="24"/>
      <c r="QRW48" s="24"/>
      <c r="QRX48" s="24"/>
      <c r="QRY48" s="24"/>
      <c r="QRZ48" s="24"/>
      <c r="QSA48" s="24"/>
      <c r="QSB48" s="24"/>
      <c r="QSC48" s="24"/>
      <c r="QSD48" s="24"/>
      <c r="QSE48" s="24"/>
      <c r="QSF48" s="24"/>
      <c r="QSG48" s="24"/>
      <c r="QSH48" s="24"/>
      <c r="QSI48" s="24"/>
      <c r="QSJ48" s="24"/>
      <c r="QSK48" s="24"/>
      <c r="QSL48" s="24"/>
      <c r="QSM48" s="24"/>
      <c r="QSN48" s="24"/>
      <c r="QSO48" s="24"/>
      <c r="QSP48" s="24"/>
      <c r="QSQ48" s="24"/>
      <c r="QSR48" s="24"/>
      <c r="QSS48" s="24"/>
      <c r="QST48" s="24"/>
      <c r="QSU48" s="24"/>
      <c r="QSV48" s="24"/>
      <c r="QSW48" s="24"/>
      <c r="QSX48" s="24"/>
      <c r="QSY48" s="24"/>
      <c r="QSZ48" s="24"/>
      <c r="QTA48" s="24"/>
      <c r="QTB48" s="24"/>
      <c r="QTC48" s="24"/>
      <c r="QTD48" s="24"/>
      <c r="QTE48" s="24"/>
      <c r="QTF48" s="24"/>
      <c r="QTG48" s="24"/>
      <c r="QTH48" s="24"/>
      <c r="QTI48" s="24"/>
      <c r="QTJ48" s="24"/>
      <c r="QTK48" s="24"/>
      <c r="QTL48" s="24"/>
      <c r="QTM48" s="24"/>
      <c r="QTN48" s="24"/>
      <c r="QTO48" s="24"/>
      <c r="QTP48" s="24"/>
      <c r="QTQ48" s="24"/>
      <c r="QTR48" s="24"/>
      <c r="QTS48" s="24"/>
      <c r="QTT48" s="24"/>
      <c r="QTU48" s="24"/>
      <c r="QTV48" s="24"/>
      <c r="QTW48" s="24"/>
      <c r="QTX48" s="24"/>
      <c r="QTY48" s="24"/>
      <c r="QTZ48" s="24"/>
      <c r="QUA48" s="24"/>
      <c r="QUB48" s="24"/>
      <c r="QUC48" s="24"/>
      <c r="QUD48" s="24"/>
      <c r="QUE48" s="24"/>
      <c r="QUF48" s="24"/>
      <c r="QUG48" s="24"/>
      <c r="QUH48" s="24"/>
      <c r="QUI48" s="24"/>
      <c r="QUJ48" s="24"/>
      <c r="QUK48" s="24"/>
      <c r="QUL48" s="24"/>
      <c r="QUM48" s="24"/>
      <c r="QUN48" s="24"/>
      <c r="QUO48" s="24"/>
      <c r="QUP48" s="24"/>
      <c r="QUQ48" s="24"/>
      <c r="QUR48" s="24"/>
      <c r="QUS48" s="24"/>
      <c r="QUT48" s="24"/>
      <c r="QUU48" s="24"/>
      <c r="QUV48" s="24"/>
      <c r="QUW48" s="24"/>
      <c r="QUX48" s="24"/>
      <c r="QUY48" s="24"/>
      <c r="QUZ48" s="24"/>
      <c r="QVA48" s="24"/>
      <c r="QVB48" s="24"/>
      <c r="QVC48" s="24"/>
      <c r="QVD48" s="24"/>
      <c r="QVE48" s="24"/>
      <c r="QVF48" s="24"/>
      <c r="QVG48" s="24"/>
      <c r="QVH48" s="24"/>
      <c r="QVI48" s="24"/>
      <c r="QVJ48" s="24"/>
      <c r="QVK48" s="24"/>
      <c r="QVL48" s="24"/>
      <c r="QVM48" s="24"/>
      <c r="QVN48" s="24"/>
      <c r="QVO48" s="24"/>
      <c r="QVP48" s="24"/>
      <c r="QVQ48" s="24"/>
      <c r="QVR48" s="24"/>
      <c r="QVS48" s="24"/>
      <c r="QVT48" s="24"/>
      <c r="QVU48" s="24"/>
      <c r="QVV48" s="24"/>
      <c r="QVW48" s="24"/>
      <c r="QVX48" s="24"/>
      <c r="QVY48" s="24"/>
      <c r="QVZ48" s="24"/>
      <c r="QWA48" s="24"/>
      <c r="QWB48" s="24"/>
      <c r="QWC48" s="24"/>
      <c r="QWD48" s="24"/>
      <c r="QWE48" s="24"/>
      <c r="QWF48" s="24"/>
      <c r="QWG48" s="24"/>
      <c r="QWH48" s="24"/>
      <c r="QWI48" s="24"/>
      <c r="QWJ48" s="24"/>
      <c r="QWK48" s="24"/>
      <c r="QWL48" s="24"/>
      <c r="QWM48" s="24"/>
      <c r="QWN48" s="24"/>
      <c r="QWO48" s="24"/>
      <c r="QWP48" s="24"/>
      <c r="QWQ48" s="24"/>
      <c r="QWR48" s="24"/>
      <c r="QWS48" s="24"/>
      <c r="QWT48" s="24"/>
      <c r="QWU48" s="24"/>
      <c r="QWV48" s="24"/>
      <c r="QWW48" s="24"/>
      <c r="QWX48" s="24"/>
      <c r="QWY48" s="24"/>
      <c r="QWZ48" s="24"/>
      <c r="QXA48" s="24"/>
      <c r="QXB48" s="24"/>
      <c r="QXC48" s="24"/>
      <c r="QXD48" s="24"/>
      <c r="QXE48" s="24"/>
      <c r="QXF48" s="24"/>
      <c r="QXG48" s="24"/>
      <c r="QXH48" s="24"/>
      <c r="QXI48" s="24"/>
      <c r="QXJ48" s="24"/>
      <c r="QXK48" s="24"/>
      <c r="QXL48" s="24"/>
      <c r="QXM48" s="24"/>
      <c r="QXN48" s="24"/>
      <c r="QXO48" s="24"/>
      <c r="QXP48" s="24"/>
      <c r="QXQ48" s="24"/>
      <c r="QXR48" s="24"/>
      <c r="QXS48" s="24"/>
      <c r="QXT48" s="24"/>
      <c r="QXU48" s="24"/>
      <c r="QXV48" s="24"/>
      <c r="QXW48" s="24"/>
      <c r="QXX48" s="24"/>
      <c r="QXY48" s="24"/>
      <c r="QXZ48" s="24"/>
      <c r="QYA48" s="24"/>
      <c r="QYB48" s="24"/>
      <c r="QYC48" s="24"/>
      <c r="QYD48" s="24"/>
      <c r="QYE48" s="24"/>
      <c r="QYF48" s="24"/>
      <c r="QYG48" s="24"/>
      <c r="QYH48" s="24"/>
      <c r="QYI48" s="24"/>
      <c r="QYJ48" s="24"/>
      <c r="QYK48" s="24"/>
      <c r="QYL48" s="24"/>
      <c r="QYM48" s="24"/>
      <c r="QYN48" s="24"/>
      <c r="QYO48" s="24"/>
      <c r="QYP48" s="24"/>
      <c r="QYQ48" s="24"/>
      <c r="QYR48" s="24"/>
      <c r="QYS48" s="24"/>
      <c r="QYT48" s="24"/>
      <c r="QYU48" s="24"/>
      <c r="QYV48" s="24"/>
      <c r="QYW48" s="24"/>
      <c r="QYX48" s="24"/>
      <c r="QYY48" s="24"/>
      <c r="QYZ48" s="24"/>
      <c r="QZA48" s="24"/>
      <c r="QZB48" s="24"/>
      <c r="QZC48" s="24"/>
      <c r="QZD48" s="24"/>
      <c r="QZE48" s="24"/>
      <c r="QZF48" s="24"/>
      <c r="QZG48" s="24"/>
      <c r="QZH48" s="24"/>
      <c r="QZI48" s="24"/>
      <c r="QZJ48" s="24"/>
      <c r="QZK48" s="24"/>
      <c r="QZL48" s="24"/>
      <c r="QZM48" s="24"/>
      <c r="QZN48" s="24"/>
      <c r="QZO48" s="24"/>
      <c r="QZP48" s="24"/>
      <c r="QZQ48" s="24"/>
      <c r="QZR48" s="24"/>
      <c r="QZS48" s="24"/>
      <c r="QZT48" s="24"/>
      <c r="QZU48" s="24"/>
      <c r="QZV48" s="24"/>
      <c r="QZW48" s="24"/>
      <c r="QZX48" s="24"/>
      <c r="QZY48" s="24"/>
      <c r="QZZ48" s="24"/>
      <c r="RAA48" s="24"/>
      <c r="RAB48" s="24"/>
      <c r="RAC48" s="24"/>
      <c r="RAD48" s="24"/>
      <c r="RAE48" s="24"/>
      <c r="RAF48" s="24"/>
      <c r="RAG48" s="24"/>
      <c r="RAH48" s="24"/>
      <c r="RAI48" s="24"/>
      <c r="RAJ48" s="24"/>
      <c r="RAK48" s="24"/>
      <c r="RAL48" s="24"/>
      <c r="RAM48" s="24"/>
      <c r="RAN48" s="24"/>
      <c r="RAO48" s="24"/>
      <c r="RAP48" s="24"/>
      <c r="RAQ48" s="24"/>
      <c r="RAR48" s="24"/>
      <c r="RAS48" s="24"/>
      <c r="RAT48" s="24"/>
      <c r="RAU48" s="24"/>
      <c r="RAV48" s="24"/>
      <c r="RAW48" s="24"/>
      <c r="RAX48" s="24"/>
      <c r="RAY48" s="24"/>
      <c r="RAZ48" s="24"/>
      <c r="RBA48" s="24"/>
      <c r="RBB48" s="24"/>
      <c r="RBC48" s="24"/>
      <c r="RBD48" s="24"/>
      <c r="RBE48" s="24"/>
      <c r="RBF48" s="24"/>
      <c r="RBG48" s="24"/>
      <c r="RBH48" s="24"/>
      <c r="RBI48" s="24"/>
      <c r="RBJ48" s="24"/>
      <c r="RBK48" s="24"/>
      <c r="RBL48" s="24"/>
      <c r="RBM48" s="24"/>
      <c r="RBN48" s="24"/>
      <c r="RBO48" s="24"/>
      <c r="RBP48" s="24"/>
      <c r="RBQ48" s="24"/>
      <c r="RBR48" s="24"/>
      <c r="RBS48" s="24"/>
      <c r="RBT48" s="24"/>
      <c r="RBU48" s="24"/>
      <c r="RBV48" s="24"/>
      <c r="RBW48" s="24"/>
      <c r="RBX48" s="24"/>
      <c r="RBY48" s="24"/>
      <c r="RBZ48" s="24"/>
      <c r="RCA48" s="24"/>
      <c r="RCB48" s="24"/>
      <c r="RCC48" s="24"/>
      <c r="RCD48" s="24"/>
      <c r="RCE48" s="24"/>
      <c r="RCF48" s="24"/>
      <c r="RCG48" s="24"/>
      <c r="RCH48" s="24"/>
      <c r="RCI48" s="24"/>
      <c r="RCJ48" s="24"/>
      <c r="RCK48" s="24"/>
      <c r="RCL48" s="24"/>
      <c r="RCM48" s="24"/>
      <c r="RCN48" s="24"/>
      <c r="RCO48" s="24"/>
      <c r="RCP48" s="24"/>
      <c r="RCQ48" s="24"/>
      <c r="RCR48" s="24"/>
      <c r="RCS48" s="24"/>
      <c r="RCT48" s="24"/>
      <c r="RCU48" s="24"/>
      <c r="RCV48" s="24"/>
      <c r="RCW48" s="24"/>
      <c r="RCX48" s="24"/>
      <c r="RCY48" s="24"/>
      <c r="RCZ48" s="24"/>
      <c r="RDA48" s="24"/>
      <c r="RDB48" s="24"/>
      <c r="RDC48" s="24"/>
      <c r="RDD48" s="24"/>
      <c r="RDE48" s="24"/>
      <c r="RDF48" s="24"/>
      <c r="RDG48" s="24"/>
      <c r="RDH48" s="24"/>
      <c r="RDI48" s="24"/>
      <c r="RDJ48" s="24"/>
      <c r="RDK48" s="24"/>
      <c r="RDL48" s="24"/>
      <c r="RDM48" s="24"/>
      <c r="RDN48" s="24"/>
      <c r="RDO48" s="24"/>
      <c r="RDP48" s="24"/>
      <c r="RDQ48" s="24"/>
      <c r="RDR48" s="24"/>
      <c r="RDS48" s="24"/>
      <c r="RDT48" s="24"/>
      <c r="RDU48" s="24"/>
      <c r="RDV48" s="24"/>
      <c r="RDW48" s="24"/>
      <c r="RDX48" s="24"/>
      <c r="RDY48" s="24"/>
      <c r="RDZ48" s="24"/>
      <c r="REA48" s="24"/>
      <c r="REB48" s="24"/>
      <c r="REC48" s="24"/>
      <c r="RED48" s="24"/>
      <c r="REE48" s="24"/>
      <c r="REF48" s="24"/>
      <c r="REG48" s="24"/>
      <c r="REH48" s="24"/>
      <c r="REI48" s="24"/>
      <c r="REJ48" s="24"/>
      <c r="REK48" s="24"/>
      <c r="REL48" s="24"/>
      <c r="REM48" s="24"/>
      <c r="REN48" s="24"/>
      <c r="REO48" s="24"/>
      <c r="REP48" s="24"/>
      <c r="REQ48" s="24"/>
      <c r="RER48" s="24"/>
      <c r="RES48" s="24"/>
      <c r="RET48" s="24"/>
      <c r="REU48" s="24"/>
      <c r="REV48" s="24"/>
      <c r="REW48" s="24"/>
      <c r="REX48" s="24"/>
      <c r="REY48" s="24"/>
      <c r="REZ48" s="24"/>
      <c r="RFA48" s="24"/>
      <c r="RFB48" s="24"/>
      <c r="RFC48" s="24"/>
      <c r="RFD48" s="24"/>
      <c r="RFE48" s="24"/>
      <c r="RFF48" s="24"/>
      <c r="RFG48" s="24"/>
      <c r="RFH48" s="24"/>
      <c r="RFI48" s="24"/>
      <c r="RFJ48" s="24"/>
      <c r="RFK48" s="24"/>
      <c r="RFL48" s="24"/>
      <c r="RFM48" s="24"/>
      <c r="RFN48" s="24"/>
      <c r="RFO48" s="24"/>
      <c r="RFP48" s="24"/>
      <c r="RFQ48" s="24"/>
      <c r="RFR48" s="24"/>
      <c r="RFS48" s="24"/>
      <c r="RFT48" s="24"/>
      <c r="RFU48" s="24"/>
      <c r="RFV48" s="24"/>
      <c r="RFW48" s="24"/>
      <c r="RFX48" s="24"/>
      <c r="RFY48" s="24"/>
      <c r="RFZ48" s="24"/>
      <c r="RGA48" s="24"/>
      <c r="RGB48" s="24"/>
      <c r="RGC48" s="24"/>
      <c r="RGD48" s="24"/>
      <c r="RGE48" s="24"/>
      <c r="RGF48" s="24"/>
      <c r="RGG48" s="24"/>
      <c r="RGH48" s="24"/>
      <c r="RGI48" s="24"/>
      <c r="RGJ48" s="24"/>
      <c r="RGK48" s="24"/>
      <c r="RGL48" s="24"/>
      <c r="RGM48" s="24"/>
      <c r="RGN48" s="24"/>
      <c r="RGO48" s="24"/>
      <c r="RGP48" s="24"/>
      <c r="RGQ48" s="24"/>
      <c r="RGR48" s="24"/>
      <c r="RGS48" s="24"/>
      <c r="RGT48" s="24"/>
      <c r="RGU48" s="24"/>
      <c r="RGV48" s="24"/>
      <c r="RGW48" s="24"/>
      <c r="RGX48" s="24"/>
      <c r="RGY48" s="24"/>
      <c r="RGZ48" s="24"/>
      <c r="RHA48" s="24"/>
      <c r="RHB48" s="24"/>
      <c r="RHC48" s="24"/>
      <c r="RHD48" s="24"/>
      <c r="RHE48" s="24"/>
      <c r="RHF48" s="24"/>
      <c r="RHG48" s="24"/>
      <c r="RHH48" s="24"/>
      <c r="RHI48" s="24"/>
      <c r="RHJ48" s="24"/>
      <c r="RHK48" s="24"/>
      <c r="RHL48" s="24"/>
      <c r="RHM48" s="24"/>
      <c r="RHN48" s="24"/>
      <c r="RHO48" s="24"/>
      <c r="RHP48" s="24"/>
      <c r="RHQ48" s="24"/>
      <c r="RHR48" s="24"/>
      <c r="RHS48" s="24"/>
      <c r="RHT48" s="24"/>
      <c r="RHU48" s="24"/>
      <c r="RHV48" s="24"/>
      <c r="RHW48" s="24"/>
      <c r="RHX48" s="24"/>
      <c r="RHY48" s="24"/>
      <c r="RHZ48" s="24"/>
      <c r="RIA48" s="24"/>
      <c r="RIB48" s="24"/>
      <c r="RIC48" s="24"/>
      <c r="RID48" s="24"/>
      <c r="RIE48" s="24"/>
      <c r="RIF48" s="24"/>
      <c r="RIG48" s="24"/>
      <c r="RIH48" s="24"/>
      <c r="RII48" s="24"/>
      <c r="RIJ48" s="24"/>
      <c r="RIK48" s="24"/>
      <c r="RIL48" s="24"/>
      <c r="RIM48" s="24"/>
      <c r="RIN48" s="24"/>
      <c r="RIO48" s="24"/>
      <c r="RIP48" s="24"/>
      <c r="RIQ48" s="24"/>
      <c r="RIR48" s="24"/>
      <c r="RIS48" s="24"/>
      <c r="RIT48" s="24"/>
      <c r="RIU48" s="24"/>
      <c r="RIV48" s="24"/>
      <c r="RIW48" s="24"/>
      <c r="RIX48" s="24"/>
      <c r="RIY48" s="24"/>
      <c r="RIZ48" s="24"/>
      <c r="RJA48" s="24"/>
      <c r="RJB48" s="24"/>
      <c r="RJC48" s="24"/>
      <c r="RJD48" s="24"/>
      <c r="RJE48" s="24"/>
      <c r="RJF48" s="24"/>
      <c r="RJG48" s="24"/>
      <c r="RJH48" s="24"/>
      <c r="RJI48" s="24"/>
      <c r="RJJ48" s="24"/>
      <c r="RJK48" s="24"/>
      <c r="RJL48" s="24"/>
      <c r="RJM48" s="24"/>
      <c r="RJN48" s="24"/>
      <c r="RJO48" s="24"/>
      <c r="RJP48" s="24"/>
      <c r="RJQ48" s="24"/>
      <c r="RJR48" s="24"/>
      <c r="RJS48" s="24"/>
      <c r="RJT48" s="24"/>
      <c r="RJU48" s="24"/>
      <c r="RJV48" s="24"/>
      <c r="RJW48" s="24"/>
      <c r="RJX48" s="24"/>
      <c r="RJY48" s="24"/>
      <c r="RJZ48" s="24"/>
      <c r="RKA48" s="24"/>
      <c r="RKB48" s="24"/>
      <c r="RKC48" s="24"/>
      <c r="RKD48" s="24"/>
      <c r="RKE48" s="24"/>
      <c r="RKF48" s="24"/>
      <c r="RKG48" s="24"/>
      <c r="RKH48" s="24"/>
      <c r="RKI48" s="24"/>
      <c r="RKJ48" s="24"/>
      <c r="RKK48" s="24"/>
      <c r="RKL48" s="24"/>
      <c r="RKM48" s="24"/>
      <c r="RKN48" s="24"/>
      <c r="RKO48" s="24"/>
      <c r="RKP48" s="24"/>
      <c r="RKQ48" s="24"/>
      <c r="RKR48" s="24"/>
      <c r="RKS48" s="24"/>
      <c r="RKT48" s="24"/>
      <c r="RKU48" s="24"/>
      <c r="RKV48" s="24"/>
      <c r="RKW48" s="24"/>
      <c r="RKX48" s="24"/>
      <c r="RKY48" s="24"/>
      <c r="RKZ48" s="24"/>
      <c r="RLA48" s="24"/>
      <c r="RLB48" s="24"/>
      <c r="RLC48" s="24"/>
      <c r="RLD48" s="24"/>
      <c r="RLE48" s="24"/>
      <c r="RLF48" s="24"/>
      <c r="RLG48" s="24"/>
      <c r="RLH48" s="24"/>
      <c r="RLI48" s="24"/>
      <c r="RLJ48" s="24"/>
      <c r="RLK48" s="24"/>
      <c r="RLL48" s="24"/>
      <c r="RLM48" s="24"/>
      <c r="RLN48" s="24"/>
      <c r="RLO48" s="24"/>
      <c r="RLP48" s="24"/>
      <c r="RLQ48" s="24"/>
      <c r="RLR48" s="24"/>
      <c r="RLS48" s="24"/>
      <c r="RLT48" s="24"/>
      <c r="RLU48" s="24"/>
      <c r="RLV48" s="24"/>
      <c r="RLW48" s="24"/>
      <c r="RLX48" s="24"/>
      <c r="RLY48" s="24"/>
      <c r="RLZ48" s="24"/>
      <c r="RMA48" s="24"/>
      <c r="RMB48" s="24"/>
      <c r="RMC48" s="24"/>
      <c r="RMD48" s="24"/>
      <c r="RME48" s="24"/>
      <c r="RMF48" s="24"/>
      <c r="RMG48" s="24"/>
      <c r="RMH48" s="24"/>
      <c r="RMI48" s="24"/>
      <c r="RMJ48" s="24"/>
      <c r="RMK48" s="24"/>
      <c r="RML48" s="24"/>
      <c r="RMM48" s="24"/>
      <c r="RMN48" s="24"/>
      <c r="RMO48" s="24"/>
      <c r="RMP48" s="24"/>
      <c r="RMQ48" s="24"/>
      <c r="RMR48" s="24"/>
      <c r="RMS48" s="24"/>
      <c r="RMT48" s="24"/>
      <c r="RMU48" s="24"/>
      <c r="RMV48" s="24"/>
      <c r="RMW48" s="24"/>
      <c r="RMX48" s="24"/>
      <c r="RMY48" s="24"/>
      <c r="RMZ48" s="24"/>
      <c r="RNA48" s="24"/>
      <c r="RNB48" s="24"/>
      <c r="RNC48" s="24"/>
      <c r="RND48" s="24"/>
      <c r="RNE48" s="24"/>
      <c r="RNF48" s="24"/>
      <c r="RNG48" s="24"/>
      <c r="RNH48" s="24"/>
      <c r="RNI48" s="24"/>
      <c r="RNJ48" s="24"/>
      <c r="RNK48" s="24"/>
      <c r="RNL48" s="24"/>
      <c r="RNM48" s="24"/>
      <c r="RNN48" s="24"/>
      <c r="RNO48" s="24"/>
      <c r="RNP48" s="24"/>
      <c r="RNQ48" s="24"/>
      <c r="RNR48" s="24"/>
      <c r="RNS48" s="24"/>
      <c r="RNT48" s="24"/>
      <c r="RNU48" s="24"/>
      <c r="RNV48" s="24"/>
      <c r="RNW48" s="24"/>
      <c r="RNX48" s="24"/>
      <c r="RNY48" s="24"/>
      <c r="RNZ48" s="24"/>
      <c r="ROA48" s="24"/>
      <c r="ROB48" s="24"/>
      <c r="ROC48" s="24"/>
      <c r="ROD48" s="24"/>
      <c r="ROE48" s="24"/>
      <c r="ROF48" s="24"/>
      <c r="ROG48" s="24"/>
      <c r="ROH48" s="24"/>
      <c r="ROI48" s="24"/>
      <c r="ROJ48" s="24"/>
      <c r="ROK48" s="24"/>
      <c r="ROL48" s="24"/>
      <c r="ROM48" s="24"/>
      <c r="RON48" s="24"/>
      <c r="ROO48" s="24"/>
      <c r="ROP48" s="24"/>
      <c r="ROQ48" s="24"/>
      <c r="ROR48" s="24"/>
      <c r="ROS48" s="24"/>
      <c r="ROT48" s="24"/>
      <c r="ROU48" s="24"/>
      <c r="ROV48" s="24"/>
      <c r="ROW48" s="24"/>
      <c r="ROX48" s="24"/>
      <c r="ROY48" s="24"/>
      <c r="ROZ48" s="24"/>
      <c r="RPA48" s="24"/>
      <c r="RPB48" s="24"/>
      <c r="RPC48" s="24"/>
      <c r="RPD48" s="24"/>
      <c r="RPE48" s="24"/>
      <c r="RPF48" s="24"/>
      <c r="RPG48" s="24"/>
      <c r="RPH48" s="24"/>
      <c r="RPI48" s="24"/>
      <c r="RPJ48" s="24"/>
      <c r="RPK48" s="24"/>
      <c r="RPL48" s="24"/>
      <c r="RPM48" s="24"/>
      <c r="RPN48" s="24"/>
      <c r="RPO48" s="24"/>
      <c r="RPP48" s="24"/>
      <c r="RPQ48" s="24"/>
      <c r="RPR48" s="24"/>
      <c r="RPS48" s="24"/>
      <c r="RPT48" s="24"/>
      <c r="RPU48" s="24"/>
      <c r="RPV48" s="24"/>
      <c r="RPW48" s="24"/>
      <c r="RPX48" s="24"/>
      <c r="RPY48" s="24"/>
      <c r="RPZ48" s="24"/>
      <c r="RQA48" s="24"/>
      <c r="RQB48" s="24"/>
      <c r="RQC48" s="24"/>
      <c r="RQD48" s="24"/>
      <c r="RQE48" s="24"/>
      <c r="RQF48" s="24"/>
      <c r="RQG48" s="24"/>
      <c r="RQH48" s="24"/>
      <c r="RQI48" s="24"/>
      <c r="RQJ48" s="24"/>
      <c r="RQK48" s="24"/>
      <c r="RQL48" s="24"/>
      <c r="RQM48" s="24"/>
      <c r="RQN48" s="24"/>
      <c r="RQO48" s="24"/>
      <c r="RQP48" s="24"/>
      <c r="RQQ48" s="24"/>
      <c r="RQR48" s="24"/>
      <c r="RQS48" s="24"/>
      <c r="RQT48" s="24"/>
      <c r="RQU48" s="24"/>
      <c r="RQV48" s="24"/>
      <c r="RQW48" s="24"/>
      <c r="RQX48" s="24"/>
      <c r="RQY48" s="24"/>
      <c r="RQZ48" s="24"/>
      <c r="RRA48" s="24"/>
      <c r="RRB48" s="24"/>
      <c r="RRC48" s="24"/>
      <c r="RRD48" s="24"/>
      <c r="RRE48" s="24"/>
      <c r="RRF48" s="24"/>
      <c r="RRG48" s="24"/>
      <c r="RRH48" s="24"/>
      <c r="RRI48" s="24"/>
      <c r="RRJ48" s="24"/>
      <c r="RRK48" s="24"/>
      <c r="RRL48" s="24"/>
      <c r="RRM48" s="24"/>
      <c r="RRN48" s="24"/>
      <c r="RRO48" s="24"/>
      <c r="RRP48" s="24"/>
      <c r="RRQ48" s="24"/>
      <c r="RRR48" s="24"/>
      <c r="RRS48" s="24"/>
      <c r="RRT48" s="24"/>
      <c r="RRU48" s="24"/>
      <c r="RRV48" s="24"/>
      <c r="RRW48" s="24"/>
      <c r="RRX48" s="24"/>
      <c r="RRY48" s="24"/>
      <c r="RRZ48" s="24"/>
      <c r="RSA48" s="24"/>
      <c r="RSB48" s="24"/>
      <c r="RSC48" s="24"/>
      <c r="RSD48" s="24"/>
      <c r="RSE48" s="24"/>
      <c r="RSF48" s="24"/>
      <c r="RSG48" s="24"/>
      <c r="RSH48" s="24"/>
      <c r="RSI48" s="24"/>
      <c r="RSJ48" s="24"/>
      <c r="RSK48" s="24"/>
      <c r="RSL48" s="24"/>
      <c r="RSM48" s="24"/>
      <c r="RSN48" s="24"/>
      <c r="RSO48" s="24"/>
      <c r="RSP48" s="24"/>
      <c r="RSQ48" s="24"/>
      <c r="RSR48" s="24"/>
      <c r="RSS48" s="24"/>
      <c r="RST48" s="24"/>
      <c r="RSU48" s="24"/>
      <c r="RSV48" s="24"/>
      <c r="RSW48" s="24"/>
      <c r="RSX48" s="24"/>
      <c r="RSY48" s="24"/>
      <c r="RSZ48" s="24"/>
      <c r="RTA48" s="24"/>
      <c r="RTB48" s="24"/>
      <c r="RTC48" s="24"/>
      <c r="RTD48" s="24"/>
      <c r="RTE48" s="24"/>
      <c r="RTF48" s="24"/>
      <c r="RTG48" s="24"/>
      <c r="RTH48" s="24"/>
      <c r="RTI48" s="24"/>
      <c r="RTJ48" s="24"/>
      <c r="RTK48" s="24"/>
      <c r="RTL48" s="24"/>
      <c r="RTM48" s="24"/>
      <c r="RTN48" s="24"/>
      <c r="RTO48" s="24"/>
      <c r="RTP48" s="24"/>
      <c r="RTQ48" s="24"/>
      <c r="RTR48" s="24"/>
      <c r="RTS48" s="24"/>
      <c r="RTT48" s="24"/>
      <c r="RTU48" s="24"/>
      <c r="RTV48" s="24"/>
      <c r="RTW48" s="24"/>
      <c r="RTX48" s="24"/>
      <c r="RTY48" s="24"/>
      <c r="RTZ48" s="24"/>
      <c r="RUA48" s="24"/>
      <c r="RUB48" s="24"/>
      <c r="RUC48" s="24"/>
      <c r="RUD48" s="24"/>
      <c r="RUE48" s="24"/>
      <c r="RUF48" s="24"/>
      <c r="RUG48" s="24"/>
      <c r="RUH48" s="24"/>
      <c r="RUI48" s="24"/>
      <c r="RUJ48" s="24"/>
      <c r="RUK48" s="24"/>
      <c r="RUL48" s="24"/>
      <c r="RUM48" s="24"/>
      <c r="RUN48" s="24"/>
      <c r="RUO48" s="24"/>
      <c r="RUP48" s="24"/>
      <c r="RUQ48" s="24"/>
      <c r="RUR48" s="24"/>
      <c r="RUS48" s="24"/>
      <c r="RUT48" s="24"/>
      <c r="RUU48" s="24"/>
      <c r="RUV48" s="24"/>
      <c r="RUW48" s="24"/>
      <c r="RUX48" s="24"/>
      <c r="RUY48" s="24"/>
      <c r="RUZ48" s="24"/>
      <c r="RVA48" s="24"/>
      <c r="RVB48" s="24"/>
      <c r="RVC48" s="24"/>
      <c r="RVD48" s="24"/>
      <c r="RVE48" s="24"/>
      <c r="RVF48" s="24"/>
      <c r="RVG48" s="24"/>
      <c r="RVH48" s="24"/>
      <c r="RVI48" s="24"/>
      <c r="RVJ48" s="24"/>
      <c r="RVK48" s="24"/>
      <c r="RVL48" s="24"/>
      <c r="RVM48" s="24"/>
      <c r="RVN48" s="24"/>
      <c r="RVO48" s="24"/>
      <c r="RVP48" s="24"/>
      <c r="RVQ48" s="24"/>
      <c r="RVR48" s="24"/>
      <c r="RVS48" s="24"/>
      <c r="RVT48" s="24"/>
      <c r="RVU48" s="24"/>
      <c r="RVV48" s="24"/>
      <c r="RVW48" s="24"/>
      <c r="RVX48" s="24"/>
      <c r="RVY48" s="24"/>
      <c r="RVZ48" s="24"/>
      <c r="RWA48" s="24"/>
      <c r="RWB48" s="24"/>
      <c r="RWC48" s="24"/>
      <c r="RWD48" s="24"/>
      <c r="RWE48" s="24"/>
      <c r="RWF48" s="24"/>
      <c r="RWG48" s="24"/>
      <c r="RWH48" s="24"/>
      <c r="RWI48" s="24"/>
      <c r="RWJ48" s="24"/>
      <c r="RWK48" s="24"/>
      <c r="RWL48" s="24"/>
      <c r="RWM48" s="24"/>
      <c r="RWN48" s="24"/>
      <c r="RWO48" s="24"/>
      <c r="RWP48" s="24"/>
      <c r="RWQ48" s="24"/>
      <c r="RWR48" s="24"/>
      <c r="RWS48" s="24"/>
      <c r="RWT48" s="24"/>
      <c r="RWU48" s="24"/>
      <c r="RWV48" s="24"/>
      <c r="RWW48" s="24"/>
      <c r="RWX48" s="24"/>
      <c r="RWY48" s="24"/>
      <c r="RWZ48" s="24"/>
      <c r="RXA48" s="24"/>
      <c r="RXB48" s="24"/>
      <c r="RXC48" s="24"/>
      <c r="RXD48" s="24"/>
      <c r="RXE48" s="24"/>
      <c r="RXF48" s="24"/>
      <c r="RXG48" s="24"/>
      <c r="RXH48" s="24"/>
      <c r="RXI48" s="24"/>
      <c r="RXJ48" s="24"/>
      <c r="RXK48" s="24"/>
      <c r="RXL48" s="24"/>
      <c r="RXM48" s="24"/>
      <c r="RXN48" s="24"/>
      <c r="RXO48" s="24"/>
      <c r="RXP48" s="24"/>
      <c r="RXQ48" s="24"/>
      <c r="RXR48" s="24"/>
      <c r="RXS48" s="24"/>
      <c r="RXT48" s="24"/>
      <c r="RXU48" s="24"/>
      <c r="RXV48" s="24"/>
      <c r="RXW48" s="24"/>
      <c r="RXX48" s="24"/>
      <c r="RXY48" s="24"/>
      <c r="RXZ48" s="24"/>
      <c r="RYA48" s="24"/>
      <c r="RYB48" s="24"/>
      <c r="RYC48" s="24"/>
      <c r="RYD48" s="24"/>
      <c r="RYE48" s="24"/>
      <c r="RYF48" s="24"/>
      <c r="RYG48" s="24"/>
      <c r="RYH48" s="24"/>
      <c r="RYI48" s="24"/>
      <c r="RYJ48" s="24"/>
      <c r="RYK48" s="24"/>
      <c r="RYL48" s="24"/>
      <c r="RYM48" s="24"/>
      <c r="RYN48" s="24"/>
      <c r="RYO48" s="24"/>
      <c r="RYP48" s="24"/>
      <c r="RYQ48" s="24"/>
      <c r="RYR48" s="24"/>
      <c r="RYS48" s="24"/>
      <c r="RYT48" s="24"/>
      <c r="RYU48" s="24"/>
      <c r="RYV48" s="24"/>
      <c r="RYW48" s="24"/>
      <c r="RYX48" s="24"/>
      <c r="RYY48" s="24"/>
      <c r="RYZ48" s="24"/>
      <c r="RZA48" s="24"/>
      <c r="RZB48" s="24"/>
      <c r="RZC48" s="24"/>
      <c r="RZD48" s="24"/>
      <c r="RZE48" s="24"/>
      <c r="RZF48" s="24"/>
      <c r="RZG48" s="24"/>
      <c r="RZH48" s="24"/>
      <c r="RZI48" s="24"/>
      <c r="RZJ48" s="24"/>
      <c r="RZK48" s="24"/>
      <c r="RZL48" s="24"/>
      <c r="RZM48" s="24"/>
      <c r="RZN48" s="24"/>
      <c r="RZO48" s="24"/>
      <c r="RZP48" s="24"/>
      <c r="RZQ48" s="24"/>
      <c r="RZR48" s="24"/>
      <c r="RZS48" s="24"/>
      <c r="RZT48" s="24"/>
      <c r="RZU48" s="24"/>
      <c r="RZV48" s="24"/>
      <c r="RZW48" s="24"/>
      <c r="RZX48" s="24"/>
      <c r="RZY48" s="24"/>
      <c r="RZZ48" s="24"/>
      <c r="SAA48" s="24"/>
      <c r="SAB48" s="24"/>
      <c r="SAC48" s="24"/>
      <c r="SAD48" s="24"/>
      <c r="SAE48" s="24"/>
      <c r="SAF48" s="24"/>
      <c r="SAG48" s="24"/>
      <c r="SAH48" s="24"/>
      <c r="SAI48" s="24"/>
      <c r="SAJ48" s="24"/>
      <c r="SAK48" s="24"/>
      <c r="SAL48" s="24"/>
      <c r="SAM48" s="24"/>
      <c r="SAN48" s="24"/>
      <c r="SAO48" s="24"/>
      <c r="SAP48" s="24"/>
      <c r="SAQ48" s="24"/>
      <c r="SAR48" s="24"/>
      <c r="SAS48" s="24"/>
      <c r="SAT48" s="24"/>
      <c r="SAU48" s="24"/>
      <c r="SAV48" s="24"/>
      <c r="SAW48" s="24"/>
      <c r="SAX48" s="24"/>
      <c r="SAY48" s="24"/>
      <c r="SAZ48" s="24"/>
      <c r="SBA48" s="24"/>
      <c r="SBB48" s="24"/>
      <c r="SBC48" s="24"/>
      <c r="SBD48" s="24"/>
      <c r="SBE48" s="24"/>
      <c r="SBF48" s="24"/>
      <c r="SBG48" s="24"/>
      <c r="SBH48" s="24"/>
      <c r="SBI48" s="24"/>
      <c r="SBJ48" s="24"/>
      <c r="SBK48" s="24"/>
      <c r="SBL48" s="24"/>
      <c r="SBM48" s="24"/>
      <c r="SBN48" s="24"/>
      <c r="SBO48" s="24"/>
      <c r="SBP48" s="24"/>
      <c r="SBQ48" s="24"/>
      <c r="SBR48" s="24"/>
      <c r="SBS48" s="24"/>
      <c r="SBT48" s="24"/>
      <c r="SBU48" s="24"/>
      <c r="SBV48" s="24"/>
      <c r="SBW48" s="24"/>
      <c r="SBX48" s="24"/>
      <c r="SBY48" s="24"/>
      <c r="SBZ48" s="24"/>
      <c r="SCA48" s="24"/>
      <c r="SCB48" s="24"/>
      <c r="SCC48" s="24"/>
      <c r="SCD48" s="24"/>
      <c r="SCE48" s="24"/>
      <c r="SCF48" s="24"/>
      <c r="SCG48" s="24"/>
      <c r="SCH48" s="24"/>
      <c r="SCI48" s="24"/>
      <c r="SCJ48" s="24"/>
      <c r="SCK48" s="24"/>
      <c r="SCL48" s="24"/>
      <c r="SCM48" s="24"/>
      <c r="SCN48" s="24"/>
      <c r="SCO48" s="24"/>
      <c r="SCP48" s="24"/>
      <c r="SCQ48" s="24"/>
      <c r="SCR48" s="24"/>
      <c r="SCS48" s="24"/>
      <c r="SCT48" s="24"/>
      <c r="SCU48" s="24"/>
      <c r="SCV48" s="24"/>
      <c r="SCW48" s="24"/>
      <c r="SCX48" s="24"/>
      <c r="SCY48" s="24"/>
      <c r="SCZ48" s="24"/>
      <c r="SDA48" s="24"/>
      <c r="SDB48" s="24"/>
      <c r="SDC48" s="24"/>
      <c r="SDD48" s="24"/>
      <c r="SDE48" s="24"/>
      <c r="SDF48" s="24"/>
      <c r="SDG48" s="24"/>
      <c r="SDH48" s="24"/>
      <c r="SDI48" s="24"/>
      <c r="SDJ48" s="24"/>
      <c r="SDK48" s="24"/>
      <c r="SDL48" s="24"/>
      <c r="SDM48" s="24"/>
      <c r="SDN48" s="24"/>
      <c r="SDO48" s="24"/>
      <c r="SDP48" s="24"/>
      <c r="SDQ48" s="24"/>
      <c r="SDR48" s="24"/>
      <c r="SDS48" s="24"/>
      <c r="SDT48" s="24"/>
      <c r="SDU48" s="24"/>
      <c r="SDV48" s="24"/>
      <c r="SDW48" s="24"/>
      <c r="SDX48" s="24"/>
      <c r="SDY48" s="24"/>
      <c r="SDZ48" s="24"/>
      <c r="SEA48" s="24"/>
      <c r="SEB48" s="24"/>
      <c r="SEC48" s="24"/>
      <c r="SED48" s="24"/>
      <c r="SEE48" s="24"/>
      <c r="SEF48" s="24"/>
      <c r="SEG48" s="24"/>
      <c r="SEH48" s="24"/>
      <c r="SEI48" s="24"/>
      <c r="SEJ48" s="24"/>
      <c r="SEK48" s="24"/>
      <c r="SEL48" s="24"/>
      <c r="SEM48" s="24"/>
      <c r="SEN48" s="24"/>
      <c r="SEO48" s="24"/>
      <c r="SEP48" s="24"/>
      <c r="SEQ48" s="24"/>
      <c r="SER48" s="24"/>
      <c r="SES48" s="24"/>
      <c r="SET48" s="24"/>
      <c r="SEU48" s="24"/>
      <c r="SEV48" s="24"/>
      <c r="SEW48" s="24"/>
      <c r="SEX48" s="24"/>
      <c r="SEY48" s="24"/>
      <c r="SEZ48" s="24"/>
      <c r="SFA48" s="24"/>
      <c r="SFB48" s="24"/>
      <c r="SFC48" s="24"/>
      <c r="SFD48" s="24"/>
      <c r="SFE48" s="24"/>
      <c r="SFF48" s="24"/>
      <c r="SFG48" s="24"/>
      <c r="SFH48" s="24"/>
      <c r="SFI48" s="24"/>
      <c r="SFJ48" s="24"/>
      <c r="SFK48" s="24"/>
      <c r="SFL48" s="24"/>
      <c r="SFM48" s="24"/>
      <c r="SFN48" s="24"/>
      <c r="SFO48" s="24"/>
      <c r="SFP48" s="24"/>
      <c r="SFQ48" s="24"/>
      <c r="SFR48" s="24"/>
      <c r="SFS48" s="24"/>
      <c r="SFT48" s="24"/>
      <c r="SFU48" s="24"/>
      <c r="SFV48" s="24"/>
      <c r="SFW48" s="24"/>
      <c r="SFX48" s="24"/>
      <c r="SFY48" s="24"/>
      <c r="SFZ48" s="24"/>
      <c r="SGA48" s="24"/>
      <c r="SGB48" s="24"/>
      <c r="SGC48" s="24"/>
      <c r="SGD48" s="24"/>
      <c r="SGE48" s="24"/>
      <c r="SGF48" s="24"/>
      <c r="SGG48" s="24"/>
      <c r="SGH48" s="24"/>
      <c r="SGI48" s="24"/>
      <c r="SGJ48" s="24"/>
      <c r="SGK48" s="24"/>
      <c r="SGL48" s="24"/>
      <c r="SGM48" s="24"/>
      <c r="SGN48" s="24"/>
      <c r="SGO48" s="24"/>
      <c r="SGP48" s="24"/>
      <c r="SGQ48" s="24"/>
      <c r="SGR48" s="24"/>
      <c r="SGS48" s="24"/>
      <c r="SGT48" s="24"/>
      <c r="SGU48" s="24"/>
      <c r="SGV48" s="24"/>
      <c r="SGW48" s="24"/>
      <c r="SGX48" s="24"/>
      <c r="SGY48" s="24"/>
      <c r="SGZ48" s="24"/>
      <c r="SHA48" s="24"/>
      <c r="SHB48" s="24"/>
      <c r="SHC48" s="24"/>
      <c r="SHD48" s="24"/>
      <c r="SHE48" s="24"/>
      <c r="SHF48" s="24"/>
      <c r="SHG48" s="24"/>
      <c r="SHH48" s="24"/>
      <c r="SHI48" s="24"/>
      <c r="SHJ48" s="24"/>
      <c r="SHK48" s="24"/>
      <c r="SHL48" s="24"/>
      <c r="SHM48" s="24"/>
      <c r="SHN48" s="24"/>
      <c r="SHO48" s="24"/>
      <c r="SHP48" s="24"/>
      <c r="SHQ48" s="24"/>
      <c r="SHR48" s="24"/>
      <c r="SHS48" s="24"/>
      <c r="SHT48" s="24"/>
      <c r="SHU48" s="24"/>
      <c r="SHV48" s="24"/>
      <c r="SHW48" s="24"/>
      <c r="SHX48" s="24"/>
      <c r="SHY48" s="24"/>
      <c r="SHZ48" s="24"/>
      <c r="SIA48" s="24"/>
      <c r="SIB48" s="24"/>
      <c r="SIC48" s="24"/>
      <c r="SID48" s="24"/>
      <c r="SIE48" s="24"/>
      <c r="SIF48" s="24"/>
      <c r="SIG48" s="24"/>
      <c r="SIH48" s="24"/>
      <c r="SII48" s="24"/>
      <c r="SIJ48" s="24"/>
      <c r="SIK48" s="24"/>
      <c r="SIL48" s="24"/>
      <c r="SIM48" s="24"/>
      <c r="SIN48" s="24"/>
      <c r="SIO48" s="24"/>
      <c r="SIP48" s="24"/>
      <c r="SIQ48" s="24"/>
      <c r="SIR48" s="24"/>
      <c r="SIS48" s="24"/>
      <c r="SIT48" s="24"/>
      <c r="SIU48" s="24"/>
      <c r="SIV48" s="24"/>
      <c r="SIW48" s="24"/>
      <c r="SIX48" s="24"/>
      <c r="SIY48" s="24"/>
      <c r="SIZ48" s="24"/>
      <c r="SJA48" s="24"/>
      <c r="SJB48" s="24"/>
      <c r="SJC48" s="24"/>
      <c r="SJD48" s="24"/>
      <c r="SJE48" s="24"/>
      <c r="SJF48" s="24"/>
      <c r="SJG48" s="24"/>
      <c r="SJH48" s="24"/>
      <c r="SJI48" s="24"/>
      <c r="SJJ48" s="24"/>
      <c r="SJK48" s="24"/>
      <c r="SJL48" s="24"/>
      <c r="SJM48" s="24"/>
      <c r="SJN48" s="24"/>
      <c r="SJO48" s="24"/>
      <c r="SJP48" s="24"/>
      <c r="SJQ48" s="24"/>
      <c r="SJR48" s="24"/>
      <c r="SJS48" s="24"/>
      <c r="SJT48" s="24"/>
      <c r="SJU48" s="24"/>
      <c r="SJV48" s="24"/>
      <c r="SJW48" s="24"/>
      <c r="SJX48" s="24"/>
      <c r="SJY48" s="24"/>
      <c r="SJZ48" s="24"/>
      <c r="SKA48" s="24"/>
      <c r="SKB48" s="24"/>
      <c r="SKC48" s="24"/>
      <c r="SKD48" s="24"/>
      <c r="SKE48" s="24"/>
      <c r="SKF48" s="24"/>
      <c r="SKG48" s="24"/>
      <c r="SKH48" s="24"/>
      <c r="SKI48" s="24"/>
      <c r="SKJ48" s="24"/>
      <c r="SKK48" s="24"/>
      <c r="SKL48" s="24"/>
      <c r="SKM48" s="24"/>
      <c r="SKN48" s="24"/>
      <c r="SKO48" s="24"/>
      <c r="SKP48" s="24"/>
      <c r="SKQ48" s="24"/>
      <c r="SKR48" s="24"/>
      <c r="SKS48" s="24"/>
      <c r="SKT48" s="24"/>
      <c r="SKU48" s="24"/>
      <c r="SKV48" s="24"/>
      <c r="SKW48" s="24"/>
      <c r="SKX48" s="24"/>
      <c r="SKY48" s="24"/>
      <c r="SKZ48" s="24"/>
      <c r="SLA48" s="24"/>
      <c r="SLB48" s="24"/>
      <c r="SLC48" s="24"/>
      <c r="SLD48" s="24"/>
      <c r="SLE48" s="24"/>
      <c r="SLF48" s="24"/>
      <c r="SLG48" s="24"/>
      <c r="SLH48" s="24"/>
      <c r="SLI48" s="24"/>
      <c r="SLJ48" s="24"/>
      <c r="SLK48" s="24"/>
      <c r="SLL48" s="24"/>
      <c r="SLM48" s="24"/>
      <c r="SLN48" s="24"/>
      <c r="SLO48" s="24"/>
      <c r="SLP48" s="24"/>
      <c r="SLQ48" s="24"/>
      <c r="SLR48" s="24"/>
      <c r="SLS48" s="24"/>
      <c r="SLT48" s="24"/>
      <c r="SLU48" s="24"/>
      <c r="SLV48" s="24"/>
      <c r="SLW48" s="24"/>
      <c r="SLX48" s="24"/>
      <c r="SLY48" s="24"/>
      <c r="SLZ48" s="24"/>
      <c r="SMA48" s="24"/>
      <c r="SMB48" s="24"/>
      <c r="SMC48" s="24"/>
      <c r="SMD48" s="24"/>
      <c r="SME48" s="24"/>
      <c r="SMF48" s="24"/>
      <c r="SMG48" s="24"/>
      <c r="SMH48" s="24"/>
      <c r="SMI48" s="24"/>
      <c r="SMJ48" s="24"/>
      <c r="SMK48" s="24"/>
      <c r="SML48" s="24"/>
      <c r="SMM48" s="24"/>
      <c r="SMN48" s="24"/>
      <c r="SMO48" s="24"/>
      <c r="SMP48" s="24"/>
      <c r="SMQ48" s="24"/>
      <c r="SMR48" s="24"/>
      <c r="SMS48" s="24"/>
      <c r="SMT48" s="24"/>
      <c r="SMU48" s="24"/>
      <c r="SMV48" s="24"/>
      <c r="SMW48" s="24"/>
      <c r="SMX48" s="24"/>
      <c r="SMY48" s="24"/>
      <c r="SMZ48" s="24"/>
      <c r="SNA48" s="24"/>
      <c r="SNB48" s="24"/>
      <c r="SNC48" s="24"/>
      <c r="SND48" s="24"/>
      <c r="SNE48" s="24"/>
      <c r="SNF48" s="24"/>
      <c r="SNG48" s="24"/>
      <c r="SNH48" s="24"/>
      <c r="SNI48" s="24"/>
      <c r="SNJ48" s="24"/>
      <c r="SNK48" s="24"/>
      <c r="SNL48" s="24"/>
      <c r="SNM48" s="24"/>
      <c r="SNN48" s="24"/>
      <c r="SNO48" s="24"/>
      <c r="SNP48" s="24"/>
      <c r="SNQ48" s="24"/>
      <c r="SNR48" s="24"/>
      <c r="SNS48" s="24"/>
      <c r="SNT48" s="24"/>
      <c r="SNU48" s="24"/>
      <c r="SNV48" s="24"/>
      <c r="SNW48" s="24"/>
      <c r="SNX48" s="24"/>
      <c r="SNY48" s="24"/>
      <c r="SNZ48" s="24"/>
      <c r="SOA48" s="24"/>
      <c r="SOB48" s="24"/>
      <c r="SOC48" s="24"/>
      <c r="SOD48" s="24"/>
      <c r="SOE48" s="24"/>
      <c r="SOF48" s="24"/>
      <c r="SOG48" s="24"/>
      <c r="SOH48" s="24"/>
      <c r="SOI48" s="24"/>
      <c r="SOJ48" s="24"/>
      <c r="SOK48" s="24"/>
      <c r="SOL48" s="24"/>
      <c r="SOM48" s="24"/>
      <c r="SON48" s="24"/>
      <c r="SOO48" s="24"/>
      <c r="SOP48" s="24"/>
      <c r="SOQ48" s="24"/>
      <c r="SOR48" s="24"/>
      <c r="SOS48" s="24"/>
      <c r="SOT48" s="24"/>
      <c r="SOU48" s="24"/>
      <c r="SOV48" s="24"/>
      <c r="SOW48" s="24"/>
      <c r="SOX48" s="24"/>
      <c r="SOY48" s="24"/>
      <c r="SOZ48" s="24"/>
      <c r="SPA48" s="24"/>
      <c r="SPB48" s="24"/>
      <c r="SPC48" s="24"/>
      <c r="SPD48" s="24"/>
      <c r="SPE48" s="24"/>
      <c r="SPF48" s="24"/>
      <c r="SPG48" s="24"/>
      <c r="SPH48" s="24"/>
      <c r="SPI48" s="24"/>
      <c r="SPJ48" s="24"/>
      <c r="SPK48" s="24"/>
      <c r="SPL48" s="24"/>
      <c r="SPM48" s="24"/>
      <c r="SPN48" s="24"/>
      <c r="SPO48" s="24"/>
      <c r="SPP48" s="24"/>
      <c r="SPQ48" s="24"/>
      <c r="SPR48" s="24"/>
      <c r="SPS48" s="24"/>
      <c r="SPT48" s="24"/>
      <c r="SPU48" s="24"/>
      <c r="SPV48" s="24"/>
      <c r="SPW48" s="24"/>
      <c r="SPX48" s="24"/>
      <c r="SPY48" s="24"/>
      <c r="SPZ48" s="24"/>
      <c r="SQA48" s="24"/>
      <c r="SQB48" s="24"/>
      <c r="SQC48" s="24"/>
      <c r="SQD48" s="24"/>
      <c r="SQE48" s="24"/>
      <c r="SQF48" s="24"/>
      <c r="SQG48" s="24"/>
      <c r="SQH48" s="24"/>
      <c r="SQI48" s="24"/>
      <c r="SQJ48" s="24"/>
      <c r="SQK48" s="24"/>
      <c r="SQL48" s="24"/>
      <c r="SQM48" s="24"/>
      <c r="SQN48" s="24"/>
      <c r="SQO48" s="24"/>
      <c r="SQP48" s="24"/>
      <c r="SQQ48" s="24"/>
      <c r="SQR48" s="24"/>
      <c r="SQS48" s="24"/>
      <c r="SQT48" s="24"/>
      <c r="SQU48" s="24"/>
      <c r="SQV48" s="24"/>
      <c r="SQW48" s="24"/>
      <c r="SQX48" s="24"/>
      <c r="SQY48" s="24"/>
      <c r="SQZ48" s="24"/>
      <c r="SRA48" s="24"/>
      <c r="SRB48" s="24"/>
      <c r="SRC48" s="24"/>
      <c r="SRD48" s="24"/>
      <c r="SRE48" s="24"/>
      <c r="SRF48" s="24"/>
      <c r="SRG48" s="24"/>
      <c r="SRH48" s="24"/>
      <c r="SRI48" s="24"/>
      <c r="SRJ48" s="24"/>
      <c r="SRK48" s="24"/>
      <c r="SRL48" s="24"/>
      <c r="SRM48" s="24"/>
      <c r="SRN48" s="24"/>
      <c r="SRO48" s="24"/>
      <c r="SRP48" s="24"/>
      <c r="SRQ48" s="24"/>
      <c r="SRR48" s="24"/>
      <c r="SRS48" s="24"/>
      <c r="SRT48" s="24"/>
      <c r="SRU48" s="24"/>
      <c r="SRV48" s="24"/>
      <c r="SRW48" s="24"/>
      <c r="SRX48" s="24"/>
      <c r="SRY48" s="24"/>
      <c r="SRZ48" s="24"/>
      <c r="SSA48" s="24"/>
      <c r="SSB48" s="24"/>
      <c r="SSC48" s="24"/>
      <c r="SSD48" s="24"/>
      <c r="SSE48" s="24"/>
      <c r="SSF48" s="24"/>
      <c r="SSG48" s="24"/>
      <c r="SSH48" s="24"/>
      <c r="SSI48" s="24"/>
      <c r="SSJ48" s="24"/>
      <c r="SSK48" s="24"/>
      <c r="SSL48" s="24"/>
      <c r="SSM48" s="24"/>
      <c r="SSN48" s="24"/>
      <c r="SSO48" s="24"/>
      <c r="SSP48" s="24"/>
      <c r="SSQ48" s="24"/>
      <c r="SSR48" s="24"/>
      <c r="SSS48" s="24"/>
      <c r="SST48" s="24"/>
      <c r="SSU48" s="24"/>
      <c r="SSV48" s="24"/>
      <c r="SSW48" s="24"/>
      <c r="SSX48" s="24"/>
      <c r="SSY48" s="24"/>
      <c r="SSZ48" s="24"/>
      <c r="STA48" s="24"/>
      <c r="STB48" s="24"/>
      <c r="STC48" s="24"/>
      <c r="STD48" s="24"/>
      <c r="STE48" s="24"/>
      <c r="STF48" s="24"/>
      <c r="STG48" s="24"/>
      <c r="STH48" s="24"/>
      <c r="STI48" s="24"/>
      <c r="STJ48" s="24"/>
      <c r="STK48" s="24"/>
      <c r="STL48" s="24"/>
      <c r="STM48" s="24"/>
      <c r="STN48" s="24"/>
      <c r="STO48" s="24"/>
      <c r="STP48" s="24"/>
      <c r="STQ48" s="24"/>
      <c r="STR48" s="24"/>
      <c r="STS48" s="24"/>
      <c r="STT48" s="24"/>
      <c r="STU48" s="24"/>
      <c r="STV48" s="24"/>
      <c r="STW48" s="24"/>
      <c r="STX48" s="24"/>
      <c r="STY48" s="24"/>
      <c r="STZ48" s="24"/>
      <c r="SUA48" s="24"/>
      <c r="SUB48" s="24"/>
      <c r="SUC48" s="24"/>
      <c r="SUD48" s="24"/>
      <c r="SUE48" s="24"/>
      <c r="SUF48" s="24"/>
      <c r="SUG48" s="24"/>
      <c r="SUH48" s="24"/>
      <c r="SUI48" s="24"/>
      <c r="SUJ48" s="24"/>
      <c r="SUK48" s="24"/>
      <c r="SUL48" s="24"/>
      <c r="SUM48" s="24"/>
      <c r="SUN48" s="24"/>
      <c r="SUO48" s="24"/>
      <c r="SUP48" s="24"/>
      <c r="SUQ48" s="24"/>
      <c r="SUR48" s="24"/>
      <c r="SUS48" s="24"/>
      <c r="SUT48" s="24"/>
      <c r="SUU48" s="24"/>
      <c r="SUV48" s="24"/>
      <c r="SUW48" s="24"/>
      <c r="SUX48" s="24"/>
      <c r="SUY48" s="24"/>
      <c r="SUZ48" s="24"/>
      <c r="SVA48" s="24"/>
      <c r="SVB48" s="24"/>
      <c r="SVC48" s="24"/>
      <c r="SVD48" s="24"/>
      <c r="SVE48" s="24"/>
      <c r="SVF48" s="24"/>
      <c r="SVG48" s="24"/>
      <c r="SVH48" s="24"/>
      <c r="SVI48" s="24"/>
      <c r="SVJ48" s="24"/>
      <c r="SVK48" s="24"/>
      <c r="SVL48" s="24"/>
      <c r="SVM48" s="24"/>
      <c r="SVN48" s="24"/>
      <c r="SVO48" s="24"/>
      <c r="SVP48" s="24"/>
      <c r="SVQ48" s="24"/>
      <c r="SVR48" s="24"/>
      <c r="SVS48" s="24"/>
      <c r="SVT48" s="24"/>
      <c r="SVU48" s="24"/>
      <c r="SVV48" s="24"/>
      <c r="SVW48" s="24"/>
      <c r="SVX48" s="24"/>
      <c r="SVY48" s="24"/>
      <c r="SVZ48" s="24"/>
      <c r="SWA48" s="24"/>
      <c r="SWB48" s="24"/>
      <c r="SWC48" s="24"/>
      <c r="SWD48" s="24"/>
      <c r="SWE48" s="24"/>
      <c r="SWF48" s="24"/>
      <c r="SWG48" s="24"/>
      <c r="SWH48" s="24"/>
      <c r="SWI48" s="24"/>
      <c r="SWJ48" s="24"/>
      <c r="SWK48" s="24"/>
      <c r="SWL48" s="24"/>
      <c r="SWM48" s="24"/>
      <c r="SWN48" s="24"/>
      <c r="SWO48" s="24"/>
      <c r="SWP48" s="24"/>
      <c r="SWQ48" s="24"/>
      <c r="SWR48" s="24"/>
      <c r="SWS48" s="24"/>
      <c r="SWT48" s="24"/>
      <c r="SWU48" s="24"/>
      <c r="SWV48" s="24"/>
      <c r="SWW48" s="24"/>
      <c r="SWX48" s="24"/>
      <c r="SWY48" s="24"/>
      <c r="SWZ48" s="24"/>
      <c r="SXA48" s="24"/>
      <c r="SXB48" s="24"/>
      <c r="SXC48" s="24"/>
      <c r="SXD48" s="24"/>
      <c r="SXE48" s="24"/>
      <c r="SXF48" s="24"/>
      <c r="SXG48" s="24"/>
      <c r="SXH48" s="24"/>
      <c r="SXI48" s="24"/>
      <c r="SXJ48" s="24"/>
      <c r="SXK48" s="24"/>
      <c r="SXL48" s="24"/>
      <c r="SXM48" s="24"/>
      <c r="SXN48" s="24"/>
      <c r="SXO48" s="24"/>
      <c r="SXP48" s="24"/>
      <c r="SXQ48" s="24"/>
      <c r="SXR48" s="24"/>
      <c r="SXS48" s="24"/>
      <c r="SXT48" s="24"/>
      <c r="SXU48" s="24"/>
      <c r="SXV48" s="24"/>
      <c r="SXW48" s="24"/>
      <c r="SXX48" s="24"/>
      <c r="SXY48" s="24"/>
      <c r="SXZ48" s="24"/>
      <c r="SYA48" s="24"/>
      <c r="SYB48" s="24"/>
      <c r="SYC48" s="24"/>
      <c r="SYD48" s="24"/>
      <c r="SYE48" s="24"/>
      <c r="SYF48" s="24"/>
      <c r="SYG48" s="24"/>
      <c r="SYH48" s="24"/>
      <c r="SYI48" s="24"/>
      <c r="SYJ48" s="24"/>
      <c r="SYK48" s="24"/>
      <c r="SYL48" s="24"/>
      <c r="SYM48" s="24"/>
      <c r="SYN48" s="24"/>
      <c r="SYO48" s="24"/>
      <c r="SYP48" s="24"/>
      <c r="SYQ48" s="24"/>
      <c r="SYR48" s="24"/>
      <c r="SYS48" s="24"/>
      <c r="SYT48" s="24"/>
      <c r="SYU48" s="24"/>
      <c r="SYV48" s="24"/>
      <c r="SYW48" s="24"/>
      <c r="SYX48" s="24"/>
      <c r="SYY48" s="24"/>
      <c r="SYZ48" s="24"/>
      <c r="SZA48" s="24"/>
      <c r="SZB48" s="24"/>
      <c r="SZC48" s="24"/>
      <c r="SZD48" s="24"/>
      <c r="SZE48" s="24"/>
      <c r="SZF48" s="24"/>
      <c r="SZG48" s="24"/>
      <c r="SZH48" s="24"/>
      <c r="SZI48" s="24"/>
      <c r="SZJ48" s="24"/>
      <c r="SZK48" s="24"/>
      <c r="SZL48" s="24"/>
      <c r="SZM48" s="24"/>
      <c r="SZN48" s="24"/>
      <c r="SZO48" s="24"/>
      <c r="SZP48" s="24"/>
      <c r="SZQ48" s="24"/>
      <c r="SZR48" s="24"/>
      <c r="SZS48" s="24"/>
      <c r="SZT48" s="24"/>
      <c r="SZU48" s="24"/>
      <c r="SZV48" s="24"/>
      <c r="SZW48" s="24"/>
      <c r="SZX48" s="24"/>
      <c r="SZY48" s="24"/>
      <c r="SZZ48" s="24"/>
      <c r="TAA48" s="24"/>
      <c r="TAB48" s="24"/>
      <c r="TAC48" s="24"/>
      <c r="TAD48" s="24"/>
      <c r="TAE48" s="24"/>
      <c r="TAF48" s="24"/>
      <c r="TAG48" s="24"/>
      <c r="TAH48" s="24"/>
      <c r="TAI48" s="24"/>
      <c r="TAJ48" s="24"/>
      <c r="TAK48" s="24"/>
      <c r="TAL48" s="24"/>
      <c r="TAM48" s="24"/>
      <c r="TAN48" s="24"/>
      <c r="TAO48" s="24"/>
      <c r="TAP48" s="24"/>
      <c r="TAQ48" s="24"/>
      <c r="TAR48" s="24"/>
      <c r="TAS48" s="24"/>
      <c r="TAT48" s="24"/>
      <c r="TAU48" s="24"/>
      <c r="TAV48" s="24"/>
      <c r="TAW48" s="24"/>
      <c r="TAX48" s="24"/>
      <c r="TAY48" s="24"/>
      <c r="TAZ48" s="24"/>
      <c r="TBA48" s="24"/>
      <c r="TBB48" s="24"/>
      <c r="TBC48" s="24"/>
      <c r="TBD48" s="24"/>
      <c r="TBE48" s="24"/>
      <c r="TBF48" s="24"/>
      <c r="TBG48" s="24"/>
      <c r="TBH48" s="24"/>
      <c r="TBI48" s="24"/>
      <c r="TBJ48" s="24"/>
      <c r="TBK48" s="24"/>
      <c r="TBL48" s="24"/>
      <c r="TBM48" s="24"/>
      <c r="TBN48" s="24"/>
      <c r="TBO48" s="24"/>
      <c r="TBP48" s="24"/>
      <c r="TBQ48" s="24"/>
      <c r="TBR48" s="24"/>
      <c r="TBS48" s="24"/>
      <c r="TBT48" s="24"/>
      <c r="TBU48" s="24"/>
      <c r="TBV48" s="24"/>
      <c r="TBW48" s="24"/>
      <c r="TBX48" s="24"/>
      <c r="TBY48" s="24"/>
      <c r="TBZ48" s="24"/>
      <c r="TCA48" s="24"/>
      <c r="TCB48" s="24"/>
      <c r="TCC48" s="24"/>
      <c r="TCD48" s="24"/>
      <c r="TCE48" s="24"/>
      <c r="TCF48" s="24"/>
      <c r="TCG48" s="24"/>
      <c r="TCH48" s="24"/>
      <c r="TCI48" s="24"/>
      <c r="TCJ48" s="24"/>
      <c r="TCK48" s="24"/>
      <c r="TCL48" s="24"/>
      <c r="TCM48" s="24"/>
      <c r="TCN48" s="24"/>
      <c r="TCO48" s="24"/>
      <c r="TCP48" s="24"/>
      <c r="TCQ48" s="24"/>
      <c r="TCR48" s="24"/>
      <c r="TCS48" s="24"/>
      <c r="TCT48" s="24"/>
      <c r="TCU48" s="24"/>
      <c r="TCV48" s="24"/>
      <c r="TCW48" s="24"/>
      <c r="TCX48" s="24"/>
      <c r="TCY48" s="24"/>
      <c r="TCZ48" s="24"/>
      <c r="TDA48" s="24"/>
      <c r="TDB48" s="24"/>
      <c r="TDC48" s="24"/>
      <c r="TDD48" s="24"/>
      <c r="TDE48" s="24"/>
      <c r="TDF48" s="24"/>
      <c r="TDG48" s="24"/>
      <c r="TDH48" s="24"/>
      <c r="TDI48" s="24"/>
      <c r="TDJ48" s="24"/>
      <c r="TDK48" s="24"/>
      <c r="TDL48" s="24"/>
      <c r="TDM48" s="24"/>
      <c r="TDN48" s="24"/>
      <c r="TDO48" s="24"/>
      <c r="TDP48" s="24"/>
      <c r="TDQ48" s="24"/>
      <c r="TDR48" s="24"/>
      <c r="TDS48" s="24"/>
      <c r="TDT48" s="24"/>
      <c r="TDU48" s="24"/>
      <c r="TDV48" s="24"/>
      <c r="TDW48" s="24"/>
      <c r="TDX48" s="24"/>
      <c r="TDY48" s="24"/>
      <c r="TDZ48" s="24"/>
      <c r="TEA48" s="24"/>
      <c r="TEB48" s="24"/>
      <c r="TEC48" s="24"/>
      <c r="TED48" s="24"/>
      <c r="TEE48" s="24"/>
      <c r="TEF48" s="24"/>
      <c r="TEG48" s="24"/>
      <c r="TEH48" s="24"/>
      <c r="TEI48" s="24"/>
      <c r="TEJ48" s="24"/>
      <c r="TEK48" s="24"/>
      <c r="TEL48" s="24"/>
      <c r="TEM48" s="24"/>
      <c r="TEN48" s="24"/>
      <c r="TEO48" s="24"/>
      <c r="TEP48" s="24"/>
      <c r="TEQ48" s="24"/>
      <c r="TER48" s="24"/>
      <c r="TES48" s="24"/>
      <c r="TET48" s="24"/>
      <c r="TEU48" s="24"/>
      <c r="TEV48" s="24"/>
      <c r="TEW48" s="24"/>
      <c r="TEX48" s="24"/>
      <c r="TEY48" s="24"/>
      <c r="TEZ48" s="24"/>
      <c r="TFA48" s="24"/>
      <c r="TFB48" s="24"/>
      <c r="TFC48" s="24"/>
      <c r="TFD48" s="24"/>
      <c r="TFE48" s="24"/>
      <c r="TFF48" s="24"/>
      <c r="TFG48" s="24"/>
      <c r="TFH48" s="24"/>
      <c r="TFI48" s="24"/>
      <c r="TFJ48" s="24"/>
      <c r="TFK48" s="24"/>
      <c r="TFL48" s="24"/>
      <c r="TFM48" s="24"/>
      <c r="TFN48" s="24"/>
      <c r="TFO48" s="24"/>
      <c r="TFP48" s="24"/>
      <c r="TFQ48" s="24"/>
      <c r="TFR48" s="24"/>
      <c r="TFS48" s="24"/>
      <c r="TFT48" s="24"/>
      <c r="TFU48" s="24"/>
      <c r="TFV48" s="24"/>
      <c r="TFW48" s="24"/>
      <c r="TFX48" s="24"/>
      <c r="TFY48" s="24"/>
      <c r="TFZ48" s="24"/>
      <c r="TGA48" s="24"/>
      <c r="TGB48" s="24"/>
      <c r="TGC48" s="24"/>
      <c r="TGD48" s="24"/>
      <c r="TGE48" s="24"/>
      <c r="TGF48" s="24"/>
      <c r="TGG48" s="24"/>
      <c r="TGH48" s="24"/>
      <c r="TGI48" s="24"/>
      <c r="TGJ48" s="24"/>
      <c r="TGK48" s="24"/>
      <c r="TGL48" s="24"/>
      <c r="TGM48" s="24"/>
      <c r="TGN48" s="24"/>
      <c r="TGO48" s="24"/>
      <c r="TGP48" s="24"/>
      <c r="TGQ48" s="24"/>
      <c r="TGR48" s="24"/>
      <c r="TGS48" s="24"/>
      <c r="TGT48" s="24"/>
      <c r="TGU48" s="24"/>
      <c r="TGV48" s="24"/>
      <c r="TGW48" s="24"/>
      <c r="TGX48" s="24"/>
      <c r="TGY48" s="24"/>
      <c r="TGZ48" s="24"/>
      <c r="THA48" s="24"/>
      <c r="THB48" s="24"/>
      <c r="THC48" s="24"/>
      <c r="THD48" s="24"/>
      <c r="THE48" s="24"/>
      <c r="THF48" s="24"/>
      <c r="THG48" s="24"/>
      <c r="THH48" s="24"/>
      <c r="THI48" s="24"/>
      <c r="THJ48" s="24"/>
      <c r="THK48" s="24"/>
      <c r="THL48" s="24"/>
      <c r="THM48" s="24"/>
      <c r="THN48" s="24"/>
      <c r="THO48" s="24"/>
      <c r="THP48" s="24"/>
      <c r="THQ48" s="24"/>
      <c r="THR48" s="24"/>
      <c r="THS48" s="24"/>
      <c r="THT48" s="24"/>
      <c r="THU48" s="24"/>
      <c r="THV48" s="24"/>
      <c r="THW48" s="24"/>
      <c r="THX48" s="24"/>
      <c r="THY48" s="24"/>
      <c r="THZ48" s="24"/>
      <c r="TIA48" s="24"/>
      <c r="TIB48" s="24"/>
      <c r="TIC48" s="24"/>
      <c r="TID48" s="24"/>
      <c r="TIE48" s="24"/>
      <c r="TIF48" s="24"/>
      <c r="TIG48" s="24"/>
      <c r="TIH48" s="24"/>
      <c r="TII48" s="24"/>
      <c r="TIJ48" s="24"/>
      <c r="TIK48" s="24"/>
      <c r="TIL48" s="24"/>
      <c r="TIM48" s="24"/>
      <c r="TIN48" s="24"/>
      <c r="TIO48" s="24"/>
      <c r="TIP48" s="24"/>
      <c r="TIQ48" s="24"/>
      <c r="TIR48" s="24"/>
      <c r="TIS48" s="24"/>
      <c r="TIT48" s="24"/>
      <c r="TIU48" s="24"/>
      <c r="TIV48" s="24"/>
      <c r="TIW48" s="24"/>
      <c r="TIX48" s="24"/>
      <c r="TIY48" s="24"/>
      <c r="TIZ48" s="24"/>
      <c r="TJA48" s="24"/>
      <c r="TJB48" s="24"/>
      <c r="TJC48" s="24"/>
      <c r="TJD48" s="24"/>
      <c r="TJE48" s="24"/>
      <c r="TJF48" s="24"/>
      <c r="TJG48" s="24"/>
      <c r="TJH48" s="24"/>
      <c r="TJI48" s="24"/>
      <c r="TJJ48" s="24"/>
      <c r="TJK48" s="24"/>
      <c r="TJL48" s="24"/>
      <c r="TJM48" s="24"/>
      <c r="TJN48" s="24"/>
      <c r="TJO48" s="24"/>
      <c r="TJP48" s="24"/>
      <c r="TJQ48" s="24"/>
      <c r="TJR48" s="24"/>
      <c r="TJS48" s="24"/>
      <c r="TJT48" s="24"/>
      <c r="TJU48" s="24"/>
      <c r="TJV48" s="24"/>
      <c r="TJW48" s="24"/>
      <c r="TJX48" s="24"/>
      <c r="TJY48" s="24"/>
      <c r="TJZ48" s="24"/>
      <c r="TKA48" s="24"/>
      <c r="TKB48" s="24"/>
      <c r="TKC48" s="24"/>
      <c r="TKD48" s="24"/>
      <c r="TKE48" s="24"/>
      <c r="TKF48" s="24"/>
      <c r="TKG48" s="24"/>
      <c r="TKH48" s="24"/>
      <c r="TKI48" s="24"/>
      <c r="TKJ48" s="24"/>
      <c r="TKK48" s="24"/>
      <c r="TKL48" s="24"/>
      <c r="TKM48" s="24"/>
      <c r="TKN48" s="24"/>
      <c r="TKO48" s="24"/>
      <c r="TKP48" s="24"/>
      <c r="TKQ48" s="24"/>
      <c r="TKR48" s="24"/>
      <c r="TKS48" s="24"/>
      <c r="TKT48" s="24"/>
      <c r="TKU48" s="24"/>
      <c r="TKV48" s="24"/>
      <c r="TKW48" s="24"/>
      <c r="TKX48" s="24"/>
      <c r="TKY48" s="24"/>
      <c r="TKZ48" s="24"/>
      <c r="TLA48" s="24"/>
      <c r="TLB48" s="24"/>
      <c r="TLC48" s="24"/>
      <c r="TLD48" s="24"/>
      <c r="TLE48" s="24"/>
      <c r="TLF48" s="24"/>
      <c r="TLG48" s="24"/>
      <c r="TLH48" s="24"/>
      <c r="TLI48" s="24"/>
      <c r="TLJ48" s="24"/>
      <c r="TLK48" s="24"/>
      <c r="TLL48" s="24"/>
      <c r="TLM48" s="24"/>
      <c r="TLN48" s="24"/>
      <c r="TLO48" s="24"/>
      <c r="TLP48" s="24"/>
      <c r="TLQ48" s="24"/>
      <c r="TLR48" s="24"/>
      <c r="TLS48" s="24"/>
      <c r="TLT48" s="24"/>
      <c r="TLU48" s="24"/>
      <c r="TLV48" s="24"/>
      <c r="TLW48" s="24"/>
      <c r="TLX48" s="24"/>
      <c r="TLY48" s="24"/>
      <c r="TLZ48" s="24"/>
      <c r="TMA48" s="24"/>
      <c r="TMB48" s="24"/>
      <c r="TMC48" s="24"/>
      <c r="TMD48" s="24"/>
      <c r="TME48" s="24"/>
      <c r="TMF48" s="24"/>
      <c r="TMG48" s="24"/>
      <c r="TMH48" s="24"/>
      <c r="TMI48" s="24"/>
      <c r="TMJ48" s="24"/>
      <c r="TMK48" s="24"/>
      <c r="TML48" s="24"/>
      <c r="TMM48" s="24"/>
      <c r="TMN48" s="24"/>
      <c r="TMO48" s="24"/>
      <c r="TMP48" s="24"/>
      <c r="TMQ48" s="24"/>
      <c r="TMR48" s="24"/>
      <c r="TMS48" s="24"/>
      <c r="TMT48" s="24"/>
      <c r="TMU48" s="24"/>
      <c r="TMV48" s="24"/>
      <c r="TMW48" s="24"/>
      <c r="TMX48" s="24"/>
      <c r="TMY48" s="24"/>
      <c r="TMZ48" s="24"/>
      <c r="TNA48" s="24"/>
      <c r="TNB48" s="24"/>
      <c r="TNC48" s="24"/>
      <c r="TND48" s="24"/>
      <c r="TNE48" s="24"/>
      <c r="TNF48" s="24"/>
      <c r="TNG48" s="24"/>
      <c r="TNH48" s="24"/>
      <c r="TNI48" s="24"/>
      <c r="TNJ48" s="24"/>
      <c r="TNK48" s="24"/>
      <c r="TNL48" s="24"/>
      <c r="TNM48" s="24"/>
      <c r="TNN48" s="24"/>
      <c r="TNO48" s="24"/>
      <c r="TNP48" s="24"/>
      <c r="TNQ48" s="24"/>
      <c r="TNR48" s="24"/>
      <c r="TNS48" s="24"/>
      <c r="TNT48" s="24"/>
      <c r="TNU48" s="24"/>
      <c r="TNV48" s="24"/>
      <c r="TNW48" s="24"/>
      <c r="TNX48" s="24"/>
      <c r="TNY48" s="24"/>
      <c r="TNZ48" s="24"/>
      <c r="TOA48" s="24"/>
      <c r="TOB48" s="24"/>
      <c r="TOC48" s="24"/>
      <c r="TOD48" s="24"/>
      <c r="TOE48" s="24"/>
      <c r="TOF48" s="24"/>
      <c r="TOG48" s="24"/>
      <c r="TOH48" s="24"/>
      <c r="TOI48" s="24"/>
      <c r="TOJ48" s="24"/>
      <c r="TOK48" s="24"/>
      <c r="TOL48" s="24"/>
      <c r="TOM48" s="24"/>
      <c r="TON48" s="24"/>
      <c r="TOO48" s="24"/>
      <c r="TOP48" s="24"/>
      <c r="TOQ48" s="24"/>
      <c r="TOR48" s="24"/>
      <c r="TOS48" s="24"/>
      <c r="TOT48" s="24"/>
      <c r="TOU48" s="24"/>
      <c r="TOV48" s="24"/>
      <c r="TOW48" s="24"/>
      <c r="TOX48" s="24"/>
      <c r="TOY48" s="24"/>
      <c r="TOZ48" s="24"/>
      <c r="TPA48" s="24"/>
      <c r="TPB48" s="24"/>
      <c r="TPC48" s="24"/>
      <c r="TPD48" s="24"/>
      <c r="TPE48" s="24"/>
      <c r="TPF48" s="24"/>
      <c r="TPG48" s="24"/>
      <c r="TPH48" s="24"/>
      <c r="TPI48" s="24"/>
      <c r="TPJ48" s="24"/>
      <c r="TPK48" s="24"/>
      <c r="TPL48" s="24"/>
      <c r="TPM48" s="24"/>
      <c r="TPN48" s="24"/>
      <c r="TPO48" s="24"/>
      <c r="TPP48" s="24"/>
      <c r="TPQ48" s="24"/>
      <c r="TPR48" s="24"/>
      <c r="TPS48" s="24"/>
      <c r="TPT48" s="24"/>
      <c r="TPU48" s="24"/>
      <c r="TPV48" s="24"/>
      <c r="TPW48" s="24"/>
      <c r="TPX48" s="24"/>
      <c r="TPY48" s="24"/>
      <c r="TPZ48" s="24"/>
      <c r="TQA48" s="24"/>
      <c r="TQB48" s="24"/>
      <c r="TQC48" s="24"/>
      <c r="TQD48" s="24"/>
      <c r="TQE48" s="24"/>
      <c r="TQF48" s="24"/>
      <c r="TQG48" s="24"/>
      <c r="TQH48" s="24"/>
      <c r="TQI48" s="24"/>
      <c r="TQJ48" s="24"/>
      <c r="TQK48" s="24"/>
      <c r="TQL48" s="24"/>
      <c r="TQM48" s="24"/>
      <c r="TQN48" s="24"/>
      <c r="TQO48" s="24"/>
      <c r="TQP48" s="24"/>
      <c r="TQQ48" s="24"/>
      <c r="TQR48" s="24"/>
      <c r="TQS48" s="24"/>
      <c r="TQT48" s="24"/>
      <c r="TQU48" s="24"/>
      <c r="TQV48" s="24"/>
      <c r="TQW48" s="24"/>
      <c r="TQX48" s="24"/>
      <c r="TQY48" s="24"/>
      <c r="TQZ48" s="24"/>
      <c r="TRA48" s="24"/>
      <c r="TRB48" s="24"/>
      <c r="TRC48" s="24"/>
      <c r="TRD48" s="24"/>
      <c r="TRE48" s="24"/>
      <c r="TRF48" s="24"/>
      <c r="TRG48" s="24"/>
      <c r="TRH48" s="24"/>
      <c r="TRI48" s="24"/>
      <c r="TRJ48" s="24"/>
      <c r="TRK48" s="24"/>
      <c r="TRL48" s="24"/>
      <c r="TRM48" s="24"/>
      <c r="TRN48" s="24"/>
      <c r="TRO48" s="24"/>
      <c r="TRP48" s="24"/>
      <c r="TRQ48" s="24"/>
      <c r="TRR48" s="24"/>
      <c r="TRS48" s="24"/>
      <c r="TRT48" s="24"/>
      <c r="TRU48" s="24"/>
      <c r="TRV48" s="24"/>
      <c r="TRW48" s="24"/>
      <c r="TRX48" s="24"/>
      <c r="TRY48" s="24"/>
      <c r="TRZ48" s="24"/>
      <c r="TSA48" s="24"/>
      <c r="TSB48" s="24"/>
      <c r="TSC48" s="24"/>
      <c r="TSD48" s="24"/>
      <c r="TSE48" s="24"/>
      <c r="TSF48" s="24"/>
      <c r="TSG48" s="24"/>
      <c r="TSH48" s="24"/>
      <c r="TSI48" s="24"/>
      <c r="TSJ48" s="24"/>
      <c r="TSK48" s="24"/>
      <c r="TSL48" s="24"/>
      <c r="TSM48" s="24"/>
      <c r="TSN48" s="24"/>
      <c r="TSO48" s="24"/>
      <c r="TSP48" s="24"/>
      <c r="TSQ48" s="24"/>
      <c r="TSR48" s="24"/>
      <c r="TSS48" s="24"/>
      <c r="TST48" s="24"/>
      <c r="TSU48" s="24"/>
      <c r="TSV48" s="24"/>
      <c r="TSW48" s="24"/>
      <c r="TSX48" s="24"/>
      <c r="TSY48" s="24"/>
      <c r="TSZ48" s="24"/>
      <c r="TTA48" s="24"/>
      <c r="TTB48" s="24"/>
      <c r="TTC48" s="24"/>
      <c r="TTD48" s="24"/>
      <c r="TTE48" s="24"/>
      <c r="TTF48" s="24"/>
      <c r="TTG48" s="24"/>
      <c r="TTH48" s="24"/>
      <c r="TTI48" s="24"/>
      <c r="TTJ48" s="24"/>
      <c r="TTK48" s="24"/>
      <c r="TTL48" s="24"/>
      <c r="TTM48" s="24"/>
      <c r="TTN48" s="24"/>
      <c r="TTO48" s="24"/>
      <c r="TTP48" s="24"/>
      <c r="TTQ48" s="24"/>
      <c r="TTR48" s="24"/>
      <c r="TTS48" s="24"/>
      <c r="TTT48" s="24"/>
      <c r="TTU48" s="24"/>
      <c r="TTV48" s="24"/>
      <c r="TTW48" s="24"/>
      <c r="TTX48" s="24"/>
      <c r="TTY48" s="24"/>
      <c r="TTZ48" s="24"/>
      <c r="TUA48" s="24"/>
      <c r="TUB48" s="24"/>
      <c r="TUC48" s="24"/>
      <c r="TUD48" s="24"/>
      <c r="TUE48" s="24"/>
      <c r="TUF48" s="24"/>
      <c r="TUG48" s="24"/>
      <c r="TUH48" s="24"/>
      <c r="TUI48" s="24"/>
      <c r="TUJ48" s="24"/>
      <c r="TUK48" s="24"/>
      <c r="TUL48" s="24"/>
      <c r="TUM48" s="24"/>
      <c r="TUN48" s="24"/>
      <c r="TUO48" s="24"/>
      <c r="TUP48" s="24"/>
      <c r="TUQ48" s="24"/>
      <c r="TUR48" s="24"/>
      <c r="TUS48" s="24"/>
      <c r="TUT48" s="24"/>
      <c r="TUU48" s="24"/>
      <c r="TUV48" s="24"/>
      <c r="TUW48" s="24"/>
      <c r="TUX48" s="24"/>
      <c r="TUY48" s="24"/>
      <c r="TUZ48" s="24"/>
      <c r="TVA48" s="24"/>
      <c r="TVB48" s="24"/>
      <c r="TVC48" s="24"/>
      <c r="TVD48" s="24"/>
      <c r="TVE48" s="24"/>
      <c r="TVF48" s="24"/>
      <c r="TVG48" s="24"/>
      <c r="TVH48" s="24"/>
      <c r="TVI48" s="24"/>
      <c r="TVJ48" s="24"/>
      <c r="TVK48" s="24"/>
      <c r="TVL48" s="24"/>
      <c r="TVM48" s="24"/>
      <c r="TVN48" s="24"/>
      <c r="TVO48" s="24"/>
      <c r="TVP48" s="24"/>
      <c r="TVQ48" s="24"/>
      <c r="TVR48" s="24"/>
      <c r="TVS48" s="24"/>
      <c r="TVT48" s="24"/>
      <c r="TVU48" s="24"/>
      <c r="TVV48" s="24"/>
      <c r="TVW48" s="24"/>
      <c r="TVX48" s="24"/>
      <c r="TVY48" s="24"/>
      <c r="TVZ48" s="24"/>
      <c r="TWA48" s="24"/>
      <c r="TWB48" s="24"/>
      <c r="TWC48" s="24"/>
      <c r="TWD48" s="24"/>
      <c r="TWE48" s="24"/>
      <c r="TWF48" s="24"/>
      <c r="TWG48" s="24"/>
      <c r="TWH48" s="24"/>
      <c r="TWI48" s="24"/>
      <c r="TWJ48" s="24"/>
      <c r="TWK48" s="24"/>
      <c r="TWL48" s="24"/>
      <c r="TWM48" s="24"/>
      <c r="TWN48" s="24"/>
      <c r="TWO48" s="24"/>
      <c r="TWP48" s="24"/>
      <c r="TWQ48" s="24"/>
      <c r="TWR48" s="24"/>
      <c r="TWS48" s="24"/>
      <c r="TWT48" s="24"/>
      <c r="TWU48" s="24"/>
      <c r="TWV48" s="24"/>
      <c r="TWW48" s="24"/>
      <c r="TWX48" s="24"/>
      <c r="TWY48" s="24"/>
      <c r="TWZ48" s="24"/>
      <c r="TXA48" s="24"/>
      <c r="TXB48" s="24"/>
      <c r="TXC48" s="24"/>
      <c r="TXD48" s="24"/>
      <c r="TXE48" s="24"/>
      <c r="TXF48" s="24"/>
      <c r="TXG48" s="24"/>
      <c r="TXH48" s="24"/>
      <c r="TXI48" s="24"/>
      <c r="TXJ48" s="24"/>
      <c r="TXK48" s="24"/>
      <c r="TXL48" s="24"/>
      <c r="TXM48" s="24"/>
      <c r="TXN48" s="24"/>
      <c r="TXO48" s="24"/>
      <c r="TXP48" s="24"/>
      <c r="TXQ48" s="24"/>
      <c r="TXR48" s="24"/>
      <c r="TXS48" s="24"/>
      <c r="TXT48" s="24"/>
      <c r="TXU48" s="24"/>
      <c r="TXV48" s="24"/>
      <c r="TXW48" s="24"/>
      <c r="TXX48" s="24"/>
      <c r="TXY48" s="24"/>
      <c r="TXZ48" s="24"/>
      <c r="TYA48" s="24"/>
      <c r="TYB48" s="24"/>
      <c r="TYC48" s="24"/>
      <c r="TYD48" s="24"/>
      <c r="TYE48" s="24"/>
      <c r="TYF48" s="24"/>
      <c r="TYG48" s="24"/>
      <c r="TYH48" s="24"/>
      <c r="TYI48" s="24"/>
      <c r="TYJ48" s="24"/>
      <c r="TYK48" s="24"/>
      <c r="TYL48" s="24"/>
      <c r="TYM48" s="24"/>
      <c r="TYN48" s="24"/>
      <c r="TYO48" s="24"/>
      <c r="TYP48" s="24"/>
      <c r="TYQ48" s="24"/>
      <c r="TYR48" s="24"/>
      <c r="TYS48" s="24"/>
      <c r="TYT48" s="24"/>
      <c r="TYU48" s="24"/>
      <c r="TYV48" s="24"/>
      <c r="TYW48" s="24"/>
      <c r="TYX48" s="24"/>
      <c r="TYY48" s="24"/>
      <c r="TYZ48" s="24"/>
      <c r="TZA48" s="24"/>
      <c r="TZB48" s="24"/>
      <c r="TZC48" s="24"/>
      <c r="TZD48" s="24"/>
      <c r="TZE48" s="24"/>
      <c r="TZF48" s="24"/>
      <c r="TZG48" s="24"/>
      <c r="TZH48" s="24"/>
      <c r="TZI48" s="24"/>
      <c r="TZJ48" s="24"/>
      <c r="TZK48" s="24"/>
      <c r="TZL48" s="24"/>
      <c r="TZM48" s="24"/>
      <c r="TZN48" s="24"/>
      <c r="TZO48" s="24"/>
      <c r="TZP48" s="24"/>
      <c r="TZQ48" s="24"/>
      <c r="TZR48" s="24"/>
      <c r="TZS48" s="24"/>
      <c r="TZT48" s="24"/>
      <c r="TZU48" s="24"/>
      <c r="TZV48" s="24"/>
      <c r="TZW48" s="24"/>
      <c r="TZX48" s="24"/>
      <c r="TZY48" s="24"/>
      <c r="TZZ48" s="24"/>
      <c r="UAA48" s="24"/>
      <c r="UAB48" s="24"/>
      <c r="UAC48" s="24"/>
      <c r="UAD48" s="24"/>
      <c r="UAE48" s="24"/>
      <c r="UAF48" s="24"/>
      <c r="UAG48" s="24"/>
      <c r="UAH48" s="24"/>
      <c r="UAI48" s="24"/>
      <c r="UAJ48" s="24"/>
      <c r="UAK48" s="24"/>
      <c r="UAL48" s="24"/>
      <c r="UAM48" s="24"/>
      <c r="UAN48" s="24"/>
      <c r="UAO48" s="24"/>
      <c r="UAP48" s="24"/>
      <c r="UAQ48" s="24"/>
      <c r="UAR48" s="24"/>
      <c r="UAS48" s="24"/>
      <c r="UAT48" s="24"/>
      <c r="UAU48" s="24"/>
      <c r="UAV48" s="24"/>
      <c r="UAW48" s="24"/>
      <c r="UAX48" s="24"/>
      <c r="UAY48" s="24"/>
      <c r="UAZ48" s="24"/>
      <c r="UBA48" s="24"/>
      <c r="UBB48" s="24"/>
      <c r="UBC48" s="24"/>
      <c r="UBD48" s="24"/>
      <c r="UBE48" s="24"/>
      <c r="UBF48" s="24"/>
      <c r="UBG48" s="24"/>
      <c r="UBH48" s="24"/>
      <c r="UBI48" s="24"/>
      <c r="UBJ48" s="24"/>
      <c r="UBK48" s="24"/>
      <c r="UBL48" s="24"/>
      <c r="UBM48" s="24"/>
      <c r="UBN48" s="24"/>
      <c r="UBO48" s="24"/>
      <c r="UBP48" s="24"/>
      <c r="UBQ48" s="24"/>
      <c r="UBR48" s="24"/>
      <c r="UBS48" s="24"/>
      <c r="UBT48" s="24"/>
      <c r="UBU48" s="24"/>
      <c r="UBV48" s="24"/>
      <c r="UBW48" s="24"/>
      <c r="UBX48" s="24"/>
      <c r="UBY48" s="24"/>
      <c r="UBZ48" s="24"/>
      <c r="UCA48" s="24"/>
      <c r="UCB48" s="24"/>
      <c r="UCC48" s="24"/>
      <c r="UCD48" s="24"/>
      <c r="UCE48" s="24"/>
      <c r="UCF48" s="24"/>
      <c r="UCG48" s="24"/>
      <c r="UCH48" s="24"/>
      <c r="UCI48" s="24"/>
      <c r="UCJ48" s="24"/>
      <c r="UCK48" s="24"/>
      <c r="UCL48" s="24"/>
      <c r="UCM48" s="24"/>
      <c r="UCN48" s="24"/>
      <c r="UCO48" s="24"/>
      <c r="UCP48" s="24"/>
      <c r="UCQ48" s="24"/>
      <c r="UCR48" s="24"/>
      <c r="UCS48" s="24"/>
      <c r="UCT48" s="24"/>
      <c r="UCU48" s="24"/>
      <c r="UCV48" s="24"/>
      <c r="UCW48" s="24"/>
      <c r="UCX48" s="24"/>
      <c r="UCY48" s="24"/>
      <c r="UCZ48" s="24"/>
      <c r="UDA48" s="24"/>
      <c r="UDB48" s="24"/>
      <c r="UDC48" s="24"/>
      <c r="UDD48" s="24"/>
      <c r="UDE48" s="24"/>
      <c r="UDF48" s="24"/>
      <c r="UDG48" s="24"/>
      <c r="UDH48" s="24"/>
      <c r="UDI48" s="24"/>
      <c r="UDJ48" s="24"/>
      <c r="UDK48" s="24"/>
      <c r="UDL48" s="24"/>
      <c r="UDM48" s="24"/>
      <c r="UDN48" s="24"/>
      <c r="UDO48" s="24"/>
      <c r="UDP48" s="24"/>
      <c r="UDQ48" s="24"/>
      <c r="UDR48" s="24"/>
      <c r="UDS48" s="24"/>
      <c r="UDT48" s="24"/>
      <c r="UDU48" s="24"/>
      <c r="UDV48" s="24"/>
      <c r="UDW48" s="24"/>
      <c r="UDX48" s="24"/>
      <c r="UDY48" s="24"/>
      <c r="UDZ48" s="24"/>
      <c r="UEA48" s="24"/>
      <c r="UEB48" s="24"/>
      <c r="UEC48" s="24"/>
      <c r="UED48" s="24"/>
      <c r="UEE48" s="24"/>
      <c r="UEF48" s="24"/>
      <c r="UEG48" s="24"/>
      <c r="UEH48" s="24"/>
      <c r="UEI48" s="24"/>
      <c r="UEJ48" s="24"/>
      <c r="UEK48" s="24"/>
      <c r="UEL48" s="24"/>
      <c r="UEM48" s="24"/>
      <c r="UEN48" s="24"/>
      <c r="UEO48" s="24"/>
      <c r="UEP48" s="24"/>
      <c r="UEQ48" s="24"/>
      <c r="UER48" s="24"/>
      <c r="UES48" s="24"/>
      <c r="UET48" s="24"/>
      <c r="UEU48" s="24"/>
      <c r="UEV48" s="24"/>
      <c r="UEW48" s="24"/>
      <c r="UEX48" s="24"/>
      <c r="UEY48" s="24"/>
      <c r="UEZ48" s="24"/>
      <c r="UFA48" s="24"/>
      <c r="UFB48" s="24"/>
      <c r="UFC48" s="24"/>
      <c r="UFD48" s="24"/>
      <c r="UFE48" s="24"/>
      <c r="UFF48" s="24"/>
      <c r="UFG48" s="24"/>
      <c r="UFH48" s="24"/>
      <c r="UFI48" s="24"/>
      <c r="UFJ48" s="24"/>
      <c r="UFK48" s="24"/>
      <c r="UFL48" s="24"/>
      <c r="UFM48" s="24"/>
      <c r="UFN48" s="24"/>
      <c r="UFO48" s="24"/>
      <c r="UFP48" s="24"/>
      <c r="UFQ48" s="24"/>
      <c r="UFR48" s="24"/>
      <c r="UFS48" s="24"/>
      <c r="UFT48" s="24"/>
      <c r="UFU48" s="24"/>
      <c r="UFV48" s="24"/>
      <c r="UFW48" s="24"/>
      <c r="UFX48" s="24"/>
      <c r="UFY48" s="24"/>
      <c r="UFZ48" s="24"/>
      <c r="UGA48" s="24"/>
      <c r="UGB48" s="24"/>
      <c r="UGC48" s="24"/>
      <c r="UGD48" s="24"/>
      <c r="UGE48" s="24"/>
      <c r="UGF48" s="24"/>
      <c r="UGG48" s="24"/>
      <c r="UGH48" s="24"/>
      <c r="UGI48" s="24"/>
      <c r="UGJ48" s="24"/>
      <c r="UGK48" s="24"/>
      <c r="UGL48" s="24"/>
      <c r="UGM48" s="24"/>
      <c r="UGN48" s="24"/>
      <c r="UGO48" s="24"/>
      <c r="UGP48" s="24"/>
      <c r="UGQ48" s="24"/>
      <c r="UGR48" s="24"/>
      <c r="UGS48" s="24"/>
      <c r="UGT48" s="24"/>
      <c r="UGU48" s="24"/>
      <c r="UGV48" s="24"/>
      <c r="UGW48" s="24"/>
      <c r="UGX48" s="24"/>
      <c r="UGY48" s="24"/>
      <c r="UGZ48" s="24"/>
      <c r="UHA48" s="24"/>
      <c r="UHB48" s="24"/>
      <c r="UHC48" s="24"/>
      <c r="UHD48" s="24"/>
      <c r="UHE48" s="24"/>
      <c r="UHF48" s="24"/>
      <c r="UHG48" s="24"/>
      <c r="UHH48" s="24"/>
      <c r="UHI48" s="24"/>
      <c r="UHJ48" s="24"/>
      <c r="UHK48" s="24"/>
      <c r="UHL48" s="24"/>
      <c r="UHM48" s="24"/>
      <c r="UHN48" s="24"/>
      <c r="UHO48" s="24"/>
      <c r="UHP48" s="24"/>
      <c r="UHQ48" s="24"/>
      <c r="UHR48" s="24"/>
      <c r="UHS48" s="24"/>
      <c r="UHT48" s="24"/>
      <c r="UHU48" s="24"/>
      <c r="UHV48" s="24"/>
      <c r="UHW48" s="24"/>
      <c r="UHX48" s="24"/>
      <c r="UHY48" s="24"/>
      <c r="UHZ48" s="24"/>
      <c r="UIA48" s="24"/>
      <c r="UIB48" s="24"/>
      <c r="UIC48" s="24"/>
      <c r="UID48" s="24"/>
      <c r="UIE48" s="24"/>
      <c r="UIF48" s="24"/>
      <c r="UIG48" s="24"/>
      <c r="UIH48" s="24"/>
      <c r="UII48" s="24"/>
      <c r="UIJ48" s="24"/>
      <c r="UIK48" s="24"/>
      <c r="UIL48" s="24"/>
      <c r="UIM48" s="24"/>
      <c r="UIN48" s="24"/>
      <c r="UIO48" s="24"/>
      <c r="UIP48" s="24"/>
      <c r="UIQ48" s="24"/>
      <c r="UIR48" s="24"/>
      <c r="UIS48" s="24"/>
      <c r="UIT48" s="24"/>
      <c r="UIU48" s="24"/>
      <c r="UIV48" s="24"/>
      <c r="UIW48" s="24"/>
      <c r="UIX48" s="24"/>
      <c r="UIY48" s="24"/>
      <c r="UIZ48" s="24"/>
      <c r="UJA48" s="24"/>
      <c r="UJB48" s="24"/>
      <c r="UJC48" s="24"/>
      <c r="UJD48" s="24"/>
      <c r="UJE48" s="24"/>
      <c r="UJF48" s="24"/>
      <c r="UJG48" s="24"/>
      <c r="UJH48" s="24"/>
      <c r="UJI48" s="24"/>
      <c r="UJJ48" s="24"/>
      <c r="UJK48" s="24"/>
      <c r="UJL48" s="24"/>
      <c r="UJM48" s="24"/>
      <c r="UJN48" s="24"/>
      <c r="UJO48" s="24"/>
      <c r="UJP48" s="24"/>
      <c r="UJQ48" s="24"/>
      <c r="UJR48" s="24"/>
      <c r="UJS48" s="24"/>
      <c r="UJT48" s="24"/>
      <c r="UJU48" s="24"/>
      <c r="UJV48" s="24"/>
      <c r="UJW48" s="24"/>
      <c r="UJX48" s="24"/>
      <c r="UJY48" s="24"/>
      <c r="UJZ48" s="24"/>
      <c r="UKA48" s="24"/>
      <c r="UKB48" s="24"/>
      <c r="UKC48" s="24"/>
      <c r="UKD48" s="24"/>
      <c r="UKE48" s="24"/>
      <c r="UKF48" s="24"/>
      <c r="UKG48" s="24"/>
      <c r="UKH48" s="24"/>
      <c r="UKI48" s="24"/>
      <c r="UKJ48" s="24"/>
      <c r="UKK48" s="24"/>
      <c r="UKL48" s="24"/>
      <c r="UKM48" s="24"/>
      <c r="UKN48" s="24"/>
      <c r="UKO48" s="24"/>
      <c r="UKP48" s="24"/>
      <c r="UKQ48" s="24"/>
      <c r="UKR48" s="24"/>
      <c r="UKS48" s="24"/>
      <c r="UKT48" s="24"/>
      <c r="UKU48" s="24"/>
      <c r="UKV48" s="24"/>
      <c r="UKW48" s="24"/>
      <c r="UKX48" s="24"/>
      <c r="UKY48" s="24"/>
      <c r="UKZ48" s="24"/>
      <c r="ULA48" s="24"/>
      <c r="ULB48" s="24"/>
      <c r="ULC48" s="24"/>
      <c r="ULD48" s="24"/>
      <c r="ULE48" s="24"/>
      <c r="ULF48" s="24"/>
      <c r="ULG48" s="24"/>
      <c r="ULH48" s="24"/>
      <c r="ULI48" s="24"/>
      <c r="ULJ48" s="24"/>
      <c r="ULK48" s="24"/>
      <c r="ULL48" s="24"/>
      <c r="ULM48" s="24"/>
      <c r="ULN48" s="24"/>
      <c r="ULO48" s="24"/>
      <c r="ULP48" s="24"/>
      <c r="ULQ48" s="24"/>
      <c r="ULR48" s="24"/>
      <c r="ULS48" s="24"/>
      <c r="ULT48" s="24"/>
      <c r="ULU48" s="24"/>
      <c r="ULV48" s="24"/>
      <c r="ULW48" s="24"/>
      <c r="ULX48" s="24"/>
      <c r="ULY48" s="24"/>
      <c r="ULZ48" s="24"/>
      <c r="UMA48" s="24"/>
      <c r="UMB48" s="24"/>
      <c r="UMC48" s="24"/>
      <c r="UMD48" s="24"/>
      <c r="UME48" s="24"/>
      <c r="UMF48" s="24"/>
      <c r="UMG48" s="24"/>
      <c r="UMH48" s="24"/>
      <c r="UMI48" s="24"/>
      <c r="UMJ48" s="24"/>
      <c r="UMK48" s="24"/>
      <c r="UML48" s="24"/>
      <c r="UMM48" s="24"/>
      <c r="UMN48" s="24"/>
      <c r="UMO48" s="24"/>
      <c r="UMP48" s="24"/>
      <c r="UMQ48" s="24"/>
      <c r="UMR48" s="24"/>
      <c r="UMS48" s="24"/>
      <c r="UMT48" s="24"/>
      <c r="UMU48" s="24"/>
      <c r="UMV48" s="24"/>
      <c r="UMW48" s="24"/>
      <c r="UMX48" s="24"/>
      <c r="UMY48" s="24"/>
      <c r="UMZ48" s="24"/>
      <c r="UNA48" s="24"/>
      <c r="UNB48" s="24"/>
      <c r="UNC48" s="24"/>
      <c r="UND48" s="24"/>
      <c r="UNE48" s="24"/>
      <c r="UNF48" s="24"/>
      <c r="UNG48" s="24"/>
      <c r="UNH48" s="24"/>
      <c r="UNI48" s="24"/>
      <c r="UNJ48" s="24"/>
      <c r="UNK48" s="24"/>
      <c r="UNL48" s="24"/>
      <c r="UNM48" s="24"/>
      <c r="UNN48" s="24"/>
      <c r="UNO48" s="24"/>
      <c r="UNP48" s="24"/>
      <c r="UNQ48" s="24"/>
      <c r="UNR48" s="24"/>
      <c r="UNS48" s="24"/>
      <c r="UNT48" s="24"/>
      <c r="UNU48" s="24"/>
      <c r="UNV48" s="24"/>
      <c r="UNW48" s="24"/>
      <c r="UNX48" s="24"/>
      <c r="UNY48" s="24"/>
      <c r="UNZ48" s="24"/>
      <c r="UOA48" s="24"/>
      <c r="UOB48" s="24"/>
      <c r="UOC48" s="24"/>
      <c r="UOD48" s="24"/>
      <c r="UOE48" s="24"/>
      <c r="UOF48" s="24"/>
      <c r="UOG48" s="24"/>
      <c r="UOH48" s="24"/>
      <c r="UOI48" s="24"/>
      <c r="UOJ48" s="24"/>
      <c r="UOK48" s="24"/>
      <c r="UOL48" s="24"/>
      <c r="UOM48" s="24"/>
      <c r="UON48" s="24"/>
      <c r="UOO48" s="24"/>
      <c r="UOP48" s="24"/>
      <c r="UOQ48" s="24"/>
      <c r="UOR48" s="24"/>
      <c r="UOS48" s="24"/>
      <c r="UOT48" s="24"/>
      <c r="UOU48" s="24"/>
      <c r="UOV48" s="24"/>
      <c r="UOW48" s="24"/>
      <c r="UOX48" s="24"/>
      <c r="UOY48" s="24"/>
      <c r="UOZ48" s="24"/>
      <c r="UPA48" s="24"/>
      <c r="UPB48" s="24"/>
      <c r="UPC48" s="24"/>
      <c r="UPD48" s="24"/>
      <c r="UPE48" s="24"/>
      <c r="UPF48" s="24"/>
      <c r="UPG48" s="24"/>
      <c r="UPH48" s="24"/>
      <c r="UPI48" s="24"/>
      <c r="UPJ48" s="24"/>
      <c r="UPK48" s="24"/>
      <c r="UPL48" s="24"/>
      <c r="UPM48" s="24"/>
      <c r="UPN48" s="24"/>
      <c r="UPO48" s="24"/>
      <c r="UPP48" s="24"/>
      <c r="UPQ48" s="24"/>
      <c r="UPR48" s="24"/>
      <c r="UPS48" s="24"/>
      <c r="UPT48" s="24"/>
      <c r="UPU48" s="24"/>
      <c r="UPV48" s="24"/>
      <c r="UPW48" s="24"/>
      <c r="UPX48" s="24"/>
      <c r="UPY48" s="24"/>
      <c r="UPZ48" s="24"/>
      <c r="UQA48" s="24"/>
      <c r="UQB48" s="24"/>
      <c r="UQC48" s="24"/>
      <c r="UQD48" s="24"/>
      <c r="UQE48" s="24"/>
      <c r="UQF48" s="24"/>
      <c r="UQG48" s="24"/>
      <c r="UQH48" s="24"/>
      <c r="UQI48" s="24"/>
      <c r="UQJ48" s="24"/>
      <c r="UQK48" s="24"/>
      <c r="UQL48" s="24"/>
      <c r="UQM48" s="24"/>
      <c r="UQN48" s="24"/>
      <c r="UQO48" s="24"/>
      <c r="UQP48" s="24"/>
      <c r="UQQ48" s="24"/>
      <c r="UQR48" s="24"/>
      <c r="UQS48" s="24"/>
      <c r="UQT48" s="24"/>
      <c r="UQU48" s="24"/>
      <c r="UQV48" s="24"/>
      <c r="UQW48" s="24"/>
      <c r="UQX48" s="24"/>
      <c r="UQY48" s="24"/>
      <c r="UQZ48" s="24"/>
      <c r="URA48" s="24"/>
      <c r="URB48" s="24"/>
      <c r="URC48" s="24"/>
      <c r="URD48" s="24"/>
      <c r="URE48" s="24"/>
      <c r="URF48" s="24"/>
      <c r="URG48" s="24"/>
      <c r="URH48" s="24"/>
      <c r="URI48" s="24"/>
      <c r="URJ48" s="24"/>
      <c r="URK48" s="24"/>
      <c r="URL48" s="24"/>
      <c r="URM48" s="24"/>
      <c r="URN48" s="24"/>
      <c r="URO48" s="24"/>
      <c r="URP48" s="24"/>
      <c r="URQ48" s="24"/>
      <c r="URR48" s="24"/>
      <c r="URS48" s="24"/>
      <c r="URT48" s="24"/>
      <c r="URU48" s="24"/>
      <c r="URV48" s="24"/>
      <c r="URW48" s="24"/>
      <c r="URX48" s="24"/>
      <c r="URY48" s="24"/>
      <c r="URZ48" s="24"/>
      <c r="USA48" s="24"/>
      <c r="USB48" s="24"/>
      <c r="USC48" s="24"/>
      <c r="USD48" s="24"/>
      <c r="USE48" s="24"/>
      <c r="USF48" s="24"/>
      <c r="USG48" s="24"/>
      <c r="USH48" s="24"/>
      <c r="USI48" s="24"/>
      <c r="USJ48" s="24"/>
      <c r="USK48" s="24"/>
      <c r="USL48" s="24"/>
      <c r="USM48" s="24"/>
      <c r="USN48" s="24"/>
      <c r="USO48" s="24"/>
      <c r="USP48" s="24"/>
      <c r="USQ48" s="24"/>
      <c r="USR48" s="24"/>
      <c r="USS48" s="24"/>
      <c r="UST48" s="24"/>
      <c r="USU48" s="24"/>
      <c r="USV48" s="24"/>
      <c r="USW48" s="24"/>
      <c r="USX48" s="24"/>
      <c r="USY48" s="24"/>
      <c r="USZ48" s="24"/>
      <c r="UTA48" s="24"/>
      <c r="UTB48" s="24"/>
      <c r="UTC48" s="24"/>
      <c r="UTD48" s="24"/>
      <c r="UTE48" s="24"/>
      <c r="UTF48" s="24"/>
      <c r="UTG48" s="24"/>
      <c r="UTH48" s="24"/>
      <c r="UTI48" s="24"/>
      <c r="UTJ48" s="24"/>
      <c r="UTK48" s="24"/>
      <c r="UTL48" s="24"/>
      <c r="UTM48" s="24"/>
      <c r="UTN48" s="24"/>
      <c r="UTO48" s="24"/>
      <c r="UTP48" s="24"/>
      <c r="UTQ48" s="24"/>
      <c r="UTR48" s="24"/>
      <c r="UTS48" s="24"/>
      <c r="UTT48" s="24"/>
      <c r="UTU48" s="24"/>
      <c r="UTV48" s="24"/>
      <c r="UTW48" s="24"/>
      <c r="UTX48" s="24"/>
      <c r="UTY48" s="24"/>
      <c r="UTZ48" s="24"/>
      <c r="UUA48" s="24"/>
      <c r="UUB48" s="24"/>
      <c r="UUC48" s="24"/>
      <c r="UUD48" s="24"/>
      <c r="UUE48" s="24"/>
      <c r="UUF48" s="24"/>
      <c r="UUG48" s="24"/>
      <c r="UUH48" s="24"/>
      <c r="UUI48" s="24"/>
      <c r="UUJ48" s="24"/>
      <c r="UUK48" s="24"/>
      <c r="UUL48" s="24"/>
      <c r="UUM48" s="24"/>
      <c r="UUN48" s="24"/>
      <c r="UUO48" s="24"/>
      <c r="UUP48" s="24"/>
      <c r="UUQ48" s="24"/>
      <c r="UUR48" s="24"/>
      <c r="UUS48" s="24"/>
      <c r="UUT48" s="24"/>
      <c r="UUU48" s="24"/>
      <c r="UUV48" s="24"/>
      <c r="UUW48" s="24"/>
      <c r="UUX48" s="24"/>
      <c r="UUY48" s="24"/>
      <c r="UUZ48" s="24"/>
      <c r="UVA48" s="24"/>
      <c r="UVB48" s="24"/>
      <c r="UVC48" s="24"/>
      <c r="UVD48" s="24"/>
      <c r="UVE48" s="24"/>
      <c r="UVF48" s="24"/>
      <c r="UVG48" s="24"/>
      <c r="UVH48" s="24"/>
      <c r="UVI48" s="24"/>
      <c r="UVJ48" s="24"/>
      <c r="UVK48" s="24"/>
      <c r="UVL48" s="24"/>
      <c r="UVM48" s="24"/>
      <c r="UVN48" s="24"/>
      <c r="UVO48" s="24"/>
      <c r="UVP48" s="24"/>
      <c r="UVQ48" s="24"/>
      <c r="UVR48" s="24"/>
      <c r="UVS48" s="24"/>
      <c r="UVT48" s="24"/>
      <c r="UVU48" s="24"/>
      <c r="UVV48" s="24"/>
      <c r="UVW48" s="24"/>
      <c r="UVX48" s="24"/>
      <c r="UVY48" s="24"/>
      <c r="UVZ48" s="24"/>
      <c r="UWA48" s="24"/>
      <c r="UWB48" s="24"/>
      <c r="UWC48" s="24"/>
      <c r="UWD48" s="24"/>
      <c r="UWE48" s="24"/>
      <c r="UWF48" s="24"/>
      <c r="UWG48" s="24"/>
      <c r="UWH48" s="24"/>
      <c r="UWI48" s="24"/>
      <c r="UWJ48" s="24"/>
      <c r="UWK48" s="24"/>
      <c r="UWL48" s="24"/>
      <c r="UWM48" s="24"/>
      <c r="UWN48" s="24"/>
      <c r="UWO48" s="24"/>
      <c r="UWP48" s="24"/>
      <c r="UWQ48" s="24"/>
      <c r="UWR48" s="24"/>
      <c r="UWS48" s="24"/>
      <c r="UWT48" s="24"/>
      <c r="UWU48" s="24"/>
      <c r="UWV48" s="24"/>
      <c r="UWW48" s="24"/>
      <c r="UWX48" s="24"/>
      <c r="UWY48" s="24"/>
      <c r="UWZ48" s="24"/>
      <c r="UXA48" s="24"/>
      <c r="UXB48" s="24"/>
      <c r="UXC48" s="24"/>
      <c r="UXD48" s="24"/>
      <c r="UXE48" s="24"/>
      <c r="UXF48" s="24"/>
      <c r="UXG48" s="24"/>
      <c r="UXH48" s="24"/>
      <c r="UXI48" s="24"/>
      <c r="UXJ48" s="24"/>
      <c r="UXK48" s="24"/>
      <c r="UXL48" s="24"/>
      <c r="UXM48" s="24"/>
      <c r="UXN48" s="24"/>
      <c r="UXO48" s="24"/>
      <c r="UXP48" s="24"/>
      <c r="UXQ48" s="24"/>
      <c r="UXR48" s="24"/>
      <c r="UXS48" s="24"/>
      <c r="UXT48" s="24"/>
      <c r="UXU48" s="24"/>
      <c r="UXV48" s="24"/>
      <c r="UXW48" s="24"/>
      <c r="UXX48" s="24"/>
      <c r="UXY48" s="24"/>
      <c r="UXZ48" s="24"/>
      <c r="UYA48" s="24"/>
      <c r="UYB48" s="24"/>
      <c r="UYC48" s="24"/>
      <c r="UYD48" s="24"/>
      <c r="UYE48" s="24"/>
      <c r="UYF48" s="24"/>
      <c r="UYG48" s="24"/>
      <c r="UYH48" s="24"/>
      <c r="UYI48" s="24"/>
      <c r="UYJ48" s="24"/>
      <c r="UYK48" s="24"/>
      <c r="UYL48" s="24"/>
      <c r="UYM48" s="24"/>
      <c r="UYN48" s="24"/>
      <c r="UYO48" s="24"/>
      <c r="UYP48" s="24"/>
      <c r="UYQ48" s="24"/>
      <c r="UYR48" s="24"/>
      <c r="UYS48" s="24"/>
      <c r="UYT48" s="24"/>
      <c r="UYU48" s="24"/>
      <c r="UYV48" s="24"/>
      <c r="UYW48" s="24"/>
      <c r="UYX48" s="24"/>
      <c r="UYY48" s="24"/>
      <c r="UYZ48" s="24"/>
      <c r="UZA48" s="24"/>
      <c r="UZB48" s="24"/>
      <c r="UZC48" s="24"/>
      <c r="UZD48" s="24"/>
      <c r="UZE48" s="24"/>
      <c r="UZF48" s="24"/>
      <c r="UZG48" s="24"/>
      <c r="UZH48" s="24"/>
      <c r="UZI48" s="24"/>
      <c r="UZJ48" s="24"/>
      <c r="UZK48" s="24"/>
      <c r="UZL48" s="24"/>
      <c r="UZM48" s="24"/>
      <c r="UZN48" s="24"/>
      <c r="UZO48" s="24"/>
      <c r="UZP48" s="24"/>
      <c r="UZQ48" s="24"/>
      <c r="UZR48" s="24"/>
      <c r="UZS48" s="24"/>
      <c r="UZT48" s="24"/>
      <c r="UZU48" s="24"/>
      <c r="UZV48" s="24"/>
      <c r="UZW48" s="24"/>
      <c r="UZX48" s="24"/>
      <c r="UZY48" s="24"/>
      <c r="UZZ48" s="24"/>
      <c r="VAA48" s="24"/>
      <c r="VAB48" s="24"/>
      <c r="VAC48" s="24"/>
      <c r="VAD48" s="24"/>
      <c r="VAE48" s="24"/>
      <c r="VAF48" s="24"/>
      <c r="VAG48" s="24"/>
      <c r="VAH48" s="24"/>
      <c r="VAI48" s="24"/>
      <c r="VAJ48" s="24"/>
      <c r="VAK48" s="24"/>
      <c r="VAL48" s="24"/>
      <c r="VAM48" s="24"/>
      <c r="VAN48" s="24"/>
      <c r="VAO48" s="24"/>
      <c r="VAP48" s="24"/>
      <c r="VAQ48" s="24"/>
      <c r="VAR48" s="24"/>
      <c r="VAS48" s="24"/>
      <c r="VAT48" s="24"/>
      <c r="VAU48" s="24"/>
      <c r="VAV48" s="24"/>
      <c r="VAW48" s="24"/>
      <c r="VAX48" s="24"/>
      <c r="VAY48" s="24"/>
      <c r="VAZ48" s="24"/>
      <c r="VBA48" s="24"/>
      <c r="VBB48" s="24"/>
      <c r="VBC48" s="24"/>
      <c r="VBD48" s="24"/>
      <c r="VBE48" s="24"/>
      <c r="VBF48" s="24"/>
      <c r="VBG48" s="24"/>
      <c r="VBH48" s="24"/>
      <c r="VBI48" s="24"/>
      <c r="VBJ48" s="24"/>
      <c r="VBK48" s="24"/>
      <c r="VBL48" s="24"/>
      <c r="VBM48" s="24"/>
      <c r="VBN48" s="24"/>
      <c r="VBO48" s="24"/>
      <c r="VBP48" s="24"/>
      <c r="VBQ48" s="24"/>
      <c r="VBR48" s="24"/>
      <c r="VBS48" s="24"/>
      <c r="VBT48" s="24"/>
      <c r="VBU48" s="24"/>
      <c r="VBV48" s="24"/>
      <c r="VBW48" s="24"/>
      <c r="VBX48" s="24"/>
      <c r="VBY48" s="24"/>
      <c r="VBZ48" s="24"/>
      <c r="VCA48" s="24"/>
      <c r="VCB48" s="24"/>
      <c r="VCC48" s="24"/>
      <c r="VCD48" s="24"/>
      <c r="VCE48" s="24"/>
      <c r="VCF48" s="24"/>
      <c r="VCG48" s="24"/>
      <c r="VCH48" s="24"/>
      <c r="VCI48" s="24"/>
      <c r="VCJ48" s="24"/>
      <c r="VCK48" s="24"/>
      <c r="VCL48" s="24"/>
      <c r="VCM48" s="24"/>
      <c r="VCN48" s="24"/>
      <c r="VCO48" s="24"/>
      <c r="VCP48" s="24"/>
      <c r="VCQ48" s="24"/>
      <c r="VCR48" s="24"/>
      <c r="VCS48" s="24"/>
      <c r="VCT48" s="24"/>
      <c r="VCU48" s="24"/>
      <c r="VCV48" s="24"/>
      <c r="VCW48" s="24"/>
      <c r="VCX48" s="24"/>
      <c r="VCY48" s="24"/>
      <c r="VCZ48" s="24"/>
      <c r="VDA48" s="24"/>
      <c r="VDB48" s="24"/>
      <c r="VDC48" s="24"/>
      <c r="VDD48" s="24"/>
      <c r="VDE48" s="24"/>
      <c r="VDF48" s="24"/>
      <c r="VDG48" s="24"/>
      <c r="VDH48" s="24"/>
      <c r="VDI48" s="24"/>
      <c r="VDJ48" s="24"/>
      <c r="VDK48" s="24"/>
      <c r="VDL48" s="24"/>
      <c r="VDM48" s="24"/>
      <c r="VDN48" s="24"/>
      <c r="VDO48" s="24"/>
      <c r="VDP48" s="24"/>
      <c r="VDQ48" s="24"/>
      <c r="VDR48" s="24"/>
      <c r="VDS48" s="24"/>
      <c r="VDT48" s="24"/>
      <c r="VDU48" s="24"/>
      <c r="VDV48" s="24"/>
      <c r="VDW48" s="24"/>
      <c r="VDX48" s="24"/>
      <c r="VDY48" s="24"/>
      <c r="VDZ48" s="24"/>
      <c r="VEA48" s="24"/>
      <c r="VEB48" s="24"/>
      <c r="VEC48" s="24"/>
      <c r="VED48" s="24"/>
      <c r="VEE48" s="24"/>
      <c r="VEF48" s="24"/>
      <c r="VEG48" s="24"/>
      <c r="VEH48" s="24"/>
      <c r="VEI48" s="24"/>
      <c r="VEJ48" s="24"/>
      <c r="VEK48" s="24"/>
      <c r="VEL48" s="24"/>
      <c r="VEM48" s="24"/>
      <c r="VEN48" s="24"/>
      <c r="VEO48" s="24"/>
      <c r="VEP48" s="24"/>
      <c r="VEQ48" s="24"/>
      <c r="VER48" s="24"/>
      <c r="VES48" s="24"/>
      <c r="VET48" s="24"/>
      <c r="VEU48" s="24"/>
      <c r="VEV48" s="24"/>
      <c r="VEW48" s="24"/>
      <c r="VEX48" s="24"/>
      <c r="VEY48" s="24"/>
      <c r="VEZ48" s="24"/>
      <c r="VFA48" s="24"/>
      <c r="VFB48" s="24"/>
      <c r="VFC48" s="24"/>
      <c r="VFD48" s="24"/>
      <c r="VFE48" s="24"/>
      <c r="VFF48" s="24"/>
      <c r="VFG48" s="24"/>
      <c r="VFH48" s="24"/>
      <c r="VFI48" s="24"/>
      <c r="VFJ48" s="24"/>
      <c r="VFK48" s="24"/>
      <c r="VFL48" s="24"/>
      <c r="VFM48" s="24"/>
      <c r="VFN48" s="24"/>
      <c r="VFO48" s="24"/>
      <c r="VFP48" s="24"/>
      <c r="VFQ48" s="24"/>
      <c r="VFR48" s="24"/>
      <c r="VFS48" s="24"/>
      <c r="VFT48" s="24"/>
      <c r="VFU48" s="24"/>
      <c r="VFV48" s="24"/>
      <c r="VFW48" s="24"/>
      <c r="VFX48" s="24"/>
      <c r="VFY48" s="24"/>
      <c r="VFZ48" s="24"/>
      <c r="VGA48" s="24"/>
      <c r="VGB48" s="24"/>
      <c r="VGC48" s="24"/>
      <c r="VGD48" s="24"/>
      <c r="VGE48" s="24"/>
      <c r="VGF48" s="24"/>
      <c r="VGG48" s="24"/>
      <c r="VGH48" s="24"/>
      <c r="VGI48" s="24"/>
      <c r="VGJ48" s="24"/>
      <c r="VGK48" s="24"/>
      <c r="VGL48" s="24"/>
      <c r="VGM48" s="24"/>
      <c r="VGN48" s="24"/>
      <c r="VGO48" s="24"/>
      <c r="VGP48" s="24"/>
      <c r="VGQ48" s="24"/>
      <c r="VGR48" s="24"/>
      <c r="VGS48" s="24"/>
      <c r="VGT48" s="24"/>
      <c r="VGU48" s="24"/>
      <c r="VGV48" s="24"/>
      <c r="VGW48" s="24"/>
      <c r="VGX48" s="24"/>
      <c r="VGY48" s="24"/>
      <c r="VGZ48" s="24"/>
      <c r="VHA48" s="24"/>
      <c r="VHB48" s="24"/>
      <c r="VHC48" s="24"/>
      <c r="VHD48" s="24"/>
      <c r="VHE48" s="24"/>
      <c r="VHF48" s="24"/>
      <c r="VHG48" s="24"/>
      <c r="VHH48" s="24"/>
      <c r="VHI48" s="24"/>
      <c r="VHJ48" s="24"/>
      <c r="VHK48" s="24"/>
      <c r="VHL48" s="24"/>
      <c r="VHM48" s="24"/>
      <c r="VHN48" s="24"/>
      <c r="VHO48" s="24"/>
      <c r="VHP48" s="24"/>
      <c r="VHQ48" s="24"/>
      <c r="VHR48" s="24"/>
      <c r="VHS48" s="24"/>
      <c r="VHT48" s="24"/>
      <c r="VHU48" s="24"/>
      <c r="VHV48" s="24"/>
      <c r="VHW48" s="24"/>
      <c r="VHX48" s="24"/>
      <c r="VHY48" s="24"/>
      <c r="VHZ48" s="24"/>
      <c r="VIA48" s="24"/>
      <c r="VIB48" s="24"/>
      <c r="VIC48" s="24"/>
      <c r="VID48" s="24"/>
      <c r="VIE48" s="24"/>
      <c r="VIF48" s="24"/>
      <c r="VIG48" s="24"/>
      <c r="VIH48" s="24"/>
      <c r="VII48" s="24"/>
      <c r="VIJ48" s="24"/>
      <c r="VIK48" s="24"/>
      <c r="VIL48" s="24"/>
      <c r="VIM48" s="24"/>
      <c r="VIN48" s="24"/>
      <c r="VIO48" s="24"/>
      <c r="VIP48" s="24"/>
      <c r="VIQ48" s="24"/>
      <c r="VIR48" s="24"/>
      <c r="VIS48" s="24"/>
      <c r="VIT48" s="24"/>
      <c r="VIU48" s="24"/>
      <c r="VIV48" s="24"/>
      <c r="VIW48" s="24"/>
      <c r="VIX48" s="24"/>
      <c r="VIY48" s="24"/>
      <c r="VIZ48" s="24"/>
      <c r="VJA48" s="24"/>
      <c r="VJB48" s="24"/>
      <c r="VJC48" s="24"/>
      <c r="VJD48" s="24"/>
      <c r="VJE48" s="24"/>
      <c r="VJF48" s="24"/>
      <c r="VJG48" s="24"/>
      <c r="VJH48" s="24"/>
      <c r="VJI48" s="24"/>
      <c r="VJJ48" s="24"/>
      <c r="VJK48" s="24"/>
      <c r="VJL48" s="24"/>
      <c r="VJM48" s="24"/>
      <c r="VJN48" s="24"/>
      <c r="VJO48" s="24"/>
      <c r="VJP48" s="24"/>
      <c r="VJQ48" s="24"/>
      <c r="VJR48" s="24"/>
      <c r="VJS48" s="24"/>
      <c r="VJT48" s="24"/>
      <c r="VJU48" s="24"/>
      <c r="VJV48" s="24"/>
      <c r="VJW48" s="24"/>
      <c r="VJX48" s="24"/>
      <c r="VJY48" s="24"/>
      <c r="VJZ48" s="24"/>
      <c r="VKA48" s="24"/>
      <c r="VKB48" s="24"/>
      <c r="VKC48" s="24"/>
      <c r="VKD48" s="24"/>
      <c r="VKE48" s="24"/>
      <c r="VKF48" s="24"/>
      <c r="VKG48" s="24"/>
      <c r="VKH48" s="24"/>
      <c r="VKI48" s="24"/>
      <c r="VKJ48" s="24"/>
      <c r="VKK48" s="24"/>
      <c r="VKL48" s="24"/>
      <c r="VKM48" s="24"/>
      <c r="VKN48" s="24"/>
      <c r="VKO48" s="24"/>
      <c r="VKP48" s="24"/>
      <c r="VKQ48" s="24"/>
      <c r="VKR48" s="24"/>
      <c r="VKS48" s="24"/>
      <c r="VKT48" s="24"/>
      <c r="VKU48" s="24"/>
      <c r="VKV48" s="24"/>
      <c r="VKW48" s="24"/>
      <c r="VKX48" s="24"/>
      <c r="VKY48" s="24"/>
      <c r="VKZ48" s="24"/>
      <c r="VLA48" s="24"/>
      <c r="VLB48" s="24"/>
      <c r="VLC48" s="24"/>
      <c r="VLD48" s="24"/>
      <c r="VLE48" s="24"/>
      <c r="VLF48" s="24"/>
      <c r="VLG48" s="24"/>
      <c r="VLH48" s="24"/>
      <c r="VLI48" s="24"/>
      <c r="VLJ48" s="24"/>
      <c r="VLK48" s="24"/>
      <c r="VLL48" s="24"/>
      <c r="VLM48" s="24"/>
      <c r="VLN48" s="24"/>
      <c r="VLO48" s="24"/>
      <c r="VLP48" s="24"/>
      <c r="VLQ48" s="24"/>
      <c r="VLR48" s="24"/>
      <c r="VLS48" s="24"/>
      <c r="VLT48" s="24"/>
      <c r="VLU48" s="24"/>
      <c r="VLV48" s="24"/>
      <c r="VLW48" s="24"/>
      <c r="VLX48" s="24"/>
      <c r="VLY48" s="24"/>
      <c r="VLZ48" s="24"/>
      <c r="VMA48" s="24"/>
      <c r="VMB48" s="24"/>
      <c r="VMC48" s="24"/>
      <c r="VMD48" s="24"/>
      <c r="VME48" s="24"/>
      <c r="VMF48" s="24"/>
      <c r="VMG48" s="24"/>
      <c r="VMH48" s="24"/>
      <c r="VMI48" s="24"/>
      <c r="VMJ48" s="24"/>
      <c r="VMK48" s="24"/>
      <c r="VML48" s="24"/>
      <c r="VMM48" s="24"/>
      <c r="VMN48" s="24"/>
      <c r="VMO48" s="24"/>
      <c r="VMP48" s="24"/>
      <c r="VMQ48" s="24"/>
      <c r="VMR48" s="24"/>
      <c r="VMS48" s="24"/>
      <c r="VMT48" s="24"/>
      <c r="VMU48" s="24"/>
      <c r="VMV48" s="24"/>
      <c r="VMW48" s="24"/>
      <c r="VMX48" s="24"/>
      <c r="VMY48" s="24"/>
      <c r="VMZ48" s="24"/>
      <c r="VNA48" s="24"/>
      <c r="VNB48" s="24"/>
      <c r="VNC48" s="24"/>
      <c r="VND48" s="24"/>
      <c r="VNE48" s="24"/>
      <c r="VNF48" s="24"/>
      <c r="VNG48" s="24"/>
      <c r="VNH48" s="24"/>
      <c r="VNI48" s="24"/>
      <c r="VNJ48" s="24"/>
      <c r="VNK48" s="24"/>
      <c r="VNL48" s="24"/>
      <c r="VNM48" s="24"/>
      <c r="VNN48" s="24"/>
      <c r="VNO48" s="24"/>
      <c r="VNP48" s="24"/>
      <c r="VNQ48" s="24"/>
      <c r="VNR48" s="24"/>
      <c r="VNS48" s="24"/>
      <c r="VNT48" s="24"/>
      <c r="VNU48" s="24"/>
      <c r="VNV48" s="24"/>
      <c r="VNW48" s="24"/>
      <c r="VNX48" s="24"/>
      <c r="VNY48" s="24"/>
      <c r="VNZ48" s="24"/>
      <c r="VOA48" s="24"/>
      <c r="VOB48" s="24"/>
      <c r="VOC48" s="24"/>
      <c r="VOD48" s="24"/>
      <c r="VOE48" s="24"/>
      <c r="VOF48" s="24"/>
      <c r="VOG48" s="24"/>
      <c r="VOH48" s="24"/>
      <c r="VOI48" s="24"/>
      <c r="VOJ48" s="24"/>
      <c r="VOK48" s="24"/>
      <c r="VOL48" s="24"/>
      <c r="VOM48" s="24"/>
      <c r="VON48" s="24"/>
      <c r="VOO48" s="24"/>
      <c r="VOP48" s="24"/>
      <c r="VOQ48" s="24"/>
      <c r="VOR48" s="24"/>
      <c r="VOS48" s="24"/>
      <c r="VOT48" s="24"/>
      <c r="VOU48" s="24"/>
      <c r="VOV48" s="24"/>
      <c r="VOW48" s="24"/>
      <c r="VOX48" s="24"/>
      <c r="VOY48" s="24"/>
      <c r="VOZ48" s="24"/>
      <c r="VPA48" s="24"/>
      <c r="VPB48" s="24"/>
      <c r="VPC48" s="24"/>
      <c r="VPD48" s="24"/>
      <c r="VPE48" s="24"/>
      <c r="VPF48" s="24"/>
      <c r="VPG48" s="24"/>
      <c r="VPH48" s="24"/>
      <c r="VPI48" s="24"/>
      <c r="VPJ48" s="24"/>
      <c r="VPK48" s="24"/>
      <c r="VPL48" s="24"/>
      <c r="VPM48" s="24"/>
      <c r="VPN48" s="24"/>
      <c r="VPO48" s="24"/>
      <c r="VPP48" s="24"/>
      <c r="VPQ48" s="24"/>
      <c r="VPR48" s="24"/>
      <c r="VPS48" s="24"/>
      <c r="VPT48" s="24"/>
      <c r="VPU48" s="24"/>
      <c r="VPV48" s="24"/>
      <c r="VPW48" s="24"/>
      <c r="VPX48" s="24"/>
      <c r="VPY48" s="24"/>
      <c r="VPZ48" s="24"/>
      <c r="VQA48" s="24"/>
      <c r="VQB48" s="24"/>
      <c r="VQC48" s="24"/>
      <c r="VQD48" s="24"/>
      <c r="VQE48" s="24"/>
      <c r="VQF48" s="24"/>
      <c r="VQG48" s="24"/>
      <c r="VQH48" s="24"/>
      <c r="VQI48" s="24"/>
      <c r="VQJ48" s="24"/>
      <c r="VQK48" s="24"/>
      <c r="VQL48" s="24"/>
      <c r="VQM48" s="24"/>
      <c r="VQN48" s="24"/>
      <c r="VQO48" s="24"/>
      <c r="VQP48" s="24"/>
      <c r="VQQ48" s="24"/>
      <c r="VQR48" s="24"/>
      <c r="VQS48" s="24"/>
      <c r="VQT48" s="24"/>
      <c r="VQU48" s="24"/>
      <c r="VQV48" s="24"/>
      <c r="VQW48" s="24"/>
      <c r="VQX48" s="24"/>
      <c r="VQY48" s="24"/>
      <c r="VQZ48" s="24"/>
      <c r="VRA48" s="24"/>
      <c r="VRB48" s="24"/>
      <c r="VRC48" s="24"/>
      <c r="VRD48" s="24"/>
      <c r="VRE48" s="24"/>
      <c r="VRF48" s="24"/>
      <c r="VRG48" s="24"/>
      <c r="VRH48" s="24"/>
      <c r="VRI48" s="24"/>
      <c r="VRJ48" s="24"/>
      <c r="VRK48" s="24"/>
      <c r="VRL48" s="24"/>
      <c r="VRM48" s="24"/>
      <c r="VRN48" s="24"/>
      <c r="VRO48" s="24"/>
      <c r="VRP48" s="24"/>
      <c r="VRQ48" s="24"/>
      <c r="VRR48" s="24"/>
      <c r="VRS48" s="24"/>
      <c r="VRT48" s="24"/>
      <c r="VRU48" s="24"/>
      <c r="VRV48" s="24"/>
      <c r="VRW48" s="24"/>
      <c r="VRX48" s="24"/>
      <c r="VRY48" s="24"/>
      <c r="VRZ48" s="24"/>
      <c r="VSA48" s="24"/>
      <c r="VSB48" s="24"/>
      <c r="VSC48" s="24"/>
      <c r="VSD48" s="24"/>
      <c r="VSE48" s="24"/>
      <c r="VSF48" s="24"/>
      <c r="VSG48" s="24"/>
      <c r="VSH48" s="24"/>
      <c r="VSI48" s="24"/>
      <c r="VSJ48" s="24"/>
      <c r="VSK48" s="24"/>
      <c r="VSL48" s="24"/>
      <c r="VSM48" s="24"/>
      <c r="VSN48" s="24"/>
      <c r="VSO48" s="24"/>
      <c r="VSP48" s="24"/>
      <c r="VSQ48" s="24"/>
      <c r="VSR48" s="24"/>
      <c r="VSS48" s="24"/>
      <c r="VST48" s="24"/>
      <c r="VSU48" s="24"/>
      <c r="VSV48" s="24"/>
      <c r="VSW48" s="24"/>
      <c r="VSX48" s="24"/>
      <c r="VSY48" s="24"/>
      <c r="VSZ48" s="24"/>
      <c r="VTA48" s="24"/>
      <c r="VTB48" s="24"/>
      <c r="VTC48" s="24"/>
      <c r="VTD48" s="24"/>
      <c r="VTE48" s="24"/>
      <c r="VTF48" s="24"/>
      <c r="VTG48" s="24"/>
      <c r="VTH48" s="24"/>
      <c r="VTI48" s="24"/>
      <c r="VTJ48" s="24"/>
      <c r="VTK48" s="24"/>
      <c r="VTL48" s="24"/>
      <c r="VTM48" s="24"/>
      <c r="VTN48" s="24"/>
      <c r="VTO48" s="24"/>
      <c r="VTP48" s="24"/>
      <c r="VTQ48" s="24"/>
      <c r="VTR48" s="24"/>
      <c r="VTS48" s="24"/>
      <c r="VTT48" s="24"/>
      <c r="VTU48" s="24"/>
      <c r="VTV48" s="24"/>
      <c r="VTW48" s="24"/>
      <c r="VTX48" s="24"/>
      <c r="VTY48" s="24"/>
      <c r="VTZ48" s="24"/>
      <c r="VUA48" s="24"/>
      <c r="VUB48" s="24"/>
      <c r="VUC48" s="24"/>
      <c r="VUD48" s="24"/>
      <c r="VUE48" s="24"/>
      <c r="VUF48" s="24"/>
      <c r="VUG48" s="24"/>
      <c r="VUH48" s="24"/>
      <c r="VUI48" s="24"/>
      <c r="VUJ48" s="24"/>
      <c r="VUK48" s="24"/>
      <c r="VUL48" s="24"/>
      <c r="VUM48" s="24"/>
      <c r="VUN48" s="24"/>
      <c r="VUO48" s="24"/>
      <c r="VUP48" s="24"/>
      <c r="VUQ48" s="24"/>
      <c r="VUR48" s="24"/>
      <c r="VUS48" s="24"/>
      <c r="VUT48" s="24"/>
      <c r="VUU48" s="24"/>
      <c r="VUV48" s="24"/>
      <c r="VUW48" s="24"/>
      <c r="VUX48" s="24"/>
      <c r="VUY48" s="24"/>
      <c r="VUZ48" s="24"/>
      <c r="VVA48" s="24"/>
      <c r="VVB48" s="24"/>
      <c r="VVC48" s="24"/>
      <c r="VVD48" s="24"/>
      <c r="VVE48" s="24"/>
      <c r="VVF48" s="24"/>
      <c r="VVG48" s="24"/>
      <c r="VVH48" s="24"/>
      <c r="VVI48" s="24"/>
      <c r="VVJ48" s="24"/>
      <c r="VVK48" s="24"/>
      <c r="VVL48" s="24"/>
      <c r="VVM48" s="24"/>
      <c r="VVN48" s="24"/>
      <c r="VVO48" s="24"/>
      <c r="VVP48" s="24"/>
      <c r="VVQ48" s="24"/>
      <c r="VVR48" s="24"/>
      <c r="VVS48" s="24"/>
      <c r="VVT48" s="24"/>
      <c r="VVU48" s="24"/>
      <c r="VVV48" s="24"/>
      <c r="VVW48" s="24"/>
      <c r="VVX48" s="24"/>
      <c r="VVY48" s="24"/>
      <c r="VVZ48" s="24"/>
      <c r="VWA48" s="24"/>
      <c r="VWB48" s="24"/>
      <c r="VWC48" s="24"/>
      <c r="VWD48" s="24"/>
      <c r="VWE48" s="24"/>
      <c r="VWF48" s="24"/>
      <c r="VWG48" s="24"/>
      <c r="VWH48" s="24"/>
      <c r="VWI48" s="24"/>
      <c r="VWJ48" s="24"/>
      <c r="VWK48" s="24"/>
      <c r="VWL48" s="24"/>
      <c r="VWM48" s="24"/>
      <c r="VWN48" s="24"/>
      <c r="VWO48" s="24"/>
      <c r="VWP48" s="24"/>
      <c r="VWQ48" s="24"/>
      <c r="VWR48" s="24"/>
      <c r="VWS48" s="24"/>
      <c r="VWT48" s="24"/>
      <c r="VWU48" s="24"/>
      <c r="VWV48" s="24"/>
      <c r="VWW48" s="24"/>
      <c r="VWX48" s="24"/>
      <c r="VWY48" s="24"/>
      <c r="VWZ48" s="24"/>
      <c r="VXA48" s="24"/>
      <c r="VXB48" s="24"/>
      <c r="VXC48" s="24"/>
      <c r="VXD48" s="24"/>
      <c r="VXE48" s="24"/>
      <c r="VXF48" s="24"/>
      <c r="VXG48" s="24"/>
      <c r="VXH48" s="24"/>
      <c r="VXI48" s="24"/>
      <c r="VXJ48" s="24"/>
      <c r="VXK48" s="24"/>
      <c r="VXL48" s="24"/>
      <c r="VXM48" s="24"/>
      <c r="VXN48" s="24"/>
      <c r="VXO48" s="24"/>
      <c r="VXP48" s="24"/>
      <c r="VXQ48" s="24"/>
      <c r="VXR48" s="24"/>
      <c r="VXS48" s="24"/>
      <c r="VXT48" s="24"/>
      <c r="VXU48" s="24"/>
      <c r="VXV48" s="24"/>
      <c r="VXW48" s="24"/>
      <c r="VXX48" s="24"/>
      <c r="VXY48" s="24"/>
      <c r="VXZ48" s="24"/>
      <c r="VYA48" s="24"/>
      <c r="VYB48" s="24"/>
      <c r="VYC48" s="24"/>
      <c r="VYD48" s="24"/>
      <c r="VYE48" s="24"/>
      <c r="VYF48" s="24"/>
      <c r="VYG48" s="24"/>
      <c r="VYH48" s="24"/>
      <c r="VYI48" s="24"/>
      <c r="VYJ48" s="24"/>
      <c r="VYK48" s="24"/>
      <c r="VYL48" s="24"/>
      <c r="VYM48" s="24"/>
      <c r="VYN48" s="24"/>
      <c r="VYO48" s="24"/>
      <c r="VYP48" s="24"/>
      <c r="VYQ48" s="24"/>
      <c r="VYR48" s="24"/>
      <c r="VYS48" s="24"/>
      <c r="VYT48" s="24"/>
      <c r="VYU48" s="24"/>
      <c r="VYV48" s="24"/>
      <c r="VYW48" s="24"/>
      <c r="VYX48" s="24"/>
      <c r="VYY48" s="24"/>
      <c r="VYZ48" s="24"/>
      <c r="VZA48" s="24"/>
      <c r="VZB48" s="24"/>
      <c r="VZC48" s="24"/>
      <c r="VZD48" s="24"/>
      <c r="VZE48" s="24"/>
      <c r="VZF48" s="24"/>
      <c r="VZG48" s="24"/>
      <c r="VZH48" s="24"/>
      <c r="VZI48" s="24"/>
      <c r="VZJ48" s="24"/>
      <c r="VZK48" s="24"/>
      <c r="VZL48" s="24"/>
      <c r="VZM48" s="24"/>
      <c r="VZN48" s="24"/>
      <c r="VZO48" s="24"/>
      <c r="VZP48" s="24"/>
      <c r="VZQ48" s="24"/>
      <c r="VZR48" s="24"/>
      <c r="VZS48" s="24"/>
      <c r="VZT48" s="24"/>
      <c r="VZU48" s="24"/>
      <c r="VZV48" s="24"/>
      <c r="VZW48" s="24"/>
      <c r="VZX48" s="24"/>
      <c r="VZY48" s="24"/>
      <c r="VZZ48" s="24"/>
      <c r="WAA48" s="24"/>
      <c r="WAB48" s="24"/>
      <c r="WAC48" s="24"/>
      <c r="WAD48" s="24"/>
      <c r="WAE48" s="24"/>
      <c r="WAF48" s="24"/>
      <c r="WAG48" s="24"/>
      <c r="WAH48" s="24"/>
      <c r="WAI48" s="24"/>
      <c r="WAJ48" s="24"/>
      <c r="WAK48" s="24"/>
      <c r="WAL48" s="24"/>
      <c r="WAM48" s="24"/>
      <c r="WAN48" s="24"/>
      <c r="WAO48" s="24"/>
      <c r="WAP48" s="24"/>
      <c r="WAQ48" s="24"/>
      <c r="WAR48" s="24"/>
      <c r="WAS48" s="24"/>
      <c r="WAT48" s="24"/>
      <c r="WAU48" s="24"/>
      <c r="WAV48" s="24"/>
      <c r="WAW48" s="24"/>
      <c r="WAX48" s="24"/>
      <c r="WAY48" s="24"/>
      <c r="WAZ48" s="24"/>
      <c r="WBA48" s="24"/>
      <c r="WBB48" s="24"/>
      <c r="WBC48" s="24"/>
      <c r="WBD48" s="24"/>
      <c r="WBE48" s="24"/>
      <c r="WBF48" s="24"/>
      <c r="WBG48" s="24"/>
      <c r="WBH48" s="24"/>
      <c r="WBI48" s="24"/>
      <c r="WBJ48" s="24"/>
      <c r="WBK48" s="24"/>
      <c r="WBL48" s="24"/>
      <c r="WBM48" s="24"/>
      <c r="WBN48" s="24"/>
      <c r="WBO48" s="24"/>
      <c r="WBP48" s="24"/>
      <c r="WBQ48" s="24"/>
      <c r="WBR48" s="24"/>
      <c r="WBS48" s="24"/>
      <c r="WBT48" s="24"/>
      <c r="WBU48" s="24"/>
      <c r="WBV48" s="24"/>
      <c r="WBW48" s="24"/>
      <c r="WBX48" s="24"/>
      <c r="WBY48" s="24"/>
      <c r="WBZ48" s="24"/>
      <c r="WCA48" s="24"/>
      <c r="WCB48" s="24"/>
      <c r="WCC48" s="24"/>
      <c r="WCD48" s="24"/>
      <c r="WCE48" s="24"/>
      <c r="WCF48" s="24"/>
      <c r="WCG48" s="24"/>
      <c r="WCH48" s="24"/>
      <c r="WCI48" s="24"/>
      <c r="WCJ48" s="24"/>
      <c r="WCK48" s="24"/>
      <c r="WCL48" s="24"/>
      <c r="WCM48" s="24"/>
      <c r="WCN48" s="24"/>
      <c r="WCO48" s="24"/>
      <c r="WCP48" s="24"/>
      <c r="WCQ48" s="24"/>
      <c r="WCR48" s="24"/>
      <c r="WCS48" s="24"/>
      <c r="WCT48" s="24"/>
      <c r="WCU48" s="24"/>
      <c r="WCV48" s="24"/>
      <c r="WCW48" s="24"/>
      <c r="WCX48" s="24"/>
      <c r="WCY48" s="24"/>
      <c r="WCZ48" s="24"/>
      <c r="WDA48" s="24"/>
      <c r="WDB48" s="24"/>
      <c r="WDC48" s="24"/>
      <c r="WDD48" s="24"/>
      <c r="WDE48" s="24"/>
      <c r="WDF48" s="24"/>
      <c r="WDG48" s="24"/>
      <c r="WDH48" s="24"/>
      <c r="WDI48" s="24"/>
      <c r="WDJ48" s="24"/>
      <c r="WDK48" s="24"/>
      <c r="WDL48" s="24"/>
      <c r="WDM48" s="24"/>
      <c r="WDN48" s="24"/>
      <c r="WDO48" s="24"/>
      <c r="WDP48" s="24"/>
      <c r="WDQ48" s="24"/>
      <c r="WDR48" s="24"/>
      <c r="WDS48" s="24"/>
      <c r="WDT48" s="24"/>
      <c r="WDU48" s="24"/>
      <c r="WDV48" s="24"/>
      <c r="WDW48" s="24"/>
      <c r="WDX48" s="24"/>
      <c r="WDY48" s="24"/>
      <c r="WDZ48" s="24"/>
      <c r="WEA48" s="24"/>
      <c r="WEB48" s="24"/>
      <c r="WEC48" s="24"/>
      <c r="WED48" s="24"/>
      <c r="WEE48" s="24"/>
      <c r="WEF48" s="24"/>
      <c r="WEG48" s="24"/>
      <c r="WEH48" s="24"/>
      <c r="WEI48" s="24"/>
      <c r="WEJ48" s="24"/>
      <c r="WEK48" s="24"/>
      <c r="WEL48" s="24"/>
      <c r="WEM48" s="24"/>
      <c r="WEN48" s="24"/>
      <c r="WEO48" s="24"/>
      <c r="WEP48" s="24"/>
      <c r="WEQ48" s="24"/>
      <c r="WER48" s="24"/>
      <c r="WES48" s="24"/>
      <c r="WET48" s="24"/>
      <c r="WEU48" s="24"/>
      <c r="WEV48" s="24"/>
      <c r="WEW48" s="24"/>
      <c r="WEX48" s="24"/>
      <c r="WEY48" s="24"/>
      <c r="WEZ48" s="24"/>
      <c r="WFA48" s="24"/>
      <c r="WFB48" s="24"/>
      <c r="WFC48" s="24"/>
      <c r="WFD48" s="24"/>
      <c r="WFE48" s="24"/>
      <c r="WFF48" s="24"/>
      <c r="WFG48" s="24"/>
      <c r="WFH48" s="24"/>
      <c r="WFI48" s="24"/>
      <c r="WFJ48" s="24"/>
      <c r="WFK48" s="24"/>
      <c r="WFL48" s="24"/>
      <c r="WFM48" s="24"/>
      <c r="WFN48" s="24"/>
      <c r="WFO48" s="24"/>
      <c r="WFP48" s="24"/>
      <c r="WFQ48" s="24"/>
      <c r="WFR48" s="24"/>
      <c r="WFS48" s="24"/>
      <c r="WFT48" s="24"/>
      <c r="WFU48" s="24"/>
      <c r="WFV48" s="24"/>
      <c r="WFW48" s="24"/>
      <c r="WFX48" s="24"/>
      <c r="WFY48" s="24"/>
      <c r="WFZ48" s="24"/>
      <c r="WGA48" s="24"/>
      <c r="WGB48" s="24"/>
      <c r="WGC48" s="24"/>
      <c r="WGD48" s="24"/>
      <c r="WGE48" s="24"/>
      <c r="WGF48" s="24"/>
      <c r="WGG48" s="24"/>
      <c r="WGH48" s="24"/>
      <c r="WGI48" s="24"/>
      <c r="WGJ48" s="24"/>
      <c r="WGK48" s="24"/>
      <c r="WGL48" s="24"/>
      <c r="WGM48" s="24"/>
      <c r="WGN48" s="24"/>
      <c r="WGO48" s="24"/>
      <c r="WGP48" s="24"/>
      <c r="WGQ48" s="24"/>
      <c r="WGR48" s="24"/>
      <c r="WGS48" s="24"/>
      <c r="WGT48" s="24"/>
      <c r="WGU48" s="24"/>
      <c r="WGV48" s="24"/>
      <c r="WGW48" s="24"/>
      <c r="WGX48" s="24"/>
      <c r="WGY48" s="24"/>
      <c r="WGZ48" s="24"/>
      <c r="WHA48" s="24"/>
      <c r="WHB48" s="24"/>
      <c r="WHC48" s="24"/>
      <c r="WHD48" s="24"/>
      <c r="WHE48" s="24"/>
      <c r="WHF48" s="24"/>
      <c r="WHG48" s="24"/>
      <c r="WHH48" s="24"/>
      <c r="WHI48" s="24"/>
      <c r="WHJ48" s="24"/>
      <c r="WHK48" s="24"/>
      <c r="WHL48" s="24"/>
      <c r="WHM48" s="24"/>
      <c r="WHN48" s="24"/>
      <c r="WHO48" s="24"/>
      <c r="WHP48" s="24"/>
      <c r="WHQ48" s="24"/>
      <c r="WHR48" s="24"/>
      <c r="WHS48" s="24"/>
      <c r="WHT48" s="24"/>
      <c r="WHU48" s="24"/>
      <c r="WHV48" s="24"/>
      <c r="WHW48" s="24"/>
      <c r="WHX48" s="24"/>
      <c r="WHY48" s="24"/>
      <c r="WHZ48" s="24"/>
      <c r="WIA48" s="24"/>
      <c r="WIB48" s="24"/>
      <c r="WIC48" s="24"/>
      <c r="WID48" s="24"/>
      <c r="WIE48" s="24"/>
      <c r="WIF48" s="24"/>
      <c r="WIG48" s="24"/>
      <c r="WIH48" s="24"/>
      <c r="WII48" s="24"/>
      <c r="WIJ48" s="24"/>
      <c r="WIK48" s="24"/>
      <c r="WIL48" s="24"/>
      <c r="WIM48" s="24"/>
      <c r="WIN48" s="24"/>
      <c r="WIO48" s="24"/>
      <c r="WIP48" s="24"/>
      <c r="WIQ48" s="24"/>
      <c r="WIR48" s="24"/>
      <c r="WIS48" s="24"/>
      <c r="WIT48" s="24"/>
      <c r="WIU48" s="24"/>
      <c r="WIV48" s="24"/>
      <c r="WIW48" s="24"/>
      <c r="WIX48" s="24"/>
      <c r="WIY48" s="24"/>
      <c r="WIZ48" s="24"/>
      <c r="WJA48" s="24"/>
      <c r="WJB48" s="24"/>
      <c r="WJC48" s="24"/>
      <c r="WJD48" s="24"/>
      <c r="WJE48" s="24"/>
      <c r="WJF48" s="24"/>
      <c r="WJG48" s="24"/>
      <c r="WJH48" s="24"/>
      <c r="WJI48" s="24"/>
      <c r="WJJ48" s="24"/>
      <c r="WJK48" s="24"/>
      <c r="WJL48" s="24"/>
      <c r="WJM48" s="24"/>
      <c r="WJN48" s="24"/>
      <c r="WJO48" s="24"/>
      <c r="WJP48" s="24"/>
      <c r="WJQ48" s="24"/>
      <c r="WJR48" s="24"/>
      <c r="WJS48" s="24"/>
      <c r="WJT48" s="24"/>
      <c r="WJU48" s="24"/>
      <c r="WJV48" s="24"/>
      <c r="WJW48" s="24"/>
      <c r="WJX48" s="24"/>
      <c r="WJY48" s="24"/>
      <c r="WJZ48" s="24"/>
      <c r="WKA48" s="24"/>
      <c r="WKB48" s="24"/>
      <c r="WKC48" s="24"/>
      <c r="WKD48" s="24"/>
      <c r="WKE48" s="24"/>
      <c r="WKF48" s="24"/>
      <c r="WKG48" s="24"/>
      <c r="WKH48" s="24"/>
      <c r="WKI48" s="24"/>
      <c r="WKJ48" s="24"/>
      <c r="WKK48" s="24"/>
      <c r="WKL48" s="24"/>
      <c r="WKM48" s="24"/>
      <c r="WKN48" s="24"/>
      <c r="WKO48" s="24"/>
      <c r="WKP48" s="24"/>
      <c r="WKQ48" s="24"/>
      <c r="WKR48" s="24"/>
      <c r="WKS48" s="24"/>
      <c r="WKT48" s="24"/>
      <c r="WKU48" s="24"/>
      <c r="WKV48" s="24"/>
      <c r="WKW48" s="24"/>
      <c r="WKX48" s="24"/>
      <c r="WKY48" s="24"/>
      <c r="WKZ48" s="24"/>
      <c r="WLA48" s="24"/>
      <c r="WLB48" s="24"/>
      <c r="WLC48" s="24"/>
      <c r="WLD48" s="24"/>
      <c r="WLE48" s="24"/>
      <c r="WLF48" s="24"/>
      <c r="WLG48" s="24"/>
      <c r="WLH48" s="24"/>
      <c r="WLI48" s="24"/>
      <c r="WLJ48" s="24"/>
      <c r="WLK48" s="24"/>
      <c r="WLL48" s="24"/>
      <c r="WLM48" s="24"/>
      <c r="WLN48" s="24"/>
      <c r="WLO48" s="24"/>
      <c r="WLP48" s="24"/>
      <c r="WLQ48" s="24"/>
      <c r="WLR48" s="24"/>
      <c r="WLS48" s="24"/>
      <c r="WLT48" s="24"/>
      <c r="WLU48" s="24"/>
      <c r="WLV48" s="24"/>
      <c r="WLW48" s="24"/>
      <c r="WLX48" s="24"/>
      <c r="WLY48" s="24"/>
      <c r="WLZ48" s="24"/>
      <c r="WMA48" s="24"/>
      <c r="WMB48" s="24"/>
      <c r="WMC48" s="24"/>
      <c r="WMD48" s="24"/>
      <c r="WME48" s="24"/>
      <c r="WMF48" s="24"/>
      <c r="WMG48" s="24"/>
      <c r="WMH48" s="24"/>
      <c r="WMI48" s="24"/>
      <c r="WMJ48" s="24"/>
      <c r="WMK48" s="24"/>
      <c r="WML48" s="24"/>
      <c r="WMM48" s="24"/>
      <c r="WMN48" s="24"/>
      <c r="WMO48" s="24"/>
      <c r="WMP48" s="24"/>
      <c r="WMQ48" s="24"/>
      <c r="WMR48" s="24"/>
      <c r="WMS48" s="24"/>
      <c r="WMT48" s="24"/>
      <c r="WMU48" s="24"/>
      <c r="WMV48" s="24"/>
      <c r="WMW48" s="24"/>
      <c r="WMX48" s="24"/>
      <c r="WMY48" s="24"/>
      <c r="WMZ48" s="24"/>
      <c r="WNA48" s="24"/>
      <c r="WNB48" s="24"/>
      <c r="WNC48" s="24"/>
      <c r="WND48" s="24"/>
      <c r="WNE48" s="24"/>
      <c r="WNF48" s="24"/>
      <c r="WNG48" s="24"/>
      <c r="WNH48" s="24"/>
      <c r="WNI48" s="24"/>
      <c r="WNJ48" s="24"/>
      <c r="WNK48" s="24"/>
      <c r="WNL48" s="24"/>
      <c r="WNM48" s="24"/>
      <c r="WNN48" s="24"/>
      <c r="WNO48" s="24"/>
      <c r="WNP48" s="24"/>
      <c r="WNQ48" s="24"/>
      <c r="WNR48" s="24"/>
      <c r="WNS48" s="24"/>
      <c r="WNT48" s="24"/>
      <c r="WNU48" s="24"/>
      <c r="WNV48" s="24"/>
      <c r="WNW48" s="24"/>
      <c r="WNX48" s="24"/>
      <c r="WNY48" s="24"/>
      <c r="WNZ48" s="24"/>
      <c r="WOA48" s="24"/>
      <c r="WOB48" s="24"/>
      <c r="WOC48" s="24"/>
      <c r="WOD48" s="24"/>
      <c r="WOE48" s="24"/>
      <c r="WOF48" s="24"/>
      <c r="WOG48" s="24"/>
      <c r="WOH48" s="24"/>
      <c r="WOI48" s="24"/>
      <c r="WOJ48" s="24"/>
      <c r="WOK48" s="24"/>
      <c r="WOL48" s="24"/>
      <c r="WOM48" s="24"/>
      <c r="WON48" s="24"/>
      <c r="WOO48" s="24"/>
      <c r="WOP48" s="24"/>
      <c r="WOQ48" s="24"/>
      <c r="WOR48" s="24"/>
      <c r="WOS48" s="24"/>
      <c r="WOT48" s="24"/>
      <c r="WOU48" s="24"/>
      <c r="WOV48" s="24"/>
      <c r="WOW48" s="24"/>
      <c r="WOX48" s="24"/>
      <c r="WOY48" s="24"/>
      <c r="WOZ48" s="24"/>
      <c r="WPA48" s="24"/>
      <c r="WPB48" s="24"/>
      <c r="WPC48" s="24"/>
      <c r="WPD48" s="24"/>
      <c r="WPE48" s="24"/>
      <c r="WPF48" s="24"/>
      <c r="WPG48" s="24"/>
      <c r="WPH48" s="24"/>
      <c r="WPI48" s="24"/>
      <c r="WPJ48" s="24"/>
      <c r="WPK48" s="24"/>
      <c r="WPL48" s="24"/>
      <c r="WPM48" s="24"/>
      <c r="WPN48" s="24"/>
      <c r="WPO48" s="24"/>
      <c r="WPP48" s="24"/>
      <c r="WPQ48" s="24"/>
      <c r="WPR48" s="24"/>
      <c r="WPS48" s="24"/>
      <c r="WPT48" s="24"/>
      <c r="WPU48" s="24"/>
      <c r="WPV48" s="24"/>
      <c r="WPW48" s="24"/>
      <c r="WPX48" s="24"/>
      <c r="WPY48" s="24"/>
      <c r="WPZ48" s="24"/>
      <c r="WQA48" s="24"/>
      <c r="WQB48" s="24"/>
      <c r="WQC48" s="24"/>
      <c r="WQD48" s="24"/>
      <c r="WQE48" s="24"/>
      <c r="WQF48" s="24"/>
      <c r="WQG48" s="24"/>
      <c r="WQH48" s="24"/>
      <c r="WQI48" s="24"/>
      <c r="WQJ48" s="24"/>
      <c r="WQK48" s="24"/>
      <c r="WQL48" s="24"/>
      <c r="WQM48" s="24"/>
      <c r="WQN48" s="24"/>
      <c r="WQO48" s="24"/>
      <c r="WQP48" s="24"/>
      <c r="WQQ48" s="24"/>
      <c r="WQR48" s="24"/>
      <c r="WQS48" s="24"/>
      <c r="WQT48" s="24"/>
      <c r="WQU48" s="24"/>
      <c r="WQV48" s="24"/>
      <c r="WQW48" s="24"/>
      <c r="WQX48" s="24"/>
      <c r="WQY48" s="24"/>
      <c r="WQZ48" s="24"/>
      <c r="WRA48" s="24"/>
      <c r="WRB48" s="24"/>
      <c r="WRC48" s="24"/>
      <c r="WRD48" s="24"/>
      <c r="WRE48" s="24"/>
      <c r="WRF48" s="24"/>
      <c r="WRG48" s="24"/>
      <c r="WRH48" s="24"/>
      <c r="WRI48" s="24"/>
      <c r="WRJ48" s="24"/>
      <c r="WRK48" s="24"/>
      <c r="WRL48" s="24"/>
      <c r="WRM48" s="24"/>
      <c r="WRN48" s="24"/>
      <c r="WRO48" s="24"/>
      <c r="WRP48" s="24"/>
      <c r="WRQ48" s="24"/>
      <c r="WRR48" s="24"/>
      <c r="WRS48" s="24"/>
      <c r="WRT48" s="24"/>
      <c r="WRU48" s="24"/>
      <c r="WRV48" s="24"/>
      <c r="WRW48" s="24"/>
      <c r="WRX48" s="24"/>
      <c r="WRY48" s="24"/>
      <c r="WRZ48" s="24"/>
      <c r="WSA48" s="24"/>
      <c r="WSB48" s="24"/>
      <c r="WSC48" s="24"/>
      <c r="WSD48" s="24"/>
      <c r="WSE48" s="24"/>
      <c r="WSF48" s="24"/>
      <c r="WSG48" s="24"/>
      <c r="WSH48" s="24"/>
      <c r="WSI48" s="24"/>
      <c r="WSJ48" s="24"/>
      <c r="WSK48" s="24"/>
      <c r="WSL48" s="24"/>
      <c r="WSM48" s="24"/>
      <c r="WSN48" s="24"/>
      <c r="WSO48" s="24"/>
      <c r="WSP48" s="24"/>
      <c r="WSQ48" s="24"/>
      <c r="WSR48" s="24"/>
      <c r="WSS48" s="24"/>
      <c r="WST48" s="24"/>
      <c r="WSU48" s="24"/>
      <c r="WSV48" s="24"/>
      <c r="WSW48" s="24"/>
      <c r="WSX48" s="24"/>
      <c r="WSY48" s="24"/>
      <c r="WSZ48" s="24"/>
      <c r="WTA48" s="24"/>
      <c r="WTB48" s="24"/>
      <c r="WTC48" s="24"/>
      <c r="WTD48" s="24"/>
      <c r="WTE48" s="24"/>
      <c r="WTF48" s="24"/>
      <c r="WTG48" s="24"/>
      <c r="WTH48" s="24"/>
      <c r="WTI48" s="24"/>
      <c r="WTJ48" s="24"/>
      <c r="WTK48" s="24"/>
      <c r="WTL48" s="24"/>
      <c r="WTM48" s="24"/>
      <c r="WTN48" s="24"/>
      <c r="WTO48" s="24"/>
      <c r="WTP48" s="24"/>
      <c r="WTQ48" s="24"/>
      <c r="WTR48" s="24"/>
      <c r="WTS48" s="24"/>
      <c r="WTT48" s="24"/>
      <c r="WTU48" s="24"/>
      <c r="WTV48" s="24"/>
      <c r="WTW48" s="24"/>
      <c r="WTX48" s="24"/>
      <c r="WTY48" s="24"/>
      <c r="WTZ48" s="24"/>
      <c r="WUA48" s="24"/>
      <c r="WUB48" s="24"/>
      <c r="WUC48" s="24"/>
      <c r="WUD48" s="24"/>
      <c r="WUE48" s="24"/>
      <c r="WUF48" s="24"/>
      <c r="WUG48" s="24"/>
      <c r="WUH48" s="24"/>
      <c r="WUI48" s="24"/>
      <c r="WUJ48" s="24"/>
      <c r="WUK48" s="24"/>
      <c r="WUL48" s="24"/>
      <c r="WUM48" s="24"/>
      <c r="WUN48" s="24"/>
      <c r="WUO48" s="24"/>
      <c r="WUP48" s="24"/>
      <c r="WUQ48" s="24"/>
      <c r="WUR48" s="24"/>
      <c r="WUS48" s="24"/>
      <c r="WUT48" s="24"/>
      <c r="WUU48" s="24"/>
      <c r="WUV48" s="24"/>
      <c r="WUW48" s="24"/>
      <c r="WUX48" s="24"/>
      <c r="WUY48" s="24"/>
      <c r="WUZ48" s="24"/>
      <c r="WVA48" s="24"/>
      <c r="WVB48" s="24"/>
      <c r="WVC48" s="24"/>
      <c r="WVD48" s="24"/>
      <c r="WVE48" s="24"/>
      <c r="WVF48" s="24"/>
      <c r="WVG48" s="24"/>
      <c r="WVH48" s="24"/>
      <c r="WVI48" s="24"/>
      <c r="WVJ48" s="24"/>
      <c r="WVK48" s="24"/>
      <c r="WVL48" s="24"/>
      <c r="WVM48" s="24"/>
      <c r="WVN48" s="24"/>
      <c r="WVO48" s="24"/>
      <c r="WVP48" s="24"/>
      <c r="WVQ48" s="24"/>
      <c r="WVR48" s="24"/>
      <c r="WVS48" s="24"/>
      <c r="WVT48" s="24"/>
      <c r="WVU48" s="24"/>
      <c r="WVV48" s="24"/>
      <c r="WVW48" s="24"/>
      <c r="WVX48" s="24"/>
      <c r="WVY48" s="24"/>
      <c r="WVZ48" s="24"/>
      <c r="WWA48" s="24"/>
      <c r="WWB48" s="24"/>
      <c r="WWC48" s="24"/>
      <c r="WWD48" s="24"/>
      <c r="WWE48" s="24"/>
      <c r="WWF48" s="24"/>
      <c r="WWG48" s="24"/>
      <c r="WWH48" s="24"/>
      <c r="WWI48" s="24"/>
      <c r="WWJ48" s="24"/>
      <c r="WWK48" s="24"/>
      <c r="WWL48" s="24"/>
      <c r="WWM48" s="24"/>
      <c r="WWN48" s="24"/>
      <c r="WWO48" s="24"/>
      <c r="WWP48" s="24"/>
      <c r="WWQ48" s="24"/>
      <c r="WWR48" s="24"/>
      <c r="WWS48" s="24"/>
      <c r="WWT48" s="24"/>
      <c r="WWU48" s="24"/>
      <c r="WWV48" s="24"/>
      <c r="WWW48" s="24"/>
      <c r="WWX48" s="24"/>
      <c r="WWY48" s="24"/>
      <c r="WWZ48" s="24"/>
      <c r="WXA48" s="24"/>
      <c r="WXB48" s="24"/>
      <c r="WXC48" s="24"/>
      <c r="WXD48" s="24"/>
      <c r="WXE48" s="24"/>
      <c r="WXF48" s="24"/>
      <c r="WXG48" s="24"/>
      <c r="WXH48" s="24"/>
      <c r="WXI48" s="24"/>
      <c r="WXJ48" s="24"/>
      <c r="WXK48" s="24"/>
      <c r="WXL48" s="24"/>
      <c r="WXM48" s="24"/>
      <c r="WXN48" s="24"/>
      <c r="WXO48" s="24"/>
      <c r="WXP48" s="24"/>
      <c r="WXQ48" s="24"/>
      <c r="WXR48" s="24"/>
      <c r="WXS48" s="24"/>
      <c r="WXT48" s="24"/>
      <c r="WXU48" s="24"/>
      <c r="WXV48" s="24"/>
      <c r="WXW48" s="24"/>
      <c r="WXX48" s="24"/>
      <c r="WXY48" s="24"/>
      <c r="WXZ48" s="24"/>
      <c r="WYA48" s="24"/>
      <c r="WYB48" s="24"/>
      <c r="WYC48" s="24"/>
      <c r="WYD48" s="24"/>
      <c r="WYE48" s="24"/>
      <c r="WYF48" s="24"/>
      <c r="WYG48" s="24"/>
      <c r="WYH48" s="24"/>
      <c r="WYI48" s="24"/>
      <c r="WYJ48" s="24"/>
      <c r="WYK48" s="24"/>
      <c r="WYL48" s="24"/>
      <c r="WYM48" s="24"/>
      <c r="WYN48" s="24"/>
      <c r="WYO48" s="24"/>
      <c r="WYP48" s="24"/>
      <c r="WYQ48" s="24"/>
      <c r="WYR48" s="24"/>
      <c r="WYS48" s="24"/>
      <c r="WYT48" s="24"/>
      <c r="WYU48" s="24"/>
      <c r="WYV48" s="24"/>
      <c r="WYW48" s="24"/>
      <c r="WYX48" s="24"/>
      <c r="WYY48" s="24"/>
      <c r="WYZ48" s="24"/>
      <c r="WZA48" s="24"/>
      <c r="WZB48" s="24"/>
      <c r="WZC48" s="24"/>
      <c r="WZD48" s="24"/>
      <c r="WZE48" s="24"/>
      <c r="WZF48" s="24"/>
      <c r="WZG48" s="24"/>
      <c r="WZH48" s="24"/>
      <c r="WZI48" s="24"/>
      <c r="WZJ48" s="24"/>
      <c r="WZK48" s="24"/>
      <c r="WZL48" s="24"/>
      <c r="WZM48" s="24"/>
      <c r="WZN48" s="24"/>
      <c r="WZO48" s="24"/>
      <c r="WZP48" s="24"/>
      <c r="WZQ48" s="24"/>
      <c r="WZR48" s="24"/>
      <c r="WZS48" s="24"/>
      <c r="WZT48" s="24"/>
      <c r="WZU48" s="24"/>
      <c r="WZV48" s="24"/>
      <c r="WZW48" s="24"/>
      <c r="WZX48" s="24"/>
      <c r="WZY48" s="24"/>
      <c r="WZZ48" s="24"/>
      <c r="XAA48" s="24"/>
      <c r="XAB48" s="24"/>
      <c r="XAC48" s="24"/>
      <c r="XAD48" s="24"/>
      <c r="XAE48" s="24"/>
      <c r="XAF48" s="24"/>
      <c r="XAG48" s="24"/>
      <c r="XAH48" s="24"/>
      <c r="XAI48" s="24"/>
      <c r="XAJ48" s="24"/>
      <c r="XAK48" s="24"/>
      <c r="XAL48" s="24"/>
      <c r="XAM48" s="24"/>
      <c r="XAN48" s="24"/>
      <c r="XAO48" s="24"/>
      <c r="XAP48" s="24"/>
      <c r="XAQ48" s="24"/>
      <c r="XAR48" s="24"/>
      <c r="XAS48" s="24"/>
      <c r="XAT48" s="24"/>
      <c r="XAU48" s="24"/>
      <c r="XAV48" s="24"/>
      <c r="XAW48" s="24"/>
      <c r="XAX48" s="24"/>
      <c r="XAY48" s="24"/>
      <c r="XAZ48" s="24"/>
      <c r="XBA48" s="24"/>
      <c r="XBB48" s="24"/>
      <c r="XBC48" s="24"/>
      <c r="XBD48" s="24"/>
      <c r="XBE48" s="24"/>
      <c r="XBF48" s="24"/>
      <c r="XBG48" s="24"/>
      <c r="XBH48" s="24"/>
      <c r="XBI48" s="24"/>
      <c r="XBJ48" s="24"/>
      <c r="XBK48" s="24"/>
      <c r="XBL48" s="24"/>
      <c r="XBM48" s="24"/>
      <c r="XBN48" s="24"/>
      <c r="XBO48" s="24"/>
      <c r="XBP48" s="24"/>
      <c r="XBQ48" s="24"/>
      <c r="XBR48" s="24"/>
      <c r="XBS48" s="24"/>
      <c r="XBT48" s="24"/>
      <c r="XBU48" s="24"/>
      <c r="XBV48" s="24"/>
      <c r="XBW48" s="24"/>
      <c r="XBX48" s="24"/>
      <c r="XBY48" s="24"/>
      <c r="XBZ48" s="24"/>
      <c r="XCA48" s="24"/>
      <c r="XCB48" s="24"/>
      <c r="XCC48" s="24"/>
      <c r="XCD48" s="24"/>
      <c r="XCE48" s="24"/>
      <c r="XCF48" s="24"/>
      <c r="XCG48" s="24"/>
      <c r="XCH48" s="24"/>
      <c r="XCI48" s="24"/>
      <c r="XCJ48" s="24"/>
      <c r="XCK48" s="24"/>
      <c r="XCL48" s="24"/>
      <c r="XCM48" s="24"/>
      <c r="XCN48" s="24"/>
      <c r="XCO48" s="24"/>
      <c r="XCP48" s="24"/>
      <c r="XCQ48" s="24"/>
      <c r="XCR48" s="24"/>
      <c r="XCS48" s="24"/>
      <c r="XCT48" s="24"/>
      <c r="XCU48" s="24"/>
      <c r="XCV48" s="24"/>
      <c r="XCW48" s="24"/>
      <c r="XCX48" s="24"/>
      <c r="XCY48" s="24"/>
      <c r="XCZ48" s="24"/>
      <c r="XDA48" s="24"/>
      <c r="XDB48" s="24"/>
      <c r="XDC48" s="24"/>
      <c r="XDD48" s="24"/>
      <c r="XDE48" s="24"/>
      <c r="XDF48" s="24"/>
      <c r="XDG48" s="24"/>
      <c r="XDH48" s="24"/>
      <c r="XDI48" s="24"/>
      <c r="XDJ48" s="24"/>
      <c r="XDK48" s="24"/>
      <c r="XDL48" s="24"/>
      <c r="XDM48" s="24"/>
      <c r="XDN48" s="24"/>
      <c r="XDO48" s="24"/>
      <c r="XDP48" s="24"/>
      <c r="XDQ48" s="24"/>
      <c r="XDR48" s="24"/>
      <c r="XDS48" s="24"/>
      <c r="XDT48" s="24"/>
      <c r="XDU48" s="24"/>
      <c r="XDV48" s="24"/>
      <c r="XDW48" s="24"/>
      <c r="XDX48" s="24"/>
      <c r="XDY48" s="24"/>
      <c r="XDZ48" s="24"/>
      <c r="XEA48" s="24"/>
      <c r="XEB48" s="24"/>
      <c r="XEC48" s="24"/>
      <c r="XED48" s="24"/>
      <c r="XEE48" s="24"/>
      <c r="XEF48" s="24"/>
      <c r="XEG48" s="24"/>
      <c r="XEH48" s="24"/>
      <c r="XEI48" s="24"/>
      <c r="XEJ48" s="24"/>
      <c r="XEK48" s="24"/>
      <c r="XEL48" s="24"/>
      <c r="XEM48" s="24"/>
      <c r="XEN48" s="24"/>
      <c r="XEO48" s="24"/>
      <c r="XEP48" s="24"/>
      <c r="XEQ48" s="24"/>
      <c r="XER48" s="24"/>
      <c r="XES48" s="24"/>
      <c r="XET48" s="24"/>
      <c r="XEU48" s="24"/>
      <c r="XEV48" s="24"/>
      <c r="XEW48" s="24"/>
      <c r="XEX48" s="24"/>
      <c r="XEY48" s="24"/>
      <c r="XEZ48" s="24"/>
      <c r="XFA48" s="24"/>
      <c r="XFB48" s="24"/>
      <c r="XFC48" s="24"/>
      <c r="XFD48" s="24"/>
    </row>
    <row r="49" spans="1:16384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  <c r="GS49" s="24"/>
      <c r="GT49" s="24"/>
      <c r="GU49" s="24"/>
      <c r="GV49" s="24"/>
      <c r="GW49" s="24"/>
      <c r="GX49" s="24"/>
      <c r="GY49" s="24"/>
      <c r="GZ49" s="24"/>
      <c r="HA49" s="24"/>
      <c r="HB49" s="24"/>
      <c r="HC49" s="24"/>
      <c r="HD49" s="24"/>
      <c r="HE49" s="24"/>
      <c r="HF49" s="24"/>
      <c r="HG49" s="24"/>
      <c r="HH49" s="24"/>
      <c r="HI49" s="24"/>
      <c r="HJ49" s="24"/>
      <c r="HK49" s="24"/>
      <c r="HL49" s="24"/>
      <c r="HM49" s="24"/>
      <c r="HN49" s="24"/>
      <c r="HO49" s="24"/>
      <c r="HP49" s="24"/>
      <c r="HQ49" s="24"/>
      <c r="HR49" s="24"/>
      <c r="HS49" s="24"/>
      <c r="HT49" s="24"/>
      <c r="HU49" s="24"/>
      <c r="HV49" s="24"/>
      <c r="HW49" s="24"/>
      <c r="HX49" s="24"/>
      <c r="HY49" s="24"/>
      <c r="HZ49" s="24"/>
      <c r="IA49" s="24"/>
      <c r="IB49" s="24"/>
      <c r="IC49" s="24"/>
      <c r="ID49" s="24"/>
      <c r="IE49" s="24"/>
      <c r="IF49" s="24"/>
      <c r="IG49" s="24"/>
      <c r="IH49" s="24"/>
      <c r="II49" s="24"/>
      <c r="IJ49" s="24"/>
      <c r="IK49" s="24"/>
      <c r="IL49" s="24"/>
      <c r="IM49" s="24"/>
      <c r="IN49" s="24"/>
      <c r="IO49" s="24"/>
      <c r="IP49" s="24"/>
      <c r="IQ49" s="24"/>
      <c r="IR49" s="24"/>
      <c r="IS49" s="24"/>
      <c r="IT49" s="24"/>
      <c r="IU49" s="24"/>
      <c r="IV49" s="24"/>
      <c r="IW49" s="24"/>
      <c r="IX49" s="24"/>
      <c r="IY49" s="24"/>
      <c r="IZ49" s="24"/>
      <c r="JA49" s="24"/>
      <c r="JB49" s="24"/>
      <c r="JC49" s="24"/>
      <c r="JD49" s="24"/>
      <c r="JE49" s="24"/>
      <c r="JF49" s="24"/>
      <c r="JG49" s="24"/>
      <c r="JH49" s="24"/>
      <c r="JI49" s="24"/>
      <c r="JJ49" s="24"/>
      <c r="JK49" s="24"/>
      <c r="JL49" s="24"/>
      <c r="JM49" s="24"/>
      <c r="JN49" s="24"/>
      <c r="JO49" s="24"/>
      <c r="JP49" s="24"/>
      <c r="JQ49" s="24"/>
      <c r="JR49" s="24"/>
      <c r="JS49" s="24"/>
      <c r="JT49" s="24"/>
      <c r="JU49" s="24"/>
      <c r="JV49" s="24"/>
      <c r="JW49" s="24"/>
      <c r="JX49" s="24"/>
      <c r="JY49" s="24"/>
      <c r="JZ49" s="24"/>
      <c r="KA49" s="24"/>
      <c r="KB49" s="24"/>
      <c r="KC49" s="24"/>
      <c r="KD49" s="24"/>
      <c r="KE49" s="24"/>
      <c r="KF49" s="24"/>
      <c r="KG49" s="24"/>
      <c r="KH49" s="24"/>
      <c r="KI49" s="24"/>
      <c r="KJ49" s="24"/>
      <c r="KK49" s="24"/>
      <c r="KL49" s="24"/>
      <c r="KM49" s="24"/>
      <c r="KN49" s="24"/>
      <c r="KO49" s="24"/>
      <c r="KP49" s="24"/>
      <c r="KQ49" s="24"/>
      <c r="KR49" s="24"/>
      <c r="KS49" s="24"/>
      <c r="KT49" s="24"/>
      <c r="KU49" s="24"/>
      <c r="KV49" s="24"/>
      <c r="KW49" s="24"/>
      <c r="KX49" s="24"/>
      <c r="KY49" s="24"/>
      <c r="KZ49" s="24"/>
      <c r="LA49" s="24"/>
      <c r="LB49" s="24"/>
      <c r="LC49" s="24"/>
      <c r="LD49" s="24"/>
      <c r="LE49" s="24"/>
      <c r="LF49" s="24"/>
      <c r="LG49" s="24"/>
      <c r="LH49" s="24"/>
      <c r="LI49" s="24"/>
      <c r="LJ49" s="24"/>
      <c r="LK49" s="24"/>
      <c r="LL49" s="24"/>
      <c r="LM49" s="24"/>
      <c r="LN49" s="24"/>
      <c r="LO49" s="24"/>
      <c r="LP49" s="24"/>
      <c r="LQ49" s="24"/>
      <c r="LR49" s="24"/>
      <c r="LS49" s="24"/>
      <c r="LT49" s="24"/>
      <c r="LU49" s="24"/>
      <c r="LV49" s="24"/>
      <c r="LW49" s="24"/>
      <c r="LX49" s="24"/>
      <c r="LY49" s="24"/>
      <c r="LZ49" s="24"/>
      <c r="MA49" s="24"/>
      <c r="MB49" s="24"/>
      <c r="MC49" s="24"/>
      <c r="MD49" s="24"/>
      <c r="ME49" s="24"/>
      <c r="MF49" s="24"/>
      <c r="MG49" s="24"/>
      <c r="MH49" s="24"/>
      <c r="MI49" s="24"/>
      <c r="MJ49" s="24"/>
      <c r="MK49" s="24"/>
      <c r="ML49" s="24"/>
      <c r="MM49" s="24"/>
      <c r="MN49" s="24"/>
      <c r="MO49" s="24"/>
      <c r="MP49" s="24"/>
      <c r="MQ49" s="24"/>
      <c r="MR49" s="24"/>
      <c r="MS49" s="24"/>
      <c r="MT49" s="24"/>
      <c r="MU49" s="24"/>
      <c r="MV49" s="24"/>
      <c r="MW49" s="24"/>
      <c r="MX49" s="24"/>
      <c r="MY49" s="24"/>
      <c r="MZ49" s="24"/>
      <c r="NA49" s="24"/>
      <c r="NB49" s="24"/>
      <c r="NC49" s="24"/>
      <c r="ND49" s="24"/>
      <c r="NE49" s="24"/>
      <c r="NF49" s="24"/>
      <c r="NG49" s="24"/>
      <c r="NH49" s="24"/>
      <c r="NI49" s="24"/>
      <c r="NJ49" s="24"/>
      <c r="NK49" s="24"/>
      <c r="NL49" s="24"/>
      <c r="NM49" s="24"/>
      <c r="NN49" s="24"/>
      <c r="NO49" s="24"/>
      <c r="NP49" s="24"/>
      <c r="NQ49" s="24"/>
      <c r="NR49" s="24"/>
      <c r="NS49" s="24"/>
      <c r="NT49" s="24"/>
      <c r="NU49" s="24"/>
      <c r="NV49" s="24"/>
      <c r="NW49" s="24"/>
      <c r="NX49" s="24"/>
      <c r="NY49" s="24"/>
      <c r="NZ49" s="24"/>
      <c r="OA49" s="24"/>
      <c r="OB49" s="24"/>
      <c r="OC49" s="24"/>
      <c r="OD49" s="24"/>
      <c r="OE49" s="24"/>
      <c r="OF49" s="24"/>
      <c r="OG49" s="24"/>
      <c r="OH49" s="24"/>
      <c r="OI49" s="24"/>
      <c r="OJ49" s="24"/>
      <c r="OK49" s="24"/>
      <c r="OL49" s="24"/>
      <c r="OM49" s="24"/>
      <c r="ON49" s="24"/>
      <c r="OO49" s="24"/>
      <c r="OP49" s="24"/>
      <c r="OQ49" s="24"/>
      <c r="OR49" s="24"/>
      <c r="OS49" s="24"/>
      <c r="OT49" s="24"/>
      <c r="OU49" s="24"/>
      <c r="OV49" s="24"/>
      <c r="OW49" s="24"/>
      <c r="OX49" s="24"/>
      <c r="OY49" s="24"/>
      <c r="OZ49" s="24"/>
      <c r="PA49" s="24"/>
      <c r="PB49" s="24"/>
      <c r="PC49" s="24"/>
      <c r="PD49" s="24"/>
      <c r="PE49" s="24"/>
      <c r="PF49" s="24"/>
      <c r="PG49" s="24"/>
      <c r="PH49" s="24"/>
      <c r="PI49" s="24"/>
      <c r="PJ49" s="24"/>
      <c r="PK49" s="24"/>
      <c r="PL49" s="24"/>
      <c r="PM49" s="24"/>
      <c r="PN49" s="24"/>
      <c r="PO49" s="24"/>
      <c r="PP49" s="24"/>
      <c r="PQ49" s="24"/>
      <c r="PR49" s="24"/>
      <c r="PS49" s="24"/>
      <c r="PT49" s="24"/>
      <c r="PU49" s="24"/>
      <c r="PV49" s="24"/>
      <c r="PW49" s="24"/>
      <c r="PX49" s="24"/>
      <c r="PY49" s="24"/>
      <c r="PZ49" s="24"/>
      <c r="QA49" s="24"/>
      <c r="QB49" s="24"/>
      <c r="QC49" s="24"/>
      <c r="QD49" s="24"/>
      <c r="QE49" s="24"/>
      <c r="QF49" s="24"/>
      <c r="QG49" s="24"/>
      <c r="QH49" s="24"/>
      <c r="QI49" s="24"/>
      <c r="QJ49" s="24"/>
      <c r="QK49" s="24"/>
      <c r="QL49" s="24"/>
      <c r="QM49" s="24"/>
      <c r="QN49" s="24"/>
      <c r="QO49" s="24"/>
      <c r="QP49" s="24"/>
      <c r="QQ49" s="24"/>
      <c r="QR49" s="24"/>
      <c r="QS49" s="24"/>
      <c r="QT49" s="24"/>
      <c r="QU49" s="24"/>
      <c r="QV49" s="24"/>
      <c r="QW49" s="24"/>
      <c r="QX49" s="24"/>
      <c r="QY49" s="24"/>
      <c r="QZ49" s="24"/>
      <c r="RA49" s="24"/>
      <c r="RB49" s="24"/>
      <c r="RC49" s="24"/>
      <c r="RD49" s="24"/>
      <c r="RE49" s="24"/>
      <c r="RF49" s="24"/>
      <c r="RG49" s="24"/>
      <c r="RH49" s="24"/>
      <c r="RI49" s="24"/>
      <c r="RJ49" s="24"/>
      <c r="RK49" s="24"/>
      <c r="RL49" s="24"/>
      <c r="RM49" s="24"/>
      <c r="RN49" s="24"/>
      <c r="RO49" s="24"/>
      <c r="RP49" s="24"/>
      <c r="RQ49" s="24"/>
      <c r="RR49" s="24"/>
      <c r="RS49" s="24"/>
      <c r="RT49" s="24"/>
      <c r="RU49" s="24"/>
      <c r="RV49" s="24"/>
      <c r="RW49" s="24"/>
      <c r="RX49" s="24"/>
      <c r="RY49" s="24"/>
      <c r="RZ49" s="24"/>
      <c r="SA49" s="24"/>
      <c r="SB49" s="24"/>
      <c r="SC49" s="24"/>
      <c r="SD49" s="24"/>
      <c r="SE49" s="24"/>
      <c r="SF49" s="24"/>
      <c r="SG49" s="24"/>
      <c r="SH49" s="24"/>
      <c r="SI49" s="24"/>
      <c r="SJ49" s="24"/>
      <c r="SK49" s="24"/>
      <c r="SL49" s="24"/>
      <c r="SM49" s="24"/>
      <c r="SN49" s="24"/>
      <c r="SO49" s="24"/>
      <c r="SP49" s="24"/>
      <c r="SQ49" s="24"/>
      <c r="SR49" s="24"/>
      <c r="SS49" s="24"/>
      <c r="ST49" s="24"/>
      <c r="SU49" s="24"/>
      <c r="SV49" s="24"/>
      <c r="SW49" s="24"/>
      <c r="SX49" s="24"/>
      <c r="SY49" s="24"/>
      <c r="SZ49" s="24"/>
      <c r="TA49" s="24"/>
      <c r="TB49" s="24"/>
      <c r="TC49" s="24"/>
      <c r="TD49" s="24"/>
      <c r="TE49" s="24"/>
      <c r="TF49" s="24"/>
      <c r="TG49" s="24"/>
      <c r="TH49" s="24"/>
      <c r="TI49" s="24"/>
      <c r="TJ49" s="24"/>
      <c r="TK49" s="24"/>
      <c r="TL49" s="24"/>
      <c r="TM49" s="24"/>
      <c r="TN49" s="24"/>
      <c r="TO49" s="24"/>
      <c r="TP49" s="24"/>
      <c r="TQ49" s="24"/>
      <c r="TR49" s="24"/>
      <c r="TS49" s="24"/>
      <c r="TT49" s="24"/>
      <c r="TU49" s="24"/>
      <c r="TV49" s="24"/>
      <c r="TW49" s="24"/>
      <c r="TX49" s="24"/>
      <c r="TY49" s="24"/>
      <c r="TZ49" s="24"/>
      <c r="UA49" s="24"/>
      <c r="UB49" s="24"/>
      <c r="UC49" s="24"/>
      <c r="UD49" s="24"/>
      <c r="UE49" s="24"/>
      <c r="UF49" s="24"/>
      <c r="UG49" s="24"/>
      <c r="UH49" s="24"/>
      <c r="UI49" s="24"/>
      <c r="UJ49" s="24"/>
      <c r="UK49" s="24"/>
      <c r="UL49" s="24"/>
      <c r="UM49" s="24"/>
      <c r="UN49" s="24"/>
      <c r="UO49" s="24"/>
      <c r="UP49" s="24"/>
      <c r="UQ49" s="24"/>
      <c r="UR49" s="24"/>
      <c r="US49" s="24"/>
      <c r="UT49" s="24"/>
      <c r="UU49" s="24"/>
      <c r="UV49" s="24"/>
      <c r="UW49" s="24"/>
      <c r="UX49" s="24"/>
      <c r="UY49" s="24"/>
      <c r="UZ49" s="24"/>
      <c r="VA49" s="24"/>
      <c r="VB49" s="24"/>
      <c r="VC49" s="24"/>
      <c r="VD49" s="24"/>
      <c r="VE49" s="24"/>
      <c r="VF49" s="24"/>
      <c r="VG49" s="24"/>
      <c r="VH49" s="24"/>
      <c r="VI49" s="24"/>
      <c r="VJ49" s="24"/>
      <c r="VK49" s="24"/>
      <c r="VL49" s="24"/>
      <c r="VM49" s="24"/>
      <c r="VN49" s="24"/>
      <c r="VO49" s="24"/>
      <c r="VP49" s="24"/>
      <c r="VQ49" s="24"/>
      <c r="VR49" s="24"/>
      <c r="VS49" s="24"/>
      <c r="VT49" s="24"/>
      <c r="VU49" s="24"/>
      <c r="VV49" s="24"/>
      <c r="VW49" s="24"/>
      <c r="VX49" s="24"/>
      <c r="VY49" s="24"/>
      <c r="VZ49" s="24"/>
      <c r="WA49" s="24"/>
      <c r="WB49" s="24"/>
      <c r="WC49" s="24"/>
      <c r="WD49" s="24"/>
      <c r="WE49" s="24"/>
      <c r="WF49" s="24"/>
      <c r="WG49" s="24"/>
      <c r="WH49" s="24"/>
      <c r="WI49" s="24"/>
      <c r="WJ49" s="24"/>
      <c r="WK49" s="24"/>
      <c r="WL49" s="24"/>
      <c r="WM49" s="24"/>
      <c r="WN49" s="24"/>
      <c r="WO49" s="24"/>
      <c r="WP49" s="24"/>
      <c r="WQ49" s="24"/>
      <c r="WR49" s="24"/>
      <c r="WS49" s="24"/>
      <c r="WT49" s="24"/>
      <c r="WU49" s="24"/>
      <c r="WV49" s="24"/>
      <c r="WW49" s="24"/>
      <c r="WX49" s="24"/>
      <c r="WY49" s="24"/>
      <c r="WZ49" s="24"/>
      <c r="XA49" s="24"/>
      <c r="XB49" s="24"/>
      <c r="XC49" s="24"/>
      <c r="XD49" s="24"/>
      <c r="XE49" s="24"/>
      <c r="XF49" s="24"/>
      <c r="XG49" s="24"/>
      <c r="XH49" s="24"/>
      <c r="XI49" s="24"/>
      <c r="XJ49" s="24"/>
      <c r="XK49" s="24"/>
      <c r="XL49" s="24"/>
      <c r="XM49" s="24"/>
      <c r="XN49" s="24"/>
      <c r="XO49" s="24"/>
      <c r="XP49" s="24"/>
      <c r="XQ49" s="24"/>
      <c r="XR49" s="24"/>
      <c r="XS49" s="24"/>
      <c r="XT49" s="24"/>
      <c r="XU49" s="24"/>
      <c r="XV49" s="24"/>
      <c r="XW49" s="24"/>
      <c r="XX49" s="24"/>
      <c r="XY49" s="24"/>
      <c r="XZ49" s="24"/>
      <c r="YA49" s="24"/>
      <c r="YB49" s="24"/>
      <c r="YC49" s="24"/>
      <c r="YD49" s="24"/>
      <c r="YE49" s="24"/>
      <c r="YF49" s="24"/>
      <c r="YG49" s="24"/>
      <c r="YH49" s="24"/>
      <c r="YI49" s="24"/>
      <c r="YJ49" s="24"/>
      <c r="YK49" s="24"/>
      <c r="YL49" s="24"/>
      <c r="YM49" s="24"/>
      <c r="YN49" s="24"/>
      <c r="YO49" s="24"/>
      <c r="YP49" s="24"/>
      <c r="YQ49" s="24"/>
      <c r="YR49" s="24"/>
      <c r="YS49" s="24"/>
      <c r="YT49" s="24"/>
      <c r="YU49" s="24"/>
      <c r="YV49" s="24"/>
      <c r="YW49" s="24"/>
      <c r="YX49" s="24"/>
      <c r="YY49" s="24"/>
      <c r="YZ49" s="24"/>
      <c r="ZA49" s="24"/>
      <c r="ZB49" s="24"/>
      <c r="ZC49" s="24"/>
      <c r="ZD49" s="24"/>
      <c r="ZE49" s="24"/>
      <c r="ZF49" s="24"/>
      <c r="ZG49" s="24"/>
      <c r="ZH49" s="24"/>
      <c r="ZI49" s="24"/>
      <c r="ZJ49" s="24"/>
      <c r="ZK49" s="24"/>
      <c r="ZL49" s="24"/>
      <c r="ZM49" s="24"/>
      <c r="ZN49" s="24"/>
      <c r="ZO49" s="24"/>
      <c r="ZP49" s="24"/>
      <c r="ZQ49" s="24"/>
      <c r="ZR49" s="24"/>
      <c r="ZS49" s="24"/>
      <c r="ZT49" s="24"/>
      <c r="ZU49" s="24"/>
      <c r="ZV49" s="24"/>
      <c r="ZW49" s="24"/>
      <c r="ZX49" s="24"/>
      <c r="ZY49" s="24"/>
      <c r="ZZ49" s="24"/>
      <c r="AAA49" s="24"/>
      <c r="AAB49" s="24"/>
      <c r="AAC49" s="24"/>
      <c r="AAD49" s="24"/>
      <c r="AAE49" s="24"/>
      <c r="AAF49" s="24"/>
      <c r="AAG49" s="24"/>
      <c r="AAH49" s="24"/>
      <c r="AAI49" s="24"/>
      <c r="AAJ49" s="24"/>
      <c r="AAK49" s="24"/>
      <c r="AAL49" s="24"/>
      <c r="AAM49" s="24"/>
      <c r="AAN49" s="24"/>
      <c r="AAO49" s="24"/>
      <c r="AAP49" s="24"/>
      <c r="AAQ49" s="24"/>
      <c r="AAR49" s="24"/>
      <c r="AAS49" s="24"/>
      <c r="AAT49" s="24"/>
      <c r="AAU49" s="24"/>
      <c r="AAV49" s="24"/>
      <c r="AAW49" s="24"/>
      <c r="AAX49" s="24"/>
      <c r="AAY49" s="24"/>
      <c r="AAZ49" s="24"/>
      <c r="ABA49" s="24"/>
      <c r="ABB49" s="24"/>
      <c r="ABC49" s="24"/>
      <c r="ABD49" s="24"/>
      <c r="ABE49" s="24"/>
      <c r="ABF49" s="24"/>
      <c r="ABG49" s="24"/>
      <c r="ABH49" s="24"/>
      <c r="ABI49" s="24"/>
      <c r="ABJ49" s="24"/>
      <c r="ABK49" s="24"/>
      <c r="ABL49" s="24"/>
      <c r="ABM49" s="24"/>
      <c r="ABN49" s="24"/>
      <c r="ABO49" s="24"/>
      <c r="ABP49" s="24"/>
      <c r="ABQ49" s="24"/>
      <c r="ABR49" s="24"/>
      <c r="ABS49" s="24"/>
      <c r="ABT49" s="24"/>
      <c r="ABU49" s="24"/>
      <c r="ABV49" s="24"/>
      <c r="ABW49" s="24"/>
      <c r="ABX49" s="24"/>
      <c r="ABY49" s="24"/>
      <c r="ABZ49" s="24"/>
      <c r="ACA49" s="24"/>
      <c r="ACB49" s="24"/>
      <c r="ACC49" s="24"/>
      <c r="ACD49" s="24"/>
      <c r="ACE49" s="24"/>
      <c r="ACF49" s="24"/>
      <c r="ACG49" s="24"/>
      <c r="ACH49" s="24"/>
      <c r="ACI49" s="24"/>
      <c r="ACJ49" s="24"/>
      <c r="ACK49" s="24"/>
      <c r="ACL49" s="24"/>
      <c r="ACM49" s="24"/>
      <c r="ACN49" s="24"/>
      <c r="ACO49" s="24"/>
      <c r="ACP49" s="24"/>
      <c r="ACQ49" s="24"/>
      <c r="ACR49" s="24"/>
      <c r="ACS49" s="24"/>
      <c r="ACT49" s="24"/>
      <c r="ACU49" s="24"/>
      <c r="ACV49" s="24"/>
      <c r="ACW49" s="24"/>
      <c r="ACX49" s="24"/>
      <c r="ACY49" s="24"/>
      <c r="ACZ49" s="24"/>
      <c r="ADA49" s="24"/>
      <c r="ADB49" s="24"/>
      <c r="ADC49" s="24"/>
      <c r="ADD49" s="24"/>
      <c r="ADE49" s="24"/>
      <c r="ADF49" s="24"/>
      <c r="ADG49" s="24"/>
      <c r="ADH49" s="24"/>
      <c r="ADI49" s="24"/>
      <c r="ADJ49" s="24"/>
      <c r="ADK49" s="24"/>
      <c r="ADL49" s="24"/>
      <c r="ADM49" s="24"/>
      <c r="ADN49" s="24"/>
      <c r="ADO49" s="24"/>
      <c r="ADP49" s="24"/>
      <c r="ADQ49" s="24"/>
      <c r="ADR49" s="24"/>
      <c r="ADS49" s="24"/>
      <c r="ADT49" s="24"/>
      <c r="ADU49" s="24"/>
      <c r="ADV49" s="24"/>
      <c r="ADW49" s="24"/>
      <c r="ADX49" s="24"/>
      <c r="ADY49" s="24"/>
      <c r="ADZ49" s="24"/>
      <c r="AEA49" s="24"/>
      <c r="AEB49" s="24"/>
      <c r="AEC49" s="24"/>
      <c r="AED49" s="24"/>
      <c r="AEE49" s="24"/>
      <c r="AEF49" s="24"/>
      <c r="AEG49" s="24"/>
      <c r="AEH49" s="24"/>
      <c r="AEI49" s="24"/>
      <c r="AEJ49" s="24"/>
      <c r="AEK49" s="24"/>
      <c r="AEL49" s="24"/>
      <c r="AEM49" s="24"/>
      <c r="AEN49" s="24"/>
      <c r="AEO49" s="24"/>
      <c r="AEP49" s="24"/>
      <c r="AEQ49" s="24"/>
      <c r="AER49" s="24"/>
      <c r="AES49" s="24"/>
      <c r="AET49" s="24"/>
      <c r="AEU49" s="24"/>
      <c r="AEV49" s="24"/>
      <c r="AEW49" s="24"/>
      <c r="AEX49" s="24"/>
      <c r="AEY49" s="24"/>
      <c r="AEZ49" s="24"/>
      <c r="AFA49" s="24"/>
      <c r="AFB49" s="24"/>
      <c r="AFC49" s="24"/>
      <c r="AFD49" s="24"/>
      <c r="AFE49" s="24"/>
      <c r="AFF49" s="24"/>
      <c r="AFG49" s="24"/>
      <c r="AFH49" s="24"/>
      <c r="AFI49" s="24"/>
      <c r="AFJ49" s="24"/>
      <c r="AFK49" s="24"/>
      <c r="AFL49" s="24"/>
      <c r="AFM49" s="24"/>
      <c r="AFN49" s="24"/>
      <c r="AFO49" s="24"/>
      <c r="AFP49" s="24"/>
      <c r="AFQ49" s="24"/>
      <c r="AFR49" s="24"/>
      <c r="AFS49" s="24"/>
      <c r="AFT49" s="24"/>
      <c r="AFU49" s="24"/>
      <c r="AFV49" s="24"/>
      <c r="AFW49" s="24"/>
      <c r="AFX49" s="24"/>
      <c r="AFY49" s="24"/>
      <c r="AFZ49" s="24"/>
      <c r="AGA49" s="24"/>
      <c r="AGB49" s="24"/>
      <c r="AGC49" s="24"/>
      <c r="AGD49" s="24"/>
      <c r="AGE49" s="24"/>
      <c r="AGF49" s="24"/>
      <c r="AGG49" s="24"/>
      <c r="AGH49" s="24"/>
      <c r="AGI49" s="24"/>
      <c r="AGJ49" s="24"/>
      <c r="AGK49" s="24"/>
      <c r="AGL49" s="24"/>
      <c r="AGM49" s="24"/>
      <c r="AGN49" s="24"/>
      <c r="AGO49" s="24"/>
      <c r="AGP49" s="24"/>
      <c r="AGQ49" s="24"/>
      <c r="AGR49" s="24"/>
      <c r="AGS49" s="24"/>
      <c r="AGT49" s="24"/>
      <c r="AGU49" s="24"/>
      <c r="AGV49" s="24"/>
      <c r="AGW49" s="24"/>
      <c r="AGX49" s="24"/>
      <c r="AGY49" s="24"/>
      <c r="AGZ49" s="24"/>
      <c r="AHA49" s="24"/>
      <c r="AHB49" s="24"/>
      <c r="AHC49" s="24"/>
      <c r="AHD49" s="24"/>
      <c r="AHE49" s="24"/>
      <c r="AHF49" s="24"/>
      <c r="AHG49" s="24"/>
      <c r="AHH49" s="24"/>
      <c r="AHI49" s="24"/>
      <c r="AHJ49" s="24"/>
      <c r="AHK49" s="24"/>
      <c r="AHL49" s="24"/>
      <c r="AHM49" s="24"/>
      <c r="AHN49" s="24"/>
      <c r="AHO49" s="24"/>
      <c r="AHP49" s="24"/>
      <c r="AHQ49" s="24"/>
      <c r="AHR49" s="24"/>
      <c r="AHS49" s="24"/>
      <c r="AHT49" s="24"/>
      <c r="AHU49" s="24"/>
      <c r="AHV49" s="24"/>
      <c r="AHW49" s="24"/>
      <c r="AHX49" s="24"/>
      <c r="AHY49" s="24"/>
      <c r="AHZ49" s="24"/>
      <c r="AIA49" s="24"/>
      <c r="AIB49" s="24"/>
      <c r="AIC49" s="24"/>
      <c r="AID49" s="24"/>
      <c r="AIE49" s="24"/>
      <c r="AIF49" s="24"/>
      <c r="AIG49" s="24"/>
      <c r="AIH49" s="24"/>
      <c r="AII49" s="24"/>
      <c r="AIJ49" s="24"/>
      <c r="AIK49" s="24"/>
      <c r="AIL49" s="24"/>
      <c r="AIM49" s="24"/>
      <c r="AIN49" s="24"/>
      <c r="AIO49" s="24"/>
      <c r="AIP49" s="24"/>
      <c r="AIQ49" s="24"/>
      <c r="AIR49" s="24"/>
      <c r="AIS49" s="24"/>
      <c r="AIT49" s="24"/>
      <c r="AIU49" s="24"/>
      <c r="AIV49" s="24"/>
      <c r="AIW49" s="24"/>
      <c r="AIX49" s="24"/>
      <c r="AIY49" s="24"/>
      <c r="AIZ49" s="24"/>
      <c r="AJA49" s="24"/>
      <c r="AJB49" s="24"/>
      <c r="AJC49" s="24"/>
      <c r="AJD49" s="24"/>
      <c r="AJE49" s="24"/>
      <c r="AJF49" s="24"/>
      <c r="AJG49" s="24"/>
      <c r="AJH49" s="24"/>
      <c r="AJI49" s="24"/>
      <c r="AJJ49" s="24"/>
      <c r="AJK49" s="24"/>
      <c r="AJL49" s="24"/>
      <c r="AJM49" s="24"/>
      <c r="AJN49" s="24"/>
      <c r="AJO49" s="24"/>
      <c r="AJP49" s="24"/>
      <c r="AJQ49" s="24"/>
      <c r="AJR49" s="24"/>
      <c r="AJS49" s="24"/>
      <c r="AJT49" s="24"/>
      <c r="AJU49" s="24"/>
      <c r="AJV49" s="24"/>
      <c r="AJW49" s="24"/>
      <c r="AJX49" s="24"/>
      <c r="AJY49" s="24"/>
      <c r="AJZ49" s="24"/>
      <c r="AKA49" s="24"/>
      <c r="AKB49" s="24"/>
      <c r="AKC49" s="24"/>
      <c r="AKD49" s="24"/>
      <c r="AKE49" s="24"/>
      <c r="AKF49" s="24"/>
      <c r="AKG49" s="24"/>
      <c r="AKH49" s="24"/>
      <c r="AKI49" s="24"/>
      <c r="AKJ49" s="24"/>
      <c r="AKK49" s="24"/>
      <c r="AKL49" s="24"/>
      <c r="AKM49" s="24"/>
      <c r="AKN49" s="24"/>
      <c r="AKO49" s="24"/>
      <c r="AKP49" s="24"/>
      <c r="AKQ49" s="24"/>
      <c r="AKR49" s="24"/>
      <c r="AKS49" s="24"/>
      <c r="AKT49" s="24"/>
      <c r="AKU49" s="24"/>
      <c r="AKV49" s="24"/>
      <c r="AKW49" s="24"/>
      <c r="AKX49" s="24"/>
      <c r="AKY49" s="24"/>
      <c r="AKZ49" s="24"/>
      <c r="ALA49" s="24"/>
      <c r="ALB49" s="24"/>
      <c r="ALC49" s="24"/>
      <c r="ALD49" s="24"/>
      <c r="ALE49" s="24"/>
      <c r="ALF49" s="24"/>
      <c r="ALG49" s="24"/>
      <c r="ALH49" s="24"/>
      <c r="ALI49" s="24"/>
      <c r="ALJ49" s="24"/>
      <c r="ALK49" s="24"/>
      <c r="ALL49" s="24"/>
      <c r="ALM49" s="24"/>
      <c r="ALN49" s="24"/>
      <c r="ALO49" s="24"/>
      <c r="ALP49" s="24"/>
      <c r="ALQ49" s="24"/>
      <c r="ALR49" s="24"/>
      <c r="ALS49" s="24"/>
      <c r="ALT49" s="24"/>
      <c r="ALU49" s="24"/>
      <c r="ALV49" s="24"/>
      <c r="ALW49" s="24"/>
      <c r="ALX49" s="24"/>
      <c r="ALY49" s="24"/>
      <c r="ALZ49" s="24"/>
      <c r="AMA49" s="24"/>
      <c r="AMB49" s="24"/>
      <c r="AMC49" s="24"/>
      <c r="AMD49" s="24"/>
      <c r="AME49" s="24"/>
      <c r="AMF49" s="24"/>
      <c r="AMG49" s="24"/>
      <c r="AMH49" s="24"/>
      <c r="AMI49" s="24"/>
      <c r="AMJ49" s="24"/>
      <c r="AMK49" s="24"/>
      <c r="AML49" s="24"/>
      <c r="AMM49" s="24"/>
      <c r="AMN49" s="24"/>
      <c r="AMO49" s="24"/>
      <c r="AMP49" s="24"/>
      <c r="AMQ49" s="24"/>
      <c r="AMR49" s="24"/>
      <c r="AMS49" s="24"/>
      <c r="AMT49" s="24"/>
      <c r="AMU49" s="24"/>
      <c r="AMV49" s="24"/>
      <c r="AMW49" s="24"/>
      <c r="AMX49" s="24"/>
      <c r="AMY49" s="24"/>
      <c r="AMZ49" s="24"/>
      <c r="ANA49" s="24"/>
      <c r="ANB49" s="24"/>
      <c r="ANC49" s="24"/>
      <c r="AND49" s="24"/>
      <c r="ANE49" s="24"/>
      <c r="ANF49" s="24"/>
      <c r="ANG49" s="24"/>
      <c r="ANH49" s="24"/>
      <c r="ANI49" s="24"/>
      <c r="ANJ49" s="24"/>
      <c r="ANK49" s="24"/>
      <c r="ANL49" s="24"/>
      <c r="ANM49" s="24"/>
      <c r="ANN49" s="24"/>
      <c r="ANO49" s="24"/>
      <c r="ANP49" s="24"/>
      <c r="ANQ49" s="24"/>
      <c r="ANR49" s="24"/>
      <c r="ANS49" s="24"/>
      <c r="ANT49" s="24"/>
      <c r="ANU49" s="24"/>
      <c r="ANV49" s="24"/>
      <c r="ANW49" s="24"/>
      <c r="ANX49" s="24"/>
      <c r="ANY49" s="24"/>
      <c r="ANZ49" s="24"/>
      <c r="AOA49" s="24"/>
      <c r="AOB49" s="24"/>
      <c r="AOC49" s="24"/>
      <c r="AOD49" s="24"/>
      <c r="AOE49" s="24"/>
      <c r="AOF49" s="24"/>
      <c r="AOG49" s="24"/>
      <c r="AOH49" s="24"/>
      <c r="AOI49" s="24"/>
      <c r="AOJ49" s="24"/>
      <c r="AOK49" s="24"/>
      <c r="AOL49" s="24"/>
      <c r="AOM49" s="24"/>
      <c r="AON49" s="24"/>
      <c r="AOO49" s="24"/>
      <c r="AOP49" s="24"/>
      <c r="AOQ49" s="24"/>
      <c r="AOR49" s="24"/>
      <c r="AOS49" s="24"/>
      <c r="AOT49" s="24"/>
      <c r="AOU49" s="24"/>
      <c r="AOV49" s="24"/>
      <c r="AOW49" s="24"/>
      <c r="AOX49" s="24"/>
      <c r="AOY49" s="24"/>
      <c r="AOZ49" s="24"/>
      <c r="APA49" s="24"/>
      <c r="APB49" s="24"/>
      <c r="APC49" s="24"/>
      <c r="APD49" s="24"/>
      <c r="APE49" s="24"/>
      <c r="APF49" s="24"/>
      <c r="APG49" s="24"/>
      <c r="APH49" s="24"/>
      <c r="API49" s="24"/>
      <c r="APJ49" s="24"/>
      <c r="APK49" s="24"/>
      <c r="APL49" s="24"/>
      <c r="APM49" s="24"/>
      <c r="APN49" s="24"/>
      <c r="APO49" s="24"/>
      <c r="APP49" s="24"/>
      <c r="APQ49" s="24"/>
      <c r="APR49" s="24"/>
      <c r="APS49" s="24"/>
      <c r="APT49" s="24"/>
      <c r="APU49" s="24"/>
      <c r="APV49" s="24"/>
      <c r="APW49" s="24"/>
      <c r="APX49" s="24"/>
      <c r="APY49" s="24"/>
      <c r="APZ49" s="24"/>
      <c r="AQA49" s="24"/>
      <c r="AQB49" s="24"/>
      <c r="AQC49" s="24"/>
      <c r="AQD49" s="24"/>
      <c r="AQE49" s="24"/>
      <c r="AQF49" s="24"/>
      <c r="AQG49" s="24"/>
      <c r="AQH49" s="24"/>
      <c r="AQI49" s="24"/>
      <c r="AQJ49" s="24"/>
      <c r="AQK49" s="24"/>
      <c r="AQL49" s="24"/>
      <c r="AQM49" s="24"/>
      <c r="AQN49" s="24"/>
      <c r="AQO49" s="24"/>
      <c r="AQP49" s="24"/>
      <c r="AQQ49" s="24"/>
      <c r="AQR49" s="24"/>
      <c r="AQS49" s="24"/>
      <c r="AQT49" s="24"/>
      <c r="AQU49" s="24"/>
      <c r="AQV49" s="24"/>
      <c r="AQW49" s="24"/>
      <c r="AQX49" s="24"/>
      <c r="AQY49" s="24"/>
      <c r="AQZ49" s="24"/>
      <c r="ARA49" s="24"/>
      <c r="ARB49" s="24"/>
      <c r="ARC49" s="24"/>
      <c r="ARD49" s="24"/>
      <c r="ARE49" s="24"/>
      <c r="ARF49" s="24"/>
      <c r="ARG49" s="24"/>
      <c r="ARH49" s="24"/>
      <c r="ARI49" s="24"/>
      <c r="ARJ49" s="24"/>
      <c r="ARK49" s="24"/>
      <c r="ARL49" s="24"/>
      <c r="ARM49" s="24"/>
      <c r="ARN49" s="24"/>
      <c r="ARO49" s="24"/>
      <c r="ARP49" s="24"/>
      <c r="ARQ49" s="24"/>
      <c r="ARR49" s="24"/>
      <c r="ARS49" s="24"/>
      <c r="ART49" s="24"/>
      <c r="ARU49" s="24"/>
      <c r="ARV49" s="24"/>
      <c r="ARW49" s="24"/>
      <c r="ARX49" s="24"/>
      <c r="ARY49" s="24"/>
      <c r="ARZ49" s="24"/>
      <c r="ASA49" s="24"/>
      <c r="ASB49" s="24"/>
      <c r="ASC49" s="24"/>
      <c r="ASD49" s="24"/>
      <c r="ASE49" s="24"/>
      <c r="ASF49" s="24"/>
      <c r="ASG49" s="24"/>
      <c r="ASH49" s="24"/>
      <c r="ASI49" s="24"/>
      <c r="ASJ49" s="24"/>
      <c r="ASK49" s="24"/>
      <c r="ASL49" s="24"/>
      <c r="ASM49" s="24"/>
      <c r="ASN49" s="24"/>
      <c r="ASO49" s="24"/>
      <c r="ASP49" s="24"/>
      <c r="ASQ49" s="24"/>
      <c r="ASR49" s="24"/>
      <c r="ASS49" s="24"/>
      <c r="AST49" s="24"/>
      <c r="ASU49" s="24"/>
      <c r="ASV49" s="24"/>
      <c r="ASW49" s="24"/>
      <c r="ASX49" s="24"/>
      <c r="ASY49" s="24"/>
      <c r="ASZ49" s="24"/>
      <c r="ATA49" s="24"/>
      <c r="ATB49" s="24"/>
      <c r="ATC49" s="24"/>
      <c r="ATD49" s="24"/>
      <c r="ATE49" s="24"/>
      <c r="ATF49" s="24"/>
      <c r="ATG49" s="24"/>
      <c r="ATH49" s="24"/>
      <c r="ATI49" s="24"/>
      <c r="ATJ49" s="24"/>
      <c r="ATK49" s="24"/>
      <c r="ATL49" s="24"/>
      <c r="ATM49" s="24"/>
      <c r="ATN49" s="24"/>
      <c r="ATO49" s="24"/>
      <c r="ATP49" s="24"/>
      <c r="ATQ49" s="24"/>
      <c r="ATR49" s="24"/>
      <c r="ATS49" s="24"/>
      <c r="ATT49" s="24"/>
      <c r="ATU49" s="24"/>
      <c r="ATV49" s="24"/>
      <c r="ATW49" s="24"/>
      <c r="ATX49" s="24"/>
      <c r="ATY49" s="24"/>
      <c r="ATZ49" s="24"/>
      <c r="AUA49" s="24"/>
      <c r="AUB49" s="24"/>
      <c r="AUC49" s="24"/>
      <c r="AUD49" s="24"/>
      <c r="AUE49" s="24"/>
      <c r="AUF49" s="24"/>
      <c r="AUG49" s="24"/>
      <c r="AUH49" s="24"/>
      <c r="AUI49" s="24"/>
      <c r="AUJ49" s="24"/>
      <c r="AUK49" s="24"/>
      <c r="AUL49" s="24"/>
      <c r="AUM49" s="24"/>
      <c r="AUN49" s="24"/>
      <c r="AUO49" s="24"/>
      <c r="AUP49" s="24"/>
      <c r="AUQ49" s="24"/>
      <c r="AUR49" s="24"/>
      <c r="AUS49" s="24"/>
      <c r="AUT49" s="24"/>
      <c r="AUU49" s="24"/>
      <c r="AUV49" s="24"/>
      <c r="AUW49" s="24"/>
      <c r="AUX49" s="24"/>
      <c r="AUY49" s="24"/>
      <c r="AUZ49" s="24"/>
      <c r="AVA49" s="24"/>
      <c r="AVB49" s="24"/>
      <c r="AVC49" s="24"/>
      <c r="AVD49" s="24"/>
      <c r="AVE49" s="24"/>
      <c r="AVF49" s="24"/>
      <c r="AVG49" s="24"/>
      <c r="AVH49" s="24"/>
      <c r="AVI49" s="24"/>
      <c r="AVJ49" s="24"/>
      <c r="AVK49" s="24"/>
      <c r="AVL49" s="24"/>
      <c r="AVM49" s="24"/>
      <c r="AVN49" s="24"/>
      <c r="AVO49" s="24"/>
      <c r="AVP49" s="24"/>
      <c r="AVQ49" s="24"/>
      <c r="AVR49" s="24"/>
      <c r="AVS49" s="24"/>
      <c r="AVT49" s="24"/>
      <c r="AVU49" s="24"/>
      <c r="AVV49" s="24"/>
      <c r="AVW49" s="24"/>
      <c r="AVX49" s="24"/>
      <c r="AVY49" s="24"/>
      <c r="AVZ49" s="24"/>
      <c r="AWA49" s="24"/>
      <c r="AWB49" s="24"/>
      <c r="AWC49" s="24"/>
      <c r="AWD49" s="24"/>
      <c r="AWE49" s="24"/>
      <c r="AWF49" s="24"/>
      <c r="AWG49" s="24"/>
      <c r="AWH49" s="24"/>
      <c r="AWI49" s="24"/>
      <c r="AWJ49" s="24"/>
      <c r="AWK49" s="24"/>
      <c r="AWL49" s="24"/>
      <c r="AWM49" s="24"/>
      <c r="AWN49" s="24"/>
      <c r="AWO49" s="24"/>
      <c r="AWP49" s="24"/>
      <c r="AWQ49" s="24"/>
      <c r="AWR49" s="24"/>
      <c r="AWS49" s="24"/>
      <c r="AWT49" s="24"/>
      <c r="AWU49" s="24"/>
      <c r="AWV49" s="24"/>
      <c r="AWW49" s="24"/>
      <c r="AWX49" s="24"/>
      <c r="AWY49" s="24"/>
      <c r="AWZ49" s="24"/>
      <c r="AXA49" s="24"/>
      <c r="AXB49" s="24"/>
      <c r="AXC49" s="24"/>
      <c r="AXD49" s="24"/>
      <c r="AXE49" s="24"/>
      <c r="AXF49" s="24"/>
      <c r="AXG49" s="24"/>
      <c r="AXH49" s="24"/>
      <c r="AXI49" s="24"/>
      <c r="AXJ49" s="24"/>
      <c r="AXK49" s="24"/>
      <c r="AXL49" s="24"/>
      <c r="AXM49" s="24"/>
      <c r="AXN49" s="24"/>
      <c r="AXO49" s="24"/>
      <c r="AXP49" s="24"/>
      <c r="AXQ49" s="24"/>
      <c r="AXR49" s="24"/>
      <c r="AXS49" s="24"/>
      <c r="AXT49" s="24"/>
      <c r="AXU49" s="24"/>
      <c r="AXV49" s="24"/>
      <c r="AXW49" s="24"/>
      <c r="AXX49" s="24"/>
      <c r="AXY49" s="24"/>
      <c r="AXZ49" s="24"/>
      <c r="AYA49" s="24"/>
      <c r="AYB49" s="24"/>
      <c r="AYC49" s="24"/>
      <c r="AYD49" s="24"/>
      <c r="AYE49" s="24"/>
      <c r="AYF49" s="24"/>
      <c r="AYG49" s="24"/>
      <c r="AYH49" s="24"/>
      <c r="AYI49" s="24"/>
      <c r="AYJ49" s="24"/>
      <c r="AYK49" s="24"/>
      <c r="AYL49" s="24"/>
      <c r="AYM49" s="24"/>
      <c r="AYN49" s="24"/>
      <c r="AYO49" s="24"/>
      <c r="AYP49" s="24"/>
      <c r="AYQ49" s="24"/>
      <c r="AYR49" s="24"/>
      <c r="AYS49" s="24"/>
      <c r="AYT49" s="24"/>
      <c r="AYU49" s="24"/>
      <c r="AYV49" s="24"/>
      <c r="AYW49" s="24"/>
      <c r="AYX49" s="24"/>
      <c r="AYY49" s="24"/>
      <c r="AYZ49" s="24"/>
      <c r="AZA49" s="24"/>
      <c r="AZB49" s="24"/>
      <c r="AZC49" s="24"/>
      <c r="AZD49" s="24"/>
      <c r="AZE49" s="24"/>
      <c r="AZF49" s="24"/>
      <c r="AZG49" s="24"/>
      <c r="AZH49" s="24"/>
      <c r="AZI49" s="24"/>
      <c r="AZJ49" s="24"/>
      <c r="AZK49" s="24"/>
      <c r="AZL49" s="24"/>
      <c r="AZM49" s="24"/>
      <c r="AZN49" s="24"/>
      <c r="AZO49" s="24"/>
      <c r="AZP49" s="24"/>
      <c r="AZQ49" s="24"/>
      <c r="AZR49" s="24"/>
      <c r="AZS49" s="24"/>
      <c r="AZT49" s="24"/>
      <c r="AZU49" s="24"/>
      <c r="AZV49" s="24"/>
      <c r="AZW49" s="24"/>
      <c r="AZX49" s="24"/>
      <c r="AZY49" s="24"/>
      <c r="AZZ49" s="24"/>
      <c r="BAA49" s="24"/>
      <c r="BAB49" s="24"/>
      <c r="BAC49" s="24"/>
      <c r="BAD49" s="24"/>
      <c r="BAE49" s="24"/>
      <c r="BAF49" s="24"/>
      <c r="BAG49" s="24"/>
      <c r="BAH49" s="24"/>
      <c r="BAI49" s="24"/>
      <c r="BAJ49" s="24"/>
      <c r="BAK49" s="24"/>
      <c r="BAL49" s="24"/>
      <c r="BAM49" s="24"/>
      <c r="BAN49" s="24"/>
      <c r="BAO49" s="24"/>
      <c r="BAP49" s="24"/>
      <c r="BAQ49" s="24"/>
      <c r="BAR49" s="24"/>
      <c r="BAS49" s="24"/>
      <c r="BAT49" s="24"/>
      <c r="BAU49" s="24"/>
      <c r="BAV49" s="24"/>
      <c r="BAW49" s="24"/>
      <c r="BAX49" s="24"/>
      <c r="BAY49" s="24"/>
      <c r="BAZ49" s="24"/>
      <c r="BBA49" s="24"/>
      <c r="BBB49" s="24"/>
      <c r="BBC49" s="24"/>
      <c r="BBD49" s="24"/>
      <c r="BBE49" s="24"/>
      <c r="BBF49" s="24"/>
      <c r="BBG49" s="24"/>
      <c r="BBH49" s="24"/>
      <c r="BBI49" s="24"/>
      <c r="BBJ49" s="24"/>
      <c r="BBK49" s="24"/>
      <c r="BBL49" s="24"/>
      <c r="BBM49" s="24"/>
      <c r="BBN49" s="24"/>
      <c r="BBO49" s="24"/>
      <c r="BBP49" s="24"/>
      <c r="BBQ49" s="24"/>
      <c r="BBR49" s="24"/>
      <c r="BBS49" s="24"/>
      <c r="BBT49" s="24"/>
      <c r="BBU49" s="24"/>
      <c r="BBV49" s="24"/>
      <c r="BBW49" s="24"/>
      <c r="BBX49" s="24"/>
      <c r="BBY49" s="24"/>
      <c r="BBZ49" s="24"/>
      <c r="BCA49" s="24"/>
      <c r="BCB49" s="24"/>
      <c r="BCC49" s="24"/>
      <c r="BCD49" s="24"/>
      <c r="BCE49" s="24"/>
      <c r="BCF49" s="24"/>
      <c r="BCG49" s="24"/>
      <c r="BCH49" s="24"/>
      <c r="BCI49" s="24"/>
      <c r="BCJ49" s="24"/>
      <c r="BCK49" s="24"/>
      <c r="BCL49" s="24"/>
      <c r="BCM49" s="24"/>
      <c r="BCN49" s="24"/>
      <c r="BCO49" s="24"/>
      <c r="BCP49" s="24"/>
      <c r="BCQ49" s="24"/>
      <c r="BCR49" s="24"/>
      <c r="BCS49" s="24"/>
      <c r="BCT49" s="24"/>
      <c r="BCU49" s="24"/>
      <c r="BCV49" s="24"/>
      <c r="BCW49" s="24"/>
      <c r="BCX49" s="24"/>
      <c r="BCY49" s="24"/>
      <c r="BCZ49" s="24"/>
      <c r="BDA49" s="24"/>
      <c r="BDB49" s="24"/>
      <c r="BDC49" s="24"/>
      <c r="BDD49" s="24"/>
      <c r="BDE49" s="24"/>
      <c r="BDF49" s="24"/>
      <c r="BDG49" s="24"/>
      <c r="BDH49" s="24"/>
      <c r="BDI49" s="24"/>
      <c r="BDJ49" s="24"/>
      <c r="BDK49" s="24"/>
      <c r="BDL49" s="24"/>
      <c r="BDM49" s="24"/>
      <c r="BDN49" s="24"/>
      <c r="BDO49" s="24"/>
      <c r="BDP49" s="24"/>
      <c r="BDQ49" s="24"/>
      <c r="BDR49" s="24"/>
      <c r="BDS49" s="24"/>
      <c r="BDT49" s="24"/>
      <c r="BDU49" s="24"/>
      <c r="BDV49" s="24"/>
      <c r="BDW49" s="24"/>
      <c r="BDX49" s="24"/>
      <c r="BDY49" s="24"/>
      <c r="BDZ49" s="24"/>
      <c r="BEA49" s="24"/>
      <c r="BEB49" s="24"/>
      <c r="BEC49" s="24"/>
      <c r="BED49" s="24"/>
      <c r="BEE49" s="24"/>
      <c r="BEF49" s="24"/>
      <c r="BEG49" s="24"/>
      <c r="BEH49" s="24"/>
      <c r="BEI49" s="24"/>
      <c r="BEJ49" s="24"/>
      <c r="BEK49" s="24"/>
      <c r="BEL49" s="24"/>
      <c r="BEM49" s="24"/>
      <c r="BEN49" s="24"/>
      <c r="BEO49" s="24"/>
      <c r="BEP49" s="24"/>
      <c r="BEQ49" s="24"/>
      <c r="BER49" s="24"/>
      <c r="BES49" s="24"/>
      <c r="BET49" s="24"/>
      <c r="BEU49" s="24"/>
      <c r="BEV49" s="24"/>
      <c r="BEW49" s="24"/>
      <c r="BEX49" s="24"/>
      <c r="BEY49" s="24"/>
      <c r="BEZ49" s="24"/>
      <c r="BFA49" s="24"/>
      <c r="BFB49" s="24"/>
      <c r="BFC49" s="24"/>
      <c r="BFD49" s="24"/>
      <c r="BFE49" s="24"/>
      <c r="BFF49" s="24"/>
      <c r="BFG49" s="24"/>
      <c r="BFH49" s="24"/>
      <c r="BFI49" s="24"/>
      <c r="BFJ49" s="24"/>
      <c r="BFK49" s="24"/>
      <c r="BFL49" s="24"/>
      <c r="BFM49" s="24"/>
      <c r="BFN49" s="24"/>
      <c r="BFO49" s="24"/>
      <c r="BFP49" s="24"/>
      <c r="BFQ49" s="24"/>
      <c r="BFR49" s="24"/>
      <c r="BFS49" s="24"/>
      <c r="BFT49" s="24"/>
      <c r="BFU49" s="24"/>
      <c r="BFV49" s="24"/>
      <c r="BFW49" s="24"/>
      <c r="BFX49" s="24"/>
      <c r="BFY49" s="24"/>
      <c r="BFZ49" s="24"/>
      <c r="BGA49" s="24"/>
      <c r="BGB49" s="24"/>
      <c r="BGC49" s="24"/>
      <c r="BGD49" s="24"/>
      <c r="BGE49" s="24"/>
      <c r="BGF49" s="24"/>
      <c r="BGG49" s="24"/>
      <c r="BGH49" s="24"/>
      <c r="BGI49" s="24"/>
      <c r="BGJ49" s="24"/>
      <c r="BGK49" s="24"/>
      <c r="BGL49" s="24"/>
      <c r="BGM49" s="24"/>
      <c r="BGN49" s="24"/>
      <c r="BGO49" s="24"/>
      <c r="BGP49" s="24"/>
      <c r="BGQ49" s="24"/>
      <c r="BGR49" s="24"/>
      <c r="BGS49" s="24"/>
      <c r="BGT49" s="24"/>
      <c r="BGU49" s="24"/>
      <c r="BGV49" s="24"/>
      <c r="BGW49" s="24"/>
      <c r="BGX49" s="24"/>
      <c r="BGY49" s="24"/>
      <c r="BGZ49" s="24"/>
      <c r="BHA49" s="24"/>
      <c r="BHB49" s="24"/>
      <c r="BHC49" s="24"/>
      <c r="BHD49" s="24"/>
      <c r="BHE49" s="24"/>
      <c r="BHF49" s="24"/>
      <c r="BHG49" s="24"/>
      <c r="BHH49" s="24"/>
      <c r="BHI49" s="24"/>
      <c r="BHJ49" s="24"/>
      <c r="BHK49" s="24"/>
      <c r="BHL49" s="24"/>
      <c r="BHM49" s="24"/>
      <c r="BHN49" s="24"/>
      <c r="BHO49" s="24"/>
      <c r="BHP49" s="24"/>
      <c r="BHQ49" s="24"/>
      <c r="BHR49" s="24"/>
      <c r="BHS49" s="24"/>
      <c r="BHT49" s="24"/>
      <c r="BHU49" s="24"/>
      <c r="BHV49" s="24"/>
      <c r="BHW49" s="24"/>
      <c r="BHX49" s="24"/>
      <c r="BHY49" s="24"/>
      <c r="BHZ49" s="24"/>
      <c r="BIA49" s="24"/>
      <c r="BIB49" s="24"/>
      <c r="BIC49" s="24"/>
      <c r="BID49" s="24"/>
      <c r="BIE49" s="24"/>
      <c r="BIF49" s="24"/>
      <c r="BIG49" s="24"/>
      <c r="BIH49" s="24"/>
      <c r="BII49" s="24"/>
      <c r="BIJ49" s="24"/>
      <c r="BIK49" s="24"/>
      <c r="BIL49" s="24"/>
      <c r="BIM49" s="24"/>
      <c r="BIN49" s="24"/>
      <c r="BIO49" s="24"/>
      <c r="BIP49" s="24"/>
      <c r="BIQ49" s="24"/>
      <c r="BIR49" s="24"/>
      <c r="BIS49" s="24"/>
      <c r="BIT49" s="24"/>
      <c r="BIU49" s="24"/>
      <c r="BIV49" s="24"/>
      <c r="BIW49" s="24"/>
      <c r="BIX49" s="24"/>
      <c r="BIY49" s="24"/>
      <c r="BIZ49" s="24"/>
      <c r="BJA49" s="24"/>
      <c r="BJB49" s="24"/>
      <c r="BJC49" s="24"/>
      <c r="BJD49" s="24"/>
      <c r="BJE49" s="24"/>
      <c r="BJF49" s="24"/>
      <c r="BJG49" s="24"/>
      <c r="BJH49" s="24"/>
      <c r="BJI49" s="24"/>
      <c r="BJJ49" s="24"/>
      <c r="BJK49" s="24"/>
      <c r="BJL49" s="24"/>
      <c r="BJM49" s="24"/>
      <c r="BJN49" s="24"/>
      <c r="BJO49" s="24"/>
      <c r="BJP49" s="24"/>
      <c r="BJQ49" s="24"/>
      <c r="BJR49" s="24"/>
      <c r="BJS49" s="24"/>
      <c r="BJT49" s="24"/>
      <c r="BJU49" s="24"/>
      <c r="BJV49" s="24"/>
      <c r="BJW49" s="24"/>
      <c r="BJX49" s="24"/>
      <c r="BJY49" s="24"/>
      <c r="BJZ49" s="24"/>
      <c r="BKA49" s="24"/>
      <c r="BKB49" s="24"/>
      <c r="BKC49" s="24"/>
      <c r="BKD49" s="24"/>
      <c r="BKE49" s="24"/>
      <c r="BKF49" s="24"/>
      <c r="BKG49" s="24"/>
      <c r="BKH49" s="24"/>
      <c r="BKI49" s="24"/>
      <c r="BKJ49" s="24"/>
      <c r="BKK49" s="24"/>
      <c r="BKL49" s="24"/>
      <c r="BKM49" s="24"/>
      <c r="BKN49" s="24"/>
      <c r="BKO49" s="24"/>
      <c r="BKP49" s="24"/>
      <c r="BKQ49" s="24"/>
      <c r="BKR49" s="24"/>
      <c r="BKS49" s="24"/>
      <c r="BKT49" s="24"/>
      <c r="BKU49" s="24"/>
      <c r="BKV49" s="24"/>
      <c r="BKW49" s="24"/>
      <c r="BKX49" s="24"/>
      <c r="BKY49" s="24"/>
      <c r="BKZ49" s="24"/>
      <c r="BLA49" s="24"/>
      <c r="BLB49" s="24"/>
      <c r="BLC49" s="24"/>
      <c r="BLD49" s="24"/>
      <c r="BLE49" s="24"/>
      <c r="BLF49" s="24"/>
      <c r="BLG49" s="24"/>
      <c r="BLH49" s="24"/>
      <c r="BLI49" s="24"/>
      <c r="BLJ49" s="24"/>
      <c r="BLK49" s="24"/>
      <c r="BLL49" s="24"/>
      <c r="BLM49" s="24"/>
      <c r="BLN49" s="24"/>
      <c r="BLO49" s="24"/>
      <c r="BLP49" s="24"/>
      <c r="BLQ49" s="24"/>
      <c r="BLR49" s="24"/>
      <c r="BLS49" s="24"/>
      <c r="BLT49" s="24"/>
      <c r="BLU49" s="24"/>
      <c r="BLV49" s="24"/>
      <c r="BLW49" s="24"/>
      <c r="BLX49" s="24"/>
      <c r="BLY49" s="24"/>
      <c r="BLZ49" s="24"/>
      <c r="BMA49" s="24"/>
      <c r="BMB49" s="24"/>
      <c r="BMC49" s="24"/>
      <c r="BMD49" s="24"/>
      <c r="BME49" s="24"/>
      <c r="BMF49" s="24"/>
      <c r="BMG49" s="24"/>
      <c r="BMH49" s="24"/>
      <c r="BMI49" s="24"/>
      <c r="BMJ49" s="24"/>
      <c r="BMK49" s="24"/>
      <c r="BML49" s="24"/>
      <c r="BMM49" s="24"/>
      <c r="BMN49" s="24"/>
      <c r="BMO49" s="24"/>
      <c r="BMP49" s="24"/>
      <c r="BMQ49" s="24"/>
      <c r="BMR49" s="24"/>
      <c r="BMS49" s="24"/>
      <c r="BMT49" s="24"/>
      <c r="BMU49" s="24"/>
      <c r="BMV49" s="24"/>
      <c r="BMW49" s="24"/>
      <c r="BMX49" s="24"/>
      <c r="BMY49" s="24"/>
      <c r="BMZ49" s="24"/>
      <c r="BNA49" s="24"/>
      <c r="BNB49" s="24"/>
      <c r="BNC49" s="24"/>
      <c r="BND49" s="24"/>
      <c r="BNE49" s="24"/>
      <c r="BNF49" s="24"/>
      <c r="BNG49" s="24"/>
      <c r="BNH49" s="24"/>
      <c r="BNI49" s="24"/>
      <c r="BNJ49" s="24"/>
      <c r="BNK49" s="24"/>
      <c r="BNL49" s="24"/>
      <c r="BNM49" s="24"/>
      <c r="BNN49" s="24"/>
      <c r="BNO49" s="24"/>
      <c r="BNP49" s="24"/>
      <c r="BNQ49" s="24"/>
      <c r="BNR49" s="24"/>
      <c r="BNS49" s="24"/>
      <c r="BNT49" s="24"/>
      <c r="BNU49" s="24"/>
      <c r="BNV49" s="24"/>
      <c r="BNW49" s="24"/>
      <c r="BNX49" s="24"/>
      <c r="BNY49" s="24"/>
      <c r="BNZ49" s="24"/>
      <c r="BOA49" s="24"/>
      <c r="BOB49" s="24"/>
      <c r="BOC49" s="24"/>
      <c r="BOD49" s="24"/>
      <c r="BOE49" s="24"/>
      <c r="BOF49" s="24"/>
      <c r="BOG49" s="24"/>
      <c r="BOH49" s="24"/>
      <c r="BOI49" s="24"/>
      <c r="BOJ49" s="24"/>
      <c r="BOK49" s="24"/>
      <c r="BOL49" s="24"/>
      <c r="BOM49" s="24"/>
      <c r="BON49" s="24"/>
      <c r="BOO49" s="24"/>
      <c r="BOP49" s="24"/>
      <c r="BOQ49" s="24"/>
      <c r="BOR49" s="24"/>
      <c r="BOS49" s="24"/>
      <c r="BOT49" s="24"/>
      <c r="BOU49" s="24"/>
      <c r="BOV49" s="24"/>
      <c r="BOW49" s="24"/>
      <c r="BOX49" s="24"/>
      <c r="BOY49" s="24"/>
      <c r="BOZ49" s="24"/>
      <c r="BPA49" s="24"/>
      <c r="BPB49" s="24"/>
      <c r="BPC49" s="24"/>
      <c r="BPD49" s="24"/>
      <c r="BPE49" s="24"/>
      <c r="BPF49" s="24"/>
      <c r="BPG49" s="24"/>
      <c r="BPH49" s="24"/>
      <c r="BPI49" s="24"/>
      <c r="BPJ49" s="24"/>
      <c r="BPK49" s="24"/>
      <c r="BPL49" s="24"/>
      <c r="BPM49" s="24"/>
      <c r="BPN49" s="24"/>
      <c r="BPO49" s="24"/>
      <c r="BPP49" s="24"/>
      <c r="BPQ49" s="24"/>
      <c r="BPR49" s="24"/>
      <c r="BPS49" s="24"/>
      <c r="BPT49" s="24"/>
      <c r="BPU49" s="24"/>
      <c r="BPV49" s="24"/>
      <c r="BPW49" s="24"/>
      <c r="BPX49" s="24"/>
      <c r="BPY49" s="24"/>
      <c r="BPZ49" s="24"/>
      <c r="BQA49" s="24"/>
      <c r="BQB49" s="24"/>
      <c r="BQC49" s="24"/>
      <c r="BQD49" s="24"/>
      <c r="BQE49" s="24"/>
      <c r="BQF49" s="24"/>
      <c r="BQG49" s="24"/>
      <c r="BQH49" s="24"/>
      <c r="BQI49" s="24"/>
      <c r="BQJ49" s="24"/>
      <c r="BQK49" s="24"/>
      <c r="BQL49" s="24"/>
      <c r="BQM49" s="24"/>
      <c r="BQN49" s="24"/>
      <c r="BQO49" s="24"/>
      <c r="BQP49" s="24"/>
      <c r="BQQ49" s="24"/>
      <c r="BQR49" s="24"/>
      <c r="BQS49" s="24"/>
      <c r="BQT49" s="24"/>
      <c r="BQU49" s="24"/>
      <c r="BQV49" s="24"/>
      <c r="BQW49" s="24"/>
      <c r="BQX49" s="24"/>
      <c r="BQY49" s="24"/>
      <c r="BQZ49" s="24"/>
      <c r="BRA49" s="24"/>
      <c r="BRB49" s="24"/>
      <c r="BRC49" s="24"/>
      <c r="BRD49" s="24"/>
      <c r="BRE49" s="24"/>
      <c r="BRF49" s="24"/>
      <c r="BRG49" s="24"/>
      <c r="BRH49" s="24"/>
      <c r="BRI49" s="24"/>
      <c r="BRJ49" s="24"/>
      <c r="BRK49" s="24"/>
      <c r="BRL49" s="24"/>
      <c r="BRM49" s="24"/>
      <c r="BRN49" s="24"/>
      <c r="BRO49" s="24"/>
      <c r="BRP49" s="24"/>
      <c r="BRQ49" s="24"/>
      <c r="BRR49" s="24"/>
      <c r="BRS49" s="24"/>
      <c r="BRT49" s="24"/>
      <c r="BRU49" s="24"/>
      <c r="BRV49" s="24"/>
      <c r="BRW49" s="24"/>
      <c r="BRX49" s="24"/>
      <c r="BRY49" s="24"/>
      <c r="BRZ49" s="24"/>
      <c r="BSA49" s="24"/>
      <c r="BSB49" s="24"/>
      <c r="BSC49" s="24"/>
      <c r="BSD49" s="24"/>
      <c r="BSE49" s="24"/>
      <c r="BSF49" s="24"/>
      <c r="BSG49" s="24"/>
      <c r="BSH49" s="24"/>
      <c r="BSI49" s="24"/>
      <c r="BSJ49" s="24"/>
      <c r="BSK49" s="24"/>
      <c r="BSL49" s="24"/>
      <c r="BSM49" s="24"/>
      <c r="BSN49" s="24"/>
      <c r="BSO49" s="24"/>
      <c r="BSP49" s="24"/>
      <c r="BSQ49" s="24"/>
      <c r="BSR49" s="24"/>
      <c r="BSS49" s="24"/>
      <c r="BST49" s="24"/>
      <c r="BSU49" s="24"/>
      <c r="BSV49" s="24"/>
      <c r="BSW49" s="24"/>
      <c r="BSX49" s="24"/>
      <c r="BSY49" s="24"/>
      <c r="BSZ49" s="24"/>
      <c r="BTA49" s="24"/>
      <c r="BTB49" s="24"/>
      <c r="BTC49" s="24"/>
      <c r="BTD49" s="24"/>
      <c r="BTE49" s="24"/>
      <c r="BTF49" s="24"/>
      <c r="BTG49" s="24"/>
      <c r="BTH49" s="24"/>
      <c r="BTI49" s="24"/>
      <c r="BTJ49" s="24"/>
      <c r="BTK49" s="24"/>
      <c r="BTL49" s="24"/>
      <c r="BTM49" s="24"/>
      <c r="BTN49" s="24"/>
      <c r="BTO49" s="24"/>
      <c r="BTP49" s="24"/>
      <c r="BTQ49" s="24"/>
      <c r="BTR49" s="24"/>
      <c r="BTS49" s="24"/>
      <c r="BTT49" s="24"/>
      <c r="BTU49" s="24"/>
      <c r="BTV49" s="24"/>
      <c r="BTW49" s="24"/>
      <c r="BTX49" s="24"/>
      <c r="BTY49" s="24"/>
      <c r="BTZ49" s="24"/>
      <c r="BUA49" s="24"/>
      <c r="BUB49" s="24"/>
      <c r="BUC49" s="24"/>
      <c r="BUD49" s="24"/>
      <c r="BUE49" s="24"/>
      <c r="BUF49" s="24"/>
      <c r="BUG49" s="24"/>
      <c r="BUH49" s="24"/>
      <c r="BUI49" s="24"/>
      <c r="BUJ49" s="24"/>
      <c r="BUK49" s="24"/>
      <c r="BUL49" s="24"/>
      <c r="BUM49" s="24"/>
      <c r="BUN49" s="24"/>
      <c r="BUO49" s="24"/>
      <c r="BUP49" s="24"/>
      <c r="BUQ49" s="24"/>
      <c r="BUR49" s="24"/>
      <c r="BUS49" s="24"/>
      <c r="BUT49" s="24"/>
      <c r="BUU49" s="24"/>
      <c r="BUV49" s="24"/>
      <c r="BUW49" s="24"/>
      <c r="BUX49" s="24"/>
      <c r="BUY49" s="24"/>
      <c r="BUZ49" s="24"/>
      <c r="BVA49" s="24"/>
      <c r="BVB49" s="24"/>
      <c r="BVC49" s="24"/>
      <c r="BVD49" s="24"/>
      <c r="BVE49" s="24"/>
      <c r="BVF49" s="24"/>
      <c r="BVG49" s="24"/>
      <c r="BVH49" s="24"/>
      <c r="BVI49" s="24"/>
      <c r="BVJ49" s="24"/>
      <c r="BVK49" s="24"/>
      <c r="BVL49" s="24"/>
      <c r="BVM49" s="24"/>
      <c r="BVN49" s="24"/>
      <c r="BVO49" s="24"/>
      <c r="BVP49" s="24"/>
      <c r="BVQ49" s="24"/>
      <c r="BVR49" s="24"/>
      <c r="BVS49" s="24"/>
      <c r="BVT49" s="24"/>
      <c r="BVU49" s="24"/>
      <c r="BVV49" s="24"/>
      <c r="BVW49" s="24"/>
      <c r="BVX49" s="24"/>
      <c r="BVY49" s="24"/>
      <c r="BVZ49" s="24"/>
      <c r="BWA49" s="24"/>
      <c r="BWB49" s="24"/>
      <c r="BWC49" s="24"/>
      <c r="BWD49" s="24"/>
      <c r="BWE49" s="24"/>
      <c r="BWF49" s="24"/>
      <c r="BWG49" s="24"/>
      <c r="BWH49" s="24"/>
      <c r="BWI49" s="24"/>
      <c r="BWJ49" s="24"/>
      <c r="BWK49" s="24"/>
      <c r="BWL49" s="24"/>
      <c r="BWM49" s="24"/>
      <c r="BWN49" s="24"/>
      <c r="BWO49" s="24"/>
      <c r="BWP49" s="24"/>
      <c r="BWQ49" s="24"/>
      <c r="BWR49" s="24"/>
      <c r="BWS49" s="24"/>
      <c r="BWT49" s="24"/>
      <c r="BWU49" s="24"/>
      <c r="BWV49" s="24"/>
      <c r="BWW49" s="24"/>
      <c r="BWX49" s="24"/>
      <c r="BWY49" s="24"/>
      <c r="BWZ49" s="24"/>
      <c r="BXA49" s="24"/>
      <c r="BXB49" s="24"/>
      <c r="BXC49" s="24"/>
      <c r="BXD49" s="24"/>
      <c r="BXE49" s="24"/>
      <c r="BXF49" s="24"/>
      <c r="BXG49" s="24"/>
      <c r="BXH49" s="24"/>
      <c r="BXI49" s="24"/>
      <c r="BXJ49" s="24"/>
      <c r="BXK49" s="24"/>
      <c r="BXL49" s="24"/>
      <c r="BXM49" s="24"/>
      <c r="BXN49" s="24"/>
      <c r="BXO49" s="24"/>
      <c r="BXP49" s="24"/>
      <c r="BXQ49" s="24"/>
      <c r="BXR49" s="24"/>
      <c r="BXS49" s="24"/>
      <c r="BXT49" s="24"/>
      <c r="BXU49" s="24"/>
      <c r="BXV49" s="24"/>
      <c r="BXW49" s="24"/>
      <c r="BXX49" s="24"/>
      <c r="BXY49" s="24"/>
      <c r="BXZ49" s="24"/>
      <c r="BYA49" s="24"/>
      <c r="BYB49" s="24"/>
      <c r="BYC49" s="24"/>
      <c r="BYD49" s="24"/>
      <c r="BYE49" s="24"/>
      <c r="BYF49" s="24"/>
      <c r="BYG49" s="24"/>
      <c r="BYH49" s="24"/>
      <c r="BYI49" s="24"/>
      <c r="BYJ49" s="24"/>
      <c r="BYK49" s="24"/>
      <c r="BYL49" s="24"/>
      <c r="BYM49" s="24"/>
      <c r="BYN49" s="24"/>
      <c r="BYO49" s="24"/>
      <c r="BYP49" s="24"/>
      <c r="BYQ49" s="24"/>
      <c r="BYR49" s="24"/>
      <c r="BYS49" s="24"/>
      <c r="BYT49" s="24"/>
      <c r="BYU49" s="24"/>
      <c r="BYV49" s="24"/>
      <c r="BYW49" s="24"/>
      <c r="BYX49" s="24"/>
      <c r="BYY49" s="24"/>
      <c r="BYZ49" s="24"/>
      <c r="BZA49" s="24"/>
      <c r="BZB49" s="24"/>
      <c r="BZC49" s="24"/>
      <c r="BZD49" s="24"/>
      <c r="BZE49" s="24"/>
      <c r="BZF49" s="24"/>
      <c r="BZG49" s="24"/>
      <c r="BZH49" s="24"/>
      <c r="BZI49" s="24"/>
      <c r="BZJ49" s="24"/>
      <c r="BZK49" s="24"/>
      <c r="BZL49" s="24"/>
      <c r="BZM49" s="24"/>
      <c r="BZN49" s="24"/>
      <c r="BZO49" s="24"/>
      <c r="BZP49" s="24"/>
      <c r="BZQ49" s="24"/>
      <c r="BZR49" s="24"/>
      <c r="BZS49" s="24"/>
      <c r="BZT49" s="24"/>
      <c r="BZU49" s="24"/>
      <c r="BZV49" s="24"/>
      <c r="BZW49" s="24"/>
      <c r="BZX49" s="24"/>
      <c r="BZY49" s="24"/>
      <c r="BZZ49" s="24"/>
      <c r="CAA49" s="24"/>
      <c r="CAB49" s="24"/>
      <c r="CAC49" s="24"/>
      <c r="CAD49" s="24"/>
      <c r="CAE49" s="24"/>
      <c r="CAF49" s="24"/>
      <c r="CAG49" s="24"/>
      <c r="CAH49" s="24"/>
      <c r="CAI49" s="24"/>
      <c r="CAJ49" s="24"/>
      <c r="CAK49" s="24"/>
      <c r="CAL49" s="24"/>
      <c r="CAM49" s="24"/>
      <c r="CAN49" s="24"/>
      <c r="CAO49" s="24"/>
      <c r="CAP49" s="24"/>
      <c r="CAQ49" s="24"/>
      <c r="CAR49" s="24"/>
      <c r="CAS49" s="24"/>
      <c r="CAT49" s="24"/>
      <c r="CAU49" s="24"/>
      <c r="CAV49" s="24"/>
      <c r="CAW49" s="24"/>
      <c r="CAX49" s="24"/>
      <c r="CAY49" s="24"/>
      <c r="CAZ49" s="24"/>
      <c r="CBA49" s="24"/>
      <c r="CBB49" s="24"/>
      <c r="CBC49" s="24"/>
      <c r="CBD49" s="24"/>
      <c r="CBE49" s="24"/>
      <c r="CBF49" s="24"/>
      <c r="CBG49" s="24"/>
      <c r="CBH49" s="24"/>
      <c r="CBI49" s="24"/>
      <c r="CBJ49" s="24"/>
      <c r="CBK49" s="24"/>
      <c r="CBL49" s="24"/>
      <c r="CBM49" s="24"/>
      <c r="CBN49" s="24"/>
      <c r="CBO49" s="24"/>
      <c r="CBP49" s="24"/>
      <c r="CBQ49" s="24"/>
      <c r="CBR49" s="24"/>
      <c r="CBS49" s="24"/>
      <c r="CBT49" s="24"/>
      <c r="CBU49" s="24"/>
      <c r="CBV49" s="24"/>
      <c r="CBW49" s="24"/>
      <c r="CBX49" s="24"/>
      <c r="CBY49" s="24"/>
      <c r="CBZ49" s="24"/>
      <c r="CCA49" s="24"/>
      <c r="CCB49" s="24"/>
      <c r="CCC49" s="24"/>
      <c r="CCD49" s="24"/>
      <c r="CCE49" s="24"/>
      <c r="CCF49" s="24"/>
      <c r="CCG49" s="24"/>
      <c r="CCH49" s="24"/>
      <c r="CCI49" s="24"/>
      <c r="CCJ49" s="24"/>
      <c r="CCK49" s="24"/>
      <c r="CCL49" s="24"/>
      <c r="CCM49" s="24"/>
      <c r="CCN49" s="24"/>
      <c r="CCO49" s="24"/>
      <c r="CCP49" s="24"/>
      <c r="CCQ49" s="24"/>
      <c r="CCR49" s="24"/>
      <c r="CCS49" s="24"/>
      <c r="CCT49" s="24"/>
      <c r="CCU49" s="24"/>
      <c r="CCV49" s="24"/>
      <c r="CCW49" s="24"/>
      <c r="CCX49" s="24"/>
      <c r="CCY49" s="24"/>
      <c r="CCZ49" s="24"/>
      <c r="CDA49" s="24"/>
      <c r="CDB49" s="24"/>
      <c r="CDC49" s="24"/>
      <c r="CDD49" s="24"/>
      <c r="CDE49" s="24"/>
      <c r="CDF49" s="24"/>
      <c r="CDG49" s="24"/>
      <c r="CDH49" s="24"/>
      <c r="CDI49" s="24"/>
      <c r="CDJ49" s="24"/>
      <c r="CDK49" s="24"/>
      <c r="CDL49" s="24"/>
      <c r="CDM49" s="24"/>
      <c r="CDN49" s="24"/>
      <c r="CDO49" s="24"/>
      <c r="CDP49" s="24"/>
      <c r="CDQ49" s="24"/>
      <c r="CDR49" s="24"/>
      <c r="CDS49" s="24"/>
      <c r="CDT49" s="24"/>
      <c r="CDU49" s="24"/>
      <c r="CDV49" s="24"/>
      <c r="CDW49" s="24"/>
      <c r="CDX49" s="24"/>
      <c r="CDY49" s="24"/>
      <c r="CDZ49" s="24"/>
      <c r="CEA49" s="24"/>
      <c r="CEB49" s="24"/>
      <c r="CEC49" s="24"/>
      <c r="CED49" s="24"/>
      <c r="CEE49" s="24"/>
      <c r="CEF49" s="24"/>
      <c r="CEG49" s="24"/>
      <c r="CEH49" s="24"/>
      <c r="CEI49" s="24"/>
      <c r="CEJ49" s="24"/>
      <c r="CEK49" s="24"/>
      <c r="CEL49" s="24"/>
      <c r="CEM49" s="24"/>
      <c r="CEN49" s="24"/>
      <c r="CEO49" s="24"/>
      <c r="CEP49" s="24"/>
      <c r="CEQ49" s="24"/>
      <c r="CER49" s="24"/>
      <c r="CES49" s="24"/>
      <c r="CET49" s="24"/>
      <c r="CEU49" s="24"/>
      <c r="CEV49" s="24"/>
      <c r="CEW49" s="24"/>
      <c r="CEX49" s="24"/>
      <c r="CEY49" s="24"/>
      <c r="CEZ49" s="24"/>
      <c r="CFA49" s="24"/>
      <c r="CFB49" s="24"/>
      <c r="CFC49" s="24"/>
      <c r="CFD49" s="24"/>
      <c r="CFE49" s="24"/>
      <c r="CFF49" s="24"/>
      <c r="CFG49" s="24"/>
      <c r="CFH49" s="24"/>
      <c r="CFI49" s="24"/>
      <c r="CFJ49" s="24"/>
      <c r="CFK49" s="24"/>
      <c r="CFL49" s="24"/>
      <c r="CFM49" s="24"/>
      <c r="CFN49" s="24"/>
      <c r="CFO49" s="24"/>
      <c r="CFP49" s="24"/>
      <c r="CFQ49" s="24"/>
      <c r="CFR49" s="24"/>
      <c r="CFS49" s="24"/>
      <c r="CFT49" s="24"/>
      <c r="CFU49" s="24"/>
      <c r="CFV49" s="24"/>
      <c r="CFW49" s="24"/>
      <c r="CFX49" s="24"/>
      <c r="CFY49" s="24"/>
      <c r="CFZ49" s="24"/>
      <c r="CGA49" s="24"/>
      <c r="CGB49" s="24"/>
      <c r="CGC49" s="24"/>
      <c r="CGD49" s="24"/>
      <c r="CGE49" s="24"/>
      <c r="CGF49" s="24"/>
      <c r="CGG49" s="24"/>
      <c r="CGH49" s="24"/>
      <c r="CGI49" s="24"/>
      <c r="CGJ49" s="24"/>
      <c r="CGK49" s="24"/>
      <c r="CGL49" s="24"/>
      <c r="CGM49" s="24"/>
      <c r="CGN49" s="24"/>
      <c r="CGO49" s="24"/>
      <c r="CGP49" s="24"/>
      <c r="CGQ49" s="24"/>
      <c r="CGR49" s="24"/>
      <c r="CGS49" s="24"/>
      <c r="CGT49" s="24"/>
      <c r="CGU49" s="24"/>
      <c r="CGV49" s="24"/>
      <c r="CGW49" s="24"/>
      <c r="CGX49" s="24"/>
      <c r="CGY49" s="24"/>
      <c r="CGZ49" s="24"/>
      <c r="CHA49" s="24"/>
      <c r="CHB49" s="24"/>
      <c r="CHC49" s="24"/>
      <c r="CHD49" s="24"/>
      <c r="CHE49" s="24"/>
      <c r="CHF49" s="24"/>
      <c r="CHG49" s="24"/>
      <c r="CHH49" s="24"/>
      <c r="CHI49" s="24"/>
      <c r="CHJ49" s="24"/>
      <c r="CHK49" s="24"/>
      <c r="CHL49" s="24"/>
      <c r="CHM49" s="24"/>
      <c r="CHN49" s="24"/>
      <c r="CHO49" s="24"/>
      <c r="CHP49" s="24"/>
      <c r="CHQ49" s="24"/>
      <c r="CHR49" s="24"/>
      <c r="CHS49" s="24"/>
      <c r="CHT49" s="24"/>
      <c r="CHU49" s="24"/>
      <c r="CHV49" s="24"/>
      <c r="CHW49" s="24"/>
      <c r="CHX49" s="24"/>
      <c r="CHY49" s="24"/>
      <c r="CHZ49" s="24"/>
      <c r="CIA49" s="24"/>
      <c r="CIB49" s="24"/>
      <c r="CIC49" s="24"/>
      <c r="CID49" s="24"/>
      <c r="CIE49" s="24"/>
      <c r="CIF49" s="24"/>
      <c r="CIG49" s="24"/>
      <c r="CIH49" s="24"/>
      <c r="CII49" s="24"/>
      <c r="CIJ49" s="24"/>
      <c r="CIK49" s="24"/>
      <c r="CIL49" s="24"/>
      <c r="CIM49" s="24"/>
      <c r="CIN49" s="24"/>
      <c r="CIO49" s="24"/>
      <c r="CIP49" s="24"/>
      <c r="CIQ49" s="24"/>
      <c r="CIR49" s="24"/>
      <c r="CIS49" s="24"/>
      <c r="CIT49" s="24"/>
      <c r="CIU49" s="24"/>
      <c r="CIV49" s="24"/>
      <c r="CIW49" s="24"/>
      <c r="CIX49" s="24"/>
      <c r="CIY49" s="24"/>
      <c r="CIZ49" s="24"/>
      <c r="CJA49" s="24"/>
      <c r="CJB49" s="24"/>
      <c r="CJC49" s="24"/>
      <c r="CJD49" s="24"/>
      <c r="CJE49" s="24"/>
      <c r="CJF49" s="24"/>
      <c r="CJG49" s="24"/>
      <c r="CJH49" s="24"/>
      <c r="CJI49" s="24"/>
      <c r="CJJ49" s="24"/>
      <c r="CJK49" s="24"/>
      <c r="CJL49" s="24"/>
      <c r="CJM49" s="24"/>
      <c r="CJN49" s="24"/>
      <c r="CJO49" s="24"/>
      <c r="CJP49" s="24"/>
      <c r="CJQ49" s="24"/>
      <c r="CJR49" s="24"/>
      <c r="CJS49" s="24"/>
      <c r="CJT49" s="24"/>
      <c r="CJU49" s="24"/>
      <c r="CJV49" s="24"/>
      <c r="CJW49" s="24"/>
      <c r="CJX49" s="24"/>
      <c r="CJY49" s="24"/>
      <c r="CJZ49" s="24"/>
      <c r="CKA49" s="24"/>
      <c r="CKB49" s="24"/>
      <c r="CKC49" s="24"/>
      <c r="CKD49" s="24"/>
      <c r="CKE49" s="24"/>
      <c r="CKF49" s="24"/>
      <c r="CKG49" s="24"/>
      <c r="CKH49" s="24"/>
      <c r="CKI49" s="24"/>
      <c r="CKJ49" s="24"/>
      <c r="CKK49" s="24"/>
      <c r="CKL49" s="24"/>
      <c r="CKM49" s="24"/>
      <c r="CKN49" s="24"/>
      <c r="CKO49" s="24"/>
      <c r="CKP49" s="24"/>
      <c r="CKQ49" s="24"/>
      <c r="CKR49" s="24"/>
      <c r="CKS49" s="24"/>
      <c r="CKT49" s="24"/>
      <c r="CKU49" s="24"/>
      <c r="CKV49" s="24"/>
      <c r="CKW49" s="24"/>
      <c r="CKX49" s="24"/>
      <c r="CKY49" s="24"/>
      <c r="CKZ49" s="24"/>
      <c r="CLA49" s="24"/>
      <c r="CLB49" s="24"/>
      <c r="CLC49" s="24"/>
      <c r="CLD49" s="24"/>
      <c r="CLE49" s="24"/>
      <c r="CLF49" s="24"/>
      <c r="CLG49" s="24"/>
      <c r="CLH49" s="24"/>
      <c r="CLI49" s="24"/>
      <c r="CLJ49" s="24"/>
      <c r="CLK49" s="24"/>
      <c r="CLL49" s="24"/>
      <c r="CLM49" s="24"/>
      <c r="CLN49" s="24"/>
      <c r="CLO49" s="24"/>
      <c r="CLP49" s="24"/>
      <c r="CLQ49" s="24"/>
      <c r="CLR49" s="24"/>
      <c r="CLS49" s="24"/>
      <c r="CLT49" s="24"/>
      <c r="CLU49" s="24"/>
      <c r="CLV49" s="24"/>
      <c r="CLW49" s="24"/>
      <c r="CLX49" s="24"/>
      <c r="CLY49" s="24"/>
      <c r="CLZ49" s="24"/>
      <c r="CMA49" s="24"/>
      <c r="CMB49" s="24"/>
      <c r="CMC49" s="24"/>
      <c r="CMD49" s="24"/>
      <c r="CME49" s="24"/>
      <c r="CMF49" s="24"/>
      <c r="CMG49" s="24"/>
      <c r="CMH49" s="24"/>
      <c r="CMI49" s="24"/>
      <c r="CMJ49" s="24"/>
      <c r="CMK49" s="24"/>
      <c r="CML49" s="24"/>
      <c r="CMM49" s="24"/>
      <c r="CMN49" s="24"/>
      <c r="CMO49" s="24"/>
      <c r="CMP49" s="24"/>
      <c r="CMQ49" s="24"/>
      <c r="CMR49" s="24"/>
      <c r="CMS49" s="24"/>
      <c r="CMT49" s="24"/>
      <c r="CMU49" s="24"/>
      <c r="CMV49" s="24"/>
      <c r="CMW49" s="24"/>
      <c r="CMX49" s="24"/>
      <c r="CMY49" s="24"/>
      <c r="CMZ49" s="24"/>
      <c r="CNA49" s="24"/>
      <c r="CNB49" s="24"/>
      <c r="CNC49" s="24"/>
      <c r="CND49" s="24"/>
      <c r="CNE49" s="24"/>
      <c r="CNF49" s="24"/>
      <c r="CNG49" s="24"/>
      <c r="CNH49" s="24"/>
      <c r="CNI49" s="24"/>
      <c r="CNJ49" s="24"/>
      <c r="CNK49" s="24"/>
      <c r="CNL49" s="24"/>
      <c r="CNM49" s="24"/>
      <c r="CNN49" s="24"/>
      <c r="CNO49" s="24"/>
      <c r="CNP49" s="24"/>
      <c r="CNQ49" s="24"/>
      <c r="CNR49" s="24"/>
      <c r="CNS49" s="24"/>
      <c r="CNT49" s="24"/>
      <c r="CNU49" s="24"/>
      <c r="CNV49" s="24"/>
      <c r="CNW49" s="24"/>
      <c r="CNX49" s="24"/>
      <c r="CNY49" s="24"/>
      <c r="CNZ49" s="24"/>
      <c r="COA49" s="24"/>
      <c r="COB49" s="24"/>
      <c r="COC49" s="24"/>
      <c r="COD49" s="24"/>
      <c r="COE49" s="24"/>
      <c r="COF49" s="24"/>
      <c r="COG49" s="24"/>
      <c r="COH49" s="24"/>
      <c r="COI49" s="24"/>
      <c r="COJ49" s="24"/>
      <c r="COK49" s="24"/>
      <c r="COL49" s="24"/>
      <c r="COM49" s="24"/>
      <c r="CON49" s="24"/>
      <c r="COO49" s="24"/>
      <c r="COP49" s="24"/>
      <c r="COQ49" s="24"/>
      <c r="COR49" s="24"/>
      <c r="COS49" s="24"/>
      <c r="COT49" s="24"/>
      <c r="COU49" s="24"/>
      <c r="COV49" s="24"/>
      <c r="COW49" s="24"/>
      <c r="COX49" s="24"/>
      <c r="COY49" s="24"/>
      <c r="COZ49" s="24"/>
      <c r="CPA49" s="24"/>
      <c r="CPB49" s="24"/>
      <c r="CPC49" s="24"/>
      <c r="CPD49" s="24"/>
      <c r="CPE49" s="24"/>
      <c r="CPF49" s="24"/>
      <c r="CPG49" s="24"/>
      <c r="CPH49" s="24"/>
      <c r="CPI49" s="24"/>
      <c r="CPJ49" s="24"/>
      <c r="CPK49" s="24"/>
      <c r="CPL49" s="24"/>
      <c r="CPM49" s="24"/>
      <c r="CPN49" s="24"/>
      <c r="CPO49" s="24"/>
      <c r="CPP49" s="24"/>
      <c r="CPQ49" s="24"/>
      <c r="CPR49" s="24"/>
      <c r="CPS49" s="24"/>
      <c r="CPT49" s="24"/>
      <c r="CPU49" s="24"/>
      <c r="CPV49" s="24"/>
      <c r="CPW49" s="24"/>
      <c r="CPX49" s="24"/>
      <c r="CPY49" s="24"/>
      <c r="CPZ49" s="24"/>
      <c r="CQA49" s="24"/>
      <c r="CQB49" s="24"/>
      <c r="CQC49" s="24"/>
      <c r="CQD49" s="24"/>
      <c r="CQE49" s="24"/>
      <c r="CQF49" s="24"/>
      <c r="CQG49" s="24"/>
      <c r="CQH49" s="24"/>
      <c r="CQI49" s="24"/>
      <c r="CQJ49" s="24"/>
      <c r="CQK49" s="24"/>
      <c r="CQL49" s="24"/>
      <c r="CQM49" s="24"/>
      <c r="CQN49" s="24"/>
      <c r="CQO49" s="24"/>
      <c r="CQP49" s="24"/>
      <c r="CQQ49" s="24"/>
      <c r="CQR49" s="24"/>
      <c r="CQS49" s="24"/>
      <c r="CQT49" s="24"/>
      <c r="CQU49" s="24"/>
      <c r="CQV49" s="24"/>
      <c r="CQW49" s="24"/>
      <c r="CQX49" s="24"/>
      <c r="CQY49" s="24"/>
      <c r="CQZ49" s="24"/>
      <c r="CRA49" s="24"/>
      <c r="CRB49" s="24"/>
      <c r="CRC49" s="24"/>
      <c r="CRD49" s="24"/>
      <c r="CRE49" s="24"/>
      <c r="CRF49" s="24"/>
      <c r="CRG49" s="24"/>
      <c r="CRH49" s="24"/>
      <c r="CRI49" s="24"/>
      <c r="CRJ49" s="24"/>
      <c r="CRK49" s="24"/>
      <c r="CRL49" s="24"/>
      <c r="CRM49" s="24"/>
      <c r="CRN49" s="24"/>
      <c r="CRO49" s="24"/>
      <c r="CRP49" s="24"/>
      <c r="CRQ49" s="24"/>
      <c r="CRR49" s="24"/>
      <c r="CRS49" s="24"/>
      <c r="CRT49" s="24"/>
      <c r="CRU49" s="24"/>
      <c r="CRV49" s="24"/>
      <c r="CRW49" s="24"/>
      <c r="CRX49" s="24"/>
      <c r="CRY49" s="24"/>
      <c r="CRZ49" s="24"/>
      <c r="CSA49" s="24"/>
      <c r="CSB49" s="24"/>
      <c r="CSC49" s="24"/>
      <c r="CSD49" s="24"/>
      <c r="CSE49" s="24"/>
      <c r="CSF49" s="24"/>
      <c r="CSG49" s="24"/>
      <c r="CSH49" s="24"/>
      <c r="CSI49" s="24"/>
      <c r="CSJ49" s="24"/>
      <c r="CSK49" s="24"/>
      <c r="CSL49" s="24"/>
      <c r="CSM49" s="24"/>
      <c r="CSN49" s="24"/>
      <c r="CSO49" s="24"/>
      <c r="CSP49" s="24"/>
      <c r="CSQ49" s="24"/>
      <c r="CSR49" s="24"/>
      <c r="CSS49" s="24"/>
      <c r="CST49" s="24"/>
      <c r="CSU49" s="24"/>
      <c r="CSV49" s="24"/>
      <c r="CSW49" s="24"/>
      <c r="CSX49" s="24"/>
      <c r="CSY49" s="24"/>
      <c r="CSZ49" s="24"/>
      <c r="CTA49" s="24"/>
      <c r="CTB49" s="24"/>
      <c r="CTC49" s="24"/>
      <c r="CTD49" s="24"/>
      <c r="CTE49" s="24"/>
      <c r="CTF49" s="24"/>
      <c r="CTG49" s="24"/>
      <c r="CTH49" s="24"/>
      <c r="CTI49" s="24"/>
      <c r="CTJ49" s="24"/>
      <c r="CTK49" s="24"/>
      <c r="CTL49" s="24"/>
      <c r="CTM49" s="24"/>
      <c r="CTN49" s="24"/>
      <c r="CTO49" s="24"/>
      <c r="CTP49" s="24"/>
      <c r="CTQ49" s="24"/>
      <c r="CTR49" s="24"/>
      <c r="CTS49" s="24"/>
      <c r="CTT49" s="24"/>
      <c r="CTU49" s="24"/>
      <c r="CTV49" s="24"/>
      <c r="CTW49" s="24"/>
      <c r="CTX49" s="24"/>
      <c r="CTY49" s="24"/>
      <c r="CTZ49" s="24"/>
      <c r="CUA49" s="24"/>
      <c r="CUB49" s="24"/>
      <c r="CUC49" s="24"/>
      <c r="CUD49" s="24"/>
      <c r="CUE49" s="24"/>
      <c r="CUF49" s="24"/>
      <c r="CUG49" s="24"/>
      <c r="CUH49" s="24"/>
      <c r="CUI49" s="24"/>
      <c r="CUJ49" s="24"/>
      <c r="CUK49" s="24"/>
      <c r="CUL49" s="24"/>
      <c r="CUM49" s="24"/>
      <c r="CUN49" s="24"/>
      <c r="CUO49" s="24"/>
      <c r="CUP49" s="24"/>
      <c r="CUQ49" s="24"/>
      <c r="CUR49" s="24"/>
      <c r="CUS49" s="24"/>
      <c r="CUT49" s="24"/>
      <c r="CUU49" s="24"/>
      <c r="CUV49" s="24"/>
      <c r="CUW49" s="24"/>
      <c r="CUX49" s="24"/>
      <c r="CUY49" s="24"/>
      <c r="CUZ49" s="24"/>
      <c r="CVA49" s="24"/>
      <c r="CVB49" s="24"/>
      <c r="CVC49" s="24"/>
      <c r="CVD49" s="24"/>
      <c r="CVE49" s="24"/>
      <c r="CVF49" s="24"/>
      <c r="CVG49" s="24"/>
      <c r="CVH49" s="24"/>
      <c r="CVI49" s="24"/>
      <c r="CVJ49" s="24"/>
      <c r="CVK49" s="24"/>
      <c r="CVL49" s="24"/>
      <c r="CVM49" s="24"/>
      <c r="CVN49" s="24"/>
      <c r="CVO49" s="24"/>
      <c r="CVP49" s="24"/>
      <c r="CVQ49" s="24"/>
      <c r="CVR49" s="24"/>
      <c r="CVS49" s="24"/>
      <c r="CVT49" s="24"/>
      <c r="CVU49" s="24"/>
      <c r="CVV49" s="24"/>
      <c r="CVW49" s="24"/>
      <c r="CVX49" s="24"/>
      <c r="CVY49" s="24"/>
      <c r="CVZ49" s="24"/>
      <c r="CWA49" s="24"/>
      <c r="CWB49" s="24"/>
      <c r="CWC49" s="24"/>
      <c r="CWD49" s="24"/>
      <c r="CWE49" s="24"/>
      <c r="CWF49" s="24"/>
      <c r="CWG49" s="24"/>
      <c r="CWH49" s="24"/>
      <c r="CWI49" s="24"/>
      <c r="CWJ49" s="24"/>
      <c r="CWK49" s="24"/>
      <c r="CWL49" s="24"/>
      <c r="CWM49" s="24"/>
      <c r="CWN49" s="24"/>
      <c r="CWO49" s="24"/>
      <c r="CWP49" s="24"/>
      <c r="CWQ49" s="24"/>
      <c r="CWR49" s="24"/>
      <c r="CWS49" s="24"/>
      <c r="CWT49" s="24"/>
      <c r="CWU49" s="24"/>
      <c r="CWV49" s="24"/>
      <c r="CWW49" s="24"/>
      <c r="CWX49" s="24"/>
      <c r="CWY49" s="24"/>
      <c r="CWZ49" s="24"/>
      <c r="CXA49" s="24"/>
      <c r="CXB49" s="24"/>
      <c r="CXC49" s="24"/>
      <c r="CXD49" s="24"/>
      <c r="CXE49" s="24"/>
      <c r="CXF49" s="24"/>
      <c r="CXG49" s="24"/>
      <c r="CXH49" s="24"/>
      <c r="CXI49" s="24"/>
      <c r="CXJ49" s="24"/>
      <c r="CXK49" s="24"/>
      <c r="CXL49" s="24"/>
      <c r="CXM49" s="24"/>
      <c r="CXN49" s="24"/>
      <c r="CXO49" s="24"/>
      <c r="CXP49" s="24"/>
      <c r="CXQ49" s="24"/>
      <c r="CXR49" s="24"/>
      <c r="CXS49" s="24"/>
      <c r="CXT49" s="24"/>
      <c r="CXU49" s="24"/>
      <c r="CXV49" s="24"/>
      <c r="CXW49" s="24"/>
      <c r="CXX49" s="24"/>
      <c r="CXY49" s="24"/>
      <c r="CXZ49" s="24"/>
      <c r="CYA49" s="24"/>
      <c r="CYB49" s="24"/>
      <c r="CYC49" s="24"/>
      <c r="CYD49" s="24"/>
      <c r="CYE49" s="24"/>
      <c r="CYF49" s="24"/>
      <c r="CYG49" s="24"/>
      <c r="CYH49" s="24"/>
      <c r="CYI49" s="24"/>
      <c r="CYJ49" s="24"/>
      <c r="CYK49" s="24"/>
      <c r="CYL49" s="24"/>
      <c r="CYM49" s="24"/>
      <c r="CYN49" s="24"/>
      <c r="CYO49" s="24"/>
      <c r="CYP49" s="24"/>
      <c r="CYQ49" s="24"/>
      <c r="CYR49" s="24"/>
      <c r="CYS49" s="24"/>
      <c r="CYT49" s="24"/>
      <c r="CYU49" s="24"/>
      <c r="CYV49" s="24"/>
      <c r="CYW49" s="24"/>
      <c r="CYX49" s="24"/>
      <c r="CYY49" s="24"/>
      <c r="CYZ49" s="24"/>
      <c r="CZA49" s="24"/>
      <c r="CZB49" s="24"/>
      <c r="CZC49" s="24"/>
      <c r="CZD49" s="24"/>
      <c r="CZE49" s="24"/>
      <c r="CZF49" s="24"/>
      <c r="CZG49" s="24"/>
      <c r="CZH49" s="24"/>
      <c r="CZI49" s="24"/>
      <c r="CZJ49" s="24"/>
      <c r="CZK49" s="24"/>
      <c r="CZL49" s="24"/>
      <c r="CZM49" s="24"/>
      <c r="CZN49" s="24"/>
      <c r="CZO49" s="24"/>
      <c r="CZP49" s="24"/>
      <c r="CZQ49" s="24"/>
      <c r="CZR49" s="24"/>
      <c r="CZS49" s="24"/>
      <c r="CZT49" s="24"/>
      <c r="CZU49" s="24"/>
      <c r="CZV49" s="24"/>
      <c r="CZW49" s="24"/>
      <c r="CZX49" s="24"/>
      <c r="CZY49" s="24"/>
      <c r="CZZ49" s="24"/>
      <c r="DAA49" s="24"/>
      <c r="DAB49" s="24"/>
      <c r="DAC49" s="24"/>
      <c r="DAD49" s="24"/>
      <c r="DAE49" s="24"/>
      <c r="DAF49" s="24"/>
      <c r="DAG49" s="24"/>
      <c r="DAH49" s="24"/>
      <c r="DAI49" s="24"/>
      <c r="DAJ49" s="24"/>
      <c r="DAK49" s="24"/>
      <c r="DAL49" s="24"/>
      <c r="DAM49" s="24"/>
      <c r="DAN49" s="24"/>
      <c r="DAO49" s="24"/>
      <c r="DAP49" s="24"/>
      <c r="DAQ49" s="24"/>
      <c r="DAR49" s="24"/>
      <c r="DAS49" s="24"/>
      <c r="DAT49" s="24"/>
      <c r="DAU49" s="24"/>
      <c r="DAV49" s="24"/>
      <c r="DAW49" s="24"/>
      <c r="DAX49" s="24"/>
      <c r="DAY49" s="24"/>
      <c r="DAZ49" s="24"/>
      <c r="DBA49" s="24"/>
      <c r="DBB49" s="24"/>
      <c r="DBC49" s="24"/>
      <c r="DBD49" s="24"/>
      <c r="DBE49" s="24"/>
      <c r="DBF49" s="24"/>
      <c r="DBG49" s="24"/>
      <c r="DBH49" s="24"/>
      <c r="DBI49" s="24"/>
      <c r="DBJ49" s="24"/>
      <c r="DBK49" s="24"/>
      <c r="DBL49" s="24"/>
      <c r="DBM49" s="24"/>
      <c r="DBN49" s="24"/>
      <c r="DBO49" s="24"/>
      <c r="DBP49" s="24"/>
      <c r="DBQ49" s="24"/>
      <c r="DBR49" s="24"/>
      <c r="DBS49" s="24"/>
      <c r="DBT49" s="24"/>
      <c r="DBU49" s="24"/>
      <c r="DBV49" s="24"/>
      <c r="DBW49" s="24"/>
      <c r="DBX49" s="24"/>
      <c r="DBY49" s="24"/>
      <c r="DBZ49" s="24"/>
      <c r="DCA49" s="24"/>
      <c r="DCB49" s="24"/>
      <c r="DCC49" s="24"/>
      <c r="DCD49" s="24"/>
      <c r="DCE49" s="24"/>
      <c r="DCF49" s="24"/>
      <c r="DCG49" s="24"/>
      <c r="DCH49" s="24"/>
      <c r="DCI49" s="24"/>
      <c r="DCJ49" s="24"/>
      <c r="DCK49" s="24"/>
      <c r="DCL49" s="24"/>
      <c r="DCM49" s="24"/>
      <c r="DCN49" s="24"/>
      <c r="DCO49" s="24"/>
      <c r="DCP49" s="24"/>
      <c r="DCQ49" s="24"/>
      <c r="DCR49" s="24"/>
      <c r="DCS49" s="24"/>
      <c r="DCT49" s="24"/>
      <c r="DCU49" s="24"/>
      <c r="DCV49" s="24"/>
      <c r="DCW49" s="24"/>
      <c r="DCX49" s="24"/>
      <c r="DCY49" s="24"/>
      <c r="DCZ49" s="24"/>
      <c r="DDA49" s="24"/>
      <c r="DDB49" s="24"/>
      <c r="DDC49" s="24"/>
      <c r="DDD49" s="24"/>
      <c r="DDE49" s="24"/>
      <c r="DDF49" s="24"/>
      <c r="DDG49" s="24"/>
      <c r="DDH49" s="24"/>
      <c r="DDI49" s="24"/>
      <c r="DDJ49" s="24"/>
      <c r="DDK49" s="24"/>
      <c r="DDL49" s="24"/>
      <c r="DDM49" s="24"/>
      <c r="DDN49" s="24"/>
      <c r="DDO49" s="24"/>
      <c r="DDP49" s="24"/>
      <c r="DDQ49" s="24"/>
      <c r="DDR49" s="24"/>
      <c r="DDS49" s="24"/>
      <c r="DDT49" s="24"/>
      <c r="DDU49" s="24"/>
      <c r="DDV49" s="24"/>
      <c r="DDW49" s="24"/>
      <c r="DDX49" s="24"/>
      <c r="DDY49" s="24"/>
      <c r="DDZ49" s="24"/>
      <c r="DEA49" s="24"/>
      <c r="DEB49" s="24"/>
      <c r="DEC49" s="24"/>
      <c r="DED49" s="24"/>
      <c r="DEE49" s="24"/>
      <c r="DEF49" s="24"/>
      <c r="DEG49" s="24"/>
      <c r="DEH49" s="24"/>
      <c r="DEI49" s="24"/>
      <c r="DEJ49" s="24"/>
      <c r="DEK49" s="24"/>
      <c r="DEL49" s="24"/>
      <c r="DEM49" s="24"/>
      <c r="DEN49" s="24"/>
      <c r="DEO49" s="24"/>
      <c r="DEP49" s="24"/>
      <c r="DEQ49" s="24"/>
      <c r="DER49" s="24"/>
      <c r="DES49" s="24"/>
      <c r="DET49" s="24"/>
      <c r="DEU49" s="24"/>
      <c r="DEV49" s="24"/>
      <c r="DEW49" s="24"/>
      <c r="DEX49" s="24"/>
      <c r="DEY49" s="24"/>
      <c r="DEZ49" s="24"/>
      <c r="DFA49" s="24"/>
      <c r="DFB49" s="24"/>
      <c r="DFC49" s="24"/>
      <c r="DFD49" s="24"/>
      <c r="DFE49" s="24"/>
      <c r="DFF49" s="24"/>
      <c r="DFG49" s="24"/>
      <c r="DFH49" s="24"/>
      <c r="DFI49" s="24"/>
      <c r="DFJ49" s="24"/>
      <c r="DFK49" s="24"/>
      <c r="DFL49" s="24"/>
      <c r="DFM49" s="24"/>
      <c r="DFN49" s="24"/>
      <c r="DFO49" s="24"/>
      <c r="DFP49" s="24"/>
      <c r="DFQ49" s="24"/>
      <c r="DFR49" s="24"/>
      <c r="DFS49" s="24"/>
      <c r="DFT49" s="24"/>
      <c r="DFU49" s="24"/>
      <c r="DFV49" s="24"/>
      <c r="DFW49" s="24"/>
      <c r="DFX49" s="24"/>
      <c r="DFY49" s="24"/>
      <c r="DFZ49" s="24"/>
      <c r="DGA49" s="24"/>
      <c r="DGB49" s="24"/>
      <c r="DGC49" s="24"/>
      <c r="DGD49" s="24"/>
      <c r="DGE49" s="24"/>
      <c r="DGF49" s="24"/>
      <c r="DGG49" s="24"/>
      <c r="DGH49" s="24"/>
      <c r="DGI49" s="24"/>
      <c r="DGJ49" s="24"/>
      <c r="DGK49" s="24"/>
      <c r="DGL49" s="24"/>
      <c r="DGM49" s="24"/>
      <c r="DGN49" s="24"/>
      <c r="DGO49" s="24"/>
      <c r="DGP49" s="24"/>
      <c r="DGQ49" s="24"/>
      <c r="DGR49" s="24"/>
      <c r="DGS49" s="24"/>
      <c r="DGT49" s="24"/>
      <c r="DGU49" s="24"/>
      <c r="DGV49" s="24"/>
      <c r="DGW49" s="24"/>
      <c r="DGX49" s="24"/>
      <c r="DGY49" s="24"/>
      <c r="DGZ49" s="24"/>
      <c r="DHA49" s="24"/>
      <c r="DHB49" s="24"/>
      <c r="DHC49" s="24"/>
      <c r="DHD49" s="24"/>
      <c r="DHE49" s="24"/>
      <c r="DHF49" s="24"/>
      <c r="DHG49" s="24"/>
      <c r="DHH49" s="24"/>
      <c r="DHI49" s="24"/>
      <c r="DHJ49" s="24"/>
      <c r="DHK49" s="24"/>
      <c r="DHL49" s="24"/>
      <c r="DHM49" s="24"/>
      <c r="DHN49" s="24"/>
      <c r="DHO49" s="24"/>
      <c r="DHP49" s="24"/>
      <c r="DHQ49" s="24"/>
      <c r="DHR49" s="24"/>
      <c r="DHS49" s="24"/>
      <c r="DHT49" s="24"/>
      <c r="DHU49" s="24"/>
      <c r="DHV49" s="24"/>
      <c r="DHW49" s="24"/>
      <c r="DHX49" s="24"/>
      <c r="DHY49" s="24"/>
      <c r="DHZ49" s="24"/>
      <c r="DIA49" s="24"/>
      <c r="DIB49" s="24"/>
      <c r="DIC49" s="24"/>
      <c r="DID49" s="24"/>
      <c r="DIE49" s="24"/>
      <c r="DIF49" s="24"/>
      <c r="DIG49" s="24"/>
      <c r="DIH49" s="24"/>
      <c r="DII49" s="24"/>
      <c r="DIJ49" s="24"/>
      <c r="DIK49" s="24"/>
      <c r="DIL49" s="24"/>
      <c r="DIM49" s="24"/>
      <c r="DIN49" s="24"/>
      <c r="DIO49" s="24"/>
      <c r="DIP49" s="24"/>
      <c r="DIQ49" s="24"/>
      <c r="DIR49" s="24"/>
      <c r="DIS49" s="24"/>
      <c r="DIT49" s="24"/>
      <c r="DIU49" s="24"/>
      <c r="DIV49" s="24"/>
      <c r="DIW49" s="24"/>
      <c r="DIX49" s="24"/>
      <c r="DIY49" s="24"/>
      <c r="DIZ49" s="24"/>
      <c r="DJA49" s="24"/>
      <c r="DJB49" s="24"/>
      <c r="DJC49" s="24"/>
      <c r="DJD49" s="24"/>
      <c r="DJE49" s="24"/>
      <c r="DJF49" s="24"/>
      <c r="DJG49" s="24"/>
      <c r="DJH49" s="24"/>
      <c r="DJI49" s="24"/>
      <c r="DJJ49" s="24"/>
      <c r="DJK49" s="24"/>
      <c r="DJL49" s="24"/>
      <c r="DJM49" s="24"/>
      <c r="DJN49" s="24"/>
      <c r="DJO49" s="24"/>
      <c r="DJP49" s="24"/>
      <c r="DJQ49" s="24"/>
      <c r="DJR49" s="24"/>
      <c r="DJS49" s="24"/>
      <c r="DJT49" s="24"/>
      <c r="DJU49" s="24"/>
      <c r="DJV49" s="24"/>
      <c r="DJW49" s="24"/>
      <c r="DJX49" s="24"/>
      <c r="DJY49" s="24"/>
      <c r="DJZ49" s="24"/>
      <c r="DKA49" s="24"/>
      <c r="DKB49" s="24"/>
      <c r="DKC49" s="24"/>
      <c r="DKD49" s="24"/>
      <c r="DKE49" s="24"/>
      <c r="DKF49" s="24"/>
      <c r="DKG49" s="24"/>
      <c r="DKH49" s="24"/>
      <c r="DKI49" s="24"/>
      <c r="DKJ49" s="24"/>
      <c r="DKK49" s="24"/>
      <c r="DKL49" s="24"/>
      <c r="DKM49" s="24"/>
      <c r="DKN49" s="24"/>
      <c r="DKO49" s="24"/>
      <c r="DKP49" s="24"/>
      <c r="DKQ49" s="24"/>
      <c r="DKR49" s="24"/>
      <c r="DKS49" s="24"/>
      <c r="DKT49" s="24"/>
      <c r="DKU49" s="24"/>
      <c r="DKV49" s="24"/>
      <c r="DKW49" s="24"/>
      <c r="DKX49" s="24"/>
      <c r="DKY49" s="24"/>
      <c r="DKZ49" s="24"/>
      <c r="DLA49" s="24"/>
      <c r="DLB49" s="24"/>
      <c r="DLC49" s="24"/>
      <c r="DLD49" s="24"/>
      <c r="DLE49" s="24"/>
      <c r="DLF49" s="24"/>
      <c r="DLG49" s="24"/>
      <c r="DLH49" s="24"/>
      <c r="DLI49" s="24"/>
      <c r="DLJ49" s="24"/>
      <c r="DLK49" s="24"/>
      <c r="DLL49" s="24"/>
      <c r="DLM49" s="24"/>
      <c r="DLN49" s="24"/>
      <c r="DLO49" s="24"/>
      <c r="DLP49" s="24"/>
      <c r="DLQ49" s="24"/>
      <c r="DLR49" s="24"/>
      <c r="DLS49" s="24"/>
      <c r="DLT49" s="24"/>
      <c r="DLU49" s="24"/>
      <c r="DLV49" s="24"/>
      <c r="DLW49" s="24"/>
      <c r="DLX49" s="24"/>
      <c r="DLY49" s="24"/>
      <c r="DLZ49" s="24"/>
      <c r="DMA49" s="24"/>
      <c r="DMB49" s="24"/>
      <c r="DMC49" s="24"/>
      <c r="DMD49" s="24"/>
      <c r="DME49" s="24"/>
      <c r="DMF49" s="24"/>
      <c r="DMG49" s="24"/>
      <c r="DMH49" s="24"/>
      <c r="DMI49" s="24"/>
      <c r="DMJ49" s="24"/>
      <c r="DMK49" s="24"/>
      <c r="DML49" s="24"/>
      <c r="DMM49" s="24"/>
      <c r="DMN49" s="24"/>
      <c r="DMO49" s="24"/>
      <c r="DMP49" s="24"/>
      <c r="DMQ49" s="24"/>
      <c r="DMR49" s="24"/>
      <c r="DMS49" s="24"/>
      <c r="DMT49" s="24"/>
      <c r="DMU49" s="24"/>
      <c r="DMV49" s="24"/>
      <c r="DMW49" s="24"/>
      <c r="DMX49" s="24"/>
      <c r="DMY49" s="24"/>
      <c r="DMZ49" s="24"/>
      <c r="DNA49" s="24"/>
      <c r="DNB49" s="24"/>
      <c r="DNC49" s="24"/>
      <c r="DND49" s="24"/>
      <c r="DNE49" s="24"/>
      <c r="DNF49" s="24"/>
      <c r="DNG49" s="24"/>
      <c r="DNH49" s="24"/>
      <c r="DNI49" s="24"/>
      <c r="DNJ49" s="24"/>
      <c r="DNK49" s="24"/>
      <c r="DNL49" s="24"/>
      <c r="DNM49" s="24"/>
      <c r="DNN49" s="24"/>
      <c r="DNO49" s="24"/>
      <c r="DNP49" s="24"/>
      <c r="DNQ49" s="24"/>
      <c r="DNR49" s="24"/>
      <c r="DNS49" s="24"/>
      <c r="DNT49" s="24"/>
      <c r="DNU49" s="24"/>
      <c r="DNV49" s="24"/>
      <c r="DNW49" s="24"/>
      <c r="DNX49" s="24"/>
      <c r="DNY49" s="24"/>
      <c r="DNZ49" s="24"/>
      <c r="DOA49" s="24"/>
      <c r="DOB49" s="24"/>
      <c r="DOC49" s="24"/>
      <c r="DOD49" s="24"/>
      <c r="DOE49" s="24"/>
      <c r="DOF49" s="24"/>
      <c r="DOG49" s="24"/>
      <c r="DOH49" s="24"/>
      <c r="DOI49" s="24"/>
      <c r="DOJ49" s="24"/>
      <c r="DOK49" s="24"/>
      <c r="DOL49" s="24"/>
      <c r="DOM49" s="24"/>
      <c r="DON49" s="24"/>
      <c r="DOO49" s="24"/>
      <c r="DOP49" s="24"/>
      <c r="DOQ49" s="24"/>
      <c r="DOR49" s="24"/>
      <c r="DOS49" s="24"/>
      <c r="DOT49" s="24"/>
      <c r="DOU49" s="24"/>
      <c r="DOV49" s="24"/>
      <c r="DOW49" s="24"/>
      <c r="DOX49" s="24"/>
      <c r="DOY49" s="24"/>
      <c r="DOZ49" s="24"/>
      <c r="DPA49" s="24"/>
      <c r="DPB49" s="24"/>
      <c r="DPC49" s="24"/>
      <c r="DPD49" s="24"/>
      <c r="DPE49" s="24"/>
      <c r="DPF49" s="24"/>
      <c r="DPG49" s="24"/>
      <c r="DPH49" s="24"/>
      <c r="DPI49" s="24"/>
      <c r="DPJ49" s="24"/>
      <c r="DPK49" s="24"/>
      <c r="DPL49" s="24"/>
      <c r="DPM49" s="24"/>
      <c r="DPN49" s="24"/>
      <c r="DPO49" s="24"/>
      <c r="DPP49" s="24"/>
      <c r="DPQ49" s="24"/>
      <c r="DPR49" s="24"/>
      <c r="DPS49" s="24"/>
      <c r="DPT49" s="24"/>
      <c r="DPU49" s="24"/>
      <c r="DPV49" s="24"/>
      <c r="DPW49" s="24"/>
      <c r="DPX49" s="24"/>
      <c r="DPY49" s="24"/>
      <c r="DPZ49" s="24"/>
      <c r="DQA49" s="24"/>
      <c r="DQB49" s="24"/>
      <c r="DQC49" s="24"/>
      <c r="DQD49" s="24"/>
      <c r="DQE49" s="24"/>
      <c r="DQF49" s="24"/>
      <c r="DQG49" s="24"/>
      <c r="DQH49" s="24"/>
      <c r="DQI49" s="24"/>
      <c r="DQJ49" s="24"/>
      <c r="DQK49" s="24"/>
      <c r="DQL49" s="24"/>
      <c r="DQM49" s="24"/>
      <c r="DQN49" s="24"/>
      <c r="DQO49" s="24"/>
      <c r="DQP49" s="24"/>
      <c r="DQQ49" s="24"/>
      <c r="DQR49" s="24"/>
      <c r="DQS49" s="24"/>
      <c r="DQT49" s="24"/>
      <c r="DQU49" s="24"/>
      <c r="DQV49" s="24"/>
      <c r="DQW49" s="24"/>
      <c r="DQX49" s="24"/>
      <c r="DQY49" s="24"/>
      <c r="DQZ49" s="24"/>
      <c r="DRA49" s="24"/>
      <c r="DRB49" s="24"/>
      <c r="DRC49" s="24"/>
      <c r="DRD49" s="24"/>
      <c r="DRE49" s="24"/>
      <c r="DRF49" s="24"/>
      <c r="DRG49" s="24"/>
      <c r="DRH49" s="24"/>
      <c r="DRI49" s="24"/>
      <c r="DRJ49" s="24"/>
      <c r="DRK49" s="24"/>
      <c r="DRL49" s="24"/>
      <c r="DRM49" s="24"/>
      <c r="DRN49" s="24"/>
      <c r="DRO49" s="24"/>
      <c r="DRP49" s="24"/>
      <c r="DRQ49" s="24"/>
      <c r="DRR49" s="24"/>
      <c r="DRS49" s="24"/>
      <c r="DRT49" s="24"/>
      <c r="DRU49" s="24"/>
      <c r="DRV49" s="24"/>
      <c r="DRW49" s="24"/>
      <c r="DRX49" s="24"/>
      <c r="DRY49" s="24"/>
      <c r="DRZ49" s="24"/>
      <c r="DSA49" s="24"/>
      <c r="DSB49" s="24"/>
      <c r="DSC49" s="24"/>
      <c r="DSD49" s="24"/>
      <c r="DSE49" s="24"/>
      <c r="DSF49" s="24"/>
      <c r="DSG49" s="24"/>
      <c r="DSH49" s="24"/>
      <c r="DSI49" s="24"/>
      <c r="DSJ49" s="24"/>
      <c r="DSK49" s="24"/>
      <c r="DSL49" s="24"/>
      <c r="DSM49" s="24"/>
      <c r="DSN49" s="24"/>
      <c r="DSO49" s="24"/>
      <c r="DSP49" s="24"/>
      <c r="DSQ49" s="24"/>
      <c r="DSR49" s="24"/>
      <c r="DSS49" s="24"/>
      <c r="DST49" s="24"/>
      <c r="DSU49" s="24"/>
      <c r="DSV49" s="24"/>
      <c r="DSW49" s="24"/>
      <c r="DSX49" s="24"/>
      <c r="DSY49" s="24"/>
      <c r="DSZ49" s="24"/>
      <c r="DTA49" s="24"/>
      <c r="DTB49" s="24"/>
      <c r="DTC49" s="24"/>
      <c r="DTD49" s="24"/>
      <c r="DTE49" s="24"/>
      <c r="DTF49" s="24"/>
      <c r="DTG49" s="24"/>
      <c r="DTH49" s="24"/>
      <c r="DTI49" s="24"/>
      <c r="DTJ49" s="24"/>
      <c r="DTK49" s="24"/>
      <c r="DTL49" s="24"/>
      <c r="DTM49" s="24"/>
      <c r="DTN49" s="24"/>
      <c r="DTO49" s="24"/>
      <c r="DTP49" s="24"/>
      <c r="DTQ49" s="24"/>
      <c r="DTR49" s="24"/>
      <c r="DTS49" s="24"/>
      <c r="DTT49" s="24"/>
      <c r="DTU49" s="24"/>
      <c r="DTV49" s="24"/>
      <c r="DTW49" s="24"/>
      <c r="DTX49" s="24"/>
      <c r="DTY49" s="24"/>
      <c r="DTZ49" s="24"/>
      <c r="DUA49" s="24"/>
      <c r="DUB49" s="24"/>
      <c r="DUC49" s="24"/>
      <c r="DUD49" s="24"/>
      <c r="DUE49" s="24"/>
      <c r="DUF49" s="24"/>
      <c r="DUG49" s="24"/>
      <c r="DUH49" s="24"/>
      <c r="DUI49" s="24"/>
      <c r="DUJ49" s="24"/>
      <c r="DUK49" s="24"/>
      <c r="DUL49" s="24"/>
      <c r="DUM49" s="24"/>
      <c r="DUN49" s="24"/>
      <c r="DUO49" s="24"/>
      <c r="DUP49" s="24"/>
      <c r="DUQ49" s="24"/>
      <c r="DUR49" s="24"/>
      <c r="DUS49" s="24"/>
      <c r="DUT49" s="24"/>
      <c r="DUU49" s="24"/>
      <c r="DUV49" s="24"/>
      <c r="DUW49" s="24"/>
      <c r="DUX49" s="24"/>
      <c r="DUY49" s="24"/>
      <c r="DUZ49" s="24"/>
      <c r="DVA49" s="24"/>
      <c r="DVB49" s="24"/>
      <c r="DVC49" s="24"/>
      <c r="DVD49" s="24"/>
      <c r="DVE49" s="24"/>
      <c r="DVF49" s="24"/>
      <c r="DVG49" s="24"/>
      <c r="DVH49" s="24"/>
      <c r="DVI49" s="24"/>
      <c r="DVJ49" s="24"/>
      <c r="DVK49" s="24"/>
      <c r="DVL49" s="24"/>
      <c r="DVM49" s="24"/>
      <c r="DVN49" s="24"/>
      <c r="DVO49" s="24"/>
      <c r="DVP49" s="24"/>
      <c r="DVQ49" s="24"/>
      <c r="DVR49" s="24"/>
      <c r="DVS49" s="24"/>
      <c r="DVT49" s="24"/>
      <c r="DVU49" s="24"/>
      <c r="DVV49" s="24"/>
      <c r="DVW49" s="24"/>
      <c r="DVX49" s="24"/>
      <c r="DVY49" s="24"/>
      <c r="DVZ49" s="24"/>
      <c r="DWA49" s="24"/>
      <c r="DWB49" s="24"/>
      <c r="DWC49" s="24"/>
      <c r="DWD49" s="24"/>
      <c r="DWE49" s="24"/>
      <c r="DWF49" s="24"/>
      <c r="DWG49" s="24"/>
      <c r="DWH49" s="24"/>
      <c r="DWI49" s="24"/>
      <c r="DWJ49" s="24"/>
      <c r="DWK49" s="24"/>
      <c r="DWL49" s="24"/>
      <c r="DWM49" s="24"/>
      <c r="DWN49" s="24"/>
      <c r="DWO49" s="24"/>
      <c r="DWP49" s="24"/>
      <c r="DWQ49" s="24"/>
      <c r="DWR49" s="24"/>
      <c r="DWS49" s="24"/>
      <c r="DWT49" s="24"/>
      <c r="DWU49" s="24"/>
      <c r="DWV49" s="24"/>
      <c r="DWW49" s="24"/>
      <c r="DWX49" s="24"/>
      <c r="DWY49" s="24"/>
      <c r="DWZ49" s="24"/>
      <c r="DXA49" s="24"/>
      <c r="DXB49" s="24"/>
      <c r="DXC49" s="24"/>
      <c r="DXD49" s="24"/>
      <c r="DXE49" s="24"/>
      <c r="DXF49" s="24"/>
      <c r="DXG49" s="24"/>
      <c r="DXH49" s="24"/>
      <c r="DXI49" s="24"/>
      <c r="DXJ49" s="24"/>
      <c r="DXK49" s="24"/>
      <c r="DXL49" s="24"/>
      <c r="DXM49" s="24"/>
      <c r="DXN49" s="24"/>
      <c r="DXO49" s="24"/>
      <c r="DXP49" s="24"/>
      <c r="DXQ49" s="24"/>
      <c r="DXR49" s="24"/>
      <c r="DXS49" s="24"/>
      <c r="DXT49" s="24"/>
      <c r="DXU49" s="24"/>
      <c r="DXV49" s="24"/>
      <c r="DXW49" s="24"/>
      <c r="DXX49" s="24"/>
      <c r="DXY49" s="24"/>
      <c r="DXZ49" s="24"/>
      <c r="DYA49" s="24"/>
      <c r="DYB49" s="24"/>
      <c r="DYC49" s="24"/>
      <c r="DYD49" s="24"/>
      <c r="DYE49" s="24"/>
      <c r="DYF49" s="24"/>
      <c r="DYG49" s="24"/>
      <c r="DYH49" s="24"/>
      <c r="DYI49" s="24"/>
      <c r="DYJ49" s="24"/>
      <c r="DYK49" s="24"/>
      <c r="DYL49" s="24"/>
      <c r="DYM49" s="24"/>
      <c r="DYN49" s="24"/>
      <c r="DYO49" s="24"/>
      <c r="DYP49" s="24"/>
      <c r="DYQ49" s="24"/>
      <c r="DYR49" s="24"/>
      <c r="DYS49" s="24"/>
      <c r="DYT49" s="24"/>
      <c r="DYU49" s="24"/>
      <c r="DYV49" s="24"/>
      <c r="DYW49" s="24"/>
      <c r="DYX49" s="24"/>
      <c r="DYY49" s="24"/>
      <c r="DYZ49" s="24"/>
      <c r="DZA49" s="24"/>
      <c r="DZB49" s="24"/>
      <c r="DZC49" s="24"/>
      <c r="DZD49" s="24"/>
      <c r="DZE49" s="24"/>
      <c r="DZF49" s="24"/>
      <c r="DZG49" s="24"/>
      <c r="DZH49" s="24"/>
      <c r="DZI49" s="24"/>
      <c r="DZJ49" s="24"/>
      <c r="DZK49" s="24"/>
      <c r="DZL49" s="24"/>
      <c r="DZM49" s="24"/>
      <c r="DZN49" s="24"/>
      <c r="DZO49" s="24"/>
      <c r="DZP49" s="24"/>
      <c r="DZQ49" s="24"/>
      <c r="DZR49" s="24"/>
      <c r="DZS49" s="24"/>
      <c r="DZT49" s="24"/>
      <c r="DZU49" s="24"/>
      <c r="DZV49" s="24"/>
      <c r="DZW49" s="24"/>
      <c r="DZX49" s="24"/>
      <c r="DZY49" s="24"/>
      <c r="DZZ49" s="24"/>
      <c r="EAA49" s="24"/>
      <c r="EAB49" s="24"/>
      <c r="EAC49" s="24"/>
      <c r="EAD49" s="24"/>
      <c r="EAE49" s="24"/>
      <c r="EAF49" s="24"/>
      <c r="EAG49" s="24"/>
      <c r="EAH49" s="24"/>
      <c r="EAI49" s="24"/>
      <c r="EAJ49" s="24"/>
      <c r="EAK49" s="24"/>
      <c r="EAL49" s="24"/>
      <c r="EAM49" s="24"/>
      <c r="EAN49" s="24"/>
      <c r="EAO49" s="24"/>
      <c r="EAP49" s="24"/>
      <c r="EAQ49" s="24"/>
      <c r="EAR49" s="24"/>
      <c r="EAS49" s="24"/>
      <c r="EAT49" s="24"/>
      <c r="EAU49" s="24"/>
      <c r="EAV49" s="24"/>
      <c r="EAW49" s="24"/>
      <c r="EAX49" s="24"/>
      <c r="EAY49" s="24"/>
      <c r="EAZ49" s="24"/>
      <c r="EBA49" s="24"/>
      <c r="EBB49" s="24"/>
      <c r="EBC49" s="24"/>
      <c r="EBD49" s="24"/>
      <c r="EBE49" s="24"/>
      <c r="EBF49" s="24"/>
      <c r="EBG49" s="24"/>
      <c r="EBH49" s="24"/>
      <c r="EBI49" s="24"/>
      <c r="EBJ49" s="24"/>
      <c r="EBK49" s="24"/>
      <c r="EBL49" s="24"/>
      <c r="EBM49" s="24"/>
      <c r="EBN49" s="24"/>
      <c r="EBO49" s="24"/>
      <c r="EBP49" s="24"/>
      <c r="EBQ49" s="24"/>
      <c r="EBR49" s="24"/>
      <c r="EBS49" s="24"/>
      <c r="EBT49" s="24"/>
      <c r="EBU49" s="24"/>
      <c r="EBV49" s="24"/>
      <c r="EBW49" s="24"/>
      <c r="EBX49" s="24"/>
      <c r="EBY49" s="24"/>
      <c r="EBZ49" s="24"/>
      <c r="ECA49" s="24"/>
      <c r="ECB49" s="24"/>
      <c r="ECC49" s="24"/>
      <c r="ECD49" s="24"/>
      <c r="ECE49" s="24"/>
      <c r="ECF49" s="24"/>
      <c r="ECG49" s="24"/>
      <c r="ECH49" s="24"/>
      <c r="ECI49" s="24"/>
      <c r="ECJ49" s="24"/>
      <c r="ECK49" s="24"/>
      <c r="ECL49" s="24"/>
      <c r="ECM49" s="24"/>
      <c r="ECN49" s="24"/>
      <c r="ECO49" s="24"/>
      <c r="ECP49" s="24"/>
      <c r="ECQ49" s="24"/>
      <c r="ECR49" s="24"/>
      <c r="ECS49" s="24"/>
      <c r="ECT49" s="24"/>
      <c r="ECU49" s="24"/>
      <c r="ECV49" s="24"/>
      <c r="ECW49" s="24"/>
      <c r="ECX49" s="24"/>
      <c r="ECY49" s="24"/>
      <c r="ECZ49" s="24"/>
      <c r="EDA49" s="24"/>
      <c r="EDB49" s="24"/>
      <c r="EDC49" s="24"/>
      <c r="EDD49" s="24"/>
      <c r="EDE49" s="24"/>
      <c r="EDF49" s="24"/>
      <c r="EDG49" s="24"/>
      <c r="EDH49" s="24"/>
      <c r="EDI49" s="24"/>
      <c r="EDJ49" s="24"/>
      <c r="EDK49" s="24"/>
      <c r="EDL49" s="24"/>
      <c r="EDM49" s="24"/>
      <c r="EDN49" s="24"/>
      <c r="EDO49" s="24"/>
      <c r="EDP49" s="24"/>
      <c r="EDQ49" s="24"/>
      <c r="EDR49" s="24"/>
      <c r="EDS49" s="24"/>
      <c r="EDT49" s="24"/>
      <c r="EDU49" s="24"/>
      <c r="EDV49" s="24"/>
      <c r="EDW49" s="24"/>
      <c r="EDX49" s="24"/>
      <c r="EDY49" s="24"/>
      <c r="EDZ49" s="24"/>
      <c r="EEA49" s="24"/>
      <c r="EEB49" s="24"/>
      <c r="EEC49" s="24"/>
      <c r="EED49" s="24"/>
      <c r="EEE49" s="24"/>
      <c r="EEF49" s="24"/>
      <c r="EEG49" s="24"/>
      <c r="EEH49" s="24"/>
      <c r="EEI49" s="24"/>
      <c r="EEJ49" s="24"/>
      <c r="EEK49" s="24"/>
      <c r="EEL49" s="24"/>
      <c r="EEM49" s="24"/>
      <c r="EEN49" s="24"/>
      <c r="EEO49" s="24"/>
      <c r="EEP49" s="24"/>
      <c r="EEQ49" s="24"/>
      <c r="EER49" s="24"/>
      <c r="EES49" s="24"/>
      <c r="EET49" s="24"/>
      <c r="EEU49" s="24"/>
      <c r="EEV49" s="24"/>
      <c r="EEW49" s="24"/>
      <c r="EEX49" s="24"/>
      <c r="EEY49" s="24"/>
      <c r="EEZ49" s="24"/>
      <c r="EFA49" s="24"/>
      <c r="EFB49" s="24"/>
      <c r="EFC49" s="24"/>
      <c r="EFD49" s="24"/>
      <c r="EFE49" s="24"/>
      <c r="EFF49" s="24"/>
      <c r="EFG49" s="24"/>
      <c r="EFH49" s="24"/>
      <c r="EFI49" s="24"/>
      <c r="EFJ49" s="24"/>
      <c r="EFK49" s="24"/>
      <c r="EFL49" s="24"/>
      <c r="EFM49" s="24"/>
      <c r="EFN49" s="24"/>
      <c r="EFO49" s="24"/>
      <c r="EFP49" s="24"/>
      <c r="EFQ49" s="24"/>
      <c r="EFR49" s="24"/>
      <c r="EFS49" s="24"/>
      <c r="EFT49" s="24"/>
      <c r="EFU49" s="24"/>
      <c r="EFV49" s="24"/>
      <c r="EFW49" s="24"/>
      <c r="EFX49" s="24"/>
      <c r="EFY49" s="24"/>
      <c r="EFZ49" s="24"/>
      <c r="EGA49" s="24"/>
      <c r="EGB49" s="24"/>
      <c r="EGC49" s="24"/>
      <c r="EGD49" s="24"/>
      <c r="EGE49" s="24"/>
      <c r="EGF49" s="24"/>
      <c r="EGG49" s="24"/>
      <c r="EGH49" s="24"/>
      <c r="EGI49" s="24"/>
      <c r="EGJ49" s="24"/>
      <c r="EGK49" s="24"/>
      <c r="EGL49" s="24"/>
      <c r="EGM49" s="24"/>
      <c r="EGN49" s="24"/>
      <c r="EGO49" s="24"/>
      <c r="EGP49" s="24"/>
      <c r="EGQ49" s="24"/>
      <c r="EGR49" s="24"/>
      <c r="EGS49" s="24"/>
      <c r="EGT49" s="24"/>
      <c r="EGU49" s="24"/>
      <c r="EGV49" s="24"/>
      <c r="EGW49" s="24"/>
      <c r="EGX49" s="24"/>
      <c r="EGY49" s="24"/>
      <c r="EGZ49" s="24"/>
      <c r="EHA49" s="24"/>
      <c r="EHB49" s="24"/>
      <c r="EHC49" s="24"/>
      <c r="EHD49" s="24"/>
      <c r="EHE49" s="24"/>
      <c r="EHF49" s="24"/>
      <c r="EHG49" s="24"/>
      <c r="EHH49" s="24"/>
      <c r="EHI49" s="24"/>
      <c r="EHJ49" s="24"/>
      <c r="EHK49" s="24"/>
      <c r="EHL49" s="24"/>
      <c r="EHM49" s="24"/>
      <c r="EHN49" s="24"/>
      <c r="EHO49" s="24"/>
      <c r="EHP49" s="24"/>
      <c r="EHQ49" s="24"/>
      <c r="EHR49" s="24"/>
      <c r="EHS49" s="24"/>
      <c r="EHT49" s="24"/>
      <c r="EHU49" s="24"/>
      <c r="EHV49" s="24"/>
      <c r="EHW49" s="24"/>
      <c r="EHX49" s="24"/>
      <c r="EHY49" s="24"/>
      <c r="EHZ49" s="24"/>
      <c r="EIA49" s="24"/>
      <c r="EIB49" s="24"/>
      <c r="EIC49" s="24"/>
      <c r="EID49" s="24"/>
      <c r="EIE49" s="24"/>
      <c r="EIF49" s="24"/>
      <c r="EIG49" s="24"/>
      <c r="EIH49" s="24"/>
      <c r="EII49" s="24"/>
      <c r="EIJ49" s="24"/>
      <c r="EIK49" s="24"/>
      <c r="EIL49" s="24"/>
      <c r="EIM49" s="24"/>
      <c r="EIN49" s="24"/>
      <c r="EIO49" s="24"/>
      <c r="EIP49" s="24"/>
      <c r="EIQ49" s="24"/>
      <c r="EIR49" s="24"/>
      <c r="EIS49" s="24"/>
      <c r="EIT49" s="24"/>
      <c r="EIU49" s="24"/>
      <c r="EIV49" s="24"/>
      <c r="EIW49" s="24"/>
      <c r="EIX49" s="24"/>
      <c r="EIY49" s="24"/>
      <c r="EIZ49" s="24"/>
      <c r="EJA49" s="24"/>
      <c r="EJB49" s="24"/>
      <c r="EJC49" s="24"/>
      <c r="EJD49" s="24"/>
      <c r="EJE49" s="24"/>
      <c r="EJF49" s="24"/>
      <c r="EJG49" s="24"/>
      <c r="EJH49" s="24"/>
      <c r="EJI49" s="24"/>
      <c r="EJJ49" s="24"/>
      <c r="EJK49" s="24"/>
      <c r="EJL49" s="24"/>
      <c r="EJM49" s="24"/>
      <c r="EJN49" s="24"/>
      <c r="EJO49" s="24"/>
      <c r="EJP49" s="24"/>
      <c r="EJQ49" s="24"/>
      <c r="EJR49" s="24"/>
      <c r="EJS49" s="24"/>
      <c r="EJT49" s="24"/>
      <c r="EJU49" s="24"/>
      <c r="EJV49" s="24"/>
      <c r="EJW49" s="24"/>
      <c r="EJX49" s="24"/>
      <c r="EJY49" s="24"/>
      <c r="EJZ49" s="24"/>
      <c r="EKA49" s="24"/>
      <c r="EKB49" s="24"/>
      <c r="EKC49" s="24"/>
      <c r="EKD49" s="24"/>
      <c r="EKE49" s="24"/>
      <c r="EKF49" s="24"/>
      <c r="EKG49" s="24"/>
      <c r="EKH49" s="24"/>
      <c r="EKI49" s="24"/>
      <c r="EKJ49" s="24"/>
      <c r="EKK49" s="24"/>
      <c r="EKL49" s="24"/>
      <c r="EKM49" s="24"/>
      <c r="EKN49" s="24"/>
      <c r="EKO49" s="24"/>
      <c r="EKP49" s="24"/>
      <c r="EKQ49" s="24"/>
      <c r="EKR49" s="24"/>
      <c r="EKS49" s="24"/>
      <c r="EKT49" s="24"/>
      <c r="EKU49" s="24"/>
      <c r="EKV49" s="24"/>
      <c r="EKW49" s="24"/>
      <c r="EKX49" s="24"/>
      <c r="EKY49" s="24"/>
      <c r="EKZ49" s="24"/>
      <c r="ELA49" s="24"/>
      <c r="ELB49" s="24"/>
      <c r="ELC49" s="24"/>
      <c r="ELD49" s="24"/>
      <c r="ELE49" s="24"/>
      <c r="ELF49" s="24"/>
      <c r="ELG49" s="24"/>
      <c r="ELH49" s="24"/>
      <c r="ELI49" s="24"/>
      <c r="ELJ49" s="24"/>
      <c r="ELK49" s="24"/>
      <c r="ELL49" s="24"/>
      <c r="ELM49" s="24"/>
      <c r="ELN49" s="24"/>
      <c r="ELO49" s="24"/>
      <c r="ELP49" s="24"/>
      <c r="ELQ49" s="24"/>
      <c r="ELR49" s="24"/>
      <c r="ELS49" s="24"/>
      <c r="ELT49" s="24"/>
      <c r="ELU49" s="24"/>
      <c r="ELV49" s="24"/>
      <c r="ELW49" s="24"/>
      <c r="ELX49" s="24"/>
      <c r="ELY49" s="24"/>
      <c r="ELZ49" s="24"/>
      <c r="EMA49" s="24"/>
      <c r="EMB49" s="24"/>
      <c r="EMC49" s="24"/>
      <c r="EMD49" s="24"/>
      <c r="EME49" s="24"/>
      <c r="EMF49" s="24"/>
      <c r="EMG49" s="24"/>
      <c r="EMH49" s="24"/>
      <c r="EMI49" s="24"/>
      <c r="EMJ49" s="24"/>
      <c r="EMK49" s="24"/>
      <c r="EML49" s="24"/>
      <c r="EMM49" s="24"/>
      <c r="EMN49" s="24"/>
      <c r="EMO49" s="24"/>
      <c r="EMP49" s="24"/>
      <c r="EMQ49" s="24"/>
      <c r="EMR49" s="24"/>
      <c r="EMS49" s="24"/>
      <c r="EMT49" s="24"/>
      <c r="EMU49" s="24"/>
      <c r="EMV49" s="24"/>
      <c r="EMW49" s="24"/>
      <c r="EMX49" s="24"/>
      <c r="EMY49" s="24"/>
      <c r="EMZ49" s="24"/>
      <c r="ENA49" s="24"/>
      <c r="ENB49" s="24"/>
      <c r="ENC49" s="24"/>
      <c r="END49" s="24"/>
      <c r="ENE49" s="24"/>
      <c r="ENF49" s="24"/>
      <c r="ENG49" s="24"/>
      <c r="ENH49" s="24"/>
      <c r="ENI49" s="24"/>
      <c r="ENJ49" s="24"/>
      <c r="ENK49" s="24"/>
      <c r="ENL49" s="24"/>
      <c r="ENM49" s="24"/>
      <c r="ENN49" s="24"/>
      <c r="ENO49" s="24"/>
      <c r="ENP49" s="24"/>
      <c r="ENQ49" s="24"/>
      <c r="ENR49" s="24"/>
      <c r="ENS49" s="24"/>
      <c r="ENT49" s="24"/>
      <c r="ENU49" s="24"/>
      <c r="ENV49" s="24"/>
      <c r="ENW49" s="24"/>
      <c r="ENX49" s="24"/>
      <c r="ENY49" s="24"/>
      <c r="ENZ49" s="24"/>
      <c r="EOA49" s="24"/>
      <c r="EOB49" s="24"/>
      <c r="EOC49" s="24"/>
      <c r="EOD49" s="24"/>
      <c r="EOE49" s="24"/>
      <c r="EOF49" s="24"/>
      <c r="EOG49" s="24"/>
      <c r="EOH49" s="24"/>
      <c r="EOI49" s="24"/>
      <c r="EOJ49" s="24"/>
      <c r="EOK49" s="24"/>
      <c r="EOL49" s="24"/>
      <c r="EOM49" s="24"/>
      <c r="EON49" s="24"/>
      <c r="EOO49" s="24"/>
      <c r="EOP49" s="24"/>
      <c r="EOQ49" s="24"/>
      <c r="EOR49" s="24"/>
      <c r="EOS49" s="24"/>
      <c r="EOT49" s="24"/>
      <c r="EOU49" s="24"/>
      <c r="EOV49" s="24"/>
      <c r="EOW49" s="24"/>
      <c r="EOX49" s="24"/>
      <c r="EOY49" s="24"/>
      <c r="EOZ49" s="24"/>
      <c r="EPA49" s="24"/>
      <c r="EPB49" s="24"/>
      <c r="EPC49" s="24"/>
      <c r="EPD49" s="24"/>
      <c r="EPE49" s="24"/>
      <c r="EPF49" s="24"/>
      <c r="EPG49" s="24"/>
      <c r="EPH49" s="24"/>
      <c r="EPI49" s="24"/>
      <c r="EPJ49" s="24"/>
      <c r="EPK49" s="24"/>
      <c r="EPL49" s="24"/>
      <c r="EPM49" s="24"/>
      <c r="EPN49" s="24"/>
      <c r="EPO49" s="24"/>
      <c r="EPP49" s="24"/>
      <c r="EPQ49" s="24"/>
      <c r="EPR49" s="24"/>
      <c r="EPS49" s="24"/>
      <c r="EPT49" s="24"/>
      <c r="EPU49" s="24"/>
      <c r="EPV49" s="24"/>
      <c r="EPW49" s="24"/>
      <c r="EPX49" s="24"/>
      <c r="EPY49" s="24"/>
      <c r="EPZ49" s="24"/>
      <c r="EQA49" s="24"/>
      <c r="EQB49" s="24"/>
      <c r="EQC49" s="24"/>
      <c r="EQD49" s="24"/>
      <c r="EQE49" s="24"/>
      <c r="EQF49" s="24"/>
      <c r="EQG49" s="24"/>
      <c r="EQH49" s="24"/>
      <c r="EQI49" s="24"/>
      <c r="EQJ49" s="24"/>
      <c r="EQK49" s="24"/>
      <c r="EQL49" s="24"/>
      <c r="EQM49" s="24"/>
      <c r="EQN49" s="24"/>
      <c r="EQO49" s="24"/>
      <c r="EQP49" s="24"/>
      <c r="EQQ49" s="24"/>
      <c r="EQR49" s="24"/>
      <c r="EQS49" s="24"/>
      <c r="EQT49" s="24"/>
      <c r="EQU49" s="24"/>
      <c r="EQV49" s="24"/>
      <c r="EQW49" s="24"/>
      <c r="EQX49" s="24"/>
      <c r="EQY49" s="24"/>
      <c r="EQZ49" s="24"/>
      <c r="ERA49" s="24"/>
      <c r="ERB49" s="24"/>
      <c r="ERC49" s="24"/>
      <c r="ERD49" s="24"/>
      <c r="ERE49" s="24"/>
      <c r="ERF49" s="24"/>
      <c r="ERG49" s="24"/>
      <c r="ERH49" s="24"/>
      <c r="ERI49" s="24"/>
      <c r="ERJ49" s="24"/>
      <c r="ERK49" s="24"/>
      <c r="ERL49" s="24"/>
      <c r="ERM49" s="24"/>
      <c r="ERN49" s="24"/>
      <c r="ERO49" s="24"/>
      <c r="ERP49" s="24"/>
      <c r="ERQ49" s="24"/>
      <c r="ERR49" s="24"/>
      <c r="ERS49" s="24"/>
      <c r="ERT49" s="24"/>
      <c r="ERU49" s="24"/>
      <c r="ERV49" s="24"/>
      <c r="ERW49" s="24"/>
      <c r="ERX49" s="24"/>
      <c r="ERY49" s="24"/>
      <c r="ERZ49" s="24"/>
      <c r="ESA49" s="24"/>
      <c r="ESB49" s="24"/>
      <c r="ESC49" s="24"/>
      <c r="ESD49" s="24"/>
      <c r="ESE49" s="24"/>
      <c r="ESF49" s="24"/>
      <c r="ESG49" s="24"/>
      <c r="ESH49" s="24"/>
      <c r="ESI49" s="24"/>
      <c r="ESJ49" s="24"/>
      <c r="ESK49" s="24"/>
      <c r="ESL49" s="24"/>
      <c r="ESM49" s="24"/>
      <c r="ESN49" s="24"/>
      <c r="ESO49" s="24"/>
      <c r="ESP49" s="24"/>
      <c r="ESQ49" s="24"/>
      <c r="ESR49" s="24"/>
      <c r="ESS49" s="24"/>
      <c r="EST49" s="24"/>
      <c r="ESU49" s="24"/>
      <c r="ESV49" s="24"/>
      <c r="ESW49" s="24"/>
      <c r="ESX49" s="24"/>
      <c r="ESY49" s="24"/>
      <c r="ESZ49" s="24"/>
      <c r="ETA49" s="24"/>
      <c r="ETB49" s="24"/>
      <c r="ETC49" s="24"/>
      <c r="ETD49" s="24"/>
      <c r="ETE49" s="24"/>
      <c r="ETF49" s="24"/>
      <c r="ETG49" s="24"/>
      <c r="ETH49" s="24"/>
      <c r="ETI49" s="24"/>
      <c r="ETJ49" s="24"/>
      <c r="ETK49" s="24"/>
      <c r="ETL49" s="24"/>
      <c r="ETM49" s="24"/>
      <c r="ETN49" s="24"/>
      <c r="ETO49" s="24"/>
      <c r="ETP49" s="24"/>
      <c r="ETQ49" s="24"/>
      <c r="ETR49" s="24"/>
      <c r="ETS49" s="24"/>
      <c r="ETT49" s="24"/>
      <c r="ETU49" s="24"/>
      <c r="ETV49" s="24"/>
      <c r="ETW49" s="24"/>
      <c r="ETX49" s="24"/>
      <c r="ETY49" s="24"/>
      <c r="ETZ49" s="24"/>
      <c r="EUA49" s="24"/>
      <c r="EUB49" s="24"/>
      <c r="EUC49" s="24"/>
      <c r="EUD49" s="24"/>
      <c r="EUE49" s="24"/>
      <c r="EUF49" s="24"/>
      <c r="EUG49" s="24"/>
      <c r="EUH49" s="24"/>
      <c r="EUI49" s="24"/>
      <c r="EUJ49" s="24"/>
      <c r="EUK49" s="24"/>
      <c r="EUL49" s="24"/>
      <c r="EUM49" s="24"/>
      <c r="EUN49" s="24"/>
      <c r="EUO49" s="24"/>
      <c r="EUP49" s="24"/>
      <c r="EUQ49" s="24"/>
      <c r="EUR49" s="24"/>
      <c r="EUS49" s="24"/>
      <c r="EUT49" s="24"/>
      <c r="EUU49" s="24"/>
      <c r="EUV49" s="24"/>
      <c r="EUW49" s="24"/>
      <c r="EUX49" s="24"/>
      <c r="EUY49" s="24"/>
      <c r="EUZ49" s="24"/>
      <c r="EVA49" s="24"/>
      <c r="EVB49" s="24"/>
      <c r="EVC49" s="24"/>
      <c r="EVD49" s="24"/>
      <c r="EVE49" s="24"/>
      <c r="EVF49" s="24"/>
      <c r="EVG49" s="24"/>
      <c r="EVH49" s="24"/>
      <c r="EVI49" s="24"/>
      <c r="EVJ49" s="24"/>
      <c r="EVK49" s="24"/>
      <c r="EVL49" s="24"/>
      <c r="EVM49" s="24"/>
      <c r="EVN49" s="24"/>
      <c r="EVO49" s="24"/>
      <c r="EVP49" s="24"/>
      <c r="EVQ49" s="24"/>
      <c r="EVR49" s="24"/>
      <c r="EVS49" s="24"/>
      <c r="EVT49" s="24"/>
      <c r="EVU49" s="24"/>
      <c r="EVV49" s="24"/>
      <c r="EVW49" s="24"/>
      <c r="EVX49" s="24"/>
      <c r="EVY49" s="24"/>
      <c r="EVZ49" s="24"/>
      <c r="EWA49" s="24"/>
      <c r="EWB49" s="24"/>
      <c r="EWC49" s="24"/>
      <c r="EWD49" s="24"/>
      <c r="EWE49" s="24"/>
      <c r="EWF49" s="24"/>
      <c r="EWG49" s="24"/>
      <c r="EWH49" s="24"/>
      <c r="EWI49" s="24"/>
      <c r="EWJ49" s="24"/>
      <c r="EWK49" s="24"/>
      <c r="EWL49" s="24"/>
      <c r="EWM49" s="24"/>
      <c r="EWN49" s="24"/>
      <c r="EWO49" s="24"/>
      <c r="EWP49" s="24"/>
      <c r="EWQ49" s="24"/>
      <c r="EWR49" s="24"/>
      <c r="EWS49" s="24"/>
      <c r="EWT49" s="24"/>
      <c r="EWU49" s="24"/>
      <c r="EWV49" s="24"/>
      <c r="EWW49" s="24"/>
      <c r="EWX49" s="24"/>
      <c r="EWY49" s="24"/>
      <c r="EWZ49" s="24"/>
      <c r="EXA49" s="24"/>
      <c r="EXB49" s="24"/>
      <c r="EXC49" s="24"/>
      <c r="EXD49" s="24"/>
      <c r="EXE49" s="24"/>
      <c r="EXF49" s="24"/>
      <c r="EXG49" s="24"/>
      <c r="EXH49" s="24"/>
      <c r="EXI49" s="24"/>
      <c r="EXJ49" s="24"/>
      <c r="EXK49" s="24"/>
      <c r="EXL49" s="24"/>
      <c r="EXM49" s="24"/>
      <c r="EXN49" s="24"/>
      <c r="EXO49" s="24"/>
      <c r="EXP49" s="24"/>
      <c r="EXQ49" s="24"/>
      <c r="EXR49" s="24"/>
      <c r="EXS49" s="24"/>
      <c r="EXT49" s="24"/>
      <c r="EXU49" s="24"/>
      <c r="EXV49" s="24"/>
      <c r="EXW49" s="24"/>
      <c r="EXX49" s="24"/>
      <c r="EXY49" s="24"/>
      <c r="EXZ49" s="24"/>
      <c r="EYA49" s="24"/>
      <c r="EYB49" s="24"/>
      <c r="EYC49" s="24"/>
      <c r="EYD49" s="24"/>
      <c r="EYE49" s="24"/>
      <c r="EYF49" s="24"/>
      <c r="EYG49" s="24"/>
      <c r="EYH49" s="24"/>
      <c r="EYI49" s="24"/>
      <c r="EYJ49" s="24"/>
      <c r="EYK49" s="24"/>
      <c r="EYL49" s="24"/>
      <c r="EYM49" s="24"/>
      <c r="EYN49" s="24"/>
      <c r="EYO49" s="24"/>
      <c r="EYP49" s="24"/>
      <c r="EYQ49" s="24"/>
      <c r="EYR49" s="24"/>
      <c r="EYS49" s="24"/>
      <c r="EYT49" s="24"/>
      <c r="EYU49" s="24"/>
      <c r="EYV49" s="24"/>
      <c r="EYW49" s="24"/>
      <c r="EYX49" s="24"/>
      <c r="EYY49" s="24"/>
      <c r="EYZ49" s="24"/>
      <c r="EZA49" s="24"/>
      <c r="EZB49" s="24"/>
      <c r="EZC49" s="24"/>
      <c r="EZD49" s="24"/>
      <c r="EZE49" s="24"/>
      <c r="EZF49" s="24"/>
      <c r="EZG49" s="24"/>
      <c r="EZH49" s="24"/>
      <c r="EZI49" s="24"/>
      <c r="EZJ49" s="24"/>
      <c r="EZK49" s="24"/>
      <c r="EZL49" s="24"/>
      <c r="EZM49" s="24"/>
      <c r="EZN49" s="24"/>
      <c r="EZO49" s="24"/>
      <c r="EZP49" s="24"/>
      <c r="EZQ49" s="24"/>
      <c r="EZR49" s="24"/>
      <c r="EZS49" s="24"/>
      <c r="EZT49" s="24"/>
      <c r="EZU49" s="24"/>
      <c r="EZV49" s="24"/>
      <c r="EZW49" s="24"/>
      <c r="EZX49" s="24"/>
      <c r="EZY49" s="24"/>
      <c r="EZZ49" s="24"/>
      <c r="FAA49" s="24"/>
      <c r="FAB49" s="24"/>
      <c r="FAC49" s="24"/>
      <c r="FAD49" s="24"/>
      <c r="FAE49" s="24"/>
      <c r="FAF49" s="24"/>
      <c r="FAG49" s="24"/>
      <c r="FAH49" s="24"/>
      <c r="FAI49" s="24"/>
      <c r="FAJ49" s="24"/>
      <c r="FAK49" s="24"/>
      <c r="FAL49" s="24"/>
      <c r="FAM49" s="24"/>
      <c r="FAN49" s="24"/>
      <c r="FAO49" s="24"/>
      <c r="FAP49" s="24"/>
      <c r="FAQ49" s="24"/>
      <c r="FAR49" s="24"/>
      <c r="FAS49" s="24"/>
      <c r="FAT49" s="24"/>
      <c r="FAU49" s="24"/>
      <c r="FAV49" s="24"/>
      <c r="FAW49" s="24"/>
      <c r="FAX49" s="24"/>
      <c r="FAY49" s="24"/>
      <c r="FAZ49" s="24"/>
      <c r="FBA49" s="24"/>
      <c r="FBB49" s="24"/>
      <c r="FBC49" s="24"/>
      <c r="FBD49" s="24"/>
      <c r="FBE49" s="24"/>
      <c r="FBF49" s="24"/>
      <c r="FBG49" s="24"/>
      <c r="FBH49" s="24"/>
      <c r="FBI49" s="24"/>
      <c r="FBJ49" s="24"/>
      <c r="FBK49" s="24"/>
      <c r="FBL49" s="24"/>
      <c r="FBM49" s="24"/>
      <c r="FBN49" s="24"/>
      <c r="FBO49" s="24"/>
      <c r="FBP49" s="24"/>
      <c r="FBQ49" s="24"/>
      <c r="FBR49" s="24"/>
      <c r="FBS49" s="24"/>
      <c r="FBT49" s="24"/>
      <c r="FBU49" s="24"/>
      <c r="FBV49" s="24"/>
      <c r="FBW49" s="24"/>
      <c r="FBX49" s="24"/>
      <c r="FBY49" s="24"/>
      <c r="FBZ49" s="24"/>
      <c r="FCA49" s="24"/>
      <c r="FCB49" s="24"/>
      <c r="FCC49" s="24"/>
      <c r="FCD49" s="24"/>
      <c r="FCE49" s="24"/>
      <c r="FCF49" s="24"/>
      <c r="FCG49" s="24"/>
      <c r="FCH49" s="24"/>
      <c r="FCI49" s="24"/>
      <c r="FCJ49" s="24"/>
      <c r="FCK49" s="24"/>
      <c r="FCL49" s="24"/>
      <c r="FCM49" s="24"/>
      <c r="FCN49" s="24"/>
      <c r="FCO49" s="24"/>
      <c r="FCP49" s="24"/>
      <c r="FCQ49" s="24"/>
      <c r="FCR49" s="24"/>
      <c r="FCS49" s="24"/>
      <c r="FCT49" s="24"/>
      <c r="FCU49" s="24"/>
      <c r="FCV49" s="24"/>
      <c r="FCW49" s="24"/>
      <c r="FCX49" s="24"/>
      <c r="FCY49" s="24"/>
      <c r="FCZ49" s="24"/>
      <c r="FDA49" s="24"/>
      <c r="FDB49" s="24"/>
      <c r="FDC49" s="24"/>
      <c r="FDD49" s="24"/>
      <c r="FDE49" s="24"/>
      <c r="FDF49" s="24"/>
      <c r="FDG49" s="24"/>
      <c r="FDH49" s="24"/>
      <c r="FDI49" s="24"/>
      <c r="FDJ49" s="24"/>
      <c r="FDK49" s="24"/>
      <c r="FDL49" s="24"/>
      <c r="FDM49" s="24"/>
      <c r="FDN49" s="24"/>
      <c r="FDO49" s="24"/>
      <c r="FDP49" s="24"/>
      <c r="FDQ49" s="24"/>
      <c r="FDR49" s="24"/>
      <c r="FDS49" s="24"/>
      <c r="FDT49" s="24"/>
      <c r="FDU49" s="24"/>
      <c r="FDV49" s="24"/>
      <c r="FDW49" s="24"/>
      <c r="FDX49" s="24"/>
      <c r="FDY49" s="24"/>
      <c r="FDZ49" s="24"/>
      <c r="FEA49" s="24"/>
      <c r="FEB49" s="24"/>
      <c r="FEC49" s="24"/>
      <c r="FED49" s="24"/>
      <c r="FEE49" s="24"/>
      <c r="FEF49" s="24"/>
      <c r="FEG49" s="24"/>
      <c r="FEH49" s="24"/>
      <c r="FEI49" s="24"/>
      <c r="FEJ49" s="24"/>
      <c r="FEK49" s="24"/>
      <c r="FEL49" s="24"/>
      <c r="FEM49" s="24"/>
      <c r="FEN49" s="24"/>
      <c r="FEO49" s="24"/>
      <c r="FEP49" s="24"/>
      <c r="FEQ49" s="24"/>
      <c r="FER49" s="24"/>
      <c r="FES49" s="24"/>
      <c r="FET49" s="24"/>
      <c r="FEU49" s="24"/>
      <c r="FEV49" s="24"/>
      <c r="FEW49" s="24"/>
      <c r="FEX49" s="24"/>
      <c r="FEY49" s="24"/>
      <c r="FEZ49" s="24"/>
      <c r="FFA49" s="24"/>
      <c r="FFB49" s="24"/>
      <c r="FFC49" s="24"/>
      <c r="FFD49" s="24"/>
      <c r="FFE49" s="24"/>
      <c r="FFF49" s="24"/>
      <c r="FFG49" s="24"/>
      <c r="FFH49" s="24"/>
      <c r="FFI49" s="24"/>
      <c r="FFJ49" s="24"/>
      <c r="FFK49" s="24"/>
      <c r="FFL49" s="24"/>
      <c r="FFM49" s="24"/>
      <c r="FFN49" s="24"/>
      <c r="FFO49" s="24"/>
      <c r="FFP49" s="24"/>
      <c r="FFQ49" s="24"/>
      <c r="FFR49" s="24"/>
      <c r="FFS49" s="24"/>
      <c r="FFT49" s="24"/>
      <c r="FFU49" s="24"/>
      <c r="FFV49" s="24"/>
      <c r="FFW49" s="24"/>
      <c r="FFX49" s="24"/>
      <c r="FFY49" s="24"/>
      <c r="FFZ49" s="24"/>
      <c r="FGA49" s="24"/>
      <c r="FGB49" s="24"/>
      <c r="FGC49" s="24"/>
      <c r="FGD49" s="24"/>
      <c r="FGE49" s="24"/>
      <c r="FGF49" s="24"/>
      <c r="FGG49" s="24"/>
      <c r="FGH49" s="24"/>
      <c r="FGI49" s="24"/>
      <c r="FGJ49" s="24"/>
      <c r="FGK49" s="24"/>
      <c r="FGL49" s="24"/>
      <c r="FGM49" s="24"/>
      <c r="FGN49" s="24"/>
      <c r="FGO49" s="24"/>
      <c r="FGP49" s="24"/>
      <c r="FGQ49" s="24"/>
      <c r="FGR49" s="24"/>
      <c r="FGS49" s="24"/>
      <c r="FGT49" s="24"/>
      <c r="FGU49" s="24"/>
      <c r="FGV49" s="24"/>
      <c r="FGW49" s="24"/>
      <c r="FGX49" s="24"/>
      <c r="FGY49" s="24"/>
      <c r="FGZ49" s="24"/>
      <c r="FHA49" s="24"/>
      <c r="FHB49" s="24"/>
      <c r="FHC49" s="24"/>
      <c r="FHD49" s="24"/>
      <c r="FHE49" s="24"/>
      <c r="FHF49" s="24"/>
      <c r="FHG49" s="24"/>
      <c r="FHH49" s="24"/>
      <c r="FHI49" s="24"/>
      <c r="FHJ49" s="24"/>
      <c r="FHK49" s="24"/>
      <c r="FHL49" s="24"/>
      <c r="FHM49" s="24"/>
      <c r="FHN49" s="24"/>
      <c r="FHO49" s="24"/>
      <c r="FHP49" s="24"/>
      <c r="FHQ49" s="24"/>
      <c r="FHR49" s="24"/>
      <c r="FHS49" s="24"/>
      <c r="FHT49" s="24"/>
      <c r="FHU49" s="24"/>
      <c r="FHV49" s="24"/>
      <c r="FHW49" s="24"/>
      <c r="FHX49" s="24"/>
      <c r="FHY49" s="24"/>
      <c r="FHZ49" s="24"/>
      <c r="FIA49" s="24"/>
      <c r="FIB49" s="24"/>
      <c r="FIC49" s="24"/>
      <c r="FID49" s="24"/>
      <c r="FIE49" s="24"/>
      <c r="FIF49" s="24"/>
      <c r="FIG49" s="24"/>
      <c r="FIH49" s="24"/>
      <c r="FII49" s="24"/>
      <c r="FIJ49" s="24"/>
      <c r="FIK49" s="24"/>
      <c r="FIL49" s="24"/>
      <c r="FIM49" s="24"/>
      <c r="FIN49" s="24"/>
      <c r="FIO49" s="24"/>
      <c r="FIP49" s="24"/>
      <c r="FIQ49" s="24"/>
      <c r="FIR49" s="24"/>
      <c r="FIS49" s="24"/>
      <c r="FIT49" s="24"/>
      <c r="FIU49" s="24"/>
      <c r="FIV49" s="24"/>
      <c r="FIW49" s="24"/>
      <c r="FIX49" s="24"/>
      <c r="FIY49" s="24"/>
      <c r="FIZ49" s="24"/>
      <c r="FJA49" s="24"/>
      <c r="FJB49" s="24"/>
      <c r="FJC49" s="24"/>
      <c r="FJD49" s="24"/>
      <c r="FJE49" s="24"/>
      <c r="FJF49" s="24"/>
      <c r="FJG49" s="24"/>
      <c r="FJH49" s="24"/>
      <c r="FJI49" s="24"/>
      <c r="FJJ49" s="24"/>
      <c r="FJK49" s="24"/>
      <c r="FJL49" s="24"/>
      <c r="FJM49" s="24"/>
      <c r="FJN49" s="24"/>
      <c r="FJO49" s="24"/>
      <c r="FJP49" s="24"/>
      <c r="FJQ49" s="24"/>
      <c r="FJR49" s="24"/>
      <c r="FJS49" s="24"/>
      <c r="FJT49" s="24"/>
      <c r="FJU49" s="24"/>
      <c r="FJV49" s="24"/>
      <c r="FJW49" s="24"/>
      <c r="FJX49" s="24"/>
      <c r="FJY49" s="24"/>
      <c r="FJZ49" s="24"/>
      <c r="FKA49" s="24"/>
      <c r="FKB49" s="24"/>
      <c r="FKC49" s="24"/>
      <c r="FKD49" s="24"/>
      <c r="FKE49" s="24"/>
      <c r="FKF49" s="24"/>
      <c r="FKG49" s="24"/>
      <c r="FKH49" s="24"/>
      <c r="FKI49" s="24"/>
      <c r="FKJ49" s="24"/>
      <c r="FKK49" s="24"/>
      <c r="FKL49" s="24"/>
      <c r="FKM49" s="24"/>
      <c r="FKN49" s="24"/>
      <c r="FKO49" s="24"/>
      <c r="FKP49" s="24"/>
      <c r="FKQ49" s="24"/>
      <c r="FKR49" s="24"/>
      <c r="FKS49" s="24"/>
      <c r="FKT49" s="24"/>
      <c r="FKU49" s="24"/>
      <c r="FKV49" s="24"/>
      <c r="FKW49" s="24"/>
      <c r="FKX49" s="24"/>
      <c r="FKY49" s="24"/>
      <c r="FKZ49" s="24"/>
      <c r="FLA49" s="24"/>
      <c r="FLB49" s="24"/>
      <c r="FLC49" s="24"/>
      <c r="FLD49" s="24"/>
      <c r="FLE49" s="24"/>
      <c r="FLF49" s="24"/>
      <c r="FLG49" s="24"/>
      <c r="FLH49" s="24"/>
      <c r="FLI49" s="24"/>
      <c r="FLJ49" s="24"/>
      <c r="FLK49" s="24"/>
      <c r="FLL49" s="24"/>
      <c r="FLM49" s="24"/>
      <c r="FLN49" s="24"/>
      <c r="FLO49" s="24"/>
      <c r="FLP49" s="24"/>
      <c r="FLQ49" s="24"/>
      <c r="FLR49" s="24"/>
      <c r="FLS49" s="24"/>
      <c r="FLT49" s="24"/>
      <c r="FLU49" s="24"/>
      <c r="FLV49" s="24"/>
      <c r="FLW49" s="24"/>
      <c r="FLX49" s="24"/>
      <c r="FLY49" s="24"/>
      <c r="FLZ49" s="24"/>
      <c r="FMA49" s="24"/>
      <c r="FMB49" s="24"/>
      <c r="FMC49" s="24"/>
      <c r="FMD49" s="24"/>
      <c r="FME49" s="24"/>
      <c r="FMF49" s="24"/>
      <c r="FMG49" s="24"/>
      <c r="FMH49" s="24"/>
      <c r="FMI49" s="24"/>
      <c r="FMJ49" s="24"/>
      <c r="FMK49" s="24"/>
      <c r="FML49" s="24"/>
      <c r="FMM49" s="24"/>
      <c r="FMN49" s="24"/>
      <c r="FMO49" s="24"/>
      <c r="FMP49" s="24"/>
      <c r="FMQ49" s="24"/>
      <c r="FMR49" s="24"/>
      <c r="FMS49" s="24"/>
      <c r="FMT49" s="24"/>
      <c r="FMU49" s="24"/>
      <c r="FMV49" s="24"/>
      <c r="FMW49" s="24"/>
      <c r="FMX49" s="24"/>
      <c r="FMY49" s="24"/>
      <c r="FMZ49" s="24"/>
      <c r="FNA49" s="24"/>
      <c r="FNB49" s="24"/>
      <c r="FNC49" s="24"/>
      <c r="FND49" s="24"/>
      <c r="FNE49" s="24"/>
      <c r="FNF49" s="24"/>
      <c r="FNG49" s="24"/>
      <c r="FNH49" s="24"/>
      <c r="FNI49" s="24"/>
      <c r="FNJ49" s="24"/>
      <c r="FNK49" s="24"/>
      <c r="FNL49" s="24"/>
      <c r="FNM49" s="24"/>
      <c r="FNN49" s="24"/>
      <c r="FNO49" s="24"/>
      <c r="FNP49" s="24"/>
      <c r="FNQ49" s="24"/>
      <c r="FNR49" s="24"/>
      <c r="FNS49" s="24"/>
      <c r="FNT49" s="24"/>
      <c r="FNU49" s="24"/>
      <c r="FNV49" s="24"/>
      <c r="FNW49" s="24"/>
      <c r="FNX49" s="24"/>
      <c r="FNY49" s="24"/>
      <c r="FNZ49" s="24"/>
      <c r="FOA49" s="24"/>
      <c r="FOB49" s="24"/>
      <c r="FOC49" s="24"/>
      <c r="FOD49" s="24"/>
      <c r="FOE49" s="24"/>
      <c r="FOF49" s="24"/>
      <c r="FOG49" s="24"/>
      <c r="FOH49" s="24"/>
      <c r="FOI49" s="24"/>
      <c r="FOJ49" s="24"/>
      <c r="FOK49" s="24"/>
      <c r="FOL49" s="24"/>
      <c r="FOM49" s="24"/>
      <c r="FON49" s="24"/>
      <c r="FOO49" s="24"/>
      <c r="FOP49" s="24"/>
      <c r="FOQ49" s="24"/>
      <c r="FOR49" s="24"/>
      <c r="FOS49" s="24"/>
      <c r="FOT49" s="24"/>
      <c r="FOU49" s="24"/>
      <c r="FOV49" s="24"/>
      <c r="FOW49" s="24"/>
      <c r="FOX49" s="24"/>
      <c r="FOY49" s="24"/>
      <c r="FOZ49" s="24"/>
      <c r="FPA49" s="24"/>
      <c r="FPB49" s="24"/>
      <c r="FPC49" s="24"/>
      <c r="FPD49" s="24"/>
      <c r="FPE49" s="24"/>
      <c r="FPF49" s="24"/>
      <c r="FPG49" s="24"/>
      <c r="FPH49" s="24"/>
      <c r="FPI49" s="24"/>
      <c r="FPJ49" s="24"/>
      <c r="FPK49" s="24"/>
      <c r="FPL49" s="24"/>
      <c r="FPM49" s="24"/>
      <c r="FPN49" s="24"/>
      <c r="FPO49" s="24"/>
      <c r="FPP49" s="24"/>
      <c r="FPQ49" s="24"/>
      <c r="FPR49" s="24"/>
      <c r="FPS49" s="24"/>
      <c r="FPT49" s="24"/>
      <c r="FPU49" s="24"/>
      <c r="FPV49" s="24"/>
      <c r="FPW49" s="24"/>
      <c r="FPX49" s="24"/>
      <c r="FPY49" s="24"/>
      <c r="FPZ49" s="24"/>
      <c r="FQA49" s="24"/>
      <c r="FQB49" s="24"/>
      <c r="FQC49" s="24"/>
      <c r="FQD49" s="24"/>
      <c r="FQE49" s="24"/>
      <c r="FQF49" s="24"/>
      <c r="FQG49" s="24"/>
      <c r="FQH49" s="24"/>
      <c r="FQI49" s="24"/>
      <c r="FQJ49" s="24"/>
      <c r="FQK49" s="24"/>
      <c r="FQL49" s="24"/>
      <c r="FQM49" s="24"/>
      <c r="FQN49" s="24"/>
      <c r="FQO49" s="24"/>
      <c r="FQP49" s="24"/>
      <c r="FQQ49" s="24"/>
      <c r="FQR49" s="24"/>
      <c r="FQS49" s="24"/>
      <c r="FQT49" s="24"/>
      <c r="FQU49" s="24"/>
      <c r="FQV49" s="24"/>
      <c r="FQW49" s="24"/>
      <c r="FQX49" s="24"/>
      <c r="FQY49" s="24"/>
      <c r="FQZ49" s="24"/>
      <c r="FRA49" s="24"/>
      <c r="FRB49" s="24"/>
      <c r="FRC49" s="24"/>
      <c r="FRD49" s="24"/>
      <c r="FRE49" s="24"/>
      <c r="FRF49" s="24"/>
      <c r="FRG49" s="24"/>
      <c r="FRH49" s="24"/>
      <c r="FRI49" s="24"/>
      <c r="FRJ49" s="24"/>
      <c r="FRK49" s="24"/>
      <c r="FRL49" s="24"/>
      <c r="FRM49" s="24"/>
      <c r="FRN49" s="24"/>
      <c r="FRO49" s="24"/>
      <c r="FRP49" s="24"/>
      <c r="FRQ49" s="24"/>
      <c r="FRR49" s="24"/>
      <c r="FRS49" s="24"/>
      <c r="FRT49" s="24"/>
      <c r="FRU49" s="24"/>
      <c r="FRV49" s="24"/>
      <c r="FRW49" s="24"/>
      <c r="FRX49" s="24"/>
      <c r="FRY49" s="24"/>
      <c r="FRZ49" s="24"/>
      <c r="FSA49" s="24"/>
      <c r="FSB49" s="24"/>
      <c r="FSC49" s="24"/>
      <c r="FSD49" s="24"/>
      <c r="FSE49" s="24"/>
      <c r="FSF49" s="24"/>
      <c r="FSG49" s="24"/>
      <c r="FSH49" s="24"/>
      <c r="FSI49" s="24"/>
      <c r="FSJ49" s="24"/>
      <c r="FSK49" s="24"/>
      <c r="FSL49" s="24"/>
      <c r="FSM49" s="24"/>
      <c r="FSN49" s="24"/>
      <c r="FSO49" s="24"/>
      <c r="FSP49" s="24"/>
      <c r="FSQ49" s="24"/>
      <c r="FSR49" s="24"/>
      <c r="FSS49" s="24"/>
      <c r="FST49" s="24"/>
      <c r="FSU49" s="24"/>
      <c r="FSV49" s="24"/>
      <c r="FSW49" s="24"/>
      <c r="FSX49" s="24"/>
      <c r="FSY49" s="24"/>
      <c r="FSZ49" s="24"/>
      <c r="FTA49" s="24"/>
      <c r="FTB49" s="24"/>
      <c r="FTC49" s="24"/>
      <c r="FTD49" s="24"/>
      <c r="FTE49" s="24"/>
      <c r="FTF49" s="24"/>
      <c r="FTG49" s="24"/>
      <c r="FTH49" s="24"/>
      <c r="FTI49" s="24"/>
      <c r="FTJ49" s="24"/>
      <c r="FTK49" s="24"/>
      <c r="FTL49" s="24"/>
      <c r="FTM49" s="24"/>
      <c r="FTN49" s="24"/>
      <c r="FTO49" s="24"/>
      <c r="FTP49" s="24"/>
      <c r="FTQ49" s="24"/>
      <c r="FTR49" s="24"/>
      <c r="FTS49" s="24"/>
      <c r="FTT49" s="24"/>
      <c r="FTU49" s="24"/>
      <c r="FTV49" s="24"/>
      <c r="FTW49" s="24"/>
      <c r="FTX49" s="24"/>
      <c r="FTY49" s="24"/>
      <c r="FTZ49" s="24"/>
      <c r="FUA49" s="24"/>
      <c r="FUB49" s="24"/>
      <c r="FUC49" s="24"/>
      <c r="FUD49" s="24"/>
      <c r="FUE49" s="24"/>
      <c r="FUF49" s="24"/>
      <c r="FUG49" s="24"/>
      <c r="FUH49" s="24"/>
      <c r="FUI49" s="24"/>
      <c r="FUJ49" s="24"/>
      <c r="FUK49" s="24"/>
      <c r="FUL49" s="24"/>
      <c r="FUM49" s="24"/>
      <c r="FUN49" s="24"/>
      <c r="FUO49" s="24"/>
      <c r="FUP49" s="24"/>
      <c r="FUQ49" s="24"/>
      <c r="FUR49" s="24"/>
      <c r="FUS49" s="24"/>
      <c r="FUT49" s="24"/>
      <c r="FUU49" s="24"/>
      <c r="FUV49" s="24"/>
      <c r="FUW49" s="24"/>
      <c r="FUX49" s="24"/>
      <c r="FUY49" s="24"/>
      <c r="FUZ49" s="24"/>
      <c r="FVA49" s="24"/>
      <c r="FVB49" s="24"/>
      <c r="FVC49" s="24"/>
      <c r="FVD49" s="24"/>
      <c r="FVE49" s="24"/>
      <c r="FVF49" s="24"/>
      <c r="FVG49" s="24"/>
      <c r="FVH49" s="24"/>
      <c r="FVI49" s="24"/>
      <c r="FVJ49" s="24"/>
      <c r="FVK49" s="24"/>
      <c r="FVL49" s="24"/>
      <c r="FVM49" s="24"/>
      <c r="FVN49" s="24"/>
      <c r="FVO49" s="24"/>
      <c r="FVP49" s="24"/>
      <c r="FVQ49" s="24"/>
      <c r="FVR49" s="24"/>
      <c r="FVS49" s="24"/>
      <c r="FVT49" s="24"/>
      <c r="FVU49" s="24"/>
      <c r="FVV49" s="24"/>
      <c r="FVW49" s="24"/>
      <c r="FVX49" s="24"/>
      <c r="FVY49" s="24"/>
      <c r="FVZ49" s="24"/>
      <c r="FWA49" s="24"/>
      <c r="FWB49" s="24"/>
      <c r="FWC49" s="24"/>
      <c r="FWD49" s="24"/>
      <c r="FWE49" s="24"/>
      <c r="FWF49" s="24"/>
      <c r="FWG49" s="24"/>
      <c r="FWH49" s="24"/>
      <c r="FWI49" s="24"/>
      <c r="FWJ49" s="24"/>
      <c r="FWK49" s="24"/>
      <c r="FWL49" s="24"/>
      <c r="FWM49" s="24"/>
      <c r="FWN49" s="24"/>
      <c r="FWO49" s="24"/>
      <c r="FWP49" s="24"/>
      <c r="FWQ49" s="24"/>
      <c r="FWR49" s="24"/>
      <c r="FWS49" s="24"/>
      <c r="FWT49" s="24"/>
      <c r="FWU49" s="24"/>
      <c r="FWV49" s="24"/>
      <c r="FWW49" s="24"/>
      <c r="FWX49" s="24"/>
      <c r="FWY49" s="24"/>
      <c r="FWZ49" s="24"/>
      <c r="FXA49" s="24"/>
      <c r="FXB49" s="24"/>
      <c r="FXC49" s="24"/>
      <c r="FXD49" s="24"/>
      <c r="FXE49" s="24"/>
      <c r="FXF49" s="24"/>
      <c r="FXG49" s="24"/>
      <c r="FXH49" s="24"/>
      <c r="FXI49" s="24"/>
      <c r="FXJ49" s="24"/>
      <c r="FXK49" s="24"/>
      <c r="FXL49" s="24"/>
      <c r="FXM49" s="24"/>
      <c r="FXN49" s="24"/>
      <c r="FXO49" s="24"/>
      <c r="FXP49" s="24"/>
      <c r="FXQ49" s="24"/>
      <c r="FXR49" s="24"/>
      <c r="FXS49" s="24"/>
      <c r="FXT49" s="24"/>
      <c r="FXU49" s="24"/>
      <c r="FXV49" s="24"/>
      <c r="FXW49" s="24"/>
      <c r="FXX49" s="24"/>
      <c r="FXY49" s="24"/>
      <c r="FXZ49" s="24"/>
      <c r="FYA49" s="24"/>
      <c r="FYB49" s="24"/>
      <c r="FYC49" s="24"/>
      <c r="FYD49" s="24"/>
      <c r="FYE49" s="24"/>
      <c r="FYF49" s="24"/>
      <c r="FYG49" s="24"/>
      <c r="FYH49" s="24"/>
      <c r="FYI49" s="24"/>
      <c r="FYJ49" s="24"/>
      <c r="FYK49" s="24"/>
      <c r="FYL49" s="24"/>
      <c r="FYM49" s="24"/>
      <c r="FYN49" s="24"/>
      <c r="FYO49" s="24"/>
      <c r="FYP49" s="24"/>
      <c r="FYQ49" s="24"/>
      <c r="FYR49" s="24"/>
      <c r="FYS49" s="24"/>
      <c r="FYT49" s="24"/>
      <c r="FYU49" s="24"/>
      <c r="FYV49" s="24"/>
      <c r="FYW49" s="24"/>
      <c r="FYX49" s="24"/>
      <c r="FYY49" s="24"/>
      <c r="FYZ49" s="24"/>
      <c r="FZA49" s="24"/>
      <c r="FZB49" s="24"/>
      <c r="FZC49" s="24"/>
      <c r="FZD49" s="24"/>
      <c r="FZE49" s="24"/>
      <c r="FZF49" s="24"/>
      <c r="FZG49" s="24"/>
      <c r="FZH49" s="24"/>
      <c r="FZI49" s="24"/>
      <c r="FZJ49" s="24"/>
      <c r="FZK49" s="24"/>
      <c r="FZL49" s="24"/>
      <c r="FZM49" s="24"/>
      <c r="FZN49" s="24"/>
      <c r="FZO49" s="24"/>
      <c r="FZP49" s="24"/>
      <c r="FZQ49" s="24"/>
      <c r="FZR49" s="24"/>
      <c r="FZS49" s="24"/>
      <c r="FZT49" s="24"/>
      <c r="FZU49" s="24"/>
      <c r="FZV49" s="24"/>
      <c r="FZW49" s="24"/>
      <c r="FZX49" s="24"/>
      <c r="FZY49" s="24"/>
      <c r="FZZ49" s="24"/>
      <c r="GAA49" s="24"/>
      <c r="GAB49" s="24"/>
      <c r="GAC49" s="24"/>
      <c r="GAD49" s="24"/>
      <c r="GAE49" s="24"/>
      <c r="GAF49" s="24"/>
      <c r="GAG49" s="24"/>
      <c r="GAH49" s="24"/>
      <c r="GAI49" s="24"/>
      <c r="GAJ49" s="24"/>
      <c r="GAK49" s="24"/>
      <c r="GAL49" s="24"/>
      <c r="GAM49" s="24"/>
      <c r="GAN49" s="24"/>
      <c r="GAO49" s="24"/>
      <c r="GAP49" s="24"/>
      <c r="GAQ49" s="24"/>
      <c r="GAR49" s="24"/>
      <c r="GAS49" s="24"/>
      <c r="GAT49" s="24"/>
      <c r="GAU49" s="24"/>
      <c r="GAV49" s="24"/>
      <c r="GAW49" s="24"/>
      <c r="GAX49" s="24"/>
      <c r="GAY49" s="24"/>
      <c r="GAZ49" s="24"/>
      <c r="GBA49" s="24"/>
      <c r="GBB49" s="24"/>
      <c r="GBC49" s="24"/>
      <c r="GBD49" s="24"/>
      <c r="GBE49" s="24"/>
      <c r="GBF49" s="24"/>
      <c r="GBG49" s="24"/>
      <c r="GBH49" s="24"/>
      <c r="GBI49" s="24"/>
      <c r="GBJ49" s="24"/>
      <c r="GBK49" s="24"/>
      <c r="GBL49" s="24"/>
      <c r="GBM49" s="24"/>
      <c r="GBN49" s="24"/>
      <c r="GBO49" s="24"/>
      <c r="GBP49" s="24"/>
      <c r="GBQ49" s="24"/>
      <c r="GBR49" s="24"/>
      <c r="GBS49" s="24"/>
      <c r="GBT49" s="24"/>
      <c r="GBU49" s="24"/>
      <c r="GBV49" s="24"/>
      <c r="GBW49" s="24"/>
      <c r="GBX49" s="24"/>
      <c r="GBY49" s="24"/>
      <c r="GBZ49" s="24"/>
      <c r="GCA49" s="24"/>
      <c r="GCB49" s="24"/>
      <c r="GCC49" s="24"/>
      <c r="GCD49" s="24"/>
      <c r="GCE49" s="24"/>
      <c r="GCF49" s="24"/>
      <c r="GCG49" s="24"/>
      <c r="GCH49" s="24"/>
      <c r="GCI49" s="24"/>
      <c r="GCJ49" s="24"/>
      <c r="GCK49" s="24"/>
      <c r="GCL49" s="24"/>
      <c r="GCM49" s="24"/>
      <c r="GCN49" s="24"/>
      <c r="GCO49" s="24"/>
      <c r="GCP49" s="24"/>
      <c r="GCQ49" s="24"/>
      <c r="GCR49" s="24"/>
      <c r="GCS49" s="24"/>
      <c r="GCT49" s="24"/>
      <c r="GCU49" s="24"/>
      <c r="GCV49" s="24"/>
      <c r="GCW49" s="24"/>
      <c r="GCX49" s="24"/>
      <c r="GCY49" s="24"/>
      <c r="GCZ49" s="24"/>
      <c r="GDA49" s="24"/>
      <c r="GDB49" s="24"/>
      <c r="GDC49" s="24"/>
      <c r="GDD49" s="24"/>
      <c r="GDE49" s="24"/>
      <c r="GDF49" s="24"/>
      <c r="GDG49" s="24"/>
      <c r="GDH49" s="24"/>
      <c r="GDI49" s="24"/>
      <c r="GDJ49" s="24"/>
      <c r="GDK49" s="24"/>
      <c r="GDL49" s="24"/>
      <c r="GDM49" s="24"/>
      <c r="GDN49" s="24"/>
      <c r="GDO49" s="24"/>
      <c r="GDP49" s="24"/>
      <c r="GDQ49" s="24"/>
      <c r="GDR49" s="24"/>
      <c r="GDS49" s="24"/>
      <c r="GDT49" s="24"/>
      <c r="GDU49" s="24"/>
      <c r="GDV49" s="24"/>
      <c r="GDW49" s="24"/>
      <c r="GDX49" s="24"/>
      <c r="GDY49" s="24"/>
      <c r="GDZ49" s="24"/>
      <c r="GEA49" s="24"/>
      <c r="GEB49" s="24"/>
      <c r="GEC49" s="24"/>
      <c r="GED49" s="24"/>
      <c r="GEE49" s="24"/>
      <c r="GEF49" s="24"/>
      <c r="GEG49" s="24"/>
      <c r="GEH49" s="24"/>
      <c r="GEI49" s="24"/>
      <c r="GEJ49" s="24"/>
      <c r="GEK49" s="24"/>
      <c r="GEL49" s="24"/>
      <c r="GEM49" s="24"/>
      <c r="GEN49" s="24"/>
      <c r="GEO49" s="24"/>
      <c r="GEP49" s="24"/>
      <c r="GEQ49" s="24"/>
      <c r="GER49" s="24"/>
      <c r="GES49" s="24"/>
      <c r="GET49" s="24"/>
      <c r="GEU49" s="24"/>
      <c r="GEV49" s="24"/>
      <c r="GEW49" s="24"/>
      <c r="GEX49" s="24"/>
      <c r="GEY49" s="24"/>
      <c r="GEZ49" s="24"/>
      <c r="GFA49" s="24"/>
      <c r="GFB49" s="24"/>
      <c r="GFC49" s="24"/>
      <c r="GFD49" s="24"/>
      <c r="GFE49" s="24"/>
      <c r="GFF49" s="24"/>
      <c r="GFG49" s="24"/>
      <c r="GFH49" s="24"/>
      <c r="GFI49" s="24"/>
      <c r="GFJ49" s="24"/>
      <c r="GFK49" s="24"/>
      <c r="GFL49" s="24"/>
      <c r="GFM49" s="24"/>
      <c r="GFN49" s="24"/>
      <c r="GFO49" s="24"/>
      <c r="GFP49" s="24"/>
      <c r="GFQ49" s="24"/>
      <c r="GFR49" s="24"/>
      <c r="GFS49" s="24"/>
      <c r="GFT49" s="24"/>
      <c r="GFU49" s="24"/>
      <c r="GFV49" s="24"/>
      <c r="GFW49" s="24"/>
      <c r="GFX49" s="24"/>
      <c r="GFY49" s="24"/>
      <c r="GFZ49" s="24"/>
      <c r="GGA49" s="24"/>
      <c r="GGB49" s="24"/>
      <c r="GGC49" s="24"/>
      <c r="GGD49" s="24"/>
      <c r="GGE49" s="24"/>
      <c r="GGF49" s="24"/>
      <c r="GGG49" s="24"/>
      <c r="GGH49" s="24"/>
      <c r="GGI49" s="24"/>
      <c r="GGJ49" s="24"/>
      <c r="GGK49" s="24"/>
      <c r="GGL49" s="24"/>
      <c r="GGM49" s="24"/>
      <c r="GGN49" s="24"/>
      <c r="GGO49" s="24"/>
      <c r="GGP49" s="24"/>
      <c r="GGQ49" s="24"/>
      <c r="GGR49" s="24"/>
      <c r="GGS49" s="24"/>
      <c r="GGT49" s="24"/>
      <c r="GGU49" s="24"/>
      <c r="GGV49" s="24"/>
      <c r="GGW49" s="24"/>
      <c r="GGX49" s="24"/>
      <c r="GGY49" s="24"/>
      <c r="GGZ49" s="24"/>
      <c r="GHA49" s="24"/>
      <c r="GHB49" s="24"/>
      <c r="GHC49" s="24"/>
      <c r="GHD49" s="24"/>
      <c r="GHE49" s="24"/>
      <c r="GHF49" s="24"/>
      <c r="GHG49" s="24"/>
      <c r="GHH49" s="24"/>
      <c r="GHI49" s="24"/>
      <c r="GHJ49" s="24"/>
      <c r="GHK49" s="24"/>
      <c r="GHL49" s="24"/>
      <c r="GHM49" s="24"/>
      <c r="GHN49" s="24"/>
      <c r="GHO49" s="24"/>
      <c r="GHP49" s="24"/>
      <c r="GHQ49" s="24"/>
      <c r="GHR49" s="24"/>
      <c r="GHS49" s="24"/>
      <c r="GHT49" s="24"/>
      <c r="GHU49" s="24"/>
      <c r="GHV49" s="24"/>
      <c r="GHW49" s="24"/>
      <c r="GHX49" s="24"/>
      <c r="GHY49" s="24"/>
      <c r="GHZ49" s="24"/>
      <c r="GIA49" s="24"/>
      <c r="GIB49" s="24"/>
      <c r="GIC49" s="24"/>
      <c r="GID49" s="24"/>
      <c r="GIE49" s="24"/>
      <c r="GIF49" s="24"/>
      <c r="GIG49" s="24"/>
      <c r="GIH49" s="24"/>
      <c r="GII49" s="24"/>
      <c r="GIJ49" s="24"/>
      <c r="GIK49" s="24"/>
      <c r="GIL49" s="24"/>
      <c r="GIM49" s="24"/>
      <c r="GIN49" s="24"/>
      <c r="GIO49" s="24"/>
      <c r="GIP49" s="24"/>
      <c r="GIQ49" s="24"/>
      <c r="GIR49" s="24"/>
      <c r="GIS49" s="24"/>
      <c r="GIT49" s="24"/>
      <c r="GIU49" s="24"/>
      <c r="GIV49" s="24"/>
      <c r="GIW49" s="24"/>
      <c r="GIX49" s="24"/>
      <c r="GIY49" s="24"/>
      <c r="GIZ49" s="24"/>
      <c r="GJA49" s="24"/>
      <c r="GJB49" s="24"/>
      <c r="GJC49" s="24"/>
      <c r="GJD49" s="24"/>
      <c r="GJE49" s="24"/>
      <c r="GJF49" s="24"/>
      <c r="GJG49" s="24"/>
      <c r="GJH49" s="24"/>
      <c r="GJI49" s="24"/>
      <c r="GJJ49" s="24"/>
      <c r="GJK49" s="24"/>
      <c r="GJL49" s="24"/>
      <c r="GJM49" s="24"/>
      <c r="GJN49" s="24"/>
      <c r="GJO49" s="24"/>
      <c r="GJP49" s="24"/>
      <c r="GJQ49" s="24"/>
      <c r="GJR49" s="24"/>
      <c r="GJS49" s="24"/>
      <c r="GJT49" s="24"/>
      <c r="GJU49" s="24"/>
      <c r="GJV49" s="24"/>
      <c r="GJW49" s="24"/>
      <c r="GJX49" s="24"/>
      <c r="GJY49" s="24"/>
      <c r="GJZ49" s="24"/>
      <c r="GKA49" s="24"/>
      <c r="GKB49" s="24"/>
      <c r="GKC49" s="24"/>
      <c r="GKD49" s="24"/>
      <c r="GKE49" s="24"/>
      <c r="GKF49" s="24"/>
      <c r="GKG49" s="24"/>
      <c r="GKH49" s="24"/>
      <c r="GKI49" s="24"/>
      <c r="GKJ49" s="24"/>
      <c r="GKK49" s="24"/>
      <c r="GKL49" s="24"/>
      <c r="GKM49" s="24"/>
      <c r="GKN49" s="24"/>
      <c r="GKO49" s="24"/>
      <c r="GKP49" s="24"/>
      <c r="GKQ49" s="24"/>
      <c r="GKR49" s="24"/>
      <c r="GKS49" s="24"/>
      <c r="GKT49" s="24"/>
      <c r="GKU49" s="24"/>
      <c r="GKV49" s="24"/>
      <c r="GKW49" s="24"/>
      <c r="GKX49" s="24"/>
      <c r="GKY49" s="24"/>
      <c r="GKZ49" s="24"/>
      <c r="GLA49" s="24"/>
      <c r="GLB49" s="24"/>
      <c r="GLC49" s="24"/>
      <c r="GLD49" s="24"/>
      <c r="GLE49" s="24"/>
      <c r="GLF49" s="24"/>
      <c r="GLG49" s="24"/>
      <c r="GLH49" s="24"/>
      <c r="GLI49" s="24"/>
      <c r="GLJ49" s="24"/>
      <c r="GLK49" s="24"/>
      <c r="GLL49" s="24"/>
      <c r="GLM49" s="24"/>
      <c r="GLN49" s="24"/>
      <c r="GLO49" s="24"/>
      <c r="GLP49" s="24"/>
      <c r="GLQ49" s="24"/>
      <c r="GLR49" s="24"/>
      <c r="GLS49" s="24"/>
      <c r="GLT49" s="24"/>
      <c r="GLU49" s="24"/>
      <c r="GLV49" s="24"/>
      <c r="GLW49" s="24"/>
      <c r="GLX49" s="24"/>
      <c r="GLY49" s="24"/>
      <c r="GLZ49" s="24"/>
      <c r="GMA49" s="24"/>
      <c r="GMB49" s="24"/>
      <c r="GMC49" s="24"/>
      <c r="GMD49" s="24"/>
      <c r="GME49" s="24"/>
      <c r="GMF49" s="24"/>
      <c r="GMG49" s="24"/>
      <c r="GMH49" s="24"/>
      <c r="GMI49" s="24"/>
      <c r="GMJ49" s="24"/>
      <c r="GMK49" s="24"/>
      <c r="GML49" s="24"/>
      <c r="GMM49" s="24"/>
      <c r="GMN49" s="24"/>
      <c r="GMO49" s="24"/>
      <c r="GMP49" s="24"/>
      <c r="GMQ49" s="24"/>
      <c r="GMR49" s="24"/>
      <c r="GMS49" s="24"/>
      <c r="GMT49" s="24"/>
      <c r="GMU49" s="24"/>
      <c r="GMV49" s="24"/>
      <c r="GMW49" s="24"/>
      <c r="GMX49" s="24"/>
      <c r="GMY49" s="24"/>
      <c r="GMZ49" s="24"/>
      <c r="GNA49" s="24"/>
      <c r="GNB49" s="24"/>
      <c r="GNC49" s="24"/>
      <c r="GND49" s="24"/>
      <c r="GNE49" s="24"/>
      <c r="GNF49" s="24"/>
      <c r="GNG49" s="24"/>
      <c r="GNH49" s="24"/>
      <c r="GNI49" s="24"/>
      <c r="GNJ49" s="24"/>
      <c r="GNK49" s="24"/>
      <c r="GNL49" s="24"/>
      <c r="GNM49" s="24"/>
      <c r="GNN49" s="24"/>
      <c r="GNO49" s="24"/>
      <c r="GNP49" s="24"/>
      <c r="GNQ49" s="24"/>
      <c r="GNR49" s="24"/>
      <c r="GNS49" s="24"/>
      <c r="GNT49" s="24"/>
      <c r="GNU49" s="24"/>
      <c r="GNV49" s="24"/>
      <c r="GNW49" s="24"/>
      <c r="GNX49" s="24"/>
      <c r="GNY49" s="24"/>
      <c r="GNZ49" s="24"/>
      <c r="GOA49" s="24"/>
      <c r="GOB49" s="24"/>
      <c r="GOC49" s="24"/>
      <c r="GOD49" s="24"/>
      <c r="GOE49" s="24"/>
      <c r="GOF49" s="24"/>
      <c r="GOG49" s="24"/>
      <c r="GOH49" s="24"/>
      <c r="GOI49" s="24"/>
      <c r="GOJ49" s="24"/>
      <c r="GOK49" s="24"/>
      <c r="GOL49" s="24"/>
      <c r="GOM49" s="24"/>
      <c r="GON49" s="24"/>
      <c r="GOO49" s="24"/>
      <c r="GOP49" s="24"/>
      <c r="GOQ49" s="24"/>
      <c r="GOR49" s="24"/>
      <c r="GOS49" s="24"/>
      <c r="GOT49" s="24"/>
      <c r="GOU49" s="24"/>
      <c r="GOV49" s="24"/>
      <c r="GOW49" s="24"/>
      <c r="GOX49" s="24"/>
      <c r="GOY49" s="24"/>
      <c r="GOZ49" s="24"/>
      <c r="GPA49" s="24"/>
      <c r="GPB49" s="24"/>
      <c r="GPC49" s="24"/>
      <c r="GPD49" s="24"/>
      <c r="GPE49" s="24"/>
      <c r="GPF49" s="24"/>
      <c r="GPG49" s="24"/>
      <c r="GPH49" s="24"/>
      <c r="GPI49" s="24"/>
      <c r="GPJ49" s="24"/>
      <c r="GPK49" s="24"/>
      <c r="GPL49" s="24"/>
      <c r="GPM49" s="24"/>
      <c r="GPN49" s="24"/>
      <c r="GPO49" s="24"/>
      <c r="GPP49" s="24"/>
      <c r="GPQ49" s="24"/>
      <c r="GPR49" s="24"/>
      <c r="GPS49" s="24"/>
      <c r="GPT49" s="24"/>
      <c r="GPU49" s="24"/>
      <c r="GPV49" s="24"/>
      <c r="GPW49" s="24"/>
      <c r="GPX49" s="24"/>
      <c r="GPY49" s="24"/>
      <c r="GPZ49" s="24"/>
      <c r="GQA49" s="24"/>
      <c r="GQB49" s="24"/>
      <c r="GQC49" s="24"/>
      <c r="GQD49" s="24"/>
      <c r="GQE49" s="24"/>
      <c r="GQF49" s="24"/>
      <c r="GQG49" s="24"/>
      <c r="GQH49" s="24"/>
      <c r="GQI49" s="24"/>
      <c r="GQJ49" s="24"/>
      <c r="GQK49" s="24"/>
      <c r="GQL49" s="24"/>
      <c r="GQM49" s="24"/>
      <c r="GQN49" s="24"/>
      <c r="GQO49" s="24"/>
      <c r="GQP49" s="24"/>
      <c r="GQQ49" s="24"/>
      <c r="GQR49" s="24"/>
      <c r="GQS49" s="24"/>
      <c r="GQT49" s="24"/>
      <c r="GQU49" s="24"/>
      <c r="GQV49" s="24"/>
      <c r="GQW49" s="24"/>
      <c r="GQX49" s="24"/>
      <c r="GQY49" s="24"/>
      <c r="GQZ49" s="24"/>
      <c r="GRA49" s="24"/>
      <c r="GRB49" s="24"/>
      <c r="GRC49" s="24"/>
      <c r="GRD49" s="24"/>
      <c r="GRE49" s="24"/>
      <c r="GRF49" s="24"/>
      <c r="GRG49" s="24"/>
      <c r="GRH49" s="24"/>
      <c r="GRI49" s="24"/>
      <c r="GRJ49" s="24"/>
      <c r="GRK49" s="24"/>
      <c r="GRL49" s="24"/>
      <c r="GRM49" s="24"/>
      <c r="GRN49" s="24"/>
      <c r="GRO49" s="24"/>
      <c r="GRP49" s="24"/>
      <c r="GRQ49" s="24"/>
      <c r="GRR49" s="24"/>
      <c r="GRS49" s="24"/>
      <c r="GRT49" s="24"/>
      <c r="GRU49" s="24"/>
      <c r="GRV49" s="24"/>
      <c r="GRW49" s="24"/>
      <c r="GRX49" s="24"/>
      <c r="GRY49" s="24"/>
      <c r="GRZ49" s="24"/>
      <c r="GSA49" s="24"/>
      <c r="GSB49" s="24"/>
      <c r="GSC49" s="24"/>
      <c r="GSD49" s="24"/>
      <c r="GSE49" s="24"/>
      <c r="GSF49" s="24"/>
      <c r="GSG49" s="24"/>
      <c r="GSH49" s="24"/>
      <c r="GSI49" s="24"/>
      <c r="GSJ49" s="24"/>
      <c r="GSK49" s="24"/>
      <c r="GSL49" s="24"/>
      <c r="GSM49" s="24"/>
      <c r="GSN49" s="24"/>
      <c r="GSO49" s="24"/>
      <c r="GSP49" s="24"/>
      <c r="GSQ49" s="24"/>
      <c r="GSR49" s="24"/>
      <c r="GSS49" s="24"/>
      <c r="GST49" s="24"/>
      <c r="GSU49" s="24"/>
      <c r="GSV49" s="24"/>
      <c r="GSW49" s="24"/>
      <c r="GSX49" s="24"/>
      <c r="GSY49" s="24"/>
      <c r="GSZ49" s="24"/>
      <c r="GTA49" s="24"/>
      <c r="GTB49" s="24"/>
      <c r="GTC49" s="24"/>
      <c r="GTD49" s="24"/>
      <c r="GTE49" s="24"/>
      <c r="GTF49" s="24"/>
      <c r="GTG49" s="24"/>
      <c r="GTH49" s="24"/>
      <c r="GTI49" s="24"/>
      <c r="GTJ49" s="24"/>
      <c r="GTK49" s="24"/>
      <c r="GTL49" s="24"/>
      <c r="GTM49" s="24"/>
      <c r="GTN49" s="24"/>
      <c r="GTO49" s="24"/>
      <c r="GTP49" s="24"/>
      <c r="GTQ49" s="24"/>
      <c r="GTR49" s="24"/>
      <c r="GTS49" s="24"/>
      <c r="GTT49" s="24"/>
      <c r="GTU49" s="24"/>
      <c r="GTV49" s="24"/>
      <c r="GTW49" s="24"/>
      <c r="GTX49" s="24"/>
      <c r="GTY49" s="24"/>
      <c r="GTZ49" s="24"/>
      <c r="GUA49" s="24"/>
      <c r="GUB49" s="24"/>
      <c r="GUC49" s="24"/>
      <c r="GUD49" s="24"/>
      <c r="GUE49" s="24"/>
      <c r="GUF49" s="24"/>
      <c r="GUG49" s="24"/>
      <c r="GUH49" s="24"/>
      <c r="GUI49" s="24"/>
      <c r="GUJ49" s="24"/>
      <c r="GUK49" s="24"/>
      <c r="GUL49" s="24"/>
      <c r="GUM49" s="24"/>
      <c r="GUN49" s="24"/>
      <c r="GUO49" s="24"/>
      <c r="GUP49" s="24"/>
      <c r="GUQ49" s="24"/>
      <c r="GUR49" s="24"/>
      <c r="GUS49" s="24"/>
      <c r="GUT49" s="24"/>
      <c r="GUU49" s="24"/>
      <c r="GUV49" s="24"/>
      <c r="GUW49" s="24"/>
      <c r="GUX49" s="24"/>
      <c r="GUY49" s="24"/>
      <c r="GUZ49" s="24"/>
      <c r="GVA49" s="24"/>
      <c r="GVB49" s="24"/>
      <c r="GVC49" s="24"/>
      <c r="GVD49" s="24"/>
      <c r="GVE49" s="24"/>
      <c r="GVF49" s="24"/>
      <c r="GVG49" s="24"/>
      <c r="GVH49" s="24"/>
      <c r="GVI49" s="24"/>
      <c r="GVJ49" s="24"/>
      <c r="GVK49" s="24"/>
      <c r="GVL49" s="24"/>
      <c r="GVM49" s="24"/>
      <c r="GVN49" s="24"/>
      <c r="GVO49" s="24"/>
      <c r="GVP49" s="24"/>
      <c r="GVQ49" s="24"/>
      <c r="GVR49" s="24"/>
      <c r="GVS49" s="24"/>
      <c r="GVT49" s="24"/>
      <c r="GVU49" s="24"/>
      <c r="GVV49" s="24"/>
      <c r="GVW49" s="24"/>
      <c r="GVX49" s="24"/>
      <c r="GVY49" s="24"/>
      <c r="GVZ49" s="24"/>
      <c r="GWA49" s="24"/>
      <c r="GWB49" s="24"/>
      <c r="GWC49" s="24"/>
      <c r="GWD49" s="24"/>
      <c r="GWE49" s="24"/>
      <c r="GWF49" s="24"/>
      <c r="GWG49" s="24"/>
      <c r="GWH49" s="24"/>
      <c r="GWI49" s="24"/>
      <c r="GWJ49" s="24"/>
      <c r="GWK49" s="24"/>
      <c r="GWL49" s="24"/>
      <c r="GWM49" s="24"/>
      <c r="GWN49" s="24"/>
      <c r="GWO49" s="24"/>
      <c r="GWP49" s="24"/>
      <c r="GWQ49" s="24"/>
      <c r="GWR49" s="24"/>
      <c r="GWS49" s="24"/>
      <c r="GWT49" s="24"/>
      <c r="GWU49" s="24"/>
      <c r="GWV49" s="24"/>
      <c r="GWW49" s="24"/>
      <c r="GWX49" s="24"/>
      <c r="GWY49" s="24"/>
      <c r="GWZ49" s="24"/>
      <c r="GXA49" s="24"/>
      <c r="GXB49" s="24"/>
      <c r="GXC49" s="24"/>
      <c r="GXD49" s="24"/>
      <c r="GXE49" s="24"/>
      <c r="GXF49" s="24"/>
      <c r="GXG49" s="24"/>
      <c r="GXH49" s="24"/>
      <c r="GXI49" s="24"/>
      <c r="GXJ49" s="24"/>
      <c r="GXK49" s="24"/>
      <c r="GXL49" s="24"/>
      <c r="GXM49" s="24"/>
      <c r="GXN49" s="24"/>
      <c r="GXO49" s="24"/>
      <c r="GXP49" s="24"/>
      <c r="GXQ49" s="24"/>
      <c r="GXR49" s="24"/>
      <c r="GXS49" s="24"/>
      <c r="GXT49" s="24"/>
      <c r="GXU49" s="24"/>
      <c r="GXV49" s="24"/>
      <c r="GXW49" s="24"/>
      <c r="GXX49" s="24"/>
      <c r="GXY49" s="24"/>
      <c r="GXZ49" s="24"/>
      <c r="GYA49" s="24"/>
      <c r="GYB49" s="24"/>
      <c r="GYC49" s="24"/>
      <c r="GYD49" s="24"/>
      <c r="GYE49" s="24"/>
      <c r="GYF49" s="24"/>
      <c r="GYG49" s="24"/>
      <c r="GYH49" s="24"/>
      <c r="GYI49" s="24"/>
      <c r="GYJ49" s="24"/>
      <c r="GYK49" s="24"/>
      <c r="GYL49" s="24"/>
      <c r="GYM49" s="24"/>
      <c r="GYN49" s="24"/>
      <c r="GYO49" s="24"/>
      <c r="GYP49" s="24"/>
      <c r="GYQ49" s="24"/>
      <c r="GYR49" s="24"/>
      <c r="GYS49" s="24"/>
      <c r="GYT49" s="24"/>
      <c r="GYU49" s="24"/>
      <c r="GYV49" s="24"/>
      <c r="GYW49" s="24"/>
      <c r="GYX49" s="24"/>
      <c r="GYY49" s="24"/>
      <c r="GYZ49" s="24"/>
      <c r="GZA49" s="24"/>
      <c r="GZB49" s="24"/>
      <c r="GZC49" s="24"/>
      <c r="GZD49" s="24"/>
      <c r="GZE49" s="24"/>
      <c r="GZF49" s="24"/>
      <c r="GZG49" s="24"/>
      <c r="GZH49" s="24"/>
      <c r="GZI49" s="24"/>
      <c r="GZJ49" s="24"/>
      <c r="GZK49" s="24"/>
      <c r="GZL49" s="24"/>
      <c r="GZM49" s="24"/>
      <c r="GZN49" s="24"/>
      <c r="GZO49" s="24"/>
      <c r="GZP49" s="24"/>
      <c r="GZQ49" s="24"/>
      <c r="GZR49" s="24"/>
      <c r="GZS49" s="24"/>
      <c r="GZT49" s="24"/>
      <c r="GZU49" s="24"/>
      <c r="GZV49" s="24"/>
      <c r="GZW49" s="24"/>
      <c r="GZX49" s="24"/>
      <c r="GZY49" s="24"/>
      <c r="GZZ49" s="24"/>
      <c r="HAA49" s="24"/>
      <c r="HAB49" s="24"/>
      <c r="HAC49" s="24"/>
      <c r="HAD49" s="24"/>
      <c r="HAE49" s="24"/>
      <c r="HAF49" s="24"/>
      <c r="HAG49" s="24"/>
      <c r="HAH49" s="24"/>
      <c r="HAI49" s="24"/>
      <c r="HAJ49" s="24"/>
      <c r="HAK49" s="24"/>
      <c r="HAL49" s="24"/>
      <c r="HAM49" s="24"/>
      <c r="HAN49" s="24"/>
      <c r="HAO49" s="24"/>
      <c r="HAP49" s="24"/>
      <c r="HAQ49" s="24"/>
      <c r="HAR49" s="24"/>
      <c r="HAS49" s="24"/>
      <c r="HAT49" s="24"/>
      <c r="HAU49" s="24"/>
      <c r="HAV49" s="24"/>
      <c r="HAW49" s="24"/>
      <c r="HAX49" s="24"/>
      <c r="HAY49" s="24"/>
      <c r="HAZ49" s="24"/>
      <c r="HBA49" s="24"/>
      <c r="HBB49" s="24"/>
      <c r="HBC49" s="24"/>
      <c r="HBD49" s="24"/>
      <c r="HBE49" s="24"/>
      <c r="HBF49" s="24"/>
      <c r="HBG49" s="24"/>
      <c r="HBH49" s="24"/>
      <c r="HBI49" s="24"/>
      <c r="HBJ49" s="24"/>
      <c r="HBK49" s="24"/>
      <c r="HBL49" s="24"/>
      <c r="HBM49" s="24"/>
      <c r="HBN49" s="24"/>
      <c r="HBO49" s="24"/>
      <c r="HBP49" s="24"/>
      <c r="HBQ49" s="24"/>
      <c r="HBR49" s="24"/>
      <c r="HBS49" s="24"/>
      <c r="HBT49" s="24"/>
      <c r="HBU49" s="24"/>
      <c r="HBV49" s="24"/>
      <c r="HBW49" s="24"/>
      <c r="HBX49" s="24"/>
      <c r="HBY49" s="24"/>
      <c r="HBZ49" s="24"/>
      <c r="HCA49" s="24"/>
      <c r="HCB49" s="24"/>
      <c r="HCC49" s="24"/>
      <c r="HCD49" s="24"/>
      <c r="HCE49" s="24"/>
      <c r="HCF49" s="24"/>
      <c r="HCG49" s="24"/>
      <c r="HCH49" s="24"/>
      <c r="HCI49" s="24"/>
      <c r="HCJ49" s="24"/>
      <c r="HCK49" s="24"/>
      <c r="HCL49" s="24"/>
      <c r="HCM49" s="24"/>
      <c r="HCN49" s="24"/>
      <c r="HCO49" s="24"/>
      <c r="HCP49" s="24"/>
      <c r="HCQ49" s="24"/>
      <c r="HCR49" s="24"/>
      <c r="HCS49" s="24"/>
      <c r="HCT49" s="24"/>
      <c r="HCU49" s="24"/>
      <c r="HCV49" s="24"/>
      <c r="HCW49" s="24"/>
      <c r="HCX49" s="24"/>
      <c r="HCY49" s="24"/>
      <c r="HCZ49" s="24"/>
      <c r="HDA49" s="24"/>
      <c r="HDB49" s="24"/>
      <c r="HDC49" s="24"/>
      <c r="HDD49" s="24"/>
      <c r="HDE49" s="24"/>
      <c r="HDF49" s="24"/>
      <c r="HDG49" s="24"/>
      <c r="HDH49" s="24"/>
      <c r="HDI49" s="24"/>
      <c r="HDJ49" s="24"/>
      <c r="HDK49" s="24"/>
      <c r="HDL49" s="24"/>
      <c r="HDM49" s="24"/>
      <c r="HDN49" s="24"/>
      <c r="HDO49" s="24"/>
      <c r="HDP49" s="24"/>
      <c r="HDQ49" s="24"/>
      <c r="HDR49" s="24"/>
      <c r="HDS49" s="24"/>
      <c r="HDT49" s="24"/>
      <c r="HDU49" s="24"/>
      <c r="HDV49" s="24"/>
      <c r="HDW49" s="24"/>
      <c r="HDX49" s="24"/>
      <c r="HDY49" s="24"/>
      <c r="HDZ49" s="24"/>
      <c r="HEA49" s="24"/>
      <c r="HEB49" s="24"/>
      <c r="HEC49" s="24"/>
      <c r="HED49" s="24"/>
      <c r="HEE49" s="24"/>
      <c r="HEF49" s="24"/>
      <c r="HEG49" s="24"/>
      <c r="HEH49" s="24"/>
      <c r="HEI49" s="24"/>
      <c r="HEJ49" s="24"/>
      <c r="HEK49" s="24"/>
      <c r="HEL49" s="24"/>
      <c r="HEM49" s="24"/>
      <c r="HEN49" s="24"/>
      <c r="HEO49" s="24"/>
      <c r="HEP49" s="24"/>
      <c r="HEQ49" s="24"/>
      <c r="HER49" s="24"/>
      <c r="HES49" s="24"/>
      <c r="HET49" s="24"/>
      <c r="HEU49" s="24"/>
      <c r="HEV49" s="24"/>
      <c r="HEW49" s="24"/>
      <c r="HEX49" s="24"/>
      <c r="HEY49" s="24"/>
      <c r="HEZ49" s="24"/>
      <c r="HFA49" s="24"/>
      <c r="HFB49" s="24"/>
      <c r="HFC49" s="24"/>
      <c r="HFD49" s="24"/>
      <c r="HFE49" s="24"/>
      <c r="HFF49" s="24"/>
      <c r="HFG49" s="24"/>
      <c r="HFH49" s="24"/>
      <c r="HFI49" s="24"/>
      <c r="HFJ49" s="24"/>
      <c r="HFK49" s="24"/>
      <c r="HFL49" s="24"/>
      <c r="HFM49" s="24"/>
      <c r="HFN49" s="24"/>
      <c r="HFO49" s="24"/>
      <c r="HFP49" s="24"/>
      <c r="HFQ49" s="24"/>
      <c r="HFR49" s="24"/>
      <c r="HFS49" s="24"/>
      <c r="HFT49" s="24"/>
      <c r="HFU49" s="24"/>
      <c r="HFV49" s="24"/>
      <c r="HFW49" s="24"/>
      <c r="HFX49" s="24"/>
      <c r="HFY49" s="24"/>
      <c r="HFZ49" s="24"/>
      <c r="HGA49" s="24"/>
      <c r="HGB49" s="24"/>
      <c r="HGC49" s="24"/>
      <c r="HGD49" s="24"/>
      <c r="HGE49" s="24"/>
      <c r="HGF49" s="24"/>
      <c r="HGG49" s="24"/>
      <c r="HGH49" s="24"/>
      <c r="HGI49" s="24"/>
      <c r="HGJ49" s="24"/>
      <c r="HGK49" s="24"/>
      <c r="HGL49" s="24"/>
      <c r="HGM49" s="24"/>
      <c r="HGN49" s="24"/>
      <c r="HGO49" s="24"/>
      <c r="HGP49" s="24"/>
      <c r="HGQ49" s="24"/>
      <c r="HGR49" s="24"/>
      <c r="HGS49" s="24"/>
      <c r="HGT49" s="24"/>
      <c r="HGU49" s="24"/>
      <c r="HGV49" s="24"/>
      <c r="HGW49" s="24"/>
      <c r="HGX49" s="24"/>
      <c r="HGY49" s="24"/>
      <c r="HGZ49" s="24"/>
      <c r="HHA49" s="24"/>
      <c r="HHB49" s="24"/>
      <c r="HHC49" s="24"/>
      <c r="HHD49" s="24"/>
      <c r="HHE49" s="24"/>
      <c r="HHF49" s="24"/>
      <c r="HHG49" s="24"/>
      <c r="HHH49" s="24"/>
      <c r="HHI49" s="24"/>
      <c r="HHJ49" s="24"/>
      <c r="HHK49" s="24"/>
      <c r="HHL49" s="24"/>
      <c r="HHM49" s="24"/>
      <c r="HHN49" s="24"/>
      <c r="HHO49" s="24"/>
      <c r="HHP49" s="24"/>
      <c r="HHQ49" s="24"/>
      <c r="HHR49" s="24"/>
      <c r="HHS49" s="24"/>
      <c r="HHT49" s="24"/>
      <c r="HHU49" s="24"/>
      <c r="HHV49" s="24"/>
      <c r="HHW49" s="24"/>
      <c r="HHX49" s="24"/>
      <c r="HHY49" s="24"/>
      <c r="HHZ49" s="24"/>
      <c r="HIA49" s="24"/>
      <c r="HIB49" s="24"/>
      <c r="HIC49" s="24"/>
      <c r="HID49" s="24"/>
      <c r="HIE49" s="24"/>
      <c r="HIF49" s="24"/>
      <c r="HIG49" s="24"/>
      <c r="HIH49" s="24"/>
      <c r="HII49" s="24"/>
      <c r="HIJ49" s="24"/>
      <c r="HIK49" s="24"/>
      <c r="HIL49" s="24"/>
      <c r="HIM49" s="24"/>
      <c r="HIN49" s="24"/>
      <c r="HIO49" s="24"/>
      <c r="HIP49" s="24"/>
      <c r="HIQ49" s="24"/>
      <c r="HIR49" s="24"/>
      <c r="HIS49" s="24"/>
      <c r="HIT49" s="24"/>
      <c r="HIU49" s="24"/>
      <c r="HIV49" s="24"/>
      <c r="HIW49" s="24"/>
      <c r="HIX49" s="24"/>
      <c r="HIY49" s="24"/>
      <c r="HIZ49" s="24"/>
      <c r="HJA49" s="24"/>
      <c r="HJB49" s="24"/>
      <c r="HJC49" s="24"/>
      <c r="HJD49" s="24"/>
      <c r="HJE49" s="24"/>
      <c r="HJF49" s="24"/>
      <c r="HJG49" s="24"/>
      <c r="HJH49" s="24"/>
      <c r="HJI49" s="24"/>
      <c r="HJJ49" s="24"/>
      <c r="HJK49" s="24"/>
      <c r="HJL49" s="24"/>
      <c r="HJM49" s="24"/>
      <c r="HJN49" s="24"/>
      <c r="HJO49" s="24"/>
      <c r="HJP49" s="24"/>
      <c r="HJQ49" s="24"/>
      <c r="HJR49" s="24"/>
      <c r="HJS49" s="24"/>
      <c r="HJT49" s="24"/>
      <c r="HJU49" s="24"/>
      <c r="HJV49" s="24"/>
      <c r="HJW49" s="24"/>
      <c r="HJX49" s="24"/>
      <c r="HJY49" s="24"/>
      <c r="HJZ49" s="24"/>
      <c r="HKA49" s="24"/>
      <c r="HKB49" s="24"/>
      <c r="HKC49" s="24"/>
      <c r="HKD49" s="24"/>
      <c r="HKE49" s="24"/>
      <c r="HKF49" s="24"/>
      <c r="HKG49" s="24"/>
      <c r="HKH49" s="24"/>
      <c r="HKI49" s="24"/>
      <c r="HKJ49" s="24"/>
      <c r="HKK49" s="24"/>
      <c r="HKL49" s="24"/>
      <c r="HKM49" s="24"/>
      <c r="HKN49" s="24"/>
      <c r="HKO49" s="24"/>
      <c r="HKP49" s="24"/>
      <c r="HKQ49" s="24"/>
      <c r="HKR49" s="24"/>
      <c r="HKS49" s="24"/>
      <c r="HKT49" s="24"/>
      <c r="HKU49" s="24"/>
      <c r="HKV49" s="24"/>
      <c r="HKW49" s="24"/>
      <c r="HKX49" s="24"/>
      <c r="HKY49" s="24"/>
      <c r="HKZ49" s="24"/>
      <c r="HLA49" s="24"/>
      <c r="HLB49" s="24"/>
      <c r="HLC49" s="24"/>
      <c r="HLD49" s="24"/>
      <c r="HLE49" s="24"/>
      <c r="HLF49" s="24"/>
      <c r="HLG49" s="24"/>
      <c r="HLH49" s="24"/>
      <c r="HLI49" s="24"/>
      <c r="HLJ49" s="24"/>
      <c r="HLK49" s="24"/>
      <c r="HLL49" s="24"/>
      <c r="HLM49" s="24"/>
      <c r="HLN49" s="24"/>
      <c r="HLO49" s="24"/>
      <c r="HLP49" s="24"/>
      <c r="HLQ49" s="24"/>
      <c r="HLR49" s="24"/>
      <c r="HLS49" s="24"/>
      <c r="HLT49" s="24"/>
      <c r="HLU49" s="24"/>
      <c r="HLV49" s="24"/>
      <c r="HLW49" s="24"/>
      <c r="HLX49" s="24"/>
      <c r="HLY49" s="24"/>
      <c r="HLZ49" s="24"/>
      <c r="HMA49" s="24"/>
      <c r="HMB49" s="24"/>
      <c r="HMC49" s="24"/>
      <c r="HMD49" s="24"/>
      <c r="HME49" s="24"/>
      <c r="HMF49" s="24"/>
      <c r="HMG49" s="24"/>
      <c r="HMH49" s="24"/>
      <c r="HMI49" s="24"/>
      <c r="HMJ49" s="24"/>
      <c r="HMK49" s="24"/>
      <c r="HML49" s="24"/>
      <c r="HMM49" s="24"/>
      <c r="HMN49" s="24"/>
      <c r="HMO49" s="24"/>
      <c r="HMP49" s="24"/>
      <c r="HMQ49" s="24"/>
      <c r="HMR49" s="24"/>
      <c r="HMS49" s="24"/>
      <c r="HMT49" s="24"/>
      <c r="HMU49" s="24"/>
      <c r="HMV49" s="24"/>
      <c r="HMW49" s="24"/>
      <c r="HMX49" s="24"/>
      <c r="HMY49" s="24"/>
      <c r="HMZ49" s="24"/>
      <c r="HNA49" s="24"/>
      <c r="HNB49" s="24"/>
      <c r="HNC49" s="24"/>
      <c r="HND49" s="24"/>
      <c r="HNE49" s="24"/>
      <c r="HNF49" s="24"/>
      <c r="HNG49" s="24"/>
      <c r="HNH49" s="24"/>
      <c r="HNI49" s="24"/>
      <c r="HNJ49" s="24"/>
      <c r="HNK49" s="24"/>
      <c r="HNL49" s="24"/>
      <c r="HNM49" s="24"/>
      <c r="HNN49" s="24"/>
      <c r="HNO49" s="24"/>
      <c r="HNP49" s="24"/>
      <c r="HNQ49" s="24"/>
      <c r="HNR49" s="24"/>
      <c r="HNS49" s="24"/>
      <c r="HNT49" s="24"/>
      <c r="HNU49" s="24"/>
      <c r="HNV49" s="24"/>
      <c r="HNW49" s="24"/>
      <c r="HNX49" s="24"/>
      <c r="HNY49" s="24"/>
      <c r="HNZ49" s="24"/>
      <c r="HOA49" s="24"/>
      <c r="HOB49" s="24"/>
      <c r="HOC49" s="24"/>
      <c r="HOD49" s="24"/>
      <c r="HOE49" s="24"/>
      <c r="HOF49" s="24"/>
      <c r="HOG49" s="24"/>
      <c r="HOH49" s="24"/>
      <c r="HOI49" s="24"/>
      <c r="HOJ49" s="24"/>
      <c r="HOK49" s="24"/>
      <c r="HOL49" s="24"/>
      <c r="HOM49" s="24"/>
      <c r="HON49" s="24"/>
      <c r="HOO49" s="24"/>
      <c r="HOP49" s="24"/>
      <c r="HOQ49" s="24"/>
      <c r="HOR49" s="24"/>
      <c r="HOS49" s="24"/>
      <c r="HOT49" s="24"/>
      <c r="HOU49" s="24"/>
      <c r="HOV49" s="24"/>
      <c r="HOW49" s="24"/>
      <c r="HOX49" s="24"/>
      <c r="HOY49" s="24"/>
      <c r="HOZ49" s="24"/>
      <c r="HPA49" s="24"/>
      <c r="HPB49" s="24"/>
      <c r="HPC49" s="24"/>
      <c r="HPD49" s="24"/>
      <c r="HPE49" s="24"/>
      <c r="HPF49" s="24"/>
      <c r="HPG49" s="24"/>
      <c r="HPH49" s="24"/>
      <c r="HPI49" s="24"/>
      <c r="HPJ49" s="24"/>
      <c r="HPK49" s="24"/>
      <c r="HPL49" s="24"/>
      <c r="HPM49" s="24"/>
      <c r="HPN49" s="24"/>
      <c r="HPO49" s="24"/>
      <c r="HPP49" s="24"/>
      <c r="HPQ49" s="24"/>
      <c r="HPR49" s="24"/>
      <c r="HPS49" s="24"/>
      <c r="HPT49" s="24"/>
      <c r="HPU49" s="24"/>
      <c r="HPV49" s="24"/>
      <c r="HPW49" s="24"/>
      <c r="HPX49" s="24"/>
      <c r="HPY49" s="24"/>
      <c r="HPZ49" s="24"/>
      <c r="HQA49" s="24"/>
      <c r="HQB49" s="24"/>
      <c r="HQC49" s="24"/>
      <c r="HQD49" s="24"/>
      <c r="HQE49" s="24"/>
      <c r="HQF49" s="24"/>
      <c r="HQG49" s="24"/>
      <c r="HQH49" s="24"/>
      <c r="HQI49" s="24"/>
      <c r="HQJ49" s="24"/>
      <c r="HQK49" s="24"/>
      <c r="HQL49" s="24"/>
      <c r="HQM49" s="24"/>
      <c r="HQN49" s="24"/>
      <c r="HQO49" s="24"/>
      <c r="HQP49" s="24"/>
      <c r="HQQ49" s="24"/>
      <c r="HQR49" s="24"/>
      <c r="HQS49" s="24"/>
      <c r="HQT49" s="24"/>
      <c r="HQU49" s="24"/>
      <c r="HQV49" s="24"/>
      <c r="HQW49" s="24"/>
      <c r="HQX49" s="24"/>
      <c r="HQY49" s="24"/>
      <c r="HQZ49" s="24"/>
      <c r="HRA49" s="24"/>
      <c r="HRB49" s="24"/>
      <c r="HRC49" s="24"/>
      <c r="HRD49" s="24"/>
      <c r="HRE49" s="24"/>
      <c r="HRF49" s="24"/>
      <c r="HRG49" s="24"/>
      <c r="HRH49" s="24"/>
      <c r="HRI49" s="24"/>
      <c r="HRJ49" s="24"/>
      <c r="HRK49" s="24"/>
      <c r="HRL49" s="24"/>
      <c r="HRM49" s="24"/>
      <c r="HRN49" s="24"/>
      <c r="HRO49" s="24"/>
      <c r="HRP49" s="24"/>
      <c r="HRQ49" s="24"/>
      <c r="HRR49" s="24"/>
      <c r="HRS49" s="24"/>
      <c r="HRT49" s="24"/>
      <c r="HRU49" s="24"/>
      <c r="HRV49" s="24"/>
      <c r="HRW49" s="24"/>
      <c r="HRX49" s="24"/>
      <c r="HRY49" s="24"/>
      <c r="HRZ49" s="24"/>
      <c r="HSA49" s="24"/>
      <c r="HSB49" s="24"/>
      <c r="HSC49" s="24"/>
      <c r="HSD49" s="24"/>
      <c r="HSE49" s="24"/>
      <c r="HSF49" s="24"/>
      <c r="HSG49" s="24"/>
      <c r="HSH49" s="24"/>
      <c r="HSI49" s="24"/>
      <c r="HSJ49" s="24"/>
      <c r="HSK49" s="24"/>
      <c r="HSL49" s="24"/>
      <c r="HSM49" s="24"/>
      <c r="HSN49" s="24"/>
      <c r="HSO49" s="24"/>
      <c r="HSP49" s="24"/>
      <c r="HSQ49" s="24"/>
      <c r="HSR49" s="24"/>
      <c r="HSS49" s="24"/>
      <c r="HST49" s="24"/>
      <c r="HSU49" s="24"/>
      <c r="HSV49" s="24"/>
      <c r="HSW49" s="24"/>
      <c r="HSX49" s="24"/>
      <c r="HSY49" s="24"/>
      <c r="HSZ49" s="24"/>
      <c r="HTA49" s="24"/>
      <c r="HTB49" s="24"/>
      <c r="HTC49" s="24"/>
      <c r="HTD49" s="24"/>
      <c r="HTE49" s="24"/>
      <c r="HTF49" s="24"/>
      <c r="HTG49" s="24"/>
      <c r="HTH49" s="24"/>
      <c r="HTI49" s="24"/>
      <c r="HTJ49" s="24"/>
      <c r="HTK49" s="24"/>
      <c r="HTL49" s="24"/>
      <c r="HTM49" s="24"/>
      <c r="HTN49" s="24"/>
      <c r="HTO49" s="24"/>
      <c r="HTP49" s="24"/>
      <c r="HTQ49" s="24"/>
      <c r="HTR49" s="24"/>
      <c r="HTS49" s="24"/>
      <c r="HTT49" s="24"/>
      <c r="HTU49" s="24"/>
      <c r="HTV49" s="24"/>
      <c r="HTW49" s="24"/>
      <c r="HTX49" s="24"/>
      <c r="HTY49" s="24"/>
      <c r="HTZ49" s="24"/>
      <c r="HUA49" s="24"/>
      <c r="HUB49" s="24"/>
      <c r="HUC49" s="24"/>
      <c r="HUD49" s="24"/>
      <c r="HUE49" s="24"/>
      <c r="HUF49" s="24"/>
      <c r="HUG49" s="24"/>
      <c r="HUH49" s="24"/>
      <c r="HUI49" s="24"/>
      <c r="HUJ49" s="24"/>
      <c r="HUK49" s="24"/>
      <c r="HUL49" s="24"/>
      <c r="HUM49" s="24"/>
      <c r="HUN49" s="24"/>
      <c r="HUO49" s="24"/>
      <c r="HUP49" s="24"/>
      <c r="HUQ49" s="24"/>
      <c r="HUR49" s="24"/>
      <c r="HUS49" s="24"/>
      <c r="HUT49" s="24"/>
      <c r="HUU49" s="24"/>
      <c r="HUV49" s="24"/>
      <c r="HUW49" s="24"/>
      <c r="HUX49" s="24"/>
      <c r="HUY49" s="24"/>
      <c r="HUZ49" s="24"/>
      <c r="HVA49" s="24"/>
      <c r="HVB49" s="24"/>
      <c r="HVC49" s="24"/>
      <c r="HVD49" s="24"/>
      <c r="HVE49" s="24"/>
      <c r="HVF49" s="24"/>
      <c r="HVG49" s="24"/>
      <c r="HVH49" s="24"/>
      <c r="HVI49" s="24"/>
      <c r="HVJ49" s="24"/>
      <c r="HVK49" s="24"/>
      <c r="HVL49" s="24"/>
      <c r="HVM49" s="24"/>
      <c r="HVN49" s="24"/>
      <c r="HVO49" s="24"/>
      <c r="HVP49" s="24"/>
      <c r="HVQ49" s="24"/>
      <c r="HVR49" s="24"/>
      <c r="HVS49" s="24"/>
      <c r="HVT49" s="24"/>
      <c r="HVU49" s="24"/>
      <c r="HVV49" s="24"/>
      <c r="HVW49" s="24"/>
      <c r="HVX49" s="24"/>
      <c r="HVY49" s="24"/>
      <c r="HVZ49" s="24"/>
      <c r="HWA49" s="24"/>
      <c r="HWB49" s="24"/>
      <c r="HWC49" s="24"/>
      <c r="HWD49" s="24"/>
      <c r="HWE49" s="24"/>
      <c r="HWF49" s="24"/>
      <c r="HWG49" s="24"/>
      <c r="HWH49" s="24"/>
      <c r="HWI49" s="24"/>
      <c r="HWJ49" s="24"/>
      <c r="HWK49" s="24"/>
      <c r="HWL49" s="24"/>
      <c r="HWM49" s="24"/>
      <c r="HWN49" s="24"/>
      <c r="HWO49" s="24"/>
      <c r="HWP49" s="24"/>
      <c r="HWQ49" s="24"/>
      <c r="HWR49" s="24"/>
      <c r="HWS49" s="24"/>
      <c r="HWT49" s="24"/>
      <c r="HWU49" s="24"/>
      <c r="HWV49" s="24"/>
      <c r="HWW49" s="24"/>
      <c r="HWX49" s="24"/>
      <c r="HWY49" s="24"/>
      <c r="HWZ49" s="24"/>
      <c r="HXA49" s="24"/>
      <c r="HXB49" s="24"/>
      <c r="HXC49" s="24"/>
      <c r="HXD49" s="24"/>
      <c r="HXE49" s="24"/>
      <c r="HXF49" s="24"/>
      <c r="HXG49" s="24"/>
      <c r="HXH49" s="24"/>
      <c r="HXI49" s="24"/>
      <c r="HXJ49" s="24"/>
      <c r="HXK49" s="24"/>
      <c r="HXL49" s="24"/>
      <c r="HXM49" s="24"/>
      <c r="HXN49" s="24"/>
      <c r="HXO49" s="24"/>
      <c r="HXP49" s="24"/>
      <c r="HXQ49" s="24"/>
      <c r="HXR49" s="24"/>
      <c r="HXS49" s="24"/>
      <c r="HXT49" s="24"/>
      <c r="HXU49" s="24"/>
      <c r="HXV49" s="24"/>
      <c r="HXW49" s="24"/>
      <c r="HXX49" s="24"/>
      <c r="HXY49" s="24"/>
      <c r="HXZ49" s="24"/>
      <c r="HYA49" s="24"/>
      <c r="HYB49" s="24"/>
      <c r="HYC49" s="24"/>
      <c r="HYD49" s="24"/>
      <c r="HYE49" s="24"/>
      <c r="HYF49" s="24"/>
      <c r="HYG49" s="24"/>
      <c r="HYH49" s="24"/>
      <c r="HYI49" s="24"/>
      <c r="HYJ49" s="24"/>
      <c r="HYK49" s="24"/>
      <c r="HYL49" s="24"/>
      <c r="HYM49" s="24"/>
      <c r="HYN49" s="24"/>
      <c r="HYO49" s="24"/>
      <c r="HYP49" s="24"/>
      <c r="HYQ49" s="24"/>
      <c r="HYR49" s="24"/>
      <c r="HYS49" s="24"/>
      <c r="HYT49" s="24"/>
      <c r="HYU49" s="24"/>
      <c r="HYV49" s="24"/>
      <c r="HYW49" s="24"/>
      <c r="HYX49" s="24"/>
      <c r="HYY49" s="24"/>
      <c r="HYZ49" s="24"/>
      <c r="HZA49" s="24"/>
      <c r="HZB49" s="24"/>
      <c r="HZC49" s="24"/>
      <c r="HZD49" s="24"/>
      <c r="HZE49" s="24"/>
      <c r="HZF49" s="24"/>
      <c r="HZG49" s="24"/>
      <c r="HZH49" s="24"/>
      <c r="HZI49" s="24"/>
      <c r="HZJ49" s="24"/>
      <c r="HZK49" s="24"/>
      <c r="HZL49" s="24"/>
      <c r="HZM49" s="24"/>
      <c r="HZN49" s="24"/>
      <c r="HZO49" s="24"/>
      <c r="HZP49" s="24"/>
      <c r="HZQ49" s="24"/>
      <c r="HZR49" s="24"/>
      <c r="HZS49" s="24"/>
      <c r="HZT49" s="24"/>
      <c r="HZU49" s="24"/>
      <c r="HZV49" s="24"/>
      <c r="HZW49" s="24"/>
      <c r="HZX49" s="24"/>
      <c r="HZY49" s="24"/>
      <c r="HZZ49" s="24"/>
      <c r="IAA49" s="24"/>
      <c r="IAB49" s="24"/>
      <c r="IAC49" s="24"/>
      <c r="IAD49" s="24"/>
      <c r="IAE49" s="24"/>
      <c r="IAF49" s="24"/>
      <c r="IAG49" s="24"/>
      <c r="IAH49" s="24"/>
      <c r="IAI49" s="24"/>
      <c r="IAJ49" s="24"/>
      <c r="IAK49" s="24"/>
      <c r="IAL49" s="24"/>
      <c r="IAM49" s="24"/>
      <c r="IAN49" s="24"/>
      <c r="IAO49" s="24"/>
      <c r="IAP49" s="24"/>
      <c r="IAQ49" s="24"/>
      <c r="IAR49" s="24"/>
      <c r="IAS49" s="24"/>
      <c r="IAT49" s="24"/>
      <c r="IAU49" s="24"/>
      <c r="IAV49" s="24"/>
      <c r="IAW49" s="24"/>
      <c r="IAX49" s="24"/>
      <c r="IAY49" s="24"/>
      <c r="IAZ49" s="24"/>
      <c r="IBA49" s="24"/>
      <c r="IBB49" s="24"/>
      <c r="IBC49" s="24"/>
      <c r="IBD49" s="24"/>
      <c r="IBE49" s="24"/>
      <c r="IBF49" s="24"/>
      <c r="IBG49" s="24"/>
      <c r="IBH49" s="24"/>
      <c r="IBI49" s="24"/>
      <c r="IBJ49" s="24"/>
      <c r="IBK49" s="24"/>
      <c r="IBL49" s="24"/>
      <c r="IBM49" s="24"/>
      <c r="IBN49" s="24"/>
      <c r="IBO49" s="24"/>
      <c r="IBP49" s="24"/>
      <c r="IBQ49" s="24"/>
      <c r="IBR49" s="24"/>
      <c r="IBS49" s="24"/>
      <c r="IBT49" s="24"/>
      <c r="IBU49" s="24"/>
      <c r="IBV49" s="24"/>
      <c r="IBW49" s="24"/>
      <c r="IBX49" s="24"/>
      <c r="IBY49" s="24"/>
      <c r="IBZ49" s="24"/>
      <c r="ICA49" s="24"/>
      <c r="ICB49" s="24"/>
      <c r="ICC49" s="24"/>
      <c r="ICD49" s="24"/>
      <c r="ICE49" s="24"/>
      <c r="ICF49" s="24"/>
      <c r="ICG49" s="24"/>
      <c r="ICH49" s="24"/>
      <c r="ICI49" s="24"/>
      <c r="ICJ49" s="24"/>
      <c r="ICK49" s="24"/>
      <c r="ICL49" s="24"/>
      <c r="ICM49" s="24"/>
      <c r="ICN49" s="24"/>
      <c r="ICO49" s="24"/>
      <c r="ICP49" s="24"/>
      <c r="ICQ49" s="24"/>
      <c r="ICR49" s="24"/>
      <c r="ICS49" s="24"/>
      <c r="ICT49" s="24"/>
      <c r="ICU49" s="24"/>
      <c r="ICV49" s="24"/>
      <c r="ICW49" s="24"/>
      <c r="ICX49" s="24"/>
      <c r="ICY49" s="24"/>
      <c r="ICZ49" s="24"/>
      <c r="IDA49" s="24"/>
      <c r="IDB49" s="24"/>
      <c r="IDC49" s="24"/>
      <c r="IDD49" s="24"/>
      <c r="IDE49" s="24"/>
      <c r="IDF49" s="24"/>
      <c r="IDG49" s="24"/>
      <c r="IDH49" s="24"/>
      <c r="IDI49" s="24"/>
      <c r="IDJ49" s="24"/>
      <c r="IDK49" s="24"/>
      <c r="IDL49" s="24"/>
      <c r="IDM49" s="24"/>
      <c r="IDN49" s="24"/>
      <c r="IDO49" s="24"/>
      <c r="IDP49" s="24"/>
      <c r="IDQ49" s="24"/>
      <c r="IDR49" s="24"/>
      <c r="IDS49" s="24"/>
      <c r="IDT49" s="24"/>
      <c r="IDU49" s="24"/>
      <c r="IDV49" s="24"/>
      <c r="IDW49" s="24"/>
      <c r="IDX49" s="24"/>
      <c r="IDY49" s="24"/>
      <c r="IDZ49" s="24"/>
      <c r="IEA49" s="24"/>
      <c r="IEB49" s="24"/>
      <c r="IEC49" s="24"/>
      <c r="IED49" s="24"/>
      <c r="IEE49" s="24"/>
      <c r="IEF49" s="24"/>
      <c r="IEG49" s="24"/>
      <c r="IEH49" s="24"/>
      <c r="IEI49" s="24"/>
      <c r="IEJ49" s="24"/>
      <c r="IEK49" s="24"/>
      <c r="IEL49" s="24"/>
      <c r="IEM49" s="24"/>
      <c r="IEN49" s="24"/>
      <c r="IEO49" s="24"/>
      <c r="IEP49" s="24"/>
      <c r="IEQ49" s="24"/>
      <c r="IER49" s="24"/>
      <c r="IES49" s="24"/>
      <c r="IET49" s="24"/>
      <c r="IEU49" s="24"/>
      <c r="IEV49" s="24"/>
      <c r="IEW49" s="24"/>
      <c r="IEX49" s="24"/>
      <c r="IEY49" s="24"/>
      <c r="IEZ49" s="24"/>
      <c r="IFA49" s="24"/>
      <c r="IFB49" s="24"/>
      <c r="IFC49" s="24"/>
      <c r="IFD49" s="24"/>
      <c r="IFE49" s="24"/>
      <c r="IFF49" s="24"/>
      <c r="IFG49" s="24"/>
      <c r="IFH49" s="24"/>
      <c r="IFI49" s="24"/>
      <c r="IFJ49" s="24"/>
      <c r="IFK49" s="24"/>
      <c r="IFL49" s="24"/>
      <c r="IFM49" s="24"/>
      <c r="IFN49" s="24"/>
      <c r="IFO49" s="24"/>
      <c r="IFP49" s="24"/>
      <c r="IFQ49" s="24"/>
      <c r="IFR49" s="24"/>
      <c r="IFS49" s="24"/>
      <c r="IFT49" s="24"/>
      <c r="IFU49" s="24"/>
      <c r="IFV49" s="24"/>
      <c r="IFW49" s="24"/>
      <c r="IFX49" s="24"/>
      <c r="IFY49" s="24"/>
      <c r="IFZ49" s="24"/>
      <c r="IGA49" s="24"/>
      <c r="IGB49" s="24"/>
      <c r="IGC49" s="24"/>
      <c r="IGD49" s="24"/>
      <c r="IGE49" s="24"/>
      <c r="IGF49" s="24"/>
      <c r="IGG49" s="24"/>
      <c r="IGH49" s="24"/>
      <c r="IGI49" s="24"/>
      <c r="IGJ49" s="24"/>
      <c r="IGK49" s="24"/>
      <c r="IGL49" s="24"/>
      <c r="IGM49" s="24"/>
      <c r="IGN49" s="24"/>
      <c r="IGO49" s="24"/>
      <c r="IGP49" s="24"/>
      <c r="IGQ49" s="24"/>
      <c r="IGR49" s="24"/>
      <c r="IGS49" s="24"/>
      <c r="IGT49" s="24"/>
      <c r="IGU49" s="24"/>
      <c r="IGV49" s="24"/>
      <c r="IGW49" s="24"/>
      <c r="IGX49" s="24"/>
      <c r="IGY49" s="24"/>
      <c r="IGZ49" s="24"/>
      <c r="IHA49" s="24"/>
      <c r="IHB49" s="24"/>
      <c r="IHC49" s="24"/>
      <c r="IHD49" s="24"/>
      <c r="IHE49" s="24"/>
      <c r="IHF49" s="24"/>
      <c r="IHG49" s="24"/>
      <c r="IHH49" s="24"/>
      <c r="IHI49" s="24"/>
      <c r="IHJ49" s="24"/>
      <c r="IHK49" s="24"/>
      <c r="IHL49" s="24"/>
      <c r="IHM49" s="24"/>
      <c r="IHN49" s="24"/>
      <c r="IHO49" s="24"/>
      <c r="IHP49" s="24"/>
      <c r="IHQ49" s="24"/>
      <c r="IHR49" s="24"/>
      <c r="IHS49" s="24"/>
      <c r="IHT49" s="24"/>
      <c r="IHU49" s="24"/>
      <c r="IHV49" s="24"/>
      <c r="IHW49" s="24"/>
      <c r="IHX49" s="24"/>
      <c r="IHY49" s="24"/>
      <c r="IHZ49" s="24"/>
      <c r="IIA49" s="24"/>
      <c r="IIB49" s="24"/>
      <c r="IIC49" s="24"/>
      <c r="IID49" s="24"/>
      <c r="IIE49" s="24"/>
      <c r="IIF49" s="24"/>
      <c r="IIG49" s="24"/>
      <c r="IIH49" s="24"/>
      <c r="III49" s="24"/>
      <c r="IIJ49" s="24"/>
      <c r="IIK49" s="24"/>
      <c r="IIL49" s="24"/>
      <c r="IIM49" s="24"/>
      <c r="IIN49" s="24"/>
      <c r="IIO49" s="24"/>
      <c r="IIP49" s="24"/>
      <c r="IIQ49" s="24"/>
      <c r="IIR49" s="24"/>
      <c r="IIS49" s="24"/>
      <c r="IIT49" s="24"/>
      <c r="IIU49" s="24"/>
      <c r="IIV49" s="24"/>
      <c r="IIW49" s="24"/>
      <c r="IIX49" s="24"/>
      <c r="IIY49" s="24"/>
      <c r="IIZ49" s="24"/>
      <c r="IJA49" s="24"/>
      <c r="IJB49" s="24"/>
      <c r="IJC49" s="24"/>
      <c r="IJD49" s="24"/>
      <c r="IJE49" s="24"/>
      <c r="IJF49" s="24"/>
      <c r="IJG49" s="24"/>
      <c r="IJH49" s="24"/>
      <c r="IJI49" s="24"/>
      <c r="IJJ49" s="24"/>
      <c r="IJK49" s="24"/>
      <c r="IJL49" s="24"/>
      <c r="IJM49" s="24"/>
      <c r="IJN49" s="24"/>
      <c r="IJO49" s="24"/>
      <c r="IJP49" s="24"/>
      <c r="IJQ49" s="24"/>
      <c r="IJR49" s="24"/>
      <c r="IJS49" s="24"/>
      <c r="IJT49" s="24"/>
      <c r="IJU49" s="24"/>
      <c r="IJV49" s="24"/>
      <c r="IJW49" s="24"/>
      <c r="IJX49" s="24"/>
      <c r="IJY49" s="24"/>
      <c r="IJZ49" s="24"/>
      <c r="IKA49" s="24"/>
      <c r="IKB49" s="24"/>
      <c r="IKC49" s="24"/>
      <c r="IKD49" s="24"/>
      <c r="IKE49" s="24"/>
      <c r="IKF49" s="24"/>
      <c r="IKG49" s="24"/>
      <c r="IKH49" s="24"/>
      <c r="IKI49" s="24"/>
      <c r="IKJ49" s="24"/>
      <c r="IKK49" s="24"/>
      <c r="IKL49" s="24"/>
      <c r="IKM49" s="24"/>
      <c r="IKN49" s="24"/>
      <c r="IKO49" s="24"/>
      <c r="IKP49" s="24"/>
      <c r="IKQ49" s="24"/>
      <c r="IKR49" s="24"/>
      <c r="IKS49" s="24"/>
      <c r="IKT49" s="24"/>
      <c r="IKU49" s="24"/>
      <c r="IKV49" s="24"/>
      <c r="IKW49" s="24"/>
      <c r="IKX49" s="24"/>
      <c r="IKY49" s="24"/>
      <c r="IKZ49" s="24"/>
      <c r="ILA49" s="24"/>
      <c r="ILB49" s="24"/>
      <c r="ILC49" s="24"/>
      <c r="ILD49" s="24"/>
      <c r="ILE49" s="24"/>
      <c r="ILF49" s="24"/>
      <c r="ILG49" s="24"/>
      <c r="ILH49" s="24"/>
      <c r="ILI49" s="24"/>
      <c r="ILJ49" s="24"/>
      <c r="ILK49" s="24"/>
      <c r="ILL49" s="24"/>
      <c r="ILM49" s="24"/>
      <c r="ILN49" s="24"/>
      <c r="ILO49" s="24"/>
      <c r="ILP49" s="24"/>
      <c r="ILQ49" s="24"/>
      <c r="ILR49" s="24"/>
      <c r="ILS49" s="24"/>
      <c r="ILT49" s="24"/>
      <c r="ILU49" s="24"/>
      <c r="ILV49" s="24"/>
      <c r="ILW49" s="24"/>
      <c r="ILX49" s="24"/>
      <c r="ILY49" s="24"/>
      <c r="ILZ49" s="24"/>
      <c r="IMA49" s="24"/>
      <c r="IMB49" s="24"/>
      <c r="IMC49" s="24"/>
      <c r="IMD49" s="24"/>
      <c r="IME49" s="24"/>
      <c r="IMF49" s="24"/>
      <c r="IMG49" s="24"/>
      <c r="IMH49" s="24"/>
      <c r="IMI49" s="24"/>
      <c r="IMJ49" s="24"/>
      <c r="IMK49" s="24"/>
      <c r="IML49" s="24"/>
      <c r="IMM49" s="24"/>
      <c r="IMN49" s="24"/>
      <c r="IMO49" s="24"/>
      <c r="IMP49" s="24"/>
      <c r="IMQ49" s="24"/>
      <c r="IMR49" s="24"/>
      <c r="IMS49" s="24"/>
      <c r="IMT49" s="24"/>
      <c r="IMU49" s="24"/>
      <c r="IMV49" s="24"/>
      <c r="IMW49" s="24"/>
      <c r="IMX49" s="24"/>
      <c r="IMY49" s="24"/>
      <c r="IMZ49" s="24"/>
      <c r="INA49" s="24"/>
      <c r="INB49" s="24"/>
      <c r="INC49" s="24"/>
      <c r="IND49" s="24"/>
      <c r="INE49" s="24"/>
      <c r="INF49" s="24"/>
      <c r="ING49" s="24"/>
      <c r="INH49" s="24"/>
      <c r="INI49" s="24"/>
      <c r="INJ49" s="24"/>
      <c r="INK49" s="24"/>
      <c r="INL49" s="24"/>
      <c r="INM49" s="24"/>
      <c r="INN49" s="24"/>
      <c r="INO49" s="24"/>
      <c r="INP49" s="24"/>
      <c r="INQ49" s="24"/>
      <c r="INR49" s="24"/>
      <c r="INS49" s="24"/>
      <c r="INT49" s="24"/>
      <c r="INU49" s="24"/>
      <c r="INV49" s="24"/>
      <c r="INW49" s="24"/>
      <c r="INX49" s="24"/>
      <c r="INY49" s="24"/>
      <c r="INZ49" s="24"/>
      <c r="IOA49" s="24"/>
      <c r="IOB49" s="24"/>
      <c r="IOC49" s="24"/>
      <c r="IOD49" s="24"/>
      <c r="IOE49" s="24"/>
      <c r="IOF49" s="24"/>
      <c r="IOG49" s="24"/>
      <c r="IOH49" s="24"/>
      <c r="IOI49" s="24"/>
      <c r="IOJ49" s="24"/>
      <c r="IOK49" s="24"/>
      <c r="IOL49" s="24"/>
      <c r="IOM49" s="24"/>
      <c r="ION49" s="24"/>
      <c r="IOO49" s="24"/>
      <c r="IOP49" s="24"/>
      <c r="IOQ49" s="24"/>
      <c r="IOR49" s="24"/>
      <c r="IOS49" s="24"/>
      <c r="IOT49" s="24"/>
      <c r="IOU49" s="24"/>
      <c r="IOV49" s="24"/>
      <c r="IOW49" s="24"/>
      <c r="IOX49" s="24"/>
      <c r="IOY49" s="24"/>
      <c r="IOZ49" s="24"/>
      <c r="IPA49" s="24"/>
      <c r="IPB49" s="24"/>
      <c r="IPC49" s="24"/>
      <c r="IPD49" s="24"/>
      <c r="IPE49" s="24"/>
      <c r="IPF49" s="24"/>
      <c r="IPG49" s="24"/>
      <c r="IPH49" s="24"/>
      <c r="IPI49" s="24"/>
      <c r="IPJ49" s="24"/>
      <c r="IPK49" s="24"/>
      <c r="IPL49" s="24"/>
      <c r="IPM49" s="24"/>
      <c r="IPN49" s="24"/>
      <c r="IPO49" s="24"/>
      <c r="IPP49" s="24"/>
      <c r="IPQ49" s="24"/>
      <c r="IPR49" s="24"/>
      <c r="IPS49" s="24"/>
      <c r="IPT49" s="24"/>
      <c r="IPU49" s="24"/>
      <c r="IPV49" s="24"/>
      <c r="IPW49" s="24"/>
      <c r="IPX49" s="24"/>
      <c r="IPY49" s="24"/>
      <c r="IPZ49" s="24"/>
      <c r="IQA49" s="24"/>
      <c r="IQB49" s="24"/>
      <c r="IQC49" s="24"/>
      <c r="IQD49" s="24"/>
      <c r="IQE49" s="24"/>
      <c r="IQF49" s="24"/>
      <c r="IQG49" s="24"/>
      <c r="IQH49" s="24"/>
      <c r="IQI49" s="24"/>
      <c r="IQJ49" s="24"/>
      <c r="IQK49" s="24"/>
      <c r="IQL49" s="24"/>
      <c r="IQM49" s="24"/>
      <c r="IQN49" s="24"/>
      <c r="IQO49" s="24"/>
      <c r="IQP49" s="24"/>
      <c r="IQQ49" s="24"/>
      <c r="IQR49" s="24"/>
      <c r="IQS49" s="24"/>
      <c r="IQT49" s="24"/>
      <c r="IQU49" s="24"/>
      <c r="IQV49" s="24"/>
      <c r="IQW49" s="24"/>
      <c r="IQX49" s="24"/>
      <c r="IQY49" s="24"/>
      <c r="IQZ49" s="24"/>
      <c r="IRA49" s="24"/>
      <c r="IRB49" s="24"/>
      <c r="IRC49" s="24"/>
      <c r="IRD49" s="24"/>
      <c r="IRE49" s="24"/>
      <c r="IRF49" s="24"/>
      <c r="IRG49" s="24"/>
      <c r="IRH49" s="24"/>
      <c r="IRI49" s="24"/>
      <c r="IRJ49" s="24"/>
      <c r="IRK49" s="24"/>
      <c r="IRL49" s="24"/>
      <c r="IRM49" s="24"/>
      <c r="IRN49" s="24"/>
      <c r="IRO49" s="24"/>
      <c r="IRP49" s="24"/>
      <c r="IRQ49" s="24"/>
      <c r="IRR49" s="24"/>
      <c r="IRS49" s="24"/>
      <c r="IRT49" s="24"/>
      <c r="IRU49" s="24"/>
      <c r="IRV49" s="24"/>
      <c r="IRW49" s="24"/>
      <c r="IRX49" s="24"/>
      <c r="IRY49" s="24"/>
      <c r="IRZ49" s="24"/>
      <c r="ISA49" s="24"/>
      <c r="ISB49" s="24"/>
      <c r="ISC49" s="24"/>
      <c r="ISD49" s="24"/>
      <c r="ISE49" s="24"/>
      <c r="ISF49" s="24"/>
      <c r="ISG49" s="24"/>
      <c r="ISH49" s="24"/>
      <c r="ISI49" s="24"/>
      <c r="ISJ49" s="24"/>
      <c r="ISK49" s="24"/>
      <c r="ISL49" s="24"/>
      <c r="ISM49" s="24"/>
      <c r="ISN49" s="24"/>
      <c r="ISO49" s="24"/>
      <c r="ISP49" s="24"/>
      <c r="ISQ49" s="24"/>
      <c r="ISR49" s="24"/>
      <c r="ISS49" s="24"/>
      <c r="IST49" s="24"/>
      <c r="ISU49" s="24"/>
      <c r="ISV49" s="24"/>
      <c r="ISW49" s="24"/>
      <c r="ISX49" s="24"/>
      <c r="ISY49" s="24"/>
      <c r="ISZ49" s="24"/>
      <c r="ITA49" s="24"/>
      <c r="ITB49" s="24"/>
      <c r="ITC49" s="24"/>
      <c r="ITD49" s="24"/>
      <c r="ITE49" s="24"/>
      <c r="ITF49" s="24"/>
      <c r="ITG49" s="24"/>
      <c r="ITH49" s="24"/>
      <c r="ITI49" s="24"/>
      <c r="ITJ49" s="24"/>
      <c r="ITK49" s="24"/>
      <c r="ITL49" s="24"/>
      <c r="ITM49" s="24"/>
      <c r="ITN49" s="24"/>
      <c r="ITO49" s="24"/>
      <c r="ITP49" s="24"/>
      <c r="ITQ49" s="24"/>
      <c r="ITR49" s="24"/>
      <c r="ITS49" s="24"/>
      <c r="ITT49" s="24"/>
      <c r="ITU49" s="24"/>
      <c r="ITV49" s="24"/>
      <c r="ITW49" s="24"/>
      <c r="ITX49" s="24"/>
      <c r="ITY49" s="24"/>
      <c r="ITZ49" s="24"/>
      <c r="IUA49" s="24"/>
      <c r="IUB49" s="24"/>
      <c r="IUC49" s="24"/>
      <c r="IUD49" s="24"/>
      <c r="IUE49" s="24"/>
      <c r="IUF49" s="24"/>
      <c r="IUG49" s="24"/>
      <c r="IUH49" s="24"/>
      <c r="IUI49" s="24"/>
      <c r="IUJ49" s="24"/>
      <c r="IUK49" s="24"/>
      <c r="IUL49" s="24"/>
      <c r="IUM49" s="24"/>
      <c r="IUN49" s="24"/>
      <c r="IUO49" s="24"/>
      <c r="IUP49" s="24"/>
      <c r="IUQ49" s="24"/>
      <c r="IUR49" s="24"/>
      <c r="IUS49" s="24"/>
      <c r="IUT49" s="24"/>
      <c r="IUU49" s="24"/>
      <c r="IUV49" s="24"/>
      <c r="IUW49" s="24"/>
      <c r="IUX49" s="24"/>
      <c r="IUY49" s="24"/>
      <c r="IUZ49" s="24"/>
      <c r="IVA49" s="24"/>
      <c r="IVB49" s="24"/>
      <c r="IVC49" s="24"/>
      <c r="IVD49" s="24"/>
      <c r="IVE49" s="24"/>
      <c r="IVF49" s="24"/>
      <c r="IVG49" s="24"/>
      <c r="IVH49" s="24"/>
      <c r="IVI49" s="24"/>
      <c r="IVJ49" s="24"/>
      <c r="IVK49" s="24"/>
      <c r="IVL49" s="24"/>
      <c r="IVM49" s="24"/>
      <c r="IVN49" s="24"/>
      <c r="IVO49" s="24"/>
      <c r="IVP49" s="24"/>
      <c r="IVQ49" s="24"/>
      <c r="IVR49" s="24"/>
      <c r="IVS49" s="24"/>
      <c r="IVT49" s="24"/>
      <c r="IVU49" s="24"/>
      <c r="IVV49" s="24"/>
      <c r="IVW49" s="24"/>
      <c r="IVX49" s="24"/>
      <c r="IVY49" s="24"/>
      <c r="IVZ49" s="24"/>
      <c r="IWA49" s="24"/>
      <c r="IWB49" s="24"/>
      <c r="IWC49" s="24"/>
      <c r="IWD49" s="24"/>
      <c r="IWE49" s="24"/>
      <c r="IWF49" s="24"/>
      <c r="IWG49" s="24"/>
      <c r="IWH49" s="24"/>
      <c r="IWI49" s="24"/>
      <c r="IWJ49" s="24"/>
      <c r="IWK49" s="24"/>
      <c r="IWL49" s="24"/>
      <c r="IWM49" s="24"/>
      <c r="IWN49" s="24"/>
      <c r="IWO49" s="24"/>
      <c r="IWP49" s="24"/>
      <c r="IWQ49" s="24"/>
      <c r="IWR49" s="24"/>
      <c r="IWS49" s="24"/>
      <c r="IWT49" s="24"/>
      <c r="IWU49" s="24"/>
      <c r="IWV49" s="24"/>
      <c r="IWW49" s="24"/>
      <c r="IWX49" s="24"/>
      <c r="IWY49" s="24"/>
      <c r="IWZ49" s="24"/>
      <c r="IXA49" s="24"/>
      <c r="IXB49" s="24"/>
      <c r="IXC49" s="24"/>
      <c r="IXD49" s="24"/>
      <c r="IXE49" s="24"/>
      <c r="IXF49" s="24"/>
      <c r="IXG49" s="24"/>
      <c r="IXH49" s="24"/>
      <c r="IXI49" s="24"/>
      <c r="IXJ49" s="24"/>
      <c r="IXK49" s="24"/>
      <c r="IXL49" s="24"/>
      <c r="IXM49" s="24"/>
      <c r="IXN49" s="24"/>
      <c r="IXO49" s="24"/>
      <c r="IXP49" s="24"/>
      <c r="IXQ49" s="24"/>
      <c r="IXR49" s="24"/>
      <c r="IXS49" s="24"/>
      <c r="IXT49" s="24"/>
      <c r="IXU49" s="24"/>
      <c r="IXV49" s="24"/>
      <c r="IXW49" s="24"/>
      <c r="IXX49" s="24"/>
      <c r="IXY49" s="24"/>
      <c r="IXZ49" s="24"/>
      <c r="IYA49" s="24"/>
      <c r="IYB49" s="24"/>
      <c r="IYC49" s="24"/>
      <c r="IYD49" s="24"/>
      <c r="IYE49" s="24"/>
      <c r="IYF49" s="24"/>
      <c r="IYG49" s="24"/>
      <c r="IYH49" s="24"/>
      <c r="IYI49" s="24"/>
      <c r="IYJ49" s="24"/>
      <c r="IYK49" s="24"/>
      <c r="IYL49" s="24"/>
      <c r="IYM49" s="24"/>
      <c r="IYN49" s="24"/>
      <c r="IYO49" s="24"/>
      <c r="IYP49" s="24"/>
      <c r="IYQ49" s="24"/>
      <c r="IYR49" s="24"/>
      <c r="IYS49" s="24"/>
      <c r="IYT49" s="24"/>
      <c r="IYU49" s="24"/>
      <c r="IYV49" s="24"/>
      <c r="IYW49" s="24"/>
      <c r="IYX49" s="24"/>
      <c r="IYY49" s="24"/>
      <c r="IYZ49" s="24"/>
      <c r="IZA49" s="24"/>
      <c r="IZB49" s="24"/>
      <c r="IZC49" s="24"/>
      <c r="IZD49" s="24"/>
      <c r="IZE49" s="24"/>
      <c r="IZF49" s="24"/>
      <c r="IZG49" s="24"/>
      <c r="IZH49" s="24"/>
      <c r="IZI49" s="24"/>
      <c r="IZJ49" s="24"/>
      <c r="IZK49" s="24"/>
      <c r="IZL49" s="24"/>
      <c r="IZM49" s="24"/>
      <c r="IZN49" s="24"/>
      <c r="IZO49" s="24"/>
      <c r="IZP49" s="24"/>
      <c r="IZQ49" s="24"/>
      <c r="IZR49" s="24"/>
      <c r="IZS49" s="24"/>
      <c r="IZT49" s="24"/>
      <c r="IZU49" s="24"/>
      <c r="IZV49" s="24"/>
      <c r="IZW49" s="24"/>
      <c r="IZX49" s="24"/>
      <c r="IZY49" s="24"/>
      <c r="IZZ49" s="24"/>
      <c r="JAA49" s="24"/>
      <c r="JAB49" s="24"/>
      <c r="JAC49" s="24"/>
      <c r="JAD49" s="24"/>
      <c r="JAE49" s="24"/>
      <c r="JAF49" s="24"/>
      <c r="JAG49" s="24"/>
      <c r="JAH49" s="24"/>
      <c r="JAI49" s="24"/>
      <c r="JAJ49" s="24"/>
      <c r="JAK49" s="24"/>
      <c r="JAL49" s="24"/>
      <c r="JAM49" s="24"/>
      <c r="JAN49" s="24"/>
      <c r="JAO49" s="24"/>
      <c r="JAP49" s="24"/>
      <c r="JAQ49" s="24"/>
      <c r="JAR49" s="24"/>
      <c r="JAS49" s="24"/>
      <c r="JAT49" s="24"/>
      <c r="JAU49" s="24"/>
      <c r="JAV49" s="24"/>
      <c r="JAW49" s="24"/>
      <c r="JAX49" s="24"/>
      <c r="JAY49" s="24"/>
      <c r="JAZ49" s="24"/>
      <c r="JBA49" s="24"/>
      <c r="JBB49" s="24"/>
      <c r="JBC49" s="24"/>
      <c r="JBD49" s="24"/>
      <c r="JBE49" s="24"/>
      <c r="JBF49" s="24"/>
      <c r="JBG49" s="24"/>
      <c r="JBH49" s="24"/>
      <c r="JBI49" s="24"/>
      <c r="JBJ49" s="24"/>
      <c r="JBK49" s="24"/>
      <c r="JBL49" s="24"/>
      <c r="JBM49" s="24"/>
      <c r="JBN49" s="24"/>
      <c r="JBO49" s="24"/>
      <c r="JBP49" s="24"/>
      <c r="JBQ49" s="24"/>
      <c r="JBR49" s="24"/>
      <c r="JBS49" s="24"/>
      <c r="JBT49" s="24"/>
      <c r="JBU49" s="24"/>
      <c r="JBV49" s="24"/>
      <c r="JBW49" s="24"/>
      <c r="JBX49" s="24"/>
      <c r="JBY49" s="24"/>
      <c r="JBZ49" s="24"/>
      <c r="JCA49" s="24"/>
      <c r="JCB49" s="24"/>
      <c r="JCC49" s="24"/>
      <c r="JCD49" s="24"/>
      <c r="JCE49" s="24"/>
      <c r="JCF49" s="24"/>
      <c r="JCG49" s="24"/>
      <c r="JCH49" s="24"/>
      <c r="JCI49" s="24"/>
      <c r="JCJ49" s="24"/>
      <c r="JCK49" s="24"/>
      <c r="JCL49" s="24"/>
      <c r="JCM49" s="24"/>
      <c r="JCN49" s="24"/>
      <c r="JCO49" s="24"/>
      <c r="JCP49" s="24"/>
      <c r="JCQ49" s="24"/>
      <c r="JCR49" s="24"/>
      <c r="JCS49" s="24"/>
      <c r="JCT49" s="24"/>
      <c r="JCU49" s="24"/>
      <c r="JCV49" s="24"/>
      <c r="JCW49" s="24"/>
      <c r="JCX49" s="24"/>
      <c r="JCY49" s="24"/>
      <c r="JCZ49" s="24"/>
      <c r="JDA49" s="24"/>
      <c r="JDB49" s="24"/>
      <c r="JDC49" s="24"/>
      <c r="JDD49" s="24"/>
      <c r="JDE49" s="24"/>
      <c r="JDF49" s="24"/>
      <c r="JDG49" s="24"/>
      <c r="JDH49" s="24"/>
      <c r="JDI49" s="24"/>
      <c r="JDJ49" s="24"/>
      <c r="JDK49" s="24"/>
      <c r="JDL49" s="24"/>
      <c r="JDM49" s="24"/>
      <c r="JDN49" s="24"/>
      <c r="JDO49" s="24"/>
      <c r="JDP49" s="24"/>
      <c r="JDQ49" s="24"/>
      <c r="JDR49" s="24"/>
      <c r="JDS49" s="24"/>
      <c r="JDT49" s="24"/>
      <c r="JDU49" s="24"/>
      <c r="JDV49" s="24"/>
      <c r="JDW49" s="24"/>
      <c r="JDX49" s="24"/>
      <c r="JDY49" s="24"/>
      <c r="JDZ49" s="24"/>
      <c r="JEA49" s="24"/>
      <c r="JEB49" s="24"/>
      <c r="JEC49" s="24"/>
      <c r="JED49" s="24"/>
      <c r="JEE49" s="24"/>
      <c r="JEF49" s="24"/>
      <c r="JEG49" s="24"/>
      <c r="JEH49" s="24"/>
      <c r="JEI49" s="24"/>
      <c r="JEJ49" s="24"/>
      <c r="JEK49" s="24"/>
      <c r="JEL49" s="24"/>
      <c r="JEM49" s="24"/>
      <c r="JEN49" s="24"/>
      <c r="JEO49" s="24"/>
      <c r="JEP49" s="24"/>
      <c r="JEQ49" s="24"/>
      <c r="JER49" s="24"/>
      <c r="JES49" s="24"/>
      <c r="JET49" s="24"/>
      <c r="JEU49" s="24"/>
      <c r="JEV49" s="24"/>
      <c r="JEW49" s="24"/>
      <c r="JEX49" s="24"/>
      <c r="JEY49" s="24"/>
      <c r="JEZ49" s="24"/>
      <c r="JFA49" s="24"/>
      <c r="JFB49" s="24"/>
      <c r="JFC49" s="24"/>
      <c r="JFD49" s="24"/>
      <c r="JFE49" s="24"/>
      <c r="JFF49" s="24"/>
      <c r="JFG49" s="24"/>
      <c r="JFH49" s="24"/>
      <c r="JFI49" s="24"/>
      <c r="JFJ49" s="24"/>
      <c r="JFK49" s="24"/>
      <c r="JFL49" s="24"/>
      <c r="JFM49" s="24"/>
      <c r="JFN49" s="24"/>
      <c r="JFO49" s="24"/>
      <c r="JFP49" s="24"/>
      <c r="JFQ49" s="24"/>
      <c r="JFR49" s="24"/>
      <c r="JFS49" s="24"/>
      <c r="JFT49" s="24"/>
      <c r="JFU49" s="24"/>
      <c r="JFV49" s="24"/>
      <c r="JFW49" s="24"/>
      <c r="JFX49" s="24"/>
      <c r="JFY49" s="24"/>
      <c r="JFZ49" s="24"/>
      <c r="JGA49" s="24"/>
      <c r="JGB49" s="24"/>
      <c r="JGC49" s="24"/>
      <c r="JGD49" s="24"/>
      <c r="JGE49" s="24"/>
      <c r="JGF49" s="24"/>
      <c r="JGG49" s="24"/>
      <c r="JGH49" s="24"/>
      <c r="JGI49" s="24"/>
      <c r="JGJ49" s="24"/>
      <c r="JGK49" s="24"/>
      <c r="JGL49" s="24"/>
      <c r="JGM49" s="24"/>
      <c r="JGN49" s="24"/>
      <c r="JGO49" s="24"/>
      <c r="JGP49" s="24"/>
      <c r="JGQ49" s="24"/>
      <c r="JGR49" s="24"/>
      <c r="JGS49" s="24"/>
      <c r="JGT49" s="24"/>
      <c r="JGU49" s="24"/>
      <c r="JGV49" s="24"/>
      <c r="JGW49" s="24"/>
      <c r="JGX49" s="24"/>
      <c r="JGY49" s="24"/>
      <c r="JGZ49" s="24"/>
      <c r="JHA49" s="24"/>
      <c r="JHB49" s="24"/>
      <c r="JHC49" s="24"/>
      <c r="JHD49" s="24"/>
      <c r="JHE49" s="24"/>
      <c r="JHF49" s="24"/>
      <c r="JHG49" s="24"/>
      <c r="JHH49" s="24"/>
      <c r="JHI49" s="24"/>
      <c r="JHJ49" s="24"/>
      <c r="JHK49" s="24"/>
      <c r="JHL49" s="24"/>
      <c r="JHM49" s="24"/>
      <c r="JHN49" s="24"/>
      <c r="JHO49" s="24"/>
      <c r="JHP49" s="24"/>
      <c r="JHQ49" s="24"/>
      <c r="JHR49" s="24"/>
      <c r="JHS49" s="24"/>
      <c r="JHT49" s="24"/>
      <c r="JHU49" s="24"/>
      <c r="JHV49" s="24"/>
      <c r="JHW49" s="24"/>
      <c r="JHX49" s="24"/>
      <c r="JHY49" s="24"/>
      <c r="JHZ49" s="24"/>
      <c r="JIA49" s="24"/>
      <c r="JIB49" s="24"/>
      <c r="JIC49" s="24"/>
      <c r="JID49" s="24"/>
      <c r="JIE49" s="24"/>
      <c r="JIF49" s="24"/>
      <c r="JIG49" s="24"/>
      <c r="JIH49" s="24"/>
      <c r="JII49" s="24"/>
      <c r="JIJ49" s="24"/>
      <c r="JIK49" s="24"/>
      <c r="JIL49" s="24"/>
      <c r="JIM49" s="24"/>
      <c r="JIN49" s="24"/>
      <c r="JIO49" s="24"/>
      <c r="JIP49" s="24"/>
      <c r="JIQ49" s="24"/>
      <c r="JIR49" s="24"/>
      <c r="JIS49" s="24"/>
      <c r="JIT49" s="24"/>
      <c r="JIU49" s="24"/>
      <c r="JIV49" s="24"/>
      <c r="JIW49" s="24"/>
      <c r="JIX49" s="24"/>
      <c r="JIY49" s="24"/>
      <c r="JIZ49" s="24"/>
      <c r="JJA49" s="24"/>
      <c r="JJB49" s="24"/>
      <c r="JJC49" s="24"/>
      <c r="JJD49" s="24"/>
      <c r="JJE49" s="24"/>
      <c r="JJF49" s="24"/>
      <c r="JJG49" s="24"/>
      <c r="JJH49" s="24"/>
      <c r="JJI49" s="24"/>
      <c r="JJJ49" s="24"/>
      <c r="JJK49" s="24"/>
      <c r="JJL49" s="24"/>
      <c r="JJM49" s="24"/>
      <c r="JJN49" s="24"/>
      <c r="JJO49" s="24"/>
      <c r="JJP49" s="24"/>
      <c r="JJQ49" s="24"/>
      <c r="JJR49" s="24"/>
      <c r="JJS49" s="24"/>
      <c r="JJT49" s="24"/>
      <c r="JJU49" s="24"/>
      <c r="JJV49" s="24"/>
      <c r="JJW49" s="24"/>
      <c r="JJX49" s="24"/>
      <c r="JJY49" s="24"/>
      <c r="JJZ49" s="24"/>
      <c r="JKA49" s="24"/>
      <c r="JKB49" s="24"/>
      <c r="JKC49" s="24"/>
      <c r="JKD49" s="24"/>
      <c r="JKE49" s="24"/>
      <c r="JKF49" s="24"/>
      <c r="JKG49" s="24"/>
      <c r="JKH49" s="24"/>
      <c r="JKI49" s="24"/>
      <c r="JKJ49" s="24"/>
      <c r="JKK49" s="24"/>
      <c r="JKL49" s="24"/>
      <c r="JKM49" s="24"/>
      <c r="JKN49" s="24"/>
      <c r="JKO49" s="24"/>
      <c r="JKP49" s="24"/>
      <c r="JKQ49" s="24"/>
      <c r="JKR49" s="24"/>
      <c r="JKS49" s="24"/>
      <c r="JKT49" s="24"/>
      <c r="JKU49" s="24"/>
      <c r="JKV49" s="24"/>
      <c r="JKW49" s="24"/>
      <c r="JKX49" s="24"/>
      <c r="JKY49" s="24"/>
      <c r="JKZ49" s="24"/>
      <c r="JLA49" s="24"/>
      <c r="JLB49" s="24"/>
      <c r="JLC49" s="24"/>
      <c r="JLD49" s="24"/>
      <c r="JLE49" s="24"/>
      <c r="JLF49" s="24"/>
      <c r="JLG49" s="24"/>
      <c r="JLH49" s="24"/>
      <c r="JLI49" s="24"/>
      <c r="JLJ49" s="24"/>
      <c r="JLK49" s="24"/>
      <c r="JLL49" s="24"/>
      <c r="JLM49" s="24"/>
      <c r="JLN49" s="24"/>
      <c r="JLO49" s="24"/>
      <c r="JLP49" s="24"/>
      <c r="JLQ49" s="24"/>
      <c r="JLR49" s="24"/>
      <c r="JLS49" s="24"/>
      <c r="JLT49" s="24"/>
      <c r="JLU49" s="24"/>
      <c r="JLV49" s="24"/>
      <c r="JLW49" s="24"/>
      <c r="JLX49" s="24"/>
      <c r="JLY49" s="24"/>
      <c r="JLZ49" s="24"/>
      <c r="JMA49" s="24"/>
      <c r="JMB49" s="24"/>
      <c r="JMC49" s="24"/>
      <c r="JMD49" s="24"/>
      <c r="JME49" s="24"/>
      <c r="JMF49" s="24"/>
      <c r="JMG49" s="24"/>
      <c r="JMH49" s="24"/>
      <c r="JMI49" s="24"/>
      <c r="JMJ49" s="24"/>
      <c r="JMK49" s="24"/>
      <c r="JML49" s="24"/>
      <c r="JMM49" s="24"/>
      <c r="JMN49" s="24"/>
      <c r="JMO49" s="24"/>
      <c r="JMP49" s="24"/>
      <c r="JMQ49" s="24"/>
      <c r="JMR49" s="24"/>
      <c r="JMS49" s="24"/>
      <c r="JMT49" s="24"/>
      <c r="JMU49" s="24"/>
      <c r="JMV49" s="24"/>
      <c r="JMW49" s="24"/>
      <c r="JMX49" s="24"/>
      <c r="JMY49" s="24"/>
      <c r="JMZ49" s="24"/>
      <c r="JNA49" s="24"/>
      <c r="JNB49" s="24"/>
      <c r="JNC49" s="24"/>
      <c r="JND49" s="24"/>
      <c r="JNE49" s="24"/>
      <c r="JNF49" s="24"/>
      <c r="JNG49" s="24"/>
      <c r="JNH49" s="24"/>
      <c r="JNI49" s="24"/>
      <c r="JNJ49" s="24"/>
      <c r="JNK49" s="24"/>
      <c r="JNL49" s="24"/>
      <c r="JNM49" s="24"/>
      <c r="JNN49" s="24"/>
      <c r="JNO49" s="24"/>
      <c r="JNP49" s="24"/>
      <c r="JNQ49" s="24"/>
      <c r="JNR49" s="24"/>
      <c r="JNS49" s="24"/>
      <c r="JNT49" s="24"/>
      <c r="JNU49" s="24"/>
      <c r="JNV49" s="24"/>
      <c r="JNW49" s="24"/>
      <c r="JNX49" s="24"/>
      <c r="JNY49" s="24"/>
      <c r="JNZ49" s="24"/>
      <c r="JOA49" s="24"/>
      <c r="JOB49" s="24"/>
      <c r="JOC49" s="24"/>
      <c r="JOD49" s="24"/>
      <c r="JOE49" s="24"/>
      <c r="JOF49" s="24"/>
      <c r="JOG49" s="24"/>
      <c r="JOH49" s="24"/>
      <c r="JOI49" s="24"/>
      <c r="JOJ49" s="24"/>
      <c r="JOK49" s="24"/>
      <c r="JOL49" s="24"/>
      <c r="JOM49" s="24"/>
      <c r="JON49" s="24"/>
      <c r="JOO49" s="24"/>
      <c r="JOP49" s="24"/>
      <c r="JOQ49" s="24"/>
      <c r="JOR49" s="24"/>
      <c r="JOS49" s="24"/>
      <c r="JOT49" s="24"/>
      <c r="JOU49" s="24"/>
      <c r="JOV49" s="24"/>
      <c r="JOW49" s="24"/>
      <c r="JOX49" s="24"/>
      <c r="JOY49" s="24"/>
      <c r="JOZ49" s="24"/>
      <c r="JPA49" s="24"/>
      <c r="JPB49" s="24"/>
      <c r="JPC49" s="24"/>
      <c r="JPD49" s="24"/>
      <c r="JPE49" s="24"/>
      <c r="JPF49" s="24"/>
      <c r="JPG49" s="24"/>
      <c r="JPH49" s="24"/>
      <c r="JPI49" s="24"/>
      <c r="JPJ49" s="24"/>
      <c r="JPK49" s="24"/>
      <c r="JPL49" s="24"/>
      <c r="JPM49" s="24"/>
      <c r="JPN49" s="24"/>
      <c r="JPO49" s="24"/>
      <c r="JPP49" s="24"/>
      <c r="JPQ49" s="24"/>
      <c r="JPR49" s="24"/>
      <c r="JPS49" s="24"/>
      <c r="JPT49" s="24"/>
      <c r="JPU49" s="24"/>
      <c r="JPV49" s="24"/>
      <c r="JPW49" s="24"/>
      <c r="JPX49" s="24"/>
      <c r="JPY49" s="24"/>
      <c r="JPZ49" s="24"/>
      <c r="JQA49" s="24"/>
      <c r="JQB49" s="24"/>
      <c r="JQC49" s="24"/>
      <c r="JQD49" s="24"/>
      <c r="JQE49" s="24"/>
      <c r="JQF49" s="24"/>
      <c r="JQG49" s="24"/>
      <c r="JQH49" s="24"/>
      <c r="JQI49" s="24"/>
      <c r="JQJ49" s="24"/>
      <c r="JQK49" s="24"/>
      <c r="JQL49" s="24"/>
      <c r="JQM49" s="24"/>
      <c r="JQN49" s="24"/>
      <c r="JQO49" s="24"/>
      <c r="JQP49" s="24"/>
      <c r="JQQ49" s="24"/>
      <c r="JQR49" s="24"/>
      <c r="JQS49" s="24"/>
      <c r="JQT49" s="24"/>
      <c r="JQU49" s="24"/>
      <c r="JQV49" s="24"/>
      <c r="JQW49" s="24"/>
      <c r="JQX49" s="24"/>
      <c r="JQY49" s="24"/>
      <c r="JQZ49" s="24"/>
      <c r="JRA49" s="24"/>
      <c r="JRB49" s="24"/>
      <c r="JRC49" s="24"/>
      <c r="JRD49" s="24"/>
      <c r="JRE49" s="24"/>
      <c r="JRF49" s="24"/>
      <c r="JRG49" s="24"/>
      <c r="JRH49" s="24"/>
      <c r="JRI49" s="24"/>
      <c r="JRJ49" s="24"/>
      <c r="JRK49" s="24"/>
      <c r="JRL49" s="24"/>
      <c r="JRM49" s="24"/>
      <c r="JRN49" s="24"/>
      <c r="JRO49" s="24"/>
      <c r="JRP49" s="24"/>
      <c r="JRQ49" s="24"/>
      <c r="JRR49" s="24"/>
      <c r="JRS49" s="24"/>
      <c r="JRT49" s="24"/>
      <c r="JRU49" s="24"/>
      <c r="JRV49" s="24"/>
      <c r="JRW49" s="24"/>
      <c r="JRX49" s="24"/>
      <c r="JRY49" s="24"/>
      <c r="JRZ49" s="24"/>
      <c r="JSA49" s="24"/>
      <c r="JSB49" s="24"/>
      <c r="JSC49" s="24"/>
      <c r="JSD49" s="24"/>
      <c r="JSE49" s="24"/>
      <c r="JSF49" s="24"/>
      <c r="JSG49" s="24"/>
      <c r="JSH49" s="24"/>
      <c r="JSI49" s="24"/>
      <c r="JSJ49" s="24"/>
      <c r="JSK49" s="24"/>
      <c r="JSL49" s="24"/>
      <c r="JSM49" s="24"/>
      <c r="JSN49" s="24"/>
      <c r="JSO49" s="24"/>
      <c r="JSP49" s="24"/>
      <c r="JSQ49" s="24"/>
      <c r="JSR49" s="24"/>
      <c r="JSS49" s="24"/>
      <c r="JST49" s="24"/>
      <c r="JSU49" s="24"/>
      <c r="JSV49" s="24"/>
      <c r="JSW49" s="24"/>
      <c r="JSX49" s="24"/>
      <c r="JSY49" s="24"/>
      <c r="JSZ49" s="24"/>
      <c r="JTA49" s="24"/>
      <c r="JTB49" s="24"/>
      <c r="JTC49" s="24"/>
      <c r="JTD49" s="24"/>
      <c r="JTE49" s="24"/>
      <c r="JTF49" s="24"/>
      <c r="JTG49" s="24"/>
      <c r="JTH49" s="24"/>
      <c r="JTI49" s="24"/>
      <c r="JTJ49" s="24"/>
      <c r="JTK49" s="24"/>
      <c r="JTL49" s="24"/>
      <c r="JTM49" s="24"/>
      <c r="JTN49" s="24"/>
      <c r="JTO49" s="24"/>
      <c r="JTP49" s="24"/>
      <c r="JTQ49" s="24"/>
      <c r="JTR49" s="24"/>
      <c r="JTS49" s="24"/>
      <c r="JTT49" s="24"/>
      <c r="JTU49" s="24"/>
      <c r="JTV49" s="24"/>
      <c r="JTW49" s="24"/>
      <c r="JTX49" s="24"/>
      <c r="JTY49" s="24"/>
      <c r="JTZ49" s="24"/>
      <c r="JUA49" s="24"/>
      <c r="JUB49" s="24"/>
      <c r="JUC49" s="24"/>
      <c r="JUD49" s="24"/>
      <c r="JUE49" s="24"/>
      <c r="JUF49" s="24"/>
      <c r="JUG49" s="24"/>
      <c r="JUH49" s="24"/>
      <c r="JUI49" s="24"/>
      <c r="JUJ49" s="24"/>
      <c r="JUK49" s="24"/>
      <c r="JUL49" s="24"/>
      <c r="JUM49" s="24"/>
      <c r="JUN49" s="24"/>
      <c r="JUO49" s="24"/>
      <c r="JUP49" s="24"/>
      <c r="JUQ49" s="24"/>
      <c r="JUR49" s="24"/>
      <c r="JUS49" s="24"/>
      <c r="JUT49" s="24"/>
      <c r="JUU49" s="24"/>
      <c r="JUV49" s="24"/>
      <c r="JUW49" s="24"/>
      <c r="JUX49" s="24"/>
      <c r="JUY49" s="24"/>
      <c r="JUZ49" s="24"/>
      <c r="JVA49" s="24"/>
      <c r="JVB49" s="24"/>
      <c r="JVC49" s="24"/>
      <c r="JVD49" s="24"/>
      <c r="JVE49" s="24"/>
      <c r="JVF49" s="24"/>
      <c r="JVG49" s="24"/>
      <c r="JVH49" s="24"/>
      <c r="JVI49" s="24"/>
      <c r="JVJ49" s="24"/>
      <c r="JVK49" s="24"/>
      <c r="JVL49" s="24"/>
      <c r="JVM49" s="24"/>
      <c r="JVN49" s="24"/>
      <c r="JVO49" s="24"/>
      <c r="JVP49" s="24"/>
      <c r="JVQ49" s="24"/>
      <c r="JVR49" s="24"/>
      <c r="JVS49" s="24"/>
      <c r="JVT49" s="24"/>
      <c r="JVU49" s="24"/>
      <c r="JVV49" s="24"/>
      <c r="JVW49" s="24"/>
      <c r="JVX49" s="24"/>
      <c r="JVY49" s="24"/>
      <c r="JVZ49" s="24"/>
      <c r="JWA49" s="24"/>
      <c r="JWB49" s="24"/>
      <c r="JWC49" s="24"/>
      <c r="JWD49" s="24"/>
      <c r="JWE49" s="24"/>
      <c r="JWF49" s="24"/>
      <c r="JWG49" s="24"/>
      <c r="JWH49" s="24"/>
      <c r="JWI49" s="24"/>
      <c r="JWJ49" s="24"/>
      <c r="JWK49" s="24"/>
      <c r="JWL49" s="24"/>
      <c r="JWM49" s="24"/>
      <c r="JWN49" s="24"/>
      <c r="JWO49" s="24"/>
      <c r="JWP49" s="24"/>
      <c r="JWQ49" s="24"/>
      <c r="JWR49" s="24"/>
      <c r="JWS49" s="24"/>
      <c r="JWT49" s="24"/>
      <c r="JWU49" s="24"/>
      <c r="JWV49" s="24"/>
      <c r="JWW49" s="24"/>
      <c r="JWX49" s="24"/>
      <c r="JWY49" s="24"/>
      <c r="JWZ49" s="24"/>
      <c r="JXA49" s="24"/>
      <c r="JXB49" s="24"/>
      <c r="JXC49" s="24"/>
      <c r="JXD49" s="24"/>
      <c r="JXE49" s="24"/>
      <c r="JXF49" s="24"/>
      <c r="JXG49" s="24"/>
      <c r="JXH49" s="24"/>
      <c r="JXI49" s="24"/>
      <c r="JXJ49" s="24"/>
      <c r="JXK49" s="24"/>
      <c r="JXL49" s="24"/>
      <c r="JXM49" s="24"/>
      <c r="JXN49" s="24"/>
      <c r="JXO49" s="24"/>
      <c r="JXP49" s="24"/>
      <c r="JXQ49" s="24"/>
      <c r="JXR49" s="24"/>
      <c r="JXS49" s="24"/>
      <c r="JXT49" s="24"/>
      <c r="JXU49" s="24"/>
      <c r="JXV49" s="24"/>
      <c r="JXW49" s="24"/>
      <c r="JXX49" s="24"/>
      <c r="JXY49" s="24"/>
      <c r="JXZ49" s="24"/>
      <c r="JYA49" s="24"/>
      <c r="JYB49" s="24"/>
      <c r="JYC49" s="24"/>
      <c r="JYD49" s="24"/>
      <c r="JYE49" s="24"/>
      <c r="JYF49" s="24"/>
      <c r="JYG49" s="24"/>
      <c r="JYH49" s="24"/>
      <c r="JYI49" s="24"/>
      <c r="JYJ49" s="24"/>
      <c r="JYK49" s="24"/>
      <c r="JYL49" s="24"/>
      <c r="JYM49" s="24"/>
      <c r="JYN49" s="24"/>
      <c r="JYO49" s="24"/>
      <c r="JYP49" s="24"/>
      <c r="JYQ49" s="24"/>
      <c r="JYR49" s="24"/>
      <c r="JYS49" s="24"/>
      <c r="JYT49" s="24"/>
      <c r="JYU49" s="24"/>
      <c r="JYV49" s="24"/>
      <c r="JYW49" s="24"/>
      <c r="JYX49" s="24"/>
      <c r="JYY49" s="24"/>
      <c r="JYZ49" s="24"/>
      <c r="JZA49" s="24"/>
      <c r="JZB49" s="24"/>
      <c r="JZC49" s="24"/>
      <c r="JZD49" s="24"/>
      <c r="JZE49" s="24"/>
      <c r="JZF49" s="24"/>
      <c r="JZG49" s="24"/>
      <c r="JZH49" s="24"/>
      <c r="JZI49" s="24"/>
      <c r="JZJ49" s="24"/>
      <c r="JZK49" s="24"/>
      <c r="JZL49" s="24"/>
      <c r="JZM49" s="24"/>
      <c r="JZN49" s="24"/>
      <c r="JZO49" s="24"/>
      <c r="JZP49" s="24"/>
      <c r="JZQ49" s="24"/>
      <c r="JZR49" s="24"/>
      <c r="JZS49" s="24"/>
      <c r="JZT49" s="24"/>
      <c r="JZU49" s="24"/>
      <c r="JZV49" s="24"/>
      <c r="JZW49" s="24"/>
      <c r="JZX49" s="24"/>
      <c r="JZY49" s="24"/>
      <c r="JZZ49" s="24"/>
      <c r="KAA49" s="24"/>
      <c r="KAB49" s="24"/>
      <c r="KAC49" s="24"/>
      <c r="KAD49" s="24"/>
      <c r="KAE49" s="24"/>
      <c r="KAF49" s="24"/>
      <c r="KAG49" s="24"/>
      <c r="KAH49" s="24"/>
      <c r="KAI49" s="24"/>
      <c r="KAJ49" s="24"/>
      <c r="KAK49" s="24"/>
      <c r="KAL49" s="24"/>
      <c r="KAM49" s="24"/>
      <c r="KAN49" s="24"/>
      <c r="KAO49" s="24"/>
      <c r="KAP49" s="24"/>
      <c r="KAQ49" s="24"/>
      <c r="KAR49" s="24"/>
      <c r="KAS49" s="24"/>
      <c r="KAT49" s="24"/>
      <c r="KAU49" s="24"/>
      <c r="KAV49" s="24"/>
      <c r="KAW49" s="24"/>
      <c r="KAX49" s="24"/>
      <c r="KAY49" s="24"/>
      <c r="KAZ49" s="24"/>
      <c r="KBA49" s="24"/>
      <c r="KBB49" s="24"/>
      <c r="KBC49" s="24"/>
      <c r="KBD49" s="24"/>
      <c r="KBE49" s="24"/>
      <c r="KBF49" s="24"/>
      <c r="KBG49" s="24"/>
      <c r="KBH49" s="24"/>
      <c r="KBI49" s="24"/>
      <c r="KBJ49" s="24"/>
      <c r="KBK49" s="24"/>
      <c r="KBL49" s="24"/>
      <c r="KBM49" s="24"/>
      <c r="KBN49" s="24"/>
      <c r="KBO49" s="24"/>
      <c r="KBP49" s="24"/>
      <c r="KBQ49" s="24"/>
      <c r="KBR49" s="24"/>
      <c r="KBS49" s="24"/>
      <c r="KBT49" s="24"/>
      <c r="KBU49" s="24"/>
      <c r="KBV49" s="24"/>
      <c r="KBW49" s="24"/>
      <c r="KBX49" s="24"/>
      <c r="KBY49" s="24"/>
      <c r="KBZ49" s="24"/>
      <c r="KCA49" s="24"/>
      <c r="KCB49" s="24"/>
      <c r="KCC49" s="24"/>
      <c r="KCD49" s="24"/>
      <c r="KCE49" s="24"/>
      <c r="KCF49" s="24"/>
      <c r="KCG49" s="24"/>
      <c r="KCH49" s="24"/>
      <c r="KCI49" s="24"/>
      <c r="KCJ49" s="24"/>
      <c r="KCK49" s="24"/>
      <c r="KCL49" s="24"/>
      <c r="KCM49" s="24"/>
      <c r="KCN49" s="24"/>
      <c r="KCO49" s="24"/>
      <c r="KCP49" s="24"/>
      <c r="KCQ49" s="24"/>
      <c r="KCR49" s="24"/>
      <c r="KCS49" s="24"/>
      <c r="KCT49" s="24"/>
      <c r="KCU49" s="24"/>
      <c r="KCV49" s="24"/>
      <c r="KCW49" s="24"/>
      <c r="KCX49" s="24"/>
      <c r="KCY49" s="24"/>
      <c r="KCZ49" s="24"/>
      <c r="KDA49" s="24"/>
      <c r="KDB49" s="24"/>
      <c r="KDC49" s="24"/>
      <c r="KDD49" s="24"/>
      <c r="KDE49" s="24"/>
      <c r="KDF49" s="24"/>
      <c r="KDG49" s="24"/>
      <c r="KDH49" s="24"/>
      <c r="KDI49" s="24"/>
      <c r="KDJ49" s="24"/>
      <c r="KDK49" s="24"/>
      <c r="KDL49" s="24"/>
      <c r="KDM49" s="24"/>
      <c r="KDN49" s="24"/>
      <c r="KDO49" s="24"/>
      <c r="KDP49" s="24"/>
      <c r="KDQ49" s="24"/>
      <c r="KDR49" s="24"/>
      <c r="KDS49" s="24"/>
      <c r="KDT49" s="24"/>
      <c r="KDU49" s="24"/>
      <c r="KDV49" s="24"/>
      <c r="KDW49" s="24"/>
      <c r="KDX49" s="24"/>
      <c r="KDY49" s="24"/>
      <c r="KDZ49" s="24"/>
      <c r="KEA49" s="24"/>
      <c r="KEB49" s="24"/>
      <c r="KEC49" s="24"/>
      <c r="KED49" s="24"/>
      <c r="KEE49" s="24"/>
      <c r="KEF49" s="24"/>
      <c r="KEG49" s="24"/>
      <c r="KEH49" s="24"/>
      <c r="KEI49" s="24"/>
      <c r="KEJ49" s="24"/>
      <c r="KEK49" s="24"/>
      <c r="KEL49" s="24"/>
      <c r="KEM49" s="24"/>
      <c r="KEN49" s="24"/>
      <c r="KEO49" s="24"/>
      <c r="KEP49" s="24"/>
      <c r="KEQ49" s="24"/>
      <c r="KER49" s="24"/>
      <c r="KES49" s="24"/>
      <c r="KET49" s="24"/>
      <c r="KEU49" s="24"/>
      <c r="KEV49" s="24"/>
      <c r="KEW49" s="24"/>
      <c r="KEX49" s="24"/>
      <c r="KEY49" s="24"/>
      <c r="KEZ49" s="24"/>
      <c r="KFA49" s="24"/>
      <c r="KFB49" s="24"/>
      <c r="KFC49" s="24"/>
      <c r="KFD49" s="24"/>
      <c r="KFE49" s="24"/>
      <c r="KFF49" s="24"/>
      <c r="KFG49" s="24"/>
      <c r="KFH49" s="24"/>
      <c r="KFI49" s="24"/>
      <c r="KFJ49" s="24"/>
      <c r="KFK49" s="24"/>
      <c r="KFL49" s="24"/>
      <c r="KFM49" s="24"/>
      <c r="KFN49" s="24"/>
      <c r="KFO49" s="24"/>
      <c r="KFP49" s="24"/>
      <c r="KFQ49" s="24"/>
      <c r="KFR49" s="24"/>
      <c r="KFS49" s="24"/>
      <c r="KFT49" s="24"/>
      <c r="KFU49" s="24"/>
      <c r="KFV49" s="24"/>
      <c r="KFW49" s="24"/>
      <c r="KFX49" s="24"/>
      <c r="KFY49" s="24"/>
      <c r="KFZ49" s="24"/>
      <c r="KGA49" s="24"/>
      <c r="KGB49" s="24"/>
      <c r="KGC49" s="24"/>
      <c r="KGD49" s="24"/>
      <c r="KGE49" s="24"/>
      <c r="KGF49" s="24"/>
      <c r="KGG49" s="24"/>
      <c r="KGH49" s="24"/>
      <c r="KGI49" s="24"/>
      <c r="KGJ49" s="24"/>
      <c r="KGK49" s="24"/>
      <c r="KGL49" s="24"/>
      <c r="KGM49" s="24"/>
      <c r="KGN49" s="24"/>
      <c r="KGO49" s="24"/>
      <c r="KGP49" s="24"/>
      <c r="KGQ49" s="24"/>
      <c r="KGR49" s="24"/>
      <c r="KGS49" s="24"/>
      <c r="KGT49" s="24"/>
      <c r="KGU49" s="24"/>
      <c r="KGV49" s="24"/>
      <c r="KGW49" s="24"/>
      <c r="KGX49" s="24"/>
      <c r="KGY49" s="24"/>
      <c r="KGZ49" s="24"/>
      <c r="KHA49" s="24"/>
      <c r="KHB49" s="24"/>
      <c r="KHC49" s="24"/>
      <c r="KHD49" s="24"/>
      <c r="KHE49" s="24"/>
      <c r="KHF49" s="24"/>
      <c r="KHG49" s="24"/>
      <c r="KHH49" s="24"/>
      <c r="KHI49" s="24"/>
      <c r="KHJ49" s="24"/>
      <c r="KHK49" s="24"/>
      <c r="KHL49" s="24"/>
      <c r="KHM49" s="24"/>
      <c r="KHN49" s="24"/>
      <c r="KHO49" s="24"/>
      <c r="KHP49" s="24"/>
      <c r="KHQ49" s="24"/>
      <c r="KHR49" s="24"/>
      <c r="KHS49" s="24"/>
      <c r="KHT49" s="24"/>
      <c r="KHU49" s="24"/>
      <c r="KHV49" s="24"/>
      <c r="KHW49" s="24"/>
      <c r="KHX49" s="24"/>
      <c r="KHY49" s="24"/>
      <c r="KHZ49" s="24"/>
      <c r="KIA49" s="24"/>
      <c r="KIB49" s="24"/>
      <c r="KIC49" s="24"/>
      <c r="KID49" s="24"/>
      <c r="KIE49" s="24"/>
      <c r="KIF49" s="24"/>
      <c r="KIG49" s="24"/>
      <c r="KIH49" s="24"/>
      <c r="KII49" s="24"/>
      <c r="KIJ49" s="24"/>
      <c r="KIK49" s="24"/>
      <c r="KIL49" s="24"/>
      <c r="KIM49" s="24"/>
      <c r="KIN49" s="24"/>
      <c r="KIO49" s="24"/>
      <c r="KIP49" s="24"/>
      <c r="KIQ49" s="24"/>
      <c r="KIR49" s="24"/>
      <c r="KIS49" s="24"/>
      <c r="KIT49" s="24"/>
      <c r="KIU49" s="24"/>
      <c r="KIV49" s="24"/>
      <c r="KIW49" s="24"/>
      <c r="KIX49" s="24"/>
      <c r="KIY49" s="24"/>
      <c r="KIZ49" s="24"/>
      <c r="KJA49" s="24"/>
      <c r="KJB49" s="24"/>
      <c r="KJC49" s="24"/>
      <c r="KJD49" s="24"/>
      <c r="KJE49" s="24"/>
      <c r="KJF49" s="24"/>
      <c r="KJG49" s="24"/>
      <c r="KJH49" s="24"/>
      <c r="KJI49" s="24"/>
      <c r="KJJ49" s="24"/>
      <c r="KJK49" s="24"/>
      <c r="KJL49" s="24"/>
      <c r="KJM49" s="24"/>
      <c r="KJN49" s="24"/>
      <c r="KJO49" s="24"/>
      <c r="KJP49" s="24"/>
      <c r="KJQ49" s="24"/>
      <c r="KJR49" s="24"/>
      <c r="KJS49" s="24"/>
      <c r="KJT49" s="24"/>
      <c r="KJU49" s="24"/>
      <c r="KJV49" s="24"/>
      <c r="KJW49" s="24"/>
      <c r="KJX49" s="24"/>
      <c r="KJY49" s="24"/>
      <c r="KJZ49" s="24"/>
      <c r="KKA49" s="24"/>
      <c r="KKB49" s="24"/>
      <c r="KKC49" s="24"/>
      <c r="KKD49" s="24"/>
      <c r="KKE49" s="24"/>
      <c r="KKF49" s="24"/>
      <c r="KKG49" s="24"/>
      <c r="KKH49" s="24"/>
      <c r="KKI49" s="24"/>
      <c r="KKJ49" s="24"/>
      <c r="KKK49" s="24"/>
      <c r="KKL49" s="24"/>
      <c r="KKM49" s="24"/>
      <c r="KKN49" s="24"/>
      <c r="KKO49" s="24"/>
      <c r="KKP49" s="24"/>
      <c r="KKQ49" s="24"/>
      <c r="KKR49" s="24"/>
      <c r="KKS49" s="24"/>
      <c r="KKT49" s="24"/>
      <c r="KKU49" s="24"/>
      <c r="KKV49" s="24"/>
      <c r="KKW49" s="24"/>
      <c r="KKX49" s="24"/>
      <c r="KKY49" s="24"/>
      <c r="KKZ49" s="24"/>
      <c r="KLA49" s="24"/>
      <c r="KLB49" s="24"/>
      <c r="KLC49" s="24"/>
      <c r="KLD49" s="24"/>
      <c r="KLE49" s="24"/>
      <c r="KLF49" s="24"/>
      <c r="KLG49" s="24"/>
      <c r="KLH49" s="24"/>
      <c r="KLI49" s="24"/>
      <c r="KLJ49" s="24"/>
      <c r="KLK49" s="24"/>
      <c r="KLL49" s="24"/>
      <c r="KLM49" s="24"/>
      <c r="KLN49" s="24"/>
      <c r="KLO49" s="24"/>
      <c r="KLP49" s="24"/>
      <c r="KLQ49" s="24"/>
      <c r="KLR49" s="24"/>
      <c r="KLS49" s="24"/>
      <c r="KLT49" s="24"/>
      <c r="KLU49" s="24"/>
      <c r="KLV49" s="24"/>
      <c r="KLW49" s="24"/>
      <c r="KLX49" s="24"/>
      <c r="KLY49" s="24"/>
      <c r="KLZ49" s="24"/>
      <c r="KMA49" s="24"/>
      <c r="KMB49" s="24"/>
      <c r="KMC49" s="24"/>
      <c r="KMD49" s="24"/>
      <c r="KME49" s="24"/>
      <c r="KMF49" s="24"/>
      <c r="KMG49" s="24"/>
      <c r="KMH49" s="24"/>
      <c r="KMI49" s="24"/>
      <c r="KMJ49" s="24"/>
      <c r="KMK49" s="24"/>
      <c r="KML49" s="24"/>
      <c r="KMM49" s="24"/>
      <c r="KMN49" s="24"/>
      <c r="KMO49" s="24"/>
      <c r="KMP49" s="24"/>
      <c r="KMQ49" s="24"/>
      <c r="KMR49" s="24"/>
      <c r="KMS49" s="24"/>
      <c r="KMT49" s="24"/>
      <c r="KMU49" s="24"/>
      <c r="KMV49" s="24"/>
      <c r="KMW49" s="24"/>
      <c r="KMX49" s="24"/>
      <c r="KMY49" s="24"/>
      <c r="KMZ49" s="24"/>
      <c r="KNA49" s="24"/>
      <c r="KNB49" s="24"/>
      <c r="KNC49" s="24"/>
      <c r="KND49" s="24"/>
      <c r="KNE49" s="24"/>
      <c r="KNF49" s="24"/>
      <c r="KNG49" s="24"/>
      <c r="KNH49" s="24"/>
      <c r="KNI49" s="24"/>
      <c r="KNJ49" s="24"/>
      <c r="KNK49" s="24"/>
      <c r="KNL49" s="24"/>
      <c r="KNM49" s="24"/>
      <c r="KNN49" s="24"/>
      <c r="KNO49" s="24"/>
      <c r="KNP49" s="24"/>
      <c r="KNQ49" s="24"/>
      <c r="KNR49" s="24"/>
      <c r="KNS49" s="24"/>
      <c r="KNT49" s="24"/>
      <c r="KNU49" s="24"/>
      <c r="KNV49" s="24"/>
      <c r="KNW49" s="24"/>
      <c r="KNX49" s="24"/>
      <c r="KNY49" s="24"/>
      <c r="KNZ49" s="24"/>
      <c r="KOA49" s="24"/>
      <c r="KOB49" s="24"/>
      <c r="KOC49" s="24"/>
      <c r="KOD49" s="24"/>
      <c r="KOE49" s="24"/>
      <c r="KOF49" s="24"/>
      <c r="KOG49" s="24"/>
      <c r="KOH49" s="24"/>
      <c r="KOI49" s="24"/>
      <c r="KOJ49" s="24"/>
      <c r="KOK49" s="24"/>
      <c r="KOL49" s="24"/>
      <c r="KOM49" s="24"/>
      <c r="KON49" s="24"/>
      <c r="KOO49" s="24"/>
      <c r="KOP49" s="24"/>
      <c r="KOQ49" s="24"/>
      <c r="KOR49" s="24"/>
      <c r="KOS49" s="24"/>
      <c r="KOT49" s="24"/>
      <c r="KOU49" s="24"/>
      <c r="KOV49" s="24"/>
      <c r="KOW49" s="24"/>
      <c r="KOX49" s="24"/>
      <c r="KOY49" s="24"/>
      <c r="KOZ49" s="24"/>
      <c r="KPA49" s="24"/>
      <c r="KPB49" s="24"/>
      <c r="KPC49" s="24"/>
      <c r="KPD49" s="24"/>
      <c r="KPE49" s="24"/>
      <c r="KPF49" s="24"/>
      <c r="KPG49" s="24"/>
      <c r="KPH49" s="24"/>
      <c r="KPI49" s="24"/>
      <c r="KPJ49" s="24"/>
      <c r="KPK49" s="24"/>
      <c r="KPL49" s="24"/>
      <c r="KPM49" s="24"/>
      <c r="KPN49" s="24"/>
      <c r="KPO49" s="24"/>
      <c r="KPP49" s="24"/>
      <c r="KPQ49" s="24"/>
      <c r="KPR49" s="24"/>
      <c r="KPS49" s="24"/>
      <c r="KPT49" s="24"/>
      <c r="KPU49" s="24"/>
      <c r="KPV49" s="24"/>
      <c r="KPW49" s="24"/>
      <c r="KPX49" s="24"/>
      <c r="KPY49" s="24"/>
      <c r="KPZ49" s="24"/>
      <c r="KQA49" s="24"/>
      <c r="KQB49" s="24"/>
      <c r="KQC49" s="24"/>
      <c r="KQD49" s="24"/>
      <c r="KQE49" s="24"/>
      <c r="KQF49" s="24"/>
      <c r="KQG49" s="24"/>
      <c r="KQH49" s="24"/>
      <c r="KQI49" s="24"/>
      <c r="KQJ49" s="24"/>
      <c r="KQK49" s="24"/>
      <c r="KQL49" s="24"/>
      <c r="KQM49" s="24"/>
      <c r="KQN49" s="24"/>
      <c r="KQO49" s="24"/>
      <c r="KQP49" s="24"/>
      <c r="KQQ49" s="24"/>
      <c r="KQR49" s="24"/>
      <c r="KQS49" s="24"/>
      <c r="KQT49" s="24"/>
      <c r="KQU49" s="24"/>
      <c r="KQV49" s="24"/>
      <c r="KQW49" s="24"/>
      <c r="KQX49" s="24"/>
      <c r="KQY49" s="24"/>
      <c r="KQZ49" s="24"/>
      <c r="KRA49" s="24"/>
      <c r="KRB49" s="24"/>
      <c r="KRC49" s="24"/>
      <c r="KRD49" s="24"/>
      <c r="KRE49" s="24"/>
      <c r="KRF49" s="24"/>
      <c r="KRG49" s="24"/>
      <c r="KRH49" s="24"/>
      <c r="KRI49" s="24"/>
      <c r="KRJ49" s="24"/>
      <c r="KRK49" s="24"/>
      <c r="KRL49" s="24"/>
      <c r="KRM49" s="24"/>
      <c r="KRN49" s="24"/>
      <c r="KRO49" s="24"/>
      <c r="KRP49" s="24"/>
      <c r="KRQ49" s="24"/>
      <c r="KRR49" s="24"/>
      <c r="KRS49" s="24"/>
      <c r="KRT49" s="24"/>
      <c r="KRU49" s="24"/>
      <c r="KRV49" s="24"/>
      <c r="KRW49" s="24"/>
      <c r="KRX49" s="24"/>
      <c r="KRY49" s="24"/>
      <c r="KRZ49" s="24"/>
      <c r="KSA49" s="24"/>
      <c r="KSB49" s="24"/>
      <c r="KSC49" s="24"/>
      <c r="KSD49" s="24"/>
      <c r="KSE49" s="24"/>
      <c r="KSF49" s="24"/>
      <c r="KSG49" s="24"/>
      <c r="KSH49" s="24"/>
      <c r="KSI49" s="24"/>
      <c r="KSJ49" s="24"/>
      <c r="KSK49" s="24"/>
      <c r="KSL49" s="24"/>
      <c r="KSM49" s="24"/>
      <c r="KSN49" s="24"/>
      <c r="KSO49" s="24"/>
      <c r="KSP49" s="24"/>
      <c r="KSQ49" s="24"/>
      <c r="KSR49" s="24"/>
      <c r="KSS49" s="24"/>
      <c r="KST49" s="24"/>
      <c r="KSU49" s="24"/>
      <c r="KSV49" s="24"/>
      <c r="KSW49" s="24"/>
      <c r="KSX49" s="24"/>
      <c r="KSY49" s="24"/>
      <c r="KSZ49" s="24"/>
      <c r="KTA49" s="24"/>
      <c r="KTB49" s="24"/>
      <c r="KTC49" s="24"/>
      <c r="KTD49" s="24"/>
      <c r="KTE49" s="24"/>
      <c r="KTF49" s="24"/>
      <c r="KTG49" s="24"/>
      <c r="KTH49" s="24"/>
      <c r="KTI49" s="24"/>
      <c r="KTJ49" s="24"/>
      <c r="KTK49" s="24"/>
      <c r="KTL49" s="24"/>
      <c r="KTM49" s="24"/>
      <c r="KTN49" s="24"/>
      <c r="KTO49" s="24"/>
      <c r="KTP49" s="24"/>
      <c r="KTQ49" s="24"/>
      <c r="KTR49" s="24"/>
      <c r="KTS49" s="24"/>
      <c r="KTT49" s="24"/>
      <c r="KTU49" s="24"/>
      <c r="KTV49" s="24"/>
      <c r="KTW49" s="24"/>
      <c r="KTX49" s="24"/>
      <c r="KTY49" s="24"/>
      <c r="KTZ49" s="24"/>
      <c r="KUA49" s="24"/>
      <c r="KUB49" s="24"/>
      <c r="KUC49" s="24"/>
      <c r="KUD49" s="24"/>
      <c r="KUE49" s="24"/>
      <c r="KUF49" s="24"/>
      <c r="KUG49" s="24"/>
      <c r="KUH49" s="24"/>
      <c r="KUI49" s="24"/>
      <c r="KUJ49" s="24"/>
      <c r="KUK49" s="24"/>
      <c r="KUL49" s="24"/>
      <c r="KUM49" s="24"/>
      <c r="KUN49" s="24"/>
      <c r="KUO49" s="24"/>
      <c r="KUP49" s="24"/>
      <c r="KUQ49" s="24"/>
      <c r="KUR49" s="24"/>
      <c r="KUS49" s="24"/>
      <c r="KUT49" s="24"/>
      <c r="KUU49" s="24"/>
      <c r="KUV49" s="24"/>
      <c r="KUW49" s="24"/>
      <c r="KUX49" s="24"/>
      <c r="KUY49" s="24"/>
      <c r="KUZ49" s="24"/>
      <c r="KVA49" s="24"/>
      <c r="KVB49" s="24"/>
      <c r="KVC49" s="24"/>
      <c r="KVD49" s="24"/>
      <c r="KVE49" s="24"/>
      <c r="KVF49" s="24"/>
      <c r="KVG49" s="24"/>
      <c r="KVH49" s="24"/>
      <c r="KVI49" s="24"/>
      <c r="KVJ49" s="24"/>
      <c r="KVK49" s="24"/>
      <c r="KVL49" s="24"/>
      <c r="KVM49" s="24"/>
      <c r="KVN49" s="24"/>
      <c r="KVO49" s="24"/>
      <c r="KVP49" s="24"/>
      <c r="KVQ49" s="24"/>
      <c r="KVR49" s="24"/>
      <c r="KVS49" s="24"/>
      <c r="KVT49" s="24"/>
      <c r="KVU49" s="24"/>
      <c r="KVV49" s="24"/>
      <c r="KVW49" s="24"/>
      <c r="KVX49" s="24"/>
      <c r="KVY49" s="24"/>
      <c r="KVZ49" s="24"/>
      <c r="KWA49" s="24"/>
      <c r="KWB49" s="24"/>
      <c r="KWC49" s="24"/>
      <c r="KWD49" s="24"/>
      <c r="KWE49" s="24"/>
      <c r="KWF49" s="24"/>
      <c r="KWG49" s="24"/>
      <c r="KWH49" s="24"/>
      <c r="KWI49" s="24"/>
      <c r="KWJ49" s="24"/>
      <c r="KWK49" s="24"/>
      <c r="KWL49" s="24"/>
      <c r="KWM49" s="24"/>
      <c r="KWN49" s="24"/>
      <c r="KWO49" s="24"/>
      <c r="KWP49" s="24"/>
      <c r="KWQ49" s="24"/>
      <c r="KWR49" s="24"/>
      <c r="KWS49" s="24"/>
      <c r="KWT49" s="24"/>
      <c r="KWU49" s="24"/>
      <c r="KWV49" s="24"/>
      <c r="KWW49" s="24"/>
      <c r="KWX49" s="24"/>
      <c r="KWY49" s="24"/>
      <c r="KWZ49" s="24"/>
      <c r="KXA49" s="24"/>
      <c r="KXB49" s="24"/>
      <c r="KXC49" s="24"/>
      <c r="KXD49" s="24"/>
      <c r="KXE49" s="24"/>
      <c r="KXF49" s="24"/>
      <c r="KXG49" s="24"/>
      <c r="KXH49" s="24"/>
      <c r="KXI49" s="24"/>
      <c r="KXJ49" s="24"/>
      <c r="KXK49" s="24"/>
      <c r="KXL49" s="24"/>
      <c r="KXM49" s="24"/>
      <c r="KXN49" s="24"/>
      <c r="KXO49" s="24"/>
      <c r="KXP49" s="24"/>
      <c r="KXQ49" s="24"/>
      <c r="KXR49" s="24"/>
      <c r="KXS49" s="24"/>
      <c r="KXT49" s="24"/>
      <c r="KXU49" s="24"/>
      <c r="KXV49" s="24"/>
      <c r="KXW49" s="24"/>
      <c r="KXX49" s="24"/>
      <c r="KXY49" s="24"/>
      <c r="KXZ49" s="24"/>
      <c r="KYA49" s="24"/>
      <c r="KYB49" s="24"/>
      <c r="KYC49" s="24"/>
      <c r="KYD49" s="24"/>
      <c r="KYE49" s="24"/>
      <c r="KYF49" s="24"/>
      <c r="KYG49" s="24"/>
      <c r="KYH49" s="24"/>
      <c r="KYI49" s="24"/>
      <c r="KYJ49" s="24"/>
      <c r="KYK49" s="24"/>
      <c r="KYL49" s="24"/>
      <c r="KYM49" s="24"/>
      <c r="KYN49" s="24"/>
      <c r="KYO49" s="24"/>
      <c r="KYP49" s="24"/>
      <c r="KYQ49" s="24"/>
      <c r="KYR49" s="24"/>
      <c r="KYS49" s="24"/>
      <c r="KYT49" s="24"/>
      <c r="KYU49" s="24"/>
      <c r="KYV49" s="24"/>
      <c r="KYW49" s="24"/>
      <c r="KYX49" s="24"/>
      <c r="KYY49" s="24"/>
      <c r="KYZ49" s="24"/>
      <c r="KZA49" s="24"/>
      <c r="KZB49" s="24"/>
      <c r="KZC49" s="24"/>
      <c r="KZD49" s="24"/>
      <c r="KZE49" s="24"/>
      <c r="KZF49" s="24"/>
      <c r="KZG49" s="24"/>
      <c r="KZH49" s="24"/>
      <c r="KZI49" s="24"/>
      <c r="KZJ49" s="24"/>
      <c r="KZK49" s="24"/>
      <c r="KZL49" s="24"/>
      <c r="KZM49" s="24"/>
      <c r="KZN49" s="24"/>
      <c r="KZO49" s="24"/>
      <c r="KZP49" s="24"/>
      <c r="KZQ49" s="24"/>
      <c r="KZR49" s="24"/>
      <c r="KZS49" s="24"/>
      <c r="KZT49" s="24"/>
      <c r="KZU49" s="24"/>
      <c r="KZV49" s="24"/>
      <c r="KZW49" s="24"/>
      <c r="KZX49" s="24"/>
      <c r="KZY49" s="24"/>
      <c r="KZZ49" s="24"/>
      <c r="LAA49" s="24"/>
      <c r="LAB49" s="24"/>
      <c r="LAC49" s="24"/>
      <c r="LAD49" s="24"/>
      <c r="LAE49" s="24"/>
      <c r="LAF49" s="24"/>
      <c r="LAG49" s="24"/>
      <c r="LAH49" s="24"/>
      <c r="LAI49" s="24"/>
      <c r="LAJ49" s="24"/>
      <c r="LAK49" s="24"/>
      <c r="LAL49" s="24"/>
      <c r="LAM49" s="24"/>
      <c r="LAN49" s="24"/>
      <c r="LAO49" s="24"/>
      <c r="LAP49" s="24"/>
      <c r="LAQ49" s="24"/>
      <c r="LAR49" s="24"/>
      <c r="LAS49" s="24"/>
      <c r="LAT49" s="24"/>
      <c r="LAU49" s="24"/>
      <c r="LAV49" s="24"/>
      <c r="LAW49" s="24"/>
      <c r="LAX49" s="24"/>
      <c r="LAY49" s="24"/>
      <c r="LAZ49" s="24"/>
      <c r="LBA49" s="24"/>
      <c r="LBB49" s="24"/>
      <c r="LBC49" s="24"/>
      <c r="LBD49" s="24"/>
      <c r="LBE49" s="24"/>
      <c r="LBF49" s="24"/>
      <c r="LBG49" s="24"/>
      <c r="LBH49" s="24"/>
      <c r="LBI49" s="24"/>
      <c r="LBJ49" s="24"/>
      <c r="LBK49" s="24"/>
      <c r="LBL49" s="24"/>
      <c r="LBM49" s="24"/>
      <c r="LBN49" s="24"/>
      <c r="LBO49" s="24"/>
      <c r="LBP49" s="24"/>
      <c r="LBQ49" s="24"/>
      <c r="LBR49" s="24"/>
      <c r="LBS49" s="24"/>
      <c r="LBT49" s="24"/>
      <c r="LBU49" s="24"/>
      <c r="LBV49" s="24"/>
      <c r="LBW49" s="24"/>
      <c r="LBX49" s="24"/>
      <c r="LBY49" s="24"/>
      <c r="LBZ49" s="24"/>
      <c r="LCA49" s="24"/>
      <c r="LCB49" s="24"/>
      <c r="LCC49" s="24"/>
      <c r="LCD49" s="24"/>
      <c r="LCE49" s="24"/>
      <c r="LCF49" s="24"/>
      <c r="LCG49" s="24"/>
      <c r="LCH49" s="24"/>
      <c r="LCI49" s="24"/>
      <c r="LCJ49" s="24"/>
      <c r="LCK49" s="24"/>
      <c r="LCL49" s="24"/>
      <c r="LCM49" s="24"/>
      <c r="LCN49" s="24"/>
      <c r="LCO49" s="24"/>
      <c r="LCP49" s="24"/>
      <c r="LCQ49" s="24"/>
      <c r="LCR49" s="24"/>
      <c r="LCS49" s="24"/>
      <c r="LCT49" s="24"/>
      <c r="LCU49" s="24"/>
      <c r="LCV49" s="24"/>
      <c r="LCW49" s="24"/>
      <c r="LCX49" s="24"/>
      <c r="LCY49" s="24"/>
      <c r="LCZ49" s="24"/>
      <c r="LDA49" s="24"/>
      <c r="LDB49" s="24"/>
      <c r="LDC49" s="24"/>
      <c r="LDD49" s="24"/>
      <c r="LDE49" s="24"/>
      <c r="LDF49" s="24"/>
      <c r="LDG49" s="24"/>
      <c r="LDH49" s="24"/>
      <c r="LDI49" s="24"/>
      <c r="LDJ49" s="24"/>
      <c r="LDK49" s="24"/>
      <c r="LDL49" s="24"/>
      <c r="LDM49" s="24"/>
      <c r="LDN49" s="24"/>
      <c r="LDO49" s="24"/>
      <c r="LDP49" s="24"/>
      <c r="LDQ49" s="24"/>
      <c r="LDR49" s="24"/>
      <c r="LDS49" s="24"/>
      <c r="LDT49" s="24"/>
      <c r="LDU49" s="24"/>
      <c r="LDV49" s="24"/>
      <c r="LDW49" s="24"/>
      <c r="LDX49" s="24"/>
      <c r="LDY49" s="24"/>
      <c r="LDZ49" s="24"/>
      <c r="LEA49" s="24"/>
      <c r="LEB49" s="24"/>
      <c r="LEC49" s="24"/>
      <c r="LED49" s="24"/>
      <c r="LEE49" s="24"/>
      <c r="LEF49" s="24"/>
      <c r="LEG49" s="24"/>
      <c r="LEH49" s="24"/>
      <c r="LEI49" s="24"/>
      <c r="LEJ49" s="24"/>
      <c r="LEK49" s="24"/>
      <c r="LEL49" s="24"/>
      <c r="LEM49" s="24"/>
      <c r="LEN49" s="24"/>
      <c r="LEO49" s="24"/>
      <c r="LEP49" s="24"/>
      <c r="LEQ49" s="24"/>
      <c r="LER49" s="24"/>
      <c r="LES49" s="24"/>
      <c r="LET49" s="24"/>
      <c r="LEU49" s="24"/>
      <c r="LEV49" s="24"/>
      <c r="LEW49" s="24"/>
      <c r="LEX49" s="24"/>
      <c r="LEY49" s="24"/>
      <c r="LEZ49" s="24"/>
      <c r="LFA49" s="24"/>
      <c r="LFB49" s="24"/>
      <c r="LFC49" s="24"/>
      <c r="LFD49" s="24"/>
      <c r="LFE49" s="24"/>
      <c r="LFF49" s="24"/>
      <c r="LFG49" s="24"/>
      <c r="LFH49" s="24"/>
      <c r="LFI49" s="24"/>
      <c r="LFJ49" s="24"/>
      <c r="LFK49" s="24"/>
      <c r="LFL49" s="24"/>
      <c r="LFM49" s="24"/>
      <c r="LFN49" s="24"/>
      <c r="LFO49" s="24"/>
      <c r="LFP49" s="24"/>
      <c r="LFQ49" s="24"/>
      <c r="LFR49" s="24"/>
      <c r="LFS49" s="24"/>
      <c r="LFT49" s="24"/>
      <c r="LFU49" s="24"/>
      <c r="LFV49" s="24"/>
      <c r="LFW49" s="24"/>
      <c r="LFX49" s="24"/>
      <c r="LFY49" s="24"/>
      <c r="LFZ49" s="24"/>
      <c r="LGA49" s="24"/>
      <c r="LGB49" s="24"/>
      <c r="LGC49" s="24"/>
      <c r="LGD49" s="24"/>
      <c r="LGE49" s="24"/>
      <c r="LGF49" s="24"/>
      <c r="LGG49" s="24"/>
      <c r="LGH49" s="24"/>
      <c r="LGI49" s="24"/>
      <c r="LGJ49" s="24"/>
      <c r="LGK49" s="24"/>
      <c r="LGL49" s="24"/>
      <c r="LGM49" s="24"/>
      <c r="LGN49" s="24"/>
      <c r="LGO49" s="24"/>
      <c r="LGP49" s="24"/>
      <c r="LGQ49" s="24"/>
      <c r="LGR49" s="24"/>
      <c r="LGS49" s="24"/>
      <c r="LGT49" s="24"/>
      <c r="LGU49" s="24"/>
      <c r="LGV49" s="24"/>
      <c r="LGW49" s="24"/>
      <c r="LGX49" s="24"/>
      <c r="LGY49" s="24"/>
      <c r="LGZ49" s="24"/>
      <c r="LHA49" s="24"/>
      <c r="LHB49" s="24"/>
      <c r="LHC49" s="24"/>
      <c r="LHD49" s="24"/>
      <c r="LHE49" s="24"/>
      <c r="LHF49" s="24"/>
      <c r="LHG49" s="24"/>
      <c r="LHH49" s="24"/>
      <c r="LHI49" s="24"/>
      <c r="LHJ49" s="24"/>
      <c r="LHK49" s="24"/>
      <c r="LHL49" s="24"/>
      <c r="LHM49" s="24"/>
      <c r="LHN49" s="24"/>
      <c r="LHO49" s="24"/>
      <c r="LHP49" s="24"/>
      <c r="LHQ49" s="24"/>
      <c r="LHR49" s="24"/>
      <c r="LHS49" s="24"/>
      <c r="LHT49" s="24"/>
      <c r="LHU49" s="24"/>
      <c r="LHV49" s="24"/>
      <c r="LHW49" s="24"/>
      <c r="LHX49" s="24"/>
      <c r="LHY49" s="24"/>
      <c r="LHZ49" s="24"/>
      <c r="LIA49" s="24"/>
      <c r="LIB49" s="24"/>
      <c r="LIC49" s="24"/>
      <c r="LID49" s="24"/>
      <c r="LIE49" s="24"/>
      <c r="LIF49" s="24"/>
      <c r="LIG49" s="24"/>
      <c r="LIH49" s="24"/>
      <c r="LII49" s="24"/>
      <c r="LIJ49" s="24"/>
      <c r="LIK49" s="24"/>
      <c r="LIL49" s="24"/>
      <c r="LIM49" s="24"/>
      <c r="LIN49" s="24"/>
      <c r="LIO49" s="24"/>
      <c r="LIP49" s="24"/>
      <c r="LIQ49" s="24"/>
      <c r="LIR49" s="24"/>
      <c r="LIS49" s="24"/>
      <c r="LIT49" s="24"/>
      <c r="LIU49" s="24"/>
      <c r="LIV49" s="24"/>
      <c r="LIW49" s="24"/>
      <c r="LIX49" s="24"/>
      <c r="LIY49" s="24"/>
      <c r="LIZ49" s="24"/>
      <c r="LJA49" s="24"/>
      <c r="LJB49" s="24"/>
      <c r="LJC49" s="24"/>
      <c r="LJD49" s="24"/>
      <c r="LJE49" s="24"/>
      <c r="LJF49" s="24"/>
      <c r="LJG49" s="24"/>
      <c r="LJH49" s="24"/>
      <c r="LJI49" s="24"/>
      <c r="LJJ49" s="24"/>
      <c r="LJK49" s="24"/>
      <c r="LJL49" s="24"/>
      <c r="LJM49" s="24"/>
      <c r="LJN49" s="24"/>
      <c r="LJO49" s="24"/>
      <c r="LJP49" s="24"/>
      <c r="LJQ49" s="24"/>
      <c r="LJR49" s="24"/>
      <c r="LJS49" s="24"/>
      <c r="LJT49" s="24"/>
      <c r="LJU49" s="24"/>
      <c r="LJV49" s="24"/>
      <c r="LJW49" s="24"/>
      <c r="LJX49" s="24"/>
      <c r="LJY49" s="24"/>
      <c r="LJZ49" s="24"/>
      <c r="LKA49" s="24"/>
      <c r="LKB49" s="24"/>
      <c r="LKC49" s="24"/>
      <c r="LKD49" s="24"/>
      <c r="LKE49" s="24"/>
      <c r="LKF49" s="24"/>
      <c r="LKG49" s="24"/>
      <c r="LKH49" s="24"/>
      <c r="LKI49" s="24"/>
      <c r="LKJ49" s="24"/>
      <c r="LKK49" s="24"/>
      <c r="LKL49" s="24"/>
      <c r="LKM49" s="24"/>
      <c r="LKN49" s="24"/>
      <c r="LKO49" s="24"/>
      <c r="LKP49" s="24"/>
      <c r="LKQ49" s="24"/>
      <c r="LKR49" s="24"/>
      <c r="LKS49" s="24"/>
      <c r="LKT49" s="24"/>
      <c r="LKU49" s="24"/>
      <c r="LKV49" s="24"/>
      <c r="LKW49" s="24"/>
      <c r="LKX49" s="24"/>
      <c r="LKY49" s="24"/>
      <c r="LKZ49" s="24"/>
      <c r="LLA49" s="24"/>
      <c r="LLB49" s="24"/>
      <c r="LLC49" s="24"/>
      <c r="LLD49" s="24"/>
      <c r="LLE49" s="24"/>
      <c r="LLF49" s="24"/>
      <c r="LLG49" s="24"/>
      <c r="LLH49" s="24"/>
      <c r="LLI49" s="24"/>
      <c r="LLJ49" s="24"/>
      <c r="LLK49" s="24"/>
      <c r="LLL49" s="24"/>
      <c r="LLM49" s="24"/>
      <c r="LLN49" s="24"/>
      <c r="LLO49" s="24"/>
      <c r="LLP49" s="24"/>
      <c r="LLQ49" s="24"/>
      <c r="LLR49" s="24"/>
      <c r="LLS49" s="24"/>
      <c r="LLT49" s="24"/>
      <c r="LLU49" s="24"/>
      <c r="LLV49" s="24"/>
      <c r="LLW49" s="24"/>
      <c r="LLX49" s="24"/>
      <c r="LLY49" s="24"/>
      <c r="LLZ49" s="24"/>
      <c r="LMA49" s="24"/>
      <c r="LMB49" s="24"/>
      <c r="LMC49" s="24"/>
      <c r="LMD49" s="24"/>
      <c r="LME49" s="24"/>
      <c r="LMF49" s="24"/>
      <c r="LMG49" s="24"/>
      <c r="LMH49" s="24"/>
      <c r="LMI49" s="24"/>
      <c r="LMJ49" s="24"/>
      <c r="LMK49" s="24"/>
      <c r="LML49" s="24"/>
      <c r="LMM49" s="24"/>
      <c r="LMN49" s="24"/>
      <c r="LMO49" s="24"/>
      <c r="LMP49" s="24"/>
      <c r="LMQ49" s="24"/>
      <c r="LMR49" s="24"/>
      <c r="LMS49" s="24"/>
      <c r="LMT49" s="24"/>
      <c r="LMU49" s="24"/>
      <c r="LMV49" s="24"/>
      <c r="LMW49" s="24"/>
      <c r="LMX49" s="24"/>
      <c r="LMY49" s="24"/>
      <c r="LMZ49" s="24"/>
      <c r="LNA49" s="24"/>
      <c r="LNB49" s="24"/>
      <c r="LNC49" s="24"/>
      <c r="LND49" s="24"/>
      <c r="LNE49" s="24"/>
      <c r="LNF49" s="24"/>
      <c r="LNG49" s="24"/>
      <c r="LNH49" s="24"/>
      <c r="LNI49" s="24"/>
      <c r="LNJ49" s="24"/>
      <c r="LNK49" s="24"/>
      <c r="LNL49" s="24"/>
      <c r="LNM49" s="24"/>
      <c r="LNN49" s="24"/>
      <c r="LNO49" s="24"/>
      <c r="LNP49" s="24"/>
      <c r="LNQ49" s="24"/>
      <c r="LNR49" s="24"/>
      <c r="LNS49" s="24"/>
      <c r="LNT49" s="24"/>
      <c r="LNU49" s="24"/>
      <c r="LNV49" s="24"/>
      <c r="LNW49" s="24"/>
      <c r="LNX49" s="24"/>
      <c r="LNY49" s="24"/>
      <c r="LNZ49" s="24"/>
      <c r="LOA49" s="24"/>
      <c r="LOB49" s="24"/>
      <c r="LOC49" s="24"/>
      <c r="LOD49" s="24"/>
      <c r="LOE49" s="24"/>
      <c r="LOF49" s="24"/>
      <c r="LOG49" s="24"/>
      <c r="LOH49" s="24"/>
      <c r="LOI49" s="24"/>
      <c r="LOJ49" s="24"/>
      <c r="LOK49" s="24"/>
      <c r="LOL49" s="24"/>
      <c r="LOM49" s="24"/>
      <c r="LON49" s="24"/>
      <c r="LOO49" s="24"/>
      <c r="LOP49" s="24"/>
      <c r="LOQ49" s="24"/>
      <c r="LOR49" s="24"/>
      <c r="LOS49" s="24"/>
      <c r="LOT49" s="24"/>
      <c r="LOU49" s="24"/>
      <c r="LOV49" s="24"/>
      <c r="LOW49" s="24"/>
      <c r="LOX49" s="24"/>
      <c r="LOY49" s="24"/>
      <c r="LOZ49" s="24"/>
      <c r="LPA49" s="24"/>
      <c r="LPB49" s="24"/>
      <c r="LPC49" s="24"/>
      <c r="LPD49" s="24"/>
      <c r="LPE49" s="24"/>
      <c r="LPF49" s="24"/>
      <c r="LPG49" s="24"/>
      <c r="LPH49" s="24"/>
      <c r="LPI49" s="24"/>
      <c r="LPJ49" s="24"/>
      <c r="LPK49" s="24"/>
      <c r="LPL49" s="24"/>
      <c r="LPM49" s="24"/>
      <c r="LPN49" s="24"/>
      <c r="LPO49" s="24"/>
      <c r="LPP49" s="24"/>
      <c r="LPQ49" s="24"/>
      <c r="LPR49" s="24"/>
      <c r="LPS49" s="24"/>
      <c r="LPT49" s="24"/>
      <c r="LPU49" s="24"/>
      <c r="LPV49" s="24"/>
      <c r="LPW49" s="24"/>
      <c r="LPX49" s="24"/>
      <c r="LPY49" s="24"/>
      <c r="LPZ49" s="24"/>
      <c r="LQA49" s="24"/>
      <c r="LQB49" s="24"/>
      <c r="LQC49" s="24"/>
      <c r="LQD49" s="24"/>
      <c r="LQE49" s="24"/>
      <c r="LQF49" s="24"/>
      <c r="LQG49" s="24"/>
      <c r="LQH49" s="24"/>
      <c r="LQI49" s="24"/>
      <c r="LQJ49" s="24"/>
      <c r="LQK49" s="24"/>
      <c r="LQL49" s="24"/>
      <c r="LQM49" s="24"/>
      <c r="LQN49" s="24"/>
      <c r="LQO49" s="24"/>
      <c r="LQP49" s="24"/>
      <c r="LQQ49" s="24"/>
      <c r="LQR49" s="24"/>
      <c r="LQS49" s="24"/>
      <c r="LQT49" s="24"/>
      <c r="LQU49" s="24"/>
      <c r="LQV49" s="24"/>
      <c r="LQW49" s="24"/>
      <c r="LQX49" s="24"/>
      <c r="LQY49" s="24"/>
      <c r="LQZ49" s="24"/>
      <c r="LRA49" s="24"/>
      <c r="LRB49" s="24"/>
      <c r="LRC49" s="24"/>
      <c r="LRD49" s="24"/>
      <c r="LRE49" s="24"/>
      <c r="LRF49" s="24"/>
      <c r="LRG49" s="24"/>
      <c r="LRH49" s="24"/>
      <c r="LRI49" s="24"/>
      <c r="LRJ49" s="24"/>
      <c r="LRK49" s="24"/>
      <c r="LRL49" s="24"/>
      <c r="LRM49" s="24"/>
      <c r="LRN49" s="24"/>
      <c r="LRO49" s="24"/>
      <c r="LRP49" s="24"/>
      <c r="LRQ49" s="24"/>
      <c r="LRR49" s="24"/>
      <c r="LRS49" s="24"/>
      <c r="LRT49" s="24"/>
      <c r="LRU49" s="24"/>
      <c r="LRV49" s="24"/>
      <c r="LRW49" s="24"/>
      <c r="LRX49" s="24"/>
      <c r="LRY49" s="24"/>
      <c r="LRZ49" s="24"/>
      <c r="LSA49" s="24"/>
      <c r="LSB49" s="24"/>
      <c r="LSC49" s="24"/>
      <c r="LSD49" s="24"/>
      <c r="LSE49" s="24"/>
      <c r="LSF49" s="24"/>
      <c r="LSG49" s="24"/>
      <c r="LSH49" s="24"/>
      <c r="LSI49" s="24"/>
      <c r="LSJ49" s="24"/>
      <c r="LSK49" s="24"/>
      <c r="LSL49" s="24"/>
      <c r="LSM49" s="24"/>
      <c r="LSN49" s="24"/>
      <c r="LSO49" s="24"/>
      <c r="LSP49" s="24"/>
      <c r="LSQ49" s="24"/>
      <c r="LSR49" s="24"/>
      <c r="LSS49" s="24"/>
      <c r="LST49" s="24"/>
      <c r="LSU49" s="24"/>
      <c r="LSV49" s="24"/>
      <c r="LSW49" s="24"/>
      <c r="LSX49" s="24"/>
      <c r="LSY49" s="24"/>
      <c r="LSZ49" s="24"/>
      <c r="LTA49" s="24"/>
      <c r="LTB49" s="24"/>
      <c r="LTC49" s="24"/>
      <c r="LTD49" s="24"/>
      <c r="LTE49" s="24"/>
      <c r="LTF49" s="24"/>
      <c r="LTG49" s="24"/>
      <c r="LTH49" s="24"/>
      <c r="LTI49" s="24"/>
      <c r="LTJ49" s="24"/>
      <c r="LTK49" s="24"/>
      <c r="LTL49" s="24"/>
      <c r="LTM49" s="24"/>
      <c r="LTN49" s="24"/>
      <c r="LTO49" s="24"/>
      <c r="LTP49" s="24"/>
      <c r="LTQ49" s="24"/>
      <c r="LTR49" s="24"/>
      <c r="LTS49" s="24"/>
      <c r="LTT49" s="24"/>
      <c r="LTU49" s="24"/>
      <c r="LTV49" s="24"/>
      <c r="LTW49" s="24"/>
      <c r="LTX49" s="24"/>
      <c r="LTY49" s="24"/>
      <c r="LTZ49" s="24"/>
      <c r="LUA49" s="24"/>
      <c r="LUB49" s="24"/>
      <c r="LUC49" s="24"/>
      <c r="LUD49" s="24"/>
      <c r="LUE49" s="24"/>
      <c r="LUF49" s="24"/>
      <c r="LUG49" s="24"/>
      <c r="LUH49" s="24"/>
      <c r="LUI49" s="24"/>
      <c r="LUJ49" s="24"/>
      <c r="LUK49" s="24"/>
      <c r="LUL49" s="24"/>
      <c r="LUM49" s="24"/>
      <c r="LUN49" s="24"/>
      <c r="LUO49" s="24"/>
      <c r="LUP49" s="24"/>
      <c r="LUQ49" s="24"/>
      <c r="LUR49" s="24"/>
      <c r="LUS49" s="24"/>
      <c r="LUT49" s="24"/>
      <c r="LUU49" s="24"/>
      <c r="LUV49" s="24"/>
      <c r="LUW49" s="24"/>
      <c r="LUX49" s="24"/>
      <c r="LUY49" s="24"/>
      <c r="LUZ49" s="24"/>
      <c r="LVA49" s="24"/>
      <c r="LVB49" s="24"/>
      <c r="LVC49" s="24"/>
      <c r="LVD49" s="24"/>
      <c r="LVE49" s="24"/>
      <c r="LVF49" s="24"/>
      <c r="LVG49" s="24"/>
      <c r="LVH49" s="24"/>
      <c r="LVI49" s="24"/>
      <c r="LVJ49" s="24"/>
      <c r="LVK49" s="24"/>
      <c r="LVL49" s="24"/>
      <c r="LVM49" s="24"/>
      <c r="LVN49" s="24"/>
      <c r="LVO49" s="24"/>
      <c r="LVP49" s="24"/>
      <c r="LVQ49" s="24"/>
      <c r="LVR49" s="24"/>
      <c r="LVS49" s="24"/>
      <c r="LVT49" s="24"/>
      <c r="LVU49" s="24"/>
      <c r="LVV49" s="24"/>
      <c r="LVW49" s="24"/>
      <c r="LVX49" s="24"/>
      <c r="LVY49" s="24"/>
      <c r="LVZ49" s="24"/>
      <c r="LWA49" s="24"/>
      <c r="LWB49" s="24"/>
      <c r="LWC49" s="24"/>
      <c r="LWD49" s="24"/>
      <c r="LWE49" s="24"/>
      <c r="LWF49" s="24"/>
      <c r="LWG49" s="24"/>
      <c r="LWH49" s="24"/>
      <c r="LWI49" s="24"/>
      <c r="LWJ49" s="24"/>
      <c r="LWK49" s="24"/>
      <c r="LWL49" s="24"/>
      <c r="LWM49" s="24"/>
      <c r="LWN49" s="24"/>
      <c r="LWO49" s="24"/>
      <c r="LWP49" s="24"/>
      <c r="LWQ49" s="24"/>
      <c r="LWR49" s="24"/>
      <c r="LWS49" s="24"/>
      <c r="LWT49" s="24"/>
      <c r="LWU49" s="24"/>
      <c r="LWV49" s="24"/>
      <c r="LWW49" s="24"/>
      <c r="LWX49" s="24"/>
      <c r="LWY49" s="24"/>
      <c r="LWZ49" s="24"/>
      <c r="LXA49" s="24"/>
      <c r="LXB49" s="24"/>
      <c r="LXC49" s="24"/>
      <c r="LXD49" s="24"/>
      <c r="LXE49" s="24"/>
      <c r="LXF49" s="24"/>
      <c r="LXG49" s="24"/>
      <c r="LXH49" s="24"/>
      <c r="LXI49" s="24"/>
      <c r="LXJ49" s="24"/>
      <c r="LXK49" s="24"/>
      <c r="LXL49" s="24"/>
      <c r="LXM49" s="24"/>
      <c r="LXN49" s="24"/>
      <c r="LXO49" s="24"/>
      <c r="LXP49" s="24"/>
      <c r="LXQ49" s="24"/>
      <c r="LXR49" s="24"/>
      <c r="LXS49" s="24"/>
      <c r="LXT49" s="24"/>
      <c r="LXU49" s="24"/>
      <c r="LXV49" s="24"/>
      <c r="LXW49" s="24"/>
      <c r="LXX49" s="24"/>
      <c r="LXY49" s="24"/>
      <c r="LXZ49" s="24"/>
      <c r="LYA49" s="24"/>
      <c r="LYB49" s="24"/>
      <c r="LYC49" s="24"/>
      <c r="LYD49" s="24"/>
      <c r="LYE49" s="24"/>
      <c r="LYF49" s="24"/>
      <c r="LYG49" s="24"/>
      <c r="LYH49" s="24"/>
      <c r="LYI49" s="24"/>
      <c r="LYJ49" s="24"/>
      <c r="LYK49" s="24"/>
      <c r="LYL49" s="24"/>
      <c r="LYM49" s="24"/>
      <c r="LYN49" s="24"/>
      <c r="LYO49" s="24"/>
      <c r="LYP49" s="24"/>
      <c r="LYQ49" s="24"/>
      <c r="LYR49" s="24"/>
      <c r="LYS49" s="24"/>
      <c r="LYT49" s="24"/>
      <c r="LYU49" s="24"/>
      <c r="LYV49" s="24"/>
      <c r="LYW49" s="24"/>
      <c r="LYX49" s="24"/>
      <c r="LYY49" s="24"/>
      <c r="LYZ49" s="24"/>
      <c r="LZA49" s="24"/>
      <c r="LZB49" s="24"/>
      <c r="LZC49" s="24"/>
      <c r="LZD49" s="24"/>
      <c r="LZE49" s="24"/>
      <c r="LZF49" s="24"/>
      <c r="LZG49" s="24"/>
      <c r="LZH49" s="24"/>
      <c r="LZI49" s="24"/>
      <c r="LZJ49" s="24"/>
      <c r="LZK49" s="24"/>
      <c r="LZL49" s="24"/>
      <c r="LZM49" s="24"/>
      <c r="LZN49" s="24"/>
      <c r="LZO49" s="24"/>
      <c r="LZP49" s="24"/>
      <c r="LZQ49" s="24"/>
      <c r="LZR49" s="24"/>
      <c r="LZS49" s="24"/>
      <c r="LZT49" s="24"/>
      <c r="LZU49" s="24"/>
      <c r="LZV49" s="24"/>
      <c r="LZW49" s="24"/>
      <c r="LZX49" s="24"/>
      <c r="LZY49" s="24"/>
      <c r="LZZ49" s="24"/>
      <c r="MAA49" s="24"/>
      <c r="MAB49" s="24"/>
      <c r="MAC49" s="24"/>
      <c r="MAD49" s="24"/>
      <c r="MAE49" s="24"/>
      <c r="MAF49" s="24"/>
      <c r="MAG49" s="24"/>
      <c r="MAH49" s="24"/>
      <c r="MAI49" s="24"/>
      <c r="MAJ49" s="24"/>
      <c r="MAK49" s="24"/>
      <c r="MAL49" s="24"/>
      <c r="MAM49" s="24"/>
      <c r="MAN49" s="24"/>
      <c r="MAO49" s="24"/>
      <c r="MAP49" s="24"/>
      <c r="MAQ49" s="24"/>
      <c r="MAR49" s="24"/>
      <c r="MAS49" s="24"/>
      <c r="MAT49" s="24"/>
      <c r="MAU49" s="24"/>
      <c r="MAV49" s="24"/>
      <c r="MAW49" s="24"/>
      <c r="MAX49" s="24"/>
      <c r="MAY49" s="24"/>
      <c r="MAZ49" s="24"/>
      <c r="MBA49" s="24"/>
      <c r="MBB49" s="24"/>
      <c r="MBC49" s="24"/>
      <c r="MBD49" s="24"/>
      <c r="MBE49" s="24"/>
      <c r="MBF49" s="24"/>
      <c r="MBG49" s="24"/>
      <c r="MBH49" s="24"/>
      <c r="MBI49" s="24"/>
      <c r="MBJ49" s="24"/>
      <c r="MBK49" s="24"/>
      <c r="MBL49" s="24"/>
      <c r="MBM49" s="24"/>
      <c r="MBN49" s="24"/>
      <c r="MBO49" s="24"/>
      <c r="MBP49" s="24"/>
      <c r="MBQ49" s="24"/>
      <c r="MBR49" s="24"/>
      <c r="MBS49" s="24"/>
      <c r="MBT49" s="24"/>
      <c r="MBU49" s="24"/>
      <c r="MBV49" s="24"/>
      <c r="MBW49" s="24"/>
      <c r="MBX49" s="24"/>
      <c r="MBY49" s="24"/>
      <c r="MBZ49" s="24"/>
      <c r="MCA49" s="24"/>
      <c r="MCB49" s="24"/>
      <c r="MCC49" s="24"/>
      <c r="MCD49" s="24"/>
      <c r="MCE49" s="24"/>
      <c r="MCF49" s="24"/>
      <c r="MCG49" s="24"/>
      <c r="MCH49" s="24"/>
      <c r="MCI49" s="24"/>
      <c r="MCJ49" s="24"/>
      <c r="MCK49" s="24"/>
      <c r="MCL49" s="24"/>
      <c r="MCM49" s="24"/>
      <c r="MCN49" s="24"/>
      <c r="MCO49" s="24"/>
      <c r="MCP49" s="24"/>
      <c r="MCQ49" s="24"/>
      <c r="MCR49" s="24"/>
      <c r="MCS49" s="24"/>
      <c r="MCT49" s="24"/>
      <c r="MCU49" s="24"/>
      <c r="MCV49" s="24"/>
      <c r="MCW49" s="24"/>
      <c r="MCX49" s="24"/>
      <c r="MCY49" s="24"/>
      <c r="MCZ49" s="24"/>
      <c r="MDA49" s="24"/>
      <c r="MDB49" s="24"/>
      <c r="MDC49" s="24"/>
      <c r="MDD49" s="24"/>
      <c r="MDE49" s="24"/>
      <c r="MDF49" s="24"/>
      <c r="MDG49" s="24"/>
      <c r="MDH49" s="24"/>
      <c r="MDI49" s="24"/>
      <c r="MDJ49" s="24"/>
      <c r="MDK49" s="24"/>
      <c r="MDL49" s="24"/>
      <c r="MDM49" s="24"/>
      <c r="MDN49" s="24"/>
      <c r="MDO49" s="24"/>
      <c r="MDP49" s="24"/>
      <c r="MDQ49" s="24"/>
      <c r="MDR49" s="24"/>
      <c r="MDS49" s="24"/>
      <c r="MDT49" s="24"/>
      <c r="MDU49" s="24"/>
      <c r="MDV49" s="24"/>
      <c r="MDW49" s="24"/>
      <c r="MDX49" s="24"/>
      <c r="MDY49" s="24"/>
      <c r="MDZ49" s="24"/>
      <c r="MEA49" s="24"/>
      <c r="MEB49" s="24"/>
      <c r="MEC49" s="24"/>
      <c r="MED49" s="24"/>
      <c r="MEE49" s="24"/>
      <c r="MEF49" s="24"/>
      <c r="MEG49" s="24"/>
      <c r="MEH49" s="24"/>
      <c r="MEI49" s="24"/>
      <c r="MEJ49" s="24"/>
      <c r="MEK49" s="24"/>
      <c r="MEL49" s="24"/>
      <c r="MEM49" s="24"/>
      <c r="MEN49" s="24"/>
      <c r="MEO49" s="24"/>
      <c r="MEP49" s="24"/>
      <c r="MEQ49" s="24"/>
      <c r="MER49" s="24"/>
      <c r="MES49" s="24"/>
      <c r="MET49" s="24"/>
      <c r="MEU49" s="24"/>
      <c r="MEV49" s="24"/>
      <c r="MEW49" s="24"/>
      <c r="MEX49" s="24"/>
      <c r="MEY49" s="24"/>
      <c r="MEZ49" s="24"/>
      <c r="MFA49" s="24"/>
      <c r="MFB49" s="24"/>
      <c r="MFC49" s="24"/>
      <c r="MFD49" s="24"/>
      <c r="MFE49" s="24"/>
      <c r="MFF49" s="24"/>
      <c r="MFG49" s="24"/>
      <c r="MFH49" s="24"/>
      <c r="MFI49" s="24"/>
      <c r="MFJ49" s="24"/>
      <c r="MFK49" s="24"/>
      <c r="MFL49" s="24"/>
      <c r="MFM49" s="24"/>
      <c r="MFN49" s="24"/>
      <c r="MFO49" s="24"/>
      <c r="MFP49" s="24"/>
      <c r="MFQ49" s="24"/>
      <c r="MFR49" s="24"/>
      <c r="MFS49" s="24"/>
      <c r="MFT49" s="24"/>
      <c r="MFU49" s="24"/>
      <c r="MFV49" s="24"/>
      <c r="MFW49" s="24"/>
      <c r="MFX49" s="24"/>
      <c r="MFY49" s="24"/>
      <c r="MFZ49" s="24"/>
      <c r="MGA49" s="24"/>
      <c r="MGB49" s="24"/>
      <c r="MGC49" s="24"/>
      <c r="MGD49" s="24"/>
      <c r="MGE49" s="24"/>
      <c r="MGF49" s="24"/>
      <c r="MGG49" s="24"/>
      <c r="MGH49" s="24"/>
      <c r="MGI49" s="24"/>
      <c r="MGJ49" s="24"/>
      <c r="MGK49" s="24"/>
      <c r="MGL49" s="24"/>
      <c r="MGM49" s="24"/>
      <c r="MGN49" s="24"/>
      <c r="MGO49" s="24"/>
      <c r="MGP49" s="24"/>
      <c r="MGQ49" s="24"/>
      <c r="MGR49" s="24"/>
      <c r="MGS49" s="24"/>
      <c r="MGT49" s="24"/>
      <c r="MGU49" s="24"/>
      <c r="MGV49" s="24"/>
      <c r="MGW49" s="24"/>
      <c r="MGX49" s="24"/>
      <c r="MGY49" s="24"/>
      <c r="MGZ49" s="24"/>
      <c r="MHA49" s="24"/>
      <c r="MHB49" s="24"/>
      <c r="MHC49" s="24"/>
      <c r="MHD49" s="24"/>
      <c r="MHE49" s="24"/>
      <c r="MHF49" s="24"/>
      <c r="MHG49" s="24"/>
      <c r="MHH49" s="24"/>
      <c r="MHI49" s="24"/>
      <c r="MHJ49" s="24"/>
      <c r="MHK49" s="24"/>
      <c r="MHL49" s="24"/>
      <c r="MHM49" s="24"/>
      <c r="MHN49" s="24"/>
      <c r="MHO49" s="24"/>
      <c r="MHP49" s="24"/>
      <c r="MHQ49" s="24"/>
      <c r="MHR49" s="24"/>
      <c r="MHS49" s="24"/>
      <c r="MHT49" s="24"/>
      <c r="MHU49" s="24"/>
      <c r="MHV49" s="24"/>
      <c r="MHW49" s="24"/>
      <c r="MHX49" s="24"/>
      <c r="MHY49" s="24"/>
      <c r="MHZ49" s="24"/>
      <c r="MIA49" s="24"/>
      <c r="MIB49" s="24"/>
      <c r="MIC49" s="24"/>
      <c r="MID49" s="24"/>
      <c r="MIE49" s="24"/>
      <c r="MIF49" s="24"/>
      <c r="MIG49" s="24"/>
      <c r="MIH49" s="24"/>
      <c r="MII49" s="24"/>
      <c r="MIJ49" s="24"/>
      <c r="MIK49" s="24"/>
      <c r="MIL49" s="24"/>
      <c r="MIM49" s="24"/>
      <c r="MIN49" s="24"/>
      <c r="MIO49" s="24"/>
      <c r="MIP49" s="24"/>
      <c r="MIQ49" s="24"/>
      <c r="MIR49" s="24"/>
      <c r="MIS49" s="24"/>
      <c r="MIT49" s="24"/>
      <c r="MIU49" s="24"/>
      <c r="MIV49" s="24"/>
      <c r="MIW49" s="24"/>
      <c r="MIX49" s="24"/>
      <c r="MIY49" s="24"/>
      <c r="MIZ49" s="24"/>
      <c r="MJA49" s="24"/>
      <c r="MJB49" s="24"/>
      <c r="MJC49" s="24"/>
      <c r="MJD49" s="24"/>
      <c r="MJE49" s="24"/>
      <c r="MJF49" s="24"/>
      <c r="MJG49" s="24"/>
      <c r="MJH49" s="24"/>
      <c r="MJI49" s="24"/>
      <c r="MJJ49" s="24"/>
      <c r="MJK49" s="24"/>
      <c r="MJL49" s="24"/>
      <c r="MJM49" s="24"/>
      <c r="MJN49" s="24"/>
      <c r="MJO49" s="24"/>
      <c r="MJP49" s="24"/>
      <c r="MJQ49" s="24"/>
      <c r="MJR49" s="24"/>
      <c r="MJS49" s="24"/>
      <c r="MJT49" s="24"/>
      <c r="MJU49" s="24"/>
      <c r="MJV49" s="24"/>
      <c r="MJW49" s="24"/>
      <c r="MJX49" s="24"/>
      <c r="MJY49" s="24"/>
      <c r="MJZ49" s="24"/>
      <c r="MKA49" s="24"/>
      <c r="MKB49" s="24"/>
      <c r="MKC49" s="24"/>
      <c r="MKD49" s="24"/>
      <c r="MKE49" s="24"/>
      <c r="MKF49" s="24"/>
      <c r="MKG49" s="24"/>
      <c r="MKH49" s="24"/>
      <c r="MKI49" s="24"/>
      <c r="MKJ49" s="24"/>
      <c r="MKK49" s="24"/>
      <c r="MKL49" s="24"/>
      <c r="MKM49" s="24"/>
      <c r="MKN49" s="24"/>
      <c r="MKO49" s="24"/>
      <c r="MKP49" s="24"/>
      <c r="MKQ49" s="24"/>
      <c r="MKR49" s="24"/>
      <c r="MKS49" s="24"/>
      <c r="MKT49" s="24"/>
      <c r="MKU49" s="24"/>
      <c r="MKV49" s="24"/>
      <c r="MKW49" s="24"/>
      <c r="MKX49" s="24"/>
      <c r="MKY49" s="24"/>
      <c r="MKZ49" s="24"/>
      <c r="MLA49" s="24"/>
      <c r="MLB49" s="24"/>
      <c r="MLC49" s="24"/>
      <c r="MLD49" s="24"/>
      <c r="MLE49" s="24"/>
      <c r="MLF49" s="24"/>
      <c r="MLG49" s="24"/>
      <c r="MLH49" s="24"/>
      <c r="MLI49" s="24"/>
      <c r="MLJ49" s="24"/>
      <c r="MLK49" s="24"/>
      <c r="MLL49" s="24"/>
      <c r="MLM49" s="24"/>
      <c r="MLN49" s="24"/>
      <c r="MLO49" s="24"/>
      <c r="MLP49" s="24"/>
      <c r="MLQ49" s="24"/>
      <c r="MLR49" s="24"/>
      <c r="MLS49" s="24"/>
      <c r="MLT49" s="24"/>
      <c r="MLU49" s="24"/>
      <c r="MLV49" s="24"/>
      <c r="MLW49" s="24"/>
      <c r="MLX49" s="24"/>
      <c r="MLY49" s="24"/>
      <c r="MLZ49" s="24"/>
      <c r="MMA49" s="24"/>
      <c r="MMB49" s="24"/>
      <c r="MMC49" s="24"/>
      <c r="MMD49" s="24"/>
      <c r="MME49" s="24"/>
      <c r="MMF49" s="24"/>
      <c r="MMG49" s="24"/>
      <c r="MMH49" s="24"/>
      <c r="MMI49" s="24"/>
      <c r="MMJ49" s="24"/>
      <c r="MMK49" s="24"/>
      <c r="MML49" s="24"/>
      <c r="MMM49" s="24"/>
      <c r="MMN49" s="24"/>
      <c r="MMO49" s="24"/>
      <c r="MMP49" s="24"/>
      <c r="MMQ49" s="24"/>
      <c r="MMR49" s="24"/>
      <c r="MMS49" s="24"/>
      <c r="MMT49" s="24"/>
      <c r="MMU49" s="24"/>
      <c r="MMV49" s="24"/>
      <c r="MMW49" s="24"/>
      <c r="MMX49" s="24"/>
      <c r="MMY49" s="24"/>
      <c r="MMZ49" s="24"/>
      <c r="MNA49" s="24"/>
      <c r="MNB49" s="24"/>
      <c r="MNC49" s="24"/>
      <c r="MND49" s="24"/>
      <c r="MNE49" s="24"/>
      <c r="MNF49" s="24"/>
      <c r="MNG49" s="24"/>
      <c r="MNH49" s="24"/>
      <c r="MNI49" s="24"/>
      <c r="MNJ49" s="24"/>
      <c r="MNK49" s="24"/>
      <c r="MNL49" s="24"/>
      <c r="MNM49" s="24"/>
      <c r="MNN49" s="24"/>
      <c r="MNO49" s="24"/>
      <c r="MNP49" s="24"/>
      <c r="MNQ49" s="24"/>
      <c r="MNR49" s="24"/>
      <c r="MNS49" s="24"/>
      <c r="MNT49" s="24"/>
      <c r="MNU49" s="24"/>
      <c r="MNV49" s="24"/>
      <c r="MNW49" s="24"/>
      <c r="MNX49" s="24"/>
      <c r="MNY49" s="24"/>
      <c r="MNZ49" s="24"/>
      <c r="MOA49" s="24"/>
      <c r="MOB49" s="24"/>
      <c r="MOC49" s="24"/>
      <c r="MOD49" s="24"/>
      <c r="MOE49" s="24"/>
      <c r="MOF49" s="24"/>
      <c r="MOG49" s="24"/>
      <c r="MOH49" s="24"/>
      <c r="MOI49" s="24"/>
      <c r="MOJ49" s="24"/>
      <c r="MOK49" s="24"/>
      <c r="MOL49" s="24"/>
      <c r="MOM49" s="24"/>
      <c r="MON49" s="24"/>
      <c r="MOO49" s="24"/>
      <c r="MOP49" s="24"/>
      <c r="MOQ49" s="24"/>
      <c r="MOR49" s="24"/>
      <c r="MOS49" s="24"/>
      <c r="MOT49" s="24"/>
      <c r="MOU49" s="24"/>
      <c r="MOV49" s="24"/>
      <c r="MOW49" s="24"/>
      <c r="MOX49" s="24"/>
      <c r="MOY49" s="24"/>
      <c r="MOZ49" s="24"/>
      <c r="MPA49" s="24"/>
      <c r="MPB49" s="24"/>
      <c r="MPC49" s="24"/>
      <c r="MPD49" s="24"/>
      <c r="MPE49" s="24"/>
      <c r="MPF49" s="24"/>
      <c r="MPG49" s="24"/>
      <c r="MPH49" s="24"/>
      <c r="MPI49" s="24"/>
      <c r="MPJ49" s="24"/>
      <c r="MPK49" s="24"/>
      <c r="MPL49" s="24"/>
      <c r="MPM49" s="24"/>
      <c r="MPN49" s="24"/>
      <c r="MPO49" s="24"/>
      <c r="MPP49" s="24"/>
      <c r="MPQ49" s="24"/>
      <c r="MPR49" s="24"/>
      <c r="MPS49" s="24"/>
      <c r="MPT49" s="24"/>
      <c r="MPU49" s="24"/>
      <c r="MPV49" s="24"/>
      <c r="MPW49" s="24"/>
      <c r="MPX49" s="24"/>
      <c r="MPY49" s="24"/>
      <c r="MPZ49" s="24"/>
      <c r="MQA49" s="24"/>
      <c r="MQB49" s="24"/>
      <c r="MQC49" s="24"/>
      <c r="MQD49" s="24"/>
      <c r="MQE49" s="24"/>
      <c r="MQF49" s="24"/>
      <c r="MQG49" s="24"/>
      <c r="MQH49" s="24"/>
      <c r="MQI49" s="24"/>
      <c r="MQJ49" s="24"/>
      <c r="MQK49" s="24"/>
      <c r="MQL49" s="24"/>
      <c r="MQM49" s="24"/>
      <c r="MQN49" s="24"/>
      <c r="MQO49" s="24"/>
      <c r="MQP49" s="24"/>
      <c r="MQQ49" s="24"/>
      <c r="MQR49" s="24"/>
      <c r="MQS49" s="24"/>
      <c r="MQT49" s="24"/>
      <c r="MQU49" s="24"/>
      <c r="MQV49" s="24"/>
      <c r="MQW49" s="24"/>
      <c r="MQX49" s="24"/>
      <c r="MQY49" s="24"/>
      <c r="MQZ49" s="24"/>
      <c r="MRA49" s="24"/>
      <c r="MRB49" s="24"/>
      <c r="MRC49" s="24"/>
      <c r="MRD49" s="24"/>
      <c r="MRE49" s="24"/>
      <c r="MRF49" s="24"/>
      <c r="MRG49" s="24"/>
      <c r="MRH49" s="24"/>
      <c r="MRI49" s="24"/>
      <c r="MRJ49" s="24"/>
      <c r="MRK49" s="24"/>
      <c r="MRL49" s="24"/>
      <c r="MRM49" s="24"/>
      <c r="MRN49" s="24"/>
      <c r="MRO49" s="24"/>
      <c r="MRP49" s="24"/>
      <c r="MRQ49" s="24"/>
      <c r="MRR49" s="24"/>
      <c r="MRS49" s="24"/>
      <c r="MRT49" s="24"/>
      <c r="MRU49" s="24"/>
      <c r="MRV49" s="24"/>
      <c r="MRW49" s="24"/>
      <c r="MRX49" s="24"/>
      <c r="MRY49" s="24"/>
      <c r="MRZ49" s="24"/>
      <c r="MSA49" s="24"/>
      <c r="MSB49" s="24"/>
      <c r="MSC49" s="24"/>
      <c r="MSD49" s="24"/>
      <c r="MSE49" s="24"/>
      <c r="MSF49" s="24"/>
      <c r="MSG49" s="24"/>
      <c r="MSH49" s="24"/>
      <c r="MSI49" s="24"/>
      <c r="MSJ49" s="24"/>
      <c r="MSK49" s="24"/>
      <c r="MSL49" s="24"/>
      <c r="MSM49" s="24"/>
      <c r="MSN49" s="24"/>
      <c r="MSO49" s="24"/>
      <c r="MSP49" s="24"/>
      <c r="MSQ49" s="24"/>
      <c r="MSR49" s="24"/>
      <c r="MSS49" s="24"/>
      <c r="MST49" s="24"/>
      <c r="MSU49" s="24"/>
      <c r="MSV49" s="24"/>
      <c r="MSW49" s="24"/>
      <c r="MSX49" s="24"/>
      <c r="MSY49" s="24"/>
      <c r="MSZ49" s="24"/>
      <c r="MTA49" s="24"/>
      <c r="MTB49" s="24"/>
      <c r="MTC49" s="24"/>
      <c r="MTD49" s="24"/>
      <c r="MTE49" s="24"/>
      <c r="MTF49" s="24"/>
      <c r="MTG49" s="24"/>
      <c r="MTH49" s="24"/>
      <c r="MTI49" s="24"/>
      <c r="MTJ49" s="24"/>
      <c r="MTK49" s="24"/>
      <c r="MTL49" s="24"/>
      <c r="MTM49" s="24"/>
      <c r="MTN49" s="24"/>
      <c r="MTO49" s="24"/>
      <c r="MTP49" s="24"/>
      <c r="MTQ49" s="24"/>
      <c r="MTR49" s="24"/>
      <c r="MTS49" s="24"/>
      <c r="MTT49" s="24"/>
      <c r="MTU49" s="24"/>
      <c r="MTV49" s="24"/>
      <c r="MTW49" s="24"/>
      <c r="MTX49" s="24"/>
      <c r="MTY49" s="24"/>
      <c r="MTZ49" s="24"/>
      <c r="MUA49" s="24"/>
      <c r="MUB49" s="24"/>
      <c r="MUC49" s="24"/>
      <c r="MUD49" s="24"/>
      <c r="MUE49" s="24"/>
      <c r="MUF49" s="24"/>
      <c r="MUG49" s="24"/>
      <c r="MUH49" s="24"/>
      <c r="MUI49" s="24"/>
      <c r="MUJ49" s="24"/>
      <c r="MUK49" s="24"/>
      <c r="MUL49" s="24"/>
      <c r="MUM49" s="24"/>
      <c r="MUN49" s="24"/>
      <c r="MUO49" s="24"/>
      <c r="MUP49" s="24"/>
      <c r="MUQ49" s="24"/>
      <c r="MUR49" s="24"/>
      <c r="MUS49" s="24"/>
      <c r="MUT49" s="24"/>
      <c r="MUU49" s="24"/>
      <c r="MUV49" s="24"/>
      <c r="MUW49" s="24"/>
      <c r="MUX49" s="24"/>
      <c r="MUY49" s="24"/>
      <c r="MUZ49" s="24"/>
      <c r="MVA49" s="24"/>
      <c r="MVB49" s="24"/>
      <c r="MVC49" s="24"/>
      <c r="MVD49" s="24"/>
      <c r="MVE49" s="24"/>
      <c r="MVF49" s="24"/>
      <c r="MVG49" s="24"/>
      <c r="MVH49" s="24"/>
      <c r="MVI49" s="24"/>
      <c r="MVJ49" s="24"/>
      <c r="MVK49" s="24"/>
      <c r="MVL49" s="24"/>
      <c r="MVM49" s="24"/>
      <c r="MVN49" s="24"/>
      <c r="MVO49" s="24"/>
      <c r="MVP49" s="24"/>
      <c r="MVQ49" s="24"/>
      <c r="MVR49" s="24"/>
      <c r="MVS49" s="24"/>
      <c r="MVT49" s="24"/>
      <c r="MVU49" s="24"/>
      <c r="MVV49" s="24"/>
      <c r="MVW49" s="24"/>
      <c r="MVX49" s="24"/>
      <c r="MVY49" s="24"/>
      <c r="MVZ49" s="24"/>
      <c r="MWA49" s="24"/>
      <c r="MWB49" s="24"/>
      <c r="MWC49" s="24"/>
      <c r="MWD49" s="24"/>
      <c r="MWE49" s="24"/>
      <c r="MWF49" s="24"/>
      <c r="MWG49" s="24"/>
      <c r="MWH49" s="24"/>
      <c r="MWI49" s="24"/>
      <c r="MWJ49" s="24"/>
      <c r="MWK49" s="24"/>
      <c r="MWL49" s="24"/>
      <c r="MWM49" s="24"/>
      <c r="MWN49" s="24"/>
      <c r="MWO49" s="24"/>
      <c r="MWP49" s="24"/>
      <c r="MWQ49" s="24"/>
      <c r="MWR49" s="24"/>
      <c r="MWS49" s="24"/>
      <c r="MWT49" s="24"/>
      <c r="MWU49" s="24"/>
      <c r="MWV49" s="24"/>
      <c r="MWW49" s="24"/>
      <c r="MWX49" s="24"/>
      <c r="MWY49" s="24"/>
      <c r="MWZ49" s="24"/>
      <c r="MXA49" s="24"/>
      <c r="MXB49" s="24"/>
      <c r="MXC49" s="24"/>
      <c r="MXD49" s="24"/>
      <c r="MXE49" s="24"/>
      <c r="MXF49" s="24"/>
      <c r="MXG49" s="24"/>
      <c r="MXH49" s="24"/>
      <c r="MXI49" s="24"/>
      <c r="MXJ49" s="24"/>
      <c r="MXK49" s="24"/>
      <c r="MXL49" s="24"/>
      <c r="MXM49" s="24"/>
      <c r="MXN49" s="24"/>
      <c r="MXO49" s="24"/>
      <c r="MXP49" s="24"/>
      <c r="MXQ49" s="24"/>
      <c r="MXR49" s="24"/>
      <c r="MXS49" s="24"/>
      <c r="MXT49" s="24"/>
      <c r="MXU49" s="24"/>
      <c r="MXV49" s="24"/>
      <c r="MXW49" s="24"/>
      <c r="MXX49" s="24"/>
      <c r="MXY49" s="24"/>
      <c r="MXZ49" s="24"/>
      <c r="MYA49" s="24"/>
      <c r="MYB49" s="24"/>
      <c r="MYC49" s="24"/>
      <c r="MYD49" s="24"/>
      <c r="MYE49" s="24"/>
      <c r="MYF49" s="24"/>
      <c r="MYG49" s="24"/>
      <c r="MYH49" s="24"/>
      <c r="MYI49" s="24"/>
      <c r="MYJ49" s="24"/>
      <c r="MYK49" s="24"/>
      <c r="MYL49" s="24"/>
      <c r="MYM49" s="24"/>
      <c r="MYN49" s="24"/>
      <c r="MYO49" s="24"/>
      <c r="MYP49" s="24"/>
      <c r="MYQ49" s="24"/>
      <c r="MYR49" s="24"/>
      <c r="MYS49" s="24"/>
      <c r="MYT49" s="24"/>
      <c r="MYU49" s="24"/>
      <c r="MYV49" s="24"/>
      <c r="MYW49" s="24"/>
      <c r="MYX49" s="24"/>
      <c r="MYY49" s="24"/>
      <c r="MYZ49" s="24"/>
      <c r="MZA49" s="24"/>
      <c r="MZB49" s="24"/>
      <c r="MZC49" s="24"/>
      <c r="MZD49" s="24"/>
      <c r="MZE49" s="24"/>
      <c r="MZF49" s="24"/>
      <c r="MZG49" s="24"/>
      <c r="MZH49" s="24"/>
      <c r="MZI49" s="24"/>
      <c r="MZJ49" s="24"/>
      <c r="MZK49" s="24"/>
      <c r="MZL49" s="24"/>
      <c r="MZM49" s="24"/>
      <c r="MZN49" s="24"/>
      <c r="MZO49" s="24"/>
      <c r="MZP49" s="24"/>
      <c r="MZQ49" s="24"/>
      <c r="MZR49" s="24"/>
      <c r="MZS49" s="24"/>
      <c r="MZT49" s="24"/>
      <c r="MZU49" s="24"/>
      <c r="MZV49" s="24"/>
      <c r="MZW49" s="24"/>
      <c r="MZX49" s="24"/>
      <c r="MZY49" s="24"/>
      <c r="MZZ49" s="24"/>
      <c r="NAA49" s="24"/>
      <c r="NAB49" s="24"/>
      <c r="NAC49" s="24"/>
      <c r="NAD49" s="24"/>
      <c r="NAE49" s="24"/>
      <c r="NAF49" s="24"/>
      <c r="NAG49" s="24"/>
      <c r="NAH49" s="24"/>
      <c r="NAI49" s="24"/>
      <c r="NAJ49" s="24"/>
      <c r="NAK49" s="24"/>
      <c r="NAL49" s="24"/>
      <c r="NAM49" s="24"/>
      <c r="NAN49" s="24"/>
      <c r="NAO49" s="24"/>
      <c r="NAP49" s="24"/>
      <c r="NAQ49" s="24"/>
      <c r="NAR49" s="24"/>
      <c r="NAS49" s="24"/>
      <c r="NAT49" s="24"/>
      <c r="NAU49" s="24"/>
      <c r="NAV49" s="24"/>
      <c r="NAW49" s="24"/>
      <c r="NAX49" s="24"/>
      <c r="NAY49" s="24"/>
      <c r="NAZ49" s="24"/>
      <c r="NBA49" s="24"/>
      <c r="NBB49" s="24"/>
      <c r="NBC49" s="24"/>
      <c r="NBD49" s="24"/>
      <c r="NBE49" s="24"/>
      <c r="NBF49" s="24"/>
      <c r="NBG49" s="24"/>
      <c r="NBH49" s="24"/>
      <c r="NBI49" s="24"/>
      <c r="NBJ49" s="24"/>
      <c r="NBK49" s="24"/>
      <c r="NBL49" s="24"/>
      <c r="NBM49" s="24"/>
      <c r="NBN49" s="24"/>
      <c r="NBO49" s="24"/>
      <c r="NBP49" s="24"/>
      <c r="NBQ49" s="24"/>
      <c r="NBR49" s="24"/>
      <c r="NBS49" s="24"/>
      <c r="NBT49" s="24"/>
      <c r="NBU49" s="24"/>
      <c r="NBV49" s="24"/>
      <c r="NBW49" s="24"/>
      <c r="NBX49" s="24"/>
      <c r="NBY49" s="24"/>
      <c r="NBZ49" s="24"/>
      <c r="NCA49" s="24"/>
      <c r="NCB49" s="24"/>
      <c r="NCC49" s="24"/>
      <c r="NCD49" s="24"/>
      <c r="NCE49" s="24"/>
      <c r="NCF49" s="24"/>
      <c r="NCG49" s="24"/>
      <c r="NCH49" s="24"/>
      <c r="NCI49" s="24"/>
      <c r="NCJ49" s="24"/>
      <c r="NCK49" s="24"/>
      <c r="NCL49" s="24"/>
      <c r="NCM49" s="24"/>
      <c r="NCN49" s="24"/>
      <c r="NCO49" s="24"/>
      <c r="NCP49" s="24"/>
      <c r="NCQ49" s="24"/>
      <c r="NCR49" s="24"/>
      <c r="NCS49" s="24"/>
      <c r="NCT49" s="24"/>
      <c r="NCU49" s="24"/>
      <c r="NCV49" s="24"/>
      <c r="NCW49" s="24"/>
      <c r="NCX49" s="24"/>
      <c r="NCY49" s="24"/>
      <c r="NCZ49" s="24"/>
      <c r="NDA49" s="24"/>
      <c r="NDB49" s="24"/>
      <c r="NDC49" s="24"/>
      <c r="NDD49" s="24"/>
      <c r="NDE49" s="24"/>
      <c r="NDF49" s="24"/>
      <c r="NDG49" s="24"/>
      <c r="NDH49" s="24"/>
      <c r="NDI49" s="24"/>
      <c r="NDJ49" s="24"/>
      <c r="NDK49" s="24"/>
      <c r="NDL49" s="24"/>
      <c r="NDM49" s="24"/>
      <c r="NDN49" s="24"/>
      <c r="NDO49" s="24"/>
      <c r="NDP49" s="24"/>
      <c r="NDQ49" s="24"/>
      <c r="NDR49" s="24"/>
      <c r="NDS49" s="24"/>
      <c r="NDT49" s="24"/>
      <c r="NDU49" s="24"/>
      <c r="NDV49" s="24"/>
      <c r="NDW49" s="24"/>
      <c r="NDX49" s="24"/>
      <c r="NDY49" s="24"/>
      <c r="NDZ49" s="24"/>
      <c r="NEA49" s="24"/>
      <c r="NEB49" s="24"/>
      <c r="NEC49" s="24"/>
      <c r="NED49" s="24"/>
      <c r="NEE49" s="24"/>
      <c r="NEF49" s="24"/>
      <c r="NEG49" s="24"/>
      <c r="NEH49" s="24"/>
      <c r="NEI49" s="24"/>
      <c r="NEJ49" s="24"/>
      <c r="NEK49" s="24"/>
      <c r="NEL49" s="24"/>
      <c r="NEM49" s="24"/>
      <c r="NEN49" s="24"/>
      <c r="NEO49" s="24"/>
      <c r="NEP49" s="24"/>
      <c r="NEQ49" s="24"/>
      <c r="NER49" s="24"/>
      <c r="NES49" s="24"/>
      <c r="NET49" s="24"/>
      <c r="NEU49" s="24"/>
      <c r="NEV49" s="24"/>
      <c r="NEW49" s="24"/>
      <c r="NEX49" s="24"/>
      <c r="NEY49" s="24"/>
      <c r="NEZ49" s="24"/>
      <c r="NFA49" s="24"/>
      <c r="NFB49" s="24"/>
      <c r="NFC49" s="24"/>
      <c r="NFD49" s="24"/>
      <c r="NFE49" s="24"/>
      <c r="NFF49" s="24"/>
      <c r="NFG49" s="24"/>
      <c r="NFH49" s="24"/>
      <c r="NFI49" s="24"/>
      <c r="NFJ49" s="24"/>
      <c r="NFK49" s="24"/>
      <c r="NFL49" s="24"/>
      <c r="NFM49" s="24"/>
      <c r="NFN49" s="24"/>
      <c r="NFO49" s="24"/>
      <c r="NFP49" s="24"/>
      <c r="NFQ49" s="24"/>
      <c r="NFR49" s="24"/>
      <c r="NFS49" s="24"/>
      <c r="NFT49" s="24"/>
      <c r="NFU49" s="24"/>
      <c r="NFV49" s="24"/>
      <c r="NFW49" s="24"/>
      <c r="NFX49" s="24"/>
      <c r="NFY49" s="24"/>
      <c r="NFZ49" s="24"/>
      <c r="NGA49" s="24"/>
      <c r="NGB49" s="24"/>
      <c r="NGC49" s="24"/>
      <c r="NGD49" s="24"/>
      <c r="NGE49" s="24"/>
      <c r="NGF49" s="24"/>
      <c r="NGG49" s="24"/>
      <c r="NGH49" s="24"/>
      <c r="NGI49" s="24"/>
      <c r="NGJ49" s="24"/>
      <c r="NGK49" s="24"/>
      <c r="NGL49" s="24"/>
      <c r="NGM49" s="24"/>
      <c r="NGN49" s="24"/>
      <c r="NGO49" s="24"/>
      <c r="NGP49" s="24"/>
      <c r="NGQ49" s="24"/>
      <c r="NGR49" s="24"/>
      <c r="NGS49" s="24"/>
      <c r="NGT49" s="24"/>
      <c r="NGU49" s="24"/>
      <c r="NGV49" s="24"/>
      <c r="NGW49" s="24"/>
      <c r="NGX49" s="24"/>
      <c r="NGY49" s="24"/>
      <c r="NGZ49" s="24"/>
      <c r="NHA49" s="24"/>
      <c r="NHB49" s="24"/>
      <c r="NHC49" s="24"/>
      <c r="NHD49" s="24"/>
      <c r="NHE49" s="24"/>
      <c r="NHF49" s="24"/>
      <c r="NHG49" s="24"/>
      <c r="NHH49" s="24"/>
      <c r="NHI49" s="24"/>
      <c r="NHJ49" s="24"/>
      <c r="NHK49" s="24"/>
      <c r="NHL49" s="24"/>
      <c r="NHM49" s="24"/>
      <c r="NHN49" s="24"/>
      <c r="NHO49" s="24"/>
      <c r="NHP49" s="24"/>
      <c r="NHQ49" s="24"/>
      <c r="NHR49" s="24"/>
      <c r="NHS49" s="24"/>
      <c r="NHT49" s="24"/>
      <c r="NHU49" s="24"/>
      <c r="NHV49" s="24"/>
      <c r="NHW49" s="24"/>
      <c r="NHX49" s="24"/>
      <c r="NHY49" s="24"/>
      <c r="NHZ49" s="24"/>
      <c r="NIA49" s="24"/>
      <c r="NIB49" s="24"/>
      <c r="NIC49" s="24"/>
      <c r="NID49" s="24"/>
      <c r="NIE49" s="24"/>
      <c r="NIF49" s="24"/>
      <c r="NIG49" s="24"/>
      <c r="NIH49" s="24"/>
      <c r="NII49" s="24"/>
      <c r="NIJ49" s="24"/>
      <c r="NIK49" s="24"/>
      <c r="NIL49" s="24"/>
      <c r="NIM49" s="24"/>
      <c r="NIN49" s="24"/>
      <c r="NIO49" s="24"/>
      <c r="NIP49" s="24"/>
      <c r="NIQ49" s="24"/>
      <c r="NIR49" s="24"/>
      <c r="NIS49" s="24"/>
      <c r="NIT49" s="24"/>
      <c r="NIU49" s="24"/>
      <c r="NIV49" s="24"/>
      <c r="NIW49" s="24"/>
      <c r="NIX49" s="24"/>
      <c r="NIY49" s="24"/>
      <c r="NIZ49" s="24"/>
      <c r="NJA49" s="24"/>
      <c r="NJB49" s="24"/>
      <c r="NJC49" s="24"/>
      <c r="NJD49" s="24"/>
      <c r="NJE49" s="24"/>
      <c r="NJF49" s="24"/>
      <c r="NJG49" s="24"/>
      <c r="NJH49" s="24"/>
      <c r="NJI49" s="24"/>
      <c r="NJJ49" s="24"/>
      <c r="NJK49" s="24"/>
      <c r="NJL49" s="24"/>
      <c r="NJM49" s="24"/>
      <c r="NJN49" s="24"/>
      <c r="NJO49" s="24"/>
      <c r="NJP49" s="24"/>
      <c r="NJQ49" s="24"/>
      <c r="NJR49" s="24"/>
      <c r="NJS49" s="24"/>
      <c r="NJT49" s="24"/>
      <c r="NJU49" s="24"/>
      <c r="NJV49" s="24"/>
      <c r="NJW49" s="24"/>
      <c r="NJX49" s="24"/>
      <c r="NJY49" s="24"/>
      <c r="NJZ49" s="24"/>
      <c r="NKA49" s="24"/>
      <c r="NKB49" s="24"/>
      <c r="NKC49" s="24"/>
      <c r="NKD49" s="24"/>
      <c r="NKE49" s="24"/>
      <c r="NKF49" s="24"/>
      <c r="NKG49" s="24"/>
      <c r="NKH49" s="24"/>
      <c r="NKI49" s="24"/>
      <c r="NKJ49" s="24"/>
      <c r="NKK49" s="24"/>
      <c r="NKL49" s="24"/>
      <c r="NKM49" s="24"/>
      <c r="NKN49" s="24"/>
      <c r="NKO49" s="24"/>
      <c r="NKP49" s="24"/>
      <c r="NKQ49" s="24"/>
      <c r="NKR49" s="24"/>
      <c r="NKS49" s="24"/>
      <c r="NKT49" s="24"/>
      <c r="NKU49" s="24"/>
      <c r="NKV49" s="24"/>
      <c r="NKW49" s="24"/>
      <c r="NKX49" s="24"/>
      <c r="NKY49" s="24"/>
      <c r="NKZ49" s="24"/>
      <c r="NLA49" s="24"/>
      <c r="NLB49" s="24"/>
      <c r="NLC49" s="24"/>
      <c r="NLD49" s="24"/>
      <c r="NLE49" s="24"/>
      <c r="NLF49" s="24"/>
      <c r="NLG49" s="24"/>
      <c r="NLH49" s="24"/>
      <c r="NLI49" s="24"/>
      <c r="NLJ49" s="24"/>
      <c r="NLK49" s="24"/>
      <c r="NLL49" s="24"/>
      <c r="NLM49" s="24"/>
      <c r="NLN49" s="24"/>
      <c r="NLO49" s="24"/>
      <c r="NLP49" s="24"/>
      <c r="NLQ49" s="24"/>
      <c r="NLR49" s="24"/>
      <c r="NLS49" s="24"/>
      <c r="NLT49" s="24"/>
      <c r="NLU49" s="24"/>
      <c r="NLV49" s="24"/>
      <c r="NLW49" s="24"/>
      <c r="NLX49" s="24"/>
      <c r="NLY49" s="24"/>
      <c r="NLZ49" s="24"/>
      <c r="NMA49" s="24"/>
      <c r="NMB49" s="24"/>
      <c r="NMC49" s="24"/>
      <c r="NMD49" s="24"/>
      <c r="NME49" s="24"/>
      <c r="NMF49" s="24"/>
      <c r="NMG49" s="24"/>
      <c r="NMH49" s="24"/>
      <c r="NMI49" s="24"/>
      <c r="NMJ49" s="24"/>
      <c r="NMK49" s="24"/>
      <c r="NML49" s="24"/>
      <c r="NMM49" s="24"/>
      <c r="NMN49" s="24"/>
      <c r="NMO49" s="24"/>
      <c r="NMP49" s="24"/>
      <c r="NMQ49" s="24"/>
      <c r="NMR49" s="24"/>
      <c r="NMS49" s="24"/>
      <c r="NMT49" s="24"/>
      <c r="NMU49" s="24"/>
      <c r="NMV49" s="24"/>
      <c r="NMW49" s="24"/>
      <c r="NMX49" s="24"/>
      <c r="NMY49" s="24"/>
      <c r="NMZ49" s="24"/>
      <c r="NNA49" s="24"/>
      <c r="NNB49" s="24"/>
      <c r="NNC49" s="24"/>
      <c r="NND49" s="24"/>
      <c r="NNE49" s="24"/>
      <c r="NNF49" s="24"/>
      <c r="NNG49" s="24"/>
      <c r="NNH49" s="24"/>
      <c r="NNI49" s="24"/>
      <c r="NNJ49" s="24"/>
      <c r="NNK49" s="24"/>
      <c r="NNL49" s="24"/>
      <c r="NNM49" s="24"/>
      <c r="NNN49" s="24"/>
      <c r="NNO49" s="24"/>
      <c r="NNP49" s="24"/>
      <c r="NNQ49" s="24"/>
      <c r="NNR49" s="24"/>
      <c r="NNS49" s="24"/>
      <c r="NNT49" s="24"/>
      <c r="NNU49" s="24"/>
      <c r="NNV49" s="24"/>
      <c r="NNW49" s="24"/>
      <c r="NNX49" s="24"/>
      <c r="NNY49" s="24"/>
      <c r="NNZ49" s="24"/>
      <c r="NOA49" s="24"/>
      <c r="NOB49" s="24"/>
      <c r="NOC49" s="24"/>
      <c r="NOD49" s="24"/>
      <c r="NOE49" s="24"/>
      <c r="NOF49" s="24"/>
      <c r="NOG49" s="24"/>
      <c r="NOH49" s="24"/>
      <c r="NOI49" s="24"/>
      <c r="NOJ49" s="24"/>
      <c r="NOK49" s="24"/>
      <c r="NOL49" s="24"/>
      <c r="NOM49" s="24"/>
      <c r="NON49" s="24"/>
      <c r="NOO49" s="24"/>
      <c r="NOP49" s="24"/>
      <c r="NOQ49" s="24"/>
      <c r="NOR49" s="24"/>
      <c r="NOS49" s="24"/>
      <c r="NOT49" s="24"/>
      <c r="NOU49" s="24"/>
      <c r="NOV49" s="24"/>
      <c r="NOW49" s="24"/>
      <c r="NOX49" s="24"/>
      <c r="NOY49" s="24"/>
      <c r="NOZ49" s="24"/>
      <c r="NPA49" s="24"/>
      <c r="NPB49" s="24"/>
      <c r="NPC49" s="24"/>
      <c r="NPD49" s="24"/>
      <c r="NPE49" s="24"/>
      <c r="NPF49" s="24"/>
      <c r="NPG49" s="24"/>
      <c r="NPH49" s="24"/>
      <c r="NPI49" s="24"/>
      <c r="NPJ49" s="24"/>
      <c r="NPK49" s="24"/>
      <c r="NPL49" s="24"/>
      <c r="NPM49" s="24"/>
      <c r="NPN49" s="24"/>
      <c r="NPO49" s="24"/>
      <c r="NPP49" s="24"/>
      <c r="NPQ49" s="24"/>
      <c r="NPR49" s="24"/>
      <c r="NPS49" s="24"/>
      <c r="NPT49" s="24"/>
      <c r="NPU49" s="24"/>
      <c r="NPV49" s="24"/>
      <c r="NPW49" s="24"/>
      <c r="NPX49" s="24"/>
      <c r="NPY49" s="24"/>
      <c r="NPZ49" s="24"/>
      <c r="NQA49" s="24"/>
      <c r="NQB49" s="24"/>
      <c r="NQC49" s="24"/>
      <c r="NQD49" s="24"/>
      <c r="NQE49" s="24"/>
      <c r="NQF49" s="24"/>
      <c r="NQG49" s="24"/>
      <c r="NQH49" s="24"/>
      <c r="NQI49" s="24"/>
      <c r="NQJ49" s="24"/>
      <c r="NQK49" s="24"/>
      <c r="NQL49" s="24"/>
      <c r="NQM49" s="24"/>
      <c r="NQN49" s="24"/>
      <c r="NQO49" s="24"/>
      <c r="NQP49" s="24"/>
      <c r="NQQ49" s="24"/>
      <c r="NQR49" s="24"/>
      <c r="NQS49" s="24"/>
      <c r="NQT49" s="24"/>
      <c r="NQU49" s="24"/>
      <c r="NQV49" s="24"/>
      <c r="NQW49" s="24"/>
      <c r="NQX49" s="24"/>
      <c r="NQY49" s="24"/>
      <c r="NQZ49" s="24"/>
      <c r="NRA49" s="24"/>
      <c r="NRB49" s="24"/>
      <c r="NRC49" s="24"/>
      <c r="NRD49" s="24"/>
      <c r="NRE49" s="24"/>
      <c r="NRF49" s="24"/>
      <c r="NRG49" s="24"/>
      <c r="NRH49" s="24"/>
      <c r="NRI49" s="24"/>
      <c r="NRJ49" s="24"/>
      <c r="NRK49" s="24"/>
      <c r="NRL49" s="24"/>
      <c r="NRM49" s="24"/>
      <c r="NRN49" s="24"/>
      <c r="NRO49" s="24"/>
      <c r="NRP49" s="24"/>
      <c r="NRQ49" s="24"/>
      <c r="NRR49" s="24"/>
      <c r="NRS49" s="24"/>
      <c r="NRT49" s="24"/>
      <c r="NRU49" s="24"/>
      <c r="NRV49" s="24"/>
      <c r="NRW49" s="24"/>
      <c r="NRX49" s="24"/>
      <c r="NRY49" s="24"/>
      <c r="NRZ49" s="24"/>
      <c r="NSA49" s="24"/>
      <c r="NSB49" s="24"/>
      <c r="NSC49" s="24"/>
      <c r="NSD49" s="24"/>
      <c r="NSE49" s="24"/>
      <c r="NSF49" s="24"/>
      <c r="NSG49" s="24"/>
      <c r="NSH49" s="24"/>
      <c r="NSI49" s="24"/>
      <c r="NSJ49" s="24"/>
      <c r="NSK49" s="24"/>
      <c r="NSL49" s="24"/>
      <c r="NSM49" s="24"/>
      <c r="NSN49" s="24"/>
      <c r="NSO49" s="24"/>
      <c r="NSP49" s="24"/>
      <c r="NSQ49" s="24"/>
      <c r="NSR49" s="24"/>
      <c r="NSS49" s="24"/>
      <c r="NST49" s="24"/>
      <c r="NSU49" s="24"/>
      <c r="NSV49" s="24"/>
      <c r="NSW49" s="24"/>
      <c r="NSX49" s="24"/>
      <c r="NSY49" s="24"/>
      <c r="NSZ49" s="24"/>
      <c r="NTA49" s="24"/>
      <c r="NTB49" s="24"/>
      <c r="NTC49" s="24"/>
      <c r="NTD49" s="24"/>
      <c r="NTE49" s="24"/>
      <c r="NTF49" s="24"/>
      <c r="NTG49" s="24"/>
      <c r="NTH49" s="24"/>
      <c r="NTI49" s="24"/>
      <c r="NTJ49" s="24"/>
      <c r="NTK49" s="24"/>
      <c r="NTL49" s="24"/>
      <c r="NTM49" s="24"/>
      <c r="NTN49" s="24"/>
      <c r="NTO49" s="24"/>
      <c r="NTP49" s="24"/>
      <c r="NTQ49" s="24"/>
      <c r="NTR49" s="24"/>
      <c r="NTS49" s="24"/>
      <c r="NTT49" s="24"/>
      <c r="NTU49" s="24"/>
      <c r="NTV49" s="24"/>
      <c r="NTW49" s="24"/>
      <c r="NTX49" s="24"/>
      <c r="NTY49" s="24"/>
      <c r="NTZ49" s="24"/>
      <c r="NUA49" s="24"/>
      <c r="NUB49" s="24"/>
      <c r="NUC49" s="24"/>
      <c r="NUD49" s="24"/>
      <c r="NUE49" s="24"/>
      <c r="NUF49" s="24"/>
      <c r="NUG49" s="24"/>
      <c r="NUH49" s="24"/>
      <c r="NUI49" s="24"/>
      <c r="NUJ49" s="24"/>
      <c r="NUK49" s="24"/>
      <c r="NUL49" s="24"/>
      <c r="NUM49" s="24"/>
      <c r="NUN49" s="24"/>
      <c r="NUO49" s="24"/>
      <c r="NUP49" s="24"/>
      <c r="NUQ49" s="24"/>
      <c r="NUR49" s="24"/>
      <c r="NUS49" s="24"/>
      <c r="NUT49" s="24"/>
      <c r="NUU49" s="24"/>
      <c r="NUV49" s="24"/>
      <c r="NUW49" s="24"/>
      <c r="NUX49" s="24"/>
      <c r="NUY49" s="24"/>
      <c r="NUZ49" s="24"/>
      <c r="NVA49" s="24"/>
      <c r="NVB49" s="24"/>
      <c r="NVC49" s="24"/>
      <c r="NVD49" s="24"/>
      <c r="NVE49" s="24"/>
      <c r="NVF49" s="24"/>
      <c r="NVG49" s="24"/>
      <c r="NVH49" s="24"/>
      <c r="NVI49" s="24"/>
      <c r="NVJ49" s="24"/>
      <c r="NVK49" s="24"/>
      <c r="NVL49" s="24"/>
      <c r="NVM49" s="24"/>
      <c r="NVN49" s="24"/>
      <c r="NVO49" s="24"/>
      <c r="NVP49" s="24"/>
      <c r="NVQ49" s="24"/>
      <c r="NVR49" s="24"/>
      <c r="NVS49" s="24"/>
      <c r="NVT49" s="24"/>
      <c r="NVU49" s="24"/>
      <c r="NVV49" s="24"/>
      <c r="NVW49" s="24"/>
      <c r="NVX49" s="24"/>
      <c r="NVY49" s="24"/>
      <c r="NVZ49" s="24"/>
      <c r="NWA49" s="24"/>
      <c r="NWB49" s="24"/>
      <c r="NWC49" s="24"/>
      <c r="NWD49" s="24"/>
      <c r="NWE49" s="24"/>
      <c r="NWF49" s="24"/>
      <c r="NWG49" s="24"/>
      <c r="NWH49" s="24"/>
      <c r="NWI49" s="24"/>
      <c r="NWJ49" s="24"/>
      <c r="NWK49" s="24"/>
      <c r="NWL49" s="24"/>
      <c r="NWM49" s="24"/>
      <c r="NWN49" s="24"/>
      <c r="NWO49" s="24"/>
      <c r="NWP49" s="24"/>
      <c r="NWQ49" s="24"/>
      <c r="NWR49" s="24"/>
      <c r="NWS49" s="24"/>
      <c r="NWT49" s="24"/>
      <c r="NWU49" s="24"/>
      <c r="NWV49" s="24"/>
      <c r="NWW49" s="24"/>
      <c r="NWX49" s="24"/>
      <c r="NWY49" s="24"/>
      <c r="NWZ49" s="24"/>
      <c r="NXA49" s="24"/>
      <c r="NXB49" s="24"/>
      <c r="NXC49" s="24"/>
      <c r="NXD49" s="24"/>
      <c r="NXE49" s="24"/>
      <c r="NXF49" s="24"/>
      <c r="NXG49" s="24"/>
      <c r="NXH49" s="24"/>
      <c r="NXI49" s="24"/>
      <c r="NXJ49" s="24"/>
      <c r="NXK49" s="24"/>
      <c r="NXL49" s="24"/>
      <c r="NXM49" s="24"/>
      <c r="NXN49" s="24"/>
      <c r="NXO49" s="24"/>
      <c r="NXP49" s="24"/>
      <c r="NXQ49" s="24"/>
      <c r="NXR49" s="24"/>
      <c r="NXS49" s="24"/>
      <c r="NXT49" s="24"/>
      <c r="NXU49" s="24"/>
      <c r="NXV49" s="24"/>
      <c r="NXW49" s="24"/>
      <c r="NXX49" s="24"/>
      <c r="NXY49" s="24"/>
      <c r="NXZ49" s="24"/>
      <c r="NYA49" s="24"/>
      <c r="NYB49" s="24"/>
      <c r="NYC49" s="24"/>
      <c r="NYD49" s="24"/>
      <c r="NYE49" s="24"/>
      <c r="NYF49" s="24"/>
      <c r="NYG49" s="24"/>
      <c r="NYH49" s="24"/>
      <c r="NYI49" s="24"/>
      <c r="NYJ49" s="24"/>
      <c r="NYK49" s="24"/>
      <c r="NYL49" s="24"/>
      <c r="NYM49" s="24"/>
      <c r="NYN49" s="24"/>
      <c r="NYO49" s="24"/>
      <c r="NYP49" s="24"/>
      <c r="NYQ49" s="24"/>
      <c r="NYR49" s="24"/>
      <c r="NYS49" s="24"/>
      <c r="NYT49" s="24"/>
      <c r="NYU49" s="24"/>
      <c r="NYV49" s="24"/>
      <c r="NYW49" s="24"/>
      <c r="NYX49" s="24"/>
      <c r="NYY49" s="24"/>
      <c r="NYZ49" s="24"/>
      <c r="NZA49" s="24"/>
      <c r="NZB49" s="24"/>
      <c r="NZC49" s="24"/>
      <c r="NZD49" s="24"/>
      <c r="NZE49" s="24"/>
      <c r="NZF49" s="24"/>
      <c r="NZG49" s="24"/>
      <c r="NZH49" s="24"/>
      <c r="NZI49" s="24"/>
      <c r="NZJ49" s="24"/>
      <c r="NZK49" s="24"/>
      <c r="NZL49" s="24"/>
      <c r="NZM49" s="24"/>
      <c r="NZN49" s="24"/>
      <c r="NZO49" s="24"/>
      <c r="NZP49" s="24"/>
      <c r="NZQ49" s="24"/>
      <c r="NZR49" s="24"/>
      <c r="NZS49" s="24"/>
      <c r="NZT49" s="24"/>
      <c r="NZU49" s="24"/>
      <c r="NZV49" s="24"/>
      <c r="NZW49" s="24"/>
      <c r="NZX49" s="24"/>
      <c r="NZY49" s="24"/>
      <c r="NZZ49" s="24"/>
      <c r="OAA49" s="24"/>
      <c r="OAB49" s="24"/>
      <c r="OAC49" s="24"/>
      <c r="OAD49" s="24"/>
      <c r="OAE49" s="24"/>
      <c r="OAF49" s="24"/>
      <c r="OAG49" s="24"/>
      <c r="OAH49" s="24"/>
      <c r="OAI49" s="24"/>
      <c r="OAJ49" s="24"/>
      <c r="OAK49" s="24"/>
      <c r="OAL49" s="24"/>
      <c r="OAM49" s="24"/>
      <c r="OAN49" s="24"/>
      <c r="OAO49" s="24"/>
      <c r="OAP49" s="24"/>
      <c r="OAQ49" s="24"/>
      <c r="OAR49" s="24"/>
      <c r="OAS49" s="24"/>
      <c r="OAT49" s="24"/>
      <c r="OAU49" s="24"/>
      <c r="OAV49" s="24"/>
      <c r="OAW49" s="24"/>
      <c r="OAX49" s="24"/>
      <c r="OAY49" s="24"/>
      <c r="OAZ49" s="24"/>
      <c r="OBA49" s="24"/>
      <c r="OBB49" s="24"/>
      <c r="OBC49" s="24"/>
      <c r="OBD49" s="24"/>
      <c r="OBE49" s="24"/>
      <c r="OBF49" s="24"/>
      <c r="OBG49" s="24"/>
      <c r="OBH49" s="24"/>
      <c r="OBI49" s="24"/>
      <c r="OBJ49" s="24"/>
      <c r="OBK49" s="24"/>
      <c r="OBL49" s="24"/>
      <c r="OBM49" s="24"/>
      <c r="OBN49" s="24"/>
      <c r="OBO49" s="24"/>
      <c r="OBP49" s="24"/>
      <c r="OBQ49" s="24"/>
      <c r="OBR49" s="24"/>
      <c r="OBS49" s="24"/>
      <c r="OBT49" s="24"/>
      <c r="OBU49" s="24"/>
      <c r="OBV49" s="24"/>
      <c r="OBW49" s="24"/>
      <c r="OBX49" s="24"/>
      <c r="OBY49" s="24"/>
      <c r="OBZ49" s="24"/>
      <c r="OCA49" s="24"/>
      <c r="OCB49" s="24"/>
      <c r="OCC49" s="24"/>
      <c r="OCD49" s="24"/>
      <c r="OCE49" s="24"/>
      <c r="OCF49" s="24"/>
      <c r="OCG49" s="24"/>
      <c r="OCH49" s="24"/>
      <c r="OCI49" s="24"/>
      <c r="OCJ49" s="24"/>
      <c r="OCK49" s="24"/>
      <c r="OCL49" s="24"/>
      <c r="OCM49" s="24"/>
      <c r="OCN49" s="24"/>
      <c r="OCO49" s="24"/>
      <c r="OCP49" s="24"/>
      <c r="OCQ49" s="24"/>
      <c r="OCR49" s="24"/>
      <c r="OCS49" s="24"/>
      <c r="OCT49" s="24"/>
      <c r="OCU49" s="24"/>
      <c r="OCV49" s="24"/>
      <c r="OCW49" s="24"/>
      <c r="OCX49" s="24"/>
      <c r="OCY49" s="24"/>
      <c r="OCZ49" s="24"/>
      <c r="ODA49" s="24"/>
      <c r="ODB49" s="24"/>
      <c r="ODC49" s="24"/>
      <c r="ODD49" s="24"/>
      <c r="ODE49" s="24"/>
      <c r="ODF49" s="24"/>
      <c r="ODG49" s="24"/>
      <c r="ODH49" s="24"/>
      <c r="ODI49" s="24"/>
      <c r="ODJ49" s="24"/>
      <c r="ODK49" s="24"/>
      <c r="ODL49" s="24"/>
      <c r="ODM49" s="24"/>
      <c r="ODN49" s="24"/>
      <c r="ODO49" s="24"/>
      <c r="ODP49" s="24"/>
      <c r="ODQ49" s="24"/>
      <c r="ODR49" s="24"/>
      <c r="ODS49" s="24"/>
      <c r="ODT49" s="24"/>
      <c r="ODU49" s="24"/>
      <c r="ODV49" s="24"/>
      <c r="ODW49" s="24"/>
      <c r="ODX49" s="24"/>
      <c r="ODY49" s="24"/>
      <c r="ODZ49" s="24"/>
      <c r="OEA49" s="24"/>
      <c r="OEB49" s="24"/>
      <c r="OEC49" s="24"/>
      <c r="OED49" s="24"/>
      <c r="OEE49" s="24"/>
      <c r="OEF49" s="24"/>
      <c r="OEG49" s="24"/>
      <c r="OEH49" s="24"/>
      <c r="OEI49" s="24"/>
      <c r="OEJ49" s="24"/>
      <c r="OEK49" s="24"/>
      <c r="OEL49" s="24"/>
      <c r="OEM49" s="24"/>
      <c r="OEN49" s="24"/>
      <c r="OEO49" s="24"/>
      <c r="OEP49" s="24"/>
      <c r="OEQ49" s="24"/>
      <c r="OER49" s="24"/>
      <c r="OES49" s="24"/>
      <c r="OET49" s="24"/>
      <c r="OEU49" s="24"/>
      <c r="OEV49" s="24"/>
      <c r="OEW49" s="24"/>
      <c r="OEX49" s="24"/>
      <c r="OEY49" s="24"/>
      <c r="OEZ49" s="24"/>
      <c r="OFA49" s="24"/>
      <c r="OFB49" s="24"/>
      <c r="OFC49" s="24"/>
      <c r="OFD49" s="24"/>
      <c r="OFE49" s="24"/>
      <c r="OFF49" s="24"/>
      <c r="OFG49" s="24"/>
      <c r="OFH49" s="24"/>
      <c r="OFI49" s="24"/>
      <c r="OFJ49" s="24"/>
      <c r="OFK49" s="24"/>
      <c r="OFL49" s="24"/>
      <c r="OFM49" s="24"/>
      <c r="OFN49" s="24"/>
      <c r="OFO49" s="24"/>
      <c r="OFP49" s="24"/>
      <c r="OFQ49" s="24"/>
      <c r="OFR49" s="24"/>
      <c r="OFS49" s="24"/>
      <c r="OFT49" s="24"/>
      <c r="OFU49" s="24"/>
      <c r="OFV49" s="24"/>
      <c r="OFW49" s="24"/>
      <c r="OFX49" s="24"/>
      <c r="OFY49" s="24"/>
      <c r="OFZ49" s="24"/>
      <c r="OGA49" s="24"/>
      <c r="OGB49" s="24"/>
      <c r="OGC49" s="24"/>
      <c r="OGD49" s="24"/>
      <c r="OGE49" s="24"/>
      <c r="OGF49" s="24"/>
      <c r="OGG49" s="24"/>
      <c r="OGH49" s="24"/>
      <c r="OGI49" s="24"/>
      <c r="OGJ49" s="24"/>
      <c r="OGK49" s="24"/>
      <c r="OGL49" s="24"/>
      <c r="OGM49" s="24"/>
      <c r="OGN49" s="24"/>
      <c r="OGO49" s="24"/>
      <c r="OGP49" s="24"/>
      <c r="OGQ49" s="24"/>
      <c r="OGR49" s="24"/>
      <c r="OGS49" s="24"/>
      <c r="OGT49" s="24"/>
      <c r="OGU49" s="24"/>
      <c r="OGV49" s="24"/>
      <c r="OGW49" s="24"/>
      <c r="OGX49" s="24"/>
      <c r="OGY49" s="24"/>
      <c r="OGZ49" s="24"/>
      <c r="OHA49" s="24"/>
      <c r="OHB49" s="24"/>
      <c r="OHC49" s="24"/>
      <c r="OHD49" s="24"/>
      <c r="OHE49" s="24"/>
      <c r="OHF49" s="24"/>
      <c r="OHG49" s="24"/>
      <c r="OHH49" s="24"/>
      <c r="OHI49" s="24"/>
      <c r="OHJ49" s="24"/>
      <c r="OHK49" s="24"/>
      <c r="OHL49" s="24"/>
      <c r="OHM49" s="24"/>
      <c r="OHN49" s="24"/>
      <c r="OHO49" s="24"/>
      <c r="OHP49" s="24"/>
      <c r="OHQ49" s="24"/>
      <c r="OHR49" s="24"/>
      <c r="OHS49" s="24"/>
      <c r="OHT49" s="24"/>
      <c r="OHU49" s="24"/>
      <c r="OHV49" s="24"/>
      <c r="OHW49" s="24"/>
      <c r="OHX49" s="24"/>
      <c r="OHY49" s="24"/>
      <c r="OHZ49" s="24"/>
      <c r="OIA49" s="24"/>
      <c r="OIB49" s="24"/>
      <c r="OIC49" s="24"/>
      <c r="OID49" s="24"/>
      <c r="OIE49" s="24"/>
      <c r="OIF49" s="24"/>
      <c r="OIG49" s="24"/>
      <c r="OIH49" s="24"/>
      <c r="OII49" s="24"/>
      <c r="OIJ49" s="24"/>
      <c r="OIK49" s="24"/>
      <c r="OIL49" s="24"/>
      <c r="OIM49" s="24"/>
      <c r="OIN49" s="24"/>
      <c r="OIO49" s="24"/>
      <c r="OIP49" s="24"/>
      <c r="OIQ49" s="24"/>
      <c r="OIR49" s="24"/>
      <c r="OIS49" s="24"/>
      <c r="OIT49" s="24"/>
      <c r="OIU49" s="24"/>
      <c r="OIV49" s="24"/>
      <c r="OIW49" s="24"/>
      <c r="OIX49" s="24"/>
      <c r="OIY49" s="24"/>
      <c r="OIZ49" s="24"/>
      <c r="OJA49" s="24"/>
      <c r="OJB49" s="24"/>
      <c r="OJC49" s="24"/>
      <c r="OJD49" s="24"/>
      <c r="OJE49" s="24"/>
      <c r="OJF49" s="24"/>
      <c r="OJG49" s="24"/>
      <c r="OJH49" s="24"/>
      <c r="OJI49" s="24"/>
      <c r="OJJ49" s="24"/>
      <c r="OJK49" s="24"/>
      <c r="OJL49" s="24"/>
      <c r="OJM49" s="24"/>
      <c r="OJN49" s="24"/>
      <c r="OJO49" s="24"/>
      <c r="OJP49" s="24"/>
      <c r="OJQ49" s="24"/>
      <c r="OJR49" s="24"/>
      <c r="OJS49" s="24"/>
      <c r="OJT49" s="24"/>
      <c r="OJU49" s="24"/>
      <c r="OJV49" s="24"/>
      <c r="OJW49" s="24"/>
      <c r="OJX49" s="24"/>
      <c r="OJY49" s="24"/>
      <c r="OJZ49" s="24"/>
      <c r="OKA49" s="24"/>
      <c r="OKB49" s="24"/>
      <c r="OKC49" s="24"/>
      <c r="OKD49" s="24"/>
      <c r="OKE49" s="24"/>
      <c r="OKF49" s="24"/>
      <c r="OKG49" s="24"/>
      <c r="OKH49" s="24"/>
      <c r="OKI49" s="24"/>
      <c r="OKJ49" s="24"/>
      <c r="OKK49" s="24"/>
      <c r="OKL49" s="24"/>
      <c r="OKM49" s="24"/>
      <c r="OKN49" s="24"/>
      <c r="OKO49" s="24"/>
      <c r="OKP49" s="24"/>
      <c r="OKQ49" s="24"/>
      <c r="OKR49" s="24"/>
      <c r="OKS49" s="24"/>
      <c r="OKT49" s="24"/>
      <c r="OKU49" s="24"/>
      <c r="OKV49" s="24"/>
      <c r="OKW49" s="24"/>
      <c r="OKX49" s="24"/>
      <c r="OKY49" s="24"/>
      <c r="OKZ49" s="24"/>
      <c r="OLA49" s="24"/>
      <c r="OLB49" s="24"/>
      <c r="OLC49" s="24"/>
      <c r="OLD49" s="24"/>
      <c r="OLE49" s="24"/>
      <c r="OLF49" s="24"/>
      <c r="OLG49" s="24"/>
      <c r="OLH49" s="24"/>
      <c r="OLI49" s="24"/>
      <c r="OLJ49" s="24"/>
      <c r="OLK49" s="24"/>
      <c r="OLL49" s="24"/>
      <c r="OLM49" s="24"/>
      <c r="OLN49" s="24"/>
      <c r="OLO49" s="24"/>
      <c r="OLP49" s="24"/>
      <c r="OLQ49" s="24"/>
      <c r="OLR49" s="24"/>
      <c r="OLS49" s="24"/>
      <c r="OLT49" s="24"/>
      <c r="OLU49" s="24"/>
      <c r="OLV49" s="24"/>
      <c r="OLW49" s="24"/>
      <c r="OLX49" s="24"/>
      <c r="OLY49" s="24"/>
      <c r="OLZ49" s="24"/>
      <c r="OMA49" s="24"/>
      <c r="OMB49" s="24"/>
      <c r="OMC49" s="24"/>
      <c r="OMD49" s="24"/>
      <c r="OME49" s="24"/>
      <c r="OMF49" s="24"/>
      <c r="OMG49" s="24"/>
      <c r="OMH49" s="24"/>
      <c r="OMI49" s="24"/>
      <c r="OMJ49" s="24"/>
      <c r="OMK49" s="24"/>
      <c r="OML49" s="24"/>
      <c r="OMM49" s="24"/>
      <c r="OMN49" s="24"/>
      <c r="OMO49" s="24"/>
      <c r="OMP49" s="24"/>
      <c r="OMQ49" s="24"/>
      <c r="OMR49" s="24"/>
      <c r="OMS49" s="24"/>
      <c r="OMT49" s="24"/>
      <c r="OMU49" s="24"/>
      <c r="OMV49" s="24"/>
      <c r="OMW49" s="24"/>
      <c r="OMX49" s="24"/>
      <c r="OMY49" s="24"/>
      <c r="OMZ49" s="24"/>
      <c r="ONA49" s="24"/>
      <c r="ONB49" s="24"/>
      <c r="ONC49" s="24"/>
      <c r="OND49" s="24"/>
      <c r="ONE49" s="24"/>
      <c r="ONF49" s="24"/>
      <c r="ONG49" s="24"/>
      <c r="ONH49" s="24"/>
      <c r="ONI49" s="24"/>
      <c r="ONJ49" s="24"/>
      <c r="ONK49" s="24"/>
      <c r="ONL49" s="24"/>
      <c r="ONM49" s="24"/>
      <c r="ONN49" s="24"/>
      <c r="ONO49" s="24"/>
      <c r="ONP49" s="24"/>
      <c r="ONQ49" s="24"/>
      <c r="ONR49" s="24"/>
      <c r="ONS49" s="24"/>
      <c r="ONT49" s="24"/>
      <c r="ONU49" s="24"/>
      <c r="ONV49" s="24"/>
      <c r="ONW49" s="24"/>
      <c r="ONX49" s="24"/>
      <c r="ONY49" s="24"/>
      <c r="ONZ49" s="24"/>
      <c r="OOA49" s="24"/>
      <c r="OOB49" s="24"/>
      <c r="OOC49" s="24"/>
      <c r="OOD49" s="24"/>
      <c r="OOE49" s="24"/>
      <c r="OOF49" s="24"/>
      <c r="OOG49" s="24"/>
      <c r="OOH49" s="24"/>
      <c r="OOI49" s="24"/>
      <c r="OOJ49" s="24"/>
      <c r="OOK49" s="24"/>
      <c r="OOL49" s="24"/>
      <c r="OOM49" s="24"/>
      <c r="OON49" s="24"/>
      <c r="OOO49" s="24"/>
      <c r="OOP49" s="24"/>
      <c r="OOQ49" s="24"/>
      <c r="OOR49" s="24"/>
      <c r="OOS49" s="24"/>
      <c r="OOT49" s="24"/>
      <c r="OOU49" s="24"/>
      <c r="OOV49" s="24"/>
      <c r="OOW49" s="24"/>
      <c r="OOX49" s="24"/>
      <c r="OOY49" s="24"/>
      <c r="OOZ49" s="24"/>
      <c r="OPA49" s="24"/>
      <c r="OPB49" s="24"/>
      <c r="OPC49" s="24"/>
      <c r="OPD49" s="24"/>
      <c r="OPE49" s="24"/>
      <c r="OPF49" s="24"/>
      <c r="OPG49" s="24"/>
      <c r="OPH49" s="24"/>
      <c r="OPI49" s="24"/>
      <c r="OPJ49" s="24"/>
      <c r="OPK49" s="24"/>
      <c r="OPL49" s="24"/>
      <c r="OPM49" s="24"/>
      <c r="OPN49" s="24"/>
      <c r="OPO49" s="24"/>
      <c r="OPP49" s="24"/>
      <c r="OPQ49" s="24"/>
      <c r="OPR49" s="24"/>
      <c r="OPS49" s="24"/>
      <c r="OPT49" s="24"/>
      <c r="OPU49" s="24"/>
      <c r="OPV49" s="24"/>
      <c r="OPW49" s="24"/>
      <c r="OPX49" s="24"/>
      <c r="OPY49" s="24"/>
      <c r="OPZ49" s="24"/>
      <c r="OQA49" s="24"/>
      <c r="OQB49" s="24"/>
      <c r="OQC49" s="24"/>
      <c r="OQD49" s="24"/>
      <c r="OQE49" s="24"/>
      <c r="OQF49" s="24"/>
      <c r="OQG49" s="24"/>
      <c r="OQH49" s="24"/>
      <c r="OQI49" s="24"/>
      <c r="OQJ49" s="24"/>
      <c r="OQK49" s="24"/>
      <c r="OQL49" s="24"/>
      <c r="OQM49" s="24"/>
      <c r="OQN49" s="24"/>
      <c r="OQO49" s="24"/>
      <c r="OQP49" s="24"/>
      <c r="OQQ49" s="24"/>
      <c r="OQR49" s="24"/>
      <c r="OQS49" s="24"/>
      <c r="OQT49" s="24"/>
      <c r="OQU49" s="24"/>
      <c r="OQV49" s="24"/>
      <c r="OQW49" s="24"/>
      <c r="OQX49" s="24"/>
      <c r="OQY49" s="24"/>
      <c r="OQZ49" s="24"/>
      <c r="ORA49" s="24"/>
      <c r="ORB49" s="24"/>
      <c r="ORC49" s="24"/>
      <c r="ORD49" s="24"/>
      <c r="ORE49" s="24"/>
      <c r="ORF49" s="24"/>
      <c r="ORG49" s="24"/>
      <c r="ORH49" s="24"/>
      <c r="ORI49" s="24"/>
      <c r="ORJ49" s="24"/>
      <c r="ORK49" s="24"/>
      <c r="ORL49" s="24"/>
      <c r="ORM49" s="24"/>
      <c r="ORN49" s="24"/>
      <c r="ORO49" s="24"/>
      <c r="ORP49" s="24"/>
      <c r="ORQ49" s="24"/>
      <c r="ORR49" s="24"/>
      <c r="ORS49" s="24"/>
      <c r="ORT49" s="24"/>
      <c r="ORU49" s="24"/>
      <c r="ORV49" s="24"/>
      <c r="ORW49" s="24"/>
      <c r="ORX49" s="24"/>
      <c r="ORY49" s="24"/>
      <c r="ORZ49" s="24"/>
      <c r="OSA49" s="24"/>
      <c r="OSB49" s="24"/>
      <c r="OSC49" s="24"/>
      <c r="OSD49" s="24"/>
      <c r="OSE49" s="24"/>
      <c r="OSF49" s="24"/>
      <c r="OSG49" s="24"/>
      <c r="OSH49" s="24"/>
      <c r="OSI49" s="24"/>
      <c r="OSJ49" s="24"/>
      <c r="OSK49" s="24"/>
      <c r="OSL49" s="24"/>
      <c r="OSM49" s="24"/>
      <c r="OSN49" s="24"/>
      <c r="OSO49" s="24"/>
      <c r="OSP49" s="24"/>
      <c r="OSQ49" s="24"/>
      <c r="OSR49" s="24"/>
      <c r="OSS49" s="24"/>
      <c r="OST49" s="24"/>
      <c r="OSU49" s="24"/>
      <c r="OSV49" s="24"/>
      <c r="OSW49" s="24"/>
      <c r="OSX49" s="24"/>
      <c r="OSY49" s="24"/>
      <c r="OSZ49" s="24"/>
      <c r="OTA49" s="24"/>
      <c r="OTB49" s="24"/>
      <c r="OTC49" s="24"/>
      <c r="OTD49" s="24"/>
      <c r="OTE49" s="24"/>
      <c r="OTF49" s="24"/>
      <c r="OTG49" s="24"/>
      <c r="OTH49" s="24"/>
      <c r="OTI49" s="24"/>
      <c r="OTJ49" s="24"/>
      <c r="OTK49" s="24"/>
      <c r="OTL49" s="24"/>
      <c r="OTM49" s="24"/>
      <c r="OTN49" s="24"/>
      <c r="OTO49" s="24"/>
      <c r="OTP49" s="24"/>
      <c r="OTQ49" s="24"/>
      <c r="OTR49" s="24"/>
      <c r="OTS49" s="24"/>
      <c r="OTT49" s="24"/>
      <c r="OTU49" s="24"/>
      <c r="OTV49" s="24"/>
      <c r="OTW49" s="24"/>
      <c r="OTX49" s="24"/>
      <c r="OTY49" s="24"/>
      <c r="OTZ49" s="24"/>
      <c r="OUA49" s="24"/>
      <c r="OUB49" s="24"/>
      <c r="OUC49" s="24"/>
      <c r="OUD49" s="24"/>
      <c r="OUE49" s="24"/>
      <c r="OUF49" s="24"/>
      <c r="OUG49" s="24"/>
      <c r="OUH49" s="24"/>
      <c r="OUI49" s="24"/>
      <c r="OUJ49" s="24"/>
      <c r="OUK49" s="24"/>
      <c r="OUL49" s="24"/>
      <c r="OUM49" s="24"/>
      <c r="OUN49" s="24"/>
      <c r="OUO49" s="24"/>
      <c r="OUP49" s="24"/>
      <c r="OUQ49" s="24"/>
      <c r="OUR49" s="24"/>
      <c r="OUS49" s="24"/>
      <c r="OUT49" s="24"/>
      <c r="OUU49" s="24"/>
      <c r="OUV49" s="24"/>
      <c r="OUW49" s="24"/>
      <c r="OUX49" s="24"/>
      <c r="OUY49" s="24"/>
      <c r="OUZ49" s="24"/>
      <c r="OVA49" s="24"/>
      <c r="OVB49" s="24"/>
      <c r="OVC49" s="24"/>
      <c r="OVD49" s="24"/>
      <c r="OVE49" s="24"/>
      <c r="OVF49" s="24"/>
      <c r="OVG49" s="24"/>
      <c r="OVH49" s="24"/>
      <c r="OVI49" s="24"/>
      <c r="OVJ49" s="24"/>
      <c r="OVK49" s="24"/>
      <c r="OVL49" s="24"/>
      <c r="OVM49" s="24"/>
      <c r="OVN49" s="24"/>
      <c r="OVO49" s="24"/>
      <c r="OVP49" s="24"/>
      <c r="OVQ49" s="24"/>
      <c r="OVR49" s="24"/>
      <c r="OVS49" s="24"/>
      <c r="OVT49" s="24"/>
      <c r="OVU49" s="24"/>
      <c r="OVV49" s="24"/>
      <c r="OVW49" s="24"/>
      <c r="OVX49" s="24"/>
      <c r="OVY49" s="24"/>
      <c r="OVZ49" s="24"/>
      <c r="OWA49" s="24"/>
      <c r="OWB49" s="24"/>
      <c r="OWC49" s="24"/>
      <c r="OWD49" s="24"/>
      <c r="OWE49" s="24"/>
      <c r="OWF49" s="24"/>
      <c r="OWG49" s="24"/>
      <c r="OWH49" s="24"/>
      <c r="OWI49" s="24"/>
      <c r="OWJ49" s="24"/>
      <c r="OWK49" s="24"/>
      <c r="OWL49" s="24"/>
      <c r="OWM49" s="24"/>
      <c r="OWN49" s="24"/>
      <c r="OWO49" s="24"/>
      <c r="OWP49" s="24"/>
      <c r="OWQ49" s="24"/>
      <c r="OWR49" s="24"/>
      <c r="OWS49" s="24"/>
      <c r="OWT49" s="24"/>
      <c r="OWU49" s="24"/>
      <c r="OWV49" s="24"/>
      <c r="OWW49" s="24"/>
      <c r="OWX49" s="24"/>
      <c r="OWY49" s="24"/>
      <c r="OWZ49" s="24"/>
      <c r="OXA49" s="24"/>
      <c r="OXB49" s="24"/>
      <c r="OXC49" s="24"/>
      <c r="OXD49" s="24"/>
      <c r="OXE49" s="24"/>
      <c r="OXF49" s="24"/>
      <c r="OXG49" s="24"/>
      <c r="OXH49" s="24"/>
      <c r="OXI49" s="24"/>
      <c r="OXJ49" s="24"/>
      <c r="OXK49" s="24"/>
      <c r="OXL49" s="24"/>
      <c r="OXM49" s="24"/>
      <c r="OXN49" s="24"/>
      <c r="OXO49" s="24"/>
      <c r="OXP49" s="24"/>
      <c r="OXQ49" s="24"/>
      <c r="OXR49" s="24"/>
      <c r="OXS49" s="24"/>
      <c r="OXT49" s="24"/>
      <c r="OXU49" s="24"/>
      <c r="OXV49" s="24"/>
      <c r="OXW49" s="24"/>
      <c r="OXX49" s="24"/>
      <c r="OXY49" s="24"/>
      <c r="OXZ49" s="24"/>
      <c r="OYA49" s="24"/>
      <c r="OYB49" s="24"/>
      <c r="OYC49" s="24"/>
      <c r="OYD49" s="24"/>
      <c r="OYE49" s="24"/>
      <c r="OYF49" s="24"/>
      <c r="OYG49" s="24"/>
      <c r="OYH49" s="24"/>
      <c r="OYI49" s="24"/>
      <c r="OYJ49" s="24"/>
      <c r="OYK49" s="24"/>
      <c r="OYL49" s="24"/>
      <c r="OYM49" s="24"/>
      <c r="OYN49" s="24"/>
      <c r="OYO49" s="24"/>
      <c r="OYP49" s="24"/>
      <c r="OYQ49" s="24"/>
      <c r="OYR49" s="24"/>
      <c r="OYS49" s="24"/>
      <c r="OYT49" s="24"/>
      <c r="OYU49" s="24"/>
      <c r="OYV49" s="24"/>
      <c r="OYW49" s="24"/>
      <c r="OYX49" s="24"/>
      <c r="OYY49" s="24"/>
      <c r="OYZ49" s="24"/>
      <c r="OZA49" s="24"/>
      <c r="OZB49" s="24"/>
      <c r="OZC49" s="24"/>
      <c r="OZD49" s="24"/>
      <c r="OZE49" s="24"/>
      <c r="OZF49" s="24"/>
      <c r="OZG49" s="24"/>
      <c r="OZH49" s="24"/>
      <c r="OZI49" s="24"/>
      <c r="OZJ49" s="24"/>
      <c r="OZK49" s="24"/>
      <c r="OZL49" s="24"/>
      <c r="OZM49" s="24"/>
      <c r="OZN49" s="24"/>
      <c r="OZO49" s="24"/>
      <c r="OZP49" s="24"/>
      <c r="OZQ49" s="24"/>
      <c r="OZR49" s="24"/>
      <c r="OZS49" s="24"/>
      <c r="OZT49" s="24"/>
      <c r="OZU49" s="24"/>
      <c r="OZV49" s="24"/>
      <c r="OZW49" s="24"/>
      <c r="OZX49" s="24"/>
      <c r="OZY49" s="24"/>
      <c r="OZZ49" s="24"/>
      <c r="PAA49" s="24"/>
      <c r="PAB49" s="24"/>
      <c r="PAC49" s="24"/>
      <c r="PAD49" s="24"/>
      <c r="PAE49" s="24"/>
      <c r="PAF49" s="24"/>
      <c r="PAG49" s="24"/>
      <c r="PAH49" s="24"/>
      <c r="PAI49" s="24"/>
      <c r="PAJ49" s="24"/>
      <c r="PAK49" s="24"/>
      <c r="PAL49" s="24"/>
      <c r="PAM49" s="24"/>
      <c r="PAN49" s="24"/>
      <c r="PAO49" s="24"/>
      <c r="PAP49" s="24"/>
      <c r="PAQ49" s="24"/>
      <c r="PAR49" s="24"/>
      <c r="PAS49" s="24"/>
      <c r="PAT49" s="24"/>
      <c r="PAU49" s="24"/>
      <c r="PAV49" s="24"/>
      <c r="PAW49" s="24"/>
      <c r="PAX49" s="24"/>
      <c r="PAY49" s="24"/>
      <c r="PAZ49" s="24"/>
      <c r="PBA49" s="24"/>
      <c r="PBB49" s="24"/>
      <c r="PBC49" s="24"/>
      <c r="PBD49" s="24"/>
      <c r="PBE49" s="24"/>
      <c r="PBF49" s="24"/>
      <c r="PBG49" s="24"/>
      <c r="PBH49" s="24"/>
      <c r="PBI49" s="24"/>
      <c r="PBJ49" s="24"/>
      <c r="PBK49" s="24"/>
      <c r="PBL49" s="24"/>
      <c r="PBM49" s="24"/>
      <c r="PBN49" s="24"/>
      <c r="PBO49" s="24"/>
      <c r="PBP49" s="24"/>
      <c r="PBQ49" s="24"/>
      <c r="PBR49" s="24"/>
      <c r="PBS49" s="24"/>
      <c r="PBT49" s="24"/>
      <c r="PBU49" s="24"/>
      <c r="PBV49" s="24"/>
      <c r="PBW49" s="24"/>
      <c r="PBX49" s="24"/>
      <c r="PBY49" s="24"/>
      <c r="PBZ49" s="24"/>
      <c r="PCA49" s="24"/>
      <c r="PCB49" s="24"/>
      <c r="PCC49" s="24"/>
      <c r="PCD49" s="24"/>
      <c r="PCE49" s="24"/>
      <c r="PCF49" s="24"/>
      <c r="PCG49" s="24"/>
      <c r="PCH49" s="24"/>
      <c r="PCI49" s="24"/>
      <c r="PCJ49" s="24"/>
      <c r="PCK49" s="24"/>
      <c r="PCL49" s="24"/>
      <c r="PCM49" s="24"/>
      <c r="PCN49" s="24"/>
      <c r="PCO49" s="24"/>
      <c r="PCP49" s="24"/>
      <c r="PCQ49" s="24"/>
      <c r="PCR49" s="24"/>
      <c r="PCS49" s="24"/>
      <c r="PCT49" s="24"/>
      <c r="PCU49" s="24"/>
      <c r="PCV49" s="24"/>
      <c r="PCW49" s="24"/>
      <c r="PCX49" s="24"/>
      <c r="PCY49" s="24"/>
      <c r="PCZ49" s="24"/>
      <c r="PDA49" s="24"/>
      <c r="PDB49" s="24"/>
      <c r="PDC49" s="24"/>
      <c r="PDD49" s="24"/>
      <c r="PDE49" s="24"/>
      <c r="PDF49" s="24"/>
      <c r="PDG49" s="24"/>
      <c r="PDH49" s="24"/>
      <c r="PDI49" s="24"/>
      <c r="PDJ49" s="24"/>
      <c r="PDK49" s="24"/>
      <c r="PDL49" s="24"/>
      <c r="PDM49" s="24"/>
      <c r="PDN49" s="24"/>
      <c r="PDO49" s="24"/>
      <c r="PDP49" s="24"/>
      <c r="PDQ49" s="24"/>
      <c r="PDR49" s="24"/>
      <c r="PDS49" s="24"/>
      <c r="PDT49" s="24"/>
      <c r="PDU49" s="24"/>
      <c r="PDV49" s="24"/>
      <c r="PDW49" s="24"/>
      <c r="PDX49" s="24"/>
      <c r="PDY49" s="24"/>
      <c r="PDZ49" s="24"/>
      <c r="PEA49" s="24"/>
      <c r="PEB49" s="24"/>
      <c r="PEC49" s="24"/>
      <c r="PED49" s="24"/>
      <c r="PEE49" s="24"/>
      <c r="PEF49" s="24"/>
      <c r="PEG49" s="24"/>
      <c r="PEH49" s="24"/>
      <c r="PEI49" s="24"/>
      <c r="PEJ49" s="24"/>
      <c r="PEK49" s="24"/>
      <c r="PEL49" s="24"/>
      <c r="PEM49" s="24"/>
      <c r="PEN49" s="24"/>
      <c r="PEO49" s="24"/>
      <c r="PEP49" s="24"/>
      <c r="PEQ49" s="24"/>
      <c r="PER49" s="24"/>
      <c r="PES49" s="24"/>
      <c r="PET49" s="24"/>
      <c r="PEU49" s="24"/>
      <c r="PEV49" s="24"/>
      <c r="PEW49" s="24"/>
      <c r="PEX49" s="24"/>
      <c r="PEY49" s="24"/>
      <c r="PEZ49" s="24"/>
      <c r="PFA49" s="24"/>
      <c r="PFB49" s="24"/>
      <c r="PFC49" s="24"/>
      <c r="PFD49" s="24"/>
      <c r="PFE49" s="24"/>
      <c r="PFF49" s="24"/>
      <c r="PFG49" s="24"/>
      <c r="PFH49" s="24"/>
      <c r="PFI49" s="24"/>
      <c r="PFJ49" s="24"/>
      <c r="PFK49" s="24"/>
      <c r="PFL49" s="24"/>
      <c r="PFM49" s="24"/>
      <c r="PFN49" s="24"/>
      <c r="PFO49" s="24"/>
      <c r="PFP49" s="24"/>
      <c r="PFQ49" s="24"/>
      <c r="PFR49" s="24"/>
      <c r="PFS49" s="24"/>
      <c r="PFT49" s="24"/>
      <c r="PFU49" s="24"/>
      <c r="PFV49" s="24"/>
      <c r="PFW49" s="24"/>
      <c r="PFX49" s="24"/>
      <c r="PFY49" s="24"/>
      <c r="PFZ49" s="24"/>
      <c r="PGA49" s="24"/>
      <c r="PGB49" s="24"/>
      <c r="PGC49" s="24"/>
      <c r="PGD49" s="24"/>
      <c r="PGE49" s="24"/>
      <c r="PGF49" s="24"/>
      <c r="PGG49" s="24"/>
      <c r="PGH49" s="24"/>
      <c r="PGI49" s="24"/>
      <c r="PGJ49" s="24"/>
      <c r="PGK49" s="24"/>
      <c r="PGL49" s="24"/>
      <c r="PGM49" s="24"/>
      <c r="PGN49" s="24"/>
      <c r="PGO49" s="24"/>
      <c r="PGP49" s="24"/>
      <c r="PGQ49" s="24"/>
      <c r="PGR49" s="24"/>
      <c r="PGS49" s="24"/>
      <c r="PGT49" s="24"/>
      <c r="PGU49" s="24"/>
      <c r="PGV49" s="24"/>
      <c r="PGW49" s="24"/>
      <c r="PGX49" s="24"/>
      <c r="PGY49" s="24"/>
      <c r="PGZ49" s="24"/>
      <c r="PHA49" s="24"/>
      <c r="PHB49" s="24"/>
      <c r="PHC49" s="24"/>
      <c r="PHD49" s="24"/>
      <c r="PHE49" s="24"/>
      <c r="PHF49" s="24"/>
      <c r="PHG49" s="24"/>
      <c r="PHH49" s="24"/>
      <c r="PHI49" s="24"/>
      <c r="PHJ49" s="24"/>
      <c r="PHK49" s="24"/>
      <c r="PHL49" s="24"/>
      <c r="PHM49" s="24"/>
      <c r="PHN49" s="24"/>
      <c r="PHO49" s="24"/>
      <c r="PHP49" s="24"/>
      <c r="PHQ49" s="24"/>
      <c r="PHR49" s="24"/>
      <c r="PHS49" s="24"/>
      <c r="PHT49" s="24"/>
      <c r="PHU49" s="24"/>
      <c r="PHV49" s="24"/>
      <c r="PHW49" s="24"/>
      <c r="PHX49" s="24"/>
      <c r="PHY49" s="24"/>
      <c r="PHZ49" s="24"/>
      <c r="PIA49" s="24"/>
      <c r="PIB49" s="24"/>
      <c r="PIC49" s="24"/>
      <c r="PID49" s="24"/>
      <c r="PIE49" s="24"/>
      <c r="PIF49" s="24"/>
      <c r="PIG49" s="24"/>
      <c r="PIH49" s="24"/>
      <c r="PII49" s="24"/>
      <c r="PIJ49" s="24"/>
      <c r="PIK49" s="24"/>
      <c r="PIL49" s="24"/>
      <c r="PIM49" s="24"/>
      <c r="PIN49" s="24"/>
      <c r="PIO49" s="24"/>
      <c r="PIP49" s="24"/>
      <c r="PIQ49" s="24"/>
      <c r="PIR49" s="24"/>
      <c r="PIS49" s="24"/>
      <c r="PIT49" s="24"/>
      <c r="PIU49" s="24"/>
      <c r="PIV49" s="24"/>
      <c r="PIW49" s="24"/>
      <c r="PIX49" s="24"/>
      <c r="PIY49" s="24"/>
      <c r="PIZ49" s="24"/>
      <c r="PJA49" s="24"/>
      <c r="PJB49" s="24"/>
      <c r="PJC49" s="24"/>
      <c r="PJD49" s="24"/>
      <c r="PJE49" s="24"/>
      <c r="PJF49" s="24"/>
      <c r="PJG49" s="24"/>
      <c r="PJH49" s="24"/>
      <c r="PJI49" s="24"/>
      <c r="PJJ49" s="24"/>
      <c r="PJK49" s="24"/>
      <c r="PJL49" s="24"/>
      <c r="PJM49" s="24"/>
      <c r="PJN49" s="24"/>
      <c r="PJO49" s="24"/>
      <c r="PJP49" s="24"/>
      <c r="PJQ49" s="24"/>
      <c r="PJR49" s="24"/>
      <c r="PJS49" s="24"/>
      <c r="PJT49" s="24"/>
      <c r="PJU49" s="24"/>
      <c r="PJV49" s="24"/>
      <c r="PJW49" s="24"/>
      <c r="PJX49" s="24"/>
      <c r="PJY49" s="24"/>
      <c r="PJZ49" s="24"/>
      <c r="PKA49" s="24"/>
      <c r="PKB49" s="24"/>
      <c r="PKC49" s="24"/>
      <c r="PKD49" s="24"/>
      <c r="PKE49" s="24"/>
      <c r="PKF49" s="24"/>
      <c r="PKG49" s="24"/>
      <c r="PKH49" s="24"/>
      <c r="PKI49" s="24"/>
      <c r="PKJ49" s="24"/>
      <c r="PKK49" s="24"/>
      <c r="PKL49" s="24"/>
      <c r="PKM49" s="24"/>
      <c r="PKN49" s="24"/>
      <c r="PKO49" s="24"/>
      <c r="PKP49" s="24"/>
      <c r="PKQ49" s="24"/>
      <c r="PKR49" s="24"/>
      <c r="PKS49" s="24"/>
      <c r="PKT49" s="24"/>
      <c r="PKU49" s="24"/>
      <c r="PKV49" s="24"/>
      <c r="PKW49" s="24"/>
      <c r="PKX49" s="24"/>
      <c r="PKY49" s="24"/>
      <c r="PKZ49" s="24"/>
      <c r="PLA49" s="24"/>
      <c r="PLB49" s="24"/>
      <c r="PLC49" s="24"/>
      <c r="PLD49" s="24"/>
      <c r="PLE49" s="24"/>
      <c r="PLF49" s="24"/>
      <c r="PLG49" s="24"/>
      <c r="PLH49" s="24"/>
      <c r="PLI49" s="24"/>
      <c r="PLJ49" s="24"/>
      <c r="PLK49" s="24"/>
      <c r="PLL49" s="24"/>
      <c r="PLM49" s="24"/>
      <c r="PLN49" s="24"/>
      <c r="PLO49" s="24"/>
      <c r="PLP49" s="24"/>
      <c r="PLQ49" s="24"/>
      <c r="PLR49" s="24"/>
      <c r="PLS49" s="24"/>
      <c r="PLT49" s="24"/>
      <c r="PLU49" s="24"/>
      <c r="PLV49" s="24"/>
      <c r="PLW49" s="24"/>
      <c r="PLX49" s="24"/>
      <c r="PLY49" s="24"/>
      <c r="PLZ49" s="24"/>
      <c r="PMA49" s="24"/>
      <c r="PMB49" s="24"/>
      <c r="PMC49" s="24"/>
      <c r="PMD49" s="24"/>
      <c r="PME49" s="24"/>
      <c r="PMF49" s="24"/>
      <c r="PMG49" s="24"/>
      <c r="PMH49" s="24"/>
      <c r="PMI49" s="24"/>
      <c r="PMJ49" s="24"/>
      <c r="PMK49" s="24"/>
      <c r="PML49" s="24"/>
      <c r="PMM49" s="24"/>
      <c r="PMN49" s="24"/>
      <c r="PMO49" s="24"/>
      <c r="PMP49" s="24"/>
      <c r="PMQ49" s="24"/>
      <c r="PMR49" s="24"/>
      <c r="PMS49" s="24"/>
      <c r="PMT49" s="24"/>
      <c r="PMU49" s="24"/>
      <c r="PMV49" s="24"/>
      <c r="PMW49" s="24"/>
      <c r="PMX49" s="24"/>
      <c r="PMY49" s="24"/>
      <c r="PMZ49" s="24"/>
      <c r="PNA49" s="24"/>
      <c r="PNB49" s="24"/>
      <c r="PNC49" s="24"/>
      <c r="PND49" s="24"/>
      <c r="PNE49" s="24"/>
      <c r="PNF49" s="24"/>
      <c r="PNG49" s="24"/>
      <c r="PNH49" s="24"/>
      <c r="PNI49" s="24"/>
      <c r="PNJ49" s="24"/>
      <c r="PNK49" s="24"/>
      <c r="PNL49" s="24"/>
      <c r="PNM49" s="24"/>
      <c r="PNN49" s="24"/>
      <c r="PNO49" s="24"/>
      <c r="PNP49" s="24"/>
      <c r="PNQ49" s="24"/>
      <c r="PNR49" s="24"/>
      <c r="PNS49" s="24"/>
      <c r="PNT49" s="24"/>
      <c r="PNU49" s="24"/>
      <c r="PNV49" s="24"/>
      <c r="PNW49" s="24"/>
      <c r="PNX49" s="24"/>
      <c r="PNY49" s="24"/>
      <c r="PNZ49" s="24"/>
      <c r="POA49" s="24"/>
      <c r="POB49" s="24"/>
      <c r="POC49" s="24"/>
      <c r="POD49" s="24"/>
      <c r="POE49" s="24"/>
      <c r="POF49" s="24"/>
      <c r="POG49" s="24"/>
      <c r="POH49" s="24"/>
      <c r="POI49" s="24"/>
      <c r="POJ49" s="24"/>
      <c r="POK49" s="24"/>
      <c r="POL49" s="24"/>
      <c r="POM49" s="24"/>
      <c r="PON49" s="24"/>
      <c r="POO49" s="24"/>
      <c r="POP49" s="24"/>
      <c r="POQ49" s="24"/>
      <c r="POR49" s="24"/>
      <c r="POS49" s="24"/>
      <c r="POT49" s="24"/>
      <c r="POU49" s="24"/>
      <c r="POV49" s="24"/>
      <c r="POW49" s="24"/>
      <c r="POX49" s="24"/>
      <c r="POY49" s="24"/>
      <c r="POZ49" s="24"/>
      <c r="PPA49" s="24"/>
      <c r="PPB49" s="24"/>
      <c r="PPC49" s="24"/>
      <c r="PPD49" s="24"/>
      <c r="PPE49" s="24"/>
      <c r="PPF49" s="24"/>
      <c r="PPG49" s="24"/>
      <c r="PPH49" s="24"/>
      <c r="PPI49" s="24"/>
      <c r="PPJ49" s="24"/>
      <c r="PPK49" s="24"/>
      <c r="PPL49" s="24"/>
      <c r="PPM49" s="24"/>
      <c r="PPN49" s="24"/>
      <c r="PPO49" s="24"/>
      <c r="PPP49" s="24"/>
      <c r="PPQ49" s="24"/>
      <c r="PPR49" s="24"/>
      <c r="PPS49" s="24"/>
      <c r="PPT49" s="24"/>
      <c r="PPU49" s="24"/>
      <c r="PPV49" s="24"/>
      <c r="PPW49" s="24"/>
      <c r="PPX49" s="24"/>
      <c r="PPY49" s="24"/>
      <c r="PPZ49" s="24"/>
      <c r="PQA49" s="24"/>
      <c r="PQB49" s="24"/>
      <c r="PQC49" s="24"/>
      <c r="PQD49" s="24"/>
      <c r="PQE49" s="24"/>
      <c r="PQF49" s="24"/>
      <c r="PQG49" s="24"/>
      <c r="PQH49" s="24"/>
      <c r="PQI49" s="24"/>
      <c r="PQJ49" s="24"/>
      <c r="PQK49" s="24"/>
      <c r="PQL49" s="24"/>
      <c r="PQM49" s="24"/>
      <c r="PQN49" s="24"/>
      <c r="PQO49" s="24"/>
      <c r="PQP49" s="24"/>
      <c r="PQQ49" s="24"/>
      <c r="PQR49" s="24"/>
      <c r="PQS49" s="24"/>
      <c r="PQT49" s="24"/>
      <c r="PQU49" s="24"/>
      <c r="PQV49" s="24"/>
      <c r="PQW49" s="24"/>
      <c r="PQX49" s="24"/>
      <c r="PQY49" s="24"/>
      <c r="PQZ49" s="24"/>
      <c r="PRA49" s="24"/>
      <c r="PRB49" s="24"/>
      <c r="PRC49" s="24"/>
      <c r="PRD49" s="24"/>
      <c r="PRE49" s="24"/>
      <c r="PRF49" s="24"/>
      <c r="PRG49" s="24"/>
      <c r="PRH49" s="24"/>
      <c r="PRI49" s="24"/>
      <c r="PRJ49" s="24"/>
      <c r="PRK49" s="24"/>
      <c r="PRL49" s="24"/>
      <c r="PRM49" s="24"/>
      <c r="PRN49" s="24"/>
      <c r="PRO49" s="24"/>
      <c r="PRP49" s="24"/>
      <c r="PRQ49" s="24"/>
      <c r="PRR49" s="24"/>
      <c r="PRS49" s="24"/>
      <c r="PRT49" s="24"/>
      <c r="PRU49" s="24"/>
      <c r="PRV49" s="24"/>
      <c r="PRW49" s="24"/>
      <c r="PRX49" s="24"/>
      <c r="PRY49" s="24"/>
      <c r="PRZ49" s="24"/>
      <c r="PSA49" s="24"/>
      <c r="PSB49" s="24"/>
      <c r="PSC49" s="24"/>
      <c r="PSD49" s="24"/>
      <c r="PSE49" s="24"/>
      <c r="PSF49" s="24"/>
      <c r="PSG49" s="24"/>
      <c r="PSH49" s="24"/>
      <c r="PSI49" s="24"/>
      <c r="PSJ49" s="24"/>
      <c r="PSK49" s="24"/>
      <c r="PSL49" s="24"/>
      <c r="PSM49" s="24"/>
      <c r="PSN49" s="24"/>
      <c r="PSO49" s="24"/>
      <c r="PSP49" s="24"/>
      <c r="PSQ49" s="24"/>
      <c r="PSR49" s="24"/>
      <c r="PSS49" s="24"/>
      <c r="PST49" s="24"/>
      <c r="PSU49" s="24"/>
      <c r="PSV49" s="24"/>
      <c r="PSW49" s="24"/>
      <c r="PSX49" s="24"/>
      <c r="PSY49" s="24"/>
      <c r="PSZ49" s="24"/>
      <c r="PTA49" s="24"/>
      <c r="PTB49" s="24"/>
      <c r="PTC49" s="24"/>
      <c r="PTD49" s="24"/>
      <c r="PTE49" s="24"/>
      <c r="PTF49" s="24"/>
      <c r="PTG49" s="24"/>
      <c r="PTH49" s="24"/>
      <c r="PTI49" s="24"/>
      <c r="PTJ49" s="24"/>
      <c r="PTK49" s="24"/>
      <c r="PTL49" s="24"/>
      <c r="PTM49" s="24"/>
      <c r="PTN49" s="24"/>
      <c r="PTO49" s="24"/>
      <c r="PTP49" s="24"/>
      <c r="PTQ49" s="24"/>
      <c r="PTR49" s="24"/>
      <c r="PTS49" s="24"/>
      <c r="PTT49" s="24"/>
      <c r="PTU49" s="24"/>
      <c r="PTV49" s="24"/>
      <c r="PTW49" s="24"/>
      <c r="PTX49" s="24"/>
      <c r="PTY49" s="24"/>
      <c r="PTZ49" s="24"/>
      <c r="PUA49" s="24"/>
      <c r="PUB49" s="24"/>
      <c r="PUC49" s="24"/>
      <c r="PUD49" s="24"/>
      <c r="PUE49" s="24"/>
      <c r="PUF49" s="24"/>
      <c r="PUG49" s="24"/>
      <c r="PUH49" s="24"/>
      <c r="PUI49" s="24"/>
      <c r="PUJ49" s="24"/>
      <c r="PUK49" s="24"/>
      <c r="PUL49" s="24"/>
      <c r="PUM49" s="24"/>
      <c r="PUN49" s="24"/>
      <c r="PUO49" s="24"/>
      <c r="PUP49" s="24"/>
      <c r="PUQ49" s="24"/>
      <c r="PUR49" s="24"/>
      <c r="PUS49" s="24"/>
      <c r="PUT49" s="24"/>
      <c r="PUU49" s="24"/>
      <c r="PUV49" s="24"/>
      <c r="PUW49" s="24"/>
      <c r="PUX49" s="24"/>
      <c r="PUY49" s="24"/>
      <c r="PUZ49" s="24"/>
      <c r="PVA49" s="24"/>
      <c r="PVB49" s="24"/>
      <c r="PVC49" s="24"/>
      <c r="PVD49" s="24"/>
      <c r="PVE49" s="24"/>
      <c r="PVF49" s="24"/>
      <c r="PVG49" s="24"/>
      <c r="PVH49" s="24"/>
      <c r="PVI49" s="24"/>
      <c r="PVJ49" s="24"/>
      <c r="PVK49" s="24"/>
      <c r="PVL49" s="24"/>
      <c r="PVM49" s="24"/>
      <c r="PVN49" s="24"/>
      <c r="PVO49" s="24"/>
      <c r="PVP49" s="24"/>
      <c r="PVQ49" s="24"/>
      <c r="PVR49" s="24"/>
      <c r="PVS49" s="24"/>
      <c r="PVT49" s="24"/>
      <c r="PVU49" s="24"/>
      <c r="PVV49" s="24"/>
      <c r="PVW49" s="24"/>
      <c r="PVX49" s="24"/>
      <c r="PVY49" s="24"/>
      <c r="PVZ49" s="24"/>
      <c r="PWA49" s="24"/>
      <c r="PWB49" s="24"/>
      <c r="PWC49" s="24"/>
      <c r="PWD49" s="24"/>
      <c r="PWE49" s="24"/>
      <c r="PWF49" s="24"/>
      <c r="PWG49" s="24"/>
      <c r="PWH49" s="24"/>
      <c r="PWI49" s="24"/>
      <c r="PWJ49" s="24"/>
      <c r="PWK49" s="24"/>
      <c r="PWL49" s="24"/>
      <c r="PWM49" s="24"/>
      <c r="PWN49" s="24"/>
      <c r="PWO49" s="24"/>
      <c r="PWP49" s="24"/>
      <c r="PWQ49" s="24"/>
      <c r="PWR49" s="24"/>
      <c r="PWS49" s="24"/>
      <c r="PWT49" s="24"/>
      <c r="PWU49" s="24"/>
      <c r="PWV49" s="24"/>
      <c r="PWW49" s="24"/>
      <c r="PWX49" s="24"/>
      <c r="PWY49" s="24"/>
      <c r="PWZ49" s="24"/>
      <c r="PXA49" s="24"/>
      <c r="PXB49" s="24"/>
      <c r="PXC49" s="24"/>
      <c r="PXD49" s="24"/>
      <c r="PXE49" s="24"/>
      <c r="PXF49" s="24"/>
      <c r="PXG49" s="24"/>
      <c r="PXH49" s="24"/>
      <c r="PXI49" s="24"/>
      <c r="PXJ49" s="24"/>
      <c r="PXK49" s="24"/>
      <c r="PXL49" s="24"/>
      <c r="PXM49" s="24"/>
      <c r="PXN49" s="24"/>
      <c r="PXO49" s="24"/>
      <c r="PXP49" s="24"/>
      <c r="PXQ49" s="24"/>
      <c r="PXR49" s="24"/>
      <c r="PXS49" s="24"/>
      <c r="PXT49" s="24"/>
      <c r="PXU49" s="24"/>
      <c r="PXV49" s="24"/>
      <c r="PXW49" s="24"/>
      <c r="PXX49" s="24"/>
      <c r="PXY49" s="24"/>
      <c r="PXZ49" s="24"/>
      <c r="PYA49" s="24"/>
      <c r="PYB49" s="24"/>
      <c r="PYC49" s="24"/>
      <c r="PYD49" s="24"/>
      <c r="PYE49" s="24"/>
      <c r="PYF49" s="24"/>
      <c r="PYG49" s="24"/>
      <c r="PYH49" s="24"/>
      <c r="PYI49" s="24"/>
      <c r="PYJ49" s="24"/>
      <c r="PYK49" s="24"/>
      <c r="PYL49" s="24"/>
      <c r="PYM49" s="24"/>
      <c r="PYN49" s="24"/>
      <c r="PYO49" s="24"/>
      <c r="PYP49" s="24"/>
      <c r="PYQ49" s="24"/>
      <c r="PYR49" s="24"/>
      <c r="PYS49" s="24"/>
      <c r="PYT49" s="24"/>
      <c r="PYU49" s="24"/>
      <c r="PYV49" s="24"/>
      <c r="PYW49" s="24"/>
      <c r="PYX49" s="24"/>
      <c r="PYY49" s="24"/>
      <c r="PYZ49" s="24"/>
      <c r="PZA49" s="24"/>
      <c r="PZB49" s="24"/>
      <c r="PZC49" s="24"/>
      <c r="PZD49" s="24"/>
      <c r="PZE49" s="24"/>
      <c r="PZF49" s="24"/>
      <c r="PZG49" s="24"/>
      <c r="PZH49" s="24"/>
      <c r="PZI49" s="24"/>
      <c r="PZJ49" s="24"/>
      <c r="PZK49" s="24"/>
      <c r="PZL49" s="24"/>
      <c r="PZM49" s="24"/>
      <c r="PZN49" s="24"/>
      <c r="PZO49" s="24"/>
      <c r="PZP49" s="24"/>
      <c r="PZQ49" s="24"/>
      <c r="PZR49" s="24"/>
      <c r="PZS49" s="24"/>
      <c r="PZT49" s="24"/>
      <c r="PZU49" s="24"/>
      <c r="PZV49" s="24"/>
      <c r="PZW49" s="24"/>
      <c r="PZX49" s="24"/>
      <c r="PZY49" s="24"/>
      <c r="PZZ49" s="24"/>
      <c r="QAA49" s="24"/>
      <c r="QAB49" s="24"/>
      <c r="QAC49" s="24"/>
      <c r="QAD49" s="24"/>
      <c r="QAE49" s="24"/>
      <c r="QAF49" s="24"/>
      <c r="QAG49" s="24"/>
      <c r="QAH49" s="24"/>
      <c r="QAI49" s="24"/>
      <c r="QAJ49" s="24"/>
      <c r="QAK49" s="24"/>
      <c r="QAL49" s="24"/>
      <c r="QAM49" s="24"/>
      <c r="QAN49" s="24"/>
      <c r="QAO49" s="24"/>
      <c r="QAP49" s="24"/>
      <c r="QAQ49" s="24"/>
      <c r="QAR49" s="24"/>
      <c r="QAS49" s="24"/>
      <c r="QAT49" s="24"/>
      <c r="QAU49" s="24"/>
      <c r="QAV49" s="24"/>
      <c r="QAW49" s="24"/>
      <c r="QAX49" s="24"/>
      <c r="QAY49" s="24"/>
      <c r="QAZ49" s="24"/>
      <c r="QBA49" s="24"/>
      <c r="QBB49" s="24"/>
      <c r="QBC49" s="24"/>
      <c r="QBD49" s="24"/>
      <c r="QBE49" s="24"/>
      <c r="QBF49" s="24"/>
      <c r="QBG49" s="24"/>
      <c r="QBH49" s="24"/>
      <c r="QBI49" s="24"/>
      <c r="QBJ49" s="24"/>
      <c r="QBK49" s="24"/>
      <c r="QBL49" s="24"/>
      <c r="QBM49" s="24"/>
      <c r="QBN49" s="24"/>
      <c r="QBO49" s="24"/>
      <c r="QBP49" s="24"/>
      <c r="QBQ49" s="24"/>
      <c r="QBR49" s="24"/>
      <c r="QBS49" s="24"/>
      <c r="QBT49" s="24"/>
      <c r="QBU49" s="24"/>
      <c r="QBV49" s="24"/>
      <c r="QBW49" s="24"/>
      <c r="QBX49" s="24"/>
      <c r="QBY49" s="24"/>
      <c r="QBZ49" s="24"/>
      <c r="QCA49" s="24"/>
      <c r="QCB49" s="24"/>
      <c r="QCC49" s="24"/>
      <c r="QCD49" s="24"/>
      <c r="QCE49" s="24"/>
      <c r="QCF49" s="24"/>
      <c r="QCG49" s="24"/>
      <c r="QCH49" s="24"/>
      <c r="QCI49" s="24"/>
      <c r="QCJ49" s="24"/>
      <c r="QCK49" s="24"/>
      <c r="QCL49" s="24"/>
      <c r="QCM49" s="24"/>
      <c r="QCN49" s="24"/>
      <c r="QCO49" s="24"/>
      <c r="QCP49" s="24"/>
      <c r="QCQ49" s="24"/>
      <c r="QCR49" s="24"/>
      <c r="QCS49" s="24"/>
      <c r="QCT49" s="24"/>
      <c r="QCU49" s="24"/>
      <c r="QCV49" s="24"/>
      <c r="QCW49" s="24"/>
      <c r="QCX49" s="24"/>
      <c r="QCY49" s="24"/>
      <c r="QCZ49" s="24"/>
      <c r="QDA49" s="24"/>
      <c r="QDB49" s="24"/>
      <c r="QDC49" s="24"/>
      <c r="QDD49" s="24"/>
      <c r="QDE49" s="24"/>
      <c r="QDF49" s="24"/>
      <c r="QDG49" s="24"/>
      <c r="QDH49" s="24"/>
      <c r="QDI49" s="24"/>
      <c r="QDJ49" s="24"/>
      <c r="QDK49" s="24"/>
      <c r="QDL49" s="24"/>
      <c r="QDM49" s="24"/>
      <c r="QDN49" s="24"/>
      <c r="QDO49" s="24"/>
      <c r="QDP49" s="24"/>
      <c r="QDQ49" s="24"/>
      <c r="QDR49" s="24"/>
      <c r="QDS49" s="24"/>
      <c r="QDT49" s="24"/>
      <c r="QDU49" s="24"/>
      <c r="QDV49" s="24"/>
      <c r="QDW49" s="24"/>
      <c r="QDX49" s="24"/>
      <c r="QDY49" s="24"/>
      <c r="QDZ49" s="24"/>
      <c r="QEA49" s="24"/>
      <c r="QEB49" s="24"/>
      <c r="QEC49" s="24"/>
      <c r="QED49" s="24"/>
      <c r="QEE49" s="24"/>
      <c r="QEF49" s="24"/>
      <c r="QEG49" s="24"/>
      <c r="QEH49" s="24"/>
      <c r="QEI49" s="24"/>
      <c r="QEJ49" s="24"/>
      <c r="QEK49" s="24"/>
      <c r="QEL49" s="24"/>
      <c r="QEM49" s="24"/>
      <c r="QEN49" s="24"/>
      <c r="QEO49" s="24"/>
      <c r="QEP49" s="24"/>
      <c r="QEQ49" s="24"/>
      <c r="QER49" s="24"/>
      <c r="QES49" s="24"/>
      <c r="QET49" s="24"/>
      <c r="QEU49" s="24"/>
      <c r="QEV49" s="24"/>
      <c r="QEW49" s="24"/>
      <c r="QEX49" s="24"/>
      <c r="QEY49" s="24"/>
      <c r="QEZ49" s="24"/>
      <c r="QFA49" s="24"/>
      <c r="QFB49" s="24"/>
      <c r="QFC49" s="24"/>
      <c r="QFD49" s="24"/>
      <c r="QFE49" s="24"/>
      <c r="QFF49" s="24"/>
      <c r="QFG49" s="24"/>
      <c r="QFH49" s="24"/>
      <c r="QFI49" s="24"/>
      <c r="QFJ49" s="24"/>
      <c r="QFK49" s="24"/>
      <c r="QFL49" s="24"/>
      <c r="QFM49" s="24"/>
      <c r="QFN49" s="24"/>
      <c r="QFO49" s="24"/>
      <c r="QFP49" s="24"/>
      <c r="QFQ49" s="24"/>
      <c r="QFR49" s="24"/>
      <c r="QFS49" s="24"/>
      <c r="QFT49" s="24"/>
      <c r="QFU49" s="24"/>
      <c r="QFV49" s="24"/>
      <c r="QFW49" s="24"/>
      <c r="QFX49" s="24"/>
      <c r="QFY49" s="24"/>
      <c r="QFZ49" s="24"/>
      <c r="QGA49" s="24"/>
      <c r="QGB49" s="24"/>
      <c r="QGC49" s="24"/>
      <c r="QGD49" s="24"/>
      <c r="QGE49" s="24"/>
      <c r="QGF49" s="24"/>
      <c r="QGG49" s="24"/>
      <c r="QGH49" s="24"/>
      <c r="QGI49" s="24"/>
      <c r="QGJ49" s="24"/>
      <c r="QGK49" s="24"/>
      <c r="QGL49" s="24"/>
      <c r="QGM49" s="24"/>
      <c r="QGN49" s="24"/>
      <c r="QGO49" s="24"/>
      <c r="QGP49" s="24"/>
      <c r="QGQ49" s="24"/>
      <c r="QGR49" s="24"/>
      <c r="QGS49" s="24"/>
      <c r="QGT49" s="24"/>
      <c r="QGU49" s="24"/>
      <c r="QGV49" s="24"/>
      <c r="QGW49" s="24"/>
      <c r="QGX49" s="24"/>
      <c r="QGY49" s="24"/>
      <c r="QGZ49" s="24"/>
      <c r="QHA49" s="24"/>
      <c r="QHB49" s="24"/>
      <c r="QHC49" s="24"/>
      <c r="QHD49" s="24"/>
      <c r="QHE49" s="24"/>
      <c r="QHF49" s="24"/>
      <c r="QHG49" s="24"/>
      <c r="QHH49" s="24"/>
      <c r="QHI49" s="24"/>
      <c r="QHJ49" s="24"/>
      <c r="QHK49" s="24"/>
      <c r="QHL49" s="24"/>
      <c r="QHM49" s="24"/>
      <c r="QHN49" s="24"/>
      <c r="QHO49" s="24"/>
      <c r="QHP49" s="24"/>
      <c r="QHQ49" s="24"/>
      <c r="QHR49" s="24"/>
      <c r="QHS49" s="24"/>
      <c r="QHT49" s="24"/>
      <c r="QHU49" s="24"/>
      <c r="QHV49" s="24"/>
      <c r="QHW49" s="24"/>
      <c r="QHX49" s="24"/>
      <c r="QHY49" s="24"/>
      <c r="QHZ49" s="24"/>
      <c r="QIA49" s="24"/>
      <c r="QIB49" s="24"/>
      <c r="QIC49" s="24"/>
      <c r="QID49" s="24"/>
      <c r="QIE49" s="24"/>
      <c r="QIF49" s="24"/>
      <c r="QIG49" s="24"/>
      <c r="QIH49" s="24"/>
      <c r="QII49" s="24"/>
      <c r="QIJ49" s="24"/>
      <c r="QIK49" s="24"/>
      <c r="QIL49" s="24"/>
      <c r="QIM49" s="24"/>
      <c r="QIN49" s="24"/>
      <c r="QIO49" s="24"/>
      <c r="QIP49" s="24"/>
      <c r="QIQ49" s="24"/>
      <c r="QIR49" s="24"/>
      <c r="QIS49" s="24"/>
      <c r="QIT49" s="24"/>
      <c r="QIU49" s="24"/>
      <c r="QIV49" s="24"/>
      <c r="QIW49" s="24"/>
      <c r="QIX49" s="24"/>
      <c r="QIY49" s="24"/>
      <c r="QIZ49" s="24"/>
      <c r="QJA49" s="24"/>
      <c r="QJB49" s="24"/>
      <c r="QJC49" s="24"/>
      <c r="QJD49" s="24"/>
      <c r="QJE49" s="24"/>
      <c r="QJF49" s="24"/>
      <c r="QJG49" s="24"/>
      <c r="QJH49" s="24"/>
      <c r="QJI49" s="24"/>
      <c r="QJJ49" s="24"/>
      <c r="QJK49" s="24"/>
      <c r="QJL49" s="24"/>
      <c r="QJM49" s="24"/>
      <c r="QJN49" s="24"/>
      <c r="QJO49" s="24"/>
      <c r="QJP49" s="24"/>
      <c r="QJQ49" s="24"/>
      <c r="QJR49" s="24"/>
      <c r="QJS49" s="24"/>
      <c r="QJT49" s="24"/>
      <c r="QJU49" s="24"/>
      <c r="QJV49" s="24"/>
      <c r="QJW49" s="24"/>
      <c r="QJX49" s="24"/>
      <c r="QJY49" s="24"/>
      <c r="QJZ49" s="24"/>
      <c r="QKA49" s="24"/>
      <c r="QKB49" s="24"/>
      <c r="QKC49" s="24"/>
      <c r="QKD49" s="24"/>
      <c r="QKE49" s="24"/>
      <c r="QKF49" s="24"/>
      <c r="QKG49" s="24"/>
      <c r="QKH49" s="24"/>
      <c r="QKI49" s="24"/>
      <c r="QKJ49" s="24"/>
      <c r="QKK49" s="24"/>
      <c r="QKL49" s="24"/>
      <c r="QKM49" s="24"/>
      <c r="QKN49" s="24"/>
      <c r="QKO49" s="24"/>
      <c r="QKP49" s="24"/>
      <c r="QKQ49" s="24"/>
      <c r="QKR49" s="24"/>
      <c r="QKS49" s="24"/>
      <c r="QKT49" s="24"/>
      <c r="QKU49" s="24"/>
      <c r="QKV49" s="24"/>
      <c r="QKW49" s="24"/>
      <c r="QKX49" s="24"/>
      <c r="QKY49" s="24"/>
      <c r="QKZ49" s="24"/>
      <c r="QLA49" s="24"/>
      <c r="QLB49" s="24"/>
      <c r="QLC49" s="24"/>
      <c r="QLD49" s="24"/>
      <c r="QLE49" s="24"/>
      <c r="QLF49" s="24"/>
      <c r="QLG49" s="24"/>
      <c r="QLH49" s="24"/>
      <c r="QLI49" s="24"/>
      <c r="QLJ49" s="24"/>
      <c r="QLK49" s="24"/>
      <c r="QLL49" s="24"/>
      <c r="QLM49" s="24"/>
      <c r="QLN49" s="24"/>
      <c r="QLO49" s="24"/>
      <c r="QLP49" s="24"/>
      <c r="QLQ49" s="24"/>
      <c r="QLR49" s="24"/>
      <c r="QLS49" s="24"/>
      <c r="QLT49" s="24"/>
      <c r="QLU49" s="24"/>
      <c r="QLV49" s="24"/>
      <c r="QLW49" s="24"/>
      <c r="QLX49" s="24"/>
      <c r="QLY49" s="24"/>
      <c r="QLZ49" s="24"/>
      <c r="QMA49" s="24"/>
      <c r="QMB49" s="24"/>
      <c r="QMC49" s="24"/>
      <c r="QMD49" s="24"/>
      <c r="QME49" s="24"/>
      <c r="QMF49" s="24"/>
      <c r="QMG49" s="24"/>
      <c r="QMH49" s="24"/>
      <c r="QMI49" s="24"/>
      <c r="QMJ49" s="24"/>
      <c r="QMK49" s="24"/>
      <c r="QML49" s="24"/>
      <c r="QMM49" s="24"/>
      <c r="QMN49" s="24"/>
      <c r="QMO49" s="24"/>
      <c r="QMP49" s="24"/>
      <c r="QMQ49" s="24"/>
      <c r="QMR49" s="24"/>
      <c r="QMS49" s="24"/>
      <c r="QMT49" s="24"/>
      <c r="QMU49" s="24"/>
      <c r="QMV49" s="24"/>
      <c r="QMW49" s="24"/>
      <c r="QMX49" s="24"/>
      <c r="QMY49" s="24"/>
      <c r="QMZ49" s="24"/>
      <c r="QNA49" s="24"/>
      <c r="QNB49" s="24"/>
      <c r="QNC49" s="24"/>
      <c r="QND49" s="24"/>
      <c r="QNE49" s="24"/>
      <c r="QNF49" s="24"/>
      <c r="QNG49" s="24"/>
      <c r="QNH49" s="24"/>
      <c r="QNI49" s="24"/>
      <c r="QNJ49" s="24"/>
      <c r="QNK49" s="24"/>
      <c r="QNL49" s="24"/>
      <c r="QNM49" s="24"/>
      <c r="QNN49" s="24"/>
      <c r="QNO49" s="24"/>
      <c r="QNP49" s="24"/>
      <c r="QNQ49" s="24"/>
      <c r="QNR49" s="24"/>
      <c r="QNS49" s="24"/>
      <c r="QNT49" s="24"/>
      <c r="QNU49" s="24"/>
      <c r="QNV49" s="24"/>
      <c r="QNW49" s="24"/>
      <c r="QNX49" s="24"/>
      <c r="QNY49" s="24"/>
      <c r="QNZ49" s="24"/>
      <c r="QOA49" s="24"/>
      <c r="QOB49" s="24"/>
      <c r="QOC49" s="24"/>
      <c r="QOD49" s="24"/>
      <c r="QOE49" s="24"/>
      <c r="QOF49" s="24"/>
      <c r="QOG49" s="24"/>
      <c r="QOH49" s="24"/>
      <c r="QOI49" s="24"/>
      <c r="QOJ49" s="24"/>
      <c r="QOK49" s="24"/>
      <c r="QOL49" s="24"/>
      <c r="QOM49" s="24"/>
      <c r="QON49" s="24"/>
      <c r="QOO49" s="24"/>
      <c r="QOP49" s="24"/>
      <c r="QOQ49" s="24"/>
      <c r="QOR49" s="24"/>
      <c r="QOS49" s="24"/>
      <c r="QOT49" s="24"/>
      <c r="QOU49" s="24"/>
      <c r="QOV49" s="24"/>
      <c r="QOW49" s="24"/>
      <c r="QOX49" s="24"/>
      <c r="QOY49" s="24"/>
      <c r="QOZ49" s="24"/>
      <c r="QPA49" s="24"/>
      <c r="QPB49" s="24"/>
      <c r="QPC49" s="24"/>
      <c r="QPD49" s="24"/>
      <c r="QPE49" s="24"/>
      <c r="QPF49" s="24"/>
      <c r="QPG49" s="24"/>
      <c r="QPH49" s="24"/>
      <c r="QPI49" s="24"/>
      <c r="QPJ49" s="24"/>
      <c r="QPK49" s="24"/>
      <c r="QPL49" s="24"/>
      <c r="QPM49" s="24"/>
      <c r="QPN49" s="24"/>
      <c r="QPO49" s="24"/>
      <c r="QPP49" s="24"/>
      <c r="QPQ49" s="24"/>
      <c r="QPR49" s="24"/>
      <c r="QPS49" s="24"/>
      <c r="QPT49" s="24"/>
      <c r="QPU49" s="24"/>
      <c r="QPV49" s="24"/>
      <c r="QPW49" s="24"/>
      <c r="QPX49" s="24"/>
      <c r="QPY49" s="24"/>
      <c r="QPZ49" s="24"/>
      <c r="QQA49" s="24"/>
      <c r="QQB49" s="24"/>
      <c r="QQC49" s="24"/>
      <c r="QQD49" s="24"/>
      <c r="QQE49" s="24"/>
      <c r="QQF49" s="24"/>
      <c r="QQG49" s="24"/>
      <c r="QQH49" s="24"/>
      <c r="QQI49" s="24"/>
      <c r="QQJ49" s="24"/>
      <c r="QQK49" s="24"/>
      <c r="QQL49" s="24"/>
      <c r="QQM49" s="24"/>
      <c r="QQN49" s="24"/>
      <c r="QQO49" s="24"/>
      <c r="QQP49" s="24"/>
      <c r="QQQ49" s="24"/>
      <c r="QQR49" s="24"/>
      <c r="QQS49" s="24"/>
      <c r="QQT49" s="24"/>
      <c r="QQU49" s="24"/>
      <c r="QQV49" s="24"/>
      <c r="QQW49" s="24"/>
      <c r="QQX49" s="24"/>
      <c r="QQY49" s="24"/>
      <c r="QQZ49" s="24"/>
      <c r="QRA49" s="24"/>
      <c r="QRB49" s="24"/>
      <c r="QRC49" s="24"/>
      <c r="QRD49" s="24"/>
      <c r="QRE49" s="24"/>
      <c r="QRF49" s="24"/>
      <c r="QRG49" s="24"/>
      <c r="QRH49" s="24"/>
      <c r="QRI49" s="24"/>
      <c r="QRJ49" s="24"/>
      <c r="QRK49" s="24"/>
      <c r="QRL49" s="24"/>
      <c r="QRM49" s="24"/>
      <c r="QRN49" s="24"/>
      <c r="QRO49" s="24"/>
      <c r="QRP49" s="24"/>
      <c r="QRQ49" s="24"/>
      <c r="QRR49" s="24"/>
      <c r="QRS49" s="24"/>
      <c r="QRT49" s="24"/>
      <c r="QRU49" s="24"/>
      <c r="QRV49" s="24"/>
      <c r="QRW49" s="24"/>
      <c r="QRX49" s="24"/>
      <c r="QRY49" s="24"/>
      <c r="QRZ49" s="24"/>
      <c r="QSA49" s="24"/>
      <c r="QSB49" s="24"/>
      <c r="QSC49" s="24"/>
      <c r="QSD49" s="24"/>
      <c r="QSE49" s="24"/>
      <c r="QSF49" s="24"/>
      <c r="QSG49" s="24"/>
      <c r="QSH49" s="24"/>
      <c r="QSI49" s="24"/>
      <c r="QSJ49" s="24"/>
      <c r="QSK49" s="24"/>
      <c r="QSL49" s="24"/>
      <c r="QSM49" s="24"/>
      <c r="QSN49" s="24"/>
      <c r="QSO49" s="24"/>
      <c r="QSP49" s="24"/>
      <c r="QSQ49" s="24"/>
      <c r="QSR49" s="24"/>
      <c r="QSS49" s="24"/>
      <c r="QST49" s="24"/>
      <c r="QSU49" s="24"/>
      <c r="QSV49" s="24"/>
      <c r="QSW49" s="24"/>
      <c r="QSX49" s="24"/>
      <c r="QSY49" s="24"/>
      <c r="QSZ49" s="24"/>
      <c r="QTA49" s="24"/>
      <c r="QTB49" s="24"/>
      <c r="QTC49" s="24"/>
      <c r="QTD49" s="24"/>
      <c r="QTE49" s="24"/>
      <c r="QTF49" s="24"/>
      <c r="QTG49" s="24"/>
      <c r="QTH49" s="24"/>
      <c r="QTI49" s="24"/>
      <c r="QTJ49" s="24"/>
      <c r="QTK49" s="24"/>
      <c r="QTL49" s="24"/>
      <c r="QTM49" s="24"/>
      <c r="QTN49" s="24"/>
      <c r="QTO49" s="24"/>
      <c r="QTP49" s="24"/>
      <c r="QTQ49" s="24"/>
      <c r="QTR49" s="24"/>
      <c r="QTS49" s="24"/>
      <c r="QTT49" s="24"/>
      <c r="QTU49" s="24"/>
      <c r="QTV49" s="24"/>
      <c r="QTW49" s="24"/>
      <c r="QTX49" s="24"/>
      <c r="QTY49" s="24"/>
      <c r="QTZ49" s="24"/>
      <c r="QUA49" s="24"/>
      <c r="QUB49" s="24"/>
      <c r="QUC49" s="24"/>
      <c r="QUD49" s="24"/>
      <c r="QUE49" s="24"/>
      <c r="QUF49" s="24"/>
      <c r="QUG49" s="24"/>
      <c r="QUH49" s="24"/>
      <c r="QUI49" s="24"/>
      <c r="QUJ49" s="24"/>
      <c r="QUK49" s="24"/>
      <c r="QUL49" s="24"/>
      <c r="QUM49" s="24"/>
      <c r="QUN49" s="24"/>
      <c r="QUO49" s="24"/>
      <c r="QUP49" s="24"/>
      <c r="QUQ49" s="24"/>
      <c r="QUR49" s="24"/>
      <c r="QUS49" s="24"/>
      <c r="QUT49" s="24"/>
      <c r="QUU49" s="24"/>
      <c r="QUV49" s="24"/>
      <c r="QUW49" s="24"/>
      <c r="QUX49" s="24"/>
      <c r="QUY49" s="24"/>
      <c r="QUZ49" s="24"/>
      <c r="QVA49" s="24"/>
      <c r="QVB49" s="24"/>
      <c r="QVC49" s="24"/>
      <c r="QVD49" s="24"/>
      <c r="QVE49" s="24"/>
      <c r="QVF49" s="24"/>
      <c r="QVG49" s="24"/>
      <c r="QVH49" s="24"/>
      <c r="QVI49" s="24"/>
      <c r="QVJ49" s="24"/>
      <c r="QVK49" s="24"/>
      <c r="QVL49" s="24"/>
      <c r="QVM49" s="24"/>
      <c r="QVN49" s="24"/>
      <c r="QVO49" s="24"/>
      <c r="QVP49" s="24"/>
      <c r="QVQ49" s="24"/>
      <c r="QVR49" s="24"/>
      <c r="QVS49" s="24"/>
      <c r="QVT49" s="24"/>
      <c r="QVU49" s="24"/>
      <c r="QVV49" s="24"/>
      <c r="QVW49" s="24"/>
      <c r="QVX49" s="24"/>
      <c r="QVY49" s="24"/>
      <c r="QVZ49" s="24"/>
      <c r="QWA49" s="24"/>
      <c r="QWB49" s="24"/>
      <c r="QWC49" s="24"/>
      <c r="QWD49" s="24"/>
      <c r="QWE49" s="24"/>
      <c r="QWF49" s="24"/>
      <c r="QWG49" s="24"/>
      <c r="QWH49" s="24"/>
      <c r="QWI49" s="24"/>
      <c r="QWJ49" s="24"/>
      <c r="QWK49" s="24"/>
      <c r="QWL49" s="24"/>
      <c r="QWM49" s="24"/>
      <c r="QWN49" s="24"/>
      <c r="QWO49" s="24"/>
      <c r="QWP49" s="24"/>
      <c r="QWQ49" s="24"/>
      <c r="QWR49" s="24"/>
      <c r="QWS49" s="24"/>
      <c r="QWT49" s="24"/>
      <c r="QWU49" s="24"/>
      <c r="QWV49" s="24"/>
      <c r="QWW49" s="24"/>
      <c r="QWX49" s="24"/>
      <c r="QWY49" s="24"/>
      <c r="QWZ49" s="24"/>
      <c r="QXA49" s="24"/>
      <c r="QXB49" s="24"/>
      <c r="QXC49" s="24"/>
      <c r="QXD49" s="24"/>
      <c r="QXE49" s="24"/>
      <c r="QXF49" s="24"/>
      <c r="QXG49" s="24"/>
      <c r="QXH49" s="24"/>
      <c r="QXI49" s="24"/>
      <c r="QXJ49" s="24"/>
      <c r="QXK49" s="24"/>
      <c r="QXL49" s="24"/>
      <c r="QXM49" s="24"/>
      <c r="QXN49" s="24"/>
      <c r="QXO49" s="24"/>
      <c r="QXP49" s="24"/>
      <c r="QXQ49" s="24"/>
      <c r="QXR49" s="24"/>
      <c r="QXS49" s="24"/>
      <c r="QXT49" s="24"/>
      <c r="QXU49" s="24"/>
      <c r="QXV49" s="24"/>
      <c r="QXW49" s="24"/>
      <c r="QXX49" s="24"/>
      <c r="QXY49" s="24"/>
      <c r="QXZ49" s="24"/>
      <c r="QYA49" s="24"/>
      <c r="QYB49" s="24"/>
      <c r="QYC49" s="24"/>
      <c r="QYD49" s="24"/>
      <c r="QYE49" s="24"/>
      <c r="QYF49" s="24"/>
      <c r="QYG49" s="24"/>
      <c r="QYH49" s="24"/>
      <c r="QYI49" s="24"/>
      <c r="QYJ49" s="24"/>
      <c r="QYK49" s="24"/>
      <c r="QYL49" s="24"/>
      <c r="QYM49" s="24"/>
      <c r="QYN49" s="24"/>
      <c r="QYO49" s="24"/>
      <c r="QYP49" s="24"/>
      <c r="QYQ49" s="24"/>
      <c r="QYR49" s="24"/>
      <c r="QYS49" s="24"/>
      <c r="QYT49" s="24"/>
      <c r="QYU49" s="24"/>
      <c r="QYV49" s="24"/>
      <c r="QYW49" s="24"/>
      <c r="QYX49" s="24"/>
      <c r="QYY49" s="24"/>
      <c r="QYZ49" s="24"/>
      <c r="QZA49" s="24"/>
      <c r="QZB49" s="24"/>
      <c r="QZC49" s="24"/>
      <c r="QZD49" s="24"/>
      <c r="QZE49" s="24"/>
      <c r="QZF49" s="24"/>
      <c r="QZG49" s="24"/>
      <c r="QZH49" s="24"/>
      <c r="QZI49" s="24"/>
      <c r="QZJ49" s="24"/>
      <c r="QZK49" s="24"/>
      <c r="QZL49" s="24"/>
      <c r="QZM49" s="24"/>
      <c r="QZN49" s="24"/>
      <c r="QZO49" s="24"/>
      <c r="QZP49" s="24"/>
      <c r="QZQ49" s="24"/>
      <c r="QZR49" s="24"/>
      <c r="QZS49" s="24"/>
      <c r="QZT49" s="24"/>
      <c r="QZU49" s="24"/>
      <c r="QZV49" s="24"/>
      <c r="QZW49" s="24"/>
      <c r="QZX49" s="24"/>
      <c r="QZY49" s="24"/>
      <c r="QZZ49" s="24"/>
      <c r="RAA49" s="24"/>
      <c r="RAB49" s="24"/>
      <c r="RAC49" s="24"/>
      <c r="RAD49" s="24"/>
      <c r="RAE49" s="24"/>
      <c r="RAF49" s="24"/>
      <c r="RAG49" s="24"/>
      <c r="RAH49" s="24"/>
      <c r="RAI49" s="24"/>
      <c r="RAJ49" s="24"/>
      <c r="RAK49" s="24"/>
      <c r="RAL49" s="24"/>
      <c r="RAM49" s="24"/>
      <c r="RAN49" s="24"/>
      <c r="RAO49" s="24"/>
      <c r="RAP49" s="24"/>
      <c r="RAQ49" s="24"/>
      <c r="RAR49" s="24"/>
      <c r="RAS49" s="24"/>
      <c r="RAT49" s="24"/>
      <c r="RAU49" s="24"/>
      <c r="RAV49" s="24"/>
      <c r="RAW49" s="24"/>
      <c r="RAX49" s="24"/>
      <c r="RAY49" s="24"/>
      <c r="RAZ49" s="24"/>
      <c r="RBA49" s="24"/>
      <c r="RBB49" s="24"/>
      <c r="RBC49" s="24"/>
      <c r="RBD49" s="24"/>
      <c r="RBE49" s="24"/>
      <c r="RBF49" s="24"/>
      <c r="RBG49" s="24"/>
      <c r="RBH49" s="24"/>
      <c r="RBI49" s="24"/>
      <c r="RBJ49" s="24"/>
      <c r="RBK49" s="24"/>
      <c r="RBL49" s="24"/>
      <c r="RBM49" s="24"/>
      <c r="RBN49" s="24"/>
      <c r="RBO49" s="24"/>
      <c r="RBP49" s="24"/>
      <c r="RBQ49" s="24"/>
      <c r="RBR49" s="24"/>
      <c r="RBS49" s="24"/>
      <c r="RBT49" s="24"/>
      <c r="RBU49" s="24"/>
      <c r="RBV49" s="24"/>
      <c r="RBW49" s="24"/>
      <c r="RBX49" s="24"/>
      <c r="RBY49" s="24"/>
      <c r="RBZ49" s="24"/>
      <c r="RCA49" s="24"/>
      <c r="RCB49" s="24"/>
      <c r="RCC49" s="24"/>
      <c r="RCD49" s="24"/>
      <c r="RCE49" s="24"/>
      <c r="RCF49" s="24"/>
      <c r="RCG49" s="24"/>
      <c r="RCH49" s="24"/>
      <c r="RCI49" s="24"/>
      <c r="RCJ49" s="24"/>
      <c r="RCK49" s="24"/>
      <c r="RCL49" s="24"/>
      <c r="RCM49" s="24"/>
      <c r="RCN49" s="24"/>
      <c r="RCO49" s="24"/>
      <c r="RCP49" s="24"/>
      <c r="RCQ49" s="24"/>
      <c r="RCR49" s="24"/>
      <c r="RCS49" s="24"/>
      <c r="RCT49" s="24"/>
      <c r="RCU49" s="24"/>
      <c r="RCV49" s="24"/>
      <c r="RCW49" s="24"/>
      <c r="RCX49" s="24"/>
      <c r="RCY49" s="24"/>
      <c r="RCZ49" s="24"/>
      <c r="RDA49" s="24"/>
      <c r="RDB49" s="24"/>
      <c r="RDC49" s="24"/>
      <c r="RDD49" s="24"/>
      <c r="RDE49" s="24"/>
      <c r="RDF49" s="24"/>
      <c r="RDG49" s="24"/>
      <c r="RDH49" s="24"/>
      <c r="RDI49" s="24"/>
      <c r="RDJ49" s="24"/>
      <c r="RDK49" s="24"/>
      <c r="RDL49" s="24"/>
      <c r="RDM49" s="24"/>
      <c r="RDN49" s="24"/>
      <c r="RDO49" s="24"/>
      <c r="RDP49" s="24"/>
      <c r="RDQ49" s="24"/>
      <c r="RDR49" s="24"/>
      <c r="RDS49" s="24"/>
      <c r="RDT49" s="24"/>
      <c r="RDU49" s="24"/>
      <c r="RDV49" s="24"/>
      <c r="RDW49" s="24"/>
      <c r="RDX49" s="24"/>
      <c r="RDY49" s="24"/>
      <c r="RDZ49" s="24"/>
      <c r="REA49" s="24"/>
      <c r="REB49" s="24"/>
      <c r="REC49" s="24"/>
      <c r="RED49" s="24"/>
      <c r="REE49" s="24"/>
      <c r="REF49" s="24"/>
      <c r="REG49" s="24"/>
      <c r="REH49" s="24"/>
      <c r="REI49" s="24"/>
      <c r="REJ49" s="24"/>
      <c r="REK49" s="24"/>
      <c r="REL49" s="24"/>
      <c r="REM49" s="24"/>
      <c r="REN49" s="24"/>
      <c r="REO49" s="24"/>
      <c r="REP49" s="24"/>
      <c r="REQ49" s="24"/>
      <c r="RER49" s="24"/>
      <c r="RES49" s="24"/>
      <c r="RET49" s="24"/>
      <c r="REU49" s="24"/>
      <c r="REV49" s="24"/>
      <c r="REW49" s="24"/>
      <c r="REX49" s="24"/>
      <c r="REY49" s="24"/>
      <c r="REZ49" s="24"/>
      <c r="RFA49" s="24"/>
      <c r="RFB49" s="24"/>
      <c r="RFC49" s="24"/>
      <c r="RFD49" s="24"/>
      <c r="RFE49" s="24"/>
      <c r="RFF49" s="24"/>
      <c r="RFG49" s="24"/>
      <c r="RFH49" s="24"/>
      <c r="RFI49" s="24"/>
      <c r="RFJ49" s="24"/>
      <c r="RFK49" s="24"/>
      <c r="RFL49" s="24"/>
      <c r="RFM49" s="24"/>
      <c r="RFN49" s="24"/>
      <c r="RFO49" s="24"/>
      <c r="RFP49" s="24"/>
      <c r="RFQ49" s="24"/>
      <c r="RFR49" s="24"/>
      <c r="RFS49" s="24"/>
      <c r="RFT49" s="24"/>
      <c r="RFU49" s="24"/>
      <c r="RFV49" s="24"/>
      <c r="RFW49" s="24"/>
      <c r="RFX49" s="24"/>
      <c r="RFY49" s="24"/>
      <c r="RFZ49" s="24"/>
      <c r="RGA49" s="24"/>
      <c r="RGB49" s="24"/>
      <c r="RGC49" s="24"/>
      <c r="RGD49" s="24"/>
      <c r="RGE49" s="24"/>
      <c r="RGF49" s="24"/>
      <c r="RGG49" s="24"/>
      <c r="RGH49" s="24"/>
      <c r="RGI49" s="24"/>
      <c r="RGJ49" s="24"/>
      <c r="RGK49" s="24"/>
      <c r="RGL49" s="24"/>
      <c r="RGM49" s="24"/>
      <c r="RGN49" s="24"/>
      <c r="RGO49" s="24"/>
      <c r="RGP49" s="24"/>
      <c r="RGQ49" s="24"/>
      <c r="RGR49" s="24"/>
      <c r="RGS49" s="24"/>
      <c r="RGT49" s="24"/>
      <c r="RGU49" s="24"/>
      <c r="RGV49" s="24"/>
      <c r="RGW49" s="24"/>
      <c r="RGX49" s="24"/>
      <c r="RGY49" s="24"/>
      <c r="RGZ49" s="24"/>
      <c r="RHA49" s="24"/>
      <c r="RHB49" s="24"/>
      <c r="RHC49" s="24"/>
      <c r="RHD49" s="24"/>
      <c r="RHE49" s="24"/>
      <c r="RHF49" s="24"/>
      <c r="RHG49" s="24"/>
      <c r="RHH49" s="24"/>
      <c r="RHI49" s="24"/>
      <c r="RHJ49" s="24"/>
      <c r="RHK49" s="24"/>
      <c r="RHL49" s="24"/>
      <c r="RHM49" s="24"/>
      <c r="RHN49" s="24"/>
      <c r="RHO49" s="24"/>
      <c r="RHP49" s="24"/>
      <c r="RHQ49" s="24"/>
      <c r="RHR49" s="24"/>
      <c r="RHS49" s="24"/>
      <c r="RHT49" s="24"/>
      <c r="RHU49" s="24"/>
      <c r="RHV49" s="24"/>
      <c r="RHW49" s="24"/>
      <c r="RHX49" s="24"/>
      <c r="RHY49" s="24"/>
      <c r="RHZ49" s="24"/>
      <c r="RIA49" s="24"/>
      <c r="RIB49" s="24"/>
      <c r="RIC49" s="24"/>
      <c r="RID49" s="24"/>
      <c r="RIE49" s="24"/>
      <c r="RIF49" s="24"/>
      <c r="RIG49" s="24"/>
      <c r="RIH49" s="24"/>
      <c r="RII49" s="24"/>
      <c r="RIJ49" s="24"/>
      <c r="RIK49" s="24"/>
      <c r="RIL49" s="24"/>
      <c r="RIM49" s="24"/>
      <c r="RIN49" s="24"/>
      <c r="RIO49" s="24"/>
      <c r="RIP49" s="24"/>
      <c r="RIQ49" s="24"/>
      <c r="RIR49" s="24"/>
      <c r="RIS49" s="24"/>
      <c r="RIT49" s="24"/>
      <c r="RIU49" s="24"/>
      <c r="RIV49" s="24"/>
      <c r="RIW49" s="24"/>
      <c r="RIX49" s="24"/>
      <c r="RIY49" s="24"/>
      <c r="RIZ49" s="24"/>
      <c r="RJA49" s="24"/>
      <c r="RJB49" s="24"/>
      <c r="RJC49" s="24"/>
      <c r="RJD49" s="24"/>
      <c r="RJE49" s="24"/>
      <c r="RJF49" s="24"/>
      <c r="RJG49" s="24"/>
      <c r="RJH49" s="24"/>
      <c r="RJI49" s="24"/>
      <c r="RJJ49" s="24"/>
      <c r="RJK49" s="24"/>
      <c r="RJL49" s="24"/>
      <c r="RJM49" s="24"/>
      <c r="RJN49" s="24"/>
      <c r="RJO49" s="24"/>
      <c r="RJP49" s="24"/>
      <c r="RJQ49" s="24"/>
      <c r="RJR49" s="24"/>
      <c r="RJS49" s="24"/>
      <c r="RJT49" s="24"/>
      <c r="RJU49" s="24"/>
      <c r="RJV49" s="24"/>
      <c r="RJW49" s="24"/>
      <c r="RJX49" s="24"/>
      <c r="RJY49" s="24"/>
      <c r="RJZ49" s="24"/>
      <c r="RKA49" s="24"/>
      <c r="RKB49" s="24"/>
      <c r="RKC49" s="24"/>
      <c r="RKD49" s="24"/>
      <c r="RKE49" s="24"/>
      <c r="RKF49" s="24"/>
      <c r="RKG49" s="24"/>
      <c r="RKH49" s="24"/>
      <c r="RKI49" s="24"/>
      <c r="RKJ49" s="24"/>
      <c r="RKK49" s="24"/>
      <c r="RKL49" s="24"/>
      <c r="RKM49" s="24"/>
      <c r="RKN49" s="24"/>
      <c r="RKO49" s="24"/>
      <c r="RKP49" s="24"/>
      <c r="RKQ49" s="24"/>
      <c r="RKR49" s="24"/>
      <c r="RKS49" s="24"/>
      <c r="RKT49" s="24"/>
      <c r="RKU49" s="24"/>
      <c r="RKV49" s="24"/>
      <c r="RKW49" s="24"/>
      <c r="RKX49" s="24"/>
      <c r="RKY49" s="24"/>
      <c r="RKZ49" s="24"/>
      <c r="RLA49" s="24"/>
      <c r="RLB49" s="24"/>
      <c r="RLC49" s="24"/>
      <c r="RLD49" s="24"/>
      <c r="RLE49" s="24"/>
      <c r="RLF49" s="24"/>
      <c r="RLG49" s="24"/>
      <c r="RLH49" s="24"/>
      <c r="RLI49" s="24"/>
      <c r="RLJ49" s="24"/>
      <c r="RLK49" s="24"/>
      <c r="RLL49" s="24"/>
      <c r="RLM49" s="24"/>
      <c r="RLN49" s="24"/>
      <c r="RLO49" s="24"/>
      <c r="RLP49" s="24"/>
      <c r="RLQ49" s="24"/>
      <c r="RLR49" s="24"/>
      <c r="RLS49" s="24"/>
      <c r="RLT49" s="24"/>
      <c r="RLU49" s="24"/>
      <c r="RLV49" s="24"/>
      <c r="RLW49" s="24"/>
      <c r="RLX49" s="24"/>
      <c r="RLY49" s="24"/>
      <c r="RLZ49" s="24"/>
      <c r="RMA49" s="24"/>
      <c r="RMB49" s="24"/>
      <c r="RMC49" s="24"/>
      <c r="RMD49" s="24"/>
      <c r="RME49" s="24"/>
      <c r="RMF49" s="24"/>
      <c r="RMG49" s="24"/>
      <c r="RMH49" s="24"/>
      <c r="RMI49" s="24"/>
      <c r="RMJ49" s="24"/>
      <c r="RMK49" s="24"/>
      <c r="RML49" s="24"/>
      <c r="RMM49" s="24"/>
      <c r="RMN49" s="24"/>
      <c r="RMO49" s="24"/>
      <c r="RMP49" s="24"/>
      <c r="RMQ49" s="24"/>
      <c r="RMR49" s="24"/>
      <c r="RMS49" s="24"/>
      <c r="RMT49" s="24"/>
      <c r="RMU49" s="24"/>
      <c r="RMV49" s="24"/>
      <c r="RMW49" s="24"/>
      <c r="RMX49" s="24"/>
      <c r="RMY49" s="24"/>
      <c r="RMZ49" s="24"/>
      <c r="RNA49" s="24"/>
      <c r="RNB49" s="24"/>
      <c r="RNC49" s="24"/>
      <c r="RND49" s="24"/>
      <c r="RNE49" s="24"/>
      <c r="RNF49" s="24"/>
      <c r="RNG49" s="24"/>
      <c r="RNH49" s="24"/>
      <c r="RNI49" s="24"/>
      <c r="RNJ49" s="24"/>
      <c r="RNK49" s="24"/>
      <c r="RNL49" s="24"/>
      <c r="RNM49" s="24"/>
      <c r="RNN49" s="24"/>
      <c r="RNO49" s="24"/>
      <c r="RNP49" s="24"/>
      <c r="RNQ49" s="24"/>
      <c r="RNR49" s="24"/>
      <c r="RNS49" s="24"/>
      <c r="RNT49" s="24"/>
      <c r="RNU49" s="24"/>
      <c r="RNV49" s="24"/>
      <c r="RNW49" s="24"/>
      <c r="RNX49" s="24"/>
      <c r="RNY49" s="24"/>
      <c r="RNZ49" s="24"/>
      <c r="ROA49" s="24"/>
      <c r="ROB49" s="24"/>
      <c r="ROC49" s="24"/>
      <c r="ROD49" s="24"/>
      <c r="ROE49" s="24"/>
      <c r="ROF49" s="24"/>
      <c r="ROG49" s="24"/>
      <c r="ROH49" s="24"/>
      <c r="ROI49" s="24"/>
      <c r="ROJ49" s="24"/>
      <c r="ROK49" s="24"/>
      <c r="ROL49" s="24"/>
      <c r="ROM49" s="24"/>
      <c r="RON49" s="24"/>
      <c r="ROO49" s="24"/>
      <c r="ROP49" s="24"/>
      <c r="ROQ49" s="24"/>
      <c r="ROR49" s="24"/>
      <c r="ROS49" s="24"/>
      <c r="ROT49" s="24"/>
      <c r="ROU49" s="24"/>
      <c r="ROV49" s="24"/>
      <c r="ROW49" s="24"/>
      <c r="ROX49" s="24"/>
      <c r="ROY49" s="24"/>
      <c r="ROZ49" s="24"/>
      <c r="RPA49" s="24"/>
      <c r="RPB49" s="24"/>
      <c r="RPC49" s="24"/>
      <c r="RPD49" s="24"/>
      <c r="RPE49" s="24"/>
      <c r="RPF49" s="24"/>
      <c r="RPG49" s="24"/>
      <c r="RPH49" s="24"/>
      <c r="RPI49" s="24"/>
      <c r="RPJ49" s="24"/>
      <c r="RPK49" s="24"/>
      <c r="RPL49" s="24"/>
      <c r="RPM49" s="24"/>
      <c r="RPN49" s="24"/>
      <c r="RPO49" s="24"/>
      <c r="RPP49" s="24"/>
      <c r="RPQ49" s="24"/>
      <c r="RPR49" s="24"/>
      <c r="RPS49" s="24"/>
      <c r="RPT49" s="24"/>
      <c r="RPU49" s="24"/>
      <c r="RPV49" s="24"/>
      <c r="RPW49" s="24"/>
      <c r="RPX49" s="24"/>
      <c r="RPY49" s="24"/>
      <c r="RPZ49" s="24"/>
      <c r="RQA49" s="24"/>
      <c r="RQB49" s="24"/>
      <c r="RQC49" s="24"/>
      <c r="RQD49" s="24"/>
      <c r="RQE49" s="24"/>
      <c r="RQF49" s="24"/>
      <c r="RQG49" s="24"/>
      <c r="RQH49" s="24"/>
      <c r="RQI49" s="24"/>
      <c r="RQJ49" s="24"/>
      <c r="RQK49" s="24"/>
      <c r="RQL49" s="24"/>
      <c r="RQM49" s="24"/>
      <c r="RQN49" s="24"/>
      <c r="RQO49" s="24"/>
      <c r="RQP49" s="24"/>
      <c r="RQQ49" s="24"/>
      <c r="RQR49" s="24"/>
      <c r="RQS49" s="24"/>
      <c r="RQT49" s="24"/>
      <c r="RQU49" s="24"/>
      <c r="RQV49" s="24"/>
      <c r="RQW49" s="24"/>
      <c r="RQX49" s="24"/>
      <c r="RQY49" s="24"/>
      <c r="RQZ49" s="24"/>
      <c r="RRA49" s="24"/>
      <c r="RRB49" s="24"/>
      <c r="RRC49" s="24"/>
      <c r="RRD49" s="24"/>
      <c r="RRE49" s="24"/>
      <c r="RRF49" s="24"/>
      <c r="RRG49" s="24"/>
      <c r="RRH49" s="24"/>
      <c r="RRI49" s="24"/>
      <c r="RRJ49" s="24"/>
      <c r="RRK49" s="24"/>
      <c r="RRL49" s="24"/>
      <c r="RRM49" s="24"/>
      <c r="RRN49" s="24"/>
      <c r="RRO49" s="24"/>
      <c r="RRP49" s="24"/>
      <c r="RRQ49" s="24"/>
      <c r="RRR49" s="24"/>
      <c r="RRS49" s="24"/>
      <c r="RRT49" s="24"/>
      <c r="RRU49" s="24"/>
      <c r="RRV49" s="24"/>
      <c r="RRW49" s="24"/>
      <c r="RRX49" s="24"/>
      <c r="RRY49" s="24"/>
      <c r="RRZ49" s="24"/>
      <c r="RSA49" s="24"/>
      <c r="RSB49" s="24"/>
      <c r="RSC49" s="24"/>
      <c r="RSD49" s="24"/>
      <c r="RSE49" s="24"/>
      <c r="RSF49" s="24"/>
      <c r="RSG49" s="24"/>
      <c r="RSH49" s="24"/>
      <c r="RSI49" s="24"/>
      <c r="RSJ49" s="24"/>
      <c r="RSK49" s="24"/>
      <c r="RSL49" s="24"/>
      <c r="RSM49" s="24"/>
      <c r="RSN49" s="24"/>
      <c r="RSO49" s="24"/>
      <c r="RSP49" s="24"/>
      <c r="RSQ49" s="24"/>
      <c r="RSR49" s="24"/>
      <c r="RSS49" s="24"/>
      <c r="RST49" s="24"/>
      <c r="RSU49" s="24"/>
      <c r="RSV49" s="24"/>
      <c r="RSW49" s="24"/>
      <c r="RSX49" s="24"/>
      <c r="RSY49" s="24"/>
      <c r="RSZ49" s="24"/>
      <c r="RTA49" s="24"/>
      <c r="RTB49" s="24"/>
      <c r="RTC49" s="24"/>
      <c r="RTD49" s="24"/>
      <c r="RTE49" s="24"/>
      <c r="RTF49" s="24"/>
      <c r="RTG49" s="24"/>
      <c r="RTH49" s="24"/>
      <c r="RTI49" s="24"/>
      <c r="RTJ49" s="24"/>
      <c r="RTK49" s="24"/>
      <c r="RTL49" s="24"/>
      <c r="RTM49" s="24"/>
      <c r="RTN49" s="24"/>
      <c r="RTO49" s="24"/>
      <c r="RTP49" s="24"/>
      <c r="RTQ49" s="24"/>
      <c r="RTR49" s="24"/>
      <c r="RTS49" s="24"/>
      <c r="RTT49" s="24"/>
      <c r="RTU49" s="24"/>
      <c r="RTV49" s="24"/>
      <c r="RTW49" s="24"/>
      <c r="RTX49" s="24"/>
      <c r="RTY49" s="24"/>
      <c r="RTZ49" s="24"/>
      <c r="RUA49" s="24"/>
      <c r="RUB49" s="24"/>
      <c r="RUC49" s="24"/>
      <c r="RUD49" s="24"/>
      <c r="RUE49" s="24"/>
      <c r="RUF49" s="24"/>
      <c r="RUG49" s="24"/>
      <c r="RUH49" s="24"/>
      <c r="RUI49" s="24"/>
      <c r="RUJ49" s="24"/>
      <c r="RUK49" s="24"/>
      <c r="RUL49" s="24"/>
      <c r="RUM49" s="24"/>
      <c r="RUN49" s="24"/>
      <c r="RUO49" s="24"/>
      <c r="RUP49" s="24"/>
      <c r="RUQ49" s="24"/>
      <c r="RUR49" s="24"/>
      <c r="RUS49" s="24"/>
      <c r="RUT49" s="24"/>
      <c r="RUU49" s="24"/>
      <c r="RUV49" s="24"/>
      <c r="RUW49" s="24"/>
      <c r="RUX49" s="24"/>
      <c r="RUY49" s="24"/>
      <c r="RUZ49" s="24"/>
      <c r="RVA49" s="24"/>
      <c r="RVB49" s="24"/>
      <c r="RVC49" s="24"/>
      <c r="RVD49" s="24"/>
      <c r="RVE49" s="24"/>
      <c r="RVF49" s="24"/>
      <c r="RVG49" s="24"/>
      <c r="RVH49" s="24"/>
      <c r="RVI49" s="24"/>
      <c r="RVJ49" s="24"/>
      <c r="RVK49" s="24"/>
      <c r="RVL49" s="24"/>
      <c r="RVM49" s="24"/>
      <c r="RVN49" s="24"/>
      <c r="RVO49" s="24"/>
      <c r="RVP49" s="24"/>
      <c r="RVQ49" s="24"/>
      <c r="RVR49" s="24"/>
      <c r="RVS49" s="24"/>
      <c r="RVT49" s="24"/>
      <c r="RVU49" s="24"/>
      <c r="RVV49" s="24"/>
      <c r="RVW49" s="24"/>
      <c r="RVX49" s="24"/>
      <c r="RVY49" s="24"/>
      <c r="RVZ49" s="24"/>
      <c r="RWA49" s="24"/>
      <c r="RWB49" s="24"/>
      <c r="RWC49" s="24"/>
      <c r="RWD49" s="24"/>
      <c r="RWE49" s="24"/>
      <c r="RWF49" s="24"/>
      <c r="RWG49" s="24"/>
      <c r="RWH49" s="24"/>
      <c r="RWI49" s="24"/>
      <c r="RWJ49" s="24"/>
      <c r="RWK49" s="24"/>
      <c r="RWL49" s="24"/>
      <c r="RWM49" s="24"/>
      <c r="RWN49" s="24"/>
      <c r="RWO49" s="24"/>
      <c r="RWP49" s="24"/>
      <c r="RWQ49" s="24"/>
      <c r="RWR49" s="24"/>
      <c r="RWS49" s="24"/>
      <c r="RWT49" s="24"/>
      <c r="RWU49" s="24"/>
      <c r="RWV49" s="24"/>
      <c r="RWW49" s="24"/>
      <c r="RWX49" s="24"/>
      <c r="RWY49" s="24"/>
      <c r="RWZ49" s="24"/>
      <c r="RXA49" s="24"/>
      <c r="RXB49" s="24"/>
      <c r="RXC49" s="24"/>
      <c r="RXD49" s="24"/>
      <c r="RXE49" s="24"/>
      <c r="RXF49" s="24"/>
      <c r="RXG49" s="24"/>
      <c r="RXH49" s="24"/>
      <c r="RXI49" s="24"/>
      <c r="RXJ49" s="24"/>
      <c r="RXK49" s="24"/>
      <c r="RXL49" s="24"/>
      <c r="RXM49" s="24"/>
      <c r="RXN49" s="24"/>
      <c r="RXO49" s="24"/>
      <c r="RXP49" s="24"/>
      <c r="RXQ49" s="24"/>
      <c r="RXR49" s="24"/>
      <c r="RXS49" s="24"/>
      <c r="RXT49" s="24"/>
      <c r="RXU49" s="24"/>
      <c r="RXV49" s="24"/>
      <c r="RXW49" s="24"/>
      <c r="RXX49" s="24"/>
      <c r="RXY49" s="24"/>
      <c r="RXZ49" s="24"/>
      <c r="RYA49" s="24"/>
      <c r="RYB49" s="24"/>
      <c r="RYC49" s="24"/>
      <c r="RYD49" s="24"/>
      <c r="RYE49" s="24"/>
      <c r="RYF49" s="24"/>
      <c r="RYG49" s="24"/>
      <c r="RYH49" s="24"/>
      <c r="RYI49" s="24"/>
      <c r="RYJ49" s="24"/>
      <c r="RYK49" s="24"/>
      <c r="RYL49" s="24"/>
      <c r="RYM49" s="24"/>
      <c r="RYN49" s="24"/>
      <c r="RYO49" s="24"/>
      <c r="RYP49" s="24"/>
      <c r="RYQ49" s="24"/>
      <c r="RYR49" s="24"/>
      <c r="RYS49" s="24"/>
      <c r="RYT49" s="24"/>
      <c r="RYU49" s="24"/>
      <c r="RYV49" s="24"/>
      <c r="RYW49" s="24"/>
      <c r="RYX49" s="24"/>
      <c r="RYY49" s="24"/>
      <c r="RYZ49" s="24"/>
      <c r="RZA49" s="24"/>
      <c r="RZB49" s="24"/>
      <c r="RZC49" s="24"/>
      <c r="RZD49" s="24"/>
      <c r="RZE49" s="24"/>
      <c r="RZF49" s="24"/>
      <c r="RZG49" s="24"/>
      <c r="RZH49" s="24"/>
      <c r="RZI49" s="24"/>
      <c r="RZJ49" s="24"/>
      <c r="RZK49" s="24"/>
      <c r="RZL49" s="24"/>
      <c r="RZM49" s="24"/>
      <c r="RZN49" s="24"/>
      <c r="RZO49" s="24"/>
      <c r="RZP49" s="24"/>
      <c r="RZQ49" s="24"/>
      <c r="RZR49" s="24"/>
      <c r="RZS49" s="24"/>
      <c r="RZT49" s="24"/>
      <c r="RZU49" s="24"/>
      <c r="RZV49" s="24"/>
      <c r="RZW49" s="24"/>
      <c r="RZX49" s="24"/>
      <c r="RZY49" s="24"/>
      <c r="RZZ49" s="24"/>
      <c r="SAA49" s="24"/>
      <c r="SAB49" s="24"/>
      <c r="SAC49" s="24"/>
      <c r="SAD49" s="24"/>
      <c r="SAE49" s="24"/>
      <c r="SAF49" s="24"/>
      <c r="SAG49" s="24"/>
      <c r="SAH49" s="24"/>
      <c r="SAI49" s="24"/>
      <c r="SAJ49" s="24"/>
      <c r="SAK49" s="24"/>
      <c r="SAL49" s="24"/>
      <c r="SAM49" s="24"/>
      <c r="SAN49" s="24"/>
      <c r="SAO49" s="24"/>
      <c r="SAP49" s="24"/>
      <c r="SAQ49" s="24"/>
      <c r="SAR49" s="24"/>
      <c r="SAS49" s="24"/>
      <c r="SAT49" s="24"/>
      <c r="SAU49" s="24"/>
      <c r="SAV49" s="24"/>
      <c r="SAW49" s="24"/>
      <c r="SAX49" s="24"/>
      <c r="SAY49" s="24"/>
      <c r="SAZ49" s="24"/>
      <c r="SBA49" s="24"/>
      <c r="SBB49" s="24"/>
      <c r="SBC49" s="24"/>
      <c r="SBD49" s="24"/>
      <c r="SBE49" s="24"/>
      <c r="SBF49" s="24"/>
      <c r="SBG49" s="24"/>
      <c r="SBH49" s="24"/>
      <c r="SBI49" s="24"/>
      <c r="SBJ49" s="24"/>
      <c r="SBK49" s="24"/>
      <c r="SBL49" s="24"/>
      <c r="SBM49" s="24"/>
      <c r="SBN49" s="24"/>
      <c r="SBO49" s="24"/>
      <c r="SBP49" s="24"/>
      <c r="SBQ49" s="24"/>
      <c r="SBR49" s="24"/>
      <c r="SBS49" s="24"/>
      <c r="SBT49" s="24"/>
      <c r="SBU49" s="24"/>
      <c r="SBV49" s="24"/>
      <c r="SBW49" s="24"/>
      <c r="SBX49" s="24"/>
      <c r="SBY49" s="24"/>
      <c r="SBZ49" s="24"/>
      <c r="SCA49" s="24"/>
      <c r="SCB49" s="24"/>
      <c r="SCC49" s="24"/>
      <c r="SCD49" s="24"/>
      <c r="SCE49" s="24"/>
      <c r="SCF49" s="24"/>
      <c r="SCG49" s="24"/>
      <c r="SCH49" s="24"/>
      <c r="SCI49" s="24"/>
      <c r="SCJ49" s="24"/>
      <c r="SCK49" s="24"/>
      <c r="SCL49" s="24"/>
      <c r="SCM49" s="24"/>
      <c r="SCN49" s="24"/>
      <c r="SCO49" s="24"/>
      <c r="SCP49" s="24"/>
      <c r="SCQ49" s="24"/>
      <c r="SCR49" s="24"/>
      <c r="SCS49" s="24"/>
      <c r="SCT49" s="24"/>
      <c r="SCU49" s="24"/>
      <c r="SCV49" s="24"/>
      <c r="SCW49" s="24"/>
      <c r="SCX49" s="24"/>
      <c r="SCY49" s="24"/>
      <c r="SCZ49" s="24"/>
      <c r="SDA49" s="24"/>
      <c r="SDB49" s="24"/>
      <c r="SDC49" s="24"/>
      <c r="SDD49" s="24"/>
      <c r="SDE49" s="24"/>
      <c r="SDF49" s="24"/>
      <c r="SDG49" s="24"/>
      <c r="SDH49" s="24"/>
      <c r="SDI49" s="24"/>
      <c r="SDJ49" s="24"/>
      <c r="SDK49" s="24"/>
      <c r="SDL49" s="24"/>
      <c r="SDM49" s="24"/>
      <c r="SDN49" s="24"/>
      <c r="SDO49" s="24"/>
      <c r="SDP49" s="24"/>
      <c r="SDQ49" s="24"/>
      <c r="SDR49" s="24"/>
      <c r="SDS49" s="24"/>
      <c r="SDT49" s="24"/>
      <c r="SDU49" s="24"/>
      <c r="SDV49" s="24"/>
      <c r="SDW49" s="24"/>
      <c r="SDX49" s="24"/>
      <c r="SDY49" s="24"/>
      <c r="SDZ49" s="24"/>
      <c r="SEA49" s="24"/>
      <c r="SEB49" s="24"/>
      <c r="SEC49" s="24"/>
      <c r="SED49" s="24"/>
      <c r="SEE49" s="24"/>
      <c r="SEF49" s="24"/>
      <c r="SEG49" s="24"/>
      <c r="SEH49" s="24"/>
      <c r="SEI49" s="24"/>
      <c r="SEJ49" s="24"/>
      <c r="SEK49" s="24"/>
      <c r="SEL49" s="24"/>
      <c r="SEM49" s="24"/>
      <c r="SEN49" s="24"/>
      <c r="SEO49" s="24"/>
      <c r="SEP49" s="24"/>
      <c r="SEQ49" s="24"/>
      <c r="SER49" s="24"/>
      <c r="SES49" s="24"/>
      <c r="SET49" s="24"/>
      <c r="SEU49" s="24"/>
      <c r="SEV49" s="24"/>
      <c r="SEW49" s="24"/>
      <c r="SEX49" s="24"/>
      <c r="SEY49" s="24"/>
      <c r="SEZ49" s="24"/>
      <c r="SFA49" s="24"/>
      <c r="SFB49" s="24"/>
      <c r="SFC49" s="24"/>
      <c r="SFD49" s="24"/>
      <c r="SFE49" s="24"/>
      <c r="SFF49" s="24"/>
      <c r="SFG49" s="24"/>
      <c r="SFH49" s="24"/>
      <c r="SFI49" s="24"/>
      <c r="SFJ49" s="24"/>
      <c r="SFK49" s="24"/>
      <c r="SFL49" s="24"/>
      <c r="SFM49" s="24"/>
      <c r="SFN49" s="24"/>
      <c r="SFO49" s="24"/>
      <c r="SFP49" s="24"/>
      <c r="SFQ49" s="24"/>
      <c r="SFR49" s="24"/>
      <c r="SFS49" s="24"/>
      <c r="SFT49" s="24"/>
      <c r="SFU49" s="24"/>
      <c r="SFV49" s="24"/>
      <c r="SFW49" s="24"/>
      <c r="SFX49" s="24"/>
      <c r="SFY49" s="24"/>
      <c r="SFZ49" s="24"/>
      <c r="SGA49" s="24"/>
      <c r="SGB49" s="24"/>
      <c r="SGC49" s="24"/>
      <c r="SGD49" s="24"/>
      <c r="SGE49" s="24"/>
      <c r="SGF49" s="24"/>
      <c r="SGG49" s="24"/>
      <c r="SGH49" s="24"/>
      <c r="SGI49" s="24"/>
      <c r="SGJ49" s="24"/>
      <c r="SGK49" s="24"/>
      <c r="SGL49" s="24"/>
      <c r="SGM49" s="24"/>
      <c r="SGN49" s="24"/>
      <c r="SGO49" s="24"/>
      <c r="SGP49" s="24"/>
      <c r="SGQ49" s="24"/>
      <c r="SGR49" s="24"/>
      <c r="SGS49" s="24"/>
      <c r="SGT49" s="24"/>
      <c r="SGU49" s="24"/>
      <c r="SGV49" s="24"/>
      <c r="SGW49" s="24"/>
      <c r="SGX49" s="24"/>
      <c r="SGY49" s="24"/>
      <c r="SGZ49" s="24"/>
      <c r="SHA49" s="24"/>
      <c r="SHB49" s="24"/>
      <c r="SHC49" s="24"/>
      <c r="SHD49" s="24"/>
      <c r="SHE49" s="24"/>
      <c r="SHF49" s="24"/>
      <c r="SHG49" s="24"/>
      <c r="SHH49" s="24"/>
      <c r="SHI49" s="24"/>
      <c r="SHJ49" s="24"/>
      <c r="SHK49" s="24"/>
      <c r="SHL49" s="24"/>
      <c r="SHM49" s="24"/>
      <c r="SHN49" s="24"/>
      <c r="SHO49" s="24"/>
      <c r="SHP49" s="24"/>
      <c r="SHQ49" s="24"/>
      <c r="SHR49" s="24"/>
      <c r="SHS49" s="24"/>
      <c r="SHT49" s="24"/>
      <c r="SHU49" s="24"/>
      <c r="SHV49" s="24"/>
      <c r="SHW49" s="24"/>
      <c r="SHX49" s="24"/>
      <c r="SHY49" s="24"/>
      <c r="SHZ49" s="24"/>
      <c r="SIA49" s="24"/>
      <c r="SIB49" s="24"/>
      <c r="SIC49" s="24"/>
      <c r="SID49" s="24"/>
      <c r="SIE49" s="24"/>
      <c r="SIF49" s="24"/>
      <c r="SIG49" s="24"/>
      <c r="SIH49" s="24"/>
      <c r="SII49" s="24"/>
      <c r="SIJ49" s="24"/>
      <c r="SIK49" s="24"/>
      <c r="SIL49" s="24"/>
      <c r="SIM49" s="24"/>
      <c r="SIN49" s="24"/>
      <c r="SIO49" s="24"/>
      <c r="SIP49" s="24"/>
      <c r="SIQ49" s="24"/>
      <c r="SIR49" s="24"/>
      <c r="SIS49" s="24"/>
      <c r="SIT49" s="24"/>
      <c r="SIU49" s="24"/>
      <c r="SIV49" s="24"/>
      <c r="SIW49" s="24"/>
      <c r="SIX49" s="24"/>
      <c r="SIY49" s="24"/>
      <c r="SIZ49" s="24"/>
      <c r="SJA49" s="24"/>
      <c r="SJB49" s="24"/>
      <c r="SJC49" s="24"/>
      <c r="SJD49" s="24"/>
      <c r="SJE49" s="24"/>
      <c r="SJF49" s="24"/>
      <c r="SJG49" s="24"/>
      <c r="SJH49" s="24"/>
      <c r="SJI49" s="24"/>
      <c r="SJJ49" s="24"/>
      <c r="SJK49" s="24"/>
      <c r="SJL49" s="24"/>
      <c r="SJM49" s="24"/>
      <c r="SJN49" s="24"/>
      <c r="SJO49" s="24"/>
      <c r="SJP49" s="24"/>
      <c r="SJQ49" s="24"/>
      <c r="SJR49" s="24"/>
      <c r="SJS49" s="24"/>
      <c r="SJT49" s="24"/>
      <c r="SJU49" s="24"/>
      <c r="SJV49" s="24"/>
      <c r="SJW49" s="24"/>
      <c r="SJX49" s="24"/>
      <c r="SJY49" s="24"/>
      <c r="SJZ49" s="24"/>
      <c r="SKA49" s="24"/>
      <c r="SKB49" s="24"/>
      <c r="SKC49" s="24"/>
      <c r="SKD49" s="24"/>
      <c r="SKE49" s="24"/>
      <c r="SKF49" s="24"/>
      <c r="SKG49" s="24"/>
      <c r="SKH49" s="24"/>
      <c r="SKI49" s="24"/>
      <c r="SKJ49" s="24"/>
      <c r="SKK49" s="24"/>
      <c r="SKL49" s="24"/>
      <c r="SKM49" s="24"/>
      <c r="SKN49" s="24"/>
      <c r="SKO49" s="24"/>
      <c r="SKP49" s="24"/>
      <c r="SKQ49" s="24"/>
      <c r="SKR49" s="24"/>
      <c r="SKS49" s="24"/>
      <c r="SKT49" s="24"/>
      <c r="SKU49" s="24"/>
      <c r="SKV49" s="24"/>
      <c r="SKW49" s="24"/>
      <c r="SKX49" s="24"/>
      <c r="SKY49" s="24"/>
      <c r="SKZ49" s="24"/>
      <c r="SLA49" s="24"/>
      <c r="SLB49" s="24"/>
      <c r="SLC49" s="24"/>
      <c r="SLD49" s="24"/>
      <c r="SLE49" s="24"/>
      <c r="SLF49" s="24"/>
      <c r="SLG49" s="24"/>
      <c r="SLH49" s="24"/>
      <c r="SLI49" s="24"/>
      <c r="SLJ49" s="24"/>
      <c r="SLK49" s="24"/>
      <c r="SLL49" s="24"/>
      <c r="SLM49" s="24"/>
      <c r="SLN49" s="24"/>
      <c r="SLO49" s="24"/>
      <c r="SLP49" s="24"/>
      <c r="SLQ49" s="24"/>
      <c r="SLR49" s="24"/>
      <c r="SLS49" s="24"/>
      <c r="SLT49" s="24"/>
      <c r="SLU49" s="24"/>
      <c r="SLV49" s="24"/>
      <c r="SLW49" s="24"/>
      <c r="SLX49" s="24"/>
      <c r="SLY49" s="24"/>
      <c r="SLZ49" s="24"/>
      <c r="SMA49" s="24"/>
      <c r="SMB49" s="24"/>
      <c r="SMC49" s="24"/>
      <c r="SMD49" s="24"/>
      <c r="SME49" s="24"/>
      <c r="SMF49" s="24"/>
      <c r="SMG49" s="24"/>
      <c r="SMH49" s="24"/>
      <c r="SMI49" s="24"/>
      <c r="SMJ49" s="24"/>
      <c r="SMK49" s="24"/>
      <c r="SML49" s="24"/>
      <c r="SMM49" s="24"/>
      <c r="SMN49" s="24"/>
      <c r="SMO49" s="24"/>
      <c r="SMP49" s="24"/>
      <c r="SMQ49" s="24"/>
      <c r="SMR49" s="24"/>
      <c r="SMS49" s="24"/>
      <c r="SMT49" s="24"/>
      <c r="SMU49" s="24"/>
      <c r="SMV49" s="24"/>
      <c r="SMW49" s="24"/>
      <c r="SMX49" s="24"/>
      <c r="SMY49" s="24"/>
      <c r="SMZ49" s="24"/>
      <c r="SNA49" s="24"/>
      <c r="SNB49" s="24"/>
      <c r="SNC49" s="24"/>
      <c r="SND49" s="24"/>
      <c r="SNE49" s="24"/>
      <c r="SNF49" s="24"/>
      <c r="SNG49" s="24"/>
      <c r="SNH49" s="24"/>
      <c r="SNI49" s="24"/>
      <c r="SNJ49" s="24"/>
      <c r="SNK49" s="24"/>
      <c r="SNL49" s="24"/>
      <c r="SNM49" s="24"/>
      <c r="SNN49" s="24"/>
      <c r="SNO49" s="24"/>
      <c r="SNP49" s="24"/>
      <c r="SNQ49" s="24"/>
      <c r="SNR49" s="24"/>
      <c r="SNS49" s="24"/>
      <c r="SNT49" s="24"/>
      <c r="SNU49" s="24"/>
      <c r="SNV49" s="24"/>
      <c r="SNW49" s="24"/>
      <c r="SNX49" s="24"/>
      <c r="SNY49" s="24"/>
      <c r="SNZ49" s="24"/>
      <c r="SOA49" s="24"/>
      <c r="SOB49" s="24"/>
      <c r="SOC49" s="24"/>
      <c r="SOD49" s="24"/>
      <c r="SOE49" s="24"/>
      <c r="SOF49" s="24"/>
      <c r="SOG49" s="24"/>
      <c r="SOH49" s="24"/>
      <c r="SOI49" s="24"/>
      <c r="SOJ49" s="24"/>
      <c r="SOK49" s="24"/>
      <c r="SOL49" s="24"/>
      <c r="SOM49" s="24"/>
      <c r="SON49" s="24"/>
      <c r="SOO49" s="24"/>
      <c r="SOP49" s="24"/>
      <c r="SOQ49" s="24"/>
      <c r="SOR49" s="24"/>
      <c r="SOS49" s="24"/>
      <c r="SOT49" s="24"/>
      <c r="SOU49" s="24"/>
      <c r="SOV49" s="24"/>
      <c r="SOW49" s="24"/>
      <c r="SOX49" s="24"/>
      <c r="SOY49" s="24"/>
      <c r="SOZ49" s="24"/>
      <c r="SPA49" s="24"/>
      <c r="SPB49" s="24"/>
      <c r="SPC49" s="24"/>
      <c r="SPD49" s="24"/>
      <c r="SPE49" s="24"/>
      <c r="SPF49" s="24"/>
      <c r="SPG49" s="24"/>
      <c r="SPH49" s="24"/>
      <c r="SPI49" s="24"/>
      <c r="SPJ49" s="24"/>
      <c r="SPK49" s="24"/>
      <c r="SPL49" s="24"/>
      <c r="SPM49" s="24"/>
      <c r="SPN49" s="24"/>
      <c r="SPO49" s="24"/>
      <c r="SPP49" s="24"/>
      <c r="SPQ49" s="24"/>
      <c r="SPR49" s="24"/>
      <c r="SPS49" s="24"/>
      <c r="SPT49" s="24"/>
      <c r="SPU49" s="24"/>
      <c r="SPV49" s="24"/>
      <c r="SPW49" s="24"/>
      <c r="SPX49" s="24"/>
      <c r="SPY49" s="24"/>
      <c r="SPZ49" s="24"/>
      <c r="SQA49" s="24"/>
      <c r="SQB49" s="24"/>
      <c r="SQC49" s="24"/>
      <c r="SQD49" s="24"/>
      <c r="SQE49" s="24"/>
      <c r="SQF49" s="24"/>
      <c r="SQG49" s="24"/>
      <c r="SQH49" s="24"/>
      <c r="SQI49" s="24"/>
      <c r="SQJ49" s="24"/>
      <c r="SQK49" s="24"/>
      <c r="SQL49" s="24"/>
      <c r="SQM49" s="24"/>
      <c r="SQN49" s="24"/>
      <c r="SQO49" s="24"/>
      <c r="SQP49" s="24"/>
      <c r="SQQ49" s="24"/>
      <c r="SQR49" s="24"/>
      <c r="SQS49" s="24"/>
      <c r="SQT49" s="24"/>
      <c r="SQU49" s="24"/>
      <c r="SQV49" s="24"/>
      <c r="SQW49" s="24"/>
      <c r="SQX49" s="24"/>
      <c r="SQY49" s="24"/>
      <c r="SQZ49" s="24"/>
      <c r="SRA49" s="24"/>
      <c r="SRB49" s="24"/>
      <c r="SRC49" s="24"/>
      <c r="SRD49" s="24"/>
      <c r="SRE49" s="24"/>
      <c r="SRF49" s="24"/>
      <c r="SRG49" s="24"/>
      <c r="SRH49" s="24"/>
      <c r="SRI49" s="24"/>
      <c r="SRJ49" s="24"/>
      <c r="SRK49" s="24"/>
      <c r="SRL49" s="24"/>
      <c r="SRM49" s="24"/>
      <c r="SRN49" s="24"/>
      <c r="SRO49" s="24"/>
      <c r="SRP49" s="24"/>
      <c r="SRQ49" s="24"/>
      <c r="SRR49" s="24"/>
      <c r="SRS49" s="24"/>
      <c r="SRT49" s="24"/>
      <c r="SRU49" s="24"/>
      <c r="SRV49" s="24"/>
      <c r="SRW49" s="24"/>
      <c r="SRX49" s="24"/>
      <c r="SRY49" s="24"/>
      <c r="SRZ49" s="24"/>
      <c r="SSA49" s="24"/>
      <c r="SSB49" s="24"/>
      <c r="SSC49" s="24"/>
      <c r="SSD49" s="24"/>
      <c r="SSE49" s="24"/>
      <c r="SSF49" s="24"/>
      <c r="SSG49" s="24"/>
      <c r="SSH49" s="24"/>
      <c r="SSI49" s="24"/>
      <c r="SSJ49" s="24"/>
      <c r="SSK49" s="24"/>
      <c r="SSL49" s="24"/>
      <c r="SSM49" s="24"/>
      <c r="SSN49" s="24"/>
      <c r="SSO49" s="24"/>
      <c r="SSP49" s="24"/>
      <c r="SSQ49" s="24"/>
      <c r="SSR49" s="24"/>
      <c r="SSS49" s="24"/>
      <c r="SST49" s="24"/>
      <c r="SSU49" s="24"/>
      <c r="SSV49" s="24"/>
      <c r="SSW49" s="24"/>
      <c r="SSX49" s="24"/>
      <c r="SSY49" s="24"/>
      <c r="SSZ49" s="24"/>
      <c r="STA49" s="24"/>
      <c r="STB49" s="24"/>
      <c r="STC49" s="24"/>
      <c r="STD49" s="24"/>
      <c r="STE49" s="24"/>
      <c r="STF49" s="24"/>
      <c r="STG49" s="24"/>
      <c r="STH49" s="24"/>
      <c r="STI49" s="24"/>
      <c r="STJ49" s="24"/>
      <c r="STK49" s="24"/>
      <c r="STL49" s="24"/>
      <c r="STM49" s="24"/>
      <c r="STN49" s="24"/>
      <c r="STO49" s="24"/>
      <c r="STP49" s="24"/>
      <c r="STQ49" s="24"/>
      <c r="STR49" s="24"/>
      <c r="STS49" s="24"/>
      <c r="STT49" s="24"/>
      <c r="STU49" s="24"/>
      <c r="STV49" s="24"/>
      <c r="STW49" s="24"/>
      <c r="STX49" s="24"/>
      <c r="STY49" s="24"/>
      <c r="STZ49" s="24"/>
      <c r="SUA49" s="24"/>
      <c r="SUB49" s="24"/>
      <c r="SUC49" s="24"/>
      <c r="SUD49" s="24"/>
      <c r="SUE49" s="24"/>
      <c r="SUF49" s="24"/>
      <c r="SUG49" s="24"/>
      <c r="SUH49" s="24"/>
      <c r="SUI49" s="24"/>
      <c r="SUJ49" s="24"/>
      <c r="SUK49" s="24"/>
      <c r="SUL49" s="24"/>
      <c r="SUM49" s="24"/>
      <c r="SUN49" s="24"/>
      <c r="SUO49" s="24"/>
      <c r="SUP49" s="24"/>
      <c r="SUQ49" s="24"/>
      <c r="SUR49" s="24"/>
      <c r="SUS49" s="24"/>
      <c r="SUT49" s="24"/>
      <c r="SUU49" s="24"/>
      <c r="SUV49" s="24"/>
      <c r="SUW49" s="24"/>
      <c r="SUX49" s="24"/>
      <c r="SUY49" s="24"/>
      <c r="SUZ49" s="24"/>
      <c r="SVA49" s="24"/>
      <c r="SVB49" s="24"/>
      <c r="SVC49" s="24"/>
      <c r="SVD49" s="24"/>
      <c r="SVE49" s="24"/>
      <c r="SVF49" s="24"/>
      <c r="SVG49" s="24"/>
      <c r="SVH49" s="24"/>
      <c r="SVI49" s="24"/>
      <c r="SVJ49" s="24"/>
      <c r="SVK49" s="24"/>
      <c r="SVL49" s="24"/>
      <c r="SVM49" s="24"/>
      <c r="SVN49" s="24"/>
      <c r="SVO49" s="24"/>
      <c r="SVP49" s="24"/>
      <c r="SVQ49" s="24"/>
      <c r="SVR49" s="24"/>
      <c r="SVS49" s="24"/>
      <c r="SVT49" s="24"/>
      <c r="SVU49" s="24"/>
      <c r="SVV49" s="24"/>
      <c r="SVW49" s="24"/>
      <c r="SVX49" s="24"/>
      <c r="SVY49" s="24"/>
      <c r="SVZ49" s="24"/>
      <c r="SWA49" s="24"/>
      <c r="SWB49" s="24"/>
      <c r="SWC49" s="24"/>
      <c r="SWD49" s="24"/>
      <c r="SWE49" s="24"/>
      <c r="SWF49" s="24"/>
      <c r="SWG49" s="24"/>
      <c r="SWH49" s="24"/>
      <c r="SWI49" s="24"/>
      <c r="SWJ49" s="24"/>
      <c r="SWK49" s="24"/>
      <c r="SWL49" s="24"/>
      <c r="SWM49" s="24"/>
      <c r="SWN49" s="24"/>
      <c r="SWO49" s="24"/>
      <c r="SWP49" s="24"/>
      <c r="SWQ49" s="24"/>
      <c r="SWR49" s="24"/>
      <c r="SWS49" s="24"/>
      <c r="SWT49" s="24"/>
      <c r="SWU49" s="24"/>
      <c r="SWV49" s="24"/>
      <c r="SWW49" s="24"/>
      <c r="SWX49" s="24"/>
      <c r="SWY49" s="24"/>
      <c r="SWZ49" s="24"/>
      <c r="SXA49" s="24"/>
      <c r="SXB49" s="24"/>
      <c r="SXC49" s="24"/>
      <c r="SXD49" s="24"/>
      <c r="SXE49" s="24"/>
      <c r="SXF49" s="24"/>
      <c r="SXG49" s="24"/>
      <c r="SXH49" s="24"/>
      <c r="SXI49" s="24"/>
      <c r="SXJ49" s="24"/>
      <c r="SXK49" s="24"/>
      <c r="SXL49" s="24"/>
      <c r="SXM49" s="24"/>
      <c r="SXN49" s="24"/>
      <c r="SXO49" s="24"/>
      <c r="SXP49" s="24"/>
      <c r="SXQ49" s="24"/>
      <c r="SXR49" s="24"/>
      <c r="SXS49" s="24"/>
      <c r="SXT49" s="24"/>
      <c r="SXU49" s="24"/>
      <c r="SXV49" s="24"/>
      <c r="SXW49" s="24"/>
      <c r="SXX49" s="24"/>
      <c r="SXY49" s="24"/>
      <c r="SXZ49" s="24"/>
      <c r="SYA49" s="24"/>
      <c r="SYB49" s="24"/>
      <c r="SYC49" s="24"/>
      <c r="SYD49" s="24"/>
      <c r="SYE49" s="24"/>
      <c r="SYF49" s="24"/>
      <c r="SYG49" s="24"/>
      <c r="SYH49" s="24"/>
      <c r="SYI49" s="24"/>
      <c r="SYJ49" s="24"/>
      <c r="SYK49" s="24"/>
      <c r="SYL49" s="24"/>
      <c r="SYM49" s="24"/>
      <c r="SYN49" s="24"/>
      <c r="SYO49" s="24"/>
      <c r="SYP49" s="24"/>
      <c r="SYQ49" s="24"/>
      <c r="SYR49" s="24"/>
      <c r="SYS49" s="24"/>
      <c r="SYT49" s="24"/>
      <c r="SYU49" s="24"/>
      <c r="SYV49" s="24"/>
      <c r="SYW49" s="24"/>
      <c r="SYX49" s="24"/>
      <c r="SYY49" s="24"/>
      <c r="SYZ49" s="24"/>
      <c r="SZA49" s="24"/>
      <c r="SZB49" s="24"/>
      <c r="SZC49" s="24"/>
      <c r="SZD49" s="24"/>
      <c r="SZE49" s="24"/>
      <c r="SZF49" s="24"/>
      <c r="SZG49" s="24"/>
      <c r="SZH49" s="24"/>
      <c r="SZI49" s="24"/>
      <c r="SZJ49" s="24"/>
      <c r="SZK49" s="24"/>
      <c r="SZL49" s="24"/>
      <c r="SZM49" s="24"/>
      <c r="SZN49" s="24"/>
      <c r="SZO49" s="24"/>
      <c r="SZP49" s="24"/>
      <c r="SZQ49" s="24"/>
      <c r="SZR49" s="24"/>
      <c r="SZS49" s="24"/>
      <c r="SZT49" s="24"/>
      <c r="SZU49" s="24"/>
      <c r="SZV49" s="24"/>
      <c r="SZW49" s="24"/>
      <c r="SZX49" s="24"/>
      <c r="SZY49" s="24"/>
      <c r="SZZ49" s="24"/>
      <c r="TAA49" s="24"/>
      <c r="TAB49" s="24"/>
      <c r="TAC49" s="24"/>
      <c r="TAD49" s="24"/>
      <c r="TAE49" s="24"/>
      <c r="TAF49" s="24"/>
      <c r="TAG49" s="24"/>
      <c r="TAH49" s="24"/>
      <c r="TAI49" s="24"/>
      <c r="TAJ49" s="24"/>
      <c r="TAK49" s="24"/>
      <c r="TAL49" s="24"/>
      <c r="TAM49" s="24"/>
      <c r="TAN49" s="24"/>
      <c r="TAO49" s="24"/>
      <c r="TAP49" s="24"/>
      <c r="TAQ49" s="24"/>
      <c r="TAR49" s="24"/>
      <c r="TAS49" s="24"/>
      <c r="TAT49" s="24"/>
      <c r="TAU49" s="24"/>
      <c r="TAV49" s="24"/>
      <c r="TAW49" s="24"/>
      <c r="TAX49" s="24"/>
      <c r="TAY49" s="24"/>
      <c r="TAZ49" s="24"/>
      <c r="TBA49" s="24"/>
      <c r="TBB49" s="24"/>
      <c r="TBC49" s="24"/>
      <c r="TBD49" s="24"/>
      <c r="TBE49" s="24"/>
      <c r="TBF49" s="24"/>
      <c r="TBG49" s="24"/>
      <c r="TBH49" s="24"/>
      <c r="TBI49" s="24"/>
      <c r="TBJ49" s="24"/>
      <c r="TBK49" s="24"/>
      <c r="TBL49" s="24"/>
      <c r="TBM49" s="24"/>
      <c r="TBN49" s="24"/>
      <c r="TBO49" s="24"/>
      <c r="TBP49" s="24"/>
      <c r="TBQ49" s="24"/>
      <c r="TBR49" s="24"/>
      <c r="TBS49" s="24"/>
      <c r="TBT49" s="24"/>
      <c r="TBU49" s="24"/>
      <c r="TBV49" s="24"/>
      <c r="TBW49" s="24"/>
      <c r="TBX49" s="24"/>
      <c r="TBY49" s="24"/>
      <c r="TBZ49" s="24"/>
      <c r="TCA49" s="24"/>
      <c r="TCB49" s="24"/>
      <c r="TCC49" s="24"/>
      <c r="TCD49" s="24"/>
      <c r="TCE49" s="24"/>
      <c r="TCF49" s="24"/>
      <c r="TCG49" s="24"/>
      <c r="TCH49" s="24"/>
      <c r="TCI49" s="24"/>
      <c r="TCJ49" s="24"/>
      <c r="TCK49" s="24"/>
      <c r="TCL49" s="24"/>
      <c r="TCM49" s="24"/>
      <c r="TCN49" s="24"/>
      <c r="TCO49" s="24"/>
      <c r="TCP49" s="24"/>
      <c r="TCQ49" s="24"/>
      <c r="TCR49" s="24"/>
      <c r="TCS49" s="24"/>
      <c r="TCT49" s="24"/>
      <c r="TCU49" s="24"/>
      <c r="TCV49" s="24"/>
      <c r="TCW49" s="24"/>
      <c r="TCX49" s="24"/>
      <c r="TCY49" s="24"/>
      <c r="TCZ49" s="24"/>
      <c r="TDA49" s="24"/>
      <c r="TDB49" s="24"/>
      <c r="TDC49" s="24"/>
      <c r="TDD49" s="24"/>
      <c r="TDE49" s="24"/>
      <c r="TDF49" s="24"/>
      <c r="TDG49" s="24"/>
      <c r="TDH49" s="24"/>
      <c r="TDI49" s="24"/>
      <c r="TDJ49" s="24"/>
      <c r="TDK49" s="24"/>
      <c r="TDL49" s="24"/>
      <c r="TDM49" s="24"/>
      <c r="TDN49" s="24"/>
      <c r="TDO49" s="24"/>
      <c r="TDP49" s="24"/>
      <c r="TDQ49" s="24"/>
      <c r="TDR49" s="24"/>
      <c r="TDS49" s="24"/>
      <c r="TDT49" s="24"/>
      <c r="TDU49" s="24"/>
      <c r="TDV49" s="24"/>
      <c r="TDW49" s="24"/>
      <c r="TDX49" s="24"/>
      <c r="TDY49" s="24"/>
      <c r="TDZ49" s="24"/>
      <c r="TEA49" s="24"/>
      <c r="TEB49" s="24"/>
      <c r="TEC49" s="24"/>
      <c r="TED49" s="24"/>
      <c r="TEE49" s="24"/>
      <c r="TEF49" s="24"/>
      <c r="TEG49" s="24"/>
      <c r="TEH49" s="24"/>
      <c r="TEI49" s="24"/>
      <c r="TEJ49" s="24"/>
      <c r="TEK49" s="24"/>
      <c r="TEL49" s="24"/>
      <c r="TEM49" s="24"/>
      <c r="TEN49" s="24"/>
      <c r="TEO49" s="24"/>
      <c r="TEP49" s="24"/>
      <c r="TEQ49" s="24"/>
      <c r="TER49" s="24"/>
      <c r="TES49" s="24"/>
      <c r="TET49" s="24"/>
      <c r="TEU49" s="24"/>
      <c r="TEV49" s="24"/>
      <c r="TEW49" s="24"/>
      <c r="TEX49" s="24"/>
      <c r="TEY49" s="24"/>
      <c r="TEZ49" s="24"/>
      <c r="TFA49" s="24"/>
      <c r="TFB49" s="24"/>
      <c r="TFC49" s="24"/>
      <c r="TFD49" s="24"/>
      <c r="TFE49" s="24"/>
      <c r="TFF49" s="24"/>
      <c r="TFG49" s="24"/>
      <c r="TFH49" s="24"/>
      <c r="TFI49" s="24"/>
      <c r="TFJ49" s="24"/>
      <c r="TFK49" s="24"/>
      <c r="TFL49" s="24"/>
      <c r="TFM49" s="24"/>
      <c r="TFN49" s="24"/>
      <c r="TFO49" s="24"/>
      <c r="TFP49" s="24"/>
      <c r="TFQ49" s="24"/>
      <c r="TFR49" s="24"/>
      <c r="TFS49" s="24"/>
      <c r="TFT49" s="24"/>
      <c r="TFU49" s="24"/>
      <c r="TFV49" s="24"/>
      <c r="TFW49" s="24"/>
      <c r="TFX49" s="24"/>
      <c r="TFY49" s="24"/>
      <c r="TFZ49" s="24"/>
      <c r="TGA49" s="24"/>
      <c r="TGB49" s="24"/>
      <c r="TGC49" s="24"/>
      <c r="TGD49" s="24"/>
      <c r="TGE49" s="24"/>
      <c r="TGF49" s="24"/>
      <c r="TGG49" s="24"/>
      <c r="TGH49" s="24"/>
      <c r="TGI49" s="24"/>
      <c r="TGJ49" s="24"/>
      <c r="TGK49" s="24"/>
      <c r="TGL49" s="24"/>
      <c r="TGM49" s="24"/>
      <c r="TGN49" s="24"/>
      <c r="TGO49" s="24"/>
      <c r="TGP49" s="24"/>
      <c r="TGQ49" s="24"/>
      <c r="TGR49" s="24"/>
      <c r="TGS49" s="24"/>
      <c r="TGT49" s="24"/>
      <c r="TGU49" s="24"/>
      <c r="TGV49" s="24"/>
      <c r="TGW49" s="24"/>
      <c r="TGX49" s="24"/>
      <c r="TGY49" s="24"/>
      <c r="TGZ49" s="24"/>
      <c r="THA49" s="24"/>
      <c r="THB49" s="24"/>
      <c r="THC49" s="24"/>
      <c r="THD49" s="24"/>
      <c r="THE49" s="24"/>
      <c r="THF49" s="24"/>
      <c r="THG49" s="24"/>
      <c r="THH49" s="24"/>
      <c r="THI49" s="24"/>
      <c r="THJ49" s="24"/>
      <c r="THK49" s="24"/>
      <c r="THL49" s="24"/>
      <c r="THM49" s="24"/>
      <c r="THN49" s="24"/>
      <c r="THO49" s="24"/>
      <c r="THP49" s="24"/>
      <c r="THQ49" s="24"/>
      <c r="THR49" s="24"/>
      <c r="THS49" s="24"/>
      <c r="THT49" s="24"/>
      <c r="THU49" s="24"/>
      <c r="THV49" s="24"/>
      <c r="THW49" s="24"/>
      <c r="THX49" s="24"/>
      <c r="THY49" s="24"/>
      <c r="THZ49" s="24"/>
      <c r="TIA49" s="24"/>
      <c r="TIB49" s="24"/>
      <c r="TIC49" s="24"/>
      <c r="TID49" s="24"/>
      <c r="TIE49" s="24"/>
      <c r="TIF49" s="24"/>
      <c r="TIG49" s="24"/>
      <c r="TIH49" s="24"/>
      <c r="TII49" s="24"/>
      <c r="TIJ49" s="24"/>
      <c r="TIK49" s="24"/>
      <c r="TIL49" s="24"/>
      <c r="TIM49" s="24"/>
      <c r="TIN49" s="24"/>
      <c r="TIO49" s="24"/>
      <c r="TIP49" s="24"/>
      <c r="TIQ49" s="24"/>
      <c r="TIR49" s="24"/>
      <c r="TIS49" s="24"/>
      <c r="TIT49" s="24"/>
      <c r="TIU49" s="24"/>
      <c r="TIV49" s="24"/>
      <c r="TIW49" s="24"/>
      <c r="TIX49" s="24"/>
      <c r="TIY49" s="24"/>
      <c r="TIZ49" s="24"/>
      <c r="TJA49" s="24"/>
      <c r="TJB49" s="24"/>
      <c r="TJC49" s="24"/>
      <c r="TJD49" s="24"/>
      <c r="TJE49" s="24"/>
      <c r="TJF49" s="24"/>
      <c r="TJG49" s="24"/>
      <c r="TJH49" s="24"/>
      <c r="TJI49" s="24"/>
      <c r="TJJ49" s="24"/>
      <c r="TJK49" s="24"/>
      <c r="TJL49" s="24"/>
      <c r="TJM49" s="24"/>
      <c r="TJN49" s="24"/>
      <c r="TJO49" s="24"/>
      <c r="TJP49" s="24"/>
      <c r="TJQ49" s="24"/>
      <c r="TJR49" s="24"/>
      <c r="TJS49" s="24"/>
      <c r="TJT49" s="24"/>
      <c r="TJU49" s="24"/>
      <c r="TJV49" s="24"/>
      <c r="TJW49" s="24"/>
      <c r="TJX49" s="24"/>
      <c r="TJY49" s="24"/>
      <c r="TJZ49" s="24"/>
      <c r="TKA49" s="24"/>
      <c r="TKB49" s="24"/>
      <c r="TKC49" s="24"/>
      <c r="TKD49" s="24"/>
      <c r="TKE49" s="24"/>
      <c r="TKF49" s="24"/>
      <c r="TKG49" s="24"/>
      <c r="TKH49" s="24"/>
      <c r="TKI49" s="24"/>
      <c r="TKJ49" s="24"/>
      <c r="TKK49" s="24"/>
      <c r="TKL49" s="24"/>
      <c r="TKM49" s="24"/>
      <c r="TKN49" s="24"/>
      <c r="TKO49" s="24"/>
      <c r="TKP49" s="24"/>
      <c r="TKQ49" s="24"/>
      <c r="TKR49" s="24"/>
      <c r="TKS49" s="24"/>
      <c r="TKT49" s="24"/>
      <c r="TKU49" s="24"/>
      <c r="TKV49" s="24"/>
      <c r="TKW49" s="24"/>
      <c r="TKX49" s="24"/>
      <c r="TKY49" s="24"/>
      <c r="TKZ49" s="24"/>
      <c r="TLA49" s="24"/>
      <c r="TLB49" s="24"/>
      <c r="TLC49" s="24"/>
      <c r="TLD49" s="24"/>
      <c r="TLE49" s="24"/>
      <c r="TLF49" s="24"/>
      <c r="TLG49" s="24"/>
      <c r="TLH49" s="24"/>
      <c r="TLI49" s="24"/>
      <c r="TLJ49" s="24"/>
      <c r="TLK49" s="24"/>
      <c r="TLL49" s="24"/>
      <c r="TLM49" s="24"/>
      <c r="TLN49" s="24"/>
      <c r="TLO49" s="24"/>
      <c r="TLP49" s="24"/>
      <c r="TLQ49" s="24"/>
      <c r="TLR49" s="24"/>
      <c r="TLS49" s="24"/>
      <c r="TLT49" s="24"/>
      <c r="TLU49" s="24"/>
      <c r="TLV49" s="24"/>
      <c r="TLW49" s="24"/>
      <c r="TLX49" s="24"/>
      <c r="TLY49" s="24"/>
      <c r="TLZ49" s="24"/>
      <c r="TMA49" s="24"/>
      <c r="TMB49" s="24"/>
      <c r="TMC49" s="24"/>
      <c r="TMD49" s="24"/>
      <c r="TME49" s="24"/>
      <c r="TMF49" s="24"/>
      <c r="TMG49" s="24"/>
      <c r="TMH49" s="24"/>
      <c r="TMI49" s="24"/>
      <c r="TMJ49" s="24"/>
      <c r="TMK49" s="24"/>
      <c r="TML49" s="24"/>
      <c r="TMM49" s="24"/>
      <c r="TMN49" s="24"/>
      <c r="TMO49" s="24"/>
      <c r="TMP49" s="24"/>
      <c r="TMQ49" s="24"/>
      <c r="TMR49" s="24"/>
      <c r="TMS49" s="24"/>
      <c r="TMT49" s="24"/>
      <c r="TMU49" s="24"/>
      <c r="TMV49" s="24"/>
      <c r="TMW49" s="24"/>
      <c r="TMX49" s="24"/>
      <c r="TMY49" s="24"/>
      <c r="TMZ49" s="24"/>
      <c r="TNA49" s="24"/>
      <c r="TNB49" s="24"/>
      <c r="TNC49" s="24"/>
      <c r="TND49" s="24"/>
      <c r="TNE49" s="24"/>
      <c r="TNF49" s="24"/>
      <c r="TNG49" s="24"/>
      <c r="TNH49" s="24"/>
      <c r="TNI49" s="24"/>
      <c r="TNJ49" s="24"/>
      <c r="TNK49" s="24"/>
      <c r="TNL49" s="24"/>
      <c r="TNM49" s="24"/>
      <c r="TNN49" s="24"/>
      <c r="TNO49" s="24"/>
      <c r="TNP49" s="24"/>
      <c r="TNQ49" s="24"/>
      <c r="TNR49" s="24"/>
      <c r="TNS49" s="24"/>
      <c r="TNT49" s="24"/>
      <c r="TNU49" s="24"/>
      <c r="TNV49" s="24"/>
      <c r="TNW49" s="24"/>
      <c r="TNX49" s="24"/>
      <c r="TNY49" s="24"/>
      <c r="TNZ49" s="24"/>
      <c r="TOA49" s="24"/>
      <c r="TOB49" s="24"/>
      <c r="TOC49" s="24"/>
      <c r="TOD49" s="24"/>
      <c r="TOE49" s="24"/>
      <c r="TOF49" s="24"/>
      <c r="TOG49" s="24"/>
      <c r="TOH49" s="24"/>
      <c r="TOI49" s="24"/>
      <c r="TOJ49" s="24"/>
      <c r="TOK49" s="24"/>
      <c r="TOL49" s="24"/>
      <c r="TOM49" s="24"/>
      <c r="TON49" s="24"/>
      <c r="TOO49" s="24"/>
      <c r="TOP49" s="24"/>
      <c r="TOQ49" s="24"/>
      <c r="TOR49" s="24"/>
      <c r="TOS49" s="24"/>
      <c r="TOT49" s="24"/>
      <c r="TOU49" s="24"/>
      <c r="TOV49" s="24"/>
      <c r="TOW49" s="24"/>
      <c r="TOX49" s="24"/>
      <c r="TOY49" s="24"/>
      <c r="TOZ49" s="24"/>
      <c r="TPA49" s="24"/>
      <c r="TPB49" s="24"/>
      <c r="TPC49" s="24"/>
      <c r="TPD49" s="24"/>
      <c r="TPE49" s="24"/>
      <c r="TPF49" s="24"/>
      <c r="TPG49" s="24"/>
      <c r="TPH49" s="24"/>
      <c r="TPI49" s="24"/>
      <c r="TPJ49" s="24"/>
      <c r="TPK49" s="24"/>
      <c r="TPL49" s="24"/>
      <c r="TPM49" s="24"/>
      <c r="TPN49" s="24"/>
      <c r="TPO49" s="24"/>
      <c r="TPP49" s="24"/>
      <c r="TPQ49" s="24"/>
      <c r="TPR49" s="24"/>
      <c r="TPS49" s="24"/>
      <c r="TPT49" s="24"/>
      <c r="TPU49" s="24"/>
      <c r="TPV49" s="24"/>
      <c r="TPW49" s="24"/>
      <c r="TPX49" s="24"/>
      <c r="TPY49" s="24"/>
      <c r="TPZ49" s="24"/>
      <c r="TQA49" s="24"/>
      <c r="TQB49" s="24"/>
      <c r="TQC49" s="24"/>
      <c r="TQD49" s="24"/>
      <c r="TQE49" s="24"/>
      <c r="TQF49" s="24"/>
      <c r="TQG49" s="24"/>
      <c r="TQH49" s="24"/>
      <c r="TQI49" s="24"/>
      <c r="TQJ49" s="24"/>
      <c r="TQK49" s="24"/>
      <c r="TQL49" s="24"/>
      <c r="TQM49" s="24"/>
      <c r="TQN49" s="24"/>
      <c r="TQO49" s="24"/>
      <c r="TQP49" s="24"/>
      <c r="TQQ49" s="24"/>
      <c r="TQR49" s="24"/>
      <c r="TQS49" s="24"/>
      <c r="TQT49" s="24"/>
      <c r="TQU49" s="24"/>
      <c r="TQV49" s="24"/>
      <c r="TQW49" s="24"/>
      <c r="TQX49" s="24"/>
      <c r="TQY49" s="24"/>
      <c r="TQZ49" s="24"/>
      <c r="TRA49" s="24"/>
      <c r="TRB49" s="24"/>
      <c r="TRC49" s="24"/>
      <c r="TRD49" s="24"/>
      <c r="TRE49" s="24"/>
      <c r="TRF49" s="24"/>
      <c r="TRG49" s="24"/>
      <c r="TRH49" s="24"/>
      <c r="TRI49" s="24"/>
      <c r="TRJ49" s="24"/>
      <c r="TRK49" s="24"/>
      <c r="TRL49" s="24"/>
      <c r="TRM49" s="24"/>
      <c r="TRN49" s="24"/>
      <c r="TRO49" s="24"/>
      <c r="TRP49" s="24"/>
      <c r="TRQ49" s="24"/>
      <c r="TRR49" s="24"/>
      <c r="TRS49" s="24"/>
      <c r="TRT49" s="24"/>
      <c r="TRU49" s="24"/>
      <c r="TRV49" s="24"/>
      <c r="TRW49" s="24"/>
      <c r="TRX49" s="24"/>
      <c r="TRY49" s="24"/>
      <c r="TRZ49" s="24"/>
      <c r="TSA49" s="24"/>
      <c r="TSB49" s="24"/>
      <c r="TSC49" s="24"/>
      <c r="TSD49" s="24"/>
      <c r="TSE49" s="24"/>
      <c r="TSF49" s="24"/>
      <c r="TSG49" s="24"/>
      <c r="TSH49" s="24"/>
      <c r="TSI49" s="24"/>
      <c r="TSJ49" s="24"/>
      <c r="TSK49" s="24"/>
      <c r="TSL49" s="24"/>
      <c r="TSM49" s="24"/>
      <c r="TSN49" s="24"/>
      <c r="TSO49" s="24"/>
      <c r="TSP49" s="24"/>
      <c r="TSQ49" s="24"/>
      <c r="TSR49" s="24"/>
      <c r="TSS49" s="24"/>
      <c r="TST49" s="24"/>
      <c r="TSU49" s="24"/>
      <c r="TSV49" s="24"/>
      <c r="TSW49" s="24"/>
      <c r="TSX49" s="24"/>
      <c r="TSY49" s="24"/>
      <c r="TSZ49" s="24"/>
      <c r="TTA49" s="24"/>
      <c r="TTB49" s="24"/>
      <c r="TTC49" s="24"/>
      <c r="TTD49" s="24"/>
      <c r="TTE49" s="24"/>
      <c r="TTF49" s="24"/>
      <c r="TTG49" s="24"/>
      <c r="TTH49" s="24"/>
      <c r="TTI49" s="24"/>
      <c r="TTJ49" s="24"/>
      <c r="TTK49" s="24"/>
      <c r="TTL49" s="24"/>
      <c r="TTM49" s="24"/>
      <c r="TTN49" s="24"/>
      <c r="TTO49" s="24"/>
      <c r="TTP49" s="24"/>
      <c r="TTQ49" s="24"/>
      <c r="TTR49" s="24"/>
      <c r="TTS49" s="24"/>
      <c r="TTT49" s="24"/>
      <c r="TTU49" s="24"/>
      <c r="TTV49" s="24"/>
      <c r="TTW49" s="24"/>
      <c r="TTX49" s="24"/>
      <c r="TTY49" s="24"/>
      <c r="TTZ49" s="24"/>
      <c r="TUA49" s="24"/>
      <c r="TUB49" s="24"/>
      <c r="TUC49" s="24"/>
      <c r="TUD49" s="24"/>
      <c r="TUE49" s="24"/>
      <c r="TUF49" s="24"/>
      <c r="TUG49" s="24"/>
      <c r="TUH49" s="24"/>
      <c r="TUI49" s="24"/>
      <c r="TUJ49" s="24"/>
      <c r="TUK49" s="24"/>
      <c r="TUL49" s="24"/>
      <c r="TUM49" s="24"/>
      <c r="TUN49" s="24"/>
      <c r="TUO49" s="24"/>
      <c r="TUP49" s="24"/>
      <c r="TUQ49" s="24"/>
      <c r="TUR49" s="24"/>
      <c r="TUS49" s="24"/>
      <c r="TUT49" s="24"/>
      <c r="TUU49" s="24"/>
      <c r="TUV49" s="24"/>
      <c r="TUW49" s="24"/>
      <c r="TUX49" s="24"/>
      <c r="TUY49" s="24"/>
      <c r="TUZ49" s="24"/>
      <c r="TVA49" s="24"/>
      <c r="TVB49" s="24"/>
      <c r="TVC49" s="24"/>
      <c r="TVD49" s="24"/>
      <c r="TVE49" s="24"/>
      <c r="TVF49" s="24"/>
      <c r="TVG49" s="24"/>
      <c r="TVH49" s="24"/>
      <c r="TVI49" s="24"/>
      <c r="TVJ49" s="24"/>
      <c r="TVK49" s="24"/>
      <c r="TVL49" s="24"/>
      <c r="TVM49" s="24"/>
      <c r="TVN49" s="24"/>
      <c r="TVO49" s="24"/>
      <c r="TVP49" s="24"/>
      <c r="TVQ49" s="24"/>
      <c r="TVR49" s="24"/>
      <c r="TVS49" s="24"/>
      <c r="TVT49" s="24"/>
      <c r="TVU49" s="24"/>
      <c r="TVV49" s="24"/>
      <c r="TVW49" s="24"/>
      <c r="TVX49" s="24"/>
      <c r="TVY49" s="24"/>
      <c r="TVZ49" s="24"/>
      <c r="TWA49" s="24"/>
      <c r="TWB49" s="24"/>
      <c r="TWC49" s="24"/>
      <c r="TWD49" s="24"/>
      <c r="TWE49" s="24"/>
      <c r="TWF49" s="24"/>
      <c r="TWG49" s="24"/>
      <c r="TWH49" s="24"/>
      <c r="TWI49" s="24"/>
      <c r="TWJ49" s="24"/>
      <c r="TWK49" s="24"/>
      <c r="TWL49" s="24"/>
      <c r="TWM49" s="24"/>
      <c r="TWN49" s="24"/>
      <c r="TWO49" s="24"/>
      <c r="TWP49" s="24"/>
      <c r="TWQ49" s="24"/>
      <c r="TWR49" s="24"/>
      <c r="TWS49" s="24"/>
      <c r="TWT49" s="24"/>
      <c r="TWU49" s="24"/>
      <c r="TWV49" s="24"/>
      <c r="TWW49" s="24"/>
      <c r="TWX49" s="24"/>
      <c r="TWY49" s="24"/>
      <c r="TWZ49" s="24"/>
      <c r="TXA49" s="24"/>
      <c r="TXB49" s="24"/>
      <c r="TXC49" s="24"/>
      <c r="TXD49" s="24"/>
      <c r="TXE49" s="24"/>
      <c r="TXF49" s="24"/>
      <c r="TXG49" s="24"/>
      <c r="TXH49" s="24"/>
      <c r="TXI49" s="24"/>
      <c r="TXJ49" s="24"/>
      <c r="TXK49" s="24"/>
      <c r="TXL49" s="24"/>
      <c r="TXM49" s="24"/>
      <c r="TXN49" s="24"/>
      <c r="TXO49" s="24"/>
      <c r="TXP49" s="24"/>
      <c r="TXQ49" s="24"/>
      <c r="TXR49" s="24"/>
      <c r="TXS49" s="24"/>
      <c r="TXT49" s="24"/>
      <c r="TXU49" s="24"/>
      <c r="TXV49" s="24"/>
      <c r="TXW49" s="24"/>
      <c r="TXX49" s="24"/>
      <c r="TXY49" s="24"/>
      <c r="TXZ49" s="24"/>
      <c r="TYA49" s="24"/>
      <c r="TYB49" s="24"/>
      <c r="TYC49" s="24"/>
      <c r="TYD49" s="24"/>
      <c r="TYE49" s="24"/>
      <c r="TYF49" s="24"/>
      <c r="TYG49" s="24"/>
      <c r="TYH49" s="24"/>
      <c r="TYI49" s="24"/>
      <c r="TYJ49" s="24"/>
      <c r="TYK49" s="24"/>
      <c r="TYL49" s="24"/>
      <c r="TYM49" s="24"/>
      <c r="TYN49" s="24"/>
      <c r="TYO49" s="24"/>
      <c r="TYP49" s="24"/>
      <c r="TYQ49" s="24"/>
      <c r="TYR49" s="24"/>
      <c r="TYS49" s="24"/>
      <c r="TYT49" s="24"/>
      <c r="TYU49" s="24"/>
      <c r="TYV49" s="24"/>
      <c r="TYW49" s="24"/>
      <c r="TYX49" s="24"/>
      <c r="TYY49" s="24"/>
      <c r="TYZ49" s="24"/>
      <c r="TZA49" s="24"/>
      <c r="TZB49" s="24"/>
      <c r="TZC49" s="24"/>
      <c r="TZD49" s="24"/>
      <c r="TZE49" s="24"/>
      <c r="TZF49" s="24"/>
      <c r="TZG49" s="24"/>
      <c r="TZH49" s="24"/>
      <c r="TZI49" s="24"/>
      <c r="TZJ49" s="24"/>
      <c r="TZK49" s="24"/>
      <c r="TZL49" s="24"/>
      <c r="TZM49" s="24"/>
      <c r="TZN49" s="24"/>
      <c r="TZO49" s="24"/>
      <c r="TZP49" s="24"/>
      <c r="TZQ49" s="24"/>
      <c r="TZR49" s="24"/>
      <c r="TZS49" s="24"/>
      <c r="TZT49" s="24"/>
      <c r="TZU49" s="24"/>
      <c r="TZV49" s="24"/>
      <c r="TZW49" s="24"/>
      <c r="TZX49" s="24"/>
      <c r="TZY49" s="24"/>
      <c r="TZZ49" s="24"/>
      <c r="UAA49" s="24"/>
      <c r="UAB49" s="24"/>
      <c r="UAC49" s="24"/>
      <c r="UAD49" s="24"/>
      <c r="UAE49" s="24"/>
      <c r="UAF49" s="24"/>
      <c r="UAG49" s="24"/>
      <c r="UAH49" s="24"/>
      <c r="UAI49" s="24"/>
      <c r="UAJ49" s="24"/>
      <c r="UAK49" s="24"/>
      <c r="UAL49" s="24"/>
      <c r="UAM49" s="24"/>
      <c r="UAN49" s="24"/>
      <c r="UAO49" s="24"/>
      <c r="UAP49" s="24"/>
      <c r="UAQ49" s="24"/>
      <c r="UAR49" s="24"/>
      <c r="UAS49" s="24"/>
      <c r="UAT49" s="24"/>
      <c r="UAU49" s="24"/>
      <c r="UAV49" s="24"/>
      <c r="UAW49" s="24"/>
      <c r="UAX49" s="24"/>
      <c r="UAY49" s="24"/>
      <c r="UAZ49" s="24"/>
      <c r="UBA49" s="24"/>
      <c r="UBB49" s="24"/>
      <c r="UBC49" s="24"/>
      <c r="UBD49" s="24"/>
      <c r="UBE49" s="24"/>
      <c r="UBF49" s="24"/>
      <c r="UBG49" s="24"/>
      <c r="UBH49" s="24"/>
      <c r="UBI49" s="24"/>
      <c r="UBJ49" s="24"/>
      <c r="UBK49" s="24"/>
      <c r="UBL49" s="24"/>
      <c r="UBM49" s="24"/>
      <c r="UBN49" s="24"/>
      <c r="UBO49" s="24"/>
      <c r="UBP49" s="24"/>
      <c r="UBQ49" s="24"/>
      <c r="UBR49" s="24"/>
      <c r="UBS49" s="24"/>
      <c r="UBT49" s="24"/>
      <c r="UBU49" s="24"/>
      <c r="UBV49" s="24"/>
      <c r="UBW49" s="24"/>
      <c r="UBX49" s="24"/>
      <c r="UBY49" s="24"/>
      <c r="UBZ49" s="24"/>
      <c r="UCA49" s="24"/>
      <c r="UCB49" s="24"/>
      <c r="UCC49" s="24"/>
      <c r="UCD49" s="24"/>
      <c r="UCE49" s="24"/>
      <c r="UCF49" s="24"/>
      <c r="UCG49" s="24"/>
      <c r="UCH49" s="24"/>
      <c r="UCI49" s="24"/>
      <c r="UCJ49" s="24"/>
      <c r="UCK49" s="24"/>
      <c r="UCL49" s="24"/>
      <c r="UCM49" s="24"/>
      <c r="UCN49" s="24"/>
      <c r="UCO49" s="24"/>
      <c r="UCP49" s="24"/>
      <c r="UCQ49" s="24"/>
      <c r="UCR49" s="24"/>
      <c r="UCS49" s="24"/>
      <c r="UCT49" s="24"/>
      <c r="UCU49" s="24"/>
      <c r="UCV49" s="24"/>
      <c r="UCW49" s="24"/>
      <c r="UCX49" s="24"/>
      <c r="UCY49" s="24"/>
      <c r="UCZ49" s="24"/>
      <c r="UDA49" s="24"/>
      <c r="UDB49" s="24"/>
      <c r="UDC49" s="24"/>
      <c r="UDD49" s="24"/>
      <c r="UDE49" s="24"/>
      <c r="UDF49" s="24"/>
      <c r="UDG49" s="24"/>
      <c r="UDH49" s="24"/>
      <c r="UDI49" s="24"/>
      <c r="UDJ49" s="24"/>
      <c r="UDK49" s="24"/>
      <c r="UDL49" s="24"/>
      <c r="UDM49" s="24"/>
      <c r="UDN49" s="24"/>
      <c r="UDO49" s="24"/>
      <c r="UDP49" s="24"/>
      <c r="UDQ49" s="24"/>
      <c r="UDR49" s="24"/>
      <c r="UDS49" s="24"/>
      <c r="UDT49" s="24"/>
      <c r="UDU49" s="24"/>
      <c r="UDV49" s="24"/>
      <c r="UDW49" s="24"/>
      <c r="UDX49" s="24"/>
      <c r="UDY49" s="24"/>
      <c r="UDZ49" s="24"/>
      <c r="UEA49" s="24"/>
      <c r="UEB49" s="24"/>
      <c r="UEC49" s="24"/>
      <c r="UED49" s="24"/>
      <c r="UEE49" s="24"/>
      <c r="UEF49" s="24"/>
      <c r="UEG49" s="24"/>
      <c r="UEH49" s="24"/>
      <c r="UEI49" s="24"/>
      <c r="UEJ49" s="24"/>
      <c r="UEK49" s="24"/>
      <c r="UEL49" s="24"/>
      <c r="UEM49" s="24"/>
      <c r="UEN49" s="24"/>
      <c r="UEO49" s="24"/>
      <c r="UEP49" s="24"/>
      <c r="UEQ49" s="24"/>
      <c r="UER49" s="24"/>
      <c r="UES49" s="24"/>
      <c r="UET49" s="24"/>
      <c r="UEU49" s="24"/>
      <c r="UEV49" s="24"/>
      <c r="UEW49" s="24"/>
      <c r="UEX49" s="24"/>
      <c r="UEY49" s="24"/>
      <c r="UEZ49" s="24"/>
      <c r="UFA49" s="24"/>
      <c r="UFB49" s="24"/>
      <c r="UFC49" s="24"/>
      <c r="UFD49" s="24"/>
      <c r="UFE49" s="24"/>
      <c r="UFF49" s="24"/>
      <c r="UFG49" s="24"/>
      <c r="UFH49" s="24"/>
      <c r="UFI49" s="24"/>
      <c r="UFJ49" s="24"/>
      <c r="UFK49" s="24"/>
      <c r="UFL49" s="24"/>
      <c r="UFM49" s="24"/>
      <c r="UFN49" s="24"/>
      <c r="UFO49" s="24"/>
      <c r="UFP49" s="24"/>
      <c r="UFQ49" s="24"/>
      <c r="UFR49" s="24"/>
      <c r="UFS49" s="24"/>
      <c r="UFT49" s="24"/>
      <c r="UFU49" s="24"/>
      <c r="UFV49" s="24"/>
      <c r="UFW49" s="24"/>
      <c r="UFX49" s="24"/>
      <c r="UFY49" s="24"/>
      <c r="UFZ49" s="24"/>
      <c r="UGA49" s="24"/>
      <c r="UGB49" s="24"/>
      <c r="UGC49" s="24"/>
      <c r="UGD49" s="24"/>
      <c r="UGE49" s="24"/>
      <c r="UGF49" s="24"/>
      <c r="UGG49" s="24"/>
      <c r="UGH49" s="24"/>
      <c r="UGI49" s="24"/>
      <c r="UGJ49" s="24"/>
      <c r="UGK49" s="24"/>
      <c r="UGL49" s="24"/>
      <c r="UGM49" s="24"/>
      <c r="UGN49" s="24"/>
      <c r="UGO49" s="24"/>
      <c r="UGP49" s="24"/>
      <c r="UGQ49" s="24"/>
      <c r="UGR49" s="24"/>
      <c r="UGS49" s="24"/>
      <c r="UGT49" s="24"/>
      <c r="UGU49" s="24"/>
      <c r="UGV49" s="24"/>
      <c r="UGW49" s="24"/>
      <c r="UGX49" s="24"/>
      <c r="UGY49" s="24"/>
      <c r="UGZ49" s="24"/>
      <c r="UHA49" s="24"/>
      <c r="UHB49" s="24"/>
      <c r="UHC49" s="24"/>
      <c r="UHD49" s="24"/>
      <c r="UHE49" s="24"/>
      <c r="UHF49" s="24"/>
      <c r="UHG49" s="24"/>
      <c r="UHH49" s="24"/>
      <c r="UHI49" s="24"/>
      <c r="UHJ49" s="24"/>
      <c r="UHK49" s="24"/>
      <c r="UHL49" s="24"/>
      <c r="UHM49" s="24"/>
      <c r="UHN49" s="24"/>
      <c r="UHO49" s="24"/>
      <c r="UHP49" s="24"/>
      <c r="UHQ49" s="24"/>
      <c r="UHR49" s="24"/>
      <c r="UHS49" s="24"/>
      <c r="UHT49" s="24"/>
      <c r="UHU49" s="24"/>
      <c r="UHV49" s="24"/>
      <c r="UHW49" s="24"/>
      <c r="UHX49" s="24"/>
      <c r="UHY49" s="24"/>
      <c r="UHZ49" s="24"/>
      <c r="UIA49" s="24"/>
      <c r="UIB49" s="24"/>
      <c r="UIC49" s="24"/>
      <c r="UID49" s="24"/>
      <c r="UIE49" s="24"/>
      <c r="UIF49" s="24"/>
      <c r="UIG49" s="24"/>
      <c r="UIH49" s="24"/>
      <c r="UII49" s="24"/>
      <c r="UIJ49" s="24"/>
      <c r="UIK49" s="24"/>
      <c r="UIL49" s="24"/>
      <c r="UIM49" s="24"/>
      <c r="UIN49" s="24"/>
      <c r="UIO49" s="24"/>
      <c r="UIP49" s="24"/>
      <c r="UIQ49" s="24"/>
      <c r="UIR49" s="24"/>
      <c r="UIS49" s="24"/>
      <c r="UIT49" s="24"/>
      <c r="UIU49" s="24"/>
      <c r="UIV49" s="24"/>
      <c r="UIW49" s="24"/>
      <c r="UIX49" s="24"/>
      <c r="UIY49" s="24"/>
      <c r="UIZ49" s="24"/>
      <c r="UJA49" s="24"/>
      <c r="UJB49" s="24"/>
      <c r="UJC49" s="24"/>
      <c r="UJD49" s="24"/>
      <c r="UJE49" s="24"/>
      <c r="UJF49" s="24"/>
      <c r="UJG49" s="24"/>
      <c r="UJH49" s="24"/>
      <c r="UJI49" s="24"/>
      <c r="UJJ49" s="24"/>
      <c r="UJK49" s="24"/>
      <c r="UJL49" s="24"/>
      <c r="UJM49" s="24"/>
      <c r="UJN49" s="24"/>
      <c r="UJO49" s="24"/>
      <c r="UJP49" s="24"/>
      <c r="UJQ49" s="24"/>
      <c r="UJR49" s="24"/>
      <c r="UJS49" s="24"/>
      <c r="UJT49" s="24"/>
      <c r="UJU49" s="24"/>
      <c r="UJV49" s="24"/>
      <c r="UJW49" s="24"/>
      <c r="UJX49" s="24"/>
      <c r="UJY49" s="24"/>
      <c r="UJZ49" s="24"/>
      <c r="UKA49" s="24"/>
      <c r="UKB49" s="24"/>
      <c r="UKC49" s="24"/>
      <c r="UKD49" s="24"/>
      <c r="UKE49" s="24"/>
      <c r="UKF49" s="24"/>
      <c r="UKG49" s="24"/>
      <c r="UKH49" s="24"/>
      <c r="UKI49" s="24"/>
      <c r="UKJ49" s="24"/>
      <c r="UKK49" s="24"/>
      <c r="UKL49" s="24"/>
      <c r="UKM49" s="24"/>
      <c r="UKN49" s="24"/>
      <c r="UKO49" s="24"/>
      <c r="UKP49" s="24"/>
      <c r="UKQ49" s="24"/>
      <c r="UKR49" s="24"/>
      <c r="UKS49" s="24"/>
      <c r="UKT49" s="24"/>
      <c r="UKU49" s="24"/>
      <c r="UKV49" s="24"/>
      <c r="UKW49" s="24"/>
      <c r="UKX49" s="24"/>
      <c r="UKY49" s="24"/>
      <c r="UKZ49" s="24"/>
      <c r="ULA49" s="24"/>
      <c r="ULB49" s="24"/>
      <c r="ULC49" s="24"/>
      <c r="ULD49" s="24"/>
      <c r="ULE49" s="24"/>
      <c r="ULF49" s="24"/>
      <c r="ULG49" s="24"/>
      <c r="ULH49" s="24"/>
      <c r="ULI49" s="24"/>
      <c r="ULJ49" s="24"/>
      <c r="ULK49" s="24"/>
      <c r="ULL49" s="24"/>
      <c r="ULM49" s="24"/>
      <c r="ULN49" s="24"/>
      <c r="ULO49" s="24"/>
      <c r="ULP49" s="24"/>
      <c r="ULQ49" s="24"/>
      <c r="ULR49" s="24"/>
      <c r="ULS49" s="24"/>
      <c r="ULT49" s="24"/>
      <c r="ULU49" s="24"/>
      <c r="ULV49" s="24"/>
      <c r="ULW49" s="24"/>
      <c r="ULX49" s="24"/>
      <c r="ULY49" s="24"/>
      <c r="ULZ49" s="24"/>
      <c r="UMA49" s="24"/>
      <c r="UMB49" s="24"/>
      <c r="UMC49" s="24"/>
      <c r="UMD49" s="24"/>
      <c r="UME49" s="24"/>
      <c r="UMF49" s="24"/>
      <c r="UMG49" s="24"/>
      <c r="UMH49" s="24"/>
      <c r="UMI49" s="24"/>
      <c r="UMJ49" s="24"/>
      <c r="UMK49" s="24"/>
      <c r="UML49" s="24"/>
      <c r="UMM49" s="24"/>
      <c r="UMN49" s="24"/>
      <c r="UMO49" s="24"/>
      <c r="UMP49" s="24"/>
      <c r="UMQ49" s="24"/>
      <c r="UMR49" s="24"/>
      <c r="UMS49" s="24"/>
      <c r="UMT49" s="24"/>
      <c r="UMU49" s="24"/>
      <c r="UMV49" s="24"/>
      <c r="UMW49" s="24"/>
      <c r="UMX49" s="24"/>
      <c r="UMY49" s="24"/>
      <c r="UMZ49" s="24"/>
      <c r="UNA49" s="24"/>
      <c r="UNB49" s="24"/>
      <c r="UNC49" s="24"/>
      <c r="UND49" s="24"/>
      <c r="UNE49" s="24"/>
      <c r="UNF49" s="24"/>
      <c r="UNG49" s="24"/>
      <c r="UNH49" s="24"/>
      <c r="UNI49" s="24"/>
      <c r="UNJ49" s="24"/>
      <c r="UNK49" s="24"/>
      <c r="UNL49" s="24"/>
      <c r="UNM49" s="24"/>
      <c r="UNN49" s="24"/>
      <c r="UNO49" s="24"/>
      <c r="UNP49" s="24"/>
      <c r="UNQ49" s="24"/>
      <c r="UNR49" s="24"/>
      <c r="UNS49" s="24"/>
      <c r="UNT49" s="24"/>
      <c r="UNU49" s="24"/>
      <c r="UNV49" s="24"/>
      <c r="UNW49" s="24"/>
      <c r="UNX49" s="24"/>
      <c r="UNY49" s="24"/>
      <c r="UNZ49" s="24"/>
      <c r="UOA49" s="24"/>
      <c r="UOB49" s="24"/>
      <c r="UOC49" s="24"/>
      <c r="UOD49" s="24"/>
      <c r="UOE49" s="24"/>
      <c r="UOF49" s="24"/>
      <c r="UOG49" s="24"/>
      <c r="UOH49" s="24"/>
      <c r="UOI49" s="24"/>
      <c r="UOJ49" s="24"/>
      <c r="UOK49" s="24"/>
      <c r="UOL49" s="24"/>
      <c r="UOM49" s="24"/>
      <c r="UON49" s="24"/>
      <c r="UOO49" s="24"/>
      <c r="UOP49" s="24"/>
      <c r="UOQ49" s="24"/>
      <c r="UOR49" s="24"/>
      <c r="UOS49" s="24"/>
      <c r="UOT49" s="24"/>
      <c r="UOU49" s="24"/>
      <c r="UOV49" s="24"/>
      <c r="UOW49" s="24"/>
      <c r="UOX49" s="24"/>
      <c r="UOY49" s="24"/>
      <c r="UOZ49" s="24"/>
      <c r="UPA49" s="24"/>
      <c r="UPB49" s="24"/>
      <c r="UPC49" s="24"/>
      <c r="UPD49" s="24"/>
      <c r="UPE49" s="24"/>
      <c r="UPF49" s="24"/>
      <c r="UPG49" s="24"/>
      <c r="UPH49" s="24"/>
      <c r="UPI49" s="24"/>
      <c r="UPJ49" s="24"/>
      <c r="UPK49" s="24"/>
      <c r="UPL49" s="24"/>
      <c r="UPM49" s="24"/>
      <c r="UPN49" s="24"/>
      <c r="UPO49" s="24"/>
      <c r="UPP49" s="24"/>
      <c r="UPQ49" s="24"/>
      <c r="UPR49" s="24"/>
      <c r="UPS49" s="24"/>
      <c r="UPT49" s="24"/>
      <c r="UPU49" s="24"/>
      <c r="UPV49" s="24"/>
      <c r="UPW49" s="24"/>
      <c r="UPX49" s="24"/>
      <c r="UPY49" s="24"/>
      <c r="UPZ49" s="24"/>
      <c r="UQA49" s="24"/>
      <c r="UQB49" s="24"/>
      <c r="UQC49" s="24"/>
      <c r="UQD49" s="24"/>
      <c r="UQE49" s="24"/>
      <c r="UQF49" s="24"/>
      <c r="UQG49" s="24"/>
      <c r="UQH49" s="24"/>
      <c r="UQI49" s="24"/>
      <c r="UQJ49" s="24"/>
      <c r="UQK49" s="24"/>
      <c r="UQL49" s="24"/>
      <c r="UQM49" s="24"/>
      <c r="UQN49" s="24"/>
      <c r="UQO49" s="24"/>
      <c r="UQP49" s="24"/>
      <c r="UQQ49" s="24"/>
      <c r="UQR49" s="24"/>
      <c r="UQS49" s="24"/>
      <c r="UQT49" s="24"/>
      <c r="UQU49" s="24"/>
      <c r="UQV49" s="24"/>
      <c r="UQW49" s="24"/>
      <c r="UQX49" s="24"/>
      <c r="UQY49" s="24"/>
      <c r="UQZ49" s="24"/>
      <c r="URA49" s="24"/>
      <c r="URB49" s="24"/>
      <c r="URC49" s="24"/>
      <c r="URD49" s="24"/>
      <c r="URE49" s="24"/>
      <c r="URF49" s="24"/>
      <c r="URG49" s="24"/>
      <c r="URH49" s="24"/>
      <c r="URI49" s="24"/>
      <c r="URJ49" s="24"/>
      <c r="URK49" s="24"/>
      <c r="URL49" s="24"/>
      <c r="URM49" s="24"/>
      <c r="URN49" s="24"/>
      <c r="URO49" s="24"/>
      <c r="URP49" s="24"/>
      <c r="URQ49" s="24"/>
      <c r="URR49" s="24"/>
      <c r="URS49" s="24"/>
      <c r="URT49" s="24"/>
      <c r="URU49" s="24"/>
      <c r="URV49" s="24"/>
      <c r="URW49" s="24"/>
      <c r="URX49" s="24"/>
      <c r="URY49" s="24"/>
      <c r="URZ49" s="24"/>
      <c r="USA49" s="24"/>
      <c r="USB49" s="24"/>
      <c r="USC49" s="24"/>
      <c r="USD49" s="24"/>
      <c r="USE49" s="24"/>
      <c r="USF49" s="24"/>
      <c r="USG49" s="24"/>
      <c r="USH49" s="24"/>
      <c r="USI49" s="24"/>
      <c r="USJ49" s="24"/>
      <c r="USK49" s="24"/>
      <c r="USL49" s="24"/>
      <c r="USM49" s="24"/>
      <c r="USN49" s="24"/>
      <c r="USO49" s="24"/>
      <c r="USP49" s="24"/>
      <c r="USQ49" s="24"/>
      <c r="USR49" s="24"/>
      <c r="USS49" s="24"/>
      <c r="UST49" s="24"/>
      <c r="USU49" s="24"/>
      <c r="USV49" s="24"/>
      <c r="USW49" s="24"/>
      <c r="USX49" s="24"/>
      <c r="USY49" s="24"/>
      <c r="USZ49" s="24"/>
      <c r="UTA49" s="24"/>
      <c r="UTB49" s="24"/>
      <c r="UTC49" s="24"/>
      <c r="UTD49" s="24"/>
      <c r="UTE49" s="24"/>
      <c r="UTF49" s="24"/>
      <c r="UTG49" s="24"/>
      <c r="UTH49" s="24"/>
      <c r="UTI49" s="24"/>
      <c r="UTJ49" s="24"/>
      <c r="UTK49" s="24"/>
      <c r="UTL49" s="24"/>
      <c r="UTM49" s="24"/>
      <c r="UTN49" s="24"/>
      <c r="UTO49" s="24"/>
      <c r="UTP49" s="24"/>
      <c r="UTQ49" s="24"/>
      <c r="UTR49" s="24"/>
      <c r="UTS49" s="24"/>
      <c r="UTT49" s="24"/>
      <c r="UTU49" s="24"/>
      <c r="UTV49" s="24"/>
      <c r="UTW49" s="24"/>
      <c r="UTX49" s="24"/>
      <c r="UTY49" s="24"/>
      <c r="UTZ49" s="24"/>
      <c r="UUA49" s="24"/>
      <c r="UUB49" s="24"/>
      <c r="UUC49" s="24"/>
      <c r="UUD49" s="24"/>
      <c r="UUE49" s="24"/>
      <c r="UUF49" s="24"/>
      <c r="UUG49" s="24"/>
      <c r="UUH49" s="24"/>
      <c r="UUI49" s="24"/>
      <c r="UUJ49" s="24"/>
      <c r="UUK49" s="24"/>
      <c r="UUL49" s="24"/>
      <c r="UUM49" s="24"/>
      <c r="UUN49" s="24"/>
      <c r="UUO49" s="24"/>
      <c r="UUP49" s="24"/>
      <c r="UUQ49" s="24"/>
      <c r="UUR49" s="24"/>
      <c r="UUS49" s="24"/>
      <c r="UUT49" s="24"/>
      <c r="UUU49" s="24"/>
      <c r="UUV49" s="24"/>
      <c r="UUW49" s="24"/>
      <c r="UUX49" s="24"/>
      <c r="UUY49" s="24"/>
      <c r="UUZ49" s="24"/>
      <c r="UVA49" s="24"/>
      <c r="UVB49" s="24"/>
      <c r="UVC49" s="24"/>
      <c r="UVD49" s="24"/>
      <c r="UVE49" s="24"/>
      <c r="UVF49" s="24"/>
      <c r="UVG49" s="24"/>
      <c r="UVH49" s="24"/>
      <c r="UVI49" s="24"/>
      <c r="UVJ49" s="24"/>
      <c r="UVK49" s="24"/>
      <c r="UVL49" s="24"/>
      <c r="UVM49" s="24"/>
      <c r="UVN49" s="24"/>
      <c r="UVO49" s="24"/>
      <c r="UVP49" s="24"/>
      <c r="UVQ49" s="24"/>
      <c r="UVR49" s="24"/>
      <c r="UVS49" s="24"/>
      <c r="UVT49" s="24"/>
      <c r="UVU49" s="24"/>
      <c r="UVV49" s="24"/>
      <c r="UVW49" s="24"/>
      <c r="UVX49" s="24"/>
      <c r="UVY49" s="24"/>
      <c r="UVZ49" s="24"/>
      <c r="UWA49" s="24"/>
      <c r="UWB49" s="24"/>
      <c r="UWC49" s="24"/>
      <c r="UWD49" s="24"/>
      <c r="UWE49" s="24"/>
      <c r="UWF49" s="24"/>
      <c r="UWG49" s="24"/>
      <c r="UWH49" s="24"/>
      <c r="UWI49" s="24"/>
      <c r="UWJ49" s="24"/>
      <c r="UWK49" s="24"/>
      <c r="UWL49" s="24"/>
      <c r="UWM49" s="24"/>
      <c r="UWN49" s="24"/>
      <c r="UWO49" s="24"/>
      <c r="UWP49" s="24"/>
      <c r="UWQ49" s="24"/>
      <c r="UWR49" s="24"/>
      <c r="UWS49" s="24"/>
      <c r="UWT49" s="24"/>
      <c r="UWU49" s="24"/>
      <c r="UWV49" s="24"/>
      <c r="UWW49" s="24"/>
      <c r="UWX49" s="24"/>
      <c r="UWY49" s="24"/>
      <c r="UWZ49" s="24"/>
      <c r="UXA49" s="24"/>
      <c r="UXB49" s="24"/>
      <c r="UXC49" s="24"/>
      <c r="UXD49" s="24"/>
      <c r="UXE49" s="24"/>
      <c r="UXF49" s="24"/>
      <c r="UXG49" s="24"/>
      <c r="UXH49" s="24"/>
      <c r="UXI49" s="24"/>
      <c r="UXJ49" s="24"/>
      <c r="UXK49" s="24"/>
      <c r="UXL49" s="24"/>
      <c r="UXM49" s="24"/>
      <c r="UXN49" s="24"/>
      <c r="UXO49" s="24"/>
      <c r="UXP49" s="24"/>
      <c r="UXQ49" s="24"/>
      <c r="UXR49" s="24"/>
      <c r="UXS49" s="24"/>
      <c r="UXT49" s="24"/>
      <c r="UXU49" s="24"/>
      <c r="UXV49" s="24"/>
      <c r="UXW49" s="24"/>
      <c r="UXX49" s="24"/>
      <c r="UXY49" s="24"/>
      <c r="UXZ49" s="24"/>
      <c r="UYA49" s="24"/>
      <c r="UYB49" s="24"/>
      <c r="UYC49" s="24"/>
      <c r="UYD49" s="24"/>
      <c r="UYE49" s="24"/>
      <c r="UYF49" s="24"/>
      <c r="UYG49" s="24"/>
      <c r="UYH49" s="24"/>
      <c r="UYI49" s="24"/>
      <c r="UYJ49" s="24"/>
      <c r="UYK49" s="24"/>
      <c r="UYL49" s="24"/>
      <c r="UYM49" s="24"/>
      <c r="UYN49" s="24"/>
      <c r="UYO49" s="24"/>
      <c r="UYP49" s="24"/>
      <c r="UYQ49" s="24"/>
      <c r="UYR49" s="24"/>
      <c r="UYS49" s="24"/>
      <c r="UYT49" s="24"/>
      <c r="UYU49" s="24"/>
      <c r="UYV49" s="24"/>
      <c r="UYW49" s="24"/>
      <c r="UYX49" s="24"/>
      <c r="UYY49" s="24"/>
      <c r="UYZ49" s="24"/>
      <c r="UZA49" s="24"/>
      <c r="UZB49" s="24"/>
      <c r="UZC49" s="24"/>
      <c r="UZD49" s="24"/>
      <c r="UZE49" s="24"/>
      <c r="UZF49" s="24"/>
      <c r="UZG49" s="24"/>
      <c r="UZH49" s="24"/>
      <c r="UZI49" s="24"/>
      <c r="UZJ49" s="24"/>
      <c r="UZK49" s="24"/>
      <c r="UZL49" s="24"/>
      <c r="UZM49" s="24"/>
      <c r="UZN49" s="24"/>
      <c r="UZO49" s="24"/>
      <c r="UZP49" s="24"/>
      <c r="UZQ49" s="24"/>
      <c r="UZR49" s="24"/>
      <c r="UZS49" s="24"/>
      <c r="UZT49" s="24"/>
      <c r="UZU49" s="24"/>
      <c r="UZV49" s="24"/>
      <c r="UZW49" s="24"/>
      <c r="UZX49" s="24"/>
      <c r="UZY49" s="24"/>
      <c r="UZZ49" s="24"/>
      <c r="VAA49" s="24"/>
      <c r="VAB49" s="24"/>
      <c r="VAC49" s="24"/>
      <c r="VAD49" s="24"/>
      <c r="VAE49" s="24"/>
      <c r="VAF49" s="24"/>
      <c r="VAG49" s="24"/>
      <c r="VAH49" s="24"/>
      <c r="VAI49" s="24"/>
      <c r="VAJ49" s="24"/>
      <c r="VAK49" s="24"/>
      <c r="VAL49" s="24"/>
      <c r="VAM49" s="24"/>
      <c r="VAN49" s="24"/>
      <c r="VAO49" s="24"/>
      <c r="VAP49" s="24"/>
      <c r="VAQ49" s="24"/>
      <c r="VAR49" s="24"/>
      <c r="VAS49" s="24"/>
      <c r="VAT49" s="24"/>
      <c r="VAU49" s="24"/>
      <c r="VAV49" s="24"/>
      <c r="VAW49" s="24"/>
      <c r="VAX49" s="24"/>
      <c r="VAY49" s="24"/>
      <c r="VAZ49" s="24"/>
      <c r="VBA49" s="24"/>
      <c r="VBB49" s="24"/>
      <c r="VBC49" s="24"/>
      <c r="VBD49" s="24"/>
      <c r="VBE49" s="24"/>
      <c r="VBF49" s="24"/>
      <c r="VBG49" s="24"/>
      <c r="VBH49" s="24"/>
      <c r="VBI49" s="24"/>
      <c r="VBJ49" s="24"/>
      <c r="VBK49" s="24"/>
      <c r="VBL49" s="24"/>
      <c r="VBM49" s="24"/>
      <c r="VBN49" s="24"/>
      <c r="VBO49" s="24"/>
      <c r="VBP49" s="24"/>
      <c r="VBQ49" s="24"/>
      <c r="VBR49" s="24"/>
      <c r="VBS49" s="24"/>
      <c r="VBT49" s="24"/>
      <c r="VBU49" s="24"/>
      <c r="VBV49" s="24"/>
      <c r="VBW49" s="24"/>
      <c r="VBX49" s="24"/>
      <c r="VBY49" s="24"/>
      <c r="VBZ49" s="24"/>
      <c r="VCA49" s="24"/>
      <c r="VCB49" s="24"/>
      <c r="VCC49" s="24"/>
      <c r="VCD49" s="24"/>
      <c r="VCE49" s="24"/>
      <c r="VCF49" s="24"/>
      <c r="VCG49" s="24"/>
      <c r="VCH49" s="24"/>
      <c r="VCI49" s="24"/>
      <c r="VCJ49" s="24"/>
      <c r="VCK49" s="24"/>
      <c r="VCL49" s="24"/>
      <c r="VCM49" s="24"/>
      <c r="VCN49" s="24"/>
      <c r="VCO49" s="24"/>
      <c r="VCP49" s="24"/>
      <c r="VCQ49" s="24"/>
      <c r="VCR49" s="24"/>
      <c r="VCS49" s="24"/>
      <c r="VCT49" s="24"/>
      <c r="VCU49" s="24"/>
      <c r="VCV49" s="24"/>
      <c r="VCW49" s="24"/>
      <c r="VCX49" s="24"/>
      <c r="VCY49" s="24"/>
      <c r="VCZ49" s="24"/>
      <c r="VDA49" s="24"/>
      <c r="VDB49" s="24"/>
      <c r="VDC49" s="24"/>
      <c r="VDD49" s="24"/>
      <c r="VDE49" s="24"/>
      <c r="VDF49" s="24"/>
      <c r="VDG49" s="24"/>
      <c r="VDH49" s="24"/>
      <c r="VDI49" s="24"/>
      <c r="VDJ49" s="24"/>
      <c r="VDK49" s="24"/>
      <c r="VDL49" s="24"/>
      <c r="VDM49" s="24"/>
      <c r="VDN49" s="24"/>
      <c r="VDO49" s="24"/>
      <c r="VDP49" s="24"/>
      <c r="VDQ49" s="24"/>
      <c r="VDR49" s="24"/>
      <c r="VDS49" s="24"/>
      <c r="VDT49" s="24"/>
      <c r="VDU49" s="24"/>
      <c r="VDV49" s="24"/>
      <c r="VDW49" s="24"/>
      <c r="VDX49" s="24"/>
      <c r="VDY49" s="24"/>
      <c r="VDZ49" s="24"/>
      <c r="VEA49" s="24"/>
      <c r="VEB49" s="24"/>
      <c r="VEC49" s="24"/>
      <c r="VED49" s="24"/>
      <c r="VEE49" s="24"/>
      <c r="VEF49" s="24"/>
      <c r="VEG49" s="24"/>
      <c r="VEH49" s="24"/>
      <c r="VEI49" s="24"/>
      <c r="VEJ49" s="24"/>
      <c r="VEK49" s="24"/>
      <c r="VEL49" s="24"/>
      <c r="VEM49" s="24"/>
      <c r="VEN49" s="24"/>
      <c r="VEO49" s="24"/>
      <c r="VEP49" s="24"/>
      <c r="VEQ49" s="24"/>
      <c r="VER49" s="24"/>
      <c r="VES49" s="24"/>
      <c r="VET49" s="24"/>
      <c r="VEU49" s="24"/>
      <c r="VEV49" s="24"/>
      <c r="VEW49" s="24"/>
      <c r="VEX49" s="24"/>
      <c r="VEY49" s="24"/>
      <c r="VEZ49" s="24"/>
      <c r="VFA49" s="24"/>
      <c r="VFB49" s="24"/>
      <c r="VFC49" s="24"/>
      <c r="VFD49" s="24"/>
      <c r="VFE49" s="24"/>
      <c r="VFF49" s="24"/>
      <c r="VFG49" s="24"/>
      <c r="VFH49" s="24"/>
      <c r="VFI49" s="24"/>
      <c r="VFJ49" s="24"/>
      <c r="VFK49" s="24"/>
      <c r="VFL49" s="24"/>
      <c r="VFM49" s="24"/>
      <c r="VFN49" s="24"/>
      <c r="VFO49" s="24"/>
      <c r="VFP49" s="24"/>
      <c r="VFQ49" s="24"/>
      <c r="VFR49" s="24"/>
      <c r="VFS49" s="24"/>
      <c r="VFT49" s="24"/>
      <c r="VFU49" s="24"/>
      <c r="VFV49" s="24"/>
      <c r="VFW49" s="24"/>
      <c r="VFX49" s="24"/>
      <c r="VFY49" s="24"/>
      <c r="VFZ49" s="24"/>
      <c r="VGA49" s="24"/>
      <c r="VGB49" s="24"/>
      <c r="VGC49" s="24"/>
      <c r="VGD49" s="24"/>
      <c r="VGE49" s="24"/>
      <c r="VGF49" s="24"/>
      <c r="VGG49" s="24"/>
      <c r="VGH49" s="24"/>
      <c r="VGI49" s="24"/>
      <c r="VGJ49" s="24"/>
      <c r="VGK49" s="24"/>
      <c r="VGL49" s="24"/>
      <c r="VGM49" s="24"/>
      <c r="VGN49" s="24"/>
      <c r="VGO49" s="24"/>
      <c r="VGP49" s="24"/>
      <c r="VGQ49" s="24"/>
      <c r="VGR49" s="24"/>
      <c r="VGS49" s="24"/>
      <c r="VGT49" s="24"/>
      <c r="VGU49" s="24"/>
      <c r="VGV49" s="24"/>
      <c r="VGW49" s="24"/>
      <c r="VGX49" s="24"/>
      <c r="VGY49" s="24"/>
      <c r="VGZ49" s="24"/>
      <c r="VHA49" s="24"/>
      <c r="VHB49" s="24"/>
      <c r="VHC49" s="24"/>
      <c r="VHD49" s="24"/>
      <c r="VHE49" s="24"/>
      <c r="VHF49" s="24"/>
      <c r="VHG49" s="24"/>
      <c r="VHH49" s="24"/>
      <c r="VHI49" s="24"/>
      <c r="VHJ49" s="24"/>
      <c r="VHK49" s="24"/>
      <c r="VHL49" s="24"/>
      <c r="VHM49" s="24"/>
      <c r="VHN49" s="24"/>
      <c r="VHO49" s="24"/>
      <c r="VHP49" s="24"/>
      <c r="VHQ49" s="24"/>
      <c r="VHR49" s="24"/>
      <c r="VHS49" s="24"/>
      <c r="VHT49" s="24"/>
      <c r="VHU49" s="24"/>
      <c r="VHV49" s="24"/>
      <c r="VHW49" s="24"/>
      <c r="VHX49" s="24"/>
      <c r="VHY49" s="24"/>
      <c r="VHZ49" s="24"/>
      <c r="VIA49" s="24"/>
      <c r="VIB49" s="24"/>
      <c r="VIC49" s="24"/>
      <c r="VID49" s="24"/>
      <c r="VIE49" s="24"/>
      <c r="VIF49" s="24"/>
      <c r="VIG49" s="24"/>
      <c r="VIH49" s="24"/>
      <c r="VII49" s="24"/>
      <c r="VIJ49" s="24"/>
      <c r="VIK49" s="24"/>
      <c r="VIL49" s="24"/>
      <c r="VIM49" s="24"/>
      <c r="VIN49" s="24"/>
      <c r="VIO49" s="24"/>
      <c r="VIP49" s="24"/>
      <c r="VIQ49" s="24"/>
      <c r="VIR49" s="24"/>
      <c r="VIS49" s="24"/>
      <c r="VIT49" s="24"/>
      <c r="VIU49" s="24"/>
      <c r="VIV49" s="24"/>
      <c r="VIW49" s="24"/>
      <c r="VIX49" s="24"/>
      <c r="VIY49" s="24"/>
      <c r="VIZ49" s="24"/>
      <c r="VJA49" s="24"/>
      <c r="VJB49" s="24"/>
      <c r="VJC49" s="24"/>
      <c r="VJD49" s="24"/>
      <c r="VJE49" s="24"/>
      <c r="VJF49" s="24"/>
      <c r="VJG49" s="24"/>
      <c r="VJH49" s="24"/>
      <c r="VJI49" s="24"/>
      <c r="VJJ49" s="24"/>
      <c r="VJK49" s="24"/>
      <c r="VJL49" s="24"/>
      <c r="VJM49" s="24"/>
      <c r="VJN49" s="24"/>
      <c r="VJO49" s="24"/>
      <c r="VJP49" s="24"/>
      <c r="VJQ49" s="24"/>
      <c r="VJR49" s="24"/>
      <c r="VJS49" s="24"/>
      <c r="VJT49" s="24"/>
      <c r="VJU49" s="24"/>
      <c r="VJV49" s="24"/>
      <c r="VJW49" s="24"/>
      <c r="VJX49" s="24"/>
      <c r="VJY49" s="24"/>
      <c r="VJZ49" s="24"/>
      <c r="VKA49" s="24"/>
      <c r="VKB49" s="24"/>
      <c r="VKC49" s="24"/>
      <c r="VKD49" s="24"/>
      <c r="VKE49" s="24"/>
      <c r="VKF49" s="24"/>
      <c r="VKG49" s="24"/>
      <c r="VKH49" s="24"/>
      <c r="VKI49" s="24"/>
      <c r="VKJ49" s="24"/>
      <c r="VKK49" s="24"/>
      <c r="VKL49" s="24"/>
      <c r="VKM49" s="24"/>
      <c r="VKN49" s="24"/>
      <c r="VKO49" s="24"/>
      <c r="VKP49" s="24"/>
      <c r="VKQ49" s="24"/>
      <c r="VKR49" s="24"/>
      <c r="VKS49" s="24"/>
      <c r="VKT49" s="24"/>
      <c r="VKU49" s="24"/>
      <c r="VKV49" s="24"/>
      <c r="VKW49" s="24"/>
      <c r="VKX49" s="24"/>
      <c r="VKY49" s="24"/>
      <c r="VKZ49" s="24"/>
      <c r="VLA49" s="24"/>
      <c r="VLB49" s="24"/>
      <c r="VLC49" s="24"/>
      <c r="VLD49" s="24"/>
      <c r="VLE49" s="24"/>
      <c r="VLF49" s="24"/>
      <c r="VLG49" s="24"/>
      <c r="VLH49" s="24"/>
      <c r="VLI49" s="24"/>
      <c r="VLJ49" s="24"/>
      <c r="VLK49" s="24"/>
      <c r="VLL49" s="24"/>
      <c r="VLM49" s="24"/>
      <c r="VLN49" s="24"/>
      <c r="VLO49" s="24"/>
      <c r="VLP49" s="24"/>
      <c r="VLQ49" s="24"/>
      <c r="VLR49" s="24"/>
      <c r="VLS49" s="24"/>
      <c r="VLT49" s="24"/>
      <c r="VLU49" s="24"/>
      <c r="VLV49" s="24"/>
      <c r="VLW49" s="24"/>
      <c r="VLX49" s="24"/>
      <c r="VLY49" s="24"/>
      <c r="VLZ49" s="24"/>
      <c r="VMA49" s="24"/>
      <c r="VMB49" s="24"/>
      <c r="VMC49" s="24"/>
      <c r="VMD49" s="24"/>
      <c r="VME49" s="24"/>
      <c r="VMF49" s="24"/>
      <c r="VMG49" s="24"/>
      <c r="VMH49" s="24"/>
      <c r="VMI49" s="24"/>
      <c r="VMJ49" s="24"/>
      <c r="VMK49" s="24"/>
      <c r="VML49" s="24"/>
      <c r="VMM49" s="24"/>
      <c r="VMN49" s="24"/>
      <c r="VMO49" s="24"/>
      <c r="VMP49" s="24"/>
      <c r="VMQ49" s="24"/>
      <c r="VMR49" s="24"/>
      <c r="VMS49" s="24"/>
      <c r="VMT49" s="24"/>
      <c r="VMU49" s="24"/>
      <c r="VMV49" s="24"/>
      <c r="VMW49" s="24"/>
      <c r="VMX49" s="24"/>
      <c r="VMY49" s="24"/>
      <c r="VMZ49" s="24"/>
      <c r="VNA49" s="24"/>
      <c r="VNB49" s="24"/>
      <c r="VNC49" s="24"/>
      <c r="VND49" s="24"/>
      <c r="VNE49" s="24"/>
      <c r="VNF49" s="24"/>
      <c r="VNG49" s="24"/>
      <c r="VNH49" s="24"/>
      <c r="VNI49" s="24"/>
      <c r="VNJ49" s="24"/>
      <c r="VNK49" s="24"/>
      <c r="VNL49" s="24"/>
      <c r="VNM49" s="24"/>
      <c r="VNN49" s="24"/>
      <c r="VNO49" s="24"/>
      <c r="VNP49" s="24"/>
      <c r="VNQ49" s="24"/>
      <c r="VNR49" s="24"/>
      <c r="VNS49" s="24"/>
      <c r="VNT49" s="24"/>
      <c r="VNU49" s="24"/>
      <c r="VNV49" s="24"/>
      <c r="VNW49" s="24"/>
      <c r="VNX49" s="24"/>
      <c r="VNY49" s="24"/>
      <c r="VNZ49" s="24"/>
      <c r="VOA49" s="24"/>
      <c r="VOB49" s="24"/>
      <c r="VOC49" s="24"/>
      <c r="VOD49" s="24"/>
      <c r="VOE49" s="24"/>
      <c r="VOF49" s="24"/>
      <c r="VOG49" s="24"/>
      <c r="VOH49" s="24"/>
      <c r="VOI49" s="24"/>
      <c r="VOJ49" s="24"/>
      <c r="VOK49" s="24"/>
      <c r="VOL49" s="24"/>
      <c r="VOM49" s="24"/>
      <c r="VON49" s="24"/>
      <c r="VOO49" s="24"/>
      <c r="VOP49" s="24"/>
      <c r="VOQ49" s="24"/>
      <c r="VOR49" s="24"/>
      <c r="VOS49" s="24"/>
      <c r="VOT49" s="24"/>
      <c r="VOU49" s="24"/>
      <c r="VOV49" s="24"/>
      <c r="VOW49" s="24"/>
      <c r="VOX49" s="24"/>
      <c r="VOY49" s="24"/>
      <c r="VOZ49" s="24"/>
      <c r="VPA49" s="24"/>
      <c r="VPB49" s="24"/>
      <c r="VPC49" s="24"/>
      <c r="VPD49" s="24"/>
      <c r="VPE49" s="24"/>
      <c r="VPF49" s="24"/>
      <c r="VPG49" s="24"/>
      <c r="VPH49" s="24"/>
      <c r="VPI49" s="24"/>
      <c r="VPJ49" s="24"/>
      <c r="VPK49" s="24"/>
      <c r="VPL49" s="24"/>
      <c r="VPM49" s="24"/>
      <c r="VPN49" s="24"/>
      <c r="VPO49" s="24"/>
      <c r="VPP49" s="24"/>
      <c r="VPQ49" s="24"/>
      <c r="VPR49" s="24"/>
      <c r="VPS49" s="24"/>
      <c r="VPT49" s="24"/>
      <c r="VPU49" s="24"/>
      <c r="VPV49" s="24"/>
      <c r="VPW49" s="24"/>
      <c r="VPX49" s="24"/>
      <c r="VPY49" s="24"/>
      <c r="VPZ49" s="24"/>
      <c r="VQA49" s="24"/>
      <c r="VQB49" s="24"/>
      <c r="VQC49" s="24"/>
      <c r="VQD49" s="24"/>
      <c r="VQE49" s="24"/>
      <c r="VQF49" s="24"/>
      <c r="VQG49" s="24"/>
      <c r="VQH49" s="24"/>
      <c r="VQI49" s="24"/>
      <c r="VQJ49" s="24"/>
      <c r="VQK49" s="24"/>
      <c r="VQL49" s="24"/>
      <c r="VQM49" s="24"/>
      <c r="VQN49" s="24"/>
      <c r="VQO49" s="24"/>
      <c r="VQP49" s="24"/>
      <c r="VQQ49" s="24"/>
      <c r="VQR49" s="24"/>
      <c r="VQS49" s="24"/>
      <c r="VQT49" s="24"/>
      <c r="VQU49" s="24"/>
      <c r="VQV49" s="24"/>
      <c r="VQW49" s="24"/>
      <c r="VQX49" s="24"/>
      <c r="VQY49" s="24"/>
      <c r="VQZ49" s="24"/>
      <c r="VRA49" s="24"/>
      <c r="VRB49" s="24"/>
      <c r="VRC49" s="24"/>
      <c r="VRD49" s="24"/>
      <c r="VRE49" s="24"/>
      <c r="VRF49" s="24"/>
      <c r="VRG49" s="24"/>
      <c r="VRH49" s="24"/>
      <c r="VRI49" s="24"/>
      <c r="VRJ49" s="24"/>
      <c r="VRK49" s="24"/>
      <c r="VRL49" s="24"/>
      <c r="VRM49" s="24"/>
      <c r="VRN49" s="24"/>
      <c r="VRO49" s="24"/>
      <c r="VRP49" s="24"/>
      <c r="VRQ49" s="24"/>
      <c r="VRR49" s="24"/>
      <c r="VRS49" s="24"/>
      <c r="VRT49" s="24"/>
      <c r="VRU49" s="24"/>
      <c r="VRV49" s="24"/>
      <c r="VRW49" s="24"/>
      <c r="VRX49" s="24"/>
      <c r="VRY49" s="24"/>
      <c r="VRZ49" s="24"/>
      <c r="VSA49" s="24"/>
      <c r="VSB49" s="24"/>
      <c r="VSC49" s="24"/>
      <c r="VSD49" s="24"/>
      <c r="VSE49" s="24"/>
      <c r="VSF49" s="24"/>
      <c r="VSG49" s="24"/>
      <c r="VSH49" s="24"/>
      <c r="VSI49" s="24"/>
      <c r="VSJ49" s="24"/>
      <c r="VSK49" s="24"/>
      <c r="VSL49" s="24"/>
      <c r="VSM49" s="24"/>
      <c r="VSN49" s="24"/>
      <c r="VSO49" s="24"/>
      <c r="VSP49" s="24"/>
      <c r="VSQ49" s="24"/>
      <c r="VSR49" s="24"/>
      <c r="VSS49" s="24"/>
      <c r="VST49" s="24"/>
      <c r="VSU49" s="24"/>
      <c r="VSV49" s="24"/>
      <c r="VSW49" s="24"/>
      <c r="VSX49" s="24"/>
      <c r="VSY49" s="24"/>
      <c r="VSZ49" s="24"/>
      <c r="VTA49" s="24"/>
      <c r="VTB49" s="24"/>
      <c r="VTC49" s="24"/>
      <c r="VTD49" s="24"/>
      <c r="VTE49" s="24"/>
      <c r="VTF49" s="24"/>
      <c r="VTG49" s="24"/>
      <c r="VTH49" s="24"/>
      <c r="VTI49" s="24"/>
      <c r="VTJ49" s="24"/>
      <c r="VTK49" s="24"/>
      <c r="VTL49" s="24"/>
      <c r="VTM49" s="24"/>
      <c r="VTN49" s="24"/>
      <c r="VTO49" s="24"/>
      <c r="VTP49" s="24"/>
      <c r="VTQ49" s="24"/>
      <c r="VTR49" s="24"/>
      <c r="VTS49" s="24"/>
      <c r="VTT49" s="24"/>
      <c r="VTU49" s="24"/>
      <c r="VTV49" s="24"/>
      <c r="VTW49" s="24"/>
      <c r="VTX49" s="24"/>
      <c r="VTY49" s="24"/>
      <c r="VTZ49" s="24"/>
      <c r="VUA49" s="24"/>
      <c r="VUB49" s="24"/>
      <c r="VUC49" s="24"/>
      <c r="VUD49" s="24"/>
      <c r="VUE49" s="24"/>
      <c r="VUF49" s="24"/>
      <c r="VUG49" s="24"/>
      <c r="VUH49" s="24"/>
      <c r="VUI49" s="24"/>
      <c r="VUJ49" s="24"/>
      <c r="VUK49" s="24"/>
      <c r="VUL49" s="24"/>
      <c r="VUM49" s="24"/>
      <c r="VUN49" s="24"/>
      <c r="VUO49" s="24"/>
      <c r="VUP49" s="24"/>
      <c r="VUQ49" s="24"/>
      <c r="VUR49" s="24"/>
      <c r="VUS49" s="24"/>
      <c r="VUT49" s="24"/>
      <c r="VUU49" s="24"/>
      <c r="VUV49" s="24"/>
      <c r="VUW49" s="24"/>
      <c r="VUX49" s="24"/>
      <c r="VUY49" s="24"/>
      <c r="VUZ49" s="24"/>
      <c r="VVA49" s="24"/>
      <c r="VVB49" s="24"/>
      <c r="VVC49" s="24"/>
      <c r="VVD49" s="24"/>
      <c r="VVE49" s="24"/>
      <c r="VVF49" s="24"/>
      <c r="VVG49" s="24"/>
      <c r="VVH49" s="24"/>
      <c r="VVI49" s="24"/>
      <c r="VVJ49" s="24"/>
      <c r="VVK49" s="24"/>
      <c r="VVL49" s="24"/>
      <c r="VVM49" s="24"/>
      <c r="VVN49" s="24"/>
      <c r="VVO49" s="24"/>
      <c r="VVP49" s="24"/>
      <c r="VVQ49" s="24"/>
      <c r="VVR49" s="24"/>
      <c r="VVS49" s="24"/>
      <c r="VVT49" s="24"/>
      <c r="VVU49" s="24"/>
      <c r="VVV49" s="24"/>
      <c r="VVW49" s="24"/>
      <c r="VVX49" s="24"/>
      <c r="VVY49" s="24"/>
      <c r="VVZ49" s="24"/>
      <c r="VWA49" s="24"/>
      <c r="VWB49" s="24"/>
      <c r="VWC49" s="24"/>
      <c r="VWD49" s="24"/>
      <c r="VWE49" s="24"/>
      <c r="VWF49" s="24"/>
      <c r="VWG49" s="24"/>
      <c r="VWH49" s="24"/>
      <c r="VWI49" s="24"/>
      <c r="VWJ49" s="24"/>
      <c r="VWK49" s="24"/>
      <c r="VWL49" s="24"/>
      <c r="VWM49" s="24"/>
      <c r="VWN49" s="24"/>
      <c r="VWO49" s="24"/>
      <c r="VWP49" s="24"/>
      <c r="VWQ49" s="24"/>
      <c r="VWR49" s="24"/>
      <c r="VWS49" s="24"/>
      <c r="VWT49" s="24"/>
      <c r="VWU49" s="24"/>
      <c r="VWV49" s="24"/>
      <c r="VWW49" s="24"/>
      <c r="VWX49" s="24"/>
      <c r="VWY49" s="24"/>
      <c r="VWZ49" s="24"/>
      <c r="VXA49" s="24"/>
      <c r="VXB49" s="24"/>
      <c r="VXC49" s="24"/>
      <c r="VXD49" s="24"/>
      <c r="VXE49" s="24"/>
      <c r="VXF49" s="24"/>
      <c r="VXG49" s="24"/>
      <c r="VXH49" s="24"/>
      <c r="VXI49" s="24"/>
      <c r="VXJ49" s="24"/>
      <c r="VXK49" s="24"/>
      <c r="VXL49" s="24"/>
      <c r="VXM49" s="24"/>
      <c r="VXN49" s="24"/>
      <c r="VXO49" s="24"/>
      <c r="VXP49" s="24"/>
      <c r="VXQ49" s="24"/>
      <c r="VXR49" s="24"/>
      <c r="VXS49" s="24"/>
      <c r="VXT49" s="24"/>
      <c r="VXU49" s="24"/>
      <c r="VXV49" s="24"/>
      <c r="VXW49" s="24"/>
      <c r="VXX49" s="24"/>
      <c r="VXY49" s="24"/>
      <c r="VXZ49" s="24"/>
      <c r="VYA49" s="24"/>
      <c r="VYB49" s="24"/>
      <c r="VYC49" s="24"/>
      <c r="VYD49" s="24"/>
      <c r="VYE49" s="24"/>
      <c r="VYF49" s="24"/>
      <c r="VYG49" s="24"/>
      <c r="VYH49" s="24"/>
      <c r="VYI49" s="24"/>
      <c r="VYJ49" s="24"/>
      <c r="VYK49" s="24"/>
      <c r="VYL49" s="24"/>
      <c r="VYM49" s="24"/>
      <c r="VYN49" s="24"/>
      <c r="VYO49" s="24"/>
      <c r="VYP49" s="24"/>
      <c r="VYQ49" s="24"/>
      <c r="VYR49" s="24"/>
      <c r="VYS49" s="24"/>
      <c r="VYT49" s="24"/>
      <c r="VYU49" s="24"/>
      <c r="VYV49" s="24"/>
      <c r="VYW49" s="24"/>
      <c r="VYX49" s="24"/>
      <c r="VYY49" s="24"/>
      <c r="VYZ49" s="24"/>
      <c r="VZA49" s="24"/>
      <c r="VZB49" s="24"/>
      <c r="VZC49" s="24"/>
      <c r="VZD49" s="24"/>
      <c r="VZE49" s="24"/>
      <c r="VZF49" s="24"/>
      <c r="VZG49" s="24"/>
      <c r="VZH49" s="24"/>
      <c r="VZI49" s="24"/>
      <c r="VZJ49" s="24"/>
      <c r="VZK49" s="24"/>
      <c r="VZL49" s="24"/>
      <c r="VZM49" s="24"/>
      <c r="VZN49" s="24"/>
      <c r="VZO49" s="24"/>
      <c r="VZP49" s="24"/>
      <c r="VZQ49" s="24"/>
      <c r="VZR49" s="24"/>
      <c r="VZS49" s="24"/>
      <c r="VZT49" s="24"/>
      <c r="VZU49" s="24"/>
      <c r="VZV49" s="24"/>
      <c r="VZW49" s="24"/>
      <c r="VZX49" s="24"/>
      <c r="VZY49" s="24"/>
      <c r="VZZ49" s="24"/>
      <c r="WAA49" s="24"/>
      <c r="WAB49" s="24"/>
      <c r="WAC49" s="24"/>
      <c r="WAD49" s="24"/>
      <c r="WAE49" s="24"/>
      <c r="WAF49" s="24"/>
      <c r="WAG49" s="24"/>
      <c r="WAH49" s="24"/>
      <c r="WAI49" s="24"/>
      <c r="WAJ49" s="24"/>
      <c r="WAK49" s="24"/>
      <c r="WAL49" s="24"/>
      <c r="WAM49" s="24"/>
      <c r="WAN49" s="24"/>
      <c r="WAO49" s="24"/>
      <c r="WAP49" s="24"/>
      <c r="WAQ49" s="24"/>
      <c r="WAR49" s="24"/>
      <c r="WAS49" s="24"/>
      <c r="WAT49" s="24"/>
      <c r="WAU49" s="24"/>
      <c r="WAV49" s="24"/>
      <c r="WAW49" s="24"/>
      <c r="WAX49" s="24"/>
      <c r="WAY49" s="24"/>
      <c r="WAZ49" s="24"/>
      <c r="WBA49" s="24"/>
      <c r="WBB49" s="24"/>
      <c r="WBC49" s="24"/>
      <c r="WBD49" s="24"/>
      <c r="WBE49" s="24"/>
      <c r="WBF49" s="24"/>
      <c r="WBG49" s="24"/>
      <c r="WBH49" s="24"/>
      <c r="WBI49" s="24"/>
      <c r="WBJ49" s="24"/>
      <c r="WBK49" s="24"/>
      <c r="WBL49" s="24"/>
      <c r="WBM49" s="24"/>
      <c r="WBN49" s="24"/>
      <c r="WBO49" s="24"/>
      <c r="WBP49" s="24"/>
      <c r="WBQ49" s="24"/>
      <c r="WBR49" s="24"/>
      <c r="WBS49" s="24"/>
      <c r="WBT49" s="24"/>
      <c r="WBU49" s="24"/>
      <c r="WBV49" s="24"/>
      <c r="WBW49" s="24"/>
      <c r="WBX49" s="24"/>
      <c r="WBY49" s="24"/>
      <c r="WBZ49" s="24"/>
      <c r="WCA49" s="24"/>
      <c r="WCB49" s="24"/>
      <c r="WCC49" s="24"/>
      <c r="WCD49" s="24"/>
      <c r="WCE49" s="24"/>
      <c r="WCF49" s="24"/>
      <c r="WCG49" s="24"/>
      <c r="WCH49" s="24"/>
      <c r="WCI49" s="24"/>
      <c r="WCJ49" s="24"/>
      <c r="WCK49" s="24"/>
      <c r="WCL49" s="24"/>
      <c r="WCM49" s="24"/>
      <c r="WCN49" s="24"/>
      <c r="WCO49" s="24"/>
      <c r="WCP49" s="24"/>
      <c r="WCQ49" s="24"/>
      <c r="WCR49" s="24"/>
      <c r="WCS49" s="24"/>
      <c r="WCT49" s="24"/>
      <c r="WCU49" s="24"/>
      <c r="WCV49" s="24"/>
      <c r="WCW49" s="24"/>
      <c r="WCX49" s="24"/>
      <c r="WCY49" s="24"/>
      <c r="WCZ49" s="24"/>
      <c r="WDA49" s="24"/>
      <c r="WDB49" s="24"/>
      <c r="WDC49" s="24"/>
      <c r="WDD49" s="24"/>
      <c r="WDE49" s="24"/>
      <c r="WDF49" s="24"/>
      <c r="WDG49" s="24"/>
      <c r="WDH49" s="24"/>
      <c r="WDI49" s="24"/>
      <c r="WDJ49" s="24"/>
      <c r="WDK49" s="24"/>
      <c r="WDL49" s="24"/>
      <c r="WDM49" s="24"/>
      <c r="WDN49" s="24"/>
      <c r="WDO49" s="24"/>
      <c r="WDP49" s="24"/>
      <c r="WDQ49" s="24"/>
      <c r="WDR49" s="24"/>
      <c r="WDS49" s="24"/>
      <c r="WDT49" s="24"/>
      <c r="WDU49" s="24"/>
      <c r="WDV49" s="24"/>
      <c r="WDW49" s="24"/>
      <c r="WDX49" s="24"/>
      <c r="WDY49" s="24"/>
      <c r="WDZ49" s="24"/>
      <c r="WEA49" s="24"/>
      <c r="WEB49" s="24"/>
      <c r="WEC49" s="24"/>
      <c r="WED49" s="24"/>
      <c r="WEE49" s="24"/>
      <c r="WEF49" s="24"/>
      <c r="WEG49" s="24"/>
      <c r="WEH49" s="24"/>
      <c r="WEI49" s="24"/>
      <c r="WEJ49" s="24"/>
      <c r="WEK49" s="24"/>
      <c r="WEL49" s="24"/>
      <c r="WEM49" s="24"/>
      <c r="WEN49" s="24"/>
      <c r="WEO49" s="24"/>
      <c r="WEP49" s="24"/>
      <c r="WEQ49" s="24"/>
      <c r="WER49" s="24"/>
      <c r="WES49" s="24"/>
      <c r="WET49" s="24"/>
      <c r="WEU49" s="24"/>
      <c r="WEV49" s="24"/>
      <c r="WEW49" s="24"/>
      <c r="WEX49" s="24"/>
      <c r="WEY49" s="24"/>
      <c r="WEZ49" s="24"/>
      <c r="WFA49" s="24"/>
      <c r="WFB49" s="24"/>
      <c r="WFC49" s="24"/>
      <c r="WFD49" s="24"/>
      <c r="WFE49" s="24"/>
      <c r="WFF49" s="24"/>
      <c r="WFG49" s="24"/>
      <c r="WFH49" s="24"/>
      <c r="WFI49" s="24"/>
      <c r="WFJ49" s="24"/>
      <c r="WFK49" s="24"/>
      <c r="WFL49" s="24"/>
      <c r="WFM49" s="24"/>
      <c r="WFN49" s="24"/>
      <c r="WFO49" s="24"/>
      <c r="WFP49" s="24"/>
      <c r="WFQ49" s="24"/>
      <c r="WFR49" s="24"/>
      <c r="WFS49" s="24"/>
      <c r="WFT49" s="24"/>
      <c r="WFU49" s="24"/>
      <c r="WFV49" s="24"/>
      <c r="WFW49" s="24"/>
      <c r="WFX49" s="24"/>
      <c r="WFY49" s="24"/>
      <c r="WFZ49" s="24"/>
      <c r="WGA49" s="24"/>
      <c r="WGB49" s="24"/>
      <c r="WGC49" s="24"/>
      <c r="WGD49" s="24"/>
      <c r="WGE49" s="24"/>
      <c r="WGF49" s="24"/>
      <c r="WGG49" s="24"/>
      <c r="WGH49" s="24"/>
      <c r="WGI49" s="24"/>
      <c r="WGJ49" s="24"/>
      <c r="WGK49" s="24"/>
      <c r="WGL49" s="24"/>
      <c r="WGM49" s="24"/>
      <c r="WGN49" s="24"/>
      <c r="WGO49" s="24"/>
      <c r="WGP49" s="24"/>
      <c r="WGQ49" s="24"/>
      <c r="WGR49" s="24"/>
      <c r="WGS49" s="24"/>
      <c r="WGT49" s="24"/>
      <c r="WGU49" s="24"/>
      <c r="WGV49" s="24"/>
      <c r="WGW49" s="24"/>
      <c r="WGX49" s="24"/>
      <c r="WGY49" s="24"/>
      <c r="WGZ49" s="24"/>
      <c r="WHA49" s="24"/>
      <c r="WHB49" s="24"/>
      <c r="WHC49" s="24"/>
      <c r="WHD49" s="24"/>
      <c r="WHE49" s="24"/>
      <c r="WHF49" s="24"/>
      <c r="WHG49" s="24"/>
      <c r="WHH49" s="24"/>
      <c r="WHI49" s="24"/>
      <c r="WHJ49" s="24"/>
      <c r="WHK49" s="24"/>
      <c r="WHL49" s="24"/>
      <c r="WHM49" s="24"/>
      <c r="WHN49" s="24"/>
      <c r="WHO49" s="24"/>
      <c r="WHP49" s="24"/>
      <c r="WHQ49" s="24"/>
      <c r="WHR49" s="24"/>
      <c r="WHS49" s="24"/>
      <c r="WHT49" s="24"/>
      <c r="WHU49" s="24"/>
      <c r="WHV49" s="24"/>
      <c r="WHW49" s="24"/>
      <c r="WHX49" s="24"/>
      <c r="WHY49" s="24"/>
      <c r="WHZ49" s="24"/>
      <c r="WIA49" s="24"/>
      <c r="WIB49" s="24"/>
      <c r="WIC49" s="24"/>
      <c r="WID49" s="24"/>
      <c r="WIE49" s="24"/>
      <c r="WIF49" s="24"/>
      <c r="WIG49" s="24"/>
      <c r="WIH49" s="24"/>
      <c r="WII49" s="24"/>
      <c r="WIJ49" s="24"/>
      <c r="WIK49" s="24"/>
      <c r="WIL49" s="24"/>
      <c r="WIM49" s="24"/>
      <c r="WIN49" s="24"/>
      <c r="WIO49" s="24"/>
      <c r="WIP49" s="24"/>
      <c r="WIQ49" s="24"/>
      <c r="WIR49" s="24"/>
      <c r="WIS49" s="24"/>
      <c r="WIT49" s="24"/>
      <c r="WIU49" s="24"/>
      <c r="WIV49" s="24"/>
      <c r="WIW49" s="24"/>
      <c r="WIX49" s="24"/>
      <c r="WIY49" s="24"/>
      <c r="WIZ49" s="24"/>
      <c r="WJA49" s="24"/>
      <c r="WJB49" s="24"/>
      <c r="WJC49" s="24"/>
      <c r="WJD49" s="24"/>
      <c r="WJE49" s="24"/>
      <c r="WJF49" s="24"/>
      <c r="WJG49" s="24"/>
      <c r="WJH49" s="24"/>
      <c r="WJI49" s="24"/>
      <c r="WJJ49" s="24"/>
      <c r="WJK49" s="24"/>
      <c r="WJL49" s="24"/>
      <c r="WJM49" s="24"/>
      <c r="WJN49" s="24"/>
      <c r="WJO49" s="24"/>
      <c r="WJP49" s="24"/>
      <c r="WJQ49" s="24"/>
      <c r="WJR49" s="24"/>
      <c r="WJS49" s="24"/>
      <c r="WJT49" s="24"/>
      <c r="WJU49" s="24"/>
      <c r="WJV49" s="24"/>
      <c r="WJW49" s="24"/>
      <c r="WJX49" s="24"/>
      <c r="WJY49" s="24"/>
      <c r="WJZ49" s="24"/>
      <c r="WKA49" s="24"/>
      <c r="WKB49" s="24"/>
      <c r="WKC49" s="24"/>
      <c r="WKD49" s="24"/>
      <c r="WKE49" s="24"/>
      <c r="WKF49" s="24"/>
      <c r="WKG49" s="24"/>
      <c r="WKH49" s="24"/>
      <c r="WKI49" s="24"/>
      <c r="WKJ49" s="24"/>
      <c r="WKK49" s="24"/>
      <c r="WKL49" s="24"/>
      <c r="WKM49" s="24"/>
      <c r="WKN49" s="24"/>
      <c r="WKO49" s="24"/>
      <c r="WKP49" s="24"/>
      <c r="WKQ49" s="24"/>
      <c r="WKR49" s="24"/>
      <c r="WKS49" s="24"/>
      <c r="WKT49" s="24"/>
      <c r="WKU49" s="24"/>
      <c r="WKV49" s="24"/>
      <c r="WKW49" s="24"/>
      <c r="WKX49" s="24"/>
      <c r="WKY49" s="24"/>
      <c r="WKZ49" s="24"/>
      <c r="WLA49" s="24"/>
      <c r="WLB49" s="24"/>
      <c r="WLC49" s="24"/>
      <c r="WLD49" s="24"/>
      <c r="WLE49" s="24"/>
      <c r="WLF49" s="24"/>
      <c r="WLG49" s="24"/>
      <c r="WLH49" s="24"/>
      <c r="WLI49" s="24"/>
      <c r="WLJ49" s="24"/>
      <c r="WLK49" s="24"/>
      <c r="WLL49" s="24"/>
      <c r="WLM49" s="24"/>
      <c r="WLN49" s="24"/>
      <c r="WLO49" s="24"/>
      <c r="WLP49" s="24"/>
      <c r="WLQ49" s="24"/>
      <c r="WLR49" s="24"/>
      <c r="WLS49" s="24"/>
      <c r="WLT49" s="24"/>
      <c r="WLU49" s="24"/>
      <c r="WLV49" s="24"/>
      <c r="WLW49" s="24"/>
      <c r="WLX49" s="24"/>
      <c r="WLY49" s="24"/>
      <c r="WLZ49" s="24"/>
      <c r="WMA49" s="24"/>
      <c r="WMB49" s="24"/>
      <c r="WMC49" s="24"/>
      <c r="WMD49" s="24"/>
      <c r="WME49" s="24"/>
      <c r="WMF49" s="24"/>
      <c r="WMG49" s="24"/>
      <c r="WMH49" s="24"/>
      <c r="WMI49" s="24"/>
      <c r="WMJ49" s="24"/>
      <c r="WMK49" s="24"/>
      <c r="WML49" s="24"/>
      <c r="WMM49" s="24"/>
      <c r="WMN49" s="24"/>
      <c r="WMO49" s="24"/>
      <c r="WMP49" s="24"/>
      <c r="WMQ49" s="24"/>
      <c r="WMR49" s="24"/>
      <c r="WMS49" s="24"/>
      <c r="WMT49" s="24"/>
      <c r="WMU49" s="24"/>
      <c r="WMV49" s="24"/>
      <c r="WMW49" s="24"/>
      <c r="WMX49" s="24"/>
      <c r="WMY49" s="24"/>
      <c r="WMZ49" s="24"/>
      <c r="WNA49" s="24"/>
      <c r="WNB49" s="24"/>
      <c r="WNC49" s="24"/>
      <c r="WND49" s="24"/>
      <c r="WNE49" s="24"/>
      <c r="WNF49" s="24"/>
      <c r="WNG49" s="24"/>
      <c r="WNH49" s="24"/>
      <c r="WNI49" s="24"/>
      <c r="WNJ49" s="24"/>
      <c r="WNK49" s="24"/>
      <c r="WNL49" s="24"/>
      <c r="WNM49" s="24"/>
      <c r="WNN49" s="24"/>
      <c r="WNO49" s="24"/>
      <c r="WNP49" s="24"/>
      <c r="WNQ49" s="24"/>
      <c r="WNR49" s="24"/>
      <c r="WNS49" s="24"/>
      <c r="WNT49" s="24"/>
      <c r="WNU49" s="24"/>
      <c r="WNV49" s="24"/>
      <c r="WNW49" s="24"/>
      <c r="WNX49" s="24"/>
      <c r="WNY49" s="24"/>
      <c r="WNZ49" s="24"/>
      <c r="WOA49" s="24"/>
      <c r="WOB49" s="24"/>
      <c r="WOC49" s="24"/>
      <c r="WOD49" s="24"/>
      <c r="WOE49" s="24"/>
      <c r="WOF49" s="24"/>
      <c r="WOG49" s="24"/>
      <c r="WOH49" s="24"/>
      <c r="WOI49" s="24"/>
      <c r="WOJ49" s="24"/>
      <c r="WOK49" s="24"/>
      <c r="WOL49" s="24"/>
      <c r="WOM49" s="24"/>
      <c r="WON49" s="24"/>
      <c r="WOO49" s="24"/>
      <c r="WOP49" s="24"/>
      <c r="WOQ49" s="24"/>
      <c r="WOR49" s="24"/>
      <c r="WOS49" s="24"/>
      <c r="WOT49" s="24"/>
      <c r="WOU49" s="24"/>
      <c r="WOV49" s="24"/>
      <c r="WOW49" s="24"/>
      <c r="WOX49" s="24"/>
      <c r="WOY49" s="24"/>
      <c r="WOZ49" s="24"/>
      <c r="WPA49" s="24"/>
      <c r="WPB49" s="24"/>
      <c r="WPC49" s="24"/>
      <c r="WPD49" s="24"/>
      <c r="WPE49" s="24"/>
      <c r="WPF49" s="24"/>
      <c r="WPG49" s="24"/>
      <c r="WPH49" s="24"/>
      <c r="WPI49" s="24"/>
      <c r="WPJ49" s="24"/>
      <c r="WPK49" s="24"/>
      <c r="WPL49" s="24"/>
      <c r="WPM49" s="24"/>
      <c r="WPN49" s="24"/>
      <c r="WPO49" s="24"/>
      <c r="WPP49" s="24"/>
      <c r="WPQ49" s="24"/>
      <c r="WPR49" s="24"/>
      <c r="WPS49" s="24"/>
      <c r="WPT49" s="24"/>
      <c r="WPU49" s="24"/>
      <c r="WPV49" s="24"/>
      <c r="WPW49" s="24"/>
      <c r="WPX49" s="24"/>
      <c r="WPY49" s="24"/>
      <c r="WPZ49" s="24"/>
      <c r="WQA49" s="24"/>
      <c r="WQB49" s="24"/>
      <c r="WQC49" s="24"/>
      <c r="WQD49" s="24"/>
      <c r="WQE49" s="24"/>
      <c r="WQF49" s="24"/>
      <c r="WQG49" s="24"/>
      <c r="WQH49" s="24"/>
      <c r="WQI49" s="24"/>
      <c r="WQJ49" s="24"/>
      <c r="WQK49" s="24"/>
      <c r="WQL49" s="24"/>
      <c r="WQM49" s="24"/>
      <c r="WQN49" s="24"/>
      <c r="WQO49" s="24"/>
      <c r="WQP49" s="24"/>
      <c r="WQQ49" s="24"/>
      <c r="WQR49" s="24"/>
      <c r="WQS49" s="24"/>
      <c r="WQT49" s="24"/>
      <c r="WQU49" s="24"/>
      <c r="WQV49" s="24"/>
      <c r="WQW49" s="24"/>
      <c r="WQX49" s="24"/>
      <c r="WQY49" s="24"/>
      <c r="WQZ49" s="24"/>
      <c r="WRA49" s="24"/>
      <c r="WRB49" s="24"/>
      <c r="WRC49" s="24"/>
      <c r="WRD49" s="24"/>
      <c r="WRE49" s="24"/>
      <c r="WRF49" s="24"/>
      <c r="WRG49" s="24"/>
      <c r="WRH49" s="24"/>
      <c r="WRI49" s="24"/>
      <c r="WRJ49" s="24"/>
      <c r="WRK49" s="24"/>
      <c r="WRL49" s="24"/>
      <c r="WRM49" s="24"/>
      <c r="WRN49" s="24"/>
      <c r="WRO49" s="24"/>
      <c r="WRP49" s="24"/>
      <c r="WRQ49" s="24"/>
      <c r="WRR49" s="24"/>
      <c r="WRS49" s="24"/>
      <c r="WRT49" s="24"/>
      <c r="WRU49" s="24"/>
      <c r="WRV49" s="24"/>
      <c r="WRW49" s="24"/>
      <c r="WRX49" s="24"/>
      <c r="WRY49" s="24"/>
      <c r="WRZ49" s="24"/>
      <c r="WSA49" s="24"/>
      <c r="WSB49" s="24"/>
      <c r="WSC49" s="24"/>
      <c r="WSD49" s="24"/>
      <c r="WSE49" s="24"/>
      <c r="WSF49" s="24"/>
      <c r="WSG49" s="24"/>
      <c r="WSH49" s="24"/>
      <c r="WSI49" s="24"/>
      <c r="WSJ49" s="24"/>
      <c r="WSK49" s="24"/>
      <c r="WSL49" s="24"/>
      <c r="WSM49" s="24"/>
      <c r="WSN49" s="24"/>
      <c r="WSO49" s="24"/>
      <c r="WSP49" s="24"/>
      <c r="WSQ49" s="24"/>
      <c r="WSR49" s="24"/>
      <c r="WSS49" s="24"/>
      <c r="WST49" s="24"/>
      <c r="WSU49" s="24"/>
      <c r="WSV49" s="24"/>
      <c r="WSW49" s="24"/>
      <c r="WSX49" s="24"/>
      <c r="WSY49" s="24"/>
      <c r="WSZ49" s="24"/>
      <c r="WTA49" s="24"/>
      <c r="WTB49" s="24"/>
      <c r="WTC49" s="24"/>
      <c r="WTD49" s="24"/>
      <c r="WTE49" s="24"/>
      <c r="WTF49" s="24"/>
      <c r="WTG49" s="24"/>
      <c r="WTH49" s="24"/>
      <c r="WTI49" s="24"/>
      <c r="WTJ49" s="24"/>
      <c r="WTK49" s="24"/>
      <c r="WTL49" s="24"/>
      <c r="WTM49" s="24"/>
      <c r="WTN49" s="24"/>
      <c r="WTO49" s="24"/>
      <c r="WTP49" s="24"/>
      <c r="WTQ49" s="24"/>
      <c r="WTR49" s="24"/>
      <c r="WTS49" s="24"/>
      <c r="WTT49" s="24"/>
      <c r="WTU49" s="24"/>
      <c r="WTV49" s="24"/>
      <c r="WTW49" s="24"/>
      <c r="WTX49" s="24"/>
      <c r="WTY49" s="24"/>
      <c r="WTZ49" s="24"/>
      <c r="WUA49" s="24"/>
      <c r="WUB49" s="24"/>
      <c r="WUC49" s="24"/>
      <c r="WUD49" s="24"/>
      <c r="WUE49" s="24"/>
      <c r="WUF49" s="24"/>
      <c r="WUG49" s="24"/>
      <c r="WUH49" s="24"/>
      <c r="WUI49" s="24"/>
      <c r="WUJ49" s="24"/>
      <c r="WUK49" s="24"/>
      <c r="WUL49" s="24"/>
      <c r="WUM49" s="24"/>
      <c r="WUN49" s="24"/>
      <c r="WUO49" s="24"/>
      <c r="WUP49" s="24"/>
      <c r="WUQ49" s="24"/>
      <c r="WUR49" s="24"/>
      <c r="WUS49" s="24"/>
      <c r="WUT49" s="24"/>
      <c r="WUU49" s="24"/>
      <c r="WUV49" s="24"/>
      <c r="WUW49" s="24"/>
      <c r="WUX49" s="24"/>
      <c r="WUY49" s="24"/>
      <c r="WUZ49" s="24"/>
      <c r="WVA49" s="24"/>
      <c r="WVB49" s="24"/>
      <c r="WVC49" s="24"/>
      <c r="WVD49" s="24"/>
      <c r="WVE49" s="24"/>
      <c r="WVF49" s="24"/>
      <c r="WVG49" s="24"/>
      <c r="WVH49" s="24"/>
      <c r="WVI49" s="24"/>
      <c r="WVJ49" s="24"/>
      <c r="WVK49" s="24"/>
      <c r="WVL49" s="24"/>
      <c r="WVM49" s="24"/>
      <c r="WVN49" s="24"/>
      <c r="WVO49" s="24"/>
      <c r="WVP49" s="24"/>
      <c r="WVQ49" s="24"/>
      <c r="WVR49" s="24"/>
      <c r="WVS49" s="24"/>
      <c r="WVT49" s="24"/>
      <c r="WVU49" s="24"/>
      <c r="WVV49" s="24"/>
      <c r="WVW49" s="24"/>
      <c r="WVX49" s="24"/>
      <c r="WVY49" s="24"/>
      <c r="WVZ49" s="24"/>
      <c r="WWA49" s="24"/>
      <c r="WWB49" s="24"/>
      <c r="WWC49" s="24"/>
      <c r="WWD49" s="24"/>
      <c r="WWE49" s="24"/>
      <c r="WWF49" s="24"/>
      <c r="WWG49" s="24"/>
      <c r="WWH49" s="24"/>
      <c r="WWI49" s="24"/>
      <c r="WWJ49" s="24"/>
      <c r="WWK49" s="24"/>
      <c r="WWL49" s="24"/>
      <c r="WWM49" s="24"/>
      <c r="WWN49" s="24"/>
      <c r="WWO49" s="24"/>
      <c r="WWP49" s="24"/>
      <c r="WWQ49" s="24"/>
      <c r="WWR49" s="24"/>
      <c r="WWS49" s="24"/>
      <c r="WWT49" s="24"/>
      <c r="WWU49" s="24"/>
      <c r="WWV49" s="24"/>
      <c r="WWW49" s="24"/>
      <c r="WWX49" s="24"/>
      <c r="WWY49" s="24"/>
      <c r="WWZ49" s="24"/>
      <c r="WXA49" s="24"/>
      <c r="WXB49" s="24"/>
      <c r="WXC49" s="24"/>
      <c r="WXD49" s="24"/>
      <c r="WXE49" s="24"/>
      <c r="WXF49" s="24"/>
      <c r="WXG49" s="24"/>
      <c r="WXH49" s="24"/>
      <c r="WXI49" s="24"/>
      <c r="WXJ49" s="24"/>
      <c r="WXK49" s="24"/>
      <c r="WXL49" s="24"/>
      <c r="WXM49" s="24"/>
      <c r="WXN49" s="24"/>
      <c r="WXO49" s="24"/>
      <c r="WXP49" s="24"/>
      <c r="WXQ49" s="24"/>
      <c r="WXR49" s="24"/>
      <c r="WXS49" s="24"/>
      <c r="WXT49" s="24"/>
      <c r="WXU49" s="24"/>
      <c r="WXV49" s="24"/>
      <c r="WXW49" s="24"/>
      <c r="WXX49" s="24"/>
      <c r="WXY49" s="24"/>
      <c r="WXZ49" s="24"/>
      <c r="WYA49" s="24"/>
      <c r="WYB49" s="24"/>
      <c r="WYC49" s="24"/>
      <c r="WYD49" s="24"/>
      <c r="WYE49" s="24"/>
      <c r="WYF49" s="24"/>
      <c r="WYG49" s="24"/>
      <c r="WYH49" s="24"/>
      <c r="WYI49" s="24"/>
      <c r="WYJ49" s="24"/>
      <c r="WYK49" s="24"/>
      <c r="WYL49" s="24"/>
      <c r="WYM49" s="24"/>
      <c r="WYN49" s="24"/>
      <c r="WYO49" s="24"/>
      <c r="WYP49" s="24"/>
      <c r="WYQ49" s="24"/>
      <c r="WYR49" s="24"/>
      <c r="WYS49" s="24"/>
      <c r="WYT49" s="24"/>
      <c r="WYU49" s="24"/>
      <c r="WYV49" s="24"/>
      <c r="WYW49" s="24"/>
      <c r="WYX49" s="24"/>
      <c r="WYY49" s="24"/>
      <c r="WYZ49" s="24"/>
      <c r="WZA49" s="24"/>
      <c r="WZB49" s="24"/>
      <c r="WZC49" s="24"/>
      <c r="WZD49" s="24"/>
      <c r="WZE49" s="24"/>
      <c r="WZF49" s="24"/>
      <c r="WZG49" s="24"/>
      <c r="WZH49" s="24"/>
      <c r="WZI49" s="24"/>
      <c r="WZJ49" s="24"/>
      <c r="WZK49" s="24"/>
      <c r="WZL49" s="24"/>
      <c r="WZM49" s="24"/>
      <c r="WZN49" s="24"/>
      <c r="WZO49" s="24"/>
      <c r="WZP49" s="24"/>
      <c r="WZQ49" s="24"/>
      <c r="WZR49" s="24"/>
      <c r="WZS49" s="24"/>
      <c r="WZT49" s="24"/>
      <c r="WZU49" s="24"/>
      <c r="WZV49" s="24"/>
      <c r="WZW49" s="24"/>
      <c r="WZX49" s="24"/>
      <c r="WZY49" s="24"/>
      <c r="WZZ49" s="24"/>
      <c r="XAA49" s="24"/>
      <c r="XAB49" s="24"/>
      <c r="XAC49" s="24"/>
      <c r="XAD49" s="24"/>
      <c r="XAE49" s="24"/>
      <c r="XAF49" s="24"/>
      <c r="XAG49" s="24"/>
      <c r="XAH49" s="24"/>
      <c r="XAI49" s="24"/>
      <c r="XAJ49" s="24"/>
      <c r="XAK49" s="24"/>
      <c r="XAL49" s="24"/>
      <c r="XAM49" s="24"/>
      <c r="XAN49" s="24"/>
      <c r="XAO49" s="24"/>
      <c r="XAP49" s="24"/>
      <c r="XAQ49" s="24"/>
      <c r="XAR49" s="24"/>
      <c r="XAS49" s="24"/>
      <c r="XAT49" s="24"/>
      <c r="XAU49" s="24"/>
      <c r="XAV49" s="24"/>
      <c r="XAW49" s="24"/>
      <c r="XAX49" s="24"/>
      <c r="XAY49" s="24"/>
      <c r="XAZ49" s="24"/>
      <c r="XBA49" s="24"/>
      <c r="XBB49" s="24"/>
      <c r="XBC49" s="24"/>
      <c r="XBD49" s="24"/>
      <c r="XBE49" s="24"/>
      <c r="XBF49" s="24"/>
      <c r="XBG49" s="24"/>
      <c r="XBH49" s="24"/>
      <c r="XBI49" s="24"/>
      <c r="XBJ49" s="24"/>
      <c r="XBK49" s="24"/>
      <c r="XBL49" s="24"/>
      <c r="XBM49" s="24"/>
      <c r="XBN49" s="24"/>
      <c r="XBO49" s="24"/>
      <c r="XBP49" s="24"/>
      <c r="XBQ49" s="24"/>
      <c r="XBR49" s="24"/>
      <c r="XBS49" s="24"/>
      <c r="XBT49" s="24"/>
      <c r="XBU49" s="24"/>
      <c r="XBV49" s="24"/>
      <c r="XBW49" s="24"/>
      <c r="XBX49" s="24"/>
      <c r="XBY49" s="24"/>
      <c r="XBZ49" s="24"/>
      <c r="XCA49" s="24"/>
      <c r="XCB49" s="24"/>
      <c r="XCC49" s="24"/>
      <c r="XCD49" s="24"/>
      <c r="XCE49" s="24"/>
      <c r="XCF49" s="24"/>
      <c r="XCG49" s="24"/>
      <c r="XCH49" s="24"/>
      <c r="XCI49" s="24"/>
      <c r="XCJ49" s="24"/>
      <c r="XCK49" s="24"/>
      <c r="XCL49" s="24"/>
      <c r="XCM49" s="24"/>
      <c r="XCN49" s="24"/>
      <c r="XCO49" s="24"/>
      <c r="XCP49" s="24"/>
      <c r="XCQ49" s="24"/>
      <c r="XCR49" s="24"/>
      <c r="XCS49" s="24"/>
      <c r="XCT49" s="24"/>
      <c r="XCU49" s="24"/>
      <c r="XCV49" s="24"/>
      <c r="XCW49" s="24"/>
      <c r="XCX49" s="24"/>
      <c r="XCY49" s="24"/>
      <c r="XCZ49" s="24"/>
      <c r="XDA49" s="24"/>
      <c r="XDB49" s="24"/>
      <c r="XDC49" s="24"/>
      <c r="XDD49" s="24"/>
      <c r="XDE49" s="24"/>
      <c r="XDF49" s="24"/>
      <c r="XDG49" s="24"/>
      <c r="XDH49" s="24"/>
      <c r="XDI49" s="24"/>
      <c r="XDJ49" s="24"/>
      <c r="XDK49" s="24"/>
      <c r="XDL49" s="24"/>
      <c r="XDM49" s="24"/>
      <c r="XDN49" s="24"/>
      <c r="XDO49" s="24"/>
      <c r="XDP49" s="24"/>
      <c r="XDQ49" s="24"/>
      <c r="XDR49" s="24"/>
      <c r="XDS49" s="24"/>
      <c r="XDT49" s="24"/>
      <c r="XDU49" s="24"/>
      <c r="XDV49" s="24"/>
      <c r="XDW49" s="24"/>
      <c r="XDX49" s="24"/>
      <c r="XDY49" s="24"/>
      <c r="XDZ49" s="24"/>
      <c r="XEA49" s="24"/>
      <c r="XEB49" s="24"/>
      <c r="XEC49" s="24"/>
      <c r="XED49" s="24"/>
      <c r="XEE49" s="24"/>
      <c r="XEF49" s="24"/>
      <c r="XEG49" s="24"/>
      <c r="XEH49" s="24"/>
      <c r="XEI49" s="24"/>
      <c r="XEJ49" s="24"/>
      <c r="XEK49" s="24"/>
      <c r="XEL49" s="24"/>
      <c r="XEM49" s="24"/>
      <c r="XEN49" s="24"/>
      <c r="XEO49" s="24"/>
      <c r="XEP49" s="24"/>
      <c r="XEQ49" s="24"/>
      <c r="XER49" s="24"/>
      <c r="XES49" s="24"/>
      <c r="XET49" s="24"/>
      <c r="XEU49" s="24"/>
      <c r="XEV49" s="24"/>
      <c r="XEW49" s="24"/>
      <c r="XEX49" s="24"/>
      <c r="XEY49" s="24"/>
      <c r="XEZ49" s="24"/>
      <c r="XFA49" s="24"/>
      <c r="XFB49" s="24"/>
      <c r="XFC49" s="24"/>
      <c r="XFD49" s="24"/>
    </row>
    <row r="50" spans="1:16384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  <c r="GS50" s="24"/>
      <c r="GT50" s="24"/>
      <c r="GU50" s="24"/>
      <c r="GV50" s="24"/>
      <c r="GW50" s="24"/>
      <c r="GX50" s="24"/>
      <c r="GY50" s="24"/>
      <c r="GZ50" s="24"/>
      <c r="HA50" s="24"/>
      <c r="HB50" s="24"/>
      <c r="HC50" s="24"/>
      <c r="HD50" s="24"/>
      <c r="HE50" s="24"/>
      <c r="HF50" s="24"/>
      <c r="HG50" s="24"/>
      <c r="HH50" s="24"/>
      <c r="HI50" s="24"/>
      <c r="HJ50" s="24"/>
      <c r="HK50" s="24"/>
      <c r="HL50" s="24"/>
      <c r="HM50" s="24"/>
      <c r="HN50" s="24"/>
      <c r="HO50" s="24"/>
      <c r="HP50" s="24"/>
      <c r="HQ50" s="24"/>
      <c r="HR50" s="24"/>
      <c r="HS50" s="24"/>
      <c r="HT50" s="24"/>
      <c r="HU50" s="24"/>
      <c r="HV50" s="24"/>
      <c r="HW50" s="24"/>
      <c r="HX50" s="24"/>
      <c r="HY50" s="24"/>
      <c r="HZ50" s="24"/>
      <c r="IA50" s="24"/>
      <c r="IB50" s="24"/>
      <c r="IC50" s="24"/>
      <c r="ID50" s="24"/>
      <c r="IE50" s="24"/>
      <c r="IF50" s="24"/>
      <c r="IG50" s="24"/>
      <c r="IH50" s="24"/>
      <c r="II50" s="24"/>
      <c r="IJ50" s="24"/>
      <c r="IK50" s="24"/>
      <c r="IL50" s="24"/>
      <c r="IM50" s="24"/>
      <c r="IN50" s="24"/>
      <c r="IO50" s="24"/>
      <c r="IP50" s="24"/>
      <c r="IQ50" s="24"/>
      <c r="IR50" s="24"/>
      <c r="IS50" s="24"/>
      <c r="IT50" s="24"/>
      <c r="IU50" s="24"/>
      <c r="IV50" s="24"/>
      <c r="IW50" s="24"/>
      <c r="IX50" s="24"/>
      <c r="IY50" s="24"/>
      <c r="IZ50" s="24"/>
      <c r="JA50" s="24"/>
      <c r="JB50" s="24"/>
      <c r="JC50" s="24"/>
      <c r="JD50" s="24"/>
      <c r="JE50" s="24"/>
      <c r="JF50" s="24"/>
      <c r="JG50" s="24"/>
      <c r="JH50" s="24"/>
      <c r="JI50" s="24"/>
      <c r="JJ50" s="24"/>
      <c r="JK50" s="24"/>
      <c r="JL50" s="24"/>
      <c r="JM50" s="24"/>
      <c r="JN50" s="24"/>
      <c r="JO50" s="24"/>
      <c r="JP50" s="24"/>
      <c r="JQ50" s="24"/>
      <c r="JR50" s="24"/>
      <c r="JS50" s="24"/>
      <c r="JT50" s="24"/>
      <c r="JU50" s="24"/>
      <c r="JV50" s="24"/>
      <c r="JW50" s="24"/>
      <c r="JX50" s="24"/>
      <c r="JY50" s="24"/>
      <c r="JZ50" s="24"/>
      <c r="KA50" s="24"/>
      <c r="KB50" s="24"/>
      <c r="KC50" s="24"/>
      <c r="KD50" s="24"/>
      <c r="KE50" s="24"/>
      <c r="KF50" s="24"/>
      <c r="KG50" s="24"/>
      <c r="KH50" s="24"/>
      <c r="KI50" s="24"/>
      <c r="KJ50" s="24"/>
      <c r="KK50" s="24"/>
      <c r="KL50" s="24"/>
      <c r="KM50" s="24"/>
      <c r="KN50" s="24"/>
      <c r="KO50" s="24"/>
      <c r="KP50" s="24"/>
      <c r="KQ50" s="24"/>
      <c r="KR50" s="24"/>
      <c r="KS50" s="24"/>
      <c r="KT50" s="24"/>
      <c r="KU50" s="24"/>
      <c r="KV50" s="24"/>
      <c r="KW50" s="24"/>
      <c r="KX50" s="24"/>
      <c r="KY50" s="24"/>
      <c r="KZ50" s="24"/>
      <c r="LA50" s="24"/>
      <c r="LB50" s="24"/>
      <c r="LC50" s="24"/>
      <c r="LD50" s="24"/>
      <c r="LE50" s="24"/>
      <c r="LF50" s="24"/>
      <c r="LG50" s="24"/>
      <c r="LH50" s="24"/>
      <c r="LI50" s="24"/>
      <c r="LJ50" s="24"/>
      <c r="LK50" s="24"/>
      <c r="LL50" s="24"/>
      <c r="LM50" s="24"/>
      <c r="LN50" s="24"/>
      <c r="LO50" s="24"/>
      <c r="LP50" s="24"/>
      <c r="LQ50" s="24"/>
      <c r="LR50" s="24"/>
      <c r="LS50" s="24"/>
      <c r="LT50" s="24"/>
      <c r="LU50" s="24"/>
      <c r="LV50" s="24"/>
      <c r="LW50" s="24"/>
      <c r="LX50" s="24"/>
      <c r="LY50" s="24"/>
      <c r="LZ50" s="24"/>
      <c r="MA50" s="24"/>
      <c r="MB50" s="24"/>
      <c r="MC50" s="24"/>
      <c r="MD50" s="24"/>
      <c r="ME50" s="24"/>
      <c r="MF50" s="24"/>
      <c r="MG50" s="24"/>
      <c r="MH50" s="24"/>
      <c r="MI50" s="24"/>
      <c r="MJ50" s="24"/>
      <c r="MK50" s="24"/>
      <c r="ML50" s="24"/>
      <c r="MM50" s="24"/>
      <c r="MN50" s="24"/>
      <c r="MO50" s="24"/>
      <c r="MP50" s="24"/>
      <c r="MQ50" s="24"/>
      <c r="MR50" s="24"/>
      <c r="MS50" s="24"/>
      <c r="MT50" s="24"/>
      <c r="MU50" s="24"/>
      <c r="MV50" s="24"/>
      <c r="MW50" s="24"/>
      <c r="MX50" s="24"/>
      <c r="MY50" s="24"/>
      <c r="MZ50" s="24"/>
      <c r="NA50" s="24"/>
      <c r="NB50" s="24"/>
      <c r="NC50" s="24"/>
      <c r="ND50" s="24"/>
      <c r="NE50" s="24"/>
      <c r="NF50" s="24"/>
      <c r="NG50" s="24"/>
      <c r="NH50" s="24"/>
      <c r="NI50" s="24"/>
      <c r="NJ50" s="24"/>
      <c r="NK50" s="24"/>
      <c r="NL50" s="24"/>
      <c r="NM50" s="24"/>
      <c r="NN50" s="24"/>
      <c r="NO50" s="24"/>
      <c r="NP50" s="24"/>
      <c r="NQ50" s="24"/>
      <c r="NR50" s="24"/>
      <c r="NS50" s="24"/>
      <c r="NT50" s="24"/>
      <c r="NU50" s="24"/>
      <c r="NV50" s="24"/>
      <c r="NW50" s="24"/>
      <c r="NX50" s="24"/>
      <c r="NY50" s="24"/>
      <c r="NZ50" s="24"/>
      <c r="OA50" s="24"/>
      <c r="OB50" s="24"/>
      <c r="OC50" s="24"/>
      <c r="OD50" s="24"/>
      <c r="OE50" s="24"/>
      <c r="OF50" s="24"/>
      <c r="OG50" s="24"/>
      <c r="OH50" s="24"/>
      <c r="OI50" s="24"/>
      <c r="OJ50" s="24"/>
      <c r="OK50" s="24"/>
      <c r="OL50" s="24"/>
      <c r="OM50" s="24"/>
      <c r="ON50" s="24"/>
      <c r="OO50" s="24"/>
      <c r="OP50" s="24"/>
      <c r="OQ50" s="24"/>
      <c r="OR50" s="24"/>
      <c r="OS50" s="24"/>
      <c r="OT50" s="24"/>
      <c r="OU50" s="24"/>
      <c r="OV50" s="24"/>
      <c r="OW50" s="24"/>
      <c r="OX50" s="24"/>
      <c r="OY50" s="24"/>
      <c r="OZ50" s="24"/>
      <c r="PA50" s="24"/>
      <c r="PB50" s="24"/>
      <c r="PC50" s="24"/>
      <c r="PD50" s="24"/>
      <c r="PE50" s="24"/>
      <c r="PF50" s="24"/>
      <c r="PG50" s="24"/>
      <c r="PH50" s="24"/>
      <c r="PI50" s="24"/>
      <c r="PJ50" s="24"/>
      <c r="PK50" s="24"/>
      <c r="PL50" s="24"/>
      <c r="PM50" s="24"/>
      <c r="PN50" s="24"/>
      <c r="PO50" s="24"/>
      <c r="PP50" s="24"/>
      <c r="PQ50" s="24"/>
      <c r="PR50" s="24"/>
      <c r="PS50" s="24"/>
      <c r="PT50" s="24"/>
      <c r="PU50" s="24"/>
      <c r="PV50" s="24"/>
      <c r="PW50" s="24"/>
      <c r="PX50" s="24"/>
      <c r="PY50" s="24"/>
      <c r="PZ50" s="24"/>
      <c r="QA50" s="24"/>
      <c r="QB50" s="24"/>
      <c r="QC50" s="24"/>
      <c r="QD50" s="24"/>
      <c r="QE50" s="24"/>
      <c r="QF50" s="24"/>
      <c r="QG50" s="24"/>
      <c r="QH50" s="24"/>
      <c r="QI50" s="24"/>
      <c r="QJ50" s="24"/>
      <c r="QK50" s="24"/>
      <c r="QL50" s="24"/>
      <c r="QM50" s="24"/>
      <c r="QN50" s="24"/>
      <c r="QO50" s="24"/>
      <c r="QP50" s="24"/>
      <c r="QQ50" s="24"/>
      <c r="QR50" s="24"/>
      <c r="QS50" s="24"/>
      <c r="QT50" s="24"/>
      <c r="QU50" s="24"/>
      <c r="QV50" s="24"/>
      <c r="QW50" s="24"/>
      <c r="QX50" s="24"/>
      <c r="QY50" s="24"/>
      <c r="QZ50" s="24"/>
      <c r="RA50" s="24"/>
      <c r="RB50" s="24"/>
      <c r="RC50" s="24"/>
      <c r="RD50" s="24"/>
      <c r="RE50" s="24"/>
      <c r="RF50" s="24"/>
      <c r="RG50" s="24"/>
      <c r="RH50" s="24"/>
      <c r="RI50" s="24"/>
      <c r="RJ50" s="24"/>
      <c r="RK50" s="24"/>
      <c r="RL50" s="24"/>
      <c r="RM50" s="24"/>
      <c r="RN50" s="24"/>
      <c r="RO50" s="24"/>
      <c r="RP50" s="24"/>
      <c r="RQ50" s="24"/>
      <c r="RR50" s="24"/>
      <c r="RS50" s="24"/>
      <c r="RT50" s="24"/>
      <c r="RU50" s="24"/>
      <c r="RV50" s="24"/>
      <c r="RW50" s="24"/>
      <c r="RX50" s="24"/>
      <c r="RY50" s="24"/>
      <c r="RZ50" s="24"/>
      <c r="SA50" s="24"/>
      <c r="SB50" s="24"/>
      <c r="SC50" s="24"/>
      <c r="SD50" s="24"/>
      <c r="SE50" s="24"/>
      <c r="SF50" s="24"/>
      <c r="SG50" s="24"/>
      <c r="SH50" s="24"/>
      <c r="SI50" s="24"/>
      <c r="SJ50" s="24"/>
      <c r="SK50" s="24"/>
      <c r="SL50" s="24"/>
      <c r="SM50" s="24"/>
      <c r="SN50" s="24"/>
      <c r="SO50" s="24"/>
      <c r="SP50" s="24"/>
      <c r="SQ50" s="24"/>
      <c r="SR50" s="24"/>
      <c r="SS50" s="24"/>
      <c r="ST50" s="24"/>
      <c r="SU50" s="24"/>
      <c r="SV50" s="24"/>
      <c r="SW50" s="24"/>
      <c r="SX50" s="24"/>
      <c r="SY50" s="24"/>
      <c r="SZ50" s="24"/>
      <c r="TA50" s="24"/>
      <c r="TB50" s="24"/>
      <c r="TC50" s="24"/>
      <c r="TD50" s="24"/>
      <c r="TE50" s="24"/>
      <c r="TF50" s="24"/>
      <c r="TG50" s="24"/>
      <c r="TH50" s="24"/>
      <c r="TI50" s="24"/>
      <c r="TJ50" s="24"/>
      <c r="TK50" s="24"/>
      <c r="TL50" s="24"/>
      <c r="TM50" s="24"/>
      <c r="TN50" s="24"/>
      <c r="TO50" s="24"/>
      <c r="TP50" s="24"/>
      <c r="TQ50" s="24"/>
      <c r="TR50" s="24"/>
      <c r="TS50" s="24"/>
      <c r="TT50" s="24"/>
      <c r="TU50" s="24"/>
      <c r="TV50" s="24"/>
      <c r="TW50" s="24"/>
      <c r="TX50" s="24"/>
      <c r="TY50" s="24"/>
      <c r="TZ50" s="24"/>
      <c r="UA50" s="24"/>
      <c r="UB50" s="24"/>
      <c r="UC50" s="24"/>
      <c r="UD50" s="24"/>
      <c r="UE50" s="24"/>
      <c r="UF50" s="24"/>
      <c r="UG50" s="24"/>
      <c r="UH50" s="24"/>
      <c r="UI50" s="24"/>
      <c r="UJ50" s="24"/>
      <c r="UK50" s="24"/>
      <c r="UL50" s="24"/>
      <c r="UM50" s="24"/>
      <c r="UN50" s="24"/>
      <c r="UO50" s="24"/>
      <c r="UP50" s="24"/>
      <c r="UQ50" s="24"/>
      <c r="UR50" s="24"/>
      <c r="US50" s="24"/>
      <c r="UT50" s="24"/>
      <c r="UU50" s="24"/>
      <c r="UV50" s="24"/>
      <c r="UW50" s="24"/>
      <c r="UX50" s="24"/>
      <c r="UY50" s="24"/>
      <c r="UZ50" s="24"/>
      <c r="VA50" s="24"/>
      <c r="VB50" s="24"/>
      <c r="VC50" s="24"/>
      <c r="VD50" s="24"/>
      <c r="VE50" s="24"/>
      <c r="VF50" s="24"/>
      <c r="VG50" s="24"/>
      <c r="VH50" s="24"/>
      <c r="VI50" s="24"/>
      <c r="VJ50" s="24"/>
      <c r="VK50" s="24"/>
      <c r="VL50" s="24"/>
      <c r="VM50" s="24"/>
      <c r="VN50" s="24"/>
      <c r="VO50" s="24"/>
      <c r="VP50" s="24"/>
      <c r="VQ50" s="24"/>
      <c r="VR50" s="24"/>
      <c r="VS50" s="24"/>
      <c r="VT50" s="24"/>
      <c r="VU50" s="24"/>
      <c r="VV50" s="24"/>
      <c r="VW50" s="24"/>
      <c r="VX50" s="24"/>
      <c r="VY50" s="24"/>
      <c r="VZ50" s="24"/>
      <c r="WA50" s="24"/>
      <c r="WB50" s="24"/>
      <c r="WC50" s="24"/>
      <c r="WD50" s="24"/>
      <c r="WE50" s="24"/>
      <c r="WF50" s="24"/>
      <c r="WG50" s="24"/>
      <c r="WH50" s="24"/>
      <c r="WI50" s="24"/>
      <c r="WJ50" s="24"/>
      <c r="WK50" s="24"/>
      <c r="WL50" s="24"/>
      <c r="WM50" s="24"/>
      <c r="WN50" s="24"/>
      <c r="WO50" s="24"/>
      <c r="WP50" s="24"/>
      <c r="WQ50" s="24"/>
      <c r="WR50" s="24"/>
      <c r="WS50" s="24"/>
      <c r="WT50" s="24"/>
      <c r="WU50" s="24"/>
      <c r="WV50" s="24"/>
      <c r="WW50" s="24"/>
      <c r="WX50" s="24"/>
      <c r="WY50" s="24"/>
      <c r="WZ50" s="24"/>
      <c r="XA50" s="24"/>
      <c r="XB50" s="24"/>
      <c r="XC50" s="24"/>
      <c r="XD50" s="24"/>
      <c r="XE50" s="24"/>
      <c r="XF50" s="24"/>
      <c r="XG50" s="24"/>
      <c r="XH50" s="24"/>
      <c r="XI50" s="24"/>
      <c r="XJ50" s="24"/>
      <c r="XK50" s="24"/>
      <c r="XL50" s="24"/>
      <c r="XM50" s="24"/>
      <c r="XN50" s="24"/>
      <c r="XO50" s="24"/>
      <c r="XP50" s="24"/>
      <c r="XQ50" s="24"/>
      <c r="XR50" s="24"/>
      <c r="XS50" s="24"/>
      <c r="XT50" s="24"/>
      <c r="XU50" s="24"/>
      <c r="XV50" s="24"/>
      <c r="XW50" s="24"/>
      <c r="XX50" s="24"/>
      <c r="XY50" s="24"/>
      <c r="XZ50" s="24"/>
      <c r="YA50" s="24"/>
      <c r="YB50" s="24"/>
      <c r="YC50" s="24"/>
      <c r="YD50" s="24"/>
      <c r="YE50" s="24"/>
      <c r="YF50" s="24"/>
      <c r="YG50" s="24"/>
      <c r="YH50" s="24"/>
      <c r="YI50" s="24"/>
      <c r="YJ50" s="24"/>
      <c r="YK50" s="24"/>
      <c r="YL50" s="24"/>
      <c r="YM50" s="24"/>
      <c r="YN50" s="24"/>
      <c r="YO50" s="24"/>
      <c r="YP50" s="24"/>
      <c r="YQ50" s="24"/>
      <c r="YR50" s="24"/>
      <c r="YS50" s="24"/>
      <c r="YT50" s="24"/>
      <c r="YU50" s="24"/>
      <c r="YV50" s="24"/>
      <c r="YW50" s="24"/>
      <c r="YX50" s="24"/>
      <c r="YY50" s="24"/>
      <c r="YZ50" s="24"/>
      <c r="ZA50" s="24"/>
      <c r="ZB50" s="24"/>
      <c r="ZC50" s="24"/>
      <c r="ZD50" s="24"/>
      <c r="ZE50" s="24"/>
      <c r="ZF50" s="24"/>
      <c r="ZG50" s="24"/>
      <c r="ZH50" s="24"/>
      <c r="ZI50" s="24"/>
      <c r="ZJ50" s="24"/>
      <c r="ZK50" s="24"/>
      <c r="ZL50" s="24"/>
      <c r="ZM50" s="24"/>
      <c r="ZN50" s="24"/>
      <c r="ZO50" s="24"/>
      <c r="ZP50" s="24"/>
      <c r="ZQ50" s="24"/>
      <c r="ZR50" s="24"/>
      <c r="ZS50" s="24"/>
      <c r="ZT50" s="24"/>
      <c r="ZU50" s="24"/>
      <c r="ZV50" s="24"/>
      <c r="ZW50" s="24"/>
      <c r="ZX50" s="24"/>
      <c r="ZY50" s="24"/>
      <c r="ZZ50" s="24"/>
      <c r="AAA50" s="24"/>
      <c r="AAB50" s="24"/>
      <c r="AAC50" s="24"/>
      <c r="AAD50" s="24"/>
      <c r="AAE50" s="24"/>
      <c r="AAF50" s="24"/>
      <c r="AAG50" s="24"/>
      <c r="AAH50" s="24"/>
      <c r="AAI50" s="24"/>
      <c r="AAJ50" s="24"/>
      <c r="AAK50" s="24"/>
      <c r="AAL50" s="24"/>
      <c r="AAM50" s="24"/>
      <c r="AAN50" s="24"/>
      <c r="AAO50" s="24"/>
      <c r="AAP50" s="24"/>
      <c r="AAQ50" s="24"/>
      <c r="AAR50" s="24"/>
      <c r="AAS50" s="24"/>
      <c r="AAT50" s="24"/>
      <c r="AAU50" s="24"/>
      <c r="AAV50" s="24"/>
      <c r="AAW50" s="24"/>
      <c r="AAX50" s="24"/>
      <c r="AAY50" s="24"/>
      <c r="AAZ50" s="24"/>
      <c r="ABA50" s="24"/>
      <c r="ABB50" s="24"/>
      <c r="ABC50" s="24"/>
      <c r="ABD50" s="24"/>
      <c r="ABE50" s="24"/>
      <c r="ABF50" s="24"/>
      <c r="ABG50" s="24"/>
      <c r="ABH50" s="24"/>
      <c r="ABI50" s="24"/>
      <c r="ABJ50" s="24"/>
      <c r="ABK50" s="24"/>
      <c r="ABL50" s="24"/>
      <c r="ABM50" s="24"/>
      <c r="ABN50" s="24"/>
      <c r="ABO50" s="24"/>
      <c r="ABP50" s="24"/>
      <c r="ABQ50" s="24"/>
      <c r="ABR50" s="24"/>
      <c r="ABS50" s="24"/>
      <c r="ABT50" s="24"/>
      <c r="ABU50" s="24"/>
      <c r="ABV50" s="24"/>
      <c r="ABW50" s="24"/>
      <c r="ABX50" s="24"/>
      <c r="ABY50" s="24"/>
      <c r="ABZ50" s="24"/>
      <c r="ACA50" s="24"/>
      <c r="ACB50" s="24"/>
      <c r="ACC50" s="24"/>
      <c r="ACD50" s="24"/>
      <c r="ACE50" s="24"/>
      <c r="ACF50" s="24"/>
      <c r="ACG50" s="24"/>
      <c r="ACH50" s="24"/>
      <c r="ACI50" s="24"/>
      <c r="ACJ50" s="24"/>
      <c r="ACK50" s="24"/>
      <c r="ACL50" s="24"/>
      <c r="ACM50" s="24"/>
      <c r="ACN50" s="24"/>
      <c r="ACO50" s="24"/>
      <c r="ACP50" s="24"/>
      <c r="ACQ50" s="24"/>
      <c r="ACR50" s="24"/>
      <c r="ACS50" s="24"/>
      <c r="ACT50" s="24"/>
      <c r="ACU50" s="24"/>
      <c r="ACV50" s="24"/>
      <c r="ACW50" s="24"/>
      <c r="ACX50" s="24"/>
      <c r="ACY50" s="24"/>
      <c r="ACZ50" s="24"/>
      <c r="ADA50" s="24"/>
      <c r="ADB50" s="24"/>
      <c r="ADC50" s="24"/>
      <c r="ADD50" s="24"/>
      <c r="ADE50" s="24"/>
      <c r="ADF50" s="24"/>
      <c r="ADG50" s="24"/>
      <c r="ADH50" s="24"/>
      <c r="ADI50" s="24"/>
      <c r="ADJ50" s="24"/>
      <c r="ADK50" s="24"/>
      <c r="ADL50" s="24"/>
      <c r="ADM50" s="24"/>
      <c r="ADN50" s="24"/>
      <c r="ADO50" s="24"/>
      <c r="ADP50" s="24"/>
      <c r="ADQ50" s="24"/>
      <c r="ADR50" s="24"/>
      <c r="ADS50" s="24"/>
      <c r="ADT50" s="24"/>
      <c r="ADU50" s="24"/>
      <c r="ADV50" s="24"/>
      <c r="ADW50" s="24"/>
      <c r="ADX50" s="24"/>
      <c r="ADY50" s="24"/>
      <c r="ADZ50" s="24"/>
      <c r="AEA50" s="24"/>
      <c r="AEB50" s="24"/>
      <c r="AEC50" s="24"/>
      <c r="AED50" s="24"/>
      <c r="AEE50" s="24"/>
      <c r="AEF50" s="24"/>
      <c r="AEG50" s="24"/>
      <c r="AEH50" s="24"/>
      <c r="AEI50" s="24"/>
      <c r="AEJ50" s="24"/>
      <c r="AEK50" s="24"/>
      <c r="AEL50" s="24"/>
      <c r="AEM50" s="24"/>
      <c r="AEN50" s="24"/>
      <c r="AEO50" s="24"/>
      <c r="AEP50" s="24"/>
      <c r="AEQ50" s="24"/>
      <c r="AER50" s="24"/>
      <c r="AES50" s="24"/>
      <c r="AET50" s="24"/>
      <c r="AEU50" s="24"/>
      <c r="AEV50" s="24"/>
      <c r="AEW50" s="24"/>
      <c r="AEX50" s="24"/>
      <c r="AEY50" s="24"/>
      <c r="AEZ50" s="24"/>
      <c r="AFA50" s="24"/>
      <c r="AFB50" s="24"/>
      <c r="AFC50" s="24"/>
      <c r="AFD50" s="24"/>
      <c r="AFE50" s="24"/>
      <c r="AFF50" s="24"/>
      <c r="AFG50" s="24"/>
      <c r="AFH50" s="24"/>
      <c r="AFI50" s="24"/>
      <c r="AFJ50" s="24"/>
      <c r="AFK50" s="24"/>
      <c r="AFL50" s="24"/>
      <c r="AFM50" s="24"/>
      <c r="AFN50" s="24"/>
      <c r="AFO50" s="24"/>
      <c r="AFP50" s="24"/>
      <c r="AFQ50" s="24"/>
      <c r="AFR50" s="24"/>
      <c r="AFS50" s="24"/>
      <c r="AFT50" s="24"/>
      <c r="AFU50" s="24"/>
      <c r="AFV50" s="24"/>
      <c r="AFW50" s="24"/>
      <c r="AFX50" s="24"/>
      <c r="AFY50" s="24"/>
      <c r="AFZ50" s="24"/>
      <c r="AGA50" s="24"/>
      <c r="AGB50" s="24"/>
      <c r="AGC50" s="24"/>
      <c r="AGD50" s="24"/>
      <c r="AGE50" s="24"/>
      <c r="AGF50" s="24"/>
      <c r="AGG50" s="24"/>
      <c r="AGH50" s="24"/>
      <c r="AGI50" s="24"/>
      <c r="AGJ50" s="24"/>
      <c r="AGK50" s="24"/>
      <c r="AGL50" s="24"/>
      <c r="AGM50" s="24"/>
      <c r="AGN50" s="24"/>
      <c r="AGO50" s="24"/>
      <c r="AGP50" s="24"/>
      <c r="AGQ50" s="24"/>
      <c r="AGR50" s="24"/>
      <c r="AGS50" s="24"/>
      <c r="AGT50" s="24"/>
      <c r="AGU50" s="24"/>
      <c r="AGV50" s="24"/>
      <c r="AGW50" s="24"/>
      <c r="AGX50" s="24"/>
      <c r="AGY50" s="24"/>
      <c r="AGZ50" s="24"/>
      <c r="AHA50" s="24"/>
      <c r="AHB50" s="24"/>
      <c r="AHC50" s="24"/>
      <c r="AHD50" s="24"/>
      <c r="AHE50" s="24"/>
      <c r="AHF50" s="24"/>
      <c r="AHG50" s="24"/>
      <c r="AHH50" s="24"/>
      <c r="AHI50" s="24"/>
      <c r="AHJ50" s="24"/>
      <c r="AHK50" s="24"/>
      <c r="AHL50" s="24"/>
      <c r="AHM50" s="24"/>
      <c r="AHN50" s="24"/>
      <c r="AHO50" s="24"/>
      <c r="AHP50" s="24"/>
      <c r="AHQ50" s="24"/>
      <c r="AHR50" s="24"/>
      <c r="AHS50" s="24"/>
      <c r="AHT50" s="24"/>
      <c r="AHU50" s="24"/>
      <c r="AHV50" s="24"/>
      <c r="AHW50" s="24"/>
      <c r="AHX50" s="24"/>
      <c r="AHY50" s="24"/>
      <c r="AHZ50" s="24"/>
      <c r="AIA50" s="24"/>
      <c r="AIB50" s="24"/>
      <c r="AIC50" s="24"/>
      <c r="AID50" s="24"/>
      <c r="AIE50" s="24"/>
      <c r="AIF50" s="24"/>
      <c r="AIG50" s="24"/>
      <c r="AIH50" s="24"/>
      <c r="AII50" s="24"/>
      <c r="AIJ50" s="24"/>
      <c r="AIK50" s="24"/>
      <c r="AIL50" s="24"/>
      <c r="AIM50" s="24"/>
      <c r="AIN50" s="24"/>
      <c r="AIO50" s="24"/>
      <c r="AIP50" s="24"/>
      <c r="AIQ50" s="24"/>
      <c r="AIR50" s="24"/>
      <c r="AIS50" s="24"/>
      <c r="AIT50" s="24"/>
      <c r="AIU50" s="24"/>
      <c r="AIV50" s="24"/>
      <c r="AIW50" s="24"/>
      <c r="AIX50" s="24"/>
      <c r="AIY50" s="24"/>
      <c r="AIZ50" s="24"/>
      <c r="AJA50" s="24"/>
      <c r="AJB50" s="24"/>
      <c r="AJC50" s="24"/>
      <c r="AJD50" s="24"/>
      <c r="AJE50" s="24"/>
      <c r="AJF50" s="24"/>
      <c r="AJG50" s="24"/>
      <c r="AJH50" s="24"/>
      <c r="AJI50" s="24"/>
      <c r="AJJ50" s="24"/>
      <c r="AJK50" s="24"/>
      <c r="AJL50" s="24"/>
      <c r="AJM50" s="24"/>
      <c r="AJN50" s="24"/>
      <c r="AJO50" s="24"/>
      <c r="AJP50" s="24"/>
      <c r="AJQ50" s="24"/>
      <c r="AJR50" s="24"/>
      <c r="AJS50" s="24"/>
      <c r="AJT50" s="24"/>
      <c r="AJU50" s="24"/>
      <c r="AJV50" s="24"/>
      <c r="AJW50" s="24"/>
      <c r="AJX50" s="24"/>
      <c r="AJY50" s="24"/>
      <c r="AJZ50" s="24"/>
      <c r="AKA50" s="24"/>
      <c r="AKB50" s="24"/>
      <c r="AKC50" s="24"/>
      <c r="AKD50" s="24"/>
      <c r="AKE50" s="24"/>
      <c r="AKF50" s="24"/>
      <c r="AKG50" s="24"/>
      <c r="AKH50" s="24"/>
      <c r="AKI50" s="24"/>
      <c r="AKJ50" s="24"/>
      <c r="AKK50" s="24"/>
      <c r="AKL50" s="24"/>
      <c r="AKM50" s="24"/>
      <c r="AKN50" s="24"/>
      <c r="AKO50" s="24"/>
      <c r="AKP50" s="24"/>
      <c r="AKQ50" s="24"/>
      <c r="AKR50" s="24"/>
      <c r="AKS50" s="24"/>
      <c r="AKT50" s="24"/>
      <c r="AKU50" s="24"/>
      <c r="AKV50" s="24"/>
      <c r="AKW50" s="24"/>
      <c r="AKX50" s="24"/>
      <c r="AKY50" s="24"/>
      <c r="AKZ50" s="24"/>
      <c r="ALA50" s="24"/>
      <c r="ALB50" s="24"/>
      <c r="ALC50" s="24"/>
      <c r="ALD50" s="24"/>
      <c r="ALE50" s="24"/>
      <c r="ALF50" s="24"/>
      <c r="ALG50" s="24"/>
      <c r="ALH50" s="24"/>
      <c r="ALI50" s="24"/>
      <c r="ALJ50" s="24"/>
      <c r="ALK50" s="24"/>
      <c r="ALL50" s="24"/>
      <c r="ALM50" s="24"/>
      <c r="ALN50" s="24"/>
      <c r="ALO50" s="24"/>
      <c r="ALP50" s="24"/>
      <c r="ALQ50" s="24"/>
      <c r="ALR50" s="24"/>
      <c r="ALS50" s="24"/>
      <c r="ALT50" s="24"/>
      <c r="ALU50" s="24"/>
      <c r="ALV50" s="24"/>
      <c r="ALW50" s="24"/>
      <c r="ALX50" s="24"/>
      <c r="ALY50" s="24"/>
      <c r="ALZ50" s="24"/>
      <c r="AMA50" s="24"/>
      <c r="AMB50" s="24"/>
      <c r="AMC50" s="24"/>
      <c r="AMD50" s="24"/>
      <c r="AME50" s="24"/>
      <c r="AMF50" s="24"/>
      <c r="AMG50" s="24"/>
      <c r="AMH50" s="24"/>
      <c r="AMI50" s="24"/>
      <c r="AMJ50" s="24"/>
      <c r="AMK50" s="24"/>
      <c r="AML50" s="24"/>
      <c r="AMM50" s="24"/>
      <c r="AMN50" s="24"/>
      <c r="AMO50" s="24"/>
      <c r="AMP50" s="24"/>
      <c r="AMQ50" s="24"/>
      <c r="AMR50" s="24"/>
      <c r="AMS50" s="24"/>
      <c r="AMT50" s="24"/>
      <c r="AMU50" s="24"/>
      <c r="AMV50" s="24"/>
      <c r="AMW50" s="24"/>
      <c r="AMX50" s="24"/>
      <c r="AMY50" s="24"/>
      <c r="AMZ50" s="24"/>
      <c r="ANA50" s="24"/>
      <c r="ANB50" s="24"/>
      <c r="ANC50" s="24"/>
      <c r="AND50" s="24"/>
      <c r="ANE50" s="24"/>
      <c r="ANF50" s="24"/>
      <c r="ANG50" s="24"/>
      <c r="ANH50" s="24"/>
      <c r="ANI50" s="24"/>
      <c r="ANJ50" s="24"/>
      <c r="ANK50" s="24"/>
      <c r="ANL50" s="24"/>
      <c r="ANM50" s="24"/>
      <c r="ANN50" s="24"/>
      <c r="ANO50" s="24"/>
      <c r="ANP50" s="24"/>
      <c r="ANQ50" s="24"/>
      <c r="ANR50" s="24"/>
      <c r="ANS50" s="24"/>
      <c r="ANT50" s="24"/>
      <c r="ANU50" s="24"/>
      <c r="ANV50" s="24"/>
      <c r="ANW50" s="24"/>
      <c r="ANX50" s="24"/>
      <c r="ANY50" s="24"/>
      <c r="ANZ50" s="24"/>
      <c r="AOA50" s="24"/>
      <c r="AOB50" s="24"/>
      <c r="AOC50" s="24"/>
      <c r="AOD50" s="24"/>
      <c r="AOE50" s="24"/>
      <c r="AOF50" s="24"/>
      <c r="AOG50" s="24"/>
      <c r="AOH50" s="24"/>
      <c r="AOI50" s="24"/>
      <c r="AOJ50" s="24"/>
      <c r="AOK50" s="24"/>
      <c r="AOL50" s="24"/>
      <c r="AOM50" s="24"/>
      <c r="AON50" s="24"/>
      <c r="AOO50" s="24"/>
      <c r="AOP50" s="24"/>
      <c r="AOQ50" s="24"/>
      <c r="AOR50" s="24"/>
      <c r="AOS50" s="24"/>
      <c r="AOT50" s="24"/>
      <c r="AOU50" s="24"/>
      <c r="AOV50" s="24"/>
      <c r="AOW50" s="24"/>
      <c r="AOX50" s="24"/>
      <c r="AOY50" s="24"/>
      <c r="AOZ50" s="24"/>
      <c r="APA50" s="24"/>
      <c r="APB50" s="24"/>
      <c r="APC50" s="24"/>
      <c r="APD50" s="24"/>
      <c r="APE50" s="24"/>
      <c r="APF50" s="24"/>
      <c r="APG50" s="24"/>
      <c r="APH50" s="24"/>
      <c r="API50" s="24"/>
      <c r="APJ50" s="24"/>
      <c r="APK50" s="24"/>
      <c r="APL50" s="24"/>
      <c r="APM50" s="24"/>
      <c r="APN50" s="24"/>
      <c r="APO50" s="24"/>
      <c r="APP50" s="24"/>
      <c r="APQ50" s="24"/>
      <c r="APR50" s="24"/>
      <c r="APS50" s="24"/>
      <c r="APT50" s="24"/>
      <c r="APU50" s="24"/>
      <c r="APV50" s="24"/>
      <c r="APW50" s="24"/>
      <c r="APX50" s="24"/>
      <c r="APY50" s="24"/>
      <c r="APZ50" s="24"/>
      <c r="AQA50" s="24"/>
      <c r="AQB50" s="24"/>
      <c r="AQC50" s="24"/>
      <c r="AQD50" s="24"/>
      <c r="AQE50" s="24"/>
      <c r="AQF50" s="24"/>
      <c r="AQG50" s="24"/>
      <c r="AQH50" s="24"/>
      <c r="AQI50" s="24"/>
      <c r="AQJ50" s="24"/>
      <c r="AQK50" s="24"/>
      <c r="AQL50" s="24"/>
      <c r="AQM50" s="24"/>
      <c r="AQN50" s="24"/>
      <c r="AQO50" s="24"/>
      <c r="AQP50" s="24"/>
      <c r="AQQ50" s="24"/>
      <c r="AQR50" s="24"/>
      <c r="AQS50" s="24"/>
      <c r="AQT50" s="24"/>
      <c r="AQU50" s="24"/>
      <c r="AQV50" s="24"/>
      <c r="AQW50" s="24"/>
      <c r="AQX50" s="24"/>
      <c r="AQY50" s="24"/>
      <c r="AQZ50" s="24"/>
      <c r="ARA50" s="24"/>
      <c r="ARB50" s="24"/>
      <c r="ARC50" s="24"/>
      <c r="ARD50" s="24"/>
      <c r="ARE50" s="24"/>
      <c r="ARF50" s="24"/>
      <c r="ARG50" s="24"/>
      <c r="ARH50" s="24"/>
      <c r="ARI50" s="24"/>
      <c r="ARJ50" s="24"/>
      <c r="ARK50" s="24"/>
      <c r="ARL50" s="24"/>
      <c r="ARM50" s="24"/>
      <c r="ARN50" s="24"/>
      <c r="ARO50" s="24"/>
      <c r="ARP50" s="24"/>
      <c r="ARQ50" s="24"/>
      <c r="ARR50" s="24"/>
      <c r="ARS50" s="24"/>
      <c r="ART50" s="24"/>
      <c r="ARU50" s="24"/>
      <c r="ARV50" s="24"/>
      <c r="ARW50" s="24"/>
      <c r="ARX50" s="24"/>
      <c r="ARY50" s="24"/>
      <c r="ARZ50" s="24"/>
      <c r="ASA50" s="24"/>
      <c r="ASB50" s="24"/>
      <c r="ASC50" s="24"/>
      <c r="ASD50" s="24"/>
      <c r="ASE50" s="24"/>
      <c r="ASF50" s="24"/>
      <c r="ASG50" s="24"/>
      <c r="ASH50" s="24"/>
      <c r="ASI50" s="24"/>
      <c r="ASJ50" s="24"/>
      <c r="ASK50" s="24"/>
      <c r="ASL50" s="24"/>
      <c r="ASM50" s="24"/>
      <c r="ASN50" s="24"/>
      <c r="ASO50" s="24"/>
      <c r="ASP50" s="24"/>
      <c r="ASQ50" s="24"/>
      <c r="ASR50" s="24"/>
      <c r="ASS50" s="24"/>
      <c r="AST50" s="24"/>
      <c r="ASU50" s="24"/>
      <c r="ASV50" s="24"/>
      <c r="ASW50" s="24"/>
      <c r="ASX50" s="24"/>
      <c r="ASY50" s="24"/>
      <c r="ASZ50" s="24"/>
      <c r="ATA50" s="24"/>
      <c r="ATB50" s="24"/>
      <c r="ATC50" s="24"/>
      <c r="ATD50" s="24"/>
      <c r="ATE50" s="24"/>
      <c r="ATF50" s="24"/>
      <c r="ATG50" s="24"/>
      <c r="ATH50" s="24"/>
      <c r="ATI50" s="24"/>
      <c r="ATJ50" s="24"/>
      <c r="ATK50" s="24"/>
      <c r="ATL50" s="24"/>
      <c r="ATM50" s="24"/>
      <c r="ATN50" s="24"/>
      <c r="ATO50" s="24"/>
      <c r="ATP50" s="24"/>
      <c r="ATQ50" s="24"/>
      <c r="ATR50" s="24"/>
      <c r="ATS50" s="24"/>
      <c r="ATT50" s="24"/>
      <c r="ATU50" s="24"/>
      <c r="ATV50" s="24"/>
      <c r="ATW50" s="24"/>
      <c r="ATX50" s="24"/>
      <c r="ATY50" s="24"/>
      <c r="ATZ50" s="24"/>
      <c r="AUA50" s="24"/>
      <c r="AUB50" s="24"/>
      <c r="AUC50" s="24"/>
      <c r="AUD50" s="24"/>
      <c r="AUE50" s="24"/>
      <c r="AUF50" s="24"/>
      <c r="AUG50" s="24"/>
      <c r="AUH50" s="24"/>
      <c r="AUI50" s="24"/>
      <c r="AUJ50" s="24"/>
      <c r="AUK50" s="24"/>
      <c r="AUL50" s="24"/>
      <c r="AUM50" s="24"/>
      <c r="AUN50" s="24"/>
      <c r="AUO50" s="24"/>
      <c r="AUP50" s="24"/>
      <c r="AUQ50" s="24"/>
      <c r="AUR50" s="24"/>
      <c r="AUS50" s="24"/>
      <c r="AUT50" s="24"/>
      <c r="AUU50" s="24"/>
      <c r="AUV50" s="24"/>
      <c r="AUW50" s="24"/>
      <c r="AUX50" s="24"/>
      <c r="AUY50" s="24"/>
      <c r="AUZ50" s="24"/>
      <c r="AVA50" s="24"/>
      <c r="AVB50" s="24"/>
      <c r="AVC50" s="24"/>
      <c r="AVD50" s="24"/>
      <c r="AVE50" s="24"/>
      <c r="AVF50" s="24"/>
      <c r="AVG50" s="24"/>
      <c r="AVH50" s="24"/>
      <c r="AVI50" s="24"/>
      <c r="AVJ50" s="24"/>
      <c r="AVK50" s="24"/>
      <c r="AVL50" s="24"/>
      <c r="AVM50" s="24"/>
      <c r="AVN50" s="24"/>
      <c r="AVO50" s="24"/>
      <c r="AVP50" s="24"/>
      <c r="AVQ50" s="24"/>
      <c r="AVR50" s="24"/>
      <c r="AVS50" s="24"/>
      <c r="AVT50" s="24"/>
      <c r="AVU50" s="24"/>
      <c r="AVV50" s="24"/>
      <c r="AVW50" s="24"/>
      <c r="AVX50" s="24"/>
      <c r="AVY50" s="24"/>
      <c r="AVZ50" s="24"/>
      <c r="AWA50" s="24"/>
      <c r="AWB50" s="24"/>
      <c r="AWC50" s="24"/>
      <c r="AWD50" s="24"/>
      <c r="AWE50" s="24"/>
      <c r="AWF50" s="24"/>
      <c r="AWG50" s="24"/>
      <c r="AWH50" s="24"/>
      <c r="AWI50" s="24"/>
      <c r="AWJ50" s="24"/>
      <c r="AWK50" s="24"/>
      <c r="AWL50" s="24"/>
      <c r="AWM50" s="24"/>
      <c r="AWN50" s="24"/>
      <c r="AWO50" s="24"/>
      <c r="AWP50" s="24"/>
      <c r="AWQ50" s="24"/>
      <c r="AWR50" s="24"/>
      <c r="AWS50" s="24"/>
      <c r="AWT50" s="24"/>
      <c r="AWU50" s="24"/>
      <c r="AWV50" s="24"/>
      <c r="AWW50" s="24"/>
      <c r="AWX50" s="24"/>
      <c r="AWY50" s="24"/>
      <c r="AWZ50" s="24"/>
      <c r="AXA50" s="24"/>
      <c r="AXB50" s="24"/>
      <c r="AXC50" s="24"/>
      <c r="AXD50" s="24"/>
      <c r="AXE50" s="24"/>
      <c r="AXF50" s="24"/>
      <c r="AXG50" s="24"/>
      <c r="AXH50" s="24"/>
      <c r="AXI50" s="24"/>
      <c r="AXJ50" s="24"/>
      <c r="AXK50" s="24"/>
      <c r="AXL50" s="24"/>
      <c r="AXM50" s="24"/>
      <c r="AXN50" s="24"/>
      <c r="AXO50" s="24"/>
      <c r="AXP50" s="24"/>
      <c r="AXQ50" s="24"/>
      <c r="AXR50" s="24"/>
      <c r="AXS50" s="24"/>
      <c r="AXT50" s="24"/>
      <c r="AXU50" s="24"/>
      <c r="AXV50" s="24"/>
      <c r="AXW50" s="24"/>
      <c r="AXX50" s="24"/>
      <c r="AXY50" s="24"/>
      <c r="AXZ50" s="24"/>
      <c r="AYA50" s="24"/>
      <c r="AYB50" s="24"/>
      <c r="AYC50" s="24"/>
      <c r="AYD50" s="24"/>
      <c r="AYE50" s="24"/>
      <c r="AYF50" s="24"/>
      <c r="AYG50" s="24"/>
      <c r="AYH50" s="24"/>
      <c r="AYI50" s="24"/>
      <c r="AYJ50" s="24"/>
      <c r="AYK50" s="24"/>
      <c r="AYL50" s="24"/>
      <c r="AYM50" s="24"/>
      <c r="AYN50" s="24"/>
      <c r="AYO50" s="24"/>
      <c r="AYP50" s="24"/>
      <c r="AYQ50" s="24"/>
      <c r="AYR50" s="24"/>
      <c r="AYS50" s="24"/>
      <c r="AYT50" s="24"/>
      <c r="AYU50" s="24"/>
      <c r="AYV50" s="24"/>
      <c r="AYW50" s="24"/>
      <c r="AYX50" s="24"/>
      <c r="AYY50" s="24"/>
      <c r="AYZ50" s="24"/>
      <c r="AZA50" s="24"/>
      <c r="AZB50" s="24"/>
      <c r="AZC50" s="24"/>
      <c r="AZD50" s="24"/>
      <c r="AZE50" s="24"/>
      <c r="AZF50" s="24"/>
      <c r="AZG50" s="24"/>
      <c r="AZH50" s="24"/>
      <c r="AZI50" s="24"/>
      <c r="AZJ50" s="24"/>
      <c r="AZK50" s="24"/>
      <c r="AZL50" s="24"/>
      <c r="AZM50" s="24"/>
      <c r="AZN50" s="24"/>
      <c r="AZO50" s="24"/>
      <c r="AZP50" s="24"/>
      <c r="AZQ50" s="24"/>
      <c r="AZR50" s="24"/>
      <c r="AZS50" s="24"/>
      <c r="AZT50" s="24"/>
      <c r="AZU50" s="24"/>
      <c r="AZV50" s="24"/>
      <c r="AZW50" s="24"/>
      <c r="AZX50" s="24"/>
      <c r="AZY50" s="24"/>
      <c r="AZZ50" s="24"/>
      <c r="BAA50" s="24"/>
      <c r="BAB50" s="24"/>
      <c r="BAC50" s="24"/>
      <c r="BAD50" s="24"/>
      <c r="BAE50" s="24"/>
      <c r="BAF50" s="24"/>
      <c r="BAG50" s="24"/>
      <c r="BAH50" s="24"/>
      <c r="BAI50" s="24"/>
      <c r="BAJ50" s="24"/>
      <c r="BAK50" s="24"/>
      <c r="BAL50" s="24"/>
      <c r="BAM50" s="24"/>
      <c r="BAN50" s="24"/>
      <c r="BAO50" s="24"/>
      <c r="BAP50" s="24"/>
      <c r="BAQ50" s="24"/>
      <c r="BAR50" s="24"/>
      <c r="BAS50" s="24"/>
      <c r="BAT50" s="24"/>
      <c r="BAU50" s="24"/>
      <c r="BAV50" s="24"/>
      <c r="BAW50" s="24"/>
      <c r="BAX50" s="24"/>
      <c r="BAY50" s="24"/>
      <c r="BAZ50" s="24"/>
      <c r="BBA50" s="24"/>
      <c r="BBB50" s="24"/>
      <c r="BBC50" s="24"/>
      <c r="BBD50" s="24"/>
      <c r="BBE50" s="24"/>
      <c r="BBF50" s="24"/>
      <c r="BBG50" s="24"/>
      <c r="BBH50" s="24"/>
      <c r="BBI50" s="24"/>
      <c r="BBJ50" s="24"/>
      <c r="BBK50" s="24"/>
      <c r="BBL50" s="24"/>
      <c r="BBM50" s="24"/>
      <c r="BBN50" s="24"/>
      <c r="BBO50" s="24"/>
      <c r="BBP50" s="24"/>
      <c r="BBQ50" s="24"/>
      <c r="BBR50" s="24"/>
      <c r="BBS50" s="24"/>
      <c r="BBT50" s="24"/>
      <c r="BBU50" s="24"/>
      <c r="BBV50" s="24"/>
      <c r="BBW50" s="24"/>
      <c r="BBX50" s="24"/>
      <c r="BBY50" s="24"/>
      <c r="BBZ50" s="24"/>
      <c r="BCA50" s="24"/>
      <c r="BCB50" s="24"/>
      <c r="BCC50" s="24"/>
      <c r="BCD50" s="24"/>
      <c r="BCE50" s="24"/>
      <c r="BCF50" s="24"/>
      <c r="BCG50" s="24"/>
      <c r="BCH50" s="24"/>
      <c r="BCI50" s="24"/>
      <c r="BCJ50" s="24"/>
      <c r="BCK50" s="24"/>
      <c r="BCL50" s="24"/>
      <c r="BCM50" s="24"/>
      <c r="BCN50" s="24"/>
      <c r="BCO50" s="24"/>
      <c r="BCP50" s="24"/>
      <c r="BCQ50" s="24"/>
      <c r="BCR50" s="24"/>
      <c r="BCS50" s="24"/>
      <c r="BCT50" s="24"/>
      <c r="BCU50" s="24"/>
      <c r="BCV50" s="24"/>
      <c r="BCW50" s="24"/>
      <c r="BCX50" s="24"/>
      <c r="BCY50" s="24"/>
      <c r="BCZ50" s="24"/>
      <c r="BDA50" s="24"/>
      <c r="BDB50" s="24"/>
      <c r="BDC50" s="24"/>
      <c r="BDD50" s="24"/>
      <c r="BDE50" s="24"/>
      <c r="BDF50" s="24"/>
      <c r="BDG50" s="24"/>
      <c r="BDH50" s="24"/>
      <c r="BDI50" s="24"/>
      <c r="BDJ50" s="24"/>
      <c r="BDK50" s="24"/>
      <c r="BDL50" s="24"/>
      <c r="BDM50" s="24"/>
      <c r="BDN50" s="24"/>
      <c r="BDO50" s="24"/>
      <c r="BDP50" s="24"/>
      <c r="BDQ50" s="24"/>
      <c r="BDR50" s="24"/>
      <c r="BDS50" s="24"/>
      <c r="BDT50" s="24"/>
      <c r="BDU50" s="24"/>
      <c r="BDV50" s="24"/>
      <c r="BDW50" s="24"/>
      <c r="BDX50" s="24"/>
      <c r="BDY50" s="24"/>
      <c r="BDZ50" s="24"/>
      <c r="BEA50" s="24"/>
      <c r="BEB50" s="24"/>
      <c r="BEC50" s="24"/>
      <c r="BED50" s="24"/>
      <c r="BEE50" s="24"/>
      <c r="BEF50" s="24"/>
      <c r="BEG50" s="24"/>
      <c r="BEH50" s="24"/>
      <c r="BEI50" s="24"/>
      <c r="BEJ50" s="24"/>
      <c r="BEK50" s="24"/>
      <c r="BEL50" s="24"/>
      <c r="BEM50" s="24"/>
      <c r="BEN50" s="24"/>
      <c r="BEO50" s="24"/>
      <c r="BEP50" s="24"/>
      <c r="BEQ50" s="24"/>
      <c r="BER50" s="24"/>
      <c r="BES50" s="24"/>
      <c r="BET50" s="24"/>
      <c r="BEU50" s="24"/>
      <c r="BEV50" s="24"/>
      <c r="BEW50" s="24"/>
      <c r="BEX50" s="24"/>
      <c r="BEY50" s="24"/>
      <c r="BEZ50" s="24"/>
      <c r="BFA50" s="24"/>
      <c r="BFB50" s="24"/>
      <c r="BFC50" s="24"/>
      <c r="BFD50" s="24"/>
      <c r="BFE50" s="24"/>
      <c r="BFF50" s="24"/>
      <c r="BFG50" s="24"/>
      <c r="BFH50" s="24"/>
      <c r="BFI50" s="24"/>
      <c r="BFJ50" s="24"/>
      <c r="BFK50" s="24"/>
      <c r="BFL50" s="24"/>
      <c r="BFM50" s="24"/>
      <c r="BFN50" s="24"/>
      <c r="BFO50" s="24"/>
      <c r="BFP50" s="24"/>
      <c r="BFQ50" s="24"/>
      <c r="BFR50" s="24"/>
      <c r="BFS50" s="24"/>
      <c r="BFT50" s="24"/>
      <c r="BFU50" s="24"/>
      <c r="BFV50" s="24"/>
      <c r="BFW50" s="24"/>
      <c r="BFX50" s="24"/>
      <c r="BFY50" s="24"/>
      <c r="BFZ50" s="24"/>
      <c r="BGA50" s="24"/>
      <c r="BGB50" s="24"/>
      <c r="BGC50" s="24"/>
      <c r="BGD50" s="24"/>
      <c r="BGE50" s="24"/>
      <c r="BGF50" s="24"/>
      <c r="BGG50" s="24"/>
      <c r="BGH50" s="24"/>
      <c r="BGI50" s="24"/>
      <c r="BGJ50" s="24"/>
      <c r="BGK50" s="24"/>
      <c r="BGL50" s="24"/>
      <c r="BGM50" s="24"/>
      <c r="BGN50" s="24"/>
      <c r="BGO50" s="24"/>
      <c r="BGP50" s="24"/>
      <c r="BGQ50" s="24"/>
      <c r="BGR50" s="24"/>
      <c r="BGS50" s="24"/>
      <c r="BGT50" s="24"/>
      <c r="BGU50" s="24"/>
      <c r="BGV50" s="24"/>
      <c r="BGW50" s="24"/>
      <c r="BGX50" s="24"/>
      <c r="BGY50" s="24"/>
      <c r="BGZ50" s="24"/>
      <c r="BHA50" s="24"/>
      <c r="BHB50" s="24"/>
      <c r="BHC50" s="24"/>
      <c r="BHD50" s="24"/>
      <c r="BHE50" s="24"/>
      <c r="BHF50" s="24"/>
      <c r="BHG50" s="24"/>
      <c r="BHH50" s="24"/>
      <c r="BHI50" s="24"/>
      <c r="BHJ50" s="24"/>
      <c r="BHK50" s="24"/>
      <c r="BHL50" s="24"/>
      <c r="BHM50" s="24"/>
      <c r="BHN50" s="24"/>
      <c r="BHO50" s="24"/>
      <c r="BHP50" s="24"/>
      <c r="BHQ50" s="24"/>
      <c r="BHR50" s="24"/>
      <c r="BHS50" s="24"/>
      <c r="BHT50" s="24"/>
      <c r="BHU50" s="24"/>
      <c r="BHV50" s="24"/>
      <c r="BHW50" s="24"/>
      <c r="BHX50" s="24"/>
      <c r="BHY50" s="24"/>
      <c r="BHZ50" s="24"/>
      <c r="BIA50" s="24"/>
      <c r="BIB50" s="24"/>
      <c r="BIC50" s="24"/>
      <c r="BID50" s="24"/>
      <c r="BIE50" s="24"/>
      <c r="BIF50" s="24"/>
      <c r="BIG50" s="24"/>
      <c r="BIH50" s="24"/>
      <c r="BII50" s="24"/>
      <c r="BIJ50" s="24"/>
      <c r="BIK50" s="24"/>
      <c r="BIL50" s="24"/>
      <c r="BIM50" s="24"/>
      <c r="BIN50" s="24"/>
      <c r="BIO50" s="24"/>
      <c r="BIP50" s="24"/>
      <c r="BIQ50" s="24"/>
      <c r="BIR50" s="24"/>
      <c r="BIS50" s="24"/>
      <c r="BIT50" s="24"/>
      <c r="BIU50" s="24"/>
      <c r="BIV50" s="24"/>
      <c r="BIW50" s="24"/>
      <c r="BIX50" s="24"/>
      <c r="BIY50" s="24"/>
      <c r="BIZ50" s="24"/>
      <c r="BJA50" s="24"/>
      <c r="BJB50" s="24"/>
      <c r="BJC50" s="24"/>
      <c r="BJD50" s="24"/>
      <c r="BJE50" s="24"/>
      <c r="BJF50" s="24"/>
      <c r="BJG50" s="24"/>
      <c r="BJH50" s="24"/>
      <c r="BJI50" s="24"/>
      <c r="BJJ50" s="24"/>
      <c r="BJK50" s="24"/>
      <c r="BJL50" s="24"/>
      <c r="BJM50" s="24"/>
      <c r="BJN50" s="24"/>
      <c r="BJO50" s="24"/>
      <c r="BJP50" s="24"/>
      <c r="BJQ50" s="24"/>
      <c r="BJR50" s="24"/>
      <c r="BJS50" s="24"/>
      <c r="BJT50" s="24"/>
      <c r="BJU50" s="24"/>
      <c r="BJV50" s="24"/>
      <c r="BJW50" s="24"/>
      <c r="BJX50" s="24"/>
      <c r="BJY50" s="24"/>
      <c r="BJZ50" s="24"/>
      <c r="BKA50" s="24"/>
      <c r="BKB50" s="24"/>
      <c r="BKC50" s="24"/>
      <c r="BKD50" s="24"/>
      <c r="BKE50" s="24"/>
      <c r="BKF50" s="24"/>
      <c r="BKG50" s="24"/>
      <c r="BKH50" s="24"/>
      <c r="BKI50" s="24"/>
      <c r="BKJ50" s="24"/>
      <c r="BKK50" s="24"/>
      <c r="BKL50" s="24"/>
      <c r="BKM50" s="24"/>
      <c r="BKN50" s="24"/>
      <c r="BKO50" s="24"/>
      <c r="BKP50" s="24"/>
      <c r="BKQ50" s="24"/>
      <c r="BKR50" s="24"/>
      <c r="BKS50" s="24"/>
      <c r="BKT50" s="24"/>
      <c r="BKU50" s="24"/>
      <c r="BKV50" s="24"/>
      <c r="BKW50" s="24"/>
      <c r="BKX50" s="24"/>
      <c r="BKY50" s="24"/>
      <c r="BKZ50" s="24"/>
      <c r="BLA50" s="24"/>
      <c r="BLB50" s="24"/>
      <c r="BLC50" s="24"/>
      <c r="BLD50" s="24"/>
      <c r="BLE50" s="24"/>
      <c r="BLF50" s="24"/>
      <c r="BLG50" s="24"/>
      <c r="BLH50" s="24"/>
      <c r="BLI50" s="24"/>
      <c r="BLJ50" s="24"/>
      <c r="BLK50" s="24"/>
      <c r="BLL50" s="24"/>
      <c r="BLM50" s="24"/>
      <c r="BLN50" s="24"/>
      <c r="BLO50" s="24"/>
      <c r="BLP50" s="24"/>
      <c r="BLQ50" s="24"/>
      <c r="BLR50" s="24"/>
      <c r="BLS50" s="24"/>
      <c r="BLT50" s="24"/>
      <c r="BLU50" s="24"/>
      <c r="BLV50" s="24"/>
      <c r="BLW50" s="24"/>
      <c r="BLX50" s="24"/>
      <c r="BLY50" s="24"/>
      <c r="BLZ50" s="24"/>
      <c r="BMA50" s="24"/>
      <c r="BMB50" s="24"/>
      <c r="BMC50" s="24"/>
      <c r="BMD50" s="24"/>
      <c r="BME50" s="24"/>
      <c r="BMF50" s="24"/>
      <c r="BMG50" s="24"/>
      <c r="BMH50" s="24"/>
      <c r="BMI50" s="24"/>
      <c r="BMJ50" s="24"/>
      <c r="BMK50" s="24"/>
      <c r="BML50" s="24"/>
      <c r="BMM50" s="24"/>
      <c r="BMN50" s="24"/>
      <c r="BMO50" s="24"/>
      <c r="BMP50" s="24"/>
      <c r="BMQ50" s="24"/>
      <c r="BMR50" s="24"/>
      <c r="BMS50" s="24"/>
      <c r="BMT50" s="24"/>
      <c r="BMU50" s="24"/>
      <c r="BMV50" s="24"/>
      <c r="BMW50" s="24"/>
      <c r="BMX50" s="24"/>
      <c r="BMY50" s="24"/>
      <c r="BMZ50" s="24"/>
      <c r="BNA50" s="24"/>
      <c r="BNB50" s="24"/>
      <c r="BNC50" s="24"/>
      <c r="BND50" s="24"/>
      <c r="BNE50" s="24"/>
      <c r="BNF50" s="24"/>
      <c r="BNG50" s="24"/>
      <c r="BNH50" s="24"/>
      <c r="BNI50" s="24"/>
      <c r="BNJ50" s="24"/>
      <c r="BNK50" s="24"/>
      <c r="BNL50" s="24"/>
      <c r="BNM50" s="24"/>
      <c r="BNN50" s="24"/>
      <c r="BNO50" s="24"/>
      <c r="BNP50" s="24"/>
      <c r="BNQ50" s="24"/>
      <c r="BNR50" s="24"/>
      <c r="BNS50" s="24"/>
      <c r="BNT50" s="24"/>
      <c r="BNU50" s="24"/>
      <c r="BNV50" s="24"/>
      <c r="BNW50" s="24"/>
      <c r="BNX50" s="24"/>
      <c r="BNY50" s="24"/>
      <c r="BNZ50" s="24"/>
      <c r="BOA50" s="24"/>
      <c r="BOB50" s="24"/>
      <c r="BOC50" s="24"/>
      <c r="BOD50" s="24"/>
      <c r="BOE50" s="24"/>
      <c r="BOF50" s="24"/>
      <c r="BOG50" s="24"/>
      <c r="BOH50" s="24"/>
      <c r="BOI50" s="24"/>
      <c r="BOJ50" s="24"/>
      <c r="BOK50" s="24"/>
      <c r="BOL50" s="24"/>
      <c r="BOM50" s="24"/>
      <c r="BON50" s="24"/>
      <c r="BOO50" s="24"/>
      <c r="BOP50" s="24"/>
      <c r="BOQ50" s="24"/>
      <c r="BOR50" s="24"/>
      <c r="BOS50" s="24"/>
      <c r="BOT50" s="24"/>
      <c r="BOU50" s="24"/>
      <c r="BOV50" s="24"/>
      <c r="BOW50" s="24"/>
      <c r="BOX50" s="24"/>
      <c r="BOY50" s="24"/>
      <c r="BOZ50" s="24"/>
      <c r="BPA50" s="24"/>
      <c r="BPB50" s="24"/>
      <c r="BPC50" s="24"/>
      <c r="BPD50" s="24"/>
      <c r="BPE50" s="24"/>
      <c r="BPF50" s="24"/>
      <c r="BPG50" s="24"/>
      <c r="BPH50" s="24"/>
      <c r="BPI50" s="24"/>
      <c r="BPJ50" s="24"/>
      <c r="BPK50" s="24"/>
      <c r="BPL50" s="24"/>
      <c r="BPM50" s="24"/>
      <c r="BPN50" s="24"/>
      <c r="BPO50" s="24"/>
      <c r="BPP50" s="24"/>
      <c r="BPQ50" s="24"/>
      <c r="BPR50" s="24"/>
      <c r="BPS50" s="24"/>
      <c r="BPT50" s="24"/>
      <c r="BPU50" s="24"/>
      <c r="BPV50" s="24"/>
      <c r="BPW50" s="24"/>
      <c r="BPX50" s="24"/>
      <c r="BPY50" s="24"/>
      <c r="BPZ50" s="24"/>
      <c r="BQA50" s="24"/>
      <c r="BQB50" s="24"/>
      <c r="BQC50" s="24"/>
      <c r="BQD50" s="24"/>
      <c r="BQE50" s="24"/>
      <c r="BQF50" s="24"/>
      <c r="BQG50" s="24"/>
      <c r="BQH50" s="24"/>
      <c r="BQI50" s="24"/>
      <c r="BQJ50" s="24"/>
      <c r="BQK50" s="24"/>
      <c r="BQL50" s="24"/>
      <c r="BQM50" s="24"/>
      <c r="BQN50" s="24"/>
      <c r="BQO50" s="24"/>
      <c r="BQP50" s="24"/>
      <c r="BQQ50" s="24"/>
      <c r="BQR50" s="24"/>
      <c r="BQS50" s="24"/>
      <c r="BQT50" s="24"/>
      <c r="BQU50" s="24"/>
      <c r="BQV50" s="24"/>
      <c r="BQW50" s="24"/>
      <c r="BQX50" s="24"/>
      <c r="BQY50" s="24"/>
      <c r="BQZ50" s="24"/>
      <c r="BRA50" s="24"/>
      <c r="BRB50" s="24"/>
      <c r="BRC50" s="24"/>
      <c r="BRD50" s="24"/>
      <c r="BRE50" s="24"/>
      <c r="BRF50" s="24"/>
      <c r="BRG50" s="24"/>
      <c r="BRH50" s="24"/>
      <c r="BRI50" s="24"/>
      <c r="BRJ50" s="24"/>
      <c r="BRK50" s="24"/>
      <c r="BRL50" s="24"/>
      <c r="BRM50" s="24"/>
      <c r="BRN50" s="24"/>
      <c r="BRO50" s="24"/>
      <c r="BRP50" s="24"/>
      <c r="BRQ50" s="24"/>
      <c r="BRR50" s="24"/>
      <c r="BRS50" s="24"/>
      <c r="BRT50" s="24"/>
      <c r="BRU50" s="24"/>
      <c r="BRV50" s="24"/>
      <c r="BRW50" s="24"/>
      <c r="BRX50" s="24"/>
      <c r="BRY50" s="24"/>
      <c r="BRZ50" s="24"/>
      <c r="BSA50" s="24"/>
      <c r="BSB50" s="24"/>
      <c r="BSC50" s="24"/>
      <c r="BSD50" s="24"/>
      <c r="BSE50" s="24"/>
      <c r="BSF50" s="24"/>
      <c r="BSG50" s="24"/>
      <c r="BSH50" s="24"/>
      <c r="BSI50" s="24"/>
      <c r="BSJ50" s="24"/>
      <c r="BSK50" s="24"/>
      <c r="BSL50" s="24"/>
      <c r="BSM50" s="24"/>
      <c r="BSN50" s="24"/>
      <c r="BSO50" s="24"/>
      <c r="BSP50" s="24"/>
      <c r="BSQ50" s="24"/>
      <c r="BSR50" s="24"/>
      <c r="BSS50" s="24"/>
      <c r="BST50" s="24"/>
      <c r="BSU50" s="24"/>
      <c r="BSV50" s="24"/>
      <c r="BSW50" s="24"/>
      <c r="BSX50" s="24"/>
      <c r="BSY50" s="24"/>
      <c r="BSZ50" s="24"/>
      <c r="BTA50" s="24"/>
      <c r="BTB50" s="24"/>
      <c r="BTC50" s="24"/>
      <c r="BTD50" s="24"/>
      <c r="BTE50" s="24"/>
      <c r="BTF50" s="24"/>
      <c r="BTG50" s="24"/>
      <c r="BTH50" s="24"/>
      <c r="BTI50" s="24"/>
      <c r="BTJ50" s="24"/>
      <c r="BTK50" s="24"/>
      <c r="BTL50" s="24"/>
      <c r="BTM50" s="24"/>
      <c r="BTN50" s="24"/>
      <c r="BTO50" s="24"/>
      <c r="BTP50" s="24"/>
      <c r="BTQ50" s="24"/>
      <c r="BTR50" s="24"/>
      <c r="BTS50" s="24"/>
      <c r="BTT50" s="24"/>
      <c r="BTU50" s="24"/>
      <c r="BTV50" s="24"/>
      <c r="BTW50" s="24"/>
      <c r="BTX50" s="24"/>
      <c r="BTY50" s="24"/>
      <c r="BTZ50" s="24"/>
      <c r="BUA50" s="24"/>
      <c r="BUB50" s="24"/>
      <c r="BUC50" s="24"/>
      <c r="BUD50" s="24"/>
      <c r="BUE50" s="24"/>
      <c r="BUF50" s="24"/>
      <c r="BUG50" s="24"/>
      <c r="BUH50" s="24"/>
      <c r="BUI50" s="24"/>
      <c r="BUJ50" s="24"/>
      <c r="BUK50" s="24"/>
      <c r="BUL50" s="24"/>
      <c r="BUM50" s="24"/>
      <c r="BUN50" s="24"/>
      <c r="BUO50" s="24"/>
      <c r="BUP50" s="24"/>
      <c r="BUQ50" s="24"/>
      <c r="BUR50" s="24"/>
      <c r="BUS50" s="24"/>
      <c r="BUT50" s="24"/>
      <c r="BUU50" s="24"/>
      <c r="BUV50" s="24"/>
      <c r="BUW50" s="24"/>
      <c r="BUX50" s="24"/>
      <c r="BUY50" s="24"/>
      <c r="BUZ50" s="24"/>
      <c r="BVA50" s="24"/>
      <c r="BVB50" s="24"/>
      <c r="BVC50" s="24"/>
      <c r="BVD50" s="24"/>
      <c r="BVE50" s="24"/>
      <c r="BVF50" s="24"/>
      <c r="BVG50" s="24"/>
      <c r="BVH50" s="24"/>
      <c r="BVI50" s="24"/>
      <c r="BVJ50" s="24"/>
      <c r="BVK50" s="24"/>
      <c r="BVL50" s="24"/>
      <c r="BVM50" s="24"/>
      <c r="BVN50" s="24"/>
      <c r="BVO50" s="24"/>
      <c r="BVP50" s="24"/>
      <c r="BVQ50" s="24"/>
      <c r="BVR50" s="24"/>
      <c r="BVS50" s="24"/>
      <c r="BVT50" s="24"/>
      <c r="BVU50" s="24"/>
      <c r="BVV50" s="24"/>
      <c r="BVW50" s="24"/>
      <c r="BVX50" s="24"/>
      <c r="BVY50" s="24"/>
      <c r="BVZ50" s="24"/>
      <c r="BWA50" s="24"/>
      <c r="BWB50" s="24"/>
      <c r="BWC50" s="24"/>
      <c r="BWD50" s="24"/>
      <c r="BWE50" s="24"/>
      <c r="BWF50" s="24"/>
      <c r="BWG50" s="24"/>
      <c r="BWH50" s="24"/>
      <c r="BWI50" s="24"/>
      <c r="BWJ50" s="24"/>
      <c r="BWK50" s="24"/>
      <c r="BWL50" s="24"/>
      <c r="BWM50" s="24"/>
      <c r="BWN50" s="24"/>
      <c r="BWO50" s="24"/>
      <c r="BWP50" s="24"/>
      <c r="BWQ50" s="24"/>
      <c r="BWR50" s="24"/>
      <c r="BWS50" s="24"/>
      <c r="BWT50" s="24"/>
      <c r="BWU50" s="24"/>
      <c r="BWV50" s="24"/>
      <c r="BWW50" s="24"/>
      <c r="BWX50" s="24"/>
      <c r="BWY50" s="24"/>
      <c r="BWZ50" s="24"/>
      <c r="BXA50" s="24"/>
      <c r="BXB50" s="24"/>
      <c r="BXC50" s="24"/>
      <c r="BXD50" s="24"/>
      <c r="BXE50" s="24"/>
      <c r="BXF50" s="24"/>
      <c r="BXG50" s="24"/>
      <c r="BXH50" s="24"/>
      <c r="BXI50" s="24"/>
      <c r="BXJ50" s="24"/>
      <c r="BXK50" s="24"/>
      <c r="BXL50" s="24"/>
      <c r="BXM50" s="24"/>
      <c r="BXN50" s="24"/>
      <c r="BXO50" s="24"/>
      <c r="BXP50" s="24"/>
      <c r="BXQ50" s="24"/>
      <c r="BXR50" s="24"/>
      <c r="BXS50" s="24"/>
      <c r="BXT50" s="24"/>
      <c r="BXU50" s="24"/>
      <c r="BXV50" s="24"/>
      <c r="BXW50" s="24"/>
      <c r="BXX50" s="24"/>
      <c r="BXY50" s="24"/>
      <c r="BXZ50" s="24"/>
      <c r="BYA50" s="24"/>
      <c r="BYB50" s="24"/>
      <c r="BYC50" s="24"/>
      <c r="BYD50" s="24"/>
      <c r="BYE50" s="24"/>
      <c r="BYF50" s="24"/>
      <c r="BYG50" s="24"/>
      <c r="BYH50" s="24"/>
      <c r="BYI50" s="24"/>
      <c r="BYJ50" s="24"/>
      <c r="BYK50" s="24"/>
      <c r="BYL50" s="24"/>
      <c r="BYM50" s="24"/>
      <c r="BYN50" s="24"/>
      <c r="BYO50" s="24"/>
      <c r="BYP50" s="24"/>
      <c r="BYQ50" s="24"/>
      <c r="BYR50" s="24"/>
      <c r="BYS50" s="24"/>
      <c r="BYT50" s="24"/>
      <c r="BYU50" s="24"/>
      <c r="BYV50" s="24"/>
      <c r="BYW50" s="24"/>
      <c r="BYX50" s="24"/>
      <c r="BYY50" s="24"/>
      <c r="BYZ50" s="24"/>
      <c r="BZA50" s="24"/>
      <c r="BZB50" s="24"/>
      <c r="BZC50" s="24"/>
      <c r="BZD50" s="24"/>
      <c r="BZE50" s="24"/>
      <c r="BZF50" s="24"/>
      <c r="BZG50" s="24"/>
      <c r="BZH50" s="24"/>
      <c r="BZI50" s="24"/>
      <c r="BZJ50" s="24"/>
      <c r="BZK50" s="24"/>
      <c r="BZL50" s="24"/>
      <c r="BZM50" s="24"/>
      <c r="BZN50" s="24"/>
      <c r="BZO50" s="24"/>
      <c r="BZP50" s="24"/>
      <c r="BZQ50" s="24"/>
      <c r="BZR50" s="24"/>
      <c r="BZS50" s="24"/>
      <c r="BZT50" s="24"/>
      <c r="BZU50" s="24"/>
      <c r="BZV50" s="24"/>
      <c r="BZW50" s="24"/>
      <c r="BZX50" s="24"/>
      <c r="BZY50" s="24"/>
      <c r="BZZ50" s="24"/>
      <c r="CAA50" s="24"/>
      <c r="CAB50" s="24"/>
      <c r="CAC50" s="24"/>
      <c r="CAD50" s="24"/>
      <c r="CAE50" s="24"/>
      <c r="CAF50" s="24"/>
      <c r="CAG50" s="24"/>
      <c r="CAH50" s="24"/>
      <c r="CAI50" s="24"/>
      <c r="CAJ50" s="24"/>
      <c r="CAK50" s="24"/>
      <c r="CAL50" s="24"/>
      <c r="CAM50" s="24"/>
      <c r="CAN50" s="24"/>
      <c r="CAO50" s="24"/>
      <c r="CAP50" s="24"/>
      <c r="CAQ50" s="24"/>
      <c r="CAR50" s="24"/>
      <c r="CAS50" s="24"/>
      <c r="CAT50" s="24"/>
      <c r="CAU50" s="24"/>
      <c r="CAV50" s="24"/>
      <c r="CAW50" s="24"/>
      <c r="CAX50" s="24"/>
      <c r="CAY50" s="24"/>
      <c r="CAZ50" s="24"/>
      <c r="CBA50" s="24"/>
      <c r="CBB50" s="24"/>
      <c r="CBC50" s="24"/>
      <c r="CBD50" s="24"/>
      <c r="CBE50" s="24"/>
      <c r="CBF50" s="24"/>
      <c r="CBG50" s="24"/>
      <c r="CBH50" s="24"/>
      <c r="CBI50" s="24"/>
      <c r="CBJ50" s="24"/>
      <c r="CBK50" s="24"/>
      <c r="CBL50" s="24"/>
      <c r="CBM50" s="24"/>
      <c r="CBN50" s="24"/>
      <c r="CBO50" s="24"/>
      <c r="CBP50" s="24"/>
      <c r="CBQ50" s="24"/>
      <c r="CBR50" s="24"/>
      <c r="CBS50" s="24"/>
      <c r="CBT50" s="24"/>
      <c r="CBU50" s="24"/>
      <c r="CBV50" s="24"/>
      <c r="CBW50" s="24"/>
      <c r="CBX50" s="24"/>
      <c r="CBY50" s="24"/>
      <c r="CBZ50" s="24"/>
      <c r="CCA50" s="24"/>
      <c r="CCB50" s="24"/>
      <c r="CCC50" s="24"/>
      <c r="CCD50" s="24"/>
      <c r="CCE50" s="24"/>
      <c r="CCF50" s="24"/>
      <c r="CCG50" s="24"/>
      <c r="CCH50" s="24"/>
      <c r="CCI50" s="24"/>
      <c r="CCJ50" s="24"/>
      <c r="CCK50" s="24"/>
      <c r="CCL50" s="24"/>
      <c r="CCM50" s="24"/>
      <c r="CCN50" s="24"/>
      <c r="CCO50" s="24"/>
      <c r="CCP50" s="24"/>
      <c r="CCQ50" s="24"/>
      <c r="CCR50" s="24"/>
      <c r="CCS50" s="24"/>
      <c r="CCT50" s="24"/>
      <c r="CCU50" s="24"/>
      <c r="CCV50" s="24"/>
      <c r="CCW50" s="24"/>
      <c r="CCX50" s="24"/>
      <c r="CCY50" s="24"/>
      <c r="CCZ50" s="24"/>
      <c r="CDA50" s="24"/>
      <c r="CDB50" s="24"/>
      <c r="CDC50" s="24"/>
      <c r="CDD50" s="24"/>
      <c r="CDE50" s="24"/>
      <c r="CDF50" s="24"/>
      <c r="CDG50" s="24"/>
      <c r="CDH50" s="24"/>
      <c r="CDI50" s="24"/>
      <c r="CDJ50" s="24"/>
      <c r="CDK50" s="24"/>
      <c r="CDL50" s="24"/>
      <c r="CDM50" s="24"/>
      <c r="CDN50" s="24"/>
      <c r="CDO50" s="24"/>
      <c r="CDP50" s="24"/>
      <c r="CDQ50" s="24"/>
      <c r="CDR50" s="24"/>
      <c r="CDS50" s="24"/>
      <c r="CDT50" s="24"/>
      <c r="CDU50" s="24"/>
      <c r="CDV50" s="24"/>
      <c r="CDW50" s="24"/>
      <c r="CDX50" s="24"/>
      <c r="CDY50" s="24"/>
      <c r="CDZ50" s="24"/>
      <c r="CEA50" s="24"/>
      <c r="CEB50" s="24"/>
      <c r="CEC50" s="24"/>
      <c r="CED50" s="24"/>
      <c r="CEE50" s="24"/>
      <c r="CEF50" s="24"/>
      <c r="CEG50" s="24"/>
      <c r="CEH50" s="24"/>
      <c r="CEI50" s="24"/>
      <c r="CEJ50" s="24"/>
      <c r="CEK50" s="24"/>
      <c r="CEL50" s="24"/>
      <c r="CEM50" s="24"/>
      <c r="CEN50" s="24"/>
      <c r="CEO50" s="24"/>
      <c r="CEP50" s="24"/>
      <c r="CEQ50" s="24"/>
      <c r="CER50" s="24"/>
      <c r="CES50" s="24"/>
      <c r="CET50" s="24"/>
      <c r="CEU50" s="24"/>
      <c r="CEV50" s="24"/>
      <c r="CEW50" s="24"/>
      <c r="CEX50" s="24"/>
      <c r="CEY50" s="24"/>
      <c r="CEZ50" s="24"/>
      <c r="CFA50" s="24"/>
      <c r="CFB50" s="24"/>
      <c r="CFC50" s="24"/>
      <c r="CFD50" s="24"/>
      <c r="CFE50" s="24"/>
      <c r="CFF50" s="24"/>
      <c r="CFG50" s="24"/>
      <c r="CFH50" s="24"/>
      <c r="CFI50" s="24"/>
      <c r="CFJ50" s="24"/>
      <c r="CFK50" s="24"/>
      <c r="CFL50" s="24"/>
      <c r="CFM50" s="24"/>
      <c r="CFN50" s="24"/>
      <c r="CFO50" s="24"/>
      <c r="CFP50" s="24"/>
      <c r="CFQ50" s="24"/>
      <c r="CFR50" s="24"/>
      <c r="CFS50" s="24"/>
      <c r="CFT50" s="24"/>
      <c r="CFU50" s="24"/>
      <c r="CFV50" s="24"/>
      <c r="CFW50" s="24"/>
      <c r="CFX50" s="24"/>
      <c r="CFY50" s="24"/>
      <c r="CFZ50" s="24"/>
      <c r="CGA50" s="24"/>
      <c r="CGB50" s="24"/>
      <c r="CGC50" s="24"/>
      <c r="CGD50" s="24"/>
      <c r="CGE50" s="24"/>
      <c r="CGF50" s="24"/>
      <c r="CGG50" s="24"/>
      <c r="CGH50" s="24"/>
      <c r="CGI50" s="24"/>
      <c r="CGJ50" s="24"/>
      <c r="CGK50" s="24"/>
      <c r="CGL50" s="24"/>
      <c r="CGM50" s="24"/>
      <c r="CGN50" s="24"/>
      <c r="CGO50" s="24"/>
      <c r="CGP50" s="24"/>
      <c r="CGQ50" s="24"/>
      <c r="CGR50" s="24"/>
      <c r="CGS50" s="24"/>
      <c r="CGT50" s="24"/>
      <c r="CGU50" s="24"/>
      <c r="CGV50" s="24"/>
      <c r="CGW50" s="24"/>
      <c r="CGX50" s="24"/>
      <c r="CGY50" s="24"/>
      <c r="CGZ50" s="24"/>
      <c r="CHA50" s="24"/>
      <c r="CHB50" s="24"/>
      <c r="CHC50" s="24"/>
      <c r="CHD50" s="24"/>
      <c r="CHE50" s="24"/>
      <c r="CHF50" s="24"/>
      <c r="CHG50" s="24"/>
      <c r="CHH50" s="24"/>
      <c r="CHI50" s="24"/>
      <c r="CHJ50" s="24"/>
      <c r="CHK50" s="24"/>
      <c r="CHL50" s="24"/>
      <c r="CHM50" s="24"/>
      <c r="CHN50" s="24"/>
      <c r="CHO50" s="24"/>
      <c r="CHP50" s="24"/>
      <c r="CHQ50" s="24"/>
      <c r="CHR50" s="24"/>
      <c r="CHS50" s="24"/>
      <c r="CHT50" s="24"/>
      <c r="CHU50" s="24"/>
      <c r="CHV50" s="24"/>
      <c r="CHW50" s="24"/>
      <c r="CHX50" s="24"/>
      <c r="CHY50" s="24"/>
      <c r="CHZ50" s="24"/>
      <c r="CIA50" s="24"/>
      <c r="CIB50" s="24"/>
      <c r="CIC50" s="24"/>
      <c r="CID50" s="24"/>
      <c r="CIE50" s="24"/>
      <c r="CIF50" s="24"/>
      <c r="CIG50" s="24"/>
      <c r="CIH50" s="24"/>
      <c r="CII50" s="24"/>
      <c r="CIJ50" s="24"/>
      <c r="CIK50" s="24"/>
      <c r="CIL50" s="24"/>
      <c r="CIM50" s="24"/>
      <c r="CIN50" s="24"/>
      <c r="CIO50" s="24"/>
      <c r="CIP50" s="24"/>
      <c r="CIQ50" s="24"/>
      <c r="CIR50" s="24"/>
      <c r="CIS50" s="24"/>
      <c r="CIT50" s="24"/>
      <c r="CIU50" s="24"/>
      <c r="CIV50" s="24"/>
      <c r="CIW50" s="24"/>
      <c r="CIX50" s="24"/>
      <c r="CIY50" s="24"/>
      <c r="CIZ50" s="24"/>
      <c r="CJA50" s="24"/>
      <c r="CJB50" s="24"/>
      <c r="CJC50" s="24"/>
      <c r="CJD50" s="24"/>
      <c r="CJE50" s="24"/>
      <c r="CJF50" s="24"/>
      <c r="CJG50" s="24"/>
      <c r="CJH50" s="24"/>
      <c r="CJI50" s="24"/>
      <c r="CJJ50" s="24"/>
      <c r="CJK50" s="24"/>
      <c r="CJL50" s="24"/>
      <c r="CJM50" s="24"/>
      <c r="CJN50" s="24"/>
      <c r="CJO50" s="24"/>
      <c r="CJP50" s="24"/>
      <c r="CJQ50" s="24"/>
      <c r="CJR50" s="24"/>
      <c r="CJS50" s="24"/>
      <c r="CJT50" s="24"/>
      <c r="CJU50" s="24"/>
      <c r="CJV50" s="24"/>
      <c r="CJW50" s="24"/>
      <c r="CJX50" s="24"/>
      <c r="CJY50" s="24"/>
      <c r="CJZ50" s="24"/>
      <c r="CKA50" s="24"/>
      <c r="CKB50" s="24"/>
      <c r="CKC50" s="24"/>
      <c r="CKD50" s="24"/>
      <c r="CKE50" s="24"/>
      <c r="CKF50" s="24"/>
      <c r="CKG50" s="24"/>
      <c r="CKH50" s="24"/>
      <c r="CKI50" s="24"/>
      <c r="CKJ50" s="24"/>
      <c r="CKK50" s="24"/>
      <c r="CKL50" s="24"/>
      <c r="CKM50" s="24"/>
      <c r="CKN50" s="24"/>
      <c r="CKO50" s="24"/>
      <c r="CKP50" s="24"/>
      <c r="CKQ50" s="24"/>
      <c r="CKR50" s="24"/>
      <c r="CKS50" s="24"/>
      <c r="CKT50" s="24"/>
      <c r="CKU50" s="24"/>
      <c r="CKV50" s="24"/>
      <c r="CKW50" s="24"/>
      <c r="CKX50" s="24"/>
      <c r="CKY50" s="24"/>
      <c r="CKZ50" s="24"/>
      <c r="CLA50" s="24"/>
      <c r="CLB50" s="24"/>
      <c r="CLC50" s="24"/>
      <c r="CLD50" s="24"/>
      <c r="CLE50" s="24"/>
      <c r="CLF50" s="24"/>
      <c r="CLG50" s="24"/>
      <c r="CLH50" s="24"/>
      <c r="CLI50" s="24"/>
      <c r="CLJ50" s="24"/>
      <c r="CLK50" s="24"/>
      <c r="CLL50" s="24"/>
      <c r="CLM50" s="24"/>
      <c r="CLN50" s="24"/>
      <c r="CLO50" s="24"/>
      <c r="CLP50" s="24"/>
      <c r="CLQ50" s="24"/>
      <c r="CLR50" s="24"/>
      <c r="CLS50" s="24"/>
      <c r="CLT50" s="24"/>
      <c r="CLU50" s="24"/>
      <c r="CLV50" s="24"/>
      <c r="CLW50" s="24"/>
      <c r="CLX50" s="24"/>
      <c r="CLY50" s="24"/>
      <c r="CLZ50" s="24"/>
      <c r="CMA50" s="24"/>
      <c r="CMB50" s="24"/>
      <c r="CMC50" s="24"/>
      <c r="CMD50" s="24"/>
      <c r="CME50" s="24"/>
      <c r="CMF50" s="24"/>
      <c r="CMG50" s="24"/>
      <c r="CMH50" s="24"/>
      <c r="CMI50" s="24"/>
      <c r="CMJ50" s="24"/>
      <c r="CMK50" s="24"/>
      <c r="CML50" s="24"/>
      <c r="CMM50" s="24"/>
      <c r="CMN50" s="24"/>
      <c r="CMO50" s="24"/>
      <c r="CMP50" s="24"/>
      <c r="CMQ50" s="24"/>
      <c r="CMR50" s="24"/>
      <c r="CMS50" s="24"/>
      <c r="CMT50" s="24"/>
      <c r="CMU50" s="24"/>
      <c r="CMV50" s="24"/>
      <c r="CMW50" s="24"/>
      <c r="CMX50" s="24"/>
      <c r="CMY50" s="24"/>
      <c r="CMZ50" s="24"/>
      <c r="CNA50" s="24"/>
      <c r="CNB50" s="24"/>
      <c r="CNC50" s="24"/>
      <c r="CND50" s="24"/>
      <c r="CNE50" s="24"/>
      <c r="CNF50" s="24"/>
      <c r="CNG50" s="24"/>
      <c r="CNH50" s="24"/>
      <c r="CNI50" s="24"/>
      <c r="CNJ50" s="24"/>
      <c r="CNK50" s="24"/>
      <c r="CNL50" s="24"/>
      <c r="CNM50" s="24"/>
      <c r="CNN50" s="24"/>
      <c r="CNO50" s="24"/>
      <c r="CNP50" s="24"/>
      <c r="CNQ50" s="24"/>
      <c r="CNR50" s="24"/>
      <c r="CNS50" s="24"/>
      <c r="CNT50" s="24"/>
      <c r="CNU50" s="24"/>
      <c r="CNV50" s="24"/>
      <c r="CNW50" s="24"/>
      <c r="CNX50" s="24"/>
      <c r="CNY50" s="24"/>
      <c r="CNZ50" s="24"/>
      <c r="COA50" s="24"/>
      <c r="COB50" s="24"/>
      <c r="COC50" s="24"/>
      <c r="COD50" s="24"/>
      <c r="COE50" s="24"/>
      <c r="COF50" s="24"/>
      <c r="COG50" s="24"/>
      <c r="COH50" s="24"/>
      <c r="COI50" s="24"/>
      <c r="COJ50" s="24"/>
      <c r="COK50" s="24"/>
      <c r="COL50" s="24"/>
      <c r="COM50" s="24"/>
      <c r="CON50" s="24"/>
      <c r="COO50" s="24"/>
      <c r="COP50" s="24"/>
      <c r="COQ50" s="24"/>
      <c r="COR50" s="24"/>
      <c r="COS50" s="24"/>
      <c r="COT50" s="24"/>
      <c r="COU50" s="24"/>
      <c r="COV50" s="24"/>
      <c r="COW50" s="24"/>
      <c r="COX50" s="24"/>
      <c r="COY50" s="24"/>
      <c r="COZ50" s="24"/>
      <c r="CPA50" s="24"/>
      <c r="CPB50" s="24"/>
      <c r="CPC50" s="24"/>
      <c r="CPD50" s="24"/>
      <c r="CPE50" s="24"/>
      <c r="CPF50" s="24"/>
      <c r="CPG50" s="24"/>
      <c r="CPH50" s="24"/>
      <c r="CPI50" s="24"/>
      <c r="CPJ50" s="24"/>
      <c r="CPK50" s="24"/>
      <c r="CPL50" s="24"/>
      <c r="CPM50" s="24"/>
      <c r="CPN50" s="24"/>
      <c r="CPO50" s="24"/>
      <c r="CPP50" s="24"/>
      <c r="CPQ50" s="24"/>
      <c r="CPR50" s="24"/>
      <c r="CPS50" s="24"/>
      <c r="CPT50" s="24"/>
      <c r="CPU50" s="24"/>
      <c r="CPV50" s="24"/>
      <c r="CPW50" s="24"/>
      <c r="CPX50" s="24"/>
      <c r="CPY50" s="24"/>
      <c r="CPZ50" s="24"/>
      <c r="CQA50" s="24"/>
      <c r="CQB50" s="24"/>
      <c r="CQC50" s="24"/>
      <c r="CQD50" s="24"/>
      <c r="CQE50" s="24"/>
      <c r="CQF50" s="24"/>
      <c r="CQG50" s="24"/>
      <c r="CQH50" s="24"/>
      <c r="CQI50" s="24"/>
      <c r="CQJ50" s="24"/>
      <c r="CQK50" s="24"/>
      <c r="CQL50" s="24"/>
      <c r="CQM50" s="24"/>
      <c r="CQN50" s="24"/>
      <c r="CQO50" s="24"/>
      <c r="CQP50" s="24"/>
      <c r="CQQ50" s="24"/>
      <c r="CQR50" s="24"/>
      <c r="CQS50" s="24"/>
      <c r="CQT50" s="24"/>
      <c r="CQU50" s="24"/>
      <c r="CQV50" s="24"/>
      <c r="CQW50" s="24"/>
      <c r="CQX50" s="24"/>
      <c r="CQY50" s="24"/>
      <c r="CQZ50" s="24"/>
      <c r="CRA50" s="24"/>
      <c r="CRB50" s="24"/>
      <c r="CRC50" s="24"/>
      <c r="CRD50" s="24"/>
      <c r="CRE50" s="24"/>
      <c r="CRF50" s="24"/>
      <c r="CRG50" s="24"/>
      <c r="CRH50" s="24"/>
      <c r="CRI50" s="24"/>
      <c r="CRJ50" s="24"/>
      <c r="CRK50" s="24"/>
      <c r="CRL50" s="24"/>
      <c r="CRM50" s="24"/>
      <c r="CRN50" s="24"/>
      <c r="CRO50" s="24"/>
      <c r="CRP50" s="24"/>
      <c r="CRQ50" s="24"/>
      <c r="CRR50" s="24"/>
      <c r="CRS50" s="24"/>
      <c r="CRT50" s="24"/>
      <c r="CRU50" s="24"/>
      <c r="CRV50" s="24"/>
      <c r="CRW50" s="24"/>
      <c r="CRX50" s="24"/>
      <c r="CRY50" s="24"/>
      <c r="CRZ50" s="24"/>
      <c r="CSA50" s="24"/>
      <c r="CSB50" s="24"/>
      <c r="CSC50" s="24"/>
      <c r="CSD50" s="24"/>
      <c r="CSE50" s="24"/>
      <c r="CSF50" s="24"/>
      <c r="CSG50" s="24"/>
      <c r="CSH50" s="24"/>
      <c r="CSI50" s="24"/>
      <c r="CSJ50" s="24"/>
      <c r="CSK50" s="24"/>
      <c r="CSL50" s="24"/>
      <c r="CSM50" s="24"/>
      <c r="CSN50" s="24"/>
      <c r="CSO50" s="24"/>
      <c r="CSP50" s="24"/>
      <c r="CSQ50" s="24"/>
      <c r="CSR50" s="24"/>
      <c r="CSS50" s="24"/>
      <c r="CST50" s="24"/>
      <c r="CSU50" s="24"/>
      <c r="CSV50" s="24"/>
      <c r="CSW50" s="24"/>
      <c r="CSX50" s="24"/>
      <c r="CSY50" s="24"/>
      <c r="CSZ50" s="24"/>
      <c r="CTA50" s="24"/>
      <c r="CTB50" s="24"/>
      <c r="CTC50" s="24"/>
      <c r="CTD50" s="24"/>
      <c r="CTE50" s="24"/>
      <c r="CTF50" s="24"/>
      <c r="CTG50" s="24"/>
      <c r="CTH50" s="24"/>
      <c r="CTI50" s="24"/>
      <c r="CTJ50" s="24"/>
      <c r="CTK50" s="24"/>
      <c r="CTL50" s="24"/>
      <c r="CTM50" s="24"/>
      <c r="CTN50" s="24"/>
      <c r="CTO50" s="24"/>
      <c r="CTP50" s="24"/>
      <c r="CTQ50" s="24"/>
      <c r="CTR50" s="24"/>
      <c r="CTS50" s="24"/>
      <c r="CTT50" s="24"/>
      <c r="CTU50" s="24"/>
      <c r="CTV50" s="24"/>
      <c r="CTW50" s="24"/>
      <c r="CTX50" s="24"/>
      <c r="CTY50" s="24"/>
      <c r="CTZ50" s="24"/>
      <c r="CUA50" s="24"/>
      <c r="CUB50" s="24"/>
      <c r="CUC50" s="24"/>
      <c r="CUD50" s="24"/>
      <c r="CUE50" s="24"/>
      <c r="CUF50" s="24"/>
      <c r="CUG50" s="24"/>
      <c r="CUH50" s="24"/>
      <c r="CUI50" s="24"/>
      <c r="CUJ50" s="24"/>
      <c r="CUK50" s="24"/>
      <c r="CUL50" s="24"/>
      <c r="CUM50" s="24"/>
      <c r="CUN50" s="24"/>
      <c r="CUO50" s="24"/>
      <c r="CUP50" s="24"/>
      <c r="CUQ50" s="24"/>
      <c r="CUR50" s="24"/>
      <c r="CUS50" s="24"/>
      <c r="CUT50" s="24"/>
      <c r="CUU50" s="24"/>
      <c r="CUV50" s="24"/>
      <c r="CUW50" s="24"/>
      <c r="CUX50" s="24"/>
      <c r="CUY50" s="24"/>
      <c r="CUZ50" s="24"/>
      <c r="CVA50" s="24"/>
      <c r="CVB50" s="24"/>
      <c r="CVC50" s="24"/>
      <c r="CVD50" s="24"/>
      <c r="CVE50" s="24"/>
      <c r="CVF50" s="24"/>
      <c r="CVG50" s="24"/>
      <c r="CVH50" s="24"/>
      <c r="CVI50" s="24"/>
      <c r="CVJ50" s="24"/>
      <c r="CVK50" s="24"/>
      <c r="CVL50" s="24"/>
      <c r="CVM50" s="24"/>
      <c r="CVN50" s="24"/>
      <c r="CVO50" s="24"/>
      <c r="CVP50" s="24"/>
      <c r="CVQ50" s="24"/>
      <c r="CVR50" s="24"/>
      <c r="CVS50" s="24"/>
      <c r="CVT50" s="24"/>
      <c r="CVU50" s="24"/>
      <c r="CVV50" s="24"/>
      <c r="CVW50" s="24"/>
      <c r="CVX50" s="24"/>
      <c r="CVY50" s="24"/>
      <c r="CVZ50" s="24"/>
      <c r="CWA50" s="24"/>
      <c r="CWB50" s="24"/>
      <c r="CWC50" s="24"/>
      <c r="CWD50" s="24"/>
      <c r="CWE50" s="24"/>
      <c r="CWF50" s="24"/>
      <c r="CWG50" s="24"/>
      <c r="CWH50" s="24"/>
      <c r="CWI50" s="24"/>
      <c r="CWJ50" s="24"/>
      <c r="CWK50" s="24"/>
      <c r="CWL50" s="24"/>
      <c r="CWM50" s="24"/>
      <c r="CWN50" s="24"/>
      <c r="CWO50" s="24"/>
      <c r="CWP50" s="24"/>
      <c r="CWQ50" s="24"/>
      <c r="CWR50" s="24"/>
      <c r="CWS50" s="24"/>
      <c r="CWT50" s="24"/>
      <c r="CWU50" s="24"/>
      <c r="CWV50" s="24"/>
      <c r="CWW50" s="24"/>
      <c r="CWX50" s="24"/>
      <c r="CWY50" s="24"/>
      <c r="CWZ50" s="24"/>
      <c r="CXA50" s="24"/>
      <c r="CXB50" s="24"/>
      <c r="CXC50" s="24"/>
      <c r="CXD50" s="24"/>
      <c r="CXE50" s="24"/>
      <c r="CXF50" s="24"/>
      <c r="CXG50" s="24"/>
      <c r="CXH50" s="24"/>
      <c r="CXI50" s="24"/>
      <c r="CXJ50" s="24"/>
      <c r="CXK50" s="24"/>
      <c r="CXL50" s="24"/>
      <c r="CXM50" s="24"/>
      <c r="CXN50" s="24"/>
      <c r="CXO50" s="24"/>
      <c r="CXP50" s="24"/>
      <c r="CXQ50" s="24"/>
      <c r="CXR50" s="24"/>
      <c r="CXS50" s="24"/>
      <c r="CXT50" s="24"/>
      <c r="CXU50" s="24"/>
      <c r="CXV50" s="24"/>
      <c r="CXW50" s="24"/>
      <c r="CXX50" s="24"/>
      <c r="CXY50" s="24"/>
      <c r="CXZ50" s="24"/>
      <c r="CYA50" s="24"/>
      <c r="CYB50" s="24"/>
      <c r="CYC50" s="24"/>
      <c r="CYD50" s="24"/>
      <c r="CYE50" s="24"/>
      <c r="CYF50" s="24"/>
      <c r="CYG50" s="24"/>
      <c r="CYH50" s="24"/>
      <c r="CYI50" s="24"/>
      <c r="CYJ50" s="24"/>
      <c r="CYK50" s="24"/>
      <c r="CYL50" s="24"/>
      <c r="CYM50" s="24"/>
      <c r="CYN50" s="24"/>
      <c r="CYO50" s="24"/>
      <c r="CYP50" s="24"/>
      <c r="CYQ50" s="24"/>
      <c r="CYR50" s="24"/>
      <c r="CYS50" s="24"/>
      <c r="CYT50" s="24"/>
      <c r="CYU50" s="24"/>
      <c r="CYV50" s="24"/>
      <c r="CYW50" s="24"/>
      <c r="CYX50" s="24"/>
      <c r="CYY50" s="24"/>
      <c r="CYZ50" s="24"/>
      <c r="CZA50" s="24"/>
      <c r="CZB50" s="24"/>
      <c r="CZC50" s="24"/>
      <c r="CZD50" s="24"/>
      <c r="CZE50" s="24"/>
      <c r="CZF50" s="24"/>
      <c r="CZG50" s="24"/>
      <c r="CZH50" s="24"/>
      <c r="CZI50" s="24"/>
      <c r="CZJ50" s="24"/>
      <c r="CZK50" s="24"/>
      <c r="CZL50" s="24"/>
      <c r="CZM50" s="24"/>
      <c r="CZN50" s="24"/>
      <c r="CZO50" s="24"/>
      <c r="CZP50" s="24"/>
      <c r="CZQ50" s="24"/>
      <c r="CZR50" s="24"/>
      <c r="CZS50" s="24"/>
      <c r="CZT50" s="24"/>
      <c r="CZU50" s="24"/>
      <c r="CZV50" s="24"/>
      <c r="CZW50" s="24"/>
      <c r="CZX50" s="24"/>
      <c r="CZY50" s="24"/>
      <c r="CZZ50" s="24"/>
      <c r="DAA50" s="24"/>
      <c r="DAB50" s="24"/>
      <c r="DAC50" s="24"/>
      <c r="DAD50" s="24"/>
      <c r="DAE50" s="24"/>
      <c r="DAF50" s="24"/>
      <c r="DAG50" s="24"/>
      <c r="DAH50" s="24"/>
      <c r="DAI50" s="24"/>
      <c r="DAJ50" s="24"/>
      <c r="DAK50" s="24"/>
      <c r="DAL50" s="24"/>
      <c r="DAM50" s="24"/>
      <c r="DAN50" s="24"/>
      <c r="DAO50" s="24"/>
      <c r="DAP50" s="24"/>
      <c r="DAQ50" s="24"/>
      <c r="DAR50" s="24"/>
      <c r="DAS50" s="24"/>
      <c r="DAT50" s="24"/>
      <c r="DAU50" s="24"/>
      <c r="DAV50" s="24"/>
      <c r="DAW50" s="24"/>
      <c r="DAX50" s="24"/>
      <c r="DAY50" s="24"/>
      <c r="DAZ50" s="24"/>
      <c r="DBA50" s="24"/>
      <c r="DBB50" s="24"/>
      <c r="DBC50" s="24"/>
      <c r="DBD50" s="24"/>
      <c r="DBE50" s="24"/>
      <c r="DBF50" s="24"/>
      <c r="DBG50" s="24"/>
      <c r="DBH50" s="24"/>
      <c r="DBI50" s="24"/>
      <c r="DBJ50" s="24"/>
      <c r="DBK50" s="24"/>
      <c r="DBL50" s="24"/>
      <c r="DBM50" s="24"/>
      <c r="DBN50" s="24"/>
      <c r="DBO50" s="24"/>
      <c r="DBP50" s="24"/>
      <c r="DBQ50" s="24"/>
      <c r="DBR50" s="24"/>
      <c r="DBS50" s="24"/>
      <c r="DBT50" s="24"/>
      <c r="DBU50" s="24"/>
      <c r="DBV50" s="24"/>
      <c r="DBW50" s="24"/>
      <c r="DBX50" s="24"/>
      <c r="DBY50" s="24"/>
      <c r="DBZ50" s="24"/>
      <c r="DCA50" s="24"/>
      <c r="DCB50" s="24"/>
      <c r="DCC50" s="24"/>
      <c r="DCD50" s="24"/>
      <c r="DCE50" s="24"/>
      <c r="DCF50" s="24"/>
      <c r="DCG50" s="24"/>
      <c r="DCH50" s="24"/>
      <c r="DCI50" s="24"/>
      <c r="DCJ50" s="24"/>
      <c r="DCK50" s="24"/>
      <c r="DCL50" s="24"/>
      <c r="DCM50" s="24"/>
      <c r="DCN50" s="24"/>
      <c r="DCO50" s="24"/>
      <c r="DCP50" s="24"/>
      <c r="DCQ50" s="24"/>
      <c r="DCR50" s="24"/>
      <c r="DCS50" s="24"/>
      <c r="DCT50" s="24"/>
      <c r="DCU50" s="24"/>
      <c r="DCV50" s="24"/>
      <c r="DCW50" s="24"/>
      <c r="DCX50" s="24"/>
      <c r="DCY50" s="24"/>
      <c r="DCZ50" s="24"/>
      <c r="DDA50" s="24"/>
      <c r="DDB50" s="24"/>
      <c r="DDC50" s="24"/>
      <c r="DDD50" s="24"/>
      <c r="DDE50" s="24"/>
      <c r="DDF50" s="24"/>
      <c r="DDG50" s="24"/>
      <c r="DDH50" s="24"/>
      <c r="DDI50" s="24"/>
      <c r="DDJ50" s="24"/>
      <c r="DDK50" s="24"/>
      <c r="DDL50" s="24"/>
      <c r="DDM50" s="24"/>
      <c r="DDN50" s="24"/>
      <c r="DDO50" s="24"/>
      <c r="DDP50" s="24"/>
      <c r="DDQ50" s="24"/>
      <c r="DDR50" s="24"/>
      <c r="DDS50" s="24"/>
      <c r="DDT50" s="24"/>
      <c r="DDU50" s="24"/>
      <c r="DDV50" s="24"/>
      <c r="DDW50" s="24"/>
      <c r="DDX50" s="24"/>
      <c r="DDY50" s="24"/>
      <c r="DDZ50" s="24"/>
      <c r="DEA50" s="24"/>
      <c r="DEB50" s="24"/>
      <c r="DEC50" s="24"/>
      <c r="DED50" s="24"/>
      <c r="DEE50" s="24"/>
      <c r="DEF50" s="24"/>
      <c r="DEG50" s="24"/>
      <c r="DEH50" s="24"/>
      <c r="DEI50" s="24"/>
      <c r="DEJ50" s="24"/>
      <c r="DEK50" s="24"/>
      <c r="DEL50" s="24"/>
      <c r="DEM50" s="24"/>
      <c r="DEN50" s="24"/>
      <c r="DEO50" s="24"/>
      <c r="DEP50" s="24"/>
      <c r="DEQ50" s="24"/>
      <c r="DER50" s="24"/>
      <c r="DES50" s="24"/>
      <c r="DET50" s="24"/>
      <c r="DEU50" s="24"/>
      <c r="DEV50" s="24"/>
      <c r="DEW50" s="24"/>
      <c r="DEX50" s="24"/>
      <c r="DEY50" s="24"/>
      <c r="DEZ50" s="24"/>
      <c r="DFA50" s="24"/>
      <c r="DFB50" s="24"/>
      <c r="DFC50" s="24"/>
      <c r="DFD50" s="24"/>
      <c r="DFE50" s="24"/>
      <c r="DFF50" s="24"/>
      <c r="DFG50" s="24"/>
      <c r="DFH50" s="24"/>
      <c r="DFI50" s="24"/>
      <c r="DFJ50" s="24"/>
      <c r="DFK50" s="24"/>
      <c r="DFL50" s="24"/>
      <c r="DFM50" s="24"/>
      <c r="DFN50" s="24"/>
      <c r="DFO50" s="24"/>
      <c r="DFP50" s="24"/>
      <c r="DFQ50" s="24"/>
      <c r="DFR50" s="24"/>
      <c r="DFS50" s="24"/>
      <c r="DFT50" s="24"/>
      <c r="DFU50" s="24"/>
      <c r="DFV50" s="24"/>
      <c r="DFW50" s="24"/>
      <c r="DFX50" s="24"/>
      <c r="DFY50" s="24"/>
      <c r="DFZ50" s="24"/>
      <c r="DGA50" s="24"/>
      <c r="DGB50" s="24"/>
      <c r="DGC50" s="24"/>
      <c r="DGD50" s="24"/>
      <c r="DGE50" s="24"/>
      <c r="DGF50" s="24"/>
      <c r="DGG50" s="24"/>
      <c r="DGH50" s="24"/>
      <c r="DGI50" s="24"/>
      <c r="DGJ50" s="24"/>
      <c r="DGK50" s="24"/>
      <c r="DGL50" s="24"/>
      <c r="DGM50" s="24"/>
      <c r="DGN50" s="24"/>
      <c r="DGO50" s="24"/>
      <c r="DGP50" s="24"/>
      <c r="DGQ50" s="24"/>
      <c r="DGR50" s="24"/>
      <c r="DGS50" s="24"/>
      <c r="DGT50" s="24"/>
      <c r="DGU50" s="24"/>
      <c r="DGV50" s="24"/>
      <c r="DGW50" s="24"/>
      <c r="DGX50" s="24"/>
      <c r="DGY50" s="24"/>
      <c r="DGZ50" s="24"/>
      <c r="DHA50" s="24"/>
      <c r="DHB50" s="24"/>
      <c r="DHC50" s="24"/>
      <c r="DHD50" s="24"/>
      <c r="DHE50" s="24"/>
      <c r="DHF50" s="24"/>
      <c r="DHG50" s="24"/>
      <c r="DHH50" s="24"/>
      <c r="DHI50" s="24"/>
      <c r="DHJ50" s="24"/>
      <c r="DHK50" s="24"/>
      <c r="DHL50" s="24"/>
      <c r="DHM50" s="24"/>
      <c r="DHN50" s="24"/>
      <c r="DHO50" s="24"/>
      <c r="DHP50" s="24"/>
      <c r="DHQ50" s="24"/>
      <c r="DHR50" s="24"/>
      <c r="DHS50" s="24"/>
      <c r="DHT50" s="24"/>
      <c r="DHU50" s="24"/>
      <c r="DHV50" s="24"/>
      <c r="DHW50" s="24"/>
      <c r="DHX50" s="24"/>
      <c r="DHY50" s="24"/>
      <c r="DHZ50" s="24"/>
      <c r="DIA50" s="24"/>
      <c r="DIB50" s="24"/>
      <c r="DIC50" s="24"/>
      <c r="DID50" s="24"/>
      <c r="DIE50" s="24"/>
      <c r="DIF50" s="24"/>
      <c r="DIG50" s="24"/>
      <c r="DIH50" s="24"/>
      <c r="DII50" s="24"/>
      <c r="DIJ50" s="24"/>
      <c r="DIK50" s="24"/>
      <c r="DIL50" s="24"/>
      <c r="DIM50" s="24"/>
      <c r="DIN50" s="24"/>
      <c r="DIO50" s="24"/>
      <c r="DIP50" s="24"/>
      <c r="DIQ50" s="24"/>
      <c r="DIR50" s="24"/>
      <c r="DIS50" s="24"/>
      <c r="DIT50" s="24"/>
      <c r="DIU50" s="24"/>
      <c r="DIV50" s="24"/>
      <c r="DIW50" s="24"/>
      <c r="DIX50" s="24"/>
      <c r="DIY50" s="24"/>
      <c r="DIZ50" s="24"/>
      <c r="DJA50" s="24"/>
      <c r="DJB50" s="24"/>
      <c r="DJC50" s="24"/>
      <c r="DJD50" s="24"/>
      <c r="DJE50" s="24"/>
      <c r="DJF50" s="24"/>
      <c r="DJG50" s="24"/>
      <c r="DJH50" s="24"/>
      <c r="DJI50" s="24"/>
      <c r="DJJ50" s="24"/>
      <c r="DJK50" s="24"/>
      <c r="DJL50" s="24"/>
      <c r="DJM50" s="24"/>
      <c r="DJN50" s="24"/>
      <c r="DJO50" s="24"/>
      <c r="DJP50" s="24"/>
      <c r="DJQ50" s="24"/>
      <c r="DJR50" s="24"/>
      <c r="DJS50" s="24"/>
      <c r="DJT50" s="24"/>
      <c r="DJU50" s="24"/>
      <c r="DJV50" s="24"/>
      <c r="DJW50" s="24"/>
      <c r="DJX50" s="24"/>
      <c r="DJY50" s="24"/>
      <c r="DJZ50" s="24"/>
      <c r="DKA50" s="24"/>
      <c r="DKB50" s="24"/>
      <c r="DKC50" s="24"/>
      <c r="DKD50" s="24"/>
      <c r="DKE50" s="24"/>
      <c r="DKF50" s="24"/>
      <c r="DKG50" s="24"/>
      <c r="DKH50" s="24"/>
      <c r="DKI50" s="24"/>
      <c r="DKJ50" s="24"/>
      <c r="DKK50" s="24"/>
      <c r="DKL50" s="24"/>
      <c r="DKM50" s="24"/>
      <c r="DKN50" s="24"/>
      <c r="DKO50" s="24"/>
      <c r="DKP50" s="24"/>
      <c r="DKQ50" s="24"/>
      <c r="DKR50" s="24"/>
      <c r="DKS50" s="24"/>
      <c r="DKT50" s="24"/>
      <c r="DKU50" s="24"/>
      <c r="DKV50" s="24"/>
      <c r="DKW50" s="24"/>
      <c r="DKX50" s="24"/>
      <c r="DKY50" s="24"/>
      <c r="DKZ50" s="24"/>
      <c r="DLA50" s="24"/>
      <c r="DLB50" s="24"/>
      <c r="DLC50" s="24"/>
      <c r="DLD50" s="24"/>
      <c r="DLE50" s="24"/>
      <c r="DLF50" s="24"/>
      <c r="DLG50" s="24"/>
      <c r="DLH50" s="24"/>
      <c r="DLI50" s="24"/>
      <c r="DLJ50" s="24"/>
      <c r="DLK50" s="24"/>
      <c r="DLL50" s="24"/>
      <c r="DLM50" s="24"/>
      <c r="DLN50" s="24"/>
      <c r="DLO50" s="24"/>
      <c r="DLP50" s="24"/>
      <c r="DLQ50" s="24"/>
      <c r="DLR50" s="24"/>
      <c r="DLS50" s="24"/>
      <c r="DLT50" s="24"/>
      <c r="DLU50" s="24"/>
      <c r="DLV50" s="24"/>
      <c r="DLW50" s="24"/>
      <c r="DLX50" s="24"/>
      <c r="DLY50" s="24"/>
      <c r="DLZ50" s="24"/>
      <c r="DMA50" s="24"/>
      <c r="DMB50" s="24"/>
      <c r="DMC50" s="24"/>
      <c r="DMD50" s="24"/>
      <c r="DME50" s="24"/>
      <c r="DMF50" s="24"/>
      <c r="DMG50" s="24"/>
      <c r="DMH50" s="24"/>
      <c r="DMI50" s="24"/>
      <c r="DMJ50" s="24"/>
      <c r="DMK50" s="24"/>
      <c r="DML50" s="24"/>
      <c r="DMM50" s="24"/>
      <c r="DMN50" s="24"/>
      <c r="DMO50" s="24"/>
      <c r="DMP50" s="24"/>
      <c r="DMQ50" s="24"/>
      <c r="DMR50" s="24"/>
      <c r="DMS50" s="24"/>
      <c r="DMT50" s="24"/>
      <c r="DMU50" s="24"/>
      <c r="DMV50" s="24"/>
      <c r="DMW50" s="24"/>
      <c r="DMX50" s="24"/>
      <c r="DMY50" s="24"/>
      <c r="DMZ50" s="24"/>
      <c r="DNA50" s="24"/>
      <c r="DNB50" s="24"/>
      <c r="DNC50" s="24"/>
      <c r="DND50" s="24"/>
      <c r="DNE50" s="24"/>
      <c r="DNF50" s="24"/>
      <c r="DNG50" s="24"/>
      <c r="DNH50" s="24"/>
      <c r="DNI50" s="24"/>
      <c r="DNJ50" s="24"/>
      <c r="DNK50" s="24"/>
      <c r="DNL50" s="24"/>
      <c r="DNM50" s="24"/>
      <c r="DNN50" s="24"/>
      <c r="DNO50" s="24"/>
      <c r="DNP50" s="24"/>
      <c r="DNQ50" s="24"/>
      <c r="DNR50" s="24"/>
      <c r="DNS50" s="24"/>
      <c r="DNT50" s="24"/>
      <c r="DNU50" s="24"/>
      <c r="DNV50" s="24"/>
      <c r="DNW50" s="24"/>
      <c r="DNX50" s="24"/>
      <c r="DNY50" s="24"/>
      <c r="DNZ50" s="24"/>
      <c r="DOA50" s="24"/>
      <c r="DOB50" s="24"/>
      <c r="DOC50" s="24"/>
      <c r="DOD50" s="24"/>
      <c r="DOE50" s="24"/>
      <c r="DOF50" s="24"/>
      <c r="DOG50" s="24"/>
      <c r="DOH50" s="24"/>
      <c r="DOI50" s="24"/>
      <c r="DOJ50" s="24"/>
      <c r="DOK50" s="24"/>
      <c r="DOL50" s="24"/>
      <c r="DOM50" s="24"/>
      <c r="DON50" s="24"/>
      <c r="DOO50" s="24"/>
      <c r="DOP50" s="24"/>
      <c r="DOQ50" s="24"/>
      <c r="DOR50" s="24"/>
      <c r="DOS50" s="24"/>
      <c r="DOT50" s="24"/>
      <c r="DOU50" s="24"/>
      <c r="DOV50" s="24"/>
      <c r="DOW50" s="24"/>
      <c r="DOX50" s="24"/>
      <c r="DOY50" s="24"/>
      <c r="DOZ50" s="24"/>
      <c r="DPA50" s="24"/>
      <c r="DPB50" s="24"/>
      <c r="DPC50" s="24"/>
      <c r="DPD50" s="24"/>
      <c r="DPE50" s="24"/>
      <c r="DPF50" s="24"/>
      <c r="DPG50" s="24"/>
      <c r="DPH50" s="24"/>
      <c r="DPI50" s="24"/>
      <c r="DPJ50" s="24"/>
      <c r="DPK50" s="24"/>
      <c r="DPL50" s="24"/>
      <c r="DPM50" s="24"/>
      <c r="DPN50" s="24"/>
      <c r="DPO50" s="24"/>
      <c r="DPP50" s="24"/>
      <c r="DPQ50" s="24"/>
      <c r="DPR50" s="24"/>
      <c r="DPS50" s="24"/>
      <c r="DPT50" s="24"/>
      <c r="DPU50" s="24"/>
      <c r="DPV50" s="24"/>
      <c r="DPW50" s="24"/>
      <c r="DPX50" s="24"/>
      <c r="DPY50" s="24"/>
      <c r="DPZ50" s="24"/>
      <c r="DQA50" s="24"/>
      <c r="DQB50" s="24"/>
      <c r="DQC50" s="24"/>
      <c r="DQD50" s="24"/>
      <c r="DQE50" s="24"/>
      <c r="DQF50" s="24"/>
      <c r="DQG50" s="24"/>
      <c r="DQH50" s="24"/>
      <c r="DQI50" s="24"/>
      <c r="DQJ50" s="24"/>
      <c r="DQK50" s="24"/>
      <c r="DQL50" s="24"/>
      <c r="DQM50" s="24"/>
      <c r="DQN50" s="24"/>
      <c r="DQO50" s="24"/>
      <c r="DQP50" s="24"/>
      <c r="DQQ50" s="24"/>
      <c r="DQR50" s="24"/>
      <c r="DQS50" s="24"/>
      <c r="DQT50" s="24"/>
      <c r="DQU50" s="24"/>
      <c r="DQV50" s="24"/>
      <c r="DQW50" s="24"/>
      <c r="DQX50" s="24"/>
      <c r="DQY50" s="24"/>
      <c r="DQZ50" s="24"/>
      <c r="DRA50" s="24"/>
      <c r="DRB50" s="24"/>
      <c r="DRC50" s="24"/>
      <c r="DRD50" s="24"/>
      <c r="DRE50" s="24"/>
      <c r="DRF50" s="24"/>
      <c r="DRG50" s="24"/>
      <c r="DRH50" s="24"/>
      <c r="DRI50" s="24"/>
      <c r="DRJ50" s="24"/>
      <c r="DRK50" s="24"/>
      <c r="DRL50" s="24"/>
      <c r="DRM50" s="24"/>
      <c r="DRN50" s="24"/>
      <c r="DRO50" s="24"/>
      <c r="DRP50" s="24"/>
      <c r="DRQ50" s="24"/>
      <c r="DRR50" s="24"/>
      <c r="DRS50" s="24"/>
      <c r="DRT50" s="24"/>
      <c r="DRU50" s="24"/>
      <c r="DRV50" s="24"/>
      <c r="DRW50" s="24"/>
      <c r="DRX50" s="24"/>
      <c r="DRY50" s="24"/>
      <c r="DRZ50" s="24"/>
      <c r="DSA50" s="24"/>
      <c r="DSB50" s="24"/>
      <c r="DSC50" s="24"/>
      <c r="DSD50" s="24"/>
      <c r="DSE50" s="24"/>
      <c r="DSF50" s="24"/>
      <c r="DSG50" s="24"/>
      <c r="DSH50" s="24"/>
      <c r="DSI50" s="24"/>
      <c r="DSJ50" s="24"/>
      <c r="DSK50" s="24"/>
      <c r="DSL50" s="24"/>
      <c r="DSM50" s="24"/>
      <c r="DSN50" s="24"/>
      <c r="DSO50" s="24"/>
      <c r="DSP50" s="24"/>
      <c r="DSQ50" s="24"/>
      <c r="DSR50" s="24"/>
      <c r="DSS50" s="24"/>
      <c r="DST50" s="24"/>
      <c r="DSU50" s="24"/>
      <c r="DSV50" s="24"/>
      <c r="DSW50" s="24"/>
      <c r="DSX50" s="24"/>
      <c r="DSY50" s="24"/>
      <c r="DSZ50" s="24"/>
      <c r="DTA50" s="24"/>
      <c r="DTB50" s="24"/>
      <c r="DTC50" s="24"/>
      <c r="DTD50" s="24"/>
      <c r="DTE50" s="24"/>
      <c r="DTF50" s="24"/>
      <c r="DTG50" s="24"/>
      <c r="DTH50" s="24"/>
      <c r="DTI50" s="24"/>
      <c r="DTJ50" s="24"/>
      <c r="DTK50" s="24"/>
      <c r="DTL50" s="24"/>
      <c r="DTM50" s="24"/>
      <c r="DTN50" s="24"/>
      <c r="DTO50" s="24"/>
      <c r="DTP50" s="24"/>
      <c r="DTQ50" s="24"/>
      <c r="DTR50" s="24"/>
      <c r="DTS50" s="24"/>
      <c r="DTT50" s="24"/>
      <c r="DTU50" s="24"/>
      <c r="DTV50" s="24"/>
      <c r="DTW50" s="24"/>
      <c r="DTX50" s="24"/>
      <c r="DTY50" s="24"/>
      <c r="DTZ50" s="24"/>
      <c r="DUA50" s="24"/>
      <c r="DUB50" s="24"/>
      <c r="DUC50" s="24"/>
      <c r="DUD50" s="24"/>
      <c r="DUE50" s="24"/>
      <c r="DUF50" s="24"/>
      <c r="DUG50" s="24"/>
      <c r="DUH50" s="24"/>
      <c r="DUI50" s="24"/>
      <c r="DUJ50" s="24"/>
      <c r="DUK50" s="24"/>
      <c r="DUL50" s="24"/>
      <c r="DUM50" s="24"/>
      <c r="DUN50" s="24"/>
      <c r="DUO50" s="24"/>
      <c r="DUP50" s="24"/>
      <c r="DUQ50" s="24"/>
      <c r="DUR50" s="24"/>
      <c r="DUS50" s="24"/>
      <c r="DUT50" s="24"/>
      <c r="DUU50" s="24"/>
      <c r="DUV50" s="24"/>
      <c r="DUW50" s="24"/>
      <c r="DUX50" s="24"/>
      <c r="DUY50" s="24"/>
      <c r="DUZ50" s="24"/>
      <c r="DVA50" s="24"/>
      <c r="DVB50" s="24"/>
      <c r="DVC50" s="24"/>
      <c r="DVD50" s="24"/>
      <c r="DVE50" s="24"/>
      <c r="DVF50" s="24"/>
      <c r="DVG50" s="24"/>
      <c r="DVH50" s="24"/>
      <c r="DVI50" s="24"/>
      <c r="DVJ50" s="24"/>
      <c r="DVK50" s="24"/>
      <c r="DVL50" s="24"/>
      <c r="DVM50" s="24"/>
      <c r="DVN50" s="24"/>
      <c r="DVO50" s="24"/>
      <c r="DVP50" s="24"/>
      <c r="DVQ50" s="24"/>
      <c r="DVR50" s="24"/>
      <c r="DVS50" s="24"/>
      <c r="DVT50" s="24"/>
      <c r="DVU50" s="24"/>
      <c r="DVV50" s="24"/>
      <c r="DVW50" s="24"/>
      <c r="DVX50" s="24"/>
      <c r="DVY50" s="24"/>
      <c r="DVZ50" s="24"/>
      <c r="DWA50" s="24"/>
      <c r="DWB50" s="24"/>
      <c r="DWC50" s="24"/>
      <c r="DWD50" s="24"/>
      <c r="DWE50" s="24"/>
      <c r="DWF50" s="24"/>
      <c r="DWG50" s="24"/>
      <c r="DWH50" s="24"/>
      <c r="DWI50" s="24"/>
      <c r="DWJ50" s="24"/>
      <c r="DWK50" s="24"/>
      <c r="DWL50" s="24"/>
      <c r="DWM50" s="24"/>
      <c r="DWN50" s="24"/>
      <c r="DWO50" s="24"/>
      <c r="DWP50" s="24"/>
      <c r="DWQ50" s="24"/>
      <c r="DWR50" s="24"/>
      <c r="DWS50" s="24"/>
      <c r="DWT50" s="24"/>
      <c r="DWU50" s="24"/>
      <c r="DWV50" s="24"/>
      <c r="DWW50" s="24"/>
      <c r="DWX50" s="24"/>
      <c r="DWY50" s="24"/>
      <c r="DWZ50" s="24"/>
      <c r="DXA50" s="24"/>
      <c r="DXB50" s="24"/>
      <c r="DXC50" s="24"/>
      <c r="DXD50" s="24"/>
      <c r="DXE50" s="24"/>
      <c r="DXF50" s="24"/>
      <c r="DXG50" s="24"/>
      <c r="DXH50" s="24"/>
      <c r="DXI50" s="24"/>
      <c r="DXJ50" s="24"/>
      <c r="DXK50" s="24"/>
      <c r="DXL50" s="24"/>
      <c r="DXM50" s="24"/>
      <c r="DXN50" s="24"/>
      <c r="DXO50" s="24"/>
      <c r="DXP50" s="24"/>
      <c r="DXQ50" s="24"/>
      <c r="DXR50" s="24"/>
      <c r="DXS50" s="24"/>
      <c r="DXT50" s="24"/>
      <c r="DXU50" s="24"/>
      <c r="DXV50" s="24"/>
      <c r="DXW50" s="24"/>
      <c r="DXX50" s="24"/>
      <c r="DXY50" s="24"/>
      <c r="DXZ50" s="24"/>
      <c r="DYA50" s="24"/>
      <c r="DYB50" s="24"/>
      <c r="DYC50" s="24"/>
      <c r="DYD50" s="24"/>
      <c r="DYE50" s="24"/>
      <c r="DYF50" s="24"/>
      <c r="DYG50" s="24"/>
      <c r="DYH50" s="24"/>
      <c r="DYI50" s="24"/>
      <c r="DYJ50" s="24"/>
      <c r="DYK50" s="24"/>
      <c r="DYL50" s="24"/>
      <c r="DYM50" s="24"/>
      <c r="DYN50" s="24"/>
      <c r="DYO50" s="24"/>
      <c r="DYP50" s="24"/>
      <c r="DYQ50" s="24"/>
      <c r="DYR50" s="24"/>
      <c r="DYS50" s="24"/>
      <c r="DYT50" s="24"/>
      <c r="DYU50" s="24"/>
      <c r="DYV50" s="24"/>
      <c r="DYW50" s="24"/>
      <c r="DYX50" s="24"/>
      <c r="DYY50" s="24"/>
      <c r="DYZ50" s="24"/>
      <c r="DZA50" s="24"/>
      <c r="DZB50" s="24"/>
      <c r="DZC50" s="24"/>
      <c r="DZD50" s="24"/>
      <c r="DZE50" s="24"/>
      <c r="DZF50" s="24"/>
      <c r="DZG50" s="24"/>
      <c r="DZH50" s="24"/>
      <c r="DZI50" s="24"/>
      <c r="DZJ50" s="24"/>
      <c r="DZK50" s="24"/>
      <c r="DZL50" s="24"/>
      <c r="DZM50" s="24"/>
      <c r="DZN50" s="24"/>
      <c r="DZO50" s="24"/>
      <c r="DZP50" s="24"/>
      <c r="DZQ50" s="24"/>
      <c r="DZR50" s="24"/>
      <c r="DZS50" s="24"/>
      <c r="DZT50" s="24"/>
      <c r="DZU50" s="24"/>
      <c r="DZV50" s="24"/>
      <c r="DZW50" s="24"/>
      <c r="DZX50" s="24"/>
      <c r="DZY50" s="24"/>
      <c r="DZZ50" s="24"/>
      <c r="EAA50" s="24"/>
      <c r="EAB50" s="24"/>
      <c r="EAC50" s="24"/>
      <c r="EAD50" s="24"/>
      <c r="EAE50" s="24"/>
      <c r="EAF50" s="24"/>
      <c r="EAG50" s="24"/>
      <c r="EAH50" s="24"/>
      <c r="EAI50" s="24"/>
      <c r="EAJ50" s="24"/>
      <c r="EAK50" s="24"/>
      <c r="EAL50" s="24"/>
      <c r="EAM50" s="24"/>
      <c r="EAN50" s="24"/>
      <c r="EAO50" s="24"/>
      <c r="EAP50" s="24"/>
      <c r="EAQ50" s="24"/>
      <c r="EAR50" s="24"/>
      <c r="EAS50" s="24"/>
      <c r="EAT50" s="24"/>
      <c r="EAU50" s="24"/>
      <c r="EAV50" s="24"/>
      <c r="EAW50" s="24"/>
      <c r="EAX50" s="24"/>
      <c r="EAY50" s="24"/>
      <c r="EAZ50" s="24"/>
      <c r="EBA50" s="24"/>
      <c r="EBB50" s="24"/>
      <c r="EBC50" s="24"/>
      <c r="EBD50" s="24"/>
      <c r="EBE50" s="24"/>
      <c r="EBF50" s="24"/>
      <c r="EBG50" s="24"/>
      <c r="EBH50" s="24"/>
      <c r="EBI50" s="24"/>
      <c r="EBJ50" s="24"/>
      <c r="EBK50" s="24"/>
      <c r="EBL50" s="24"/>
      <c r="EBM50" s="24"/>
      <c r="EBN50" s="24"/>
      <c r="EBO50" s="24"/>
      <c r="EBP50" s="24"/>
      <c r="EBQ50" s="24"/>
      <c r="EBR50" s="24"/>
      <c r="EBS50" s="24"/>
      <c r="EBT50" s="24"/>
      <c r="EBU50" s="24"/>
      <c r="EBV50" s="24"/>
      <c r="EBW50" s="24"/>
      <c r="EBX50" s="24"/>
      <c r="EBY50" s="24"/>
      <c r="EBZ50" s="24"/>
      <c r="ECA50" s="24"/>
      <c r="ECB50" s="24"/>
      <c r="ECC50" s="24"/>
      <c r="ECD50" s="24"/>
      <c r="ECE50" s="24"/>
      <c r="ECF50" s="24"/>
      <c r="ECG50" s="24"/>
      <c r="ECH50" s="24"/>
      <c r="ECI50" s="24"/>
      <c r="ECJ50" s="24"/>
      <c r="ECK50" s="24"/>
      <c r="ECL50" s="24"/>
      <c r="ECM50" s="24"/>
      <c r="ECN50" s="24"/>
      <c r="ECO50" s="24"/>
      <c r="ECP50" s="24"/>
      <c r="ECQ50" s="24"/>
      <c r="ECR50" s="24"/>
      <c r="ECS50" s="24"/>
      <c r="ECT50" s="24"/>
      <c r="ECU50" s="24"/>
      <c r="ECV50" s="24"/>
      <c r="ECW50" s="24"/>
      <c r="ECX50" s="24"/>
      <c r="ECY50" s="24"/>
      <c r="ECZ50" s="24"/>
      <c r="EDA50" s="24"/>
      <c r="EDB50" s="24"/>
      <c r="EDC50" s="24"/>
      <c r="EDD50" s="24"/>
      <c r="EDE50" s="24"/>
      <c r="EDF50" s="24"/>
      <c r="EDG50" s="24"/>
      <c r="EDH50" s="24"/>
      <c r="EDI50" s="24"/>
      <c r="EDJ50" s="24"/>
      <c r="EDK50" s="24"/>
      <c r="EDL50" s="24"/>
      <c r="EDM50" s="24"/>
      <c r="EDN50" s="24"/>
      <c r="EDO50" s="24"/>
      <c r="EDP50" s="24"/>
      <c r="EDQ50" s="24"/>
      <c r="EDR50" s="24"/>
      <c r="EDS50" s="24"/>
      <c r="EDT50" s="24"/>
      <c r="EDU50" s="24"/>
      <c r="EDV50" s="24"/>
      <c r="EDW50" s="24"/>
      <c r="EDX50" s="24"/>
      <c r="EDY50" s="24"/>
      <c r="EDZ50" s="24"/>
      <c r="EEA50" s="24"/>
      <c r="EEB50" s="24"/>
      <c r="EEC50" s="24"/>
      <c r="EED50" s="24"/>
      <c r="EEE50" s="24"/>
      <c r="EEF50" s="24"/>
      <c r="EEG50" s="24"/>
      <c r="EEH50" s="24"/>
      <c r="EEI50" s="24"/>
      <c r="EEJ50" s="24"/>
      <c r="EEK50" s="24"/>
      <c r="EEL50" s="24"/>
      <c r="EEM50" s="24"/>
      <c r="EEN50" s="24"/>
      <c r="EEO50" s="24"/>
      <c r="EEP50" s="24"/>
      <c r="EEQ50" s="24"/>
      <c r="EER50" s="24"/>
      <c r="EES50" s="24"/>
      <c r="EET50" s="24"/>
      <c r="EEU50" s="24"/>
      <c r="EEV50" s="24"/>
      <c r="EEW50" s="24"/>
      <c r="EEX50" s="24"/>
      <c r="EEY50" s="24"/>
      <c r="EEZ50" s="24"/>
      <c r="EFA50" s="24"/>
      <c r="EFB50" s="24"/>
      <c r="EFC50" s="24"/>
      <c r="EFD50" s="24"/>
      <c r="EFE50" s="24"/>
      <c r="EFF50" s="24"/>
      <c r="EFG50" s="24"/>
      <c r="EFH50" s="24"/>
      <c r="EFI50" s="24"/>
      <c r="EFJ50" s="24"/>
      <c r="EFK50" s="24"/>
      <c r="EFL50" s="24"/>
      <c r="EFM50" s="24"/>
      <c r="EFN50" s="24"/>
      <c r="EFO50" s="24"/>
      <c r="EFP50" s="24"/>
      <c r="EFQ50" s="24"/>
      <c r="EFR50" s="24"/>
      <c r="EFS50" s="24"/>
      <c r="EFT50" s="24"/>
      <c r="EFU50" s="24"/>
      <c r="EFV50" s="24"/>
      <c r="EFW50" s="24"/>
      <c r="EFX50" s="24"/>
      <c r="EFY50" s="24"/>
      <c r="EFZ50" s="24"/>
      <c r="EGA50" s="24"/>
      <c r="EGB50" s="24"/>
      <c r="EGC50" s="24"/>
      <c r="EGD50" s="24"/>
      <c r="EGE50" s="24"/>
      <c r="EGF50" s="24"/>
      <c r="EGG50" s="24"/>
      <c r="EGH50" s="24"/>
      <c r="EGI50" s="24"/>
      <c r="EGJ50" s="24"/>
      <c r="EGK50" s="24"/>
      <c r="EGL50" s="24"/>
      <c r="EGM50" s="24"/>
      <c r="EGN50" s="24"/>
      <c r="EGO50" s="24"/>
      <c r="EGP50" s="24"/>
      <c r="EGQ50" s="24"/>
      <c r="EGR50" s="24"/>
      <c r="EGS50" s="24"/>
      <c r="EGT50" s="24"/>
      <c r="EGU50" s="24"/>
      <c r="EGV50" s="24"/>
      <c r="EGW50" s="24"/>
      <c r="EGX50" s="24"/>
      <c r="EGY50" s="24"/>
      <c r="EGZ50" s="24"/>
      <c r="EHA50" s="24"/>
      <c r="EHB50" s="24"/>
      <c r="EHC50" s="24"/>
      <c r="EHD50" s="24"/>
      <c r="EHE50" s="24"/>
      <c r="EHF50" s="24"/>
      <c r="EHG50" s="24"/>
      <c r="EHH50" s="24"/>
      <c r="EHI50" s="24"/>
      <c r="EHJ50" s="24"/>
      <c r="EHK50" s="24"/>
      <c r="EHL50" s="24"/>
      <c r="EHM50" s="24"/>
      <c r="EHN50" s="24"/>
      <c r="EHO50" s="24"/>
      <c r="EHP50" s="24"/>
      <c r="EHQ50" s="24"/>
      <c r="EHR50" s="24"/>
      <c r="EHS50" s="24"/>
      <c r="EHT50" s="24"/>
      <c r="EHU50" s="24"/>
      <c r="EHV50" s="24"/>
      <c r="EHW50" s="24"/>
      <c r="EHX50" s="24"/>
      <c r="EHY50" s="24"/>
      <c r="EHZ50" s="24"/>
      <c r="EIA50" s="24"/>
      <c r="EIB50" s="24"/>
      <c r="EIC50" s="24"/>
      <c r="EID50" s="24"/>
      <c r="EIE50" s="24"/>
      <c r="EIF50" s="24"/>
      <c r="EIG50" s="24"/>
      <c r="EIH50" s="24"/>
      <c r="EII50" s="24"/>
      <c r="EIJ50" s="24"/>
      <c r="EIK50" s="24"/>
      <c r="EIL50" s="24"/>
      <c r="EIM50" s="24"/>
      <c r="EIN50" s="24"/>
      <c r="EIO50" s="24"/>
      <c r="EIP50" s="24"/>
      <c r="EIQ50" s="24"/>
      <c r="EIR50" s="24"/>
      <c r="EIS50" s="24"/>
      <c r="EIT50" s="24"/>
      <c r="EIU50" s="24"/>
      <c r="EIV50" s="24"/>
      <c r="EIW50" s="24"/>
      <c r="EIX50" s="24"/>
      <c r="EIY50" s="24"/>
      <c r="EIZ50" s="24"/>
      <c r="EJA50" s="24"/>
      <c r="EJB50" s="24"/>
      <c r="EJC50" s="24"/>
      <c r="EJD50" s="24"/>
      <c r="EJE50" s="24"/>
      <c r="EJF50" s="24"/>
      <c r="EJG50" s="24"/>
      <c r="EJH50" s="24"/>
      <c r="EJI50" s="24"/>
      <c r="EJJ50" s="24"/>
      <c r="EJK50" s="24"/>
      <c r="EJL50" s="24"/>
      <c r="EJM50" s="24"/>
      <c r="EJN50" s="24"/>
      <c r="EJO50" s="24"/>
      <c r="EJP50" s="24"/>
      <c r="EJQ50" s="24"/>
      <c r="EJR50" s="24"/>
      <c r="EJS50" s="24"/>
      <c r="EJT50" s="24"/>
      <c r="EJU50" s="24"/>
      <c r="EJV50" s="24"/>
      <c r="EJW50" s="24"/>
      <c r="EJX50" s="24"/>
      <c r="EJY50" s="24"/>
      <c r="EJZ50" s="24"/>
      <c r="EKA50" s="24"/>
      <c r="EKB50" s="24"/>
      <c r="EKC50" s="24"/>
      <c r="EKD50" s="24"/>
      <c r="EKE50" s="24"/>
      <c r="EKF50" s="24"/>
      <c r="EKG50" s="24"/>
      <c r="EKH50" s="24"/>
      <c r="EKI50" s="24"/>
      <c r="EKJ50" s="24"/>
      <c r="EKK50" s="24"/>
      <c r="EKL50" s="24"/>
      <c r="EKM50" s="24"/>
      <c r="EKN50" s="24"/>
      <c r="EKO50" s="24"/>
      <c r="EKP50" s="24"/>
      <c r="EKQ50" s="24"/>
      <c r="EKR50" s="24"/>
      <c r="EKS50" s="24"/>
      <c r="EKT50" s="24"/>
      <c r="EKU50" s="24"/>
      <c r="EKV50" s="24"/>
      <c r="EKW50" s="24"/>
      <c r="EKX50" s="24"/>
      <c r="EKY50" s="24"/>
      <c r="EKZ50" s="24"/>
      <c r="ELA50" s="24"/>
      <c r="ELB50" s="24"/>
      <c r="ELC50" s="24"/>
      <c r="ELD50" s="24"/>
      <c r="ELE50" s="24"/>
      <c r="ELF50" s="24"/>
      <c r="ELG50" s="24"/>
      <c r="ELH50" s="24"/>
      <c r="ELI50" s="24"/>
      <c r="ELJ50" s="24"/>
      <c r="ELK50" s="24"/>
      <c r="ELL50" s="24"/>
      <c r="ELM50" s="24"/>
      <c r="ELN50" s="24"/>
      <c r="ELO50" s="24"/>
      <c r="ELP50" s="24"/>
      <c r="ELQ50" s="24"/>
      <c r="ELR50" s="24"/>
      <c r="ELS50" s="24"/>
      <c r="ELT50" s="24"/>
      <c r="ELU50" s="24"/>
      <c r="ELV50" s="24"/>
      <c r="ELW50" s="24"/>
      <c r="ELX50" s="24"/>
      <c r="ELY50" s="24"/>
      <c r="ELZ50" s="24"/>
      <c r="EMA50" s="24"/>
      <c r="EMB50" s="24"/>
      <c r="EMC50" s="24"/>
      <c r="EMD50" s="24"/>
      <c r="EME50" s="24"/>
      <c r="EMF50" s="24"/>
      <c r="EMG50" s="24"/>
      <c r="EMH50" s="24"/>
      <c r="EMI50" s="24"/>
      <c r="EMJ50" s="24"/>
      <c r="EMK50" s="24"/>
      <c r="EML50" s="24"/>
      <c r="EMM50" s="24"/>
      <c r="EMN50" s="24"/>
      <c r="EMO50" s="24"/>
      <c r="EMP50" s="24"/>
      <c r="EMQ50" s="24"/>
      <c r="EMR50" s="24"/>
      <c r="EMS50" s="24"/>
      <c r="EMT50" s="24"/>
      <c r="EMU50" s="24"/>
      <c r="EMV50" s="24"/>
      <c r="EMW50" s="24"/>
      <c r="EMX50" s="24"/>
      <c r="EMY50" s="24"/>
      <c r="EMZ50" s="24"/>
      <c r="ENA50" s="24"/>
      <c r="ENB50" s="24"/>
      <c r="ENC50" s="24"/>
      <c r="END50" s="24"/>
      <c r="ENE50" s="24"/>
      <c r="ENF50" s="24"/>
      <c r="ENG50" s="24"/>
      <c r="ENH50" s="24"/>
      <c r="ENI50" s="24"/>
      <c r="ENJ50" s="24"/>
      <c r="ENK50" s="24"/>
      <c r="ENL50" s="24"/>
      <c r="ENM50" s="24"/>
      <c r="ENN50" s="24"/>
      <c r="ENO50" s="24"/>
      <c r="ENP50" s="24"/>
      <c r="ENQ50" s="24"/>
      <c r="ENR50" s="24"/>
      <c r="ENS50" s="24"/>
      <c r="ENT50" s="24"/>
      <c r="ENU50" s="24"/>
      <c r="ENV50" s="24"/>
      <c r="ENW50" s="24"/>
      <c r="ENX50" s="24"/>
      <c r="ENY50" s="24"/>
      <c r="ENZ50" s="24"/>
      <c r="EOA50" s="24"/>
      <c r="EOB50" s="24"/>
      <c r="EOC50" s="24"/>
      <c r="EOD50" s="24"/>
      <c r="EOE50" s="24"/>
      <c r="EOF50" s="24"/>
      <c r="EOG50" s="24"/>
      <c r="EOH50" s="24"/>
      <c r="EOI50" s="24"/>
      <c r="EOJ50" s="24"/>
      <c r="EOK50" s="24"/>
      <c r="EOL50" s="24"/>
      <c r="EOM50" s="24"/>
      <c r="EON50" s="24"/>
      <c r="EOO50" s="24"/>
      <c r="EOP50" s="24"/>
      <c r="EOQ50" s="24"/>
      <c r="EOR50" s="24"/>
      <c r="EOS50" s="24"/>
      <c r="EOT50" s="24"/>
      <c r="EOU50" s="24"/>
      <c r="EOV50" s="24"/>
      <c r="EOW50" s="24"/>
      <c r="EOX50" s="24"/>
      <c r="EOY50" s="24"/>
      <c r="EOZ50" s="24"/>
      <c r="EPA50" s="24"/>
      <c r="EPB50" s="24"/>
      <c r="EPC50" s="24"/>
      <c r="EPD50" s="24"/>
      <c r="EPE50" s="24"/>
      <c r="EPF50" s="24"/>
      <c r="EPG50" s="24"/>
      <c r="EPH50" s="24"/>
      <c r="EPI50" s="24"/>
      <c r="EPJ50" s="24"/>
      <c r="EPK50" s="24"/>
      <c r="EPL50" s="24"/>
      <c r="EPM50" s="24"/>
      <c r="EPN50" s="24"/>
      <c r="EPO50" s="24"/>
      <c r="EPP50" s="24"/>
      <c r="EPQ50" s="24"/>
      <c r="EPR50" s="24"/>
      <c r="EPS50" s="24"/>
      <c r="EPT50" s="24"/>
      <c r="EPU50" s="24"/>
      <c r="EPV50" s="24"/>
      <c r="EPW50" s="24"/>
      <c r="EPX50" s="24"/>
      <c r="EPY50" s="24"/>
      <c r="EPZ50" s="24"/>
      <c r="EQA50" s="24"/>
      <c r="EQB50" s="24"/>
      <c r="EQC50" s="24"/>
      <c r="EQD50" s="24"/>
      <c r="EQE50" s="24"/>
      <c r="EQF50" s="24"/>
      <c r="EQG50" s="24"/>
      <c r="EQH50" s="24"/>
      <c r="EQI50" s="24"/>
      <c r="EQJ50" s="24"/>
      <c r="EQK50" s="24"/>
      <c r="EQL50" s="24"/>
      <c r="EQM50" s="24"/>
      <c r="EQN50" s="24"/>
      <c r="EQO50" s="24"/>
      <c r="EQP50" s="24"/>
      <c r="EQQ50" s="24"/>
      <c r="EQR50" s="24"/>
      <c r="EQS50" s="24"/>
      <c r="EQT50" s="24"/>
      <c r="EQU50" s="24"/>
      <c r="EQV50" s="24"/>
      <c r="EQW50" s="24"/>
      <c r="EQX50" s="24"/>
      <c r="EQY50" s="24"/>
      <c r="EQZ50" s="24"/>
      <c r="ERA50" s="24"/>
      <c r="ERB50" s="24"/>
      <c r="ERC50" s="24"/>
      <c r="ERD50" s="24"/>
      <c r="ERE50" s="24"/>
      <c r="ERF50" s="24"/>
      <c r="ERG50" s="24"/>
      <c r="ERH50" s="24"/>
      <c r="ERI50" s="24"/>
      <c r="ERJ50" s="24"/>
      <c r="ERK50" s="24"/>
      <c r="ERL50" s="24"/>
      <c r="ERM50" s="24"/>
      <c r="ERN50" s="24"/>
      <c r="ERO50" s="24"/>
      <c r="ERP50" s="24"/>
      <c r="ERQ50" s="24"/>
      <c r="ERR50" s="24"/>
      <c r="ERS50" s="24"/>
      <c r="ERT50" s="24"/>
      <c r="ERU50" s="24"/>
      <c r="ERV50" s="24"/>
      <c r="ERW50" s="24"/>
      <c r="ERX50" s="24"/>
      <c r="ERY50" s="24"/>
      <c r="ERZ50" s="24"/>
      <c r="ESA50" s="24"/>
      <c r="ESB50" s="24"/>
      <c r="ESC50" s="24"/>
      <c r="ESD50" s="24"/>
      <c r="ESE50" s="24"/>
      <c r="ESF50" s="24"/>
      <c r="ESG50" s="24"/>
      <c r="ESH50" s="24"/>
      <c r="ESI50" s="24"/>
      <c r="ESJ50" s="24"/>
      <c r="ESK50" s="24"/>
      <c r="ESL50" s="24"/>
      <c r="ESM50" s="24"/>
      <c r="ESN50" s="24"/>
      <c r="ESO50" s="24"/>
      <c r="ESP50" s="24"/>
      <c r="ESQ50" s="24"/>
      <c r="ESR50" s="24"/>
      <c r="ESS50" s="24"/>
      <c r="EST50" s="24"/>
      <c r="ESU50" s="24"/>
      <c r="ESV50" s="24"/>
      <c r="ESW50" s="24"/>
      <c r="ESX50" s="24"/>
      <c r="ESY50" s="24"/>
      <c r="ESZ50" s="24"/>
      <c r="ETA50" s="24"/>
      <c r="ETB50" s="24"/>
      <c r="ETC50" s="24"/>
      <c r="ETD50" s="24"/>
      <c r="ETE50" s="24"/>
      <c r="ETF50" s="24"/>
      <c r="ETG50" s="24"/>
      <c r="ETH50" s="24"/>
      <c r="ETI50" s="24"/>
      <c r="ETJ50" s="24"/>
      <c r="ETK50" s="24"/>
      <c r="ETL50" s="24"/>
      <c r="ETM50" s="24"/>
      <c r="ETN50" s="24"/>
      <c r="ETO50" s="24"/>
      <c r="ETP50" s="24"/>
      <c r="ETQ50" s="24"/>
      <c r="ETR50" s="24"/>
      <c r="ETS50" s="24"/>
      <c r="ETT50" s="24"/>
      <c r="ETU50" s="24"/>
      <c r="ETV50" s="24"/>
      <c r="ETW50" s="24"/>
      <c r="ETX50" s="24"/>
      <c r="ETY50" s="24"/>
      <c r="ETZ50" s="24"/>
      <c r="EUA50" s="24"/>
      <c r="EUB50" s="24"/>
      <c r="EUC50" s="24"/>
      <c r="EUD50" s="24"/>
      <c r="EUE50" s="24"/>
      <c r="EUF50" s="24"/>
      <c r="EUG50" s="24"/>
      <c r="EUH50" s="24"/>
      <c r="EUI50" s="24"/>
      <c r="EUJ50" s="24"/>
      <c r="EUK50" s="24"/>
      <c r="EUL50" s="24"/>
      <c r="EUM50" s="24"/>
      <c r="EUN50" s="24"/>
      <c r="EUO50" s="24"/>
      <c r="EUP50" s="24"/>
      <c r="EUQ50" s="24"/>
      <c r="EUR50" s="24"/>
      <c r="EUS50" s="24"/>
      <c r="EUT50" s="24"/>
      <c r="EUU50" s="24"/>
      <c r="EUV50" s="24"/>
      <c r="EUW50" s="24"/>
      <c r="EUX50" s="24"/>
      <c r="EUY50" s="24"/>
      <c r="EUZ50" s="24"/>
      <c r="EVA50" s="24"/>
      <c r="EVB50" s="24"/>
      <c r="EVC50" s="24"/>
      <c r="EVD50" s="24"/>
      <c r="EVE50" s="24"/>
      <c r="EVF50" s="24"/>
      <c r="EVG50" s="24"/>
      <c r="EVH50" s="24"/>
      <c r="EVI50" s="24"/>
      <c r="EVJ50" s="24"/>
      <c r="EVK50" s="24"/>
      <c r="EVL50" s="24"/>
      <c r="EVM50" s="24"/>
      <c r="EVN50" s="24"/>
      <c r="EVO50" s="24"/>
      <c r="EVP50" s="24"/>
      <c r="EVQ50" s="24"/>
      <c r="EVR50" s="24"/>
      <c r="EVS50" s="24"/>
      <c r="EVT50" s="24"/>
      <c r="EVU50" s="24"/>
      <c r="EVV50" s="24"/>
      <c r="EVW50" s="24"/>
      <c r="EVX50" s="24"/>
      <c r="EVY50" s="24"/>
      <c r="EVZ50" s="24"/>
      <c r="EWA50" s="24"/>
      <c r="EWB50" s="24"/>
      <c r="EWC50" s="24"/>
      <c r="EWD50" s="24"/>
      <c r="EWE50" s="24"/>
      <c r="EWF50" s="24"/>
      <c r="EWG50" s="24"/>
      <c r="EWH50" s="24"/>
      <c r="EWI50" s="24"/>
      <c r="EWJ50" s="24"/>
      <c r="EWK50" s="24"/>
      <c r="EWL50" s="24"/>
      <c r="EWM50" s="24"/>
      <c r="EWN50" s="24"/>
      <c r="EWO50" s="24"/>
      <c r="EWP50" s="24"/>
      <c r="EWQ50" s="24"/>
      <c r="EWR50" s="24"/>
      <c r="EWS50" s="24"/>
      <c r="EWT50" s="24"/>
      <c r="EWU50" s="24"/>
      <c r="EWV50" s="24"/>
      <c r="EWW50" s="24"/>
      <c r="EWX50" s="24"/>
      <c r="EWY50" s="24"/>
      <c r="EWZ50" s="24"/>
      <c r="EXA50" s="24"/>
      <c r="EXB50" s="24"/>
      <c r="EXC50" s="24"/>
      <c r="EXD50" s="24"/>
      <c r="EXE50" s="24"/>
      <c r="EXF50" s="24"/>
      <c r="EXG50" s="24"/>
      <c r="EXH50" s="24"/>
      <c r="EXI50" s="24"/>
      <c r="EXJ50" s="24"/>
      <c r="EXK50" s="24"/>
      <c r="EXL50" s="24"/>
      <c r="EXM50" s="24"/>
      <c r="EXN50" s="24"/>
      <c r="EXO50" s="24"/>
      <c r="EXP50" s="24"/>
      <c r="EXQ50" s="24"/>
      <c r="EXR50" s="24"/>
      <c r="EXS50" s="24"/>
      <c r="EXT50" s="24"/>
      <c r="EXU50" s="24"/>
      <c r="EXV50" s="24"/>
      <c r="EXW50" s="24"/>
      <c r="EXX50" s="24"/>
      <c r="EXY50" s="24"/>
      <c r="EXZ50" s="24"/>
      <c r="EYA50" s="24"/>
      <c r="EYB50" s="24"/>
      <c r="EYC50" s="24"/>
      <c r="EYD50" s="24"/>
      <c r="EYE50" s="24"/>
      <c r="EYF50" s="24"/>
      <c r="EYG50" s="24"/>
      <c r="EYH50" s="24"/>
      <c r="EYI50" s="24"/>
      <c r="EYJ50" s="24"/>
      <c r="EYK50" s="24"/>
      <c r="EYL50" s="24"/>
      <c r="EYM50" s="24"/>
      <c r="EYN50" s="24"/>
      <c r="EYO50" s="24"/>
      <c r="EYP50" s="24"/>
      <c r="EYQ50" s="24"/>
      <c r="EYR50" s="24"/>
      <c r="EYS50" s="24"/>
      <c r="EYT50" s="24"/>
      <c r="EYU50" s="24"/>
      <c r="EYV50" s="24"/>
      <c r="EYW50" s="24"/>
      <c r="EYX50" s="24"/>
      <c r="EYY50" s="24"/>
      <c r="EYZ50" s="24"/>
      <c r="EZA50" s="24"/>
      <c r="EZB50" s="24"/>
      <c r="EZC50" s="24"/>
      <c r="EZD50" s="24"/>
      <c r="EZE50" s="24"/>
      <c r="EZF50" s="24"/>
      <c r="EZG50" s="24"/>
      <c r="EZH50" s="24"/>
      <c r="EZI50" s="24"/>
      <c r="EZJ50" s="24"/>
      <c r="EZK50" s="24"/>
      <c r="EZL50" s="24"/>
      <c r="EZM50" s="24"/>
      <c r="EZN50" s="24"/>
      <c r="EZO50" s="24"/>
      <c r="EZP50" s="24"/>
      <c r="EZQ50" s="24"/>
      <c r="EZR50" s="24"/>
      <c r="EZS50" s="24"/>
      <c r="EZT50" s="24"/>
      <c r="EZU50" s="24"/>
      <c r="EZV50" s="24"/>
      <c r="EZW50" s="24"/>
      <c r="EZX50" s="24"/>
      <c r="EZY50" s="24"/>
      <c r="EZZ50" s="24"/>
      <c r="FAA50" s="24"/>
      <c r="FAB50" s="24"/>
      <c r="FAC50" s="24"/>
      <c r="FAD50" s="24"/>
      <c r="FAE50" s="24"/>
      <c r="FAF50" s="24"/>
      <c r="FAG50" s="24"/>
      <c r="FAH50" s="24"/>
      <c r="FAI50" s="24"/>
      <c r="FAJ50" s="24"/>
      <c r="FAK50" s="24"/>
      <c r="FAL50" s="24"/>
      <c r="FAM50" s="24"/>
      <c r="FAN50" s="24"/>
      <c r="FAO50" s="24"/>
      <c r="FAP50" s="24"/>
      <c r="FAQ50" s="24"/>
      <c r="FAR50" s="24"/>
      <c r="FAS50" s="24"/>
      <c r="FAT50" s="24"/>
      <c r="FAU50" s="24"/>
      <c r="FAV50" s="24"/>
      <c r="FAW50" s="24"/>
      <c r="FAX50" s="24"/>
      <c r="FAY50" s="24"/>
      <c r="FAZ50" s="24"/>
      <c r="FBA50" s="24"/>
      <c r="FBB50" s="24"/>
      <c r="FBC50" s="24"/>
      <c r="FBD50" s="24"/>
      <c r="FBE50" s="24"/>
      <c r="FBF50" s="24"/>
      <c r="FBG50" s="24"/>
      <c r="FBH50" s="24"/>
      <c r="FBI50" s="24"/>
      <c r="FBJ50" s="24"/>
      <c r="FBK50" s="24"/>
      <c r="FBL50" s="24"/>
      <c r="FBM50" s="24"/>
      <c r="FBN50" s="24"/>
      <c r="FBO50" s="24"/>
      <c r="FBP50" s="24"/>
      <c r="FBQ50" s="24"/>
      <c r="FBR50" s="24"/>
      <c r="FBS50" s="24"/>
      <c r="FBT50" s="24"/>
      <c r="FBU50" s="24"/>
      <c r="FBV50" s="24"/>
      <c r="FBW50" s="24"/>
      <c r="FBX50" s="24"/>
      <c r="FBY50" s="24"/>
      <c r="FBZ50" s="24"/>
      <c r="FCA50" s="24"/>
      <c r="FCB50" s="24"/>
      <c r="FCC50" s="24"/>
      <c r="FCD50" s="24"/>
      <c r="FCE50" s="24"/>
      <c r="FCF50" s="24"/>
      <c r="FCG50" s="24"/>
      <c r="FCH50" s="24"/>
      <c r="FCI50" s="24"/>
      <c r="FCJ50" s="24"/>
      <c r="FCK50" s="24"/>
      <c r="FCL50" s="24"/>
      <c r="FCM50" s="24"/>
      <c r="FCN50" s="24"/>
      <c r="FCO50" s="24"/>
      <c r="FCP50" s="24"/>
      <c r="FCQ50" s="24"/>
      <c r="FCR50" s="24"/>
      <c r="FCS50" s="24"/>
      <c r="FCT50" s="24"/>
      <c r="FCU50" s="24"/>
      <c r="FCV50" s="24"/>
      <c r="FCW50" s="24"/>
      <c r="FCX50" s="24"/>
      <c r="FCY50" s="24"/>
      <c r="FCZ50" s="24"/>
      <c r="FDA50" s="24"/>
      <c r="FDB50" s="24"/>
      <c r="FDC50" s="24"/>
      <c r="FDD50" s="24"/>
      <c r="FDE50" s="24"/>
      <c r="FDF50" s="24"/>
      <c r="FDG50" s="24"/>
      <c r="FDH50" s="24"/>
      <c r="FDI50" s="24"/>
      <c r="FDJ50" s="24"/>
      <c r="FDK50" s="24"/>
      <c r="FDL50" s="24"/>
      <c r="FDM50" s="24"/>
      <c r="FDN50" s="24"/>
      <c r="FDO50" s="24"/>
      <c r="FDP50" s="24"/>
      <c r="FDQ50" s="24"/>
      <c r="FDR50" s="24"/>
      <c r="FDS50" s="24"/>
      <c r="FDT50" s="24"/>
      <c r="FDU50" s="24"/>
      <c r="FDV50" s="24"/>
      <c r="FDW50" s="24"/>
      <c r="FDX50" s="24"/>
      <c r="FDY50" s="24"/>
      <c r="FDZ50" s="24"/>
      <c r="FEA50" s="24"/>
      <c r="FEB50" s="24"/>
      <c r="FEC50" s="24"/>
      <c r="FED50" s="24"/>
      <c r="FEE50" s="24"/>
      <c r="FEF50" s="24"/>
      <c r="FEG50" s="24"/>
      <c r="FEH50" s="24"/>
      <c r="FEI50" s="24"/>
      <c r="FEJ50" s="24"/>
      <c r="FEK50" s="24"/>
      <c r="FEL50" s="24"/>
      <c r="FEM50" s="24"/>
      <c r="FEN50" s="24"/>
      <c r="FEO50" s="24"/>
      <c r="FEP50" s="24"/>
      <c r="FEQ50" s="24"/>
      <c r="FER50" s="24"/>
      <c r="FES50" s="24"/>
      <c r="FET50" s="24"/>
      <c r="FEU50" s="24"/>
      <c r="FEV50" s="24"/>
      <c r="FEW50" s="24"/>
      <c r="FEX50" s="24"/>
      <c r="FEY50" s="24"/>
      <c r="FEZ50" s="24"/>
      <c r="FFA50" s="24"/>
      <c r="FFB50" s="24"/>
      <c r="FFC50" s="24"/>
      <c r="FFD50" s="24"/>
      <c r="FFE50" s="24"/>
      <c r="FFF50" s="24"/>
      <c r="FFG50" s="24"/>
      <c r="FFH50" s="24"/>
      <c r="FFI50" s="24"/>
      <c r="FFJ50" s="24"/>
      <c r="FFK50" s="24"/>
      <c r="FFL50" s="24"/>
      <c r="FFM50" s="24"/>
      <c r="FFN50" s="24"/>
      <c r="FFO50" s="24"/>
      <c r="FFP50" s="24"/>
      <c r="FFQ50" s="24"/>
      <c r="FFR50" s="24"/>
      <c r="FFS50" s="24"/>
      <c r="FFT50" s="24"/>
      <c r="FFU50" s="24"/>
      <c r="FFV50" s="24"/>
      <c r="FFW50" s="24"/>
      <c r="FFX50" s="24"/>
      <c r="FFY50" s="24"/>
      <c r="FFZ50" s="24"/>
      <c r="FGA50" s="24"/>
      <c r="FGB50" s="24"/>
      <c r="FGC50" s="24"/>
      <c r="FGD50" s="24"/>
      <c r="FGE50" s="24"/>
      <c r="FGF50" s="24"/>
      <c r="FGG50" s="24"/>
      <c r="FGH50" s="24"/>
      <c r="FGI50" s="24"/>
      <c r="FGJ50" s="24"/>
      <c r="FGK50" s="24"/>
      <c r="FGL50" s="24"/>
      <c r="FGM50" s="24"/>
      <c r="FGN50" s="24"/>
      <c r="FGO50" s="24"/>
      <c r="FGP50" s="24"/>
      <c r="FGQ50" s="24"/>
      <c r="FGR50" s="24"/>
      <c r="FGS50" s="24"/>
      <c r="FGT50" s="24"/>
      <c r="FGU50" s="24"/>
      <c r="FGV50" s="24"/>
      <c r="FGW50" s="24"/>
      <c r="FGX50" s="24"/>
      <c r="FGY50" s="24"/>
      <c r="FGZ50" s="24"/>
      <c r="FHA50" s="24"/>
      <c r="FHB50" s="24"/>
      <c r="FHC50" s="24"/>
      <c r="FHD50" s="24"/>
      <c r="FHE50" s="24"/>
      <c r="FHF50" s="24"/>
      <c r="FHG50" s="24"/>
      <c r="FHH50" s="24"/>
      <c r="FHI50" s="24"/>
      <c r="FHJ50" s="24"/>
      <c r="FHK50" s="24"/>
      <c r="FHL50" s="24"/>
      <c r="FHM50" s="24"/>
      <c r="FHN50" s="24"/>
      <c r="FHO50" s="24"/>
      <c r="FHP50" s="24"/>
      <c r="FHQ50" s="24"/>
      <c r="FHR50" s="24"/>
      <c r="FHS50" s="24"/>
      <c r="FHT50" s="24"/>
      <c r="FHU50" s="24"/>
      <c r="FHV50" s="24"/>
      <c r="FHW50" s="24"/>
      <c r="FHX50" s="24"/>
      <c r="FHY50" s="24"/>
      <c r="FHZ50" s="24"/>
      <c r="FIA50" s="24"/>
      <c r="FIB50" s="24"/>
      <c r="FIC50" s="24"/>
      <c r="FID50" s="24"/>
      <c r="FIE50" s="24"/>
      <c r="FIF50" s="24"/>
      <c r="FIG50" s="24"/>
      <c r="FIH50" s="24"/>
      <c r="FII50" s="24"/>
      <c r="FIJ50" s="24"/>
      <c r="FIK50" s="24"/>
      <c r="FIL50" s="24"/>
      <c r="FIM50" s="24"/>
      <c r="FIN50" s="24"/>
      <c r="FIO50" s="24"/>
      <c r="FIP50" s="24"/>
      <c r="FIQ50" s="24"/>
      <c r="FIR50" s="24"/>
      <c r="FIS50" s="24"/>
      <c r="FIT50" s="24"/>
      <c r="FIU50" s="24"/>
      <c r="FIV50" s="24"/>
      <c r="FIW50" s="24"/>
      <c r="FIX50" s="24"/>
      <c r="FIY50" s="24"/>
      <c r="FIZ50" s="24"/>
      <c r="FJA50" s="24"/>
      <c r="FJB50" s="24"/>
      <c r="FJC50" s="24"/>
      <c r="FJD50" s="24"/>
      <c r="FJE50" s="24"/>
      <c r="FJF50" s="24"/>
      <c r="FJG50" s="24"/>
      <c r="FJH50" s="24"/>
      <c r="FJI50" s="24"/>
      <c r="FJJ50" s="24"/>
      <c r="FJK50" s="24"/>
      <c r="FJL50" s="24"/>
      <c r="FJM50" s="24"/>
      <c r="FJN50" s="24"/>
      <c r="FJO50" s="24"/>
      <c r="FJP50" s="24"/>
      <c r="FJQ50" s="24"/>
      <c r="FJR50" s="24"/>
      <c r="FJS50" s="24"/>
      <c r="FJT50" s="24"/>
      <c r="FJU50" s="24"/>
      <c r="FJV50" s="24"/>
      <c r="FJW50" s="24"/>
      <c r="FJX50" s="24"/>
      <c r="FJY50" s="24"/>
      <c r="FJZ50" s="24"/>
      <c r="FKA50" s="24"/>
      <c r="FKB50" s="24"/>
      <c r="FKC50" s="24"/>
      <c r="FKD50" s="24"/>
      <c r="FKE50" s="24"/>
      <c r="FKF50" s="24"/>
      <c r="FKG50" s="24"/>
      <c r="FKH50" s="24"/>
      <c r="FKI50" s="24"/>
      <c r="FKJ50" s="24"/>
      <c r="FKK50" s="24"/>
      <c r="FKL50" s="24"/>
      <c r="FKM50" s="24"/>
      <c r="FKN50" s="24"/>
      <c r="FKO50" s="24"/>
      <c r="FKP50" s="24"/>
      <c r="FKQ50" s="24"/>
      <c r="FKR50" s="24"/>
      <c r="FKS50" s="24"/>
      <c r="FKT50" s="24"/>
      <c r="FKU50" s="24"/>
      <c r="FKV50" s="24"/>
      <c r="FKW50" s="24"/>
      <c r="FKX50" s="24"/>
      <c r="FKY50" s="24"/>
      <c r="FKZ50" s="24"/>
      <c r="FLA50" s="24"/>
      <c r="FLB50" s="24"/>
      <c r="FLC50" s="24"/>
      <c r="FLD50" s="24"/>
      <c r="FLE50" s="24"/>
      <c r="FLF50" s="24"/>
      <c r="FLG50" s="24"/>
      <c r="FLH50" s="24"/>
      <c r="FLI50" s="24"/>
      <c r="FLJ50" s="24"/>
      <c r="FLK50" s="24"/>
      <c r="FLL50" s="24"/>
      <c r="FLM50" s="24"/>
      <c r="FLN50" s="24"/>
      <c r="FLO50" s="24"/>
      <c r="FLP50" s="24"/>
      <c r="FLQ50" s="24"/>
      <c r="FLR50" s="24"/>
      <c r="FLS50" s="24"/>
      <c r="FLT50" s="24"/>
      <c r="FLU50" s="24"/>
      <c r="FLV50" s="24"/>
      <c r="FLW50" s="24"/>
      <c r="FLX50" s="24"/>
      <c r="FLY50" s="24"/>
      <c r="FLZ50" s="24"/>
      <c r="FMA50" s="24"/>
      <c r="FMB50" s="24"/>
      <c r="FMC50" s="24"/>
      <c r="FMD50" s="24"/>
      <c r="FME50" s="24"/>
      <c r="FMF50" s="24"/>
      <c r="FMG50" s="24"/>
      <c r="FMH50" s="24"/>
      <c r="FMI50" s="24"/>
      <c r="FMJ50" s="24"/>
      <c r="FMK50" s="24"/>
      <c r="FML50" s="24"/>
      <c r="FMM50" s="24"/>
      <c r="FMN50" s="24"/>
      <c r="FMO50" s="24"/>
      <c r="FMP50" s="24"/>
      <c r="FMQ50" s="24"/>
      <c r="FMR50" s="24"/>
      <c r="FMS50" s="24"/>
      <c r="FMT50" s="24"/>
      <c r="FMU50" s="24"/>
      <c r="FMV50" s="24"/>
      <c r="FMW50" s="24"/>
      <c r="FMX50" s="24"/>
      <c r="FMY50" s="24"/>
      <c r="FMZ50" s="24"/>
      <c r="FNA50" s="24"/>
      <c r="FNB50" s="24"/>
      <c r="FNC50" s="24"/>
      <c r="FND50" s="24"/>
      <c r="FNE50" s="24"/>
      <c r="FNF50" s="24"/>
      <c r="FNG50" s="24"/>
      <c r="FNH50" s="24"/>
      <c r="FNI50" s="24"/>
      <c r="FNJ50" s="24"/>
      <c r="FNK50" s="24"/>
      <c r="FNL50" s="24"/>
      <c r="FNM50" s="24"/>
      <c r="FNN50" s="24"/>
      <c r="FNO50" s="24"/>
      <c r="FNP50" s="24"/>
      <c r="FNQ50" s="24"/>
      <c r="FNR50" s="24"/>
      <c r="FNS50" s="24"/>
      <c r="FNT50" s="24"/>
      <c r="FNU50" s="24"/>
      <c r="FNV50" s="24"/>
      <c r="FNW50" s="24"/>
      <c r="FNX50" s="24"/>
      <c r="FNY50" s="24"/>
      <c r="FNZ50" s="24"/>
      <c r="FOA50" s="24"/>
      <c r="FOB50" s="24"/>
      <c r="FOC50" s="24"/>
      <c r="FOD50" s="24"/>
      <c r="FOE50" s="24"/>
      <c r="FOF50" s="24"/>
      <c r="FOG50" s="24"/>
      <c r="FOH50" s="24"/>
      <c r="FOI50" s="24"/>
      <c r="FOJ50" s="24"/>
      <c r="FOK50" s="24"/>
      <c r="FOL50" s="24"/>
      <c r="FOM50" s="24"/>
      <c r="FON50" s="24"/>
      <c r="FOO50" s="24"/>
      <c r="FOP50" s="24"/>
      <c r="FOQ50" s="24"/>
      <c r="FOR50" s="24"/>
      <c r="FOS50" s="24"/>
      <c r="FOT50" s="24"/>
      <c r="FOU50" s="24"/>
      <c r="FOV50" s="24"/>
      <c r="FOW50" s="24"/>
      <c r="FOX50" s="24"/>
      <c r="FOY50" s="24"/>
      <c r="FOZ50" s="24"/>
      <c r="FPA50" s="24"/>
      <c r="FPB50" s="24"/>
      <c r="FPC50" s="24"/>
      <c r="FPD50" s="24"/>
      <c r="FPE50" s="24"/>
      <c r="FPF50" s="24"/>
      <c r="FPG50" s="24"/>
      <c r="FPH50" s="24"/>
      <c r="FPI50" s="24"/>
      <c r="FPJ50" s="24"/>
      <c r="FPK50" s="24"/>
      <c r="FPL50" s="24"/>
      <c r="FPM50" s="24"/>
      <c r="FPN50" s="24"/>
      <c r="FPO50" s="24"/>
      <c r="FPP50" s="24"/>
      <c r="FPQ50" s="24"/>
      <c r="FPR50" s="24"/>
      <c r="FPS50" s="24"/>
      <c r="FPT50" s="24"/>
      <c r="FPU50" s="24"/>
      <c r="FPV50" s="24"/>
      <c r="FPW50" s="24"/>
      <c r="FPX50" s="24"/>
      <c r="FPY50" s="24"/>
      <c r="FPZ50" s="24"/>
      <c r="FQA50" s="24"/>
      <c r="FQB50" s="24"/>
      <c r="FQC50" s="24"/>
      <c r="FQD50" s="24"/>
      <c r="FQE50" s="24"/>
      <c r="FQF50" s="24"/>
      <c r="FQG50" s="24"/>
      <c r="FQH50" s="24"/>
      <c r="FQI50" s="24"/>
      <c r="FQJ50" s="24"/>
      <c r="FQK50" s="24"/>
      <c r="FQL50" s="24"/>
      <c r="FQM50" s="24"/>
      <c r="FQN50" s="24"/>
      <c r="FQO50" s="24"/>
      <c r="FQP50" s="24"/>
      <c r="FQQ50" s="24"/>
      <c r="FQR50" s="24"/>
      <c r="FQS50" s="24"/>
      <c r="FQT50" s="24"/>
      <c r="FQU50" s="24"/>
      <c r="FQV50" s="24"/>
      <c r="FQW50" s="24"/>
      <c r="FQX50" s="24"/>
      <c r="FQY50" s="24"/>
      <c r="FQZ50" s="24"/>
      <c r="FRA50" s="24"/>
      <c r="FRB50" s="24"/>
      <c r="FRC50" s="24"/>
      <c r="FRD50" s="24"/>
      <c r="FRE50" s="24"/>
      <c r="FRF50" s="24"/>
      <c r="FRG50" s="24"/>
      <c r="FRH50" s="24"/>
      <c r="FRI50" s="24"/>
      <c r="FRJ50" s="24"/>
      <c r="FRK50" s="24"/>
      <c r="FRL50" s="24"/>
      <c r="FRM50" s="24"/>
      <c r="FRN50" s="24"/>
      <c r="FRO50" s="24"/>
      <c r="FRP50" s="24"/>
      <c r="FRQ50" s="24"/>
      <c r="FRR50" s="24"/>
      <c r="FRS50" s="24"/>
      <c r="FRT50" s="24"/>
      <c r="FRU50" s="24"/>
      <c r="FRV50" s="24"/>
      <c r="FRW50" s="24"/>
      <c r="FRX50" s="24"/>
      <c r="FRY50" s="24"/>
      <c r="FRZ50" s="24"/>
      <c r="FSA50" s="24"/>
      <c r="FSB50" s="24"/>
      <c r="FSC50" s="24"/>
      <c r="FSD50" s="24"/>
      <c r="FSE50" s="24"/>
      <c r="FSF50" s="24"/>
      <c r="FSG50" s="24"/>
      <c r="FSH50" s="24"/>
      <c r="FSI50" s="24"/>
      <c r="FSJ50" s="24"/>
      <c r="FSK50" s="24"/>
      <c r="FSL50" s="24"/>
      <c r="FSM50" s="24"/>
      <c r="FSN50" s="24"/>
      <c r="FSO50" s="24"/>
      <c r="FSP50" s="24"/>
      <c r="FSQ50" s="24"/>
      <c r="FSR50" s="24"/>
      <c r="FSS50" s="24"/>
      <c r="FST50" s="24"/>
      <c r="FSU50" s="24"/>
      <c r="FSV50" s="24"/>
      <c r="FSW50" s="24"/>
      <c r="FSX50" s="24"/>
      <c r="FSY50" s="24"/>
      <c r="FSZ50" s="24"/>
      <c r="FTA50" s="24"/>
      <c r="FTB50" s="24"/>
      <c r="FTC50" s="24"/>
      <c r="FTD50" s="24"/>
      <c r="FTE50" s="24"/>
      <c r="FTF50" s="24"/>
      <c r="FTG50" s="24"/>
      <c r="FTH50" s="24"/>
      <c r="FTI50" s="24"/>
      <c r="FTJ50" s="24"/>
      <c r="FTK50" s="24"/>
      <c r="FTL50" s="24"/>
      <c r="FTM50" s="24"/>
      <c r="FTN50" s="24"/>
      <c r="FTO50" s="24"/>
      <c r="FTP50" s="24"/>
      <c r="FTQ50" s="24"/>
      <c r="FTR50" s="24"/>
      <c r="FTS50" s="24"/>
      <c r="FTT50" s="24"/>
      <c r="FTU50" s="24"/>
      <c r="FTV50" s="24"/>
      <c r="FTW50" s="24"/>
      <c r="FTX50" s="24"/>
      <c r="FTY50" s="24"/>
      <c r="FTZ50" s="24"/>
      <c r="FUA50" s="24"/>
      <c r="FUB50" s="24"/>
      <c r="FUC50" s="24"/>
      <c r="FUD50" s="24"/>
      <c r="FUE50" s="24"/>
      <c r="FUF50" s="24"/>
      <c r="FUG50" s="24"/>
      <c r="FUH50" s="24"/>
      <c r="FUI50" s="24"/>
      <c r="FUJ50" s="24"/>
      <c r="FUK50" s="24"/>
      <c r="FUL50" s="24"/>
      <c r="FUM50" s="24"/>
      <c r="FUN50" s="24"/>
      <c r="FUO50" s="24"/>
      <c r="FUP50" s="24"/>
      <c r="FUQ50" s="24"/>
      <c r="FUR50" s="24"/>
      <c r="FUS50" s="24"/>
      <c r="FUT50" s="24"/>
      <c r="FUU50" s="24"/>
      <c r="FUV50" s="24"/>
      <c r="FUW50" s="24"/>
      <c r="FUX50" s="24"/>
      <c r="FUY50" s="24"/>
      <c r="FUZ50" s="24"/>
      <c r="FVA50" s="24"/>
      <c r="FVB50" s="24"/>
      <c r="FVC50" s="24"/>
      <c r="FVD50" s="24"/>
      <c r="FVE50" s="24"/>
      <c r="FVF50" s="24"/>
      <c r="FVG50" s="24"/>
      <c r="FVH50" s="24"/>
      <c r="FVI50" s="24"/>
      <c r="FVJ50" s="24"/>
      <c r="FVK50" s="24"/>
      <c r="FVL50" s="24"/>
      <c r="FVM50" s="24"/>
      <c r="FVN50" s="24"/>
      <c r="FVO50" s="24"/>
      <c r="FVP50" s="24"/>
      <c r="FVQ50" s="24"/>
      <c r="FVR50" s="24"/>
      <c r="FVS50" s="24"/>
      <c r="FVT50" s="24"/>
      <c r="FVU50" s="24"/>
      <c r="FVV50" s="24"/>
      <c r="FVW50" s="24"/>
      <c r="FVX50" s="24"/>
      <c r="FVY50" s="24"/>
      <c r="FVZ50" s="24"/>
      <c r="FWA50" s="24"/>
      <c r="FWB50" s="24"/>
      <c r="FWC50" s="24"/>
      <c r="FWD50" s="24"/>
      <c r="FWE50" s="24"/>
      <c r="FWF50" s="24"/>
      <c r="FWG50" s="24"/>
      <c r="FWH50" s="24"/>
      <c r="FWI50" s="24"/>
      <c r="FWJ50" s="24"/>
      <c r="FWK50" s="24"/>
      <c r="FWL50" s="24"/>
      <c r="FWM50" s="24"/>
      <c r="FWN50" s="24"/>
      <c r="FWO50" s="24"/>
      <c r="FWP50" s="24"/>
      <c r="FWQ50" s="24"/>
      <c r="FWR50" s="24"/>
      <c r="FWS50" s="24"/>
      <c r="FWT50" s="24"/>
      <c r="FWU50" s="24"/>
      <c r="FWV50" s="24"/>
      <c r="FWW50" s="24"/>
      <c r="FWX50" s="24"/>
      <c r="FWY50" s="24"/>
      <c r="FWZ50" s="24"/>
      <c r="FXA50" s="24"/>
      <c r="FXB50" s="24"/>
      <c r="FXC50" s="24"/>
      <c r="FXD50" s="24"/>
      <c r="FXE50" s="24"/>
      <c r="FXF50" s="24"/>
      <c r="FXG50" s="24"/>
      <c r="FXH50" s="24"/>
      <c r="FXI50" s="24"/>
      <c r="FXJ50" s="24"/>
      <c r="FXK50" s="24"/>
      <c r="FXL50" s="24"/>
      <c r="FXM50" s="24"/>
      <c r="FXN50" s="24"/>
      <c r="FXO50" s="24"/>
      <c r="FXP50" s="24"/>
      <c r="FXQ50" s="24"/>
      <c r="FXR50" s="24"/>
      <c r="FXS50" s="24"/>
      <c r="FXT50" s="24"/>
      <c r="FXU50" s="24"/>
      <c r="FXV50" s="24"/>
      <c r="FXW50" s="24"/>
      <c r="FXX50" s="24"/>
      <c r="FXY50" s="24"/>
      <c r="FXZ50" s="24"/>
      <c r="FYA50" s="24"/>
      <c r="FYB50" s="24"/>
      <c r="FYC50" s="24"/>
      <c r="FYD50" s="24"/>
      <c r="FYE50" s="24"/>
      <c r="FYF50" s="24"/>
      <c r="FYG50" s="24"/>
      <c r="FYH50" s="24"/>
      <c r="FYI50" s="24"/>
      <c r="FYJ50" s="24"/>
      <c r="FYK50" s="24"/>
      <c r="FYL50" s="24"/>
      <c r="FYM50" s="24"/>
      <c r="FYN50" s="24"/>
      <c r="FYO50" s="24"/>
      <c r="FYP50" s="24"/>
      <c r="FYQ50" s="24"/>
      <c r="FYR50" s="24"/>
      <c r="FYS50" s="24"/>
      <c r="FYT50" s="24"/>
      <c r="FYU50" s="24"/>
      <c r="FYV50" s="24"/>
      <c r="FYW50" s="24"/>
      <c r="FYX50" s="24"/>
      <c r="FYY50" s="24"/>
      <c r="FYZ50" s="24"/>
      <c r="FZA50" s="24"/>
      <c r="FZB50" s="24"/>
      <c r="FZC50" s="24"/>
      <c r="FZD50" s="24"/>
      <c r="FZE50" s="24"/>
      <c r="FZF50" s="24"/>
      <c r="FZG50" s="24"/>
      <c r="FZH50" s="24"/>
      <c r="FZI50" s="24"/>
      <c r="FZJ50" s="24"/>
      <c r="FZK50" s="24"/>
      <c r="FZL50" s="24"/>
      <c r="FZM50" s="24"/>
      <c r="FZN50" s="24"/>
      <c r="FZO50" s="24"/>
      <c r="FZP50" s="24"/>
      <c r="FZQ50" s="24"/>
      <c r="FZR50" s="24"/>
      <c r="FZS50" s="24"/>
      <c r="FZT50" s="24"/>
      <c r="FZU50" s="24"/>
      <c r="FZV50" s="24"/>
      <c r="FZW50" s="24"/>
      <c r="FZX50" s="24"/>
      <c r="FZY50" s="24"/>
      <c r="FZZ50" s="24"/>
      <c r="GAA50" s="24"/>
      <c r="GAB50" s="24"/>
      <c r="GAC50" s="24"/>
      <c r="GAD50" s="24"/>
      <c r="GAE50" s="24"/>
      <c r="GAF50" s="24"/>
      <c r="GAG50" s="24"/>
      <c r="GAH50" s="24"/>
      <c r="GAI50" s="24"/>
      <c r="GAJ50" s="24"/>
      <c r="GAK50" s="24"/>
      <c r="GAL50" s="24"/>
      <c r="GAM50" s="24"/>
      <c r="GAN50" s="24"/>
      <c r="GAO50" s="24"/>
      <c r="GAP50" s="24"/>
      <c r="GAQ50" s="24"/>
      <c r="GAR50" s="24"/>
      <c r="GAS50" s="24"/>
      <c r="GAT50" s="24"/>
      <c r="GAU50" s="24"/>
      <c r="GAV50" s="24"/>
      <c r="GAW50" s="24"/>
      <c r="GAX50" s="24"/>
      <c r="GAY50" s="24"/>
      <c r="GAZ50" s="24"/>
      <c r="GBA50" s="24"/>
      <c r="GBB50" s="24"/>
      <c r="GBC50" s="24"/>
      <c r="GBD50" s="24"/>
      <c r="GBE50" s="24"/>
      <c r="GBF50" s="24"/>
      <c r="GBG50" s="24"/>
      <c r="GBH50" s="24"/>
      <c r="GBI50" s="24"/>
      <c r="GBJ50" s="24"/>
      <c r="GBK50" s="24"/>
      <c r="GBL50" s="24"/>
      <c r="GBM50" s="24"/>
      <c r="GBN50" s="24"/>
      <c r="GBO50" s="24"/>
      <c r="GBP50" s="24"/>
      <c r="GBQ50" s="24"/>
      <c r="GBR50" s="24"/>
      <c r="GBS50" s="24"/>
      <c r="GBT50" s="24"/>
      <c r="GBU50" s="24"/>
      <c r="GBV50" s="24"/>
      <c r="GBW50" s="24"/>
      <c r="GBX50" s="24"/>
      <c r="GBY50" s="24"/>
      <c r="GBZ50" s="24"/>
      <c r="GCA50" s="24"/>
      <c r="GCB50" s="24"/>
      <c r="GCC50" s="24"/>
      <c r="GCD50" s="24"/>
      <c r="GCE50" s="24"/>
      <c r="GCF50" s="24"/>
      <c r="GCG50" s="24"/>
      <c r="GCH50" s="24"/>
      <c r="GCI50" s="24"/>
      <c r="GCJ50" s="24"/>
      <c r="GCK50" s="24"/>
      <c r="GCL50" s="24"/>
      <c r="GCM50" s="24"/>
      <c r="GCN50" s="24"/>
      <c r="GCO50" s="24"/>
      <c r="GCP50" s="24"/>
      <c r="GCQ50" s="24"/>
      <c r="GCR50" s="24"/>
      <c r="GCS50" s="24"/>
      <c r="GCT50" s="24"/>
      <c r="GCU50" s="24"/>
      <c r="GCV50" s="24"/>
      <c r="GCW50" s="24"/>
      <c r="GCX50" s="24"/>
      <c r="GCY50" s="24"/>
      <c r="GCZ50" s="24"/>
      <c r="GDA50" s="24"/>
      <c r="GDB50" s="24"/>
      <c r="GDC50" s="24"/>
      <c r="GDD50" s="24"/>
      <c r="GDE50" s="24"/>
      <c r="GDF50" s="24"/>
      <c r="GDG50" s="24"/>
      <c r="GDH50" s="24"/>
      <c r="GDI50" s="24"/>
      <c r="GDJ50" s="24"/>
      <c r="GDK50" s="24"/>
      <c r="GDL50" s="24"/>
      <c r="GDM50" s="24"/>
      <c r="GDN50" s="24"/>
      <c r="GDO50" s="24"/>
      <c r="GDP50" s="24"/>
      <c r="GDQ50" s="24"/>
      <c r="GDR50" s="24"/>
      <c r="GDS50" s="24"/>
      <c r="GDT50" s="24"/>
      <c r="GDU50" s="24"/>
      <c r="GDV50" s="24"/>
      <c r="GDW50" s="24"/>
      <c r="GDX50" s="24"/>
      <c r="GDY50" s="24"/>
      <c r="GDZ50" s="24"/>
      <c r="GEA50" s="24"/>
      <c r="GEB50" s="24"/>
      <c r="GEC50" s="24"/>
      <c r="GED50" s="24"/>
      <c r="GEE50" s="24"/>
      <c r="GEF50" s="24"/>
      <c r="GEG50" s="24"/>
      <c r="GEH50" s="24"/>
      <c r="GEI50" s="24"/>
      <c r="GEJ50" s="24"/>
      <c r="GEK50" s="24"/>
      <c r="GEL50" s="24"/>
      <c r="GEM50" s="24"/>
      <c r="GEN50" s="24"/>
      <c r="GEO50" s="24"/>
      <c r="GEP50" s="24"/>
      <c r="GEQ50" s="24"/>
      <c r="GER50" s="24"/>
      <c r="GES50" s="24"/>
      <c r="GET50" s="24"/>
      <c r="GEU50" s="24"/>
      <c r="GEV50" s="24"/>
      <c r="GEW50" s="24"/>
      <c r="GEX50" s="24"/>
      <c r="GEY50" s="24"/>
      <c r="GEZ50" s="24"/>
      <c r="GFA50" s="24"/>
      <c r="GFB50" s="24"/>
      <c r="GFC50" s="24"/>
      <c r="GFD50" s="24"/>
      <c r="GFE50" s="24"/>
      <c r="GFF50" s="24"/>
      <c r="GFG50" s="24"/>
      <c r="GFH50" s="24"/>
      <c r="GFI50" s="24"/>
      <c r="GFJ50" s="24"/>
      <c r="GFK50" s="24"/>
      <c r="GFL50" s="24"/>
      <c r="GFM50" s="24"/>
      <c r="GFN50" s="24"/>
      <c r="GFO50" s="24"/>
      <c r="GFP50" s="24"/>
      <c r="GFQ50" s="24"/>
      <c r="GFR50" s="24"/>
      <c r="GFS50" s="24"/>
      <c r="GFT50" s="24"/>
      <c r="GFU50" s="24"/>
      <c r="GFV50" s="24"/>
      <c r="GFW50" s="24"/>
      <c r="GFX50" s="24"/>
      <c r="GFY50" s="24"/>
      <c r="GFZ50" s="24"/>
      <c r="GGA50" s="24"/>
      <c r="GGB50" s="24"/>
      <c r="GGC50" s="24"/>
      <c r="GGD50" s="24"/>
      <c r="GGE50" s="24"/>
      <c r="GGF50" s="24"/>
      <c r="GGG50" s="24"/>
      <c r="GGH50" s="24"/>
      <c r="GGI50" s="24"/>
      <c r="GGJ50" s="24"/>
      <c r="GGK50" s="24"/>
      <c r="GGL50" s="24"/>
      <c r="GGM50" s="24"/>
      <c r="GGN50" s="24"/>
      <c r="GGO50" s="24"/>
      <c r="GGP50" s="24"/>
      <c r="GGQ50" s="24"/>
      <c r="GGR50" s="24"/>
      <c r="GGS50" s="24"/>
      <c r="GGT50" s="24"/>
      <c r="GGU50" s="24"/>
      <c r="GGV50" s="24"/>
      <c r="GGW50" s="24"/>
      <c r="GGX50" s="24"/>
      <c r="GGY50" s="24"/>
      <c r="GGZ50" s="24"/>
      <c r="GHA50" s="24"/>
      <c r="GHB50" s="24"/>
      <c r="GHC50" s="24"/>
      <c r="GHD50" s="24"/>
      <c r="GHE50" s="24"/>
      <c r="GHF50" s="24"/>
      <c r="GHG50" s="24"/>
      <c r="GHH50" s="24"/>
      <c r="GHI50" s="24"/>
      <c r="GHJ50" s="24"/>
      <c r="GHK50" s="24"/>
      <c r="GHL50" s="24"/>
      <c r="GHM50" s="24"/>
      <c r="GHN50" s="24"/>
      <c r="GHO50" s="24"/>
      <c r="GHP50" s="24"/>
      <c r="GHQ50" s="24"/>
      <c r="GHR50" s="24"/>
      <c r="GHS50" s="24"/>
      <c r="GHT50" s="24"/>
      <c r="GHU50" s="24"/>
      <c r="GHV50" s="24"/>
      <c r="GHW50" s="24"/>
      <c r="GHX50" s="24"/>
      <c r="GHY50" s="24"/>
      <c r="GHZ50" s="24"/>
      <c r="GIA50" s="24"/>
      <c r="GIB50" s="24"/>
      <c r="GIC50" s="24"/>
      <c r="GID50" s="24"/>
      <c r="GIE50" s="24"/>
      <c r="GIF50" s="24"/>
      <c r="GIG50" s="24"/>
      <c r="GIH50" s="24"/>
      <c r="GII50" s="24"/>
      <c r="GIJ50" s="24"/>
      <c r="GIK50" s="24"/>
      <c r="GIL50" s="24"/>
      <c r="GIM50" s="24"/>
      <c r="GIN50" s="24"/>
      <c r="GIO50" s="24"/>
      <c r="GIP50" s="24"/>
      <c r="GIQ50" s="24"/>
      <c r="GIR50" s="24"/>
      <c r="GIS50" s="24"/>
      <c r="GIT50" s="24"/>
      <c r="GIU50" s="24"/>
      <c r="GIV50" s="24"/>
      <c r="GIW50" s="24"/>
      <c r="GIX50" s="24"/>
      <c r="GIY50" s="24"/>
      <c r="GIZ50" s="24"/>
      <c r="GJA50" s="24"/>
      <c r="GJB50" s="24"/>
      <c r="GJC50" s="24"/>
      <c r="GJD50" s="24"/>
      <c r="GJE50" s="24"/>
      <c r="GJF50" s="24"/>
      <c r="GJG50" s="24"/>
      <c r="GJH50" s="24"/>
      <c r="GJI50" s="24"/>
      <c r="GJJ50" s="24"/>
      <c r="GJK50" s="24"/>
      <c r="GJL50" s="24"/>
      <c r="GJM50" s="24"/>
      <c r="GJN50" s="24"/>
      <c r="GJO50" s="24"/>
      <c r="GJP50" s="24"/>
      <c r="GJQ50" s="24"/>
      <c r="GJR50" s="24"/>
      <c r="GJS50" s="24"/>
      <c r="GJT50" s="24"/>
      <c r="GJU50" s="24"/>
      <c r="GJV50" s="24"/>
      <c r="GJW50" s="24"/>
      <c r="GJX50" s="24"/>
      <c r="GJY50" s="24"/>
      <c r="GJZ50" s="24"/>
      <c r="GKA50" s="24"/>
      <c r="GKB50" s="24"/>
      <c r="GKC50" s="24"/>
      <c r="GKD50" s="24"/>
      <c r="GKE50" s="24"/>
      <c r="GKF50" s="24"/>
      <c r="GKG50" s="24"/>
      <c r="GKH50" s="24"/>
      <c r="GKI50" s="24"/>
      <c r="GKJ50" s="24"/>
      <c r="GKK50" s="24"/>
      <c r="GKL50" s="24"/>
      <c r="GKM50" s="24"/>
      <c r="GKN50" s="24"/>
      <c r="GKO50" s="24"/>
      <c r="GKP50" s="24"/>
      <c r="GKQ50" s="24"/>
      <c r="GKR50" s="24"/>
      <c r="GKS50" s="24"/>
      <c r="GKT50" s="24"/>
      <c r="GKU50" s="24"/>
      <c r="GKV50" s="24"/>
      <c r="GKW50" s="24"/>
      <c r="GKX50" s="24"/>
      <c r="GKY50" s="24"/>
      <c r="GKZ50" s="24"/>
      <c r="GLA50" s="24"/>
      <c r="GLB50" s="24"/>
      <c r="GLC50" s="24"/>
      <c r="GLD50" s="24"/>
      <c r="GLE50" s="24"/>
      <c r="GLF50" s="24"/>
      <c r="GLG50" s="24"/>
      <c r="GLH50" s="24"/>
      <c r="GLI50" s="24"/>
      <c r="GLJ50" s="24"/>
      <c r="GLK50" s="24"/>
      <c r="GLL50" s="24"/>
      <c r="GLM50" s="24"/>
      <c r="GLN50" s="24"/>
      <c r="GLO50" s="24"/>
      <c r="GLP50" s="24"/>
      <c r="GLQ50" s="24"/>
      <c r="GLR50" s="24"/>
      <c r="GLS50" s="24"/>
      <c r="GLT50" s="24"/>
      <c r="GLU50" s="24"/>
      <c r="GLV50" s="24"/>
      <c r="GLW50" s="24"/>
      <c r="GLX50" s="24"/>
      <c r="GLY50" s="24"/>
      <c r="GLZ50" s="24"/>
      <c r="GMA50" s="24"/>
      <c r="GMB50" s="24"/>
      <c r="GMC50" s="24"/>
      <c r="GMD50" s="24"/>
      <c r="GME50" s="24"/>
      <c r="GMF50" s="24"/>
      <c r="GMG50" s="24"/>
      <c r="GMH50" s="24"/>
      <c r="GMI50" s="24"/>
      <c r="GMJ50" s="24"/>
      <c r="GMK50" s="24"/>
      <c r="GML50" s="24"/>
      <c r="GMM50" s="24"/>
      <c r="GMN50" s="24"/>
      <c r="GMO50" s="24"/>
      <c r="GMP50" s="24"/>
      <c r="GMQ50" s="24"/>
      <c r="GMR50" s="24"/>
      <c r="GMS50" s="24"/>
      <c r="GMT50" s="24"/>
      <c r="GMU50" s="24"/>
      <c r="GMV50" s="24"/>
      <c r="GMW50" s="24"/>
      <c r="GMX50" s="24"/>
      <c r="GMY50" s="24"/>
      <c r="GMZ50" s="24"/>
      <c r="GNA50" s="24"/>
      <c r="GNB50" s="24"/>
      <c r="GNC50" s="24"/>
      <c r="GND50" s="24"/>
      <c r="GNE50" s="24"/>
      <c r="GNF50" s="24"/>
      <c r="GNG50" s="24"/>
      <c r="GNH50" s="24"/>
      <c r="GNI50" s="24"/>
      <c r="GNJ50" s="24"/>
      <c r="GNK50" s="24"/>
      <c r="GNL50" s="24"/>
      <c r="GNM50" s="24"/>
      <c r="GNN50" s="24"/>
      <c r="GNO50" s="24"/>
      <c r="GNP50" s="24"/>
      <c r="GNQ50" s="24"/>
      <c r="GNR50" s="24"/>
      <c r="GNS50" s="24"/>
      <c r="GNT50" s="24"/>
      <c r="GNU50" s="24"/>
      <c r="GNV50" s="24"/>
      <c r="GNW50" s="24"/>
      <c r="GNX50" s="24"/>
      <c r="GNY50" s="24"/>
      <c r="GNZ50" s="24"/>
      <c r="GOA50" s="24"/>
      <c r="GOB50" s="24"/>
      <c r="GOC50" s="24"/>
      <c r="GOD50" s="24"/>
      <c r="GOE50" s="24"/>
      <c r="GOF50" s="24"/>
      <c r="GOG50" s="24"/>
      <c r="GOH50" s="24"/>
      <c r="GOI50" s="24"/>
      <c r="GOJ50" s="24"/>
      <c r="GOK50" s="24"/>
      <c r="GOL50" s="24"/>
      <c r="GOM50" s="24"/>
      <c r="GON50" s="24"/>
      <c r="GOO50" s="24"/>
      <c r="GOP50" s="24"/>
      <c r="GOQ50" s="24"/>
      <c r="GOR50" s="24"/>
      <c r="GOS50" s="24"/>
      <c r="GOT50" s="24"/>
      <c r="GOU50" s="24"/>
      <c r="GOV50" s="24"/>
      <c r="GOW50" s="24"/>
      <c r="GOX50" s="24"/>
      <c r="GOY50" s="24"/>
      <c r="GOZ50" s="24"/>
      <c r="GPA50" s="24"/>
      <c r="GPB50" s="24"/>
      <c r="GPC50" s="24"/>
      <c r="GPD50" s="24"/>
      <c r="GPE50" s="24"/>
      <c r="GPF50" s="24"/>
      <c r="GPG50" s="24"/>
      <c r="GPH50" s="24"/>
      <c r="GPI50" s="24"/>
      <c r="GPJ50" s="24"/>
      <c r="GPK50" s="24"/>
      <c r="GPL50" s="24"/>
      <c r="GPM50" s="24"/>
      <c r="GPN50" s="24"/>
      <c r="GPO50" s="24"/>
      <c r="GPP50" s="24"/>
      <c r="GPQ50" s="24"/>
      <c r="GPR50" s="24"/>
      <c r="GPS50" s="24"/>
      <c r="GPT50" s="24"/>
      <c r="GPU50" s="24"/>
      <c r="GPV50" s="24"/>
      <c r="GPW50" s="24"/>
      <c r="GPX50" s="24"/>
      <c r="GPY50" s="24"/>
      <c r="GPZ50" s="24"/>
      <c r="GQA50" s="24"/>
      <c r="GQB50" s="24"/>
      <c r="GQC50" s="24"/>
      <c r="GQD50" s="24"/>
      <c r="GQE50" s="24"/>
      <c r="GQF50" s="24"/>
      <c r="GQG50" s="24"/>
      <c r="GQH50" s="24"/>
      <c r="GQI50" s="24"/>
      <c r="GQJ50" s="24"/>
      <c r="GQK50" s="24"/>
      <c r="GQL50" s="24"/>
      <c r="GQM50" s="24"/>
      <c r="GQN50" s="24"/>
      <c r="GQO50" s="24"/>
      <c r="GQP50" s="24"/>
      <c r="GQQ50" s="24"/>
      <c r="GQR50" s="24"/>
      <c r="GQS50" s="24"/>
      <c r="GQT50" s="24"/>
      <c r="GQU50" s="24"/>
      <c r="GQV50" s="24"/>
      <c r="GQW50" s="24"/>
      <c r="GQX50" s="24"/>
      <c r="GQY50" s="24"/>
      <c r="GQZ50" s="24"/>
      <c r="GRA50" s="24"/>
      <c r="GRB50" s="24"/>
      <c r="GRC50" s="24"/>
      <c r="GRD50" s="24"/>
      <c r="GRE50" s="24"/>
      <c r="GRF50" s="24"/>
      <c r="GRG50" s="24"/>
      <c r="GRH50" s="24"/>
      <c r="GRI50" s="24"/>
      <c r="GRJ50" s="24"/>
      <c r="GRK50" s="24"/>
      <c r="GRL50" s="24"/>
      <c r="GRM50" s="24"/>
      <c r="GRN50" s="24"/>
      <c r="GRO50" s="24"/>
      <c r="GRP50" s="24"/>
      <c r="GRQ50" s="24"/>
      <c r="GRR50" s="24"/>
      <c r="GRS50" s="24"/>
      <c r="GRT50" s="24"/>
      <c r="GRU50" s="24"/>
      <c r="GRV50" s="24"/>
      <c r="GRW50" s="24"/>
      <c r="GRX50" s="24"/>
      <c r="GRY50" s="24"/>
      <c r="GRZ50" s="24"/>
      <c r="GSA50" s="24"/>
      <c r="GSB50" s="24"/>
      <c r="GSC50" s="24"/>
      <c r="GSD50" s="24"/>
      <c r="GSE50" s="24"/>
      <c r="GSF50" s="24"/>
      <c r="GSG50" s="24"/>
      <c r="GSH50" s="24"/>
      <c r="GSI50" s="24"/>
      <c r="GSJ50" s="24"/>
      <c r="GSK50" s="24"/>
      <c r="GSL50" s="24"/>
      <c r="GSM50" s="24"/>
      <c r="GSN50" s="24"/>
      <c r="GSO50" s="24"/>
      <c r="GSP50" s="24"/>
      <c r="GSQ50" s="24"/>
      <c r="GSR50" s="24"/>
      <c r="GSS50" s="24"/>
      <c r="GST50" s="24"/>
      <c r="GSU50" s="24"/>
      <c r="GSV50" s="24"/>
      <c r="GSW50" s="24"/>
      <c r="GSX50" s="24"/>
      <c r="GSY50" s="24"/>
      <c r="GSZ50" s="24"/>
      <c r="GTA50" s="24"/>
      <c r="GTB50" s="24"/>
      <c r="GTC50" s="24"/>
      <c r="GTD50" s="24"/>
      <c r="GTE50" s="24"/>
      <c r="GTF50" s="24"/>
      <c r="GTG50" s="24"/>
      <c r="GTH50" s="24"/>
      <c r="GTI50" s="24"/>
      <c r="GTJ50" s="24"/>
      <c r="GTK50" s="24"/>
      <c r="GTL50" s="24"/>
      <c r="GTM50" s="24"/>
      <c r="GTN50" s="24"/>
      <c r="GTO50" s="24"/>
      <c r="GTP50" s="24"/>
      <c r="GTQ50" s="24"/>
      <c r="GTR50" s="24"/>
      <c r="GTS50" s="24"/>
      <c r="GTT50" s="24"/>
      <c r="GTU50" s="24"/>
      <c r="GTV50" s="24"/>
      <c r="GTW50" s="24"/>
      <c r="GTX50" s="24"/>
      <c r="GTY50" s="24"/>
      <c r="GTZ50" s="24"/>
      <c r="GUA50" s="24"/>
      <c r="GUB50" s="24"/>
      <c r="GUC50" s="24"/>
      <c r="GUD50" s="24"/>
      <c r="GUE50" s="24"/>
      <c r="GUF50" s="24"/>
      <c r="GUG50" s="24"/>
      <c r="GUH50" s="24"/>
      <c r="GUI50" s="24"/>
      <c r="GUJ50" s="24"/>
      <c r="GUK50" s="24"/>
      <c r="GUL50" s="24"/>
      <c r="GUM50" s="24"/>
      <c r="GUN50" s="24"/>
      <c r="GUO50" s="24"/>
      <c r="GUP50" s="24"/>
      <c r="GUQ50" s="24"/>
      <c r="GUR50" s="24"/>
      <c r="GUS50" s="24"/>
      <c r="GUT50" s="24"/>
      <c r="GUU50" s="24"/>
      <c r="GUV50" s="24"/>
      <c r="GUW50" s="24"/>
      <c r="GUX50" s="24"/>
      <c r="GUY50" s="24"/>
      <c r="GUZ50" s="24"/>
      <c r="GVA50" s="24"/>
      <c r="GVB50" s="24"/>
      <c r="GVC50" s="24"/>
      <c r="GVD50" s="24"/>
      <c r="GVE50" s="24"/>
      <c r="GVF50" s="24"/>
      <c r="GVG50" s="24"/>
      <c r="GVH50" s="24"/>
      <c r="GVI50" s="24"/>
      <c r="GVJ50" s="24"/>
      <c r="GVK50" s="24"/>
      <c r="GVL50" s="24"/>
      <c r="GVM50" s="24"/>
      <c r="GVN50" s="24"/>
      <c r="GVO50" s="24"/>
      <c r="GVP50" s="24"/>
      <c r="GVQ50" s="24"/>
      <c r="GVR50" s="24"/>
      <c r="GVS50" s="24"/>
      <c r="GVT50" s="24"/>
      <c r="GVU50" s="24"/>
      <c r="GVV50" s="24"/>
      <c r="GVW50" s="24"/>
      <c r="GVX50" s="24"/>
      <c r="GVY50" s="24"/>
      <c r="GVZ50" s="24"/>
      <c r="GWA50" s="24"/>
      <c r="GWB50" s="24"/>
      <c r="GWC50" s="24"/>
      <c r="GWD50" s="24"/>
      <c r="GWE50" s="24"/>
      <c r="GWF50" s="24"/>
      <c r="GWG50" s="24"/>
      <c r="GWH50" s="24"/>
      <c r="GWI50" s="24"/>
      <c r="GWJ50" s="24"/>
      <c r="GWK50" s="24"/>
      <c r="GWL50" s="24"/>
      <c r="GWM50" s="24"/>
      <c r="GWN50" s="24"/>
      <c r="GWO50" s="24"/>
      <c r="GWP50" s="24"/>
      <c r="GWQ50" s="24"/>
      <c r="GWR50" s="24"/>
      <c r="GWS50" s="24"/>
      <c r="GWT50" s="24"/>
      <c r="GWU50" s="24"/>
      <c r="GWV50" s="24"/>
      <c r="GWW50" s="24"/>
      <c r="GWX50" s="24"/>
      <c r="GWY50" s="24"/>
      <c r="GWZ50" s="24"/>
      <c r="GXA50" s="24"/>
      <c r="GXB50" s="24"/>
      <c r="GXC50" s="24"/>
      <c r="GXD50" s="24"/>
      <c r="GXE50" s="24"/>
      <c r="GXF50" s="24"/>
      <c r="GXG50" s="24"/>
      <c r="GXH50" s="24"/>
      <c r="GXI50" s="24"/>
      <c r="GXJ50" s="24"/>
      <c r="GXK50" s="24"/>
      <c r="GXL50" s="24"/>
      <c r="GXM50" s="24"/>
      <c r="GXN50" s="24"/>
      <c r="GXO50" s="24"/>
      <c r="GXP50" s="24"/>
      <c r="GXQ50" s="24"/>
      <c r="GXR50" s="24"/>
      <c r="GXS50" s="24"/>
      <c r="GXT50" s="24"/>
      <c r="GXU50" s="24"/>
      <c r="GXV50" s="24"/>
      <c r="GXW50" s="24"/>
      <c r="GXX50" s="24"/>
      <c r="GXY50" s="24"/>
      <c r="GXZ50" s="24"/>
      <c r="GYA50" s="24"/>
      <c r="GYB50" s="24"/>
      <c r="GYC50" s="24"/>
      <c r="GYD50" s="24"/>
      <c r="GYE50" s="24"/>
      <c r="GYF50" s="24"/>
      <c r="GYG50" s="24"/>
      <c r="GYH50" s="24"/>
      <c r="GYI50" s="24"/>
      <c r="GYJ50" s="24"/>
      <c r="GYK50" s="24"/>
      <c r="GYL50" s="24"/>
      <c r="GYM50" s="24"/>
      <c r="GYN50" s="24"/>
      <c r="GYO50" s="24"/>
      <c r="GYP50" s="24"/>
      <c r="GYQ50" s="24"/>
      <c r="GYR50" s="24"/>
      <c r="GYS50" s="24"/>
      <c r="GYT50" s="24"/>
      <c r="GYU50" s="24"/>
      <c r="GYV50" s="24"/>
      <c r="GYW50" s="24"/>
      <c r="GYX50" s="24"/>
      <c r="GYY50" s="24"/>
      <c r="GYZ50" s="24"/>
      <c r="GZA50" s="24"/>
      <c r="GZB50" s="24"/>
      <c r="GZC50" s="24"/>
      <c r="GZD50" s="24"/>
      <c r="GZE50" s="24"/>
      <c r="GZF50" s="24"/>
      <c r="GZG50" s="24"/>
      <c r="GZH50" s="24"/>
      <c r="GZI50" s="24"/>
      <c r="GZJ50" s="24"/>
      <c r="GZK50" s="24"/>
      <c r="GZL50" s="24"/>
      <c r="GZM50" s="24"/>
      <c r="GZN50" s="24"/>
      <c r="GZO50" s="24"/>
      <c r="GZP50" s="24"/>
      <c r="GZQ50" s="24"/>
      <c r="GZR50" s="24"/>
      <c r="GZS50" s="24"/>
      <c r="GZT50" s="24"/>
      <c r="GZU50" s="24"/>
      <c r="GZV50" s="24"/>
      <c r="GZW50" s="24"/>
      <c r="GZX50" s="24"/>
      <c r="GZY50" s="24"/>
      <c r="GZZ50" s="24"/>
      <c r="HAA50" s="24"/>
      <c r="HAB50" s="24"/>
      <c r="HAC50" s="24"/>
      <c r="HAD50" s="24"/>
      <c r="HAE50" s="24"/>
      <c r="HAF50" s="24"/>
      <c r="HAG50" s="24"/>
      <c r="HAH50" s="24"/>
      <c r="HAI50" s="24"/>
      <c r="HAJ50" s="24"/>
      <c r="HAK50" s="24"/>
      <c r="HAL50" s="24"/>
      <c r="HAM50" s="24"/>
      <c r="HAN50" s="24"/>
      <c r="HAO50" s="24"/>
      <c r="HAP50" s="24"/>
      <c r="HAQ50" s="24"/>
      <c r="HAR50" s="24"/>
      <c r="HAS50" s="24"/>
      <c r="HAT50" s="24"/>
      <c r="HAU50" s="24"/>
      <c r="HAV50" s="24"/>
      <c r="HAW50" s="24"/>
      <c r="HAX50" s="24"/>
      <c r="HAY50" s="24"/>
      <c r="HAZ50" s="24"/>
      <c r="HBA50" s="24"/>
      <c r="HBB50" s="24"/>
      <c r="HBC50" s="24"/>
      <c r="HBD50" s="24"/>
      <c r="HBE50" s="24"/>
      <c r="HBF50" s="24"/>
      <c r="HBG50" s="24"/>
      <c r="HBH50" s="24"/>
      <c r="HBI50" s="24"/>
      <c r="HBJ50" s="24"/>
      <c r="HBK50" s="24"/>
      <c r="HBL50" s="24"/>
      <c r="HBM50" s="24"/>
      <c r="HBN50" s="24"/>
      <c r="HBO50" s="24"/>
      <c r="HBP50" s="24"/>
      <c r="HBQ50" s="24"/>
      <c r="HBR50" s="24"/>
      <c r="HBS50" s="24"/>
      <c r="HBT50" s="24"/>
      <c r="HBU50" s="24"/>
      <c r="HBV50" s="24"/>
      <c r="HBW50" s="24"/>
      <c r="HBX50" s="24"/>
      <c r="HBY50" s="24"/>
      <c r="HBZ50" s="24"/>
      <c r="HCA50" s="24"/>
      <c r="HCB50" s="24"/>
      <c r="HCC50" s="24"/>
      <c r="HCD50" s="24"/>
      <c r="HCE50" s="24"/>
      <c r="HCF50" s="24"/>
      <c r="HCG50" s="24"/>
      <c r="HCH50" s="24"/>
      <c r="HCI50" s="24"/>
      <c r="HCJ50" s="24"/>
      <c r="HCK50" s="24"/>
      <c r="HCL50" s="24"/>
      <c r="HCM50" s="24"/>
      <c r="HCN50" s="24"/>
      <c r="HCO50" s="24"/>
      <c r="HCP50" s="24"/>
      <c r="HCQ50" s="24"/>
      <c r="HCR50" s="24"/>
      <c r="HCS50" s="24"/>
      <c r="HCT50" s="24"/>
      <c r="HCU50" s="24"/>
      <c r="HCV50" s="24"/>
      <c r="HCW50" s="24"/>
      <c r="HCX50" s="24"/>
      <c r="HCY50" s="24"/>
      <c r="HCZ50" s="24"/>
      <c r="HDA50" s="24"/>
      <c r="HDB50" s="24"/>
      <c r="HDC50" s="24"/>
      <c r="HDD50" s="24"/>
      <c r="HDE50" s="24"/>
      <c r="HDF50" s="24"/>
      <c r="HDG50" s="24"/>
      <c r="HDH50" s="24"/>
      <c r="HDI50" s="24"/>
      <c r="HDJ50" s="24"/>
      <c r="HDK50" s="24"/>
      <c r="HDL50" s="24"/>
      <c r="HDM50" s="24"/>
      <c r="HDN50" s="24"/>
      <c r="HDO50" s="24"/>
      <c r="HDP50" s="24"/>
      <c r="HDQ50" s="24"/>
      <c r="HDR50" s="24"/>
      <c r="HDS50" s="24"/>
      <c r="HDT50" s="24"/>
      <c r="HDU50" s="24"/>
      <c r="HDV50" s="24"/>
      <c r="HDW50" s="24"/>
      <c r="HDX50" s="24"/>
      <c r="HDY50" s="24"/>
      <c r="HDZ50" s="24"/>
      <c r="HEA50" s="24"/>
      <c r="HEB50" s="24"/>
      <c r="HEC50" s="24"/>
      <c r="HED50" s="24"/>
      <c r="HEE50" s="24"/>
      <c r="HEF50" s="24"/>
      <c r="HEG50" s="24"/>
      <c r="HEH50" s="24"/>
      <c r="HEI50" s="24"/>
      <c r="HEJ50" s="24"/>
      <c r="HEK50" s="24"/>
      <c r="HEL50" s="24"/>
      <c r="HEM50" s="24"/>
      <c r="HEN50" s="24"/>
      <c r="HEO50" s="24"/>
      <c r="HEP50" s="24"/>
      <c r="HEQ50" s="24"/>
      <c r="HER50" s="24"/>
      <c r="HES50" s="24"/>
      <c r="HET50" s="24"/>
      <c r="HEU50" s="24"/>
      <c r="HEV50" s="24"/>
      <c r="HEW50" s="24"/>
      <c r="HEX50" s="24"/>
      <c r="HEY50" s="24"/>
      <c r="HEZ50" s="24"/>
      <c r="HFA50" s="24"/>
      <c r="HFB50" s="24"/>
      <c r="HFC50" s="24"/>
      <c r="HFD50" s="24"/>
      <c r="HFE50" s="24"/>
      <c r="HFF50" s="24"/>
      <c r="HFG50" s="24"/>
      <c r="HFH50" s="24"/>
      <c r="HFI50" s="24"/>
      <c r="HFJ50" s="24"/>
      <c r="HFK50" s="24"/>
      <c r="HFL50" s="24"/>
      <c r="HFM50" s="24"/>
      <c r="HFN50" s="24"/>
      <c r="HFO50" s="24"/>
      <c r="HFP50" s="24"/>
      <c r="HFQ50" s="24"/>
      <c r="HFR50" s="24"/>
      <c r="HFS50" s="24"/>
      <c r="HFT50" s="24"/>
      <c r="HFU50" s="24"/>
      <c r="HFV50" s="24"/>
      <c r="HFW50" s="24"/>
      <c r="HFX50" s="24"/>
      <c r="HFY50" s="24"/>
      <c r="HFZ50" s="24"/>
      <c r="HGA50" s="24"/>
      <c r="HGB50" s="24"/>
      <c r="HGC50" s="24"/>
      <c r="HGD50" s="24"/>
      <c r="HGE50" s="24"/>
      <c r="HGF50" s="24"/>
      <c r="HGG50" s="24"/>
      <c r="HGH50" s="24"/>
      <c r="HGI50" s="24"/>
      <c r="HGJ50" s="24"/>
      <c r="HGK50" s="24"/>
      <c r="HGL50" s="24"/>
      <c r="HGM50" s="24"/>
      <c r="HGN50" s="24"/>
      <c r="HGO50" s="24"/>
      <c r="HGP50" s="24"/>
      <c r="HGQ50" s="24"/>
      <c r="HGR50" s="24"/>
      <c r="HGS50" s="24"/>
      <c r="HGT50" s="24"/>
      <c r="HGU50" s="24"/>
      <c r="HGV50" s="24"/>
      <c r="HGW50" s="24"/>
      <c r="HGX50" s="24"/>
      <c r="HGY50" s="24"/>
      <c r="HGZ50" s="24"/>
      <c r="HHA50" s="24"/>
      <c r="HHB50" s="24"/>
      <c r="HHC50" s="24"/>
      <c r="HHD50" s="24"/>
      <c r="HHE50" s="24"/>
      <c r="HHF50" s="24"/>
      <c r="HHG50" s="24"/>
      <c r="HHH50" s="24"/>
      <c r="HHI50" s="24"/>
      <c r="HHJ50" s="24"/>
      <c r="HHK50" s="24"/>
      <c r="HHL50" s="24"/>
      <c r="HHM50" s="24"/>
      <c r="HHN50" s="24"/>
      <c r="HHO50" s="24"/>
      <c r="HHP50" s="24"/>
      <c r="HHQ50" s="24"/>
      <c r="HHR50" s="24"/>
      <c r="HHS50" s="24"/>
      <c r="HHT50" s="24"/>
      <c r="HHU50" s="24"/>
      <c r="HHV50" s="24"/>
      <c r="HHW50" s="24"/>
      <c r="HHX50" s="24"/>
      <c r="HHY50" s="24"/>
      <c r="HHZ50" s="24"/>
      <c r="HIA50" s="24"/>
      <c r="HIB50" s="24"/>
      <c r="HIC50" s="24"/>
      <c r="HID50" s="24"/>
      <c r="HIE50" s="24"/>
      <c r="HIF50" s="24"/>
      <c r="HIG50" s="24"/>
      <c r="HIH50" s="24"/>
      <c r="HII50" s="24"/>
      <c r="HIJ50" s="24"/>
      <c r="HIK50" s="24"/>
      <c r="HIL50" s="24"/>
      <c r="HIM50" s="24"/>
      <c r="HIN50" s="24"/>
      <c r="HIO50" s="24"/>
      <c r="HIP50" s="24"/>
      <c r="HIQ50" s="24"/>
      <c r="HIR50" s="24"/>
      <c r="HIS50" s="24"/>
      <c r="HIT50" s="24"/>
      <c r="HIU50" s="24"/>
      <c r="HIV50" s="24"/>
      <c r="HIW50" s="24"/>
      <c r="HIX50" s="24"/>
      <c r="HIY50" s="24"/>
      <c r="HIZ50" s="24"/>
      <c r="HJA50" s="24"/>
      <c r="HJB50" s="24"/>
      <c r="HJC50" s="24"/>
      <c r="HJD50" s="24"/>
      <c r="HJE50" s="24"/>
      <c r="HJF50" s="24"/>
      <c r="HJG50" s="24"/>
      <c r="HJH50" s="24"/>
      <c r="HJI50" s="24"/>
      <c r="HJJ50" s="24"/>
      <c r="HJK50" s="24"/>
      <c r="HJL50" s="24"/>
      <c r="HJM50" s="24"/>
      <c r="HJN50" s="24"/>
      <c r="HJO50" s="24"/>
      <c r="HJP50" s="24"/>
      <c r="HJQ50" s="24"/>
      <c r="HJR50" s="24"/>
      <c r="HJS50" s="24"/>
      <c r="HJT50" s="24"/>
      <c r="HJU50" s="24"/>
      <c r="HJV50" s="24"/>
      <c r="HJW50" s="24"/>
      <c r="HJX50" s="24"/>
      <c r="HJY50" s="24"/>
      <c r="HJZ50" s="24"/>
      <c r="HKA50" s="24"/>
      <c r="HKB50" s="24"/>
      <c r="HKC50" s="24"/>
      <c r="HKD50" s="24"/>
      <c r="HKE50" s="24"/>
      <c r="HKF50" s="24"/>
      <c r="HKG50" s="24"/>
      <c r="HKH50" s="24"/>
      <c r="HKI50" s="24"/>
      <c r="HKJ50" s="24"/>
      <c r="HKK50" s="24"/>
      <c r="HKL50" s="24"/>
      <c r="HKM50" s="24"/>
      <c r="HKN50" s="24"/>
      <c r="HKO50" s="24"/>
      <c r="HKP50" s="24"/>
      <c r="HKQ50" s="24"/>
      <c r="HKR50" s="24"/>
      <c r="HKS50" s="24"/>
      <c r="HKT50" s="24"/>
      <c r="HKU50" s="24"/>
      <c r="HKV50" s="24"/>
      <c r="HKW50" s="24"/>
      <c r="HKX50" s="24"/>
      <c r="HKY50" s="24"/>
      <c r="HKZ50" s="24"/>
      <c r="HLA50" s="24"/>
      <c r="HLB50" s="24"/>
      <c r="HLC50" s="24"/>
      <c r="HLD50" s="24"/>
      <c r="HLE50" s="24"/>
      <c r="HLF50" s="24"/>
      <c r="HLG50" s="24"/>
      <c r="HLH50" s="24"/>
      <c r="HLI50" s="24"/>
      <c r="HLJ50" s="24"/>
      <c r="HLK50" s="24"/>
      <c r="HLL50" s="24"/>
      <c r="HLM50" s="24"/>
      <c r="HLN50" s="24"/>
      <c r="HLO50" s="24"/>
      <c r="HLP50" s="24"/>
      <c r="HLQ50" s="24"/>
      <c r="HLR50" s="24"/>
      <c r="HLS50" s="24"/>
      <c r="HLT50" s="24"/>
      <c r="HLU50" s="24"/>
      <c r="HLV50" s="24"/>
      <c r="HLW50" s="24"/>
      <c r="HLX50" s="24"/>
      <c r="HLY50" s="24"/>
      <c r="HLZ50" s="24"/>
      <c r="HMA50" s="24"/>
      <c r="HMB50" s="24"/>
      <c r="HMC50" s="24"/>
      <c r="HMD50" s="24"/>
      <c r="HME50" s="24"/>
      <c r="HMF50" s="24"/>
      <c r="HMG50" s="24"/>
      <c r="HMH50" s="24"/>
      <c r="HMI50" s="24"/>
      <c r="HMJ50" s="24"/>
      <c r="HMK50" s="24"/>
      <c r="HML50" s="24"/>
      <c r="HMM50" s="24"/>
      <c r="HMN50" s="24"/>
      <c r="HMO50" s="24"/>
      <c r="HMP50" s="24"/>
      <c r="HMQ50" s="24"/>
      <c r="HMR50" s="24"/>
      <c r="HMS50" s="24"/>
      <c r="HMT50" s="24"/>
      <c r="HMU50" s="24"/>
      <c r="HMV50" s="24"/>
      <c r="HMW50" s="24"/>
      <c r="HMX50" s="24"/>
      <c r="HMY50" s="24"/>
      <c r="HMZ50" s="24"/>
      <c r="HNA50" s="24"/>
      <c r="HNB50" s="24"/>
      <c r="HNC50" s="24"/>
      <c r="HND50" s="24"/>
      <c r="HNE50" s="24"/>
      <c r="HNF50" s="24"/>
      <c r="HNG50" s="24"/>
      <c r="HNH50" s="24"/>
      <c r="HNI50" s="24"/>
      <c r="HNJ50" s="24"/>
      <c r="HNK50" s="24"/>
      <c r="HNL50" s="24"/>
      <c r="HNM50" s="24"/>
      <c r="HNN50" s="24"/>
      <c r="HNO50" s="24"/>
      <c r="HNP50" s="24"/>
      <c r="HNQ50" s="24"/>
      <c r="HNR50" s="24"/>
      <c r="HNS50" s="24"/>
      <c r="HNT50" s="24"/>
      <c r="HNU50" s="24"/>
      <c r="HNV50" s="24"/>
      <c r="HNW50" s="24"/>
      <c r="HNX50" s="24"/>
      <c r="HNY50" s="24"/>
      <c r="HNZ50" s="24"/>
      <c r="HOA50" s="24"/>
      <c r="HOB50" s="24"/>
      <c r="HOC50" s="24"/>
      <c r="HOD50" s="24"/>
      <c r="HOE50" s="24"/>
      <c r="HOF50" s="24"/>
      <c r="HOG50" s="24"/>
      <c r="HOH50" s="24"/>
      <c r="HOI50" s="24"/>
      <c r="HOJ50" s="24"/>
      <c r="HOK50" s="24"/>
      <c r="HOL50" s="24"/>
      <c r="HOM50" s="24"/>
      <c r="HON50" s="24"/>
      <c r="HOO50" s="24"/>
      <c r="HOP50" s="24"/>
      <c r="HOQ50" s="24"/>
      <c r="HOR50" s="24"/>
      <c r="HOS50" s="24"/>
      <c r="HOT50" s="24"/>
      <c r="HOU50" s="24"/>
      <c r="HOV50" s="24"/>
      <c r="HOW50" s="24"/>
      <c r="HOX50" s="24"/>
      <c r="HOY50" s="24"/>
      <c r="HOZ50" s="24"/>
      <c r="HPA50" s="24"/>
      <c r="HPB50" s="24"/>
      <c r="HPC50" s="24"/>
      <c r="HPD50" s="24"/>
      <c r="HPE50" s="24"/>
      <c r="HPF50" s="24"/>
      <c r="HPG50" s="24"/>
      <c r="HPH50" s="24"/>
      <c r="HPI50" s="24"/>
      <c r="HPJ50" s="24"/>
      <c r="HPK50" s="24"/>
      <c r="HPL50" s="24"/>
      <c r="HPM50" s="24"/>
      <c r="HPN50" s="24"/>
      <c r="HPO50" s="24"/>
      <c r="HPP50" s="24"/>
      <c r="HPQ50" s="24"/>
      <c r="HPR50" s="24"/>
      <c r="HPS50" s="24"/>
      <c r="HPT50" s="24"/>
      <c r="HPU50" s="24"/>
      <c r="HPV50" s="24"/>
      <c r="HPW50" s="24"/>
      <c r="HPX50" s="24"/>
      <c r="HPY50" s="24"/>
      <c r="HPZ50" s="24"/>
      <c r="HQA50" s="24"/>
      <c r="HQB50" s="24"/>
      <c r="HQC50" s="24"/>
      <c r="HQD50" s="24"/>
      <c r="HQE50" s="24"/>
      <c r="HQF50" s="24"/>
      <c r="HQG50" s="24"/>
      <c r="HQH50" s="24"/>
      <c r="HQI50" s="24"/>
      <c r="HQJ50" s="24"/>
      <c r="HQK50" s="24"/>
      <c r="HQL50" s="24"/>
      <c r="HQM50" s="24"/>
      <c r="HQN50" s="24"/>
      <c r="HQO50" s="24"/>
      <c r="HQP50" s="24"/>
      <c r="HQQ50" s="24"/>
      <c r="HQR50" s="24"/>
      <c r="HQS50" s="24"/>
      <c r="HQT50" s="24"/>
      <c r="HQU50" s="24"/>
      <c r="HQV50" s="24"/>
      <c r="HQW50" s="24"/>
      <c r="HQX50" s="24"/>
      <c r="HQY50" s="24"/>
      <c r="HQZ50" s="24"/>
      <c r="HRA50" s="24"/>
      <c r="HRB50" s="24"/>
      <c r="HRC50" s="24"/>
      <c r="HRD50" s="24"/>
      <c r="HRE50" s="24"/>
      <c r="HRF50" s="24"/>
      <c r="HRG50" s="24"/>
      <c r="HRH50" s="24"/>
      <c r="HRI50" s="24"/>
      <c r="HRJ50" s="24"/>
      <c r="HRK50" s="24"/>
      <c r="HRL50" s="24"/>
      <c r="HRM50" s="24"/>
      <c r="HRN50" s="24"/>
      <c r="HRO50" s="24"/>
      <c r="HRP50" s="24"/>
      <c r="HRQ50" s="24"/>
      <c r="HRR50" s="24"/>
      <c r="HRS50" s="24"/>
      <c r="HRT50" s="24"/>
      <c r="HRU50" s="24"/>
      <c r="HRV50" s="24"/>
      <c r="HRW50" s="24"/>
      <c r="HRX50" s="24"/>
      <c r="HRY50" s="24"/>
      <c r="HRZ50" s="24"/>
      <c r="HSA50" s="24"/>
      <c r="HSB50" s="24"/>
      <c r="HSC50" s="24"/>
      <c r="HSD50" s="24"/>
      <c r="HSE50" s="24"/>
      <c r="HSF50" s="24"/>
      <c r="HSG50" s="24"/>
      <c r="HSH50" s="24"/>
      <c r="HSI50" s="24"/>
      <c r="HSJ50" s="24"/>
      <c r="HSK50" s="24"/>
      <c r="HSL50" s="24"/>
      <c r="HSM50" s="24"/>
      <c r="HSN50" s="24"/>
      <c r="HSO50" s="24"/>
      <c r="HSP50" s="24"/>
      <c r="HSQ50" s="24"/>
      <c r="HSR50" s="24"/>
      <c r="HSS50" s="24"/>
      <c r="HST50" s="24"/>
      <c r="HSU50" s="24"/>
      <c r="HSV50" s="24"/>
      <c r="HSW50" s="24"/>
      <c r="HSX50" s="24"/>
      <c r="HSY50" s="24"/>
      <c r="HSZ50" s="24"/>
      <c r="HTA50" s="24"/>
      <c r="HTB50" s="24"/>
      <c r="HTC50" s="24"/>
      <c r="HTD50" s="24"/>
      <c r="HTE50" s="24"/>
      <c r="HTF50" s="24"/>
      <c r="HTG50" s="24"/>
      <c r="HTH50" s="24"/>
      <c r="HTI50" s="24"/>
      <c r="HTJ50" s="24"/>
      <c r="HTK50" s="24"/>
      <c r="HTL50" s="24"/>
      <c r="HTM50" s="24"/>
      <c r="HTN50" s="24"/>
      <c r="HTO50" s="24"/>
      <c r="HTP50" s="24"/>
      <c r="HTQ50" s="24"/>
      <c r="HTR50" s="24"/>
      <c r="HTS50" s="24"/>
      <c r="HTT50" s="24"/>
      <c r="HTU50" s="24"/>
      <c r="HTV50" s="24"/>
      <c r="HTW50" s="24"/>
      <c r="HTX50" s="24"/>
      <c r="HTY50" s="24"/>
      <c r="HTZ50" s="24"/>
      <c r="HUA50" s="24"/>
      <c r="HUB50" s="24"/>
      <c r="HUC50" s="24"/>
      <c r="HUD50" s="24"/>
      <c r="HUE50" s="24"/>
      <c r="HUF50" s="24"/>
      <c r="HUG50" s="24"/>
      <c r="HUH50" s="24"/>
      <c r="HUI50" s="24"/>
      <c r="HUJ50" s="24"/>
      <c r="HUK50" s="24"/>
      <c r="HUL50" s="24"/>
      <c r="HUM50" s="24"/>
      <c r="HUN50" s="24"/>
      <c r="HUO50" s="24"/>
      <c r="HUP50" s="24"/>
      <c r="HUQ50" s="24"/>
      <c r="HUR50" s="24"/>
      <c r="HUS50" s="24"/>
      <c r="HUT50" s="24"/>
      <c r="HUU50" s="24"/>
      <c r="HUV50" s="24"/>
      <c r="HUW50" s="24"/>
      <c r="HUX50" s="24"/>
      <c r="HUY50" s="24"/>
      <c r="HUZ50" s="24"/>
      <c r="HVA50" s="24"/>
      <c r="HVB50" s="24"/>
      <c r="HVC50" s="24"/>
      <c r="HVD50" s="24"/>
      <c r="HVE50" s="24"/>
      <c r="HVF50" s="24"/>
      <c r="HVG50" s="24"/>
      <c r="HVH50" s="24"/>
      <c r="HVI50" s="24"/>
      <c r="HVJ50" s="24"/>
      <c r="HVK50" s="24"/>
      <c r="HVL50" s="24"/>
      <c r="HVM50" s="24"/>
      <c r="HVN50" s="24"/>
      <c r="HVO50" s="24"/>
      <c r="HVP50" s="24"/>
      <c r="HVQ50" s="24"/>
      <c r="HVR50" s="24"/>
      <c r="HVS50" s="24"/>
      <c r="HVT50" s="24"/>
      <c r="HVU50" s="24"/>
      <c r="HVV50" s="24"/>
      <c r="HVW50" s="24"/>
      <c r="HVX50" s="24"/>
      <c r="HVY50" s="24"/>
      <c r="HVZ50" s="24"/>
      <c r="HWA50" s="24"/>
      <c r="HWB50" s="24"/>
      <c r="HWC50" s="24"/>
      <c r="HWD50" s="24"/>
      <c r="HWE50" s="24"/>
      <c r="HWF50" s="24"/>
      <c r="HWG50" s="24"/>
      <c r="HWH50" s="24"/>
      <c r="HWI50" s="24"/>
      <c r="HWJ50" s="24"/>
      <c r="HWK50" s="24"/>
      <c r="HWL50" s="24"/>
      <c r="HWM50" s="24"/>
      <c r="HWN50" s="24"/>
      <c r="HWO50" s="24"/>
      <c r="HWP50" s="24"/>
      <c r="HWQ50" s="24"/>
      <c r="HWR50" s="24"/>
      <c r="HWS50" s="24"/>
      <c r="HWT50" s="24"/>
      <c r="HWU50" s="24"/>
      <c r="HWV50" s="24"/>
      <c r="HWW50" s="24"/>
      <c r="HWX50" s="24"/>
      <c r="HWY50" s="24"/>
      <c r="HWZ50" s="24"/>
      <c r="HXA50" s="24"/>
      <c r="HXB50" s="24"/>
      <c r="HXC50" s="24"/>
      <c r="HXD50" s="24"/>
      <c r="HXE50" s="24"/>
      <c r="HXF50" s="24"/>
      <c r="HXG50" s="24"/>
      <c r="HXH50" s="24"/>
      <c r="HXI50" s="24"/>
      <c r="HXJ50" s="24"/>
      <c r="HXK50" s="24"/>
      <c r="HXL50" s="24"/>
      <c r="HXM50" s="24"/>
      <c r="HXN50" s="24"/>
      <c r="HXO50" s="24"/>
      <c r="HXP50" s="24"/>
      <c r="HXQ50" s="24"/>
      <c r="HXR50" s="24"/>
      <c r="HXS50" s="24"/>
      <c r="HXT50" s="24"/>
      <c r="HXU50" s="24"/>
      <c r="HXV50" s="24"/>
      <c r="HXW50" s="24"/>
      <c r="HXX50" s="24"/>
      <c r="HXY50" s="24"/>
      <c r="HXZ50" s="24"/>
      <c r="HYA50" s="24"/>
      <c r="HYB50" s="24"/>
      <c r="HYC50" s="24"/>
      <c r="HYD50" s="24"/>
      <c r="HYE50" s="24"/>
      <c r="HYF50" s="24"/>
      <c r="HYG50" s="24"/>
      <c r="HYH50" s="24"/>
      <c r="HYI50" s="24"/>
      <c r="HYJ50" s="24"/>
      <c r="HYK50" s="24"/>
      <c r="HYL50" s="24"/>
      <c r="HYM50" s="24"/>
      <c r="HYN50" s="24"/>
      <c r="HYO50" s="24"/>
      <c r="HYP50" s="24"/>
      <c r="HYQ50" s="24"/>
      <c r="HYR50" s="24"/>
      <c r="HYS50" s="24"/>
      <c r="HYT50" s="24"/>
      <c r="HYU50" s="24"/>
      <c r="HYV50" s="24"/>
      <c r="HYW50" s="24"/>
      <c r="HYX50" s="24"/>
      <c r="HYY50" s="24"/>
      <c r="HYZ50" s="24"/>
      <c r="HZA50" s="24"/>
      <c r="HZB50" s="24"/>
      <c r="HZC50" s="24"/>
      <c r="HZD50" s="24"/>
      <c r="HZE50" s="24"/>
      <c r="HZF50" s="24"/>
      <c r="HZG50" s="24"/>
      <c r="HZH50" s="24"/>
      <c r="HZI50" s="24"/>
      <c r="HZJ50" s="24"/>
      <c r="HZK50" s="24"/>
      <c r="HZL50" s="24"/>
      <c r="HZM50" s="24"/>
      <c r="HZN50" s="24"/>
      <c r="HZO50" s="24"/>
      <c r="HZP50" s="24"/>
      <c r="HZQ50" s="24"/>
      <c r="HZR50" s="24"/>
      <c r="HZS50" s="24"/>
      <c r="HZT50" s="24"/>
      <c r="HZU50" s="24"/>
      <c r="HZV50" s="24"/>
      <c r="HZW50" s="24"/>
      <c r="HZX50" s="24"/>
      <c r="HZY50" s="24"/>
      <c r="HZZ50" s="24"/>
      <c r="IAA50" s="24"/>
      <c r="IAB50" s="24"/>
      <c r="IAC50" s="24"/>
      <c r="IAD50" s="24"/>
      <c r="IAE50" s="24"/>
      <c r="IAF50" s="24"/>
      <c r="IAG50" s="24"/>
      <c r="IAH50" s="24"/>
      <c r="IAI50" s="24"/>
      <c r="IAJ50" s="24"/>
      <c r="IAK50" s="24"/>
      <c r="IAL50" s="24"/>
      <c r="IAM50" s="24"/>
      <c r="IAN50" s="24"/>
      <c r="IAO50" s="24"/>
      <c r="IAP50" s="24"/>
      <c r="IAQ50" s="24"/>
      <c r="IAR50" s="24"/>
      <c r="IAS50" s="24"/>
      <c r="IAT50" s="24"/>
      <c r="IAU50" s="24"/>
      <c r="IAV50" s="24"/>
      <c r="IAW50" s="24"/>
      <c r="IAX50" s="24"/>
      <c r="IAY50" s="24"/>
      <c r="IAZ50" s="24"/>
      <c r="IBA50" s="24"/>
      <c r="IBB50" s="24"/>
      <c r="IBC50" s="24"/>
      <c r="IBD50" s="24"/>
      <c r="IBE50" s="24"/>
      <c r="IBF50" s="24"/>
      <c r="IBG50" s="24"/>
      <c r="IBH50" s="24"/>
      <c r="IBI50" s="24"/>
      <c r="IBJ50" s="24"/>
      <c r="IBK50" s="24"/>
      <c r="IBL50" s="24"/>
      <c r="IBM50" s="24"/>
      <c r="IBN50" s="24"/>
      <c r="IBO50" s="24"/>
      <c r="IBP50" s="24"/>
      <c r="IBQ50" s="24"/>
      <c r="IBR50" s="24"/>
      <c r="IBS50" s="24"/>
      <c r="IBT50" s="24"/>
      <c r="IBU50" s="24"/>
      <c r="IBV50" s="24"/>
      <c r="IBW50" s="24"/>
      <c r="IBX50" s="24"/>
      <c r="IBY50" s="24"/>
      <c r="IBZ50" s="24"/>
      <c r="ICA50" s="24"/>
      <c r="ICB50" s="24"/>
      <c r="ICC50" s="24"/>
      <c r="ICD50" s="24"/>
      <c r="ICE50" s="24"/>
      <c r="ICF50" s="24"/>
      <c r="ICG50" s="24"/>
      <c r="ICH50" s="24"/>
      <c r="ICI50" s="24"/>
      <c r="ICJ50" s="24"/>
      <c r="ICK50" s="24"/>
      <c r="ICL50" s="24"/>
      <c r="ICM50" s="24"/>
      <c r="ICN50" s="24"/>
      <c r="ICO50" s="24"/>
      <c r="ICP50" s="24"/>
      <c r="ICQ50" s="24"/>
      <c r="ICR50" s="24"/>
      <c r="ICS50" s="24"/>
      <c r="ICT50" s="24"/>
      <c r="ICU50" s="24"/>
      <c r="ICV50" s="24"/>
      <c r="ICW50" s="24"/>
      <c r="ICX50" s="24"/>
      <c r="ICY50" s="24"/>
      <c r="ICZ50" s="24"/>
      <c r="IDA50" s="24"/>
      <c r="IDB50" s="24"/>
      <c r="IDC50" s="24"/>
      <c r="IDD50" s="24"/>
      <c r="IDE50" s="24"/>
      <c r="IDF50" s="24"/>
      <c r="IDG50" s="24"/>
      <c r="IDH50" s="24"/>
      <c r="IDI50" s="24"/>
      <c r="IDJ50" s="24"/>
      <c r="IDK50" s="24"/>
      <c r="IDL50" s="24"/>
      <c r="IDM50" s="24"/>
      <c r="IDN50" s="24"/>
      <c r="IDO50" s="24"/>
      <c r="IDP50" s="24"/>
      <c r="IDQ50" s="24"/>
      <c r="IDR50" s="24"/>
      <c r="IDS50" s="24"/>
      <c r="IDT50" s="24"/>
      <c r="IDU50" s="24"/>
      <c r="IDV50" s="24"/>
      <c r="IDW50" s="24"/>
      <c r="IDX50" s="24"/>
      <c r="IDY50" s="24"/>
      <c r="IDZ50" s="24"/>
      <c r="IEA50" s="24"/>
      <c r="IEB50" s="24"/>
      <c r="IEC50" s="24"/>
      <c r="IED50" s="24"/>
      <c r="IEE50" s="24"/>
      <c r="IEF50" s="24"/>
      <c r="IEG50" s="24"/>
      <c r="IEH50" s="24"/>
      <c r="IEI50" s="24"/>
      <c r="IEJ50" s="24"/>
      <c r="IEK50" s="24"/>
      <c r="IEL50" s="24"/>
      <c r="IEM50" s="24"/>
      <c r="IEN50" s="24"/>
      <c r="IEO50" s="24"/>
      <c r="IEP50" s="24"/>
      <c r="IEQ50" s="24"/>
      <c r="IER50" s="24"/>
      <c r="IES50" s="24"/>
      <c r="IET50" s="24"/>
      <c r="IEU50" s="24"/>
      <c r="IEV50" s="24"/>
      <c r="IEW50" s="24"/>
      <c r="IEX50" s="24"/>
      <c r="IEY50" s="24"/>
      <c r="IEZ50" s="24"/>
      <c r="IFA50" s="24"/>
      <c r="IFB50" s="24"/>
      <c r="IFC50" s="24"/>
      <c r="IFD50" s="24"/>
      <c r="IFE50" s="24"/>
      <c r="IFF50" s="24"/>
      <c r="IFG50" s="24"/>
      <c r="IFH50" s="24"/>
      <c r="IFI50" s="24"/>
      <c r="IFJ50" s="24"/>
      <c r="IFK50" s="24"/>
      <c r="IFL50" s="24"/>
      <c r="IFM50" s="24"/>
      <c r="IFN50" s="24"/>
      <c r="IFO50" s="24"/>
      <c r="IFP50" s="24"/>
      <c r="IFQ50" s="24"/>
      <c r="IFR50" s="24"/>
      <c r="IFS50" s="24"/>
      <c r="IFT50" s="24"/>
      <c r="IFU50" s="24"/>
      <c r="IFV50" s="24"/>
      <c r="IFW50" s="24"/>
      <c r="IFX50" s="24"/>
      <c r="IFY50" s="24"/>
      <c r="IFZ50" s="24"/>
      <c r="IGA50" s="24"/>
      <c r="IGB50" s="24"/>
      <c r="IGC50" s="24"/>
      <c r="IGD50" s="24"/>
      <c r="IGE50" s="24"/>
      <c r="IGF50" s="24"/>
      <c r="IGG50" s="24"/>
      <c r="IGH50" s="24"/>
      <c r="IGI50" s="24"/>
      <c r="IGJ50" s="24"/>
      <c r="IGK50" s="24"/>
      <c r="IGL50" s="24"/>
      <c r="IGM50" s="24"/>
      <c r="IGN50" s="24"/>
      <c r="IGO50" s="24"/>
      <c r="IGP50" s="24"/>
      <c r="IGQ50" s="24"/>
      <c r="IGR50" s="24"/>
      <c r="IGS50" s="24"/>
      <c r="IGT50" s="24"/>
      <c r="IGU50" s="24"/>
      <c r="IGV50" s="24"/>
      <c r="IGW50" s="24"/>
      <c r="IGX50" s="24"/>
      <c r="IGY50" s="24"/>
      <c r="IGZ50" s="24"/>
      <c r="IHA50" s="24"/>
      <c r="IHB50" s="24"/>
      <c r="IHC50" s="24"/>
      <c r="IHD50" s="24"/>
      <c r="IHE50" s="24"/>
      <c r="IHF50" s="24"/>
      <c r="IHG50" s="24"/>
      <c r="IHH50" s="24"/>
      <c r="IHI50" s="24"/>
      <c r="IHJ50" s="24"/>
      <c r="IHK50" s="24"/>
      <c r="IHL50" s="24"/>
      <c r="IHM50" s="24"/>
      <c r="IHN50" s="24"/>
      <c r="IHO50" s="24"/>
      <c r="IHP50" s="24"/>
      <c r="IHQ50" s="24"/>
      <c r="IHR50" s="24"/>
      <c r="IHS50" s="24"/>
      <c r="IHT50" s="24"/>
      <c r="IHU50" s="24"/>
      <c r="IHV50" s="24"/>
      <c r="IHW50" s="24"/>
      <c r="IHX50" s="24"/>
      <c r="IHY50" s="24"/>
      <c r="IHZ50" s="24"/>
      <c r="IIA50" s="24"/>
      <c r="IIB50" s="24"/>
      <c r="IIC50" s="24"/>
      <c r="IID50" s="24"/>
      <c r="IIE50" s="24"/>
      <c r="IIF50" s="24"/>
      <c r="IIG50" s="24"/>
      <c r="IIH50" s="24"/>
      <c r="III50" s="24"/>
      <c r="IIJ50" s="24"/>
      <c r="IIK50" s="24"/>
      <c r="IIL50" s="24"/>
      <c r="IIM50" s="24"/>
      <c r="IIN50" s="24"/>
      <c r="IIO50" s="24"/>
      <c r="IIP50" s="24"/>
      <c r="IIQ50" s="24"/>
      <c r="IIR50" s="24"/>
      <c r="IIS50" s="24"/>
      <c r="IIT50" s="24"/>
      <c r="IIU50" s="24"/>
      <c r="IIV50" s="24"/>
      <c r="IIW50" s="24"/>
      <c r="IIX50" s="24"/>
      <c r="IIY50" s="24"/>
      <c r="IIZ50" s="24"/>
      <c r="IJA50" s="24"/>
      <c r="IJB50" s="24"/>
      <c r="IJC50" s="24"/>
      <c r="IJD50" s="24"/>
      <c r="IJE50" s="24"/>
      <c r="IJF50" s="24"/>
      <c r="IJG50" s="24"/>
      <c r="IJH50" s="24"/>
      <c r="IJI50" s="24"/>
      <c r="IJJ50" s="24"/>
      <c r="IJK50" s="24"/>
      <c r="IJL50" s="24"/>
      <c r="IJM50" s="24"/>
      <c r="IJN50" s="24"/>
      <c r="IJO50" s="24"/>
      <c r="IJP50" s="24"/>
      <c r="IJQ50" s="24"/>
      <c r="IJR50" s="24"/>
      <c r="IJS50" s="24"/>
      <c r="IJT50" s="24"/>
      <c r="IJU50" s="24"/>
      <c r="IJV50" s="24"/>
      <c r="IJW50" s="24"/>
      <c r="IJX50" s="24"/>
      <c r="IJY50" s="24"/>
      <c r="IJZ50" s="24"/>
      <c r="IKA50" s="24"/>
      <c r="IKB50" s="24"/>
      <c r="IKC50" s="24"/>
      <c r="IKD50" s="24"/>
      <c r="IKE50" s="24"/>
      <c r="IKF50" s="24"/>
      <c r="IKG50" s="24"/>
      <c r="IKH50" s="24"/>
      <c r="IKI50" s="24"/>
      <c r="IKJ50" s="24"/>
      <c r="IKK50" s="24"/>
      <c r="IKL50" s="24"/>
      <c r="IKM50" s="24"/>
      <c r="IKN50" s="24"/>
      <c r="IKO50" s="24"/>
      <c r="IKP50" s="24"/>
      <c r="IKQ50" s="24"/>
      <c r="IKR50" s="24"/>
      <c r="IKS50" s="24"/>
      <c r="IKT50" s="24"/>
      <c r="IKU50" s="24"/>
      <c r="IKV50" s="24"/>
      <c r="IKW50" s="24"/>
      <c r="IKX50" s="24"/>
      <c r="IKY50" s="24"/>
      <c r="IKZ50" s="24"/>
      <c r="ILA50" s="24"/>
      <c r="ILB50" s="24"/>
      <c r="ILC50" s="24"/>
      <c r="ILD50" s="24"/>
      <c r="ILE50" s="24"/>
      <c r="ILF50" s="24"/>
      <c r="ILG50" s="24"/>
      <c r="ILH50" s="24"/>
      <c r="ILI50" s="24"/>
      <c r="ILJ50" s="24"/>
      <c r="ILK50" s="24"/>
      <c r="ILL50" s="24"/>
      <c r="ILM50" s="24"/>
      <c r="ILN50" s="24"/>
      <c r="ILO50" s="24"/>
      <c r="ILP50" s="24"/>
      <c r="ILQ50" s="24"/>
      <c r="ILR50" s="24"/>
      <c r="ILS50" s="24"/>
      <c r="ILT50" s="24"/>
      <c r="ILU50" s="24"/>
      <c r="ILV50" s="24"/>
      <c r="ILW50" s="24"/>
      <c r="ILX50" s="24"/>
      <c r="ILY50" s="24"/>
      <c r="ILZ50" s="24"/>
      <c r="IMA50" s="24"/>
      <c r="IMB50" s="24"/>
      <c r="IMC50" s="24"/>
      <c r="IMD50" s="24"/>
      <c r="IME50" s="24"/>
      <c r="IMF50" s="24"/>
      <c r="IMG50" s="24"/>
      <c r="IMH50" s="24"/>
      <c r="IMI50" s="24"/>
      <c r="IMJ50" s="24"/>
      <c r="IMK50" s="24"/>
      <c r="IML50" s="24"/>
      <c r="IMM50" s="24"/>
      <c r="IMN50" s="24"/>
      <c r="IMO50" s="24"/>
      <c r="IMP50" s="24"/>
      <c r="IMQ50" s="24"/>
      <c r="IMR50" s="24"/>
      <c r="IMS50" s="24"/>
      <c r="IMT50" s="24"/>
      <c r="IMU50" s="24"/>
      <c r="IMV50" s="24"/>
      <c r="IMW50" s="24"/>
      <c r="IMX50" s="24"/>
      <c r="IMY50" s="24"/>
      <c r="IMZ50" s="24"/>
      <c r="INA50" s="24"/>
      <c r="INB50" s="24"/>
      <c r="INC50" s="24"/>
      <c r="IND50" s="24"/>
      <c r="INE50" s="24"/>
      <c r="INF50" s="24"/>
      <c r="ING50" s="24"/>
      <c r="INH50" s="24"/>
      <c r="INI50" s="24"/>
      <c r="INJ50" s="24"/>
      <c r="INK50" s="24"/>
      <c r="INL50" s="24"/>
      <c r="INM50" s="24"/>
      <c r="INN50" s="24"/>
      <c r="INO50" s="24"/>
      <c r="INP50" s="24"/>
      <c r="INQ50" s="24"/>
      <c r="INR50" s="24"/>
      <c r="INS50" s="24"/>
      <c r="INT50" s="24"/>
      <c r="INU50" s="24"/>
      <c r="INV50" s="24"/>
      <c r="INW50" s="24"/>
      <c r="INX50" s="24"/>
      <c r="INY50" s="24"/>
      <c r="INZ50" s="24"/>
      <c r="IOA50" s="24"/>
      <c r="IOB50" s="24"/>
      <c r="IOC50" s="24"/>
      <c r="IOD50" s="24"/>
      <c r="IOE50" s="24"/>
      <c r="IOF50" s="24"/>
      <c r="IOG50" s="24"/>
      <c r="IOH50" s="24"/>
      <c r="IOI50" s="24"/>
      <c r="IOJ50" s="24"/>
      <c r="IOK50" s="24"/>
      <c r="IOL50" s="24"/>
      <c r="IOM50" s="24"/>
      <c r="ION50" s="24"/>
      <c r="IOO50" s="24"/>
      <c r="IOP50" s="24"/>
      <c r="IOQ50" s="24"/>
      <c r="IOR50" s="24"/>
      <c r="IOS50" s="24"/>
      <c r="IOT50" s="24"/>
      <c r="IOU50" s="24"/>
      <c r="IOV50" s="24"/>
      <c r="IOW50" s="24"/>
      <c r="IOX50" s="24"/>
      <c r="IOY50" s="24"/>
      <c r="IOZ50" s="24"/>
      <c r="IPA50" s="24"/>
      <c r="IPB50" s="24"/>
      <c r="IPC50" s="24"/>
      <c r="IPD50" s="24"/>
      <c r="IPE50" s="24"/>
      <c r="IPF50" s="24"/>
      <c r="IPG50" s="24"/>
      <c r="IPH50" s="24"/>
      <c r="IPI50" s="24"/>
      <c r="IPJ50" s="24"/>
      <c r="IPK50" s="24"/>
      <c r="IPL50" s="24"/>
      <c r="IPM50" s="24"/>
      <c r="IPN50" s="24"/>
      <c r="IPO50" s="24"/>
      <c r="IPP50" s="24"/>
      <c r="IPQ50" s="24"/>
      <c r="IPR50" s="24"/>
      <c r="IPS50" s="24"/>
      <c r="IPT50" s="24"/>
      <c r="IPU50" s="24"/>
      <c r="IPV50" s="24"/>
      <c r="IPW50" s="24"/>
      <c r="IPX50" s="24"/>
      <c r="IPY50" s="24"/>
      <c r="IPZ50" s="24"/>
      <c r="IQA50" s="24"/>
      <c r="IQB50" s="24"/>
      <c r="IQC50" s="24"/>
      <c r="IQD50" s="24"/>
      <c r="IQE50" s="24"/>
      <c r="IQF50" s="24"/>
      <c r="IQG50" s="24"/>
      <c r="IQH50" s="24"/>
      <c r="IQI50" s="24"/>
      <c r="IQJ50" s="24"/>
      <c r="IQK50" s="24"/>
      <c r="IQL50" s="24"/>
      <c r="IQM50" s="24"/>
      <c r="IQN50" s="24"/>
      <c r="IQO50" s="24"/>
      <c r="IQP50" s="24"/>
      <c r="IQQ50" s="24"/>
      <c r="IQR50" s="24"/>
      <c r="IQS50" s="24"/>
      <c r="IQT50" s="24"/>
      <c r="IQU50" s="24"/>
      <c r="IQV50" s="24"/>
      <c r="IQW50" s="24"/>
      <c r="IQX50" s="24"/>
      <c r="IQY50" s="24"/>
      <c r="IQZ50" s="24"/>
      <c r="IRA50" s="24"/>
      <c r="IRB50" s="24"/>
      <c r="IRC50" s="24"/>
      <c r="IRD50" s="24"/>
      <c r="IRE50" s="24"/>
      <c r="IRF50" s="24"/>
      <c r="IRG50" s="24"/>
      <c r="IRH50" s="24"/>
      <c r="IRI50" s="24"/>
      <c r="IRJ50" s="24"/>
      <c r="IRK50" s="24"/>
      <c r="IRL50" s="24"/>
      <c r="IRM50" s="24"/>
      <c r="IRN50" s="24"/>
      <c r="IRO50" s="24"/>
      <c r="IRP50" s="24"/>
      <c r="IRQ50" s="24"/>
      <c r="IRR50" s="24"/>
      <c r="IRS50" s="24"/>
      <c r="IRT50" s="24"/>
      <c r="IRU50" s="24"/>
      <c r="IRV50" s="24"/>
      <c r="IRW50" s="24"/>
      <c r="IRX50" s="24"/>
      <c r="IRY50" s="24"/>
      <c r="IRZ50" s="24"/>
      <c r="ISA50" s="24"/>
      <c r="ISB50" s="24"/>
      <c r="ISC50" s="24"/>
      <c r="ISD50" s="24"/>
      <c r="ISE50" s="24"/>
      <c r="ISF50" s="24"/>
      <c r="ISG50" s="24"/>
      <c r="ISH50" s="24"/>
      <c r="ISI50" s="24"/>
      <c r="ISJ50" s="24"/>
      <c r="ISK50" s="24"/>
      <c r="ISL50" s="24"/>
      <c r="ISM50" s="24"/>
      <c r="ISN50" s="24"/>
      <c r="ISO50" s="24"/>
      <c r="ISP50" s="24"/>
      <c r="ISQ50" s="24"/>
      <c r="ISR50" s="24"/>
      <c r="ISS50" s="24"/>
      <c r="IST50" s="24"/>
      <c r="ISU50" s="24"/>
      <c r="ISV50" s="24"/>
      <c r="ISW50" s="24"/>
      <c r="ISX50" s="24"/>
      <c r="ISY50" s="24"/>
      <c r="ISZ50" s="24"/>
      <c r="ITA50" s="24"/>
      <c r="ITB50" s="24"/>
      <c r="ITC50" s="24"/>
      <c r="ITD50" s="24"/>
      <c r="ITE50" s="24"/>
      <c r="ITF50" s="24"/>
      <c r="ITG50" s="24"/>
      <c r="ITH50" s="24"/>
      <c r="ITI50" s="24"/>
      <c r="ITJ50" s="24"/>
      <c r="ITK50" s="24"/>
      <c r="ITL50" s="24"/>
      <c r="ITM50" s="24"/>
      <c r="ITN50" s="24"/>
      <c r="ITO50" s="24"/>
      <c r="ITP50" s="24"/>
      <c r="ITQ50" s="24"/>
      <c r="ITR50" s="24"/>
      <c r="ITS50" s="24"/>
      <c r="ITT50" s="24"/>
      <c r="ITU50" s="24"/>
      <c r="ITV50" s="24"/>
      <c r="ITW50" s="24"/>
      <c r="ITX50" s="24"/>
      <c r="ITY50" s="24"/>
      <c r="ITZ50" s="24"/>
      <c r="IUA50" s="24"/>
      <c r="IUB50" s="24"/>
      <c r="IUC50" s="24"/>
      <c r="IUD50" s="24"/>
      <c r="IUE50" s="24"/>
      <c r="IUF50" s="24"/>
      <c r="IUG50" s="24"/>
      <c r="IUH50" s="24"/>
      <c r="IUI50" s="24"/>
      <c r="IUJ50" s="24"/>
      <c r="IUK50" s="24"/>
      <c r="IUL50" s="24"/>
      <c r="IUM50" s="24"/>
      <c r="IUN50" s="24"/>
      <c r="IUO50" s="24"/>
      <c r="IUP50" s="24"/>
      <c r="IUQ50" s="24"/>
      <c r="IUR50" s="24"/>
      <c r="IUS50" s="24"/>
      <c r="IUT50" s="24"/>
      <c r="IUU50" s="24"/>
      <c r="IUV50" s="24"/>
      <c r="IUW50" s="24"/>
      <c r="IUX50" s="24"/>
      <c r="IUY50" s="24"/>
      <c r="IUZ50" s="24"/>
      <c r="IVA50" s="24"/>
      <c r="IVB50" s="24"/>
      <c r="IVC50" s="24"/>
      <c r="IVD50" s="24"/>
      <c r="IVE50" s="24"/>
      <c r="IVF50" s="24"/>
      <c r="IVG50" s="24"/>
      <c r="IVH50" s="24"/>
      <c r="IVI50" s="24"/>
      <c r="IVJ50" s="24"/>
      <c r="IVK50" s="24"/>
      <c r="IVL50" s="24"/>
      <c r="IVM50" s="24"/>
      <c r="IVN50" s="24"/>
      <c r="IVO50" s="24"/>
      <c r="IVP50" s="24"/>
      <c r="IVQ50" s="24"/>
      <c r="IVR50" s="24"/>
      <c r="IVS50" s="24"/>
      <c r="IVT50" s="24"/>
      <c r="IVU50" s="24"/>
      <c r="IVV50" s="24"/>
      <c r="IVW50" s="24"/>
      <c r="IVX50" s="24"/>
      <c r="IVY50" s="24"/>
      <c r="IVZ50" s="24"/>
      <c r="IWA50" s="24"/>
      <c r="IWB50" s="24"/>
      <c r="IWC50" s="24"/>
      <c r="IWD50" s="24"/>
      <c r="IWE50" s="24"/>
      <c r="IWF50" s="24"/>
      <c r="IWG50" s="24"/>
      <c r="IWH50" s="24"/>
      <c r="IWI50" s="24"/>
      <c r="IWJ50" s="24"/>
      <c r="IWK50" s="24"/>
      <c r="IWL50" s="24"/>
      <c r="IWM50" s="24"/>
      <c r="IWN50" s="24"/>
      <c r="IWO50" s="24"/>
      <c r="IWP50" s="24"/>
      <c r="IWQ50" s="24"/>
      <c r="IWR50" s="24"/>
      <c r="IWS50" s="24"/>
      <c r="IWT50" s="24"/>
      <c r="IWU50" s="24"/>
      <c r="IWV50" s="24"/>
      <c r="IWW50" s="24"/>
      <c r="IWX50" s="24"/>
      <c r="IWY50" s="24"/>
      <c r="IWZ50" s="24"/>
      <c r="IXA50" s="24"/>
      <c r="IXB50" s="24"/>
      <c r="IXC50" s="24"/>
      <c r="IXD50" s="24"/>
      <c r="IXE50" s="24"/>
      <c r="IXF50" s="24"/>
      <c r="IXG50" s="24"/>
      <c r="IXH50" s="24"/>
      <c r="IXI50" s="24"/>
      <c r="IXJ50" s="24"/>
      <c r="IXK50" s="24"/>
      <c r="IXL50" s="24"/>
      <c r="IXM50" s="24"/>
      <c r="IXN50" s="24"/>
      <c r="IXO50" s="24"/>
      <c r="IXP50" s="24"/>
      <c r="IXQ50" s="24"/>
      <c r="IXR50" s="24"/>
      <c r="IXS50" s="24"/>
      <c r="IXT50" s="24"/>
      <c r="IXU50" s="24"/>
      <c r="IXV50" s="24"/>
      <c r="IXW50" s="24"/>
      <c r="IXX50" s="24"/>
      <c r="IXY50" s="24"/>
      <c r="IXZ50" s="24"/>
      <c r="IYA50" s="24"/>
      <c r="IYB50" s="24"/>
      <c r="IYC50" s="24"/>
      <c r="IYD50" s="24"/>
      <c r="IYE50" s="24"/>
      <c r="IYF50" s="24"/>
      <c r="IYG50" s="24"/>
      <c r="IYH50" s="24"/>
      <c r="IYI50" s="24"/>
      <c r="IYJ50" s="24"/>
      <c r="IYK50" s="24"/>
      <c r="IYL50" s="24"/>
      <c r="IYM50" s="24"/>
      <c r="IYN50" s="24"/>
      <c r="IYO50" s="24"/>
      <c r="IYP50" s="24"/>
      <c r="IYQ50" s="24"/>
      <c r="IYR50" s="24"/>
      <c r="IYS50" s="24"/>
      <c r="IYT50" s="24"/>
      <c r="IYU50" s="24"/>
      <c r="IYV50" s="24"/>
      <c r="IYW50" s="24"/>
      <c r="IYX50" s="24"/>
      <c r="IYY50" s="24"/>
      <c r="IYZ50" s="24"/>
      <c r="IZA50" s="24"/>
      <c r="IZB50" s="24"/>
      <c r="IZC50" s="24"/>
      <c r="IZD50" s="24"/>
      <c r="IZE50" s="24"/>
      <c r="IZF50" s="24"/>
      <c r="IZG50" s="24"/>
      <c r="IZH50" s="24"/>
      <c r="IZI50" s="24"/>
      <c r="IZJ50" s="24"/>
      <c r="IZK50" s="24"/>
      <c r="IZL50" s="24"/>
      <c r="IZM50" s="24"/>
      <c r="IZN50" s="24"/>
      <c r="IZO50" s="24"/>
      <c r="IZP50" s="24"/>
      <c r="IZQ50" s="24"/>
      <c r="IZR50" s="24"/>
      <c r="IZS50" s="24"/>
      <c r="IZT50" s="24"/>
      <c r="IZU50" s="24"/>
      <c r="IZV50" s="24"/>
      <c r="IZW50" s="24"/>
      <c r="IZX50" s="24"/>
      <c r="IZY50" s="24"/>
      <c r="IZZ50" s="24"/>
      <c r="JAA50" s="24"/>
      <c r="JAB50" s="24"/>
      <c r="JAC50" s="24"/>
      <c r="JAD50" s="24"/>
      <c r="JAE50" s="24"/>
      <c r="JAF50" s="24"/>
      <c r="JAG50" s="24"/>
      <c r="JAH50" s="24"/>
      <c r="JAI50" s="24"/>
      <c r="JAJ50" s="24"/>
      <c r="JAK50" s="24"/>
      <c r="JAL50" s="24"/>
      <c r="JAM50" s="24"/>
      <c r="JAN50" s="24"/>
      <c r="JAO50" s="24"/>
      <c r="JAP50" s="24"/>
      <c r="JAQ50" s="24"/>
      <c r="JAR50" s="24"/>
      <c r="JAS50" s="24"/>
      <c r="JAT50" s="24"/>
      <c r="JAU50" s="24"/>
      <c r="JAV50" s="24"/>
      <c r="JAW50" s="24"/>
      <c r="JAX50" s="24"/>
      <c r="JAY50" s="24"/>
      <c r="JAZ50" s="24"/>
      <c r="JBA50" s="24"/>
      <c r="JBB50" s="24"/>
      <c r="JBC50" s="24"/>
      <c r="JBD50" s="24"/>
      <c r="JBE50" s="24"/>
      <c r="JBF50" s="24"/>
      <c r="JBG50" s="24"/>
      <c r="JBH50" s="24"/>
      <c r="JBI50" s="24"/>
      <c r="JBJ50" s="24"/>
      <c r="JBK50" s="24"/>
      <c r="JBL50" s="24"/>
      <c r="JBM50" s="24"/>
      <c r="JBN50" s="24"/>
      <c r="JBO50" s="24"/>
      <c r="JBP50" s="24"/>
      <c r="JBQ50" s="24"/>
      <c r="JBR50" s="24"/>
      <c r="JBS50" s="24"/>
      <c r="JBT50" s="24"/>
      <c r="JBU50" s="24"/>
      <c r="JBV50" s="24"/>
      <c r="JBW50" s="24"/>
      <c r="JBX50" s="24"/>
      <c r="JBY50" s="24"/>
      <c r="JBZ50" s="24"/>
      <c r="JCA50" s="24"/>
      <c r="JCB50" s="24"/>
      <c r="JCC50" s="24"/>
      <c r="JCD50" s="24"/>
      <c r="JCE50" s="24"/>
      <c r="JCF50" s="24"/>
      <c r="JCG50" s="24"/>
      <c r="JCH50" s="24"/>
      <c r="JCI50" s="24"/>
      <c r="JCJ50" s="24"/>
      <c r="JCK50" s="24"/>
      <c r="JCL50" s="24"/>
      <c r="JCM50" s="24"/>
      <c r="JCN50" s="24"/>
      <c r="JCO50" s="24"/>
      <c r="JCP50" s="24"/>
      <c r="JCQ50" s="24"/>
      <c r="JCR50" s="24"/>
      <c r="JCS50" s="24"/>
      <c r="JCT50" s="24"/>
      <c r="JCU50" s="24"/>
      <c r="JCV50" s="24"/>
      <c r="JCW50" s="24"/>
      <c r="JCX50" s="24"/>
      <c r="JCY50" s="24"/>
      <c r="JCZ50" s="24"/>
      <c r="JDA50" s="24"/>
      <c r="JDB50" s="24"/>
      <c r="JDC50" s="24"/>
      <c r="JDD50" s="24"/>
      <c r="JDE50" s="24"/>
      <c r="JDF50" s="24"/>
      <c r="JDG50" s="24"/>
      <c r="JDH50" s="24"/>
      <c r="JDI50" s="24"/>
      <c r="JDJ50" s="24"/>
      <c r="JDK50" s="24"/>
      <c r="JDL50" s="24"/>
      <c r="JDM50" s="24"/>
      <c r="JDN50" s="24"/>
      <c r="JDO50" s="24"/>
      <c r="JDP50" s="24"/>
      <c r="JDQ50" s="24"/>
      <c r="JDR50" s="24"/>
      <c r="JDS50" s="24"/>
      <c r="JDT50" s="24"/>
      <c r="JDU50" s="24"/>
      <c r="JDV50" s="24"/>
      <c r="JDW50" s="24"/>
      <c r="JDX50" s="24"/>
      <c r="JDY50" s="24"/>
      <c r="JDZ50" s="24"/>
      <c r="JEA50" s="24"/>
      <c r="JEB50" s="24"/>
      <c r="JEC50" s="24"/>
      <c r="JED50" s="24"/>
      <c r="JEE50" s="24"/>
      <c r="JEF50" s="24"/>
      <c r="JEG50" s="24"/>
      <c r="JEH50" s="24"/>
      <c r="JEI50" s="24"/>
      <c r="JEJ50" s="24"/>
      <c r="JEK50" s="24"/>
      <c r="JEL50" s="24"/>
      <c r="JEM50" s="24"/>
      <c r="JEN50" s="24"/>
      <c r="JEO50" s="24"/>
      <c r="JEP50" s="24"/>
      <c r="JEQ50" s="24"/>
      <c r="JER50" s="24"/>
      <c r="JES50" s="24"/>
      <c r="JET50" s="24"/>
      <c r="JEU50" s="24"/>
      <c r="JEV50" s="24"/>
      <c r="JEW50" s="24"/>
      <c r="JEX50" s="24"/>
      <c r="JEY50" s="24"/>
      <c r="JEZ50" s="24"/>
      <c r="JFA50" s="24"/>
      <c r="JFB50" s="24"/>
      <c r="JFC50" s="24"/>
      <c r="JFD50" s="24"/>
      <c r="JFE50" s="24"/>
      <c r="JFF50" s="24"/>
      <c r="JFG50" s="24"/>
      <c r="JFH50" s="24"/>
      <c r="JFI50" s="24"/>
      <c r="JFJ50" s="24"/>
      <c r="JFK50" s="24"/>
      <c r="JFL50" s="24"/>
      <c r="JFM50" s="24"/>
      <c r="JFN50" s="24"/>
      <c r="JFO50" s="24"/>
      <c r="JFP50" s="24"/>
      <c r="JFQ50" s="24"/>
      <c r="JFR50" s="24"/>
      <c r="JFS50" s="24"/>
      <c r="JFT50" s="24"/>
      <c r="JFU50" s="24"/>
      <c r="JFV50" s="24"/>
      <c r="JFW50" s="24"/>
      <c r="JFX50" s="24"/>
      <c r="JFY50" s="24"/>
      <c r="JFZ50" s="24"/>
      <c r="JGA50" s="24"/>
      <c r="JGB50" s="24"/>
      <c r="JGC50" s="24"/>
      <c r="JGD50" s="24"/>
      <c r="JGE50" s="24"/>
      <c r="JGF50" s="24"/>
      <c r="JGG50" s="24"/>
      <c r="JGH50" s="24"/>
      <c r="JGI50" s="24"/>
      <c r="JGJ50" s="24"/>
      <c r="JGK50" s="24"/>
      <c r="JGL50" s="24"/>
      <c r="JGM50" s="24"/>
      <c r="JGN50" s="24"/>
      <c r="JGO50" s="24"/>
      <c r="JGP50" s="24"/>
      <c r="JGQ50" s="24"/>
      <c r="JGR50" s="24"/>
      <c r="JGS50" s="24"/>
      <c r="JGT50" s="24"/>
      <c r="JGU50" s="24"/>
      <c r="JGV50" s="24"/>
      <c r="JGW50" s="24"/>
      <c r="JGX50" s="24"/>
      <c r="JGY50" s="24"/>
      <c r="JGZ50" s="24"/>
      <c r="JHA50" s="24"/>
      <c r="JHB50" s="24"/>
      <c r="JHC50" s="24"/>
      <c r="JHD50" s="24"/>
      <c r="JHE50" s="24"/>
      <c r="JHF50" s="24"/>
      <c r="JHG50" s="24"/>
      <c r="JHH50" s="24"/>
      <c r="JHI50" s="24"/>
      <c r="JHJ50" s="24"/>
      <c r="JHK50" s="24"/>
      <c r="JHL50" s="24"/>
      <c r="JHM50" s="24"/>
      <c r="JHN50" s="24"/>
      <c r="JHO50" s="24"/>
      <c r="JHP50" s="24"/>
      <c r="JHQ50" s="24"/>
      <c r="JHR50" s="24"/>
      <c r="JHS50" s="24"/>
      <c r="JHT50" s="24"/>
      <c r="JHU50" s="24"/>
      <c r="JHV50" s="24"/>
      <c r="JHW50" s="24"/>
      <c r="JHX50" s="24"/>
      <c r="JHY50" s="24"/>
      <c r="JHZ50" s="24"/>
      <c r="JIA50" s="24"/>
      <c r="JIB50" s="24"/>
      <c r="JIC50" s="24"/>
      <c r="JID50" s="24"/>
      <c r="JIE50" s="24"/>
      <c r="JIF50" s="24"/>
      <c r="JIG50" s="24"/>
      <c r="JIH50" s="24"/>
      <c r="JII50" s="24"/>
      <c r="JIJ50" s="24"/>
      <c r="JIK50" s="24"/>
      <c r="JIL50" s="24"/>
      <c r="JIM50" s="24"/>
      <c r="JIN50" s="24"/>
      <c r="JIO50" s="24"/>
      <c r="JIP50" s="24"/>
      <c r="JIQ50" s="24"/>
      <c r="JIR50" s="24"/>
      <c r="JIS50" s="24"/>
      <c r="JIT50" s="24"/>
      <c r="JIU50" s="24"/>
      <c r="JIV50" s="24"/>
      <c r="JIW50" s="24"/>
      <c r="JIX50" s="24"/>
      <c r="JIY50" s="24"/>
      <c r="JIZ50" s="24"/>
      <c r="JJA50" s="24"/>
      <c r="JJB50" s="24"/>
      <c r="JJC50" s="24"/>
      <c r="JJD50" s="24"/>
      <c r="JJE50" s="24"/>
      <c r="JJF50" s="24"/>
      <c r="JJG50" s="24"/>
      <c r="JJH50" s="24"/>
      <c r="JJI50" s="24"/>
      <c r="JJJ50" s="24"/>
      <c r="JJK50" s="24"/>
      <c r="JJL50" s="24"/>
      <c r="JJM50" s="24"/>
      <c r="JJN50" s="24"/>
      <c r="JJO50" s="24"/>
      <c r="JJP50" s="24"/>
      <c r="JJQ50" s="24"/>
      <c r="JJR50" s="24"/>
      <c r="JJS50" s="24"/>
      <c r="JJT50" s="24"/>
      <c r="JJU50" s="24"/>
      <c r="JJV50" s="24"/>
      <c r="JJW50" s="24"/>
      <c r="JJX50" s="24"/>
      <c r="JJY50" s="24"/>
      <c r="JJZ50" s="24"/>
      <c r="JKA50" s="24"/>
      <c r="JKB50" s="24"/>
      <c r="JKC50" s="24"/>
      <c r="JKD50" s="24"/>
      <c r="JKE50" s="24"/>
      <c r="JKF50" s="24"/>
      <c r="JKG50" s="24"/>
      <c r="JKH50" s="24"/>
      <c r="JKI50" s="24"/>
      <c r="JKJ50" s="24"/>
      <c r="JKK50" s="24"/>
      <c r="JKL50" s="24"/>
      <c r="JKM50" s="24"/>
      <c r="JKN50" s="24"/>
      <c r="JKO50" s="24"/>
      <c r="JKP50" s="24"/>
      <c r="JKQ50" s="24"/>
      <c r="JKR50" s="24"/>
      <c r="JKS50" s="24"/>
      <c r="JKT50" s="24"/>
      <c r="JKU50" s="24"/>
      <c r="JKV50" s="24"/>
      <c r="JKW50" s="24"/>
      <c r="JKX50" s="24"/>
      <c r="JKY50" s="24"/>
      <c r="JKZ50" s="24"/>
      <c r="JLA50" s="24"/>
      <c r="JLB50" s="24"/>
      <c r="JLC50" s="24"/>
      <c r="JLD50" s="24"/>
      <c r="JLE50" s="24"/>
      <c r="JLF50" s="24"/>
      <c r="JLG50" s="24"/>
      <c r="JLH50" s="24"/>
      <c r="JLI50" s="24"/>
      <c r="JLJ50" s="24"/>
      <c r="JLK50" s="24"/>
      <c r="JLL50" s="24"/>
      <c r="JLM50" s="24"/>
      <c r="JLN50" s="24"/>
      <c r="JLO50" s="24"/>
      <c r="JLP50" s="24"/>
      <c r="JLQ50" s="24"/>
      <c r="JLR50" s="24"/>
      <c r="JLS50" s="24"/>
      <c r="JLT50" s="24"/>
      <c r="JLU50" s="24"/>
      <c r="JLV50" s="24"/>
      <c r="JLW50" s="24"/>
      <c r="JLX50" s="24"/>
      <c r="JLY50" s="24"/>
      <c r="JLZ50" s="24"/>
      <c r="JMA50" s="24"/>
      <c r="JMB50" s="24"/>
      <c r="JMC50" s="24"/>
      <c r="JMD50" s="24"/>
      <c r="JME50" s="24"/>
      <c r="JMF50" s="24"/>
      <c r="JMG50" s="24"/>
      <c r="JMH50" s="24"/>
      <c r="JMI50" s="24"/>
      <c r="JMJ50" s="24"/>
      <c r="JMK50" s="24"/>
      <c r="JML50" s="24"/>
      <c r="JMM50" s="24"/>
      <c r="JMN50" s="24"/>
      <c r="JMO50" s="24"/>
      <c r="JMP50" s="24"/>
      <c r="JMQ50" s="24"/>
      <c r="JMR50" s="24"/>
      <c r="JMS50" s="24"/>
      <c r="JMT50" s="24"/>
      <c r="JMU50" s="24"/>
      <c r="JMV50" s="24"/>
      <c r="JMW50" s="24"/>
      <c r="JMX50" s="24"/>
      <c r="JMY50" s="24"/>
      <c r="JMZ50" s="24"/>
      <c r="JNA50" s="24"/>
      <c r="JNB50" s="24"/>
      <c r="JNC50" s="24"/>
      <c r="JND50" s="24"/>
      <c r="JNE50" s="24"/>
      <c r="JNF50" s="24"/>
      <c r="JNG50" s="24"/>
      <c r="JNH50" s="24"/>
      <c r="JNI50" s="24"/>
      <c r="JNJ50" s="24"/>
      <c r="JNK50" s="24"/>
      <c r="JNL50" s="24"/>
      <c r="JNM50" s="24"/>
      <c r="JNN50" s="24"/>
      <c r="JNO50" s="24"/>
      <c r="JNP50" s="24"/>
      <c r="JNQ50" s="24"/>
      <c r="JNR50" s="24"/>
      <c r="JNS50" s="24"/>
      <c r="JNT50" s="24"/>
      <c r="JNU50" s="24"/>
      <c r="JNV50" s="24"/>
      <c r="JNW50" s="24"/>
      <c r="JNX50" s="24"/>
      <c r="JNY50" s="24"/>
      <c r="JNZ50" s="24"/>
      <c r="JOA50" s="24"/>
      <c r="JOB50" s="24"/>
      <c r="JOC50" s="24"/>
      <c r="JOD50" s="24"/>
      <c r="JOE50" s="24"/>
      <c r="JOF50" s="24"/>
      <c r="JOG50" s="24"/>
      <c r="JOH50" s="24"/>
      <c r="JOI50" s="24"/>
      <c r="JOJ50" s="24"/>
      <c r="JOK50" s="24"/>
      <c r="JOL50" s="24"/>
      <c r="JOM50" s="24"/>
      <c r="JON50" s="24"/>
      <c r="JOO50" s="24"/>
      <c r="JOP50" s="24"/>
      <c r="JOQ50" s="24"/>
      <c r="JOR50" s="24"/>
      <c r="JOS50" s="24"/>
      <c r="JOT50" s="24"/>
      <c r="JOU50" s="24"/>
      <c r="JOV50" s="24"/>
      <c r="JOW50" s="24"/>
      <c r="JOX50" s="24"/>
      <c r="JOY50" s="24"/>
      <c r="JOZ50" s="24"/>
      <c r="JPA50" s="24"/>
      <c r="JPB50" s="24"/>
      <c r="JPC50" s="24"/>
      <c r="JPD50" s="24"/>
      <c r="JPE50" s="24"/>
      <c r="JPF50" s="24"/>
      <c r="JPG50" s="24"/>
      <c r="JPH50" s="24"/>
      <c r="JPI50" s="24"/>
      <c r="JPJ50" s="24"/>
      <c r="JPK50" s="24"/>
      <c r="JPL50" s="24"/>
      <c r="JPM50" s="24"/>
      <c r="JPN50" s="24"/>
      <c r="JPO50" s="24"/>
      <c r="JPP50" s="24"/>
      <c r="JPQ50" s="24"/>
      <c r="JPR50" s="24"/>
      <c r="JPS50" s="24"/>
      <c r="JPT50" s="24"/>
      <c r="JPU50" s="24"/>
      <c r="JPV50" s="24"/>
      <c r="JPW50" s="24"/>
      <c r="JPX50" s="24"/>
      <c r="JPY50" s="24"/>
      <c r="JPZ50" s="24"/>
      <c r="JQA50" s="24"/>
      <c r="JQB50" s="24"/>
      <c r="JQC50" s="24"/>
      <c r="JQD50" s="24"/>
      <c r="JQE50" s="24"/>
      <c r="JQF50" s="24"/>
      <c r="JQG50" s="24"/>
      <c r="JQH50" s="24"/>
      <c r="JQI50" s="24"/>
      <c r="JQJ50" s="24"/>
      <c r="JQK50" s="24"/>
      <c r="JQL50" s="24"/>
      <c r="JQM50" s="24"/>
      <c r="JQN50" s="24"/>
      <c r="JQO50" s="24"/>
      <c r="JQP50" s="24"/>
      <c r="JQQ50" s="24"/>
      <c r="JQR50" s="24"/>
      <c r="JQS50" s="24"/>
      <c r="JQT50" s="24"/>
      <c r="JQU50" s="24"/>
      <c r="JQV50" s="24"/>
      <c r="JQW50" s="24"/>
      <c r="JQX50" s="24"/>
      <c r="JQY50" s="24"/>
      <c r="JQZ50" s="24"/>
      <c r="JRA50" s="24"/>
      <c r="JRB50" s="24"/>
      <c r="JRC50" s="24"/>
      <c r="JRD50" s="24"/>
      <c r="JRE50" s="24"/>
      <c r="JRF50" s="24"/>
      <c r="JRG50" s="24"/>
      <c r="JRH50" s="24"/>
      <c r="JRI50" s="24"/>
      <c r="JRJ50" s="24"/>
      <c r="JRK50" s="24"/>
      <c r="JRL50" s="24"/>
      <c r="JRM50" s="24"/>
      <c r="JRN50" s="24"/>
      <c r="JRO50" s="24"/>
      <c r="JRP50" s="24"/>
      <c r="JRQ50" s="24"/>
      <c r="JRR50" s="24"/>
      <c r="JRS50" s="24"/>
      <c r="JRT50" s="24"/>
      <c r="JRU50" s="24"/>
      <c r="JRV50" s="24"/>
      <c r="JRW50" s="24"/>
      <c r="JRX50" s="24"/>
      <c r="JRY50" s="24"/>
      <c r="JRZ50" s="24"/>
      <c r="JSA50" s="24"/>
      <c r="JSB50" s="24"/>
      <c r="JSC50" s="24"/>
      <c r="JSD50" s="24"/>
      <c r="JSE50" s="24"/>
      <c r="JSF50" s="24"/>
      <c r="JSG50" s="24"/>
      <c r="JSH50" s="24"/>
      <c r="JSI50" s="24"/>
      <c r="JSJ50" s="24"/>
      <c r="JSK50" s="24"/>
      <c r="JSL50" s="24"/>
      <c r="JSM50" s="24"/>
      <c r="JSN50" s="24"/>
      <c r="JSO50" s="24"/>
      <c r="JSP50" s="24"/>
      <c r="JSQ50" s="24"/>
      <c r="JSR50" s="24"/>
      <c r="JSS50" s="24"/>
      <c r="JST50" s="24"/>
      <c r="JSU50" s="24"/>
      <c r="JSV50" s="24"/>
      <c r="JSW50" s="24"/>
      <c r="JSX50" s="24"/>
      <c r="JSY50" s="24"/>
      <c r="JSZ50" s="24"/>
      <c r="JTA50" s="24"/>
      <c r="JTB50" s="24"/>
      <c r="JTC50" s="24"/>
      <c r="JTD50" s="24"/>
      <c r="JTE50" s="24"/>
      <c r="JTF50" s="24"/>
      <c r="JTG50" s="24"/>
      <c r="JTH50" s="24"/>
      <c r="JTI50" s="24"/>
      <c r="JTJ50" s="24"/>
      <c r="JTK50" s="24"/>
      <c r="JTL50" s="24"/>
      <c r="JTM50" s="24"/>
      <c r="JTN50" s="24"/>
      <c r="JTO50" s="24"/>
      <c r="JTP50" s="24"/>
      <c r="JTQ50" s="24"/>
      <c r="JTR50" s="24"/>
      <c r="JTS50" s="24"/>
      <c r="JTT50" s="24"/>
      <c r="JTU50" s="24"/>
      <c r="JTV50" s="24"/>
      <c r="JTW50" s="24"/>
      <c r="JTX50" s="24"/>
      <c r="JTY50" s="24"/>
      <c r="JTZ50" s="24"/>
      <c r="JUA50" s="24"/>
      <c r="JUB50" s="24"/>
      <c r="JUC50" s="24"/>
      <c r="JUD50" s="24"/>
      <c r="JUE50" s="24"/>
      <c r="JUF50" s="24"/>
      <c r="JUG50" s="24"/>
      <c r="JUH50" s="24"/>
      <c r="JUI50" s="24"/>
      <c r="JUJ50" s="24"/>
      <c r="JUK50" s="24"/>
      <c r="JUL50" s="24"/>
      <c r="JUM50" s="24"/>
      <c r="JUN50" s="24"/>
      <c r="JUO50" s="24"/>
      <c r="JUP50" s="24"/>
      <c r="JUQ50" s="24"/>
      <c r="JUR50" s="24"/>
      <c r="JUS50" s="24"/>
      <c r="JUT50" s="24"/>
      <c r="JUU50" s="24"/>
      <c r="JUV50" s="24"/>
      <c r="JUW50" s="24"/>
      <c r="JUX50" s="24"/>
      <c r="JUY50" s="24"/>
      <c r="JUZ50" s="24"/>
      <c r="JVA50" s="24"/>
      <c r="JVB50" s="24"/>
      <c r="JVC50" s="24"/>
      <c r="JVD50" s="24"/>
      <c r="JVE50" s="24"/>
      <c r="JVF50" s="24"/>
      <c r="JVG50" s="24"/>
      <c r="JVH50" s="24"/>
      <c r="JVI50" s="24"/>
      <c r="JVJ50" s="24"/>
      <c r="JVK50" s="24"/>
      <c r="JVL50" s="24"/>
      <c r="JVM50" s="24"/>
      <c r="JVN50" s="24"/>
      <c r="JVO50" s="24"/>
      <c r="JVP50" s="24"/>
      <c r="JVQ50" s="24"/>
      <c r="JVR50" s="24"/>
      <c r="JVS50" s="24"/>
      <c r="JVT50" s="24"/>
      <c r="JVU50" s="24"/>
      <c r="JVV50" s="24"/>
      <c r="JVW50" s="24"/>
      <c r="JVX50" s="24"/>
      <c r="JVY50" s="24"/>
      <c r="JVZ50" s="24"/>
      <c r="JWA50" s="24"/>
      <c r="JWB50" s="24"/>
      <c r="JWC50" s="24"/>
      <c r="JWD50" s="24"/>
      <c r="JWE50" s="24"/>
      <c r="JWF50" s="24"/>
      <c r="JWG50" s="24"/>
      <c r="JWH50" s="24"/>
      <c r="JWI50" s="24"/>
      <c r="JWJ50" s="24"/>
      <c r="JWK50" s="24"/>
      <c r="JWL50" s="24"/>
      <c r="JWM50" s="24"/>
      <c r="JWN50" s="24"/>
      <c r="JWO50" s="24"/>
      <c r="JWP50" s="24"/>
      <c r="JWQ50" s="24"/>
      <c r="JWR50" s="24"/>
      <c r="JWS50" s="24"/>
      <c r="JWT50" s="24"/>
      <c r="JWU50" s="24"/>
      <c r="JWV50" s="24"/>
      <c r="JWW50" s="24"/>
      <c r="JWX50" s="24"/>
      <c r="JWY50" s="24"/>
      <c r="JWZ50" s="24"/>
      <c r="JXA50" s="24"/>
      <c r="JXB50" s="24"/>
      <c r="JXC50" s="24"/>
      <c r="JXD50" s="24"/>
      <c r="JXE50" s="24"/>
      <c r="JXF50" s="24"/>
      <c r="JXG50" s="24"/>
      <c r="JXH50" s="24"/>
      <c r="JXI50" s="24"/>
      <c r="JXJ50" s="24"/>
      <c r="JXK50" s="24"/>
      <c r="JXL50" s="24"/>
      <c r="JXM50" s="24"/>
      <c r="JXN50" s="24"/>
      <c r="JXO50" s="24"/>
      <c r="JXP50" s="24"/>
      <c r="JXQ50" s="24"/>
      <c r="JXR50" s="24"/>
      <c r="JXS50" s="24"/>
      <c r="JXT50" s="24"/>
      <c r="JXU50" s="24"/>
      <c r="JXV50" s="24"/>
      <c r="JXW50" s="24"/>
      <c r="JXX50" s="24"/>
      <c r="JXY50" s="24"/>
      <c r="JXZ50" s="24"/>
      <c r="JYA50" s="24"/>
      <c r="JYB50" s="24"/>
      <c r="JYC50" s="24"/>
      <c r="JYD50" s="24"/>
      <c r="JYE50" s="24"/>
      <c r="JYF50" s="24"/>
      <c r="JYG50" s="24"/>
      <c r="JYH50" s="24"/>
      <c r="JYI50" s="24"/>
      <c r="JYJ50" s="24"/>
      <c r="JYK50" s="24"/>
      <c r="JYL50" s="24"/>
      <c r="JYM50" s="24"/>
      <c r="JYN50" s="24"/>
      <c r="JYO50" s="24"/>
      <c r="JYP50" s="24"/>
      <c r="JYQ50" s="24"/>
      <c r="JYR50" s="24"/>
      <c r="JYS50" s="24"/>
      <c r="JYT50" s="24"/>
      <c r="JYU50" s="24"/>
      <c r="JYV50" s="24"/>
      <c r="JYW50" s="24"/>
      <c r="JYX50" s="24"/>
      <c r="JYY50" s="24"/>
      <c r="JYZ50" s="24"/>
      <c r="JZA50" s="24"/>
      <c r="JZB50" s="24"/>
      <c r="JZC50" s="24"/>
      <c r="JZD50" s="24"/>
      <c r="JZE50" s="24"/>
      <c r="JZF50" s="24"/>
      <c r="JZG50" s="24"/>
      <c r="JZH50" s="24"/>
      <c r="JZI50" s="24"/>
      <c r="JZJ50" s="24"/>
      <c r="JZK50" s="24"/>
      <c r="JZL50" s="24"/>
      <c r="JZM50" s="24"/>
      <c r="JZN50" s="24"/>
      <c r="JZO50" s="24"/>
      <c r="JZP50" s="24"/>
      <c r="JZQ50" s="24"/>
      <c r="JZR50" s="24"/>
      <c r="JZS50" s="24"/>
      <c r="JZT50" s="24"/>
      <c r="JZU50" s="24"/>
      <c r="JZV50" s="24"/>
      <c r="JZW50" s="24"/>
      <c r="JZX50" s="24"/>
      <c r="JZY50" s="24"/>
      <c r="JZZ50" s="24"/>
      <c r="KAA50" s="24"/>
      <c r="KAB50" s="24"/>
      <c r="KAC50" s="24"/>
      <c r="KAD50" s="24"/>
      <c r="KAE50" s="24"/>
      <c r="KAF50" s="24"/>
      <c r="KAG50" s="24"/>
      <c r="KAH50" s="24"/>
      <c r="KAI50" s="24"/>
      <c r="KAJ50" s="24"/>
      <c r="KAK50" s="24"/>
      <c r="KAL50" s="24"/>
      <c r="KAM50" s="24"/>
      <c r="KAN50" s="24"/>
      <c r="KAO50" s="24"/>
      <c r="KAP50" s="24"/>
      <c r="KAQ50" s="24"/>
      <c r="KAR50" s="24"/>
      <c r="KAS50" s="24"/>
      <c r="KAT50" s="24"/>
      <c r="KAU50" s="24"/>
      <c r="KAV50" s="24"/>
      <c r="KAW50" s="24"/>
      <c r="KAX50" s="24"/>
      <c r="KAY50" s="24"/>
      <c r="KAZ50" s="24"/>
      <c r="KBA50" s="24"/>
      <c r="KBB50" s="24"/>
      <c r="KBC50" s="24"/>
      <c r="KBD50" s="24"/>
      <c r="KBE50" s="24"/>
      <c r="KBF50" s="24"/>
      <c r="KBG50" s="24"/>
      <c r="KBH50" s="24"/>
      <c r="KBI50" s="24"/>
      <c r="KBJ50" s="24"/>
      <c r="KBK50" s="24"/>
      <c r="KBL50" s="24"/>
      <c r="KBM50" s="24"/>
      <c r="KBN50" s="24"/>
      <c r="KBO50" s="24"/>
      <c r="KBP50" s="24"/>
      <c r="KBQ50" s="24"/>
      <c r="KBR50" s="24"/>
      <c r="KBS50" s="24"/>
      <c r="KBT50" s="24"/>
      <c r="KBU50" s="24"/>
      <c r="KBV50" s="24"/>
      <c r="KBW50" s="24"/>
      <c r="KBX50" s="24"/>
      <c r="KBY50" s="24"/>
      <c r="KBZ50" s="24"/>
      <c r="KCA50" s="24"/>
      <c r="KCB50" s="24"/>
      <c r="KCC50" s="24"/>
      <c r="KCD50" s="24"/>
      <c r="KCE50" s="24"/>
      <c r="KCF50" s="24"/>
      <c r="KCG50" s="24"/>
      <c r="KCH50" s="24"/>
      <c r="KCI50" s="24"/>
      <c r="KCJ50" s="24"/>
      <c r="KCK50" s="24"/>
      <c r="KCL50" s="24"/>
      <c r="KCM50" s="24"/>
      <c r="KCN50" s="24"/>
      <c r="KCO50" s="24"/>
      <c r="KCP50" s="24"/>
      <c r="KCQ50" s="24"/>
      <c r="KCR50" s="24"/>
      <c r="KCS50" s="24"/>
      <c r="KCT50" s="24"/>
      <c r="KCU50" s="24"/>
      <c r="KCV50" s="24"/>
      <c r="KCW50" s="24"/>
      <c r="KCX50" s="24"/>
      <c r="KCY50" s="24"/>
      <c r="KCZ50" s="24"/>
      <c r="KDA50" s="24"/>
      <c r="KDB50" s="24"/>
      <c r="KDC50" s="24"/>
      <c r="KDD50" s="24"/>
      <c r="KDE50" s="24"/>
      <c r="KDF50" s="24"/>
      <c r="KDG50" s="24"/>
      <c r="KDH50" s="24"/>
      <c r="KDI50" s="24"/>
      <c r="KDJ50" s="24"/>
      <c r="KDK50" s="24"/>
      <c r="KDL50" s="24"/>
      <c r="KDM50" s="24"/>
      <c r="KDN50" s="24"/>
      <c r="KDO50" s="24"/>
      <c r="KDP50" s="24"/>
      <c r="KDQ50" s="24"/>
      <c r="KDR50" s="24"/>
      <c r="KDS50" s="24"/>
      <c r="KDT50" s="24"/>
      <c r="KDU50" s="24"/>
      <c r="KDV50" s="24"/>
      <c r="KDW50" s="24"/>
      <c r="KDX50" s="24"/>
      <c r="KDY50" s="24"/>
      <c r="KDZ50" s="24"/>
      <c r="KEA50" s="24"/>
      <c r="KEB50" s="24"/>
      <c r="KEC50" s="24"/>
      <c r="KED50" s="24"/>
      <c r="KEE50" s="24"/>
      <c r="KEF50" s="24"/>
      <c r="KEG50" s="24"/>
      <c r="KEH50" s="24"/>
      <c r="KEI50" s="24"/>
      <c r="KEJ50" s="24"/>
      <c r="KEK50" s="24"/>
      <c r="KEL50" s="24"/>
      <c r="KEM50" s="24"/>
      <c r="KEN50" s="24"/>
      <c r="KEO50" s="24"/>
      <c r="KEP50" s="24"/>
      <c r="KEQ50" s="24"/>
      <c r="KER50" s="24"/>
      <c r="KES50" s="24"/>
      <c r="KET50" s="24"/>
      <c r="KEU50" s="24"/>
      <c r="KEV50" s="24"/>
      <c r="KEW50" s="24"/>
      <c r="KEX50" s="24"/>
      <c r="KEY50" s="24"/>
      <c r="KEZ50" s="24"/>
      <c r="KFA50" s="24"/>
      <c r="KFB50" s="24"/>
      <c r="KFC50" s="24"/>
      <c r="KFD50" s="24"/>
      <c r="KFE50" s="24"/>
      <c r="KFF50" s="24"/>
      <c r="KFG50" s="24"/>
      <c r="KFH50" s="24"/>
      <c r="KFI50" s="24"/>
      <c r="KFJ50" s="24"/>
      <c r="KFK50" s="24"/>
      <c r="KFL50" s="24"/>
      <c r="KFM50" s="24"/>
      <c r="KFN50" s="24"/>
      <c r="KFO50" s="24"/>
      <c r="KFP50" s="24"/>
      <c r="KFQ50" s="24"/>
      <c r="KFR50" s="24"/>
      <c r="KFS50" s="24"/>
      <c r="KFT50" s="24"/>
      <c r="KFU50" s="24"/>
      <c r="KFV50" s="24"/>
      <c r="KFW50" s="24"/>
      <c r="KFX50" s="24"/>
      <c r="KFY50" s="24"/>
      <c r="KFZ50" s="24"/>
      <c r="KGA50" s="24"/>
      <c r="KGB50" s="24"/>
      <c r="KGC50" s="24"/>
      <c r="KGD50" s="24"/>
      <c r="KGE50" s="24"/>
      <c r="KGF50" s="24"/>
      <c r="KGG50" s="24"/>
      <c r="KGH50" s="24"/>
      <c r="KGI50" s="24"/>
      <c r="KGJ50" s="24"/>
      <c r="KGK50" s="24"/>
      <c r="KGL50" s="24"/>
      <c r="KGM50" s="24"/>
      <c r="KGN50" s="24"/>
      <c r="KGO50" s="24"/>
      <c r="KGP50" s="24"/>
      <c r="KGQ50" s="24"/>
      <c r="KGR50" s="24"/>
      <c r="KGS50" s="24"/>
      <c r="KGT50" s="24"/>
      <c r="KGU50" s="24"/>
      <c r="KGV50" s="24"/>
      <c r="KGW50" s="24"/>
      <c r="KGX50" s="24"/>
      <c r="KGY50" s="24"/>
      <c r="KGZ50" s="24"/>
      <c r="KHA50" s="24"/>
      <c r="KHB50" s="24"/>
      <c r="KHC50" s="24"/>
      <c r="KHD50" s="24"/>
      <c r="KHE50" s="24"/>
      <c r="KHF50" s="24"/>
      <c r="KHG50" s="24"/>
      <c r="KHH50" s="24"/>
      <c r="KHI50" s="24"/>
      <c r="KHJ50" s="24"/>
      <c r="KHK50" s="24"/>
      <c r="KHL50" s="24"/>
      <c r="KHM50" s="24"/>
      <c r="KHN50" s="24"/>
      <c r="KHO50" s="24"/>
      <c r="KHP50" s="24"/>
      <c r="KHQ50" s="24"/>
      <c r="KHR50" s="24"/>
      <c r="KHS50" s="24"/>
      <c r="KHT50" s="24"/>
      <c r="KHU50" s="24"/>
      <c r="KHV50" s="24"/>
      <c r="KHW50" s="24"/>
      <c r="KHX50" s="24"/>
      <c r="KHY50" s="24"/>
      <c r="KHZ50" s="24"/>
      <c r="KIA50" s="24"/>
      <c r="KIB50" s="24"/>
      <c r="KIC50" s="24"/>
      <c r="KID50" s="24"/>
      <c r="KIE50" s="24"/>
      <c r="KIF50" s="24"/>
      <c r="KIG50" s="24"/>
      <c r="KIH50" s="24"/>
      <c r="KII50" s="24"/>
      <c r="KIJ50" s="24"/>
      <c r="KIK50" s="24"/>
      <c r="KIL50" s="24"/>
      <c r="KIM50" s="24"/>
      <c r="KIN50" s="24"/>
      <c r="KIO50" s="24"/>
      <c r="KIP50" s="24"/>
      <c r="KIQ50" s="24"/>
      <c r="KIR50" s="24"/>
      <c r="KIS50" s="24"/>
      <c r="KIT50" s="24"/>
      <c r="KIU50" s="24"/>
      <c r="KIV50" s="24"/>
      <c r="KIW50" s="24"/>
      <c r="KIX50" s="24"/>
      <c r="KIY50" s="24"/>
      <c r="KIZ50" s="24"/>
      <c r="KJA50" s="24"/>
      <c r="KJB50" s="24"/>
      <c r="KJC50" s="24"/>
      <c r="KJD50" s="24"/>
      <c r="KJE50" s="24"/>
      <c r="KJF50" s="24"/>
      <c r="KJG50" s="24"/>
      <c r="KJH50" s="24"/>
      <c r="KJI50" s="24"/>
      <c r="KJJ50" s="24"/>
      <c r="KJK50" s="24"/>
      <c r="KJL50" s="24"/>
      <c r="KJM50" s="24"/>
      <c r="KJN50" s="24"/>
      <c r="KJO50" s="24"/>
      <c r="KJP50" s="24"/>
      <c r="KJQ50" s="24"/>
      <c r="KJR50" s="24"/>
      <c r="KJS50" s="24"/>
      <c r="KJT50" s="24"/>
      <c r="KJU50" s="24"/>
      <c r="KJV50" s="24"/>
      <c r="KJW50" s="24"/>
      <c r="KJX50" s="24"/>
      <c r="KJY50" s="24"/>
      <c r="KJZ50" s="24"/>
      <c r="KKA50" s="24"/>
      <c r="KKB50" s="24"/>
      <c r="KKC50" s="24"/>
      <c r="KKD50" s="24"/>
      <c r="KKE50" s="24"/>
      <c r="KKF50" s="24"/>
      <c r="KKG50" s="24"/>
      <c r="KKH50" s="24"/>
      <c r="KKI50" s="24"/>
      <c r="KKJ50" s="24"/>
      <c r="KKK50" s="24"/>
      <c r="KKL50" s="24"/>
      <c r="KKM50" s="24"/>
      <c r="KKN50" s="24"/>
      <c r="KKO50" s="24"/>
      <c r="KKP50" s="24"/>
      <c r="KKQ50" s="24"/>
      <c r="KKR50" s="24"/>
      <c r="KKS50" s="24"/>
      <c r="KKT50" s="24"/>
      <c r="KKU50" s="24"/>
      <c r="KKV50" s="24"/>
      <c r="KKW50" s="24"/>
      <c r="KKX50" s="24"/>
      <c r="KKY50" s="24"/>
      <c r="KKZ50" s="24"/>
      <c r="KLA50" s="24"/>
      <c r="KLB50" s="24"/>
      <c r="KLC50" s="24"/>
      <c r="KLD50" s="24"/>
      <c r="KLE50" s="24"/>
      <c r="KLF50" s="24"/>
      <c r="KLG50" s="24"/>
      <c r="KLH50" s="24"/>
      <c r="KLI50" s="24"/>
      <c r="KLJ50" s="24"/>
      <c r="KLK50" s="24"/>
      <c r="KLL50" s="24"/>
      <c r="KLM50" s="24"/>
      <c r="KLN50" s="24"/>
      <c r="KLO50" s="24"/>
      <c r="KLP50" s="24"/>
      <c r="KLQ50" s="24"/>
      <c r="KLR50" s="24"/>
      <c r="KLS50" s="24"/>
      <c r="KLT50" s="24"/>
      <c r="KLU50" s="24"/>
      <c r="KLV50" s="24"/>
      <c r="KLW50" s="24"/>
      <c r="KLX50" s="24"/>
      <c r="KLY50" s="24"/>
      <c r="KLZ50" s="24"/>
      <c r="KMA50" s="24"/>
      <c r="KMB50" s="24"/>
      <c r="KMC50" s="24"/>
      <c r="KMD50" s="24"/>
      <c r="KME50" s="24"/>
      <c r="KMF50" s="24"/>
      <c r="KMG50" s="24"/>
      <c r="KMH50" s="24"/>
      <c r="KMI50" s="24"/>
      <c r="KMJ50" s="24"/>
      <c r="KMK50" s="24"/>
      <c r="KML50" s="24"/>
      <c r="KMM50" s="24"/>
      <c r="KMN50" s="24"/>
      <c r="KMO50" s="24"/>
      <c r="KMP50" s="24"/>
      <c r="KMQ50" s="24"/>
      <c r="KMR50" s="24"/>
      <c r="KMS50" s="24"/>
      <c r="KMT50" s="24"/>
      <c r="KMU50" s="24"/>
      <c r="KMV50" s="24"/>
      <c r="KMW50" s="24"/>
      <c r="KMX50" s="24"/>
      <c r="KMY50" s="24"/>
      <c r="KMZ50" s="24"/>
      <c r="KNA50" s="24"/>
      <c r="KNB50" s="24"/>
      <c r="KNC50" s="24"/>
      <c r="KND50" s="24"/>
      <c r="KNE50" s="24"/>
      <c r="KNF50" s="24"/>
      <c r="KNG50" s="24"/>
      <c r="KNH50" s="24"/>
      <c r="KNI50" s="24"/>
      <c r="KNJ50" s="24"/>
      <c r="KNK50" s="24"/>
      <c r="KNL50" s="24"/>
      <c r="KNM50" s="24"/>
      <c r="KNN50" s="24"/>
      <c r="KNO50" s="24"/>
      <c r="KNP50" s="24"/>
      <c r="KNQ50" s="24"/>
      <c r="KNR50" s="24"/>
      <c r="KNS50" s="24"/>
      <c r="KNT50" s="24"/>
      <c r="KNU50" s="24"/>
      <c r="KNV50" s="24"/>
      <c r="KNW50" s="24"/>
      <c r="KNX50" s="24"/>
      <c r="KNY50" s="24"/>
      <c r="KNZ50" s="24"/>
      <c r="KOA50" s="24"/>
      <c r="KOB50" s="24"/>
      <c r="KOC50" s="24"/>
      <c r="KOD50" s="24"/>
      <c r="KOE50" s="24"/>
      <c r="KOF50" s="24"/>
      <c r="KOG50" s="24"/>
      <c r="KOH50" s="24"/>
      <c r="KOI50" s="24"/>
      <c r="KOJ50" s="24"/>
      <c r="KOK50" s="24"/>
      <c r="KOL50" s="24"/>
      <c r="KOM50" s="24"/>
      <c r="KON50" s="24"/>
      <c r="KOO50" s="24"/>
      <c r="KOP50" s="24"/>
      <c r="KOQ50" s="24"/>
      <c r="KOR50" s="24"/>
      <c r="KOS50" s="24"/>
      <c r="KOT50" s="24"/>
      <c r="KOU50" s="24"/>
      <c r="KOV50" s="24"/>
      <c r="KOW50" s="24"/>
      <c r="KOX50" s="24"/>
      <c r="KOY50" s="24"/>
      <c r="KOZ50" s="24"/>
      <c r="KPA50" s="24"/>
      <c r="KPB50" s="24"/>
      <c r="KPC50" s="24"/>
      <c r="KPD50" s="24"/>
      <c r="KPE50" s="24"/>
      <c r="KPF50" s="24"/>
      <c r="KPG50" s="24"/>
      <c r="KPH50" s="24"/>
      <c r="KPI50" s="24"/>
      <c r="KPJ50" s="24"/>
      <c r="KPK50" s="24"/>
      <c r="KPL50" s="24"/>
      <c r="KPM50" s="24"/>
      <c r="KPN50" s="24"/>
      <c r="KPO50" s="24"/>
      <c r="KPP50" s="24"/>
      <c r="KPQ50" s="24"/>
      <c r="KPR50" s="24"/>
      <c r="KPS50" s="24"/>
      <c r="KPT50" s="24"/>
      <c r="KPU50" s="24"/>
      <c r="KPV50" s="24"/>
      <c r="KPW50" s="24"/>
      <c r="KPX50" s="24"/>
      <c r="KPY50" s="24"/>
      <c r="KPZ50" s="24"/>
      <c r="KQA50" s="24"/>
      <c r="KQB50" s="24"/>
      <c r="KQC50" s="24"/>
      <c r="KQD50" s="24"/>
      <c r="KQE50" s="24"/>
      <c r="KQF50" s="24"/>
      <c r="KQG50" s="24"/>
      <c r="KQH50" s="24"/>
      <c r="KQI50" s="24"/>
      <c r="KQJ50" s="24"/>
      <c r="KQK50" s="24"/>
      <c r="KQL50" s="24"/>
      <c r="KQM50" s="24"/>
      <c r="KQN50" s="24"/>
      <c r="KQO50" s="24"/>
      <c r="KQP50" s="24"/>
      <c r="KQQ50" s="24"/>
      <c r="KQR50" s="24"/>
      <c r="KQS50" s="24"/>
      <c r="KQT50" s="24"/>
      <c r="KQU50" s="24"/>
      <c r="KQV50" s="24"/>
      <c r="KQW50" s="24"/>
      <c r="KQX50" s="24"/>
      <c r="KQY50" s="24"/>
      <c r="KQZ50" s="24"/>
      <c r="KRA50" s="24"/>
      <c r="KRB50" s="24"/>
      <c r="KRC50" s="24"/>
      <c r="KRD50" s="24"/>
      <c r="KRE50" s="24"/>
      <c r="KRF50" s="24"/>
      <c r="KRG50" s="24"/>
      <c r="KRH50" s="24"/>
      <c r="KRI50" s="24"/>
      <c r="KRJ50" s="24"/>
      <c r="KRK50" s="24"/>
      <c r="KRL50" s="24"/>
      <c r="KRM50" s="24"/>
      <c r="KRN50" s="24"/>
      <c r="KRO50" s="24"/>
      <c r="KRP50" s="24"/>
      <c r="KRQ50" s="24"/>
      <c r="KRR50" s="24"/>
      <c r="KRS50" s="24"/>
      <c r="KRT50" s="24"/>
      <c r="KRU50" s="24"/>
      <c r="KRV50" s="24"/>
      <c r="KRW50" s="24"/>
      <c r="KRX50" s="24"/>
      <c r="KRY50" s="24"/>
      <c r="KRZ50" s="24"/>
      <c r="KSA50" s="24"/>
      <c r="KSB50" s="24"/>
      <c r="KSC50" s="24"/>
      <c r="KSD50" s="24"/>
      <c r="KSE50" s="24"/>
      <c r="KSF50" s="24"/>
      <c r="KSG50" s="24"/>
      <c r="KSH50" s="24"/>
      <c r="KSI50" s="24"/>
      <c r="KSJ50" s="24"/>
      <c r="KSK50" s="24"/>
      <c r="KSL50" s="24"/>
      <c r="KSM50" s="24"/>
      <c r="KSN50" s="24"/>
      <c r="KSO50" s="24"/>
      <c r="KSP50" s="24"/>
      <c r="KSQ50" s="24"/>
      <c r="KSR50" s="24"/>
      <c r="KSS50" s="24"/>
      <c r="KST50" s="24"/>
      <c r="KSU50" s="24"/>
      <c r="KSV50" s="24"/>
      <c r="KSW50" s="24"/>
      <c r="KSX50" s="24"/>
      <c r="KSY50" s="24"/>
      <c r="KSZ50" s="24"/>
      <c r="KTA50" s="24"/>
      <c r="KTB50" s="24"/>
      <c r="KTC50" s="24"/>
      <c r="KTD50" s="24"/>
      <c r="KTE50" s="24"/>
      <c r="KTF50" s="24"/>
      <c r="KTG50" s="24"/>
      <c r="KTH50" s="24"/>
      <c r="KTI50" s="24"/>
      <c r="KTJ50" s="24"/>
      <c r="KTK50" s="24"/>
      <c r="KTL50" s="24"/>
      <c r="KTM50" s="24"/>
      <c r="KTN50" s="24"/>
      <c r="KTO50" s="24"/>
      <c r="KTP50" s="24"/>
      <c r="KTQ50" s="24"/>
      <c r="KTR50" s="24"/>
      <c r="KTS50" s="24"/>
      <c r="KTT50" s="24"/>
      <c r="KTU50" s="24"/>
      <c r="KTV50" s="24"/>
      <c r="KTW50" s="24"/>
      <c r="KTX50" s="24"/>
      <c r="KTY50" s="24"/>
      <c r="KTZ50" s="24"/>
      <c r="KUA50" s="24"/>
      <c r="KUB50" s="24"/>
      <c r="KUC50" s="24"/>
      <c r="KUD50" s="24"/>
      <c r="KUE50" s="24"/>
      <c r="KUF50" s="24"/>
      <c r="KUG50" s="24"/>
      <c r="KUH50" s="24"/>
      <c r="KUI50" s="24"/>
      <c r="KUJ50" s="24"/>
      <c r="KUK50" s="24"/>
      <c r="KUL50" s="24"/>
      <c r="KUM50" s="24"/>
      <c r="KUN50" s="24"/>
      <c r="KUO50" s="24"/>
      <c r="KUP50" s="24"/>
      <c r="KUQ50" s="24"/>
      <c r="KUR50" s="24"/>
      <c r="KUS50" s="24"/>
      <c r="KUT50" s="24"/>
      <c r="KUU50" s="24"/>
      <c r="KUV50" s="24"/>
      <c r="KUW50" s="24"/>
      <c r="KUX50" s="24"/>
      <c r="KUY50" s="24"/>
      <c r="KUZ50" s="24"/>
      <c r="KVA50" s="24"/>
      <c r="KVB50" s="24"/>
      <c r="KVC50" s="24"/>
      <c r="KVD50" s="24"/>
      <c r="KVE50" s="24"/>
      <c r="KVF50" s="24"/>
      <c r="KVG50" s="24"/>
      <c r="KVH50" s="24"/>
      <c r="KVI50" s="24"/>
      <c r="KVJ50" s="24"/>
      <c r="KVK50" s="24"/>
      <c r="KVL50" s="24"/>
      <c r="KVM50" s="24"/>
      <c r="KVN50" s="24"/>
      <c r="KVO50" s="24"/>
      <c r="KVP50" s="24"/>
      <c r="KVQ50" s="24"/>
      <c r="KVR50" s="24"/>
      <c r="KVS50" s="24"/>
      <c r="KVT50" s="24"/>
      <c r="KVU50" s="24"/>
      <c r="KVV50" s="24"/>
      <c r="KVW50" s="24"/>
      <c r="KVX50" s="24"/>
      <c r="KVY50" s="24"/>
      <c r="KVZ50" s="24"/>
      <c r="KWA50" s="24"/>
      <c r="KWB50" s="24"/>
      <c r="KWC50" s="24"/>
      <c r="KWD50" s="24"/>
      <c r="KWE50" s="24"/>
      <c r="KWF50" s="24"/>
      <c r="KWG50" s="24"/>
      <c r="KWH50" s="24"/>
      <c r="KWI50" s="24"/>
      <c r="KWJ50" s="24"/>
      <c r="KWK50" s="24"/>
      <c r="KWL50" s="24"/>
      <c r="KWM50" s="24"/>
      <c r="KWN50" s="24"/>
      <c r="KWO50" s="24"/>
      <c r="KWP50" s="24"/>
      <c r="KWQ50" s="24"/>
      <c r="KWR50" s="24"/>
      <c r="KWS50" s="24"/>
      <c r="KWT50" s="24"/>
      <c r="KWU50" s="24"/>
      <c r="KWV50" s="24"/>
      <c r="KWW50" s="24"/>
      <c r="KWX50" s="24"/>
      <c r="KWY50" s="24"/>
      <c r="KWZ50" s="24"/>
      <c r="KXA50" s="24"/>
      <c r="KXB50" s="24"/>
      <c r="KXC50" s="24"/>
      <c r="KXD50" s="24"/>
      <c r="KXE50" s="24"/>
      <c r="KXF50" s="24"/>
      <c r="KXG50" s="24"/>
      <c r="KXH50" s="24"/>
      <c r="KXI50" s="24"/>
      <c r="KXJ50" s="24"/>
      <c r="KXK50" s="24"/>
      <c r="KXL50" s="24"/>
      <c r="KXM50" s="24"/>
      <c r="KXN50" s="24"/>
      <c r="KXO50" s="24"/>
      <c r="KXP50" s="24"/>
      <c r="KXQ50" s="24"/>
      <c r="KXR50" s="24"/>
      <c r="KXS50" s="24"/>
      <c r="KXT50" s="24"/>
      <c r="KXU50" s="24"/>
      <c r="KXV50" s="24"/>
      <c r="KXW50" s="24"/>
      <c r="KXX50" s="24"/>
      <c r="KXY50" s="24"/>
      <c r="KXZ50" s="24"/>
      <c r="KYA50" s="24"/>
      <c r="KYB50" s="24"/>
      <c r="KYC50" s="24"/>
      <c r="KYD50" s="24"/>
      <c r="KYE50" s="24"/>
      <c r="KYF50" s="24"/>
      <c r="KYG50" s="24"/>
      <c r="KYH50" s="24"/>
      <c r="KYI50" s="24"/>
      <c r="KYJ50" s="24"/>
      <c r="KYK50" s="24"/>
      <c r="KYL50" s="24"/>
      <c r="KYM50" s="24"/>
      <c r="KYN50" s="24"/>
      <c r="KYO50" s="24"/>
      <c r="KYP50" s="24"/>
      <c r="KYQ50" s="24"/>
      <c r="KYR50" s="24"/>
      <c r="KYS50" s="24"/>
      <c r="KYT50" s="24"/>
      <c r="KYU50" s="24"/>
      <c r="KYV50" s="24"/>
      <c r="KYW50" s="24"/>
      <c r="KYX50" s="24"/>
      <c r="KYY50" s="24"/>
      <c r="KYZ50" s="24"/>
      <c r="KZA50" s="24"/>
      <c r="KZB50" s="24"/>
      <c r="KZC50" s="24"/>
      <c r="KZD50" s="24"/>
      <c r="KZE50" s="24"/>
      <c r="KZF50" s="24"/>
      <c r="KZG50" s="24"/>
      <c r="KZH50" s="24"/>
      <c r="KZI50" s="24"/>
      <c r="KZJ50" s="24"/>
      <c r="KZK50" s="24"/>
      <c r="KZL50" s="24"/>
      <c r="KZM50" s="24"/>
      <c r="KZN50" s="24"/>
      <c r="KZO50" s="24"/>
      <c r="KZP50" s="24"/>
      <c r="KZQ50" s="24"/>
      <c r="KZR50" s="24"/>
      <c r="KZS50" s="24"/>
      <c r="KZT50" s="24"/>
      <c r="KZU50" s="24"/>
      <c r="KZV50" s="24"/>
      <c r="KZW50" s="24"/>
      <c r="KZX50" s="24"/>
      <c r="KZY50" s="24"/>
      <c r="KZZ50" s="24"/>
      <c r="LAA50" s="24"/>
      <c r="LAB50" s="24"/>
      <c r="LAC50" s="24"/>
      <c r="LAD50" s="24"/>
      <c r="LAE50" s="24"/>
      <c r="LAF50" s="24"/>
      <c r="LAG50" s="24"/>
      <c r="LAH50" s="24"/>
      <c r="LAI50" s="24"/>
      <c r="LAJ50" s="24"/>
      <c r="LAK50" s="24"/>
      <c r="LAL50" s="24"/>
      <c r="LAM50" s="24"/>
      <c r="LAN50" s="24"/>
      <c r="LAO50" s="24"/>
      <c r="LAP50" s="24"/>
      <c r="LAQ50" s="24"/>
      <c r="LAR50" s="24"/>
      <c r="LAS50" s="24"/>
      <c r="LAT50" s="24"/>
      <c r="LAU50" s="24"/>
      <c r="LAV50" s="24"/>
      <c r="LAW50" s="24"/>
      <c r="LAX50" s="24"/>
      <c r="LAY50" s="24"/>
      <c r="LAZ50" s="24"/>
      <c r="LBA50" s="24"/>
      <c r="LBB50" s="24"/>
      <c r="LBC50" s="24"/>
      <c r="LBD50" s="24"/>
      <c r="LBE50" s="24"/>
      <c r="LBF50" s="24"/>
      <c r="LBG50" s="24"/>
      <c r="LBH50" s="24"/>
      <c r="LBI50" s="24"/>
      <c r="LBJ50" s="24"/>
      <c r="LBK50" s="24"/>
      <c r="LBL50" s="24"/>
      <c r="LBM50" s="24"/>
      <c r="LBN50" s="24"/>
      <c r="LBO50" s="24"/>
      <c r="LBP50" s="24"/>
      <c r="LBQ50" s="24"/>
      <c r="LBR50" s="24"/>
      <c r="LBS50" s="24"/>
      <c r="LBT50" s="24"/>
      <c r="LBU50" s="24"/>
      <c r="LBV50" s="24"/>
      <c r="LBW50" s="24"/>
      <c r="LBX50" s="24"/>
      <c r="LBY50" s="24"/>
      <c r="LBZ50" s="24"/>
      <c r="LCA50" s="24"/>
      <c r="LCB50" s="24"/>
      <c r="LCC50" s="24"/>
      <c r="LCD50" s="24"/>
      <c r="LCE50" s="24"/>
      <c r="LCF50" s="24"/>
      <c r="LCG50" s="24"/>
      <c r="LCH50" s="24"/>
      <c r="LCI50" s="24"/>
      <c r="LCJ50" s="24"/>
      <c r="LCK50" s="24"/>
      <c r="LCL50" s="24"/>
      <c r="LCM50" s="24"/>
      <c r="LCN50" s="24"/>
      <c r="LCO50" s="24"/>
      <c r="LCP50" s="24"/>
      <c r="LCQ50" s="24"/>
      <c r="LCR50" s="24"/>
      <c r="LCS50" s="24"/>
      <c r="LCT50" s="24"/>
      <c r="LCU50" s="24"/>
      <c r="LCV50" s="24"/>
      <c r="LCW50" s="24"/>
      <c r="LCX50" s="24"/>
      <c r="LCY50" s="24"/>
      <c r="LCZ50" s="24"/>
      <c r="LDA50" s="24"/>
      <c r="LDB50" s="24"/>
      <c r="LDC50" s="24"/>
      <c r="LDD50" s="24"/>
      <c r="LDE50" s="24"/>
      <c r="LDF50" s="24"/>
      <c r="LDG50" s="24"/>
      <c r="LDH50" s="24"/>
      <c r="LDI50" s="24"/>
      <c r="LDJ50" s="24"/>
      <c r="LDK50" s="24"/>
      <c r="LDL50" s="24"/>
      <c r="LDM50" s="24"/>
      <c r="LDN50" s="24"/>
      <c r="LDO50" s="24"/>
      <c r="LDP50" s="24"/>
      <c r="LDQ50" s="24"/>
      <c r="LDR50" s="24"/>
      <c r="LDS50" s="24"/>
      <c r="LDT50" s="24"/>
      <c r="LDU50" s="24"/>
      <c r="LDV50" s="24"/>
      <c r="LDW50" s="24"/>
      <c r="LDX50" s="24"/>
      <c r="LDY50" s="24"/>
      <c r="LDZ50" s="24"/>
      <c r="LEA50" s="24"/>
      <c r="LEB50" s="24"/>
      <c r="LEC50" s="24"/>
      <c r="LED50" s="24"/>
      <c r="LEE50" s="24"/>
      <c r="LEF50" s="24"/>
      <c r="LEG50" s="24"/>
      <c r="LEH50" s="24"/>
      <c r="LEI50" s="24"/>
      <c r="LEJ50" s="24"/>
      <c r="LEK50" s="24"/>
      <c r="LEL50" s="24"/>
      <c r="LEM50" s="24"/>
      <c r="LEN50" s="24"/>
      <c r="LEO50" s="24"/>
      <c r="LEP50" s="24"/>
      <c r="LEQ50" s="24"/>
      <c r="LER50" s="24"/>
      <c r="LES50" s="24"/>
      <c r="LET50" s="24"/>
      <c r="LEU50" s="24"/>
      <c r="LEV50" s="24"/>
      <c r="LEW50" s="24"/>
      <c r="LEX50" s="24"/>
      <c r="LEY50" s="24"/>
      <c r="LEZ50" s="24"/>
      <c r="LFA50" s="24"/>
      <c r="LFB50" s="24"/>
      <c r="LFC50" s="24"/>
      <c r="LFD50" s="24"/>
      <c r="LFE50" s="24"/>
      <c r="LFF50" s="24"/>
      <c r="LFG50" s="24"/>
      <c r="LFH50" s="24"/>
      <c r="LFI50" s="24"/>
      <c r="LFJ50" s="24"/>
      <c r="LFK50" s="24"/>
      <c r="LFL50" s="24"/>
      <c r="LFM50" s="24"/>
      <c r="LFN50" s="24"/>
      <c r="LFO50" s="24"/>
      <c r="LFP50" s="24"/>
      <c r="LFQ50" s="24"/>
      <c r="LFR50" s="24"/>
      <c r="LFS50" s="24"/>
      <c r="LFT50" s="24"/>
      <c r="LFU50" s="24"/>
      <c r="LFV50" s="24"/>
      <c r="LFW50" s="24"/>
      <c r="LFX50" s="24"/>
      <c r="LFY50" s="24"/>
      <c r="LFZ50" s="24"/>
      <c r="LGA50" s="24"/>
      <c r="LGB50" s="24"/>
      <c r="LGC50" s="24"/>
      <c r="LGD50" s="24"/>
      <c r="LGE50" s="24"/>
      <c r="LGF50" s="24"/>
      <c r="LGG50" s="24"/>
      <c r="LGH50" s="24"/>
      <c r="LGI50" s="24"/>
      <c r="LGJ50" s="24"/>
      <c r="LGK50" s="24"/>
      <c r="LGL50" s="24"/>
      <c r="LGM50" s="24"/>
      <c r="LGN50" s="24"/>
      <c r="LGO50" s="24"/>
      <c r="LGP50" s="24"/>
      <c r="LGQ50" s="24"/>
      <c r="LGR50" s="24"/>
      <c r="LGS50" s="24"/>
      <c r="LGT50" s="24"/>
      <c r="LGU50" s="24"/>
      <c r="LGV50" s="24"/>
      <c r="LGW50" s="24"/>
      <c r="LGX50" s="24"/>
      <c r="LGY50" s="24"/>
      <c r="LGZ50" s="24"/>
      <c r="LHA50" s="24"/>
      <c r="LHB50" s="24"/>
      <c r="LHC50" s="24"/>
      <c r="LHD50" s="24"/>
      <c r="LHE50" s="24"/>
      <c r="LHF50" s="24"/>
      <c r="LHG50" s="24"/>
      <c r="LHH50" s="24"/>
      <c r="LHI50" s="24"/>
      <c r="LHJ50" s="24"/>
      <c r="LHK50" s="24"/>
      <c r="LHL50" s="24"/>
      <c r="LHM50" s="24"/>
      <c r="LHN50" s="24"/>
      <c r="LHO50" s="24"/>
      <c r="LHP50" s="24"/>
      <c r="LHQ50" s="24"/>
      <c r="LHR50" s="24"/>
      <c r="LHS50" s="24"/>
      <c r="LHT50" s="24"/>
      <c r="LHU50" s="24"/>
      <c r="LHV50" s="24"/>
      <c r="LHW50" s="24"/>
      <c r="LHX50" s="24"/>
      <c r="LHY50" s="24"/>
      <c r="LHZ50" s="24"/>
      <c r="LIA50" s="24"/>
      <c r="LIB50" s="24"/>
      <c r="LIC50" s="24"/>
      <c r="LID50" s="24"/>
      <c r="LIE50" s="24"/>
      <c r="LIF50" s="24"/>
      <c r="LIG50" s="24"/>
      <c r="LIH50" s="24"/>
      <c r="LII50" s="24"/>
      <c r="LIJ50" s="24"/>
      <c r="LIK50" s="24"/>
      <c r="LIL50" s="24"/>
      <c r="LIM50" s="24"/>
      <c r="LIN50" s="24"/>
      <c r="LIO50" s="24"/>
      <c r="LIP50" s="24"/>
      <c r="LIQ50" s="24"/>
      <c r="LIR50" s="24"/>
      <c r="LIS50" s="24"/>
      <c r="LIT50" s="24"/>
      <c r="LIU50" s="24"/>
      <c r="LIV50" s="24"/>
      <c r="LIW50" s="24"/>
      <c r="LIX50" s="24"/>
      <c r="LIY50" s="24"/>
      <c r="LIZ50" s="24"/>
      <c r="LJA50" s="24"/>
      <c r="LJB50" s="24"/>
      <c r="LJC50" s="24"/>
      <c r="LJD50" s="24"/>
      <c r="LJE50" s="24"/>
      <c r="LJF50" s="24"/>
      <c r="LJG50" s="24"/>
      <c r="LJH50" s="24"/>
      <c r="LJI50" s="24"/>
      <c r="LJJ50" s="24"/>
      <c r="LJK50" s="24"/>
      <c r="LJL50" s="24"/>
      <c r="LJM50" s="24"/>
      <c r="LJN50" s="24"/>
      <c r="LJO50" s="24"/>
      <c r="LJP50" s="24"/>
      <c r="LJQ50" s="24"/>
      <c r="LJR50" s="24"/>
      <c r="LJS50" s="24"/>
      <c r="LJT50" s="24"/>
      <c r="LJU50" s="24"/>
      <c r="LJV50" s="24"/>
      <c r="LJW50" s="24"/>
      <c r="LJX50" s="24"/>
      <c r="LJY50" s="24"/>
      <c r="LJZ50" s="24"/>
      <c r="LKA50" s="24"/>
      <c r="LKB50" s="24"/>
      <c r="LKC50" s="24"/>
      <c r="LKD50" s="24"/>
      <c r="LKE50" s="24"/>
      <c r="LKF50" s="24"/>
      <c r="LKG50" s="24"/>
      <c r="LKH50" s="24"/>
      <c r="LKI50" s="24"/>
      <c r="LKJ50" s="24"/>
      <c r="LKK50" s="24"/>
      <c r="LKL50" s="24"/>
      <c r="LKM50" s="24"/>
      <c r="LKN50" s="24"/>
      <c r="LKO50" s="24"/>
      <c r="LKP50" s="24"/>
      <c r="LKQ50" s="24"/>
      <c r="LKR50" s="24"/>
      <c r="LKS50" s="24"/>
      <c r="LKT50" s="24"/>
      <c r="LKU50" s="24"/>
      <c r="LKV50" s="24"/>
      <c r="LKW50" s="24"/>
      <c r="LKX50" s="24"/>
      <c r="LKY50" s="24"/>
      <c r="LKZ50" s="24"/>
      <c r="LLA50" s="24"/>
      <c r="LLB50" s="24"/>
      <c r="LLC50" s="24"/>
      <c r="LLD50" s="24"/>
      <c r="LLE50" s="24"/>
      <c r="LLF50" s="24"/>
      <c r="LLG50" s="24"/>
      <c r="LLH50" s="24"/>
      <c r="LLI50" s="24"/>
      <c r="LLJ50" s="24"/>
      <c r="LLK50" s="24"/>
      <c r="LLL50" s="24"/>
      <c r="LLM50" s="24"/>
      <c r="LLN50" s="24"/>
      <c r="LLO50" s="24"/>
      <c r="LLP50" s="24"/>
      <c r="LLQ50" s="24"/>
      <c r="LLR50" s="24"/>
      <c r="LLS50" s="24"/>
      <c r="LLT50" s="24"/>
      <c r="LLU50" s="24"/>
      <c r="LLV50" s="24"/>
      <c r="LLW50" s="24"/>
      <c r="LLX50" s="24"/>
      <c r="LLY50" s="24"/>
      <c r="LLZ50" s="24"/>
      <c r="LMA50" s="24"/>
      <c r="LMB50" s="24"/>
      <c r="LMC50" s="24"/>
      <c r="LMD50" s="24"/>
      <c r="LME50" s="24"/>
      <c r="LMF50" s="24"/>
      <c r="LMG50" s="24"/>
      <c r="LMH50" s="24"/>
      <c r="LMI50" s="24"/>
      <c r="LMJ50" s="24"/>
      <c r="LMK50" s="24"/>
      <c r="LML50" s="24"/>
      <c r="LMM50" s="24"/>
      <c r="LMN50" s="24"/>
      <c r="LMO50" s="24"/>
      <c r="LMP50" s="24"/>
      <c r="LMQ50" s="24"/>
      <c r="LMR50" s="24"/>
      <c r="LMS50" s="24"/>
      <c r="LMT50" s="24"/>
      <c r="LMU50" s="24"/>
      <c r="LMV50" s="24"/>
      <c r="LMW50" s="24"/>
      <c r="LMX50" s="24"/>
      <c r="LMY50" s="24"/>
      <c r="LMZ50" s="24"/>
      <c r="LNA50" s="24"/>
      <c r="LNB50" s="24"/>
      <c r="LNC50" s="24"/>
      <c r="LND50" s="24"/>
      <c r="LNE50" s="24"/>
      <c r="LNF50" s="24"/>
      <c r="LNG50" s="24"/>
      <c r="LNH50" s="24"/>
      <c r="LNI50" s="24"/>
      <c r="LNJ50" s="24"/>
      <c r="LNK50" s="24"/>
      <c r="LNL50" s="24"/>
      <c r="LNM50" s="24"/>
      <c r="LNN50" s="24"/>
      <c r="LNO50" s="24"/>
      <c r="LNP50" s="24"/>
      <c r="LNQ50" s="24"/>
      <c r="LNR50" s="24"/>
      <c r="LNS50" s="24"/>
      <c r="LNT50" s="24"/>
      <c r="LNU50" s="24"/>
      <c r="LNV50" s="24"/>
      <c r="LNW50" s="24"/>
      <c r="LNX50" s="24"/>
      <c r="LNY50" s="24"/>
      <c r="LNZ50" s="24"/>
      <c r="LOA50" s="24"/>
      <c r="LOB50" s="24"/>
      <c r="LOC50" s="24"/>
      <c r="LOD50" s="24"/>
      <c r="LOE50" s="24"/>
      <c r="LOF50" s="24"/>
      <c r="LOG50" s="24"/>
      <c r="LOH50" s="24"/>
      <c r="LOI50" s="24"/>
      <c r="LOJ50" s="24"/>
      <c r="LOK50" s="24"/>
      <c r="LOL50" s="24"/>
      <c r="LOM50" s="24"/>
      <c r="LON50" s="24"/>
      <c r="LOO50" s="24"/>
      <c r="LOP50" s="24"/>
      <c r="LOQ50" s="24"/>
      <c r="LOR50" s="24"/>
      <c r="LOS50" s="24"/>
      <c r="LOT50" s="24"/>
      <c r="LOU50" s="24"/>
      <c r="LOV50" s="24"/>
      <c r="LOW50" s="24"/>
      <c r="LOX50" s="24"/>
      <c r="LOY50" s="24"/>
      <c r="LOZ50" s="24"/>
      <c r="LPA50" s="24"/>
      <c r="LPB50" s="24"/>
      <c r="LPC50" s="24"/>
      <c r="LPD50" s="24"/>
      <c r="LPE50" s="24"/>
      <c r="LPF50" s="24"/>
      <c r="LPG50" s="24"/>
      <c r="LPH50" s="24"/>
      <c r="LPI50" s="24"/>
      <c r="LPJ50" s="24"/>
      <c r="LPK50" s="24"/>
      <c r="LPL50" s="24"/>
      <c r="LPM50" s="24"/>
      <c r="LPN50" s="24"/>
      <c r="LPO50" s="24"/>
      <c r="LPP50" s="24"/>
      <c r="LPQ50" s="24"/>
      <c r="LPR50" s="24"/>
      <c r="LPS50" s="24"/>
      <c r="LPT50" s="24"/>
      <c r="LPU50" s="24"/>
      <c r="LPV50" s="24"/>
      <c r="LPW50" s="24"/>
      <c r="LPX50" s="24"/>
      <c r="LPY50" s="24"/>
      <c r="LPZ50" s="24"/>
      <c r="LQA50" s="24"/>
      <c r="LQB50" s="24"/>
      <c r="LQC50" s="24"/>
      <c r="LQD50" s="24"/>
      <c r="LQE50" s="24"/>
      <c r="LQF50" s="24"/>
      <c r="LQG50" s="24"/>
      <c r="LQH50" s="24"/>
      <c r="LQI50" s="24"/>
      <c r="LQJ50" s="24"/>
      <c r="LQK50" s="24"/>
      <c r="LQL50" s="24"/>
      <c r="LQM50" s="24"/>
      <c r="LQN50" s="24"/>
      <c r="LQO50" s="24"/>
      <c r="LQP50" s="24"/>
      <c r="LQQ50" s="24"/>
      <c r="LQR50" s="24"/>
      <c r="LQS50" s="24"/>
      <c r="LQT50" s="24"/>
      <c r="LQU50" s="24"/>
      <c r="LQV50" s="24"/>
      <c r="LQW50" s="24"/>
      <c r="LQX50" s="24"/>
      <c r="LQY50" s="24"/>
      <c r="LQZ50" s="24"/>
      <c r="LRA50" s="24"/>
      <c r="LRB50" s="24"/>
      <c r="LRC50" s="24"/>
      <c r="LRD50" s="24"/>
      <c r="LRE50" s="24"/>
      <c r="LRF50" s="24"/>
      <c r="LRG50" s="24"/>
      <c r="LRH50" s="24"/>
      <c r="LRI50" s="24"/>
      <c r="LRJ50" s="24"/>
      <c r="LRK50" s="24"/>
      <c r="LRL50" s="24"/>
      <c r="LRM50" s="24"/>
      <c r="LRN50" s="24"/>
      <c r="LRO50" s="24"/>
      <c r="LRP50" s="24"/>
      <c r="LRQ50" s="24"/>
      <c r="LRR50" s="24"/>
      <c r="LRS50" s="24"/>
      <c r="LRT50" s="24"/>
      <c r="LRU50" s="24"/>
      <c r="LRV50" s="24"/>
      <c r="LRW50" s="24"/>
      <c r="LRX50" s="24"/>
      <c r="LRY50" s="24"/>
      <c r="LRZ50" s="24"/>
      <c r="LSA50" s="24"/>
      <c r="LSB50" s="24"/>
      <c r="LSC50" s="24"/>
      <c r="LSD50" s="24"/>
      <c r="LSE50" s="24"/>
      <c r="LSF50" s="24"/>
      <c r="LSG50" s="24"/>
      <c r="LSH50" s="24"/>
      <c r="LSI50" s="24"/>
      <c r="LSJ50" s="24"/>
      <c r="LSK50" s="24"/>
      <c r="LSL50" s="24"/>
      <c r="LSM50" s="24"/>
      <c r="LSN50" s="24"/>
      <c r="LSO50" s="24"/>
      <c r="LSP50" s="24"/>
      <c r="LSQ50" s="24"/>
      <c r="LSR50" s="24"/>
      <c r="LSS50" s="24"/>
      <c r="LST50" s="24"/>
      <c r="LSU50" s="24"/>
      <c r="LSV50" s="24"/>
      <c r="LSW50" s="24"/>
      <c r="LSX50" s="24"/>
      <c r="LSY50" s="24"/>
      <c r="LSZ50" s="24"/>
      <c r="LTA50" s="24"/>
      <c r="LTB50" s="24"/>
      <c r="LTC50" s="24"/>
      <c r="LTD50" s="24"/>
      <c r="LTE50" s="24"/>
      <c r="LTF50" s="24"/>
      <c r="LTG50" s="24"/>
      <c r="LTH50" s="24"/>
      <c r="LTI50" s="24"/>
      <c r="LTJ50" s="24"/>
      <c r="LTK50" s="24"/>
      <c r="LTL50" s="24"/>
      <c r="LTM50" s="24"/>
      <c r="LTN50" s="24"/>
      <c r="LTO50" s="24"/>
      <c r="LTP50" s="24"/>
      <c r="LTQ50" s="24"/>
      <c r="LTR50" s="24"/>
      <c r="LTS50" s="24"/>
      <c r="LTT50" s="24"/>
      <c r="LTU50" s="24"/>
      <c r="LTV50" s="24"/>
      <c r="LTW50" s="24"/>
      <c r="LTX50" s="24"/>
      <c r="LTY50" s="24"/>
      <c r="LTZ50" s="24"/>
      <c r="LUA50" s="24"/>
      <c r="LUB50" s="24"/>
      <c r="LUC50" s="24"/>
      <c r="LUD50" s="24"/>
      <c r="LUE50" s="24"/>
      <c r="LUF50" s="24"/>
      <c r="LUG50" s="24"/>
      <c r="LUH50" s="24"/>
      <c r="LUI50" s="24"/>
      <c r="LUJ50" s="24"/>
      <c r="LUK50" s="24"/>
      <c r="LUL50" s="24"/>
      <c r="LUM50" s="24"/>
      <c r="LUN50" s="24"/>
      <c r="LUO50" s="24"/>
      <c r="LUP50" s="24"/>
      <c r="LUQ50" s="24"/>
      <c r="LUR50" s="24"/>
      <c r="LUS50" s="24"/>
      <c r="LUT50" s="24"/>
      <c r="LUU50" s="24"/>
      <c r="LUV50" s="24"/>
      <c r="LUW50" s="24"/>
      <c r="LUX50" s="24"/>
      <c r="LUY50" s="24"/>
      <c r="LUZ50" s="24"/>
      <c r="LVA50" s="24"/>
      <c r="LVB50" s="24"/>
      <c r="LVC50" s="24"/>
      <c r="LVD50" s="24"/>
      <c r="LVE50" s="24"/>
      <c r="LVF50" s="24"/>
      <c r="LVG50" s="24"/>
      <c r="LVH50" s="24"/>
      <c r="LVI50" s="24"/>
      <c r="LVJ50" s="24"/>
      <c r="LVK50" s="24"/>
      <c r="LVL50" s="24"/>
      <c r="LVM50" s="24"/>
      <c r="LVN50" s="24"/>
      <c r="LVO50" s="24"/>
      <c r="LVP50" s="24"/>
      <c r="LVQ50" s="24"/>
      <c r="LVR50" s="24"/>
      <c r="LVS50" s="24"/>
      <c r="LVT50" s="24"/>
      <c r="LVU50" s="24"/>
      <c r="LVV50" s="24"/>
      <c r="LVW50" s="24"/>
      <c r="LVX50" s="24"/>
      <c r="LVY50" s="24"/>
      <c r="LVZ50" s="24"/>
      <c r="LWA50" s="24"/>
      <c r="LWB50" s="24"/>
      <c r="LWC50" s="24"/>
      <c r="LWD50" s="24"/>
      <c r="LWE50" s="24"/>
      <c r="LWF50" s="24"/>
      <c r="LWG50" s="24"/>
      <c r="LWH50" s="24"/>
      <c r="LWI50" s="24"/>
      <c r="LWJ50" s="24"/>
      <c r="LWK50" s="24"/>
      <c r="LWL50" s="24"/>
      <c r="LWM50" s="24"/>
      <c r="LWN50" s="24"/>
      <c r="LWO50" s="24"/>
      <c r="LWP50" s="24"/>
      <c r="LWQ50" s="24"/>
      <c r="LWR50" s="24"/>
      <c r="LWS50" s="24"/>
      <c r="LWT50" s="24"/>
      <c r="LWU50" s="24"/>
      <c r="LWV50" s="24"/>
      <c r="LWW50" s="24"/>
      <c r="LWX50" s="24"/>
      <c r="LWY50" s="24"/>
      <c r="LWZ50" s="24"/>
      <c r="LXA50" s="24"/>
      <c r="LXB50" s="24"/>
      <c r="LXC50" s="24"/>
      <c r="LXD50" s="24"/>
      <c r="LXE50" s="24"/>
      <c r="LXF50" s="24"/>
      <c r="LXG50" s="24"/>
      <c r="LXH50" s="24"/>
      <c r="LXI50" s="24"/>
      <c r="LXJ50" s="24"/>
      <c r="LXK50" s="24"/>
      <c r="LXL50" s="24"/>
      <c r="LXM50" s="24"/>
      <c r="LXN50" s="24"/>
      <c r="LXO50" s="24"/>
      <c r="LXP50" s="24"/>
      <c r="LXQ50" s="24"/>
      <c r="LXR50" s="24"/>
      <c r="LXS50" s="24"/>
      <c r="LXT50" s="24"/>
      <c r="LXU50" s="24"/>
      <c r="LXV50" s="24"/>
      <c r="LXW50" s="24"/>
      <c r="LXX50" s="24"/>
      <c r="LXY50" s="24"/>
      <c r="LXZ50" s="24"/>
      <c r="LYA50" s="24"/>
      <c r="LYB50" s="24"/>
      <c r="LYC50" s="24"/>
      <c r="LYD50" s="24"/>
      <c r="LYE50" s="24"/>
      <c r="LYF50" s="24"/>
      <c r="LYG50" s="24"/>
      <c r="LYH50" s="24"/>
      <c r="LYI50" s="24"/>
      <c r="LYJ50" s="24"/>
      <c r="LYK50" s="24"/>
      <c r="LYL50" s="24"/>
      <c r="LYM50" s="24"/>
      <c r="LYN50" s="24"/>
      <c r="LYO50" s="24"/>
      <c r="LYP50" s="24"/>
      <c r="LYQ50" s="24"/>
      <c r="LYR50" s="24"/>
      <c r="LYS50" s="24"/>
      <c r="LYT50" s="24"/>
      <c r="LYU50" s="24"/>
      <c r="LYV50" s="24"/>
      <c r="LYW50" s="24"/>
      <c r="LYX50" s="24"/>
      <c r="LYY50" s="24"/>
      <c r="LYZ50" s="24"/>
      <c r="LZA50" s="24"/>
      <c r="LZB50" s="24"/>
      <c r="LZC50" s="24"/>
      <c r="LZD50" s="24"/>
      <c r="LZE50" s="24"/>
      <c r="LZF50" s="24"/>
      <c r="LZG50" s="24"/>
      <c r="LZH50" s="24"/>
      <c r="LZI50" s="24"/>
      <c r="LZJ50" s="24"/>
      <c r="LZK50" s="24"/>
      <c r="LZL50" s="24"/>
      <c r="LZM50" s="24"/>
      <c r="LZN50" s="24"/>
      <c r="LZO50" s="24"/>
      <c r="LZP50" s="24"/>
      <c r="LZQ50" s="24"/>
      <c r="LZR50" s="24"/>
      <c r="LZS50" s="24"/>
      <c r="LZT50" s="24"/>
      <c r="LZU50" s="24"/>
      <c r="LZV50" s="24"/>
      <c r="LZW50" s="24"/>
      <c r="LZX50" s="24"/>
      <c r="LZY50" s="24"/>
      <c r="LZZ50" s="24"/>
      <c r="MAA50" s="24"/>
      <c r="MAB50" s="24"/>
      <c r="MAC50" s="24"/>
      <c r="MAD50" s="24"/>
      <c r="MAE50" s="24"/>
      <c r="MAF50" s="24"/>
      <c r="MAG50" s="24"/>
      <c r="MAH50" s="24"/>
      <c r="MAI50" s="24"/>
      <c r="MAJ50" s="24"/>
      <c r="MAK50" s="24"/>
      <c r="MAL50" s="24"/>
      <c r="MAM50" s="24"/>
      <c r="MAN50" s="24"/>
      <c r="MAO50" s="24"/>
      <c r="MAP50" s="24"/>
      <c r="MAQ50" s="24"/>
      <c r="MAR50" s="24"/>
      <c r="MAS50" s="24"/>
      <c r="MAT50" s="24"/>
      <c r="MAU50" s="24"/>
      <c r="MAV50" s="24"/>
      <c r="MAW50" s="24"/>
      <c r="MAX50" s="24"/>
      <c r="MAY50" s="24"/>
      <c r="MAZ50" s="24"/>
      <c r="MBA50" s="24"/>
      <c r="MBB50" s="24"/>
      <c r="MBC50" s="24"/>
      <c r="MBD50" s="24"/>
      <c r="MBE50" s="24"/>
      <c r="MBF50" s="24"/>
      <c r="MBG50" s="24"/>
      <c r="MBH50" s="24"/>
      <c r="MBI50" s="24"/>
      <c r="MBJ50" s="24"/>
      <c r="MBK50" s="24"/>
      <c r="MBL50" s="24"/>
      <c r="MBM50" s="24"/>
      <c r="MBN50" s="24"/>
      <c r="MBO50" s="24"/>
      <c r="MBP50" s="24"/>
      <c r="MBQ50" s="24"/>
      <c r="MBR50" s="24"/>
      <c r="MBS50" s="24"/>
      <c r="MBT50" s="24"/>
      <c r="MBU50" s="24"/>
      <c r="MBV50" s="24"/>
      <c r="MBW50" s="24"/>
      <c r="MBX50" s="24"/>
      <c r="MBY50" s="24"/>
      <c r="MBZ50" s="24"/>
      <c r="MCA50" s="24"/>
      <c r="MCB50" s="24"/>
      <c r="MCC50" s="24"/>
      <c r="MCD50" s="24"/>
      <c r="MCE50" s="24"/>
      <c r="MCF50" s="24"/>
      <c r="MCG50" s="24"/>
      <c r="MCH50" s="24"/>
      <c r="MCI50" s="24"/>
      <c r="MCJ50" s="24"/>
      <c r="MCK50" s="24"/>
      <c r="MCL50" s="24"/>
      <c r="MCM50" s="24"/>
      <c r="MCN50" s="24"/>
      <c r="MCO50" s="24"/>
      <c r="MCP50" s="24"/>
      <c r="MCQ50" s="24"/>
      <c r="MCR50" s="24"/>
      <c r="MCS50" s="24"/>
      <c r="MCT50" s="24"/>
      <c r="MCU50" s="24"/>
      <c r="MCV50" s="24"/>
      <c r="MCW50" s="24"/>
      <c r="MCX50" s="24"/>
      <c r="MCY50" s="24"/>
      <c r="MCZ50" s="24"/>
      <c r="MDA50" s="24"/>
      <c r="MDB50" s="24"/>
      <c r="MDC50" s="24"/>
      <c r="MDD50" s="24"/>
      <c r="MDE50" s="24"/>
      <c r="MDF50" s="24"/>
      <c r="MDG50" s="24"/>
      <c r="MDH50" s="24"/>
      <c r="MDI50" s="24"/>
      <c r="MDJ50" s="24"/>
      <c r="MDK50" s="24"/>
      <c r="MDL50" s="24"/>
      <c r="MDM50" s="24"/>
      <c r="MDN50" s="24"/>
      <c r="MDO50" s="24"/>
      <c r="MDP50" s="24"/>
      <c r="MDQ50" s="24"/>
      <c r="MDR50" s="24"/>
      <c r="MDS50" s="24"/>
      <c r="MDT50" s="24"/>
      <c r="MDU50" s="24"/>
      <c r="MDV50" s="24"/>
      <c r="MDW50" s="24"/>
      <c r="MDX50" s="24"/>
      <c r="MDY50" s="24"/>
      <c r="MDZ50" s="24"/>
      <c r="MEA50" s="24"/>
      <c r="MEB50" s="24"/>
      <c r="MEC50" s="24"/>
      <c r="MED50" s="24"/>
      <c r="MEE50" s="24"/>
      <c r="MEF50" s="24"/>
      <c r="MEG50" s="24"/>
      <c r="MEH50" s="24"/>
      <c r="MEI50" s="24"/>
      <c r="MEJ50" s="24"/>
      <c r="MEK50" s="24"/>
      <c r="MEL50" s="24"/>
      <c r="MEM50" s="24"/>
      <c r="MEN50" s="24"/>
      <c r="MEO50" s="24"/>
      <c r="MEP50" s="24"/>
      <c r="MEQ50" s="24"/>
      <c r="MER50" s="24"/>
      <c r="MES50" s="24"/>
      <c r="MET50" s="24"/>
      <c r="MEU50" s="24"/>
      <c r="MEV50" s="24"/>
      <c r="MEW50" s="24"/>
      <c r="MEX50" s="24"/>
      <c r="MEY50" s="24"/>
      <c r="MEZ50" s="24"/>
      <c r="MFA50" s="24"/>
      <c r="MFB50" s="24"/>
      <c r="MFC50" s="24"/>
      <c r="MFD50" s="24"/>
      <c r="MFE50" s="24"/>
      <c r="MFF50" s="24"/>
      <c r="MFG50" s="24"/>
      <c r="MFH50" s="24"/>
      <c r="MFI50" s="24"/>
      <c r="MFJ50" s="24"/>
      <c r="MFK50" s="24"/>
      <c r="MFL50" s="24"/>
      <c r="MFM50" s="24"/>
      <c r="MFN50" s="24"/>
      <c r="MFO50" s="24"/>
      <c r="MFP50" s="24"/>
      <c r="MFQ50" s="24"/>
      <c r="MFR50" s="24"/>
      <c r="MFS50" s="24"/>
      <c r="MFT50" s="24"/>
      <c r="MFU50" s="24"/>
      <c r="MFV50" s="24"/>
      <c r="MFW50" s="24"/>
      <c r="MFX50" s="24"/>
      <c r="MFY50" s="24"/>
      <c r="MFZ50" s="24"/>
      <c r="MGA50" s="24"/>
      <c r="MGB50" s="24"/>
      <c r="MGC50" s="24"/>
      <c r="MGD50" s="24"/>
      <c r="MGE50" s="24"/>
      <c r="MGF50" s="24"/>
      <c r="MGG50" s="24"/>
      <c r="MGH50" s="24"/>
      <c r="MGI50" s="24"/>
      <c r="MGJ50" s="24"/>
      <c r="MGK50" s="24"/>
      <c r="MGL50" s="24"/>
      <c r="MGM50" s="24"/>
      <c r="MGN50" s="24"/>
      <c r="MGO50" s="24"/>
      <c r="MGP50" s="24"/>
      <c r="MGQ50" s="24"/>
      <c r="MGR50" s="24"/>
      <c r="MGS50" s="24"/>
      <c r="MGT50" s="24"/>
      <c r="MGU50" s="24"/>
      <c r="MGV50" s="24"/>
      <c r="MGW50" s="24"/>
      <c r="MGX50" s="24"/>
      <c r="MGY50" s="24"/>
      <c r="MGZ50" s="24"/>
      <c r="MHA50" s="24"/>
      <c r="MHB50" s="24"/>
      <c r="MHC50" s="24"/>
      <c r="MHD50" s="24"/>
      <c r="MHE50" s="24"/>
      <c r="MHF50" s="24"/>
      <c r="MHG50" s="24"/>
      <c r="MHH50" s="24"/>
      <c r="MHI50" s="24"/>
      <c r="MHJ50" s="24"/>
      <c r="MHK50" s="24"/>
      <c r="MHL50" s="24"/>
      <c r="MHM50" s="24"/>
      <c r="MHN50" s="24"/>
      <c r="MHO50" s="24"/>
      <c r="MHP50" s="24"/>
      <c r="MHQ50" s="24"/>
      <c r="MHR50" s="24"/>
      <c r="MHS50" s="24"/>
      <c r="MHT50" s="24"/>
      <c r="MHU50" s="24"/>
      <c r="MHV50" s="24"/>
      <c r="MHW50" s="24"/>
      <c r="MHX50" s="24"/>
      <c r="MHY50" s="24"/>
      <c r="MHZ50" s="24"/>
      <c r="MIA50" s="24"/>
      <c r="MIB50" s="24"/>
      <c r="MIC50" s="24"/>
      <c r="MID50" s="24"/>
      <c r="MIE50" s="24"/>
      <c r="MIF50" s="24"/>
      <c r="MIG50" s="24"/>
      <c r="MIH50" s="24"/>
      <c r="MII50" s="24"/>
      <c r="MIJ50" s="24"/>
      <c r="MIK50" s="24"/>
      <c r="MIL50" s="24"/>
      <c r="MIM50" s="24"/>
      <c r="MIN50" s="24"/>
      <c r="MIO50" s="24"/>
      <c r="MIP50" s="24"/>
      <c r="MIQ50" s="24"/>
      <c r="MIR50" s="24"/>
      <c r="MIS50" s="24"/>
      <c r="MIT50" s="24"/>
      <c r="MIU50" s="24"/>
      <c r="MIV50" s="24"/>
      <c r="MIW50" s="24"/>
      <c r="MIX50" s="24"/>
      <c r="MIY50" s="24"/>
      <c r="MIZ50" s="24"/>
      <c r="MJA50" s="24"/>
      <c r="MJB50" s="24"/>
      <c r="MJC50" s="24"/>
      <c r="MJD50" s="24"/>
      <c r="MJE50" s="24"/>
      <c r="MJF50" s="24"/>
      <c r="MJG50" s="24"/>
      <c r="MJH50" s="24"/>
      <c r="MJI50" s="24"/>
      <c r="MJJ50" s="24"/>
      <c r="MJK50" s="24"/>
      <c r="MJL50" s="24"/>
      <c r="MJM50" s="24"/>
      <c r="MJN50" s="24"/>
      <c r="MJO50" s="24"/>
      <c r="MJP50" s="24"/>
      <c r="MJQ50" s="24"/>
      <c r="MJR50" s="24"/>
      <c r="MJS50" s="24"/>
      <c r="MJT50" s="24"/>
      <c r="MJU50" s="24"/>
      <c r="MJV50" s="24"/>
      <c r="MJW50" s="24"/>
      <c r="MJX50" s="24"/>
      <c r="MJY50" s="24"/>
      <c r="MJZ50" s="24"/>
      <c r="MKA50" s="24"/>
      <c r="MKB50" s="24"/>
      <c r="MKC50" s="24"/>
      <c r="MKD50" s="24"/>
      <c r="MKE50" s="24"/>
      <c r="MKF50" s="24"/>
      <c r="MKG50" s="24"/>
      <c r="MKH50" s="24"/>
      <c r="MKI50" s="24"/>
      <c r="MKJ50" s="24"/>
      <c r="MKK50" s="24"/>
      <c r="MKL50" s="24"/>
      <c r="MKM50" s="24"/>
      <c r="MKN50" s="24"/>
      <c r="MKO50" s="24"/>
      <c r="MKP50" s="24"/>
      <c r="MKQ50" s="24"/>
      <c r="MKR50" s="24"/>
      <c r="MKS50" s="24"/>
      <c r="MKT50" s="24"/>
      <c r="MKU50" s="24"/>
      <c r="MKV50" s="24"/>
      <c r="MKW50" s="24"/>
      <c r="MKX50" s="24"/>
      <c r="MKY50" s="24"/>
      <c r="MKZ50" s="24"/>
      <c r="MLA50" s="24"/>
      <c r="MLB50" s="24"/>
      <c r="MLC50" s="24"/>
      <c r="MLD50" s="24"/>
      <c r="MLE50" s="24"/>
      <c r="MLF50" s="24"/>
      <c r="MLG50" s="24"/>
      <c r="MLH50" s="24"/>
      <c r="MLI50" s="24"/>
      <c r="MLJ50" s="24"/>
      <c r="MLK50" s="24"/>
      <c r="MLL50" s="24"/>
      <c r="MLM50" s="24"/>
      <c r="MLN50" s="24"/>
      <c r="MLO50" s="24"/>
      <c r="MLP50" s="24"/>
      <c r="MLQ50" s="24"/>
      <c r="MLR50" s="24"/>
      <c r="MLS50" s="24"/>
      <c r="MLT50" s="24"/>
      <c r="MLU50" s="24"/>
      <c r="MLV50" s="24"/>
      <c r="MLW50" s="24"/>
      <c r="MLX50" s="24"/>
      <c r="MLY50" s="24"/>
      <c r="MLZ50" s="24"/>
      <c r="MMA50" s="24"/>
      <c r="MMB50" s="24"/>
      <c r="MMC50" s="24"/>
      <c r="MMD50" s="24"/>
      <c r="MME50" s="24"/>
      <c r="MMF50" s="24"/>
      <c r="MMG50" s="24"/>
      <c r="MMH50" s="24"/>
      <c r="MMI50" s="24"/>
      <c r="MMJ50" s="24"/>
      <c r="MMK50" s="24"/>
      <c r="MML50" s="24"/>
      <c r="MMM50" s="24"/>
      <c r="MMN50" s="24"/>
      <c r="MMO50" s="24"/>
      <c r="MMP50" s="24"/>
      <c r="MMQ50" s="24"/>
      <c r="MMR50" s="24"/>
      <c r="MMS50" s="24"/>
      <c r="MMT50" s="24"/>
      <c r="MMU50" s="24"/>
      <c r="MMV50" s="24"/>
      <c r="MMW50" s="24"/>
      <c r="MMX50" s="24"/>
      <c r="MMY50" s="24"/>
      <c r="MMZ50" s="24"/>
      <c r="MNA50" s="24"/>
      <c r="MNB50" s="24"/>
      <c r="MNC50" s="24"/>
      <c r="MND50" s="24"/>
      <c r="MNE50" s="24"/>
      <c r="MNF50" s="24"/>
      <c r="MNG50" s="24"/>
      <c r="MNH50" s="24"/>
      <c r="MNI50" s="24"/>
      <c r="MNJ50" s="24"/>
      <c r="MNK50" s="24"/>
      <c r="MNL50" s="24"/>
      <c r="MNM50" s="24"/>
      <c r="MNN50" s="24"/>
      <c r="MNO50" s="24"/>
      <c r="MNP50" s="24"/>
      <c r="MNQ50" s="24"/>
      <c r="MNR50" s="24"/>
      <c r="MNS50" s="24"/>
      <c r="MNT50" s="24"/>
      <c r="MNU50" s="24"/>
      <c r="MNV50" s="24"/>
      <c r="MNW50" s="24"/>
      <c r="MNX50" s="24"/>
      <c r="MNY50" s="24"/>
      <c r="MNZ50" s="24"/>
      <c r="MOA50" s="24"/>
      <c r="MOB50" s="24"/>
      <c r="MOC50" s="24"/>
      <c r="MOD50" s="24"/>
      <c r="MOE50" s="24"/>
      <c r="MOF50" s="24"/>
      <c r="MOG50" s="24"/>
      <c r="MOH50" s="24"/>
      <c r="MOI50" s="24"/>
      <c r="MOJ50" s="24"/>
      <c r="MOK50" s="24"/>
      <c r="MOL50" s="24"/>
      <c r="MOM50" s="24"/>
      <c r="MON50" s="24"/>
      <c r="MOO50" s="24"/>
      <c r="MOP50" s="24"/>
      <c r="MOQ50" s="24"/>
      <c r="MOR50" s="24"/>
      <c r="MOS50" s="24"/>
      <c r="MOT50" s="24"/>
      <c r="MOU50" s="24"/>
      <c r="MOV50" s="24"/>
      <c r="MOW50" s="24"/>
      <c r="MOX50" s="24"/>
      <c r="MOY50" s="24"/>
      <c r="MOZ50" s="24"/>
      <c r="MPA50" s="24"/>
      <c r="MPB50" s="24"/>
      <c r="MPC50" s="24"/>
      <c r="MPD50" s="24"/>
      <c r="MPE50" s="24"/>
      <c r="MPF50" s="24"/>
      <c r="MPG50" s="24"/>
      <c r="MPH50" s="24"/>
      <c r="MPI50" s="24"/>
      <c r="MPJ50" s="24"/>
      <c r="MPK50" s="24"/>
      <c r="MPL50" s="24"/>
      <c r="MPM50" s="24"/>
      <c r="MPN50" s="24"/>
      <c r="MPO50" s="24"/>
      <c r="MPP50" s="24"/>
      <c r="MPQ50" s="24"/>
      <c r="MPR50" s="24"/>
      <c r="MPS50" s="24"/>
      <c r="MPT50" s="24"/>
      <c r="MPU50" s="24"/>
      <c r="MPV50" s="24"/>
      <c r="MPW50" s="24"/>
      <c r="MPX50" s="24"/>
      <c r="MPY50" s="24"/>
      <c r="MPZ50" s="24"/>
      <c r="MQA50" s="24"/>
      <c r="MQB50" s="24"/>
      <c r="MQC50" s="24"/>
      <c r="MQD50" s="24"/>
      <c r="MQE50" s="24"/>
      <c r="MQF50" s="24"/>
      <c r="MQG50" s="24"/>
      <c r="MQH50" s="24"/>
      <c r="MQI50" s="24"/>
      <c r="MQJ50" s="24"/>
      <c r="MQK50" s="24"/>
      <c r="MQL50" s="24"/>
      <c r="MQM50" s="24"/>
      <c r="MQN50" s="24"/>
      <c r="MQO50" s="24"/>
      <c r="MQP50" s="24"/>
      <c r="MQQ50" s="24"/>
      <c r="MQR50" s="24"/>
      <c r="MQS50" s="24"/>
      <c r="MQT50" s="24"/>
      <c r="MQU50" s="24"/>
      <c r="MQV50" s="24"/>
      <c r="MQW50" s="24"/>
      <c r="MQX50" s="24"/>
      <c r="MQY50" s="24"/>
      <c r="MQZ50" s="24"/>
      <c r="MRA50" s="24"/>
      <c r="MRB50" s="24"/>
      <c r="MRC50" s="24"/>
      <c r="MRD50" s="24"/>
      <c r="MRE50" s="24"/>
      <c r="MRF50" s="24"/>
      <c r="MRG50" s="24"/>
      <c r="MRH50" s="24"/>
      <c r="MRI50" s="24"/>
      <c r="MRJ50" s="24"/>
      <c r="MRK50" s="24"/>
      <c r="MRL50" s="24"/>
      <c r="MRM50" s="24"/>
      <c r="MRN50" s="24"/>
      <c r="MRO50" s="24"/>
      <c r="MRP50" s="24"/>
      <c r="MRQ50" s="24"/>
      <c r="MRR50" s="24"/>
      <c r="MRS50" s="24"/>
      <c r="MRT50" s="24"/>
      <c r="MRU50" s="24"/>
      <c r="MRV50" s="24"/>
      <c r="MRW50" s="24"/>
      <c r="MRX50" s="24"/>
      <c r="MRY50" s="24"/>
      <c r="MRZ50" s="24"/>
      <c r="MSA50" s="24"/>
      <c r="MSB50" s="24"/>
      <c r="MSC50" s="24"/>
      <c r="MSD50" s="24"/>
      <c r="MSE50" s="24"/>
      <c r="MSF50" s="24"/>
      <c r="MSG50" s="24"/>
      <c r="MSH50" s="24"/>
      <c r="MSI50" s="24"/>
      <c r="MSJ50" s="24"/>
      <c r="MSK50" s="24"/>
      <c r="MSL50" s="24"/>
      <c r="MSM50" s="24"/>
      <c r="MSN50" s="24"/>
      <c r="MSO50" s="24"/>
      <c r="MSP50" s="24"/>
      <c r="MSQ50" s="24"/>
      <c r="MSR50" s="24"/>
      <c r="MSS50" s="24"/>
      <c r="MST50" s="24"/>
      <c r="MSU50" s="24"/>
      <c r="MSV50" s="24"/>
      <c r="MSW50" s="24"/>
      <c r="MSX50" s="24"/>
      <c r="MSY50" s="24"/>
      <c r="MSZ50" s="24"/>
      <c r="MTA50" s="24"/>
      <c r="MTB50" s="24"/>
      <c r="MTC50" s="24"/>
      <c r="MTD50" s="24"/>
      <c r="MTE50" s="24"/>
      <c r="MTF50" s="24"/>
      <c r="MTG50" s="24"/>
      <c r="MTH50" s="24"/>
      <c r="MTI50" s="24"/>
      <c r="MTJ50" s="24"/>
      <c r="MTK50" s="24"/>
      <c r="MTL50" s="24"/>
      <c r="MTM50" s="24"/>
      <c r="MTN50" s="24"/>
      <c r="MTO50" s="24"/>
      <c r="MTP50" s="24"/>
      <c r="MTQ50" s="24"/>
      <c r="MTR50" s="24"/>
      <c r="MTS50" s="24"/>
      <c r="MTT50" s="24"/>
      <c r="MTU50" s="24"/>
      <c r="MTV50" s="24"/>
      <c r="MTW50" s="24"/>
      <c r="MTX50" s="24"/>
      <c r="MTY50" s="24"/>
      <c r="MTZ50" s="24"/>
      <c r="MUA50" s="24"/>
      <c r="MUB50" s="24"/>
      <c r="MUC50" s="24"/>
      <c r="MUD50" s="24"/>
      <c r="MUE50" s="24"/>
      <c r="MUF50" s="24"/>
      <c r="MUG50" s="24"/>
      <c r="MUH50" s="24"/>
      <c r="MUI50" s="24"/>
      <c r="MUJ50" s="24"/>
      <c r="MUK50" s="24"/>
      <c r="MUL50" s="24"/>
      <c r="MUM50" s="24"/>
      <c r="MUN50" s="24"/>
      <c r="MUO50" s="24"/>
      <c r="MUP50" s="24"/>
      <c r="MUQ50" s="24"/>
      <c r="MUR50" s="24"/>
      <c r="MUS50" s="24"/>
      <c r="MUT50" s="24"/>
      <c r="MUU50" s="24"/>
      <c r="MUV50" s="24"/>
      <c r="MUW50" s="24"/>
      <c r="MUX50" s="24"/>
      <c r="MUY50" s="24"/>
      <c r="MUZ50" s="24"/>
      <c r="MVA50" s="24"/>
      <c r="MVB50" s="24"/>
      <c r="MVC50" s="24"/>
      <c r="MVD50" s="24"/>
      <c r="MVE50" s="24"/>
      <c r="MVF50" s="24"/>
      <c r="MVG50" s="24"/>
      <c r="MVH50" s="24"/>
      <c r="MVI50" s="24"/>
      <c r="MVJ50" s="24"/>
      <c r="MVK50" s="24"/>
      <c r="MVL50" s="24"/>
      <c r="MVM50" s="24"/>
      <c r="MVN50" s="24"/>
      <c r="MVO50" s="24"/>
      <c r="MVP50" s="24"/>
      <c r="MVQ50" s="24"/>
      <c r="MVR50" s="24"/>
      <c r="MVS50" s="24"/>
      <c r="MVT50" s="24"/>
      <c r="MVU50" s="24"/>
      <c r="MVV50" s="24"/>
      <c r="MVW50" s="24"/>
      <c r="MVX50" s="24"/>
      <c r="MVY50" s="24"/>
      <c r="MVZ50" s="24"/>
      <c r="MWA50" s="24"/>
      <c r="MWB50" s="24"/>
      <c r="MWC50" s="24"/>
      <c r="MWD50" s="24"/>
      <c r="MWE50" s="24"/>
      <c r="MWF50" s="24"/>
      <c r="MWG50" s="24"/>
      <c r="MWH50" s="24"/>
      <c r="MWI50" s="24"/>
      <c r="MWJ50" s="24"/>
      <c r="MWK50" s="24"/>
      <c r="MWL50" s="24"/>
      <c r="MWM50" s="24"/>
      <c r="MWN50" s="24"/>
      <c r="MWO50" s="24"/>
      <c r="MWP50" s="24"/>
      <c r="MWQ50" s="24"/>
      <c r="MWR50" s="24"/>
      <c r="MWS50" s="24"/>
      <c r="MWT50" s="24"/>
      <c r="MWU50" s="24"/>
      <c r="MWV50" s="24"/>
      <c r="MWW50" s="24"/>
      <c r="MWX50" s="24"/>
      <c r="MWY50" s="24"/>
      <c r="MWZ50" s="24"/>
      <c r="MXA50" s="24"/>
      <c r="MXB50" s="24"/>
      <c r="MXC50" s="24"/>
      <c r="MXD50" s="24"/>
      <c r="MXE50" s="24"/>
      <c r="MXF50" s="24"/>
      <c r="MXG50" s="24"/>
      <c r="MXH50" s="24"/>
      <c r="MXI50" s="24"/>
      <c r="MXJ50" s="24"/>
      <c r="MXK50" s="24"/>
      <c r="MXL50" s="24"/>
      <c r="MXM50" s="24"/>
      <c r="MXN50" s="24"/>
      <c r="MXO50" s="24"/>
      <c r="MXP50" s="24"/>
      <c r="MXQ50" s="24"/>
      <c r="MXR50" s="24"/>
      <c r="MXS50" s="24"/>
      <c r="MXT50" s="24"/>
      <c r="MXU50" s="24"/>
      <c r="MXV50" s="24"/>
      <c r="MXW50" s="24"/>
      <c r="MXX50" s="24"/>
      <c r="MXY50" s="24"/>
      <c r="MXZ50" s="24"/>
      <c r="MYA50" s="24"/>
      <c r="MYB50" s="24"/>
      <c r="MYC50" s="24"/>
      <c r="MYD50" s="24"/>
      <c r="MYE50" s="24"/>
      <c r="MYF50" s="24"/>
      <c r="MYG50" s="24"/>
      <c r="MYH50" s="24"/>
      <c r="MYI50" s="24"/>
      <c r="MYJ50" s="24"/>
      <c r="MYK50" s="24"/>
      <c r="MYL50" s="24"/>
      <c r="MYM50" s="24"/>
      <c r="MYN50" s="24"/>
      <c r="MYO50" s="24"/>
      <c r="MYP50" s="24"/>
      <c r="MYQ50" s="24"/>
      <c r="MYR50" s="24"/>
      <c r="MYS50" s="24"/>
      <c r="MYT50" s="24"/>
      <c r="MYU50" s="24"/>
      <c r="MYV50" s="24"/>
      <c r="MYW50" s="24"/>
      <c r="MYX50" s="24"/>
      <c r="MYY50" s="24"/>
      <c r="MYZ50" s="24"/>
      <c r="MZA50" s="24"/>
      <c r="MZB50" s="24"/>
      <c r="MZC50" s="24"/>
      <c r="MZD50" s="24"/>
      <c r="MZE50" s="24"/>
      <c r="MZF50" s="24"/>
      <c r="MZG50" s="24"/>
      <c r="MZH50" s="24"/>
      <c r="MZI50" s="24"/>
      <c r="MZJ50" s="24"/>
      <c r="MZK50" s="24"/>
      <c r="MZL50" s="24"/>
      <c r="MZM50" s="24"/>
      <c r="MZN50" s="24"/>
      <c r="MZO50" s="24"/>
      <c r="MZP50" s="24"/>
      <c r="MZQ50" s="24"/>
      <c r="MZR50" s="24"/>
      <c r="MZS50" s="24"/>
      <c r="MZT50" s="24"/>
      <c r="MZU50" s="24"/>
      <c r="MZV50" s="24"/>
      <c r="MZW50" s="24"/>
      <c r="MZX50" s="24"/>
      <c r="MZY50" s="24"/>
      <c r="MZZ50" s="24"/>
      <c r="NAA50" s="24"/>
      <c r="NAB50" s="24"/>
      <c r="NAC50" s="24"/>
      <c r="NAD50" s="24"/>
      <c r="NAE50" s="24"/>
      <c r="NAF50" s="24"/>
      <c r="NAG50" s="24"/>
      <c r="NAH50" s="24"/>
      <c r="NAI50" s="24"/>
      <c r="NAJ50" s="24"/>
      <c r="NAK50" s="24"/>
      <c r="NAL50" s="24"/>
      <c r="NAM50" s="24"/>
      <c r="NAN50" s="24"/>
      <c r="NAO50" s="24"/>
      <c r="NAP50" s="24"/>
      <c r="NAQ50" s="24"/>
      <c r="NAR50" s="24"/>
      <c r="NAS50" s="24"/>
      <c r="NAT50" s="24"/>
      <c r="NAU50" s="24"/>
      <c r="NAV50" s="24"/>
      <c r="NAW50" s="24"/>
      <c r="NAX50" s="24"/>
      <c r="NAY50" s="24"/>
      <c r="NAZ50" s="24"/>
      <c r="NBA50" s="24"/>
      <c r="NBB50" s="24"/>
      <c r="NBC50" s="24"/>
      <c r="NBD50" s="24"/>
      <c r="NBE50" s="24"/>
      <c r="NBF50" s="24"/>
      <c r="NBG50" s="24"/>
      <c r="NBH50" s="24"/>
      <c r="NBI50" s="24"/>
      <c r="NBJ50" s="24"/>
      <c r="NBK50" s="24"/>
      <c r="NBL50" s="24"/>
      <c r="NBM50" s="24"/>
      <c r="NBN50" s="24"/>
      <c r="NBO50" s="24"/>
      <c r="NBP50" s="24"/>
      <c r="NBQ50" s="24"/>
      <c r="NBR50" s="24"/>
      <c r="NBS50" s="24"/>
      <c r="NBT50" s="24"/>
      <c r="NBU50" s="24"/>
      <c r="NBV50" s="24"/>
      <c r="NBW50" s="24"/>
      <c r="NBX50" s="24"/>
      <c r="NBY50" s="24"/>
      <c r="NBZ50" s="24"/>
      <c r="NCA50" s="24"/>
      <c r="NCB50" s="24"/>
      <c r="NCC50" s="24"/>
      <c r="NCD50" s="24"/>
      <c r="NCE50" s="24"/>
      <c r="NCF50" s="24"/>
      <c r="NCG50" s="24"/>
      <c r="NCH50" s="24"/>
      <c r="NCI50" s="24"/>
      <c r="NCJ50" s="24"/>
      <c r="NCK50" s="24"/>
      <c r="NCL50" s="24"/>
      <c r="NCM50" s="24"/>
      <c r="NCN50" s="24"/>
      <c r="NCO50" s="24"/>
      <c r="NCP50" s="24"/>
      <c r="NCQ50" s="24"/>
      <c r="NCR50" s="24"/>
      <c r="NCS50" s="24"/>
      <c r="NCT50" s="24"/>
      <c r="NCU50" s="24"/>
      <c r="NCV50" s="24"/>
      <c r="NCW50" s="24"/>
      <c r="NCX50" s="24"/>
      <c r="NCY50" s="24"/>
      <c r="NCZ50" s="24"/>
      <c r="NDA50" s="24"/>
      <c r="NDB50" s="24"/>
      <c r="NDC50" s="24"/>
      <c r="NDD50" s="24"/>
      <c r="NDE50" s="24"/>
      <c r="NDF50" s="24"/>
      <c r="NDG50" s="24"/>
      <c r="NDH50" s="24"/>
      <c r="NDI50" s="24"/>
      <c r="NDJ50" s="24"/>
      <c r="NDK50" s="24"/>
      <c r="NDL50" s="24"/>
      <c r="NDM50" s="24"/>
      <c r="NDN50" s="24"/>
      <c r="NDO50" s="24"/>
      <c r="NDP50" s="24"/>
      <c r="NDQ50" s="24"/>
      <c r="NDR50" s="24"/>
      <c r="NDS50" s="24"/>
      <c r="NDT50" s="24"/>
      <c r="NDU50" s="24"/>
      <c r="NDV50" s="24"/>
      <c r="NDW50" s="24"/>
      <c r="NDX50" s="24"/>
      <c r="NDY50" s="24"/>
      <c r="NDZ50" s="24"/>
      <c r="NEA50" s="24"/>
      <c r="NEB50" s="24"/>
      <c r="NEC50" s="24"/>
      <c r="NED50" s="24"/>
      <c r="NEE50" s="24"/>
      <c r="NEF50" s="24"/>
      <c r="NEG50" s="24"/>
      <c r="NEH50" s="24"/>
      <c r="NEI50" s="24"/>
      <c r="NEJ50" s="24"/>
      <c r="NEK50" s="24"/>
      <c r="NEL50" s="24"/>
      <c r="NEM50" s="24"/>
      <c r="NEN50" s="24"/>
      <c r="NEO50" s="24"/>
      <c r="NEP50" s="24"/>
      <c r="NEQ50" s="24"/>
      <c r="NER50" s="24"/>
      <c r="NES50" s="24"/>
      <c r="NET50" s="24"/>
      <c r="NEU50" s="24"/>
      <c r="NEV50" s="24"/>
      <c r="NEW50" s="24"/>
      <c r="NEX50" s="24"/>
      <c r="NEY50" s="24"/>
      <c r="NEZ50" s="24"/>
      <c r="NFA50" s="24"/>
      <c r="NFB50" s="24"/>
      <c r="NFC50" s="24"/>
      <c r="NFD50" s="24"/>
      <c r="NFE50" s="24"/>
      <c r="NFF50" s="24"/>
      <c r="NFG50" s="24"/>
      <c r="NFH50" s="24"/>
      <c r="NFI50" s="24"/>
      <c r="NFJ50" s="24"/>
      <c r="NFK50" s="24"/>
      <c r="NFL50" s="24"/>
      <c r="NFM50" s="24"/>
      <c r="NFN50" s="24"/>
      <c r="NFO50" s="24"/>
      <c r="NFP50" s="24"/>
      <c r="NFQ50" s="24"/>
      <c r="NFR50" s="24"/>
      <c r="NFS50" s="24"/>
      <c r="NFT50" s="24"/>
      <c r="NFU50" s="24"/>
      <c r="NFV50" s="24"/>
      <c r="NFW50" s="24"/>
      <c r="NFX50" s="24"/>
      <c r="NFY50" s="24"/>
      <c r="NFZ50" s="24"/>
      <c r="NGA50" s="24"/>
      <c r="NGB50" s="24"/>
      <c r="NGC50" s="24"/>
      <c r="NGD50" s="24"/>
      <c r="NGE50" s="24"/>
      <c r="NGF50" s="24"/>
      <c r="NGG50" s="24"/>
      <c r="NGH50" s="24"/>
      <c r="NGI50" s="24"/>
      <c r="NGJ50" s="24"/>
      <c r="NGK50" s="24"/>
      <c r="NGL50" s="24"/>
      <c r="NGM50" s="24"/>
      <c r="NGN50" s="24"/>
      <c r="NGO50" s="24"/>
      <c r="NGP50" s="24"/>
      <c r="NGQ50" s="24"/>
      <c r="NGR50" s="24"/>
      <c r="NGS50" s="24"/>
      <c r="NGT50" s="24"/>
      <c r="NGU50" s="24"/>
      <c r="NGV50" s="24"/>
      <c r="NGW50" s="24"/>
      <c r="NGX50" s="24"/>
      <c r="NGY50" s="24"/>
      <c r="NGZ50" s="24"/>
      <c r="NHA50" s="24"/>
      <c r="NHB50" s="24"/>
      <c r="NHC50" s="24"/>
      <c r="NHD50" s="24"/>
      <c r="NHE50" s="24"/>
      <c r="NHF50" s="24"/>
      <c r="NHG50" s="24"/>
      <c r="NHH50" s="24"/>
      <c r="NHI50" s="24"/>
      <c r="NHJ50" s="24"/>
      <c r="NHK50" s="24"/>
      <c r="NHL50" s="24"/>
      <c r="NHM50" s="24"/>
      <c r="NHN50" s="24"/>
      <c r="NHO50" s="24"/>
      <c r="NHP50" s="24"/>
      <c r="NHQ50" s="24"/>
      <c r="NHR50" s="24"/>
      <c r="NHS50" s="24"/>
      <c r="NHT50" s="24"/>
      <c r="NHU50" s="24"/>
      <c r="NHV50" s="24"/>
      <c r="NHW50" s="24"/>
      <c r="NHX50" s="24"/>
      <c r="NHY50" s="24"/>
      <c r="NHZ50" s="24"/>
      <c r="NIA50" s="24"/>
      <c r="NIB50" s="24"/>
      <c r="NIC50" s="24"/>
      <c r="NID50" s="24"/>
      <c r="NIE50" s="24"/>
      <c r="NIF50" s="24"/>
      <c r="NIG50" s="24"/>
      <c r="NIH50" s="24"/>
      <c r="NII50" s="24"/>
      <c r="NIJ50" s="24"/>
      <c r="NIK50" s="24"/>
      <c r="NIL50" s="24"/>
      <c r="NIM50" s="24"/>
      <c r="NIN50" s="24"/>
      <c r="NIO50" s="24"/>
      <c r="NIP50" s="24"/>
      <c r="NIQ50" s="24"/>
      <c r="NIR50" s="24"/>
      <c r="NIS50" s="24"/>
      <c r="NIT50" s="24"/>
      <c r="NIU50" s="24"/>
      <c r="NIV50" s="24"/>
      <c r="NIW50" s="24"/>
      <c r="NIX50" s="24"/>
      <c r="NIY50" s="24"/>
      <c r="NIZ50" s="24"/>
      <c r="NJA50" s="24"/>
      <c r="NJB50" s="24"/>
      <c r="NJC50" s="24"/>
      <c r="NJD50" s="24"/>
      <c r="NJE50" s="24"/>
      <c r="NJF50" s="24"/>
      <c r="NJG50" s="24"/>
      <c r="NJH50" s="24"/>
      <c r="NJI50" s="24"/>
      <c r="NJJ50" s="24"/>
      <c r="NJK50" s="24"/>
      <c r="NJL50" s="24"/>
      <c r="NJM50" s="24"/>
      <c r="NJN50" s="24"/>
      <c r="NJO50" s="24"/>
      <c r="NJP50" s="24"/>
      <c r="NJQ50" s="24"/>
      <c r="NJR50" s="24"/>
      <c r="NJS50" s="24"/>
      <c r="NJT50" s="24"/>
      <c r="NJU50" s="24"/>
      <c r="NJV50" s="24"/>
      <c r="NJW50" s="24"/>
      <c r="NJX50" s="24"/>
      <c r="NJY50" s="24"/>
      <c r="NJZ50" s="24"/>
      <c r="NKA50" s="24"/>
      <c r="NKB50" s="24"/>
      <c r="NKC50" s="24"/>
      <c r="NKD50" s="24"/>
      <c r="NKE50" s="24"/>
      <c r="NKF50" s="24"/>
      <c r="NKG50" s="24"/>
      <c r="NKH50" s="24"/>
      <c r="NKI50" s="24"/>
      <c r="NKJ50" s="24"/>
      <c r="NKK50" s="24"/>
      <c r="NKL50" s="24"/>
      <c r="NKM50" s="24"/>
      <c r="NKN50" s="24"/>
      <c r="NKO50" s="24"/>
      <c r="NKP50" s="24"/>
      <c r="NKQ50" s="24"/>
      <c r="NKR50" s="24"/>
      <c r="NKS50" s="24"/>
      <c r="NKT50" s="24"/>
      <c r="NKU50" s="24"/>
      <c r="NKV50" s="24"/>
      <c r="NKW50" s="24"/>
      <c r="NKX50" s="24"/>
      <c r="NKY50" s="24"/>
      <c r="NKZ50" s="24"/>
      <c r="NLA50" s="24"/>
      <c r="NLB50" s="24"/>
      <c r="NLC50" s="24"/>
      <c r="NLD50" s="24"/>
      <c r="NLE50" s="24"/>
      <c r="NLF50" s="24"/>
      <c r="NLG50" s="24"/>
      <c r="NLH50" s="24"/>
      <c r="NLI50" s="24"/>
      <c r="NLJ50" s="24"/>
      <c r="NLK50" s="24"/>
      <c r="NLL50" s="24"/>
      <c r="NLM50" s="24"/>
      <c r="NLN50" s="24"/>
      <c r="NLO50" s="24"/>
      <c r="NLP50" s="24"/>
      <c r="NLQ50" s="24"/>
      <c r="NLR50" s="24"/>
      <c r="NLS50" s="24"/>
      <c r="NLT50" s="24"/>
      <c r="NLU50" s="24"/>
      <c r="NLV50" s="24"/>
      <c r="NLW50" s="24"/>
      <c r="NLX50" s="24"/>
      <c r="NLY50" s="24"/>
      <c r="NLZ50" s="24"/>
      <c r="NMA50" s="24"/>
      <c r="NMB50" s="24"/>
      <c r="NMC50" s="24"/>
      <c r="NMD50" s="24"/>
      <c r="NME50" s="24"/>
      <c r="NMF50" s="24"/>
      <c r="NMG50" s="24"/>
      <c r="NMH50" s="24"/>
      <c r="NMI50" s="24"/>
      <c r="NMJ50" s="24"/>
      <c r="NMK50" s="24"/>
      <c r="NML50" s="24"/>
      <c r="NMM50" s="24"/>
      <c r="NMN50" s="24"/>
      <c r="NMO50" s="24"/>
      <c r="NMP50" s="24"/>
      <c r="NMQ50" s="24"/>
      <c r="NMR50" s="24"/>
      <c r="NMS50" s="24"/>
      <c r="NMT50" s="24"/>
      <c r="NMU50" s="24"/>
      <c r="NMV50" s="24"/>
      <c r="NMW50" s="24"/>
      <c r="NMX50" s="24"/>
      <c r="NMY50" s="24"/>
      <c r="NMZ50" s="24"/>
      <c r="NNA50" s="24"/>
      <c r="NNB50" s="24"/>
      <c r="NNC50" s="24"/>
      <c r="NND50" s="24"/>
      <c r="NNE50" s="24"/>
      <c r="NNF50" s="24"/>
      <c r="NNG50" s="24"/>
      <c r="NNH50" s="24"/>
      <c r="NNI50" s="24"/>
      <c r="NNJ50" s="24"/>
      <c r="NNK50" s="24"/>
      <c r="NNL50" s="24"/>
      <c r="NNM50" s="24"/>
      <c r="NNN50" s="24"/>
      <c r="NNO50" s="24"/>
      <c r="NNP50" s="24"/>
      <c r="NNQ50" s="24"/>
      <c r="NNR50" s="24"/>
      <c r="NNS50" s="24"/>
      <c r="NNT50" s="24"/>
      <c r="NNU50" s="24"/>
      <c r="NNV50" s="24"/>
      <c r="NNW50" s="24"/>
      <c r="NNX50" s="24"/>
      <c r="NNY50" s="24"/>
      <c r="NNZ50" s="24"/>
      <c r="NOA50" s="24"/>
      <c r="NOB50" s="24"/>
      <c r="NOC50" s="24"/>
      <c r="NOD50" s="24"/>
      <c r="NOE50" s="24"/>
      <c r="NOF50" s="24"/>
      <c r="NOG50" s="24"/>
      <c r="NOH50" s="24"/>
      <c r="NOI50" s="24"/>
      <c r="NOJ50" s="24"/>
      <c r="NOK50" s="24"/>
      <c r="NOL50" s="24"/>
      <c r="NOM50" s="24"/>
      <c r="NON50" s="24"/>
      <c r="NOO50" s="24"/>
      <c r="NOP50" s="24"/>
      <c r="NOQ50" s="24"/>
      <c r="NOR50" s="24"/>
      <c r="NOS50" s="24"/>
      <c r="NOT50" s="24"/>
      <c r="NOU50" s="24"/>
      <c r="NOV50" s="24"/>
      <c r="NOW50" s="24"/>
      <c r="NOX50" s="24"/>
      <c r="NOY50" s="24"/>
      <c r="NOZ50" s="24"/>
      <c r="NPA50" s="24"/>
      <c r="NPB50" s="24"/>
      <c r="NPC50" s="24"/>
      <c r="NPD50" s="24"/>
      <c r="NPE50" s="24"/>
      <c r="NPF50" s="24"/>
      <c r="NPG50" s="24"/>
      <c r="NPH50" s="24"/>
      <c r="NPI50" s="24"/>
      <c r="NPJ50" s="24"/>
      <c r="NPK50" s="24"/>
      <c r="NPL50" s="24"/>
      <c r="NPM50" s="24"/>
      <c r="NPN50" s="24"/>
      <c r="NPO50" s="24"/>
      <c r="NPP50" s="24"/>
      <c r="NPQ50" s="24"/>
      <c r="NPR50" s="24"/>
      <c r="NPS50" s="24"/>
      <c r="NPT50" s="24"/>
      <c r="NPU50" s="24"/>
      <c r="NPV50" s="24"/>
      <c r="NPW50" s="24"/>
      <c r="NPX50" s="24"/>
      <c r="NPY50" s="24"/>
      <c r="NPZ50" s="24"/>
      <c r="NQA50" s="24"/>
      <c r="NQB50" s="24"/>
      <c r="NQC50" s="24"/>
      <c r="NQD50" s="24"/>
      <c r="NQE50" s="24"/>
      <c r="NQF50" s="24"/>
      <c r="NQG50" s="24"/>
      <c r="NQH50" s="24"/>
      <c r="NQI50" s="24"/>
      <c r="NQJ50" s="24"/>
      <c r="NQK50" s="24"/>
      <c r="NQL50" s="24"/>
      <c r="NQM50" s="24"/>
      <c r="NQN50" s="24"/>
      <c r="NQO50" s="24"/>
      <c r="NQP50" s="24"/>
      <c r="NQQ50" s="24"/>
      <c r="NQR50" s="24"/>
      <c r="NQS50" s="24"/>
      <c r="NQT50" s="24"/>
      <c r="NQU50" s="24"/>
      <c r="NQV50" s="24"/>
      <c r="NQW50" s="24"/>
      <c r="NQX50" s="24"/>
      <c r="NQY50" s="24"/>
      <c r="NQZ50" s="24"/>
      <c r="NRA50" s="24"/>
      <c r="NRB50" s="24"/>
      <c r="NRC50" s="24"/>
      <c r="NRD50" s="24"/>
      <c r="NRE50" s="24"/>
      <c r="NRF50" s="24"/>
      <c r="NRG50" s="24"/>
      <c r="NRH50" s="24"/>
      <c r="NRI50" s="24"/>
      <c r="NRJ50" s="24"/>
      <c r="NRK50" s="24"/>
      <c r="NRL50" s="24"/>
      <c r="NRM50" s="24"/>
      <c r="NRN50" s="24"/>
      <c r="NRO50" s="24"/>
      <c r="NRP50" s="24"/>
      <c r="NRQ50" s="24"/>
      <c r="NRR50" s="24"/>
      <c r="NRS50" s="24"/>
      <c r="NRT50" s="24"/>
      <c r="NRU50" s="24"/>
      <c r="NRV50" s="24"/>
      <c r="NRW50" s="24"/>
      <c r="NRX50" s="24"/>
      <c r="NRY50" s="24"/>
      <c r="NRZ50" s="24"/>
      <c r="NSA50" s="24"/>
      <c r="NSB50" s="24"/>
      <c r="NSC50" s="24"/>
      <c r="NSD50" s="24"/>
      <c r="NSE50" s="24"/>
      <c r="NSF50" s="24"/>
      <c r="NSG50" s="24"/>
      <c r="NSH50" s="24"/>
      <c r="NSI50" s="24"/>
      <c r="NSJ50" s="24"/>
      <c r="NSK50" s="24"/>
      <c r="NSL50" s="24"/>
      <c r="NSM50" s="24"/>
      <c r="NSN50" s="24"/>
      <c r="NSO50" s="24"/>
      <c r="NSP50" s="24"/>
      <c r="NSQ50" s="24"/>
      <c r="NSR50" s="24"/>
      <c r="NSS50" s="24"/>
      <c r="NST50" s="24"/>
      <c r="NSU50" s="24"/>
      <c r="NSV50" s="24"/>
      <c r="NSW50" s="24"/>
      <c r="NSX50" s="24"/>
      <c r="NSY50" s="24"/>
      <c r="NSZ50" s="24"/>
      <c r="NTA50" s="24"/>
      <c r="NTB50" s="24"/>
      <c r="NTC50" s="24"/>
      <c r="NTD50" s="24"/>
      <c r="NTE50" s="24"/>
      <c r="NTF50" s="24"/>
      <c r="NTG50" s="24"/>
      <c r="NTH50" s="24"/>
      <c r="NTI50" s="24"/>
      <c r="NTJ50" s="24"/>
      <c r="NTK50" s="24"/>
      <c r="NTL50" s="24"/>
      <c r="NTM50" s="24"/>
      <c r="NTN50" s="24"/>
      <c r="NTO50" s="24"/>
      <c r="NTP50" s="24"/>
      <c r="NTQ50" s="24"/>
      <c r="NTR50" s="24"/>
      <c r="NTS50" s="24"/>
      <c r="NTT50" s="24"/>
      <c r="NTU50" s="24"/>
      <c r="NTV50" s="24"/>
      <c r="NTW50" s="24"/>
      <c r="NTX50" s="24"/>
      <c r="NTY50" s="24"/>
      <c r="NTZ50" s="24"/>
      <c r="NUA50" s="24"/>
      <c r="NUB50" s="24"/>
      <c r="NUC50" s="24"/>
      <c r="NUD50" s="24"/>
      <c r="NUE50" s="24"/>
      <c r="NUF50" s="24"/>
      <c r="NUG50" s="24"/>
      <c r="NUH50" s="24"/>
      <c r="NUI50" s="24"/>
      <c r="NUJ50" s="24"/>
      <c r="NUK50" s="24"/>
      <c r="NUL50" s="24"/>
      <c r="NUM50" s="24"/>
      <c r="NUN50" s="24"/>
      <c r="NUO50" s="24"/>
      <c r="NUP50" s="24"/>
      <c r="NUQ50" s="24"/>
      <c r="NUR50" s="24"/>
      <c r="NUS50" s="24"/>
      <c r="NUT50" s="24"/>
      <c r="NUU50" s="24"/>
      <c r="NUV50" s="24"/>
      <c r="NUW50" s="24"/>
      <c r="NUX50" s="24"/>
      <c r="NUY50" s="24"/>
      <c r="NUZ50" s="24"/>
      <c r="NVA50" s="24"/>
      <c r="NVB50" s="24"/>
      <c r="NVC50" s="24"/>
      <c r="NVD50" s="24"/>
      <c r="NVE50" s="24"/>
      <c r="NVF50" s="24"/>
      <c r="NVG50" s="24"/>
      <c r="NVH50" s="24"/>
      <c r="NVI50" s="24"/>
      <c r="NVJ50" s="24"/>
      <c r="NVK50" s="24"/>
      <c r="NVL50" s="24"/>
      <c r="NVM50" s="24"/>
      <c r="NVN50" s="24"/>
      <c r="NVO50" s="24"/>
      <c r="NVP50" s="24"/>
      <c r="NVQ50" s="24"/>
      <c r="NVR50" s="24"/>
      <c r="NVS50" s="24"/>
      <c r="NVT50" s="24"/>
      <c r="NVU50" s="24"/>
      <c r="NVV50" s="24"/>
      <c r="NVW50" s="24"/>
      <c r="NVX50" s="24"/>
      <c r="NVY50" s="24"/>
      <c r="NVZ50" s="24"/>
      <c r="NWA50" s="24"/>
      <c r="NWB50" s="24"/>
      <c r="NWC50" s="24"/>
      <c r="NWD50" s="24"/>
      <c r="NWE50" s="24"/>
      <c r="NWF50" s="24"/>
      <c r="NWG50" s="24"/>
      <c r="NWH50" s="24"/>
      <c r="NWI50" s="24"/>
      <c r="NWJ50" s="24"/>
      <c r="NWK50" s="24"/>
      <c r="NWL50" s="24"/>
      <c r="NWM50" s="24"/>
      <c r="NWN50" s="24"/>
      <c r="NWO50" s="24"/>
      <c r="NWP50" s="24"/>
      <c r="NWQ50" s="24"/>
      <c r="NWR50" s="24"/>
      <c r="NWS50" s="24"/>
      <c r="NWT50" s="24"/>
      <c r="NWU50" s="24"/>
      <c r="NWV50" s="24"/>
      <c r="NWW50" s="24"/>
      <c r="NWX50" s="24"/>
      <c r="NWY50" s="24"/>
      <c r="NWZ50" s="24"/>
      <c r="NXA50" s="24"/>
      <c r="NXB50" s="24"/>
      <c r="NXC50" s="24"/>
      <c r="NXD50" s="24"/>
      <c r="NXE50" s="24"/>
      <c r="NXF50" s="24"/>
      <c r="NXG50" s="24"/>
      <c r="NXH50" s="24"/>
      <c r="NXI50" s="24"/>
      <c r="NXJ50" s="24"/>
      <c r="NXK50" s="24"/>
      <c r="NXL50" s="24"/>
      <c r="NXM50" s="24"/>
      <c r="NXN50" s="24"/>
      <c r="NXO50" s="24"/>
      <c r="NXP50" s="24"/>
      <c r="NXQ50" s="24"/>
      <c r="NXR50" s="24"/>
      <c r="NXS50" s="24"/>
      <c r="NXT50" s="24"/>
      <c r="NXU50" s="24"/>
      <c r="NXV50" s="24"/>
      <c r="NXW50" s="24"/>
      <c r="NXX50" s="24"/>
      <c r="NXY50" s="24"/>
      <c r="NXZ50" s="24"/>
      <c r="NYA50" s="24"/>
      <c r="NYB50" s="24"/>
      <c r="NYC50" s="24"/>
      <c r="NYD50" s="24"/>
      <c r="NYE50" s="24"/>
      <c r="NYF50" s="24"/>
      <c r="NYG50" s="24"/>
      <c r="NYH50" s="24"/>
      <c r="NYI50" s="24"/>
      <c r="NYJ50" s="24"/>
      <c r="NYK50" s="24"/>
      <c r="NYL50" s="24"/>
      <c r="NYM50" s="24"/>
      <c r="NYN50" s="24"/>
      <c r="NYO50" s="24"/>
      <c r="NYP50" s="24"/>
      <c r="NYQ50" s="24"/>
      <c r="NYR50" s="24"/>
      <c r="NYS50" s="24"/>
      <c r="NYT50" s="24"/>
      <c r="NYU50" s="24"/>
      <c r="NYV50" s="24"/>
      <c r="NYW50" s="24"/>
      <c r="NYX50" s="24"/>
      <c r="NYY50" s="24"/>
      <c r="NYZ50" s="24"/>
      <c r="NZA50" s="24"/>
      <c r="NZB50" s="24"/>
      <c r="NZC50" s="24"/>
      <c r="NZD50" s="24"/>
      <c r="NZE50" s="24"/>
      <c r="NZF50" s="24"/>
      <c r="NZG50" s="24"/>
      <c r="NZH50" s="24"/>
      <c r="NZI50" s="24"/>
      <c r="NZJ50" s="24"/>
      <c r="NZK50" s="24"/>
      <c r="NZL50" s="24"/>
      <c r="NZM50" s="24"/>
      <c r="NZN50" s="24"/>
      <c r="NZO50" s="24"/>
      <c r="NZP50" s="24"/>
      <c r="NZQ50" s="24"/>
      <c r="NZR50" s="24"/>
      <c r="NZS50" s="24"/>
      <c r="NZT50" s="24"/>
      <c r="NZU50" s="24"/>
      <c r="NZV50" s="24"/>
      <c r="NZW50" s="24"/>
      <c r="NZX50" s="24"/>
      <c r="NZY50" s="24"/>
      <c r="NZZ50" s="24"/>
      <c r="OAA50" s="24"/>
      <c r="OAB50" s="24"/>
      <c r="OAC50" s="24"/>
      <c r="OAD50" s="24"/>
      <c r="OAE50" s="24"/>
      <c r="OAF50" s="24"/>
      <c r="OAG50" s="24"/>
      <c r="OAH50" s="24"/>
      <c r="OAI50" s="24"/>
      <c r="OAJ50" s="24"/>
      <c r="OAK50" s="24"/>
      <c r="OAL50" s="24"/>
      <c r="OAM50" s="24"/>
      <c r="OAN50" s="24"/>
      <c r="OAO50" s="24"/>
      <c r="OAP50" s="24"/>
      <c r="OAQ50" s="24"/>
      <c r="OAR50" s="24"/>
      <c r="OAS50" s="24"/>
      <c r="OAT50" s="24"/>
      <c r="OAU50" s="24"/>
      <c r="OAV50" s="24"/>
      <c r="OAW50" s="24"/>
      <c r="OAX50" s="24"/>
      <c r="OAY50" s="24"/>
      <c r="OAZ50" s="24"/>
      <c r="OBA50" s="24"/>
      <c r="OBB50" s="24"/>
      <c r="OBC50" s="24"/>
      <c r="OBD50" s="24"/>
      <c r="OBE50" s="24"/>
      <c r="OBF50" s="24"/>
      <c r="OBG50" s="24"/>
      <c r="OBH50" s="24"/>
      <c r="OBI50" s="24"/>
      <c r="OBJ50" s="24"/>
      <c r="OBK50" s="24"/>
      <c r="OBL50" s="24"/>
      <c r="OBM50" s="24"/>
      <c r="OBN50" s="24"/>
      <c r="OBO50" s="24"/>
      <c r="OBP50" s="24"/>
      <c r="OBQ50" s="24"/>
      <c r="OBR50" s="24"/>
      <c r="OBS50" s="24"/>
      <c r="OBT50" s="24"/>
      <c r="OBU50" s="24"/>
      <c r="OBV50" s="24"/>
      <c r="OBW50" s="24"/>
      <c r="OBX50" s="24"/>
      <c r="OBY50" s="24"/>
      <c r="OBZ50" s="24"/>
      <c r="OCA50" s="24"/>
      <c r="OCB50" s="24"/>
      <c r="OCC50" s="24"/>
      <c r="OCD50" s="24"/>
      <c r="OCE50" s="24"/>
      <c r="OCF50" s="24"/>
      <c r="OCG50" s="24"/>
      <c r="OCH50" s="24"/>
      <c r="OCI50" s="24"/>
      <c r="OCJ50" s="24"/>
      <c r="OCK50" s="24"/>
      <c r="OCL50" s="24"/>
      <c r="OCM50" s="24"/>
      <c r="OCN50" s="24"/>
      <c r="OCO50" s="24"/>
      <c r="OCP50" s="24"/>
      <c r="OCQ50" s="24"/>
      <c r="OCR50" s="24"/>
      <c r="OCS50" s="24"/>
      <c r="OCT50" s="24"/>
      <c r="OCU50" s="24"/>
      <c r="OCV50" s="24"/>
      <c r="OCW50" s="24"/>
      <c r="OCX50" s="24"/>
      <c r="OCY50" s="24"/>
      <c r="OCZ50" s="24"/>
      <c r="ODA50" s="24"/>
      <c r="ODB50" s="24"/>
      <c r="ODC50" s="24"/>
      <c r="ODD50" s="24"/>
      <c r="ODE50" s="24"/>
      <c r="ODF50" s="24"/>
      <c r="ODG50" s="24"/>
      <c r="ODH50" s="24"/>
      <c r="ODI50" s="24"/>
      <c r="ODJ50" s="24"/>
      <c r="ODK50" s="24"/>
      <c r="ODL50" s="24"/>
      <c r="ODM50" s="24"/>
      <c r="ODN50" s="24"/>
      <c r="ODO50" s="24"/>
      <c r="ODP50" s="24"/>
      <c r="ODQ50" s="24"/>
      <c r="ODR50" s="24"/>
      <c r="ODS50" s="24"/>
      <c r="ODT50" s="24"/>
      <c r="ODU50" s="24"/>
      <c r="ODV50" s="24"/>
      <c r="ODW50" s="24"/>
      <c r="ODX50" s="24"/>
      <c r="ODY50" s="24"/>
      <c r="ODZ50" s="24"/>
      <c r="OEA50" s="24"/>
      <c r="OEB50" s="24"/>
      <c r="OEC50" s="24"/>
      <c r="OED50" s="24"/>
      <c r="OEE50" s="24"/>
      <c r="OEF50" s="24"/>
      <c r="OEG50" s="24"/>
      <c r="OEH50" s="24"/>
      <c r="OEI50" s="24"/>
      <c r="OEJ50" s="24"/>
      <c r="OEK50" s="24"/>
      <c r="OEL50" s="24"/>
      <c r="OEM50" s="24"/>
      <c r="OEN50" s="24"/>
      <c r="OEO50" s="24"/>
      <c r="OEP50" s="24"/>
      <c r="OEQ50" s="24"/>
      <c r="OER50" s="24"/>
      <c r="OES50" s="24"/>
      <c r="OET50" s="24"/>
      <c r="OEU50" s="24"/>
      <c r="OEV50" s="24"/>
      <c r="OEW50" s="24"/>
      <c r="OEX50" s="24"/>
      <c r="OEY50" s="24"/>
      <c r="OEZ50" s="24"/>
      <c r="OFA50" s="24"/>
      <c r="OFB50" s="24"/>
      <c r="OFC50" s="24"/>
      <c r="OFD50" s="24"/>
      <c r="OFE50" s="24"/>
      <c r="OFF50" s="24"/>
      <c r="OFG50" s="24"/>
      <c r="OFH50" s="24"/>
      <c r="OFI50" s="24"/>
      <c r="OFJ50" s="24"/>
      <c r="OFK50" s="24"/>
      <c r="OFL50" s="24"/>
      <c r="OFM50" s="24"/>
      <c r="OFN50" s="24"/>
      <c r="OFO50" s="24"/>
      <c r="OFP50" s="24"/>
      <c r="OFQ50" s="24"/>
      <c r="OFR50" s="24"/>
      <c r="OFS50" s="24"/>
      <c r="OFT50" s="24"/>
      <c r="OFU50" s="24"/>
      <c r="OFV50" s="24"/>
      <c r="OFW50" s="24"/>
      <c r="OFX50" s="24"/>
      <c r="OFY50" s="24"/>
      <c r="OFZ50" s="24"/>
      <c r="OGA50" s="24"/>
      <c r="OGB50" s="24"/>
      <c r="OGC50" s="24"/>
      <c r="OGD50" s="24"/>
      <c r="OGE50" s="24"/>
      <c r="OGF50" s="24"/>
      <c r="OGG50" s="24"/>
      <c r="OGH50" s="24"/>
      <c r="OGI50" s="24"/>
      <c r="OGJ50" s="24"/>
      <c r="OGK50" s="24"/>
      <c r="OGL50" s="24"/>
      <c r="OGM50" s="24"/>
      <c r="OGN50" s="24"/>
      <c r="OGO50" s="24"/>
      <c r="OGP50" s="24"/>
      <c r="OGQ50" s="24"/>
      <c r="OGR50" s="24"/>
      <c r="OGS50" s="24"/>
      <c r="OGT50" s="24"/>
      <c r="OGU50" s="24"/>
      <c r="OGV50" s="24"/>
      <c r="OGW50" s="24"/>
      <c r="OGX50" s="24"/>
      <c r="OGY50" s="24"/>
      <c r="OGZ50" s="24"/>
      <c r="OHA50" s="24"/>
      <c r="OHB50" s="24"/>
      <c r="OHC50" s="24"/>
      <c r="OHD50" s="24"/>
      <c r="OHE50" s="24"/>
      <c r="OHF50" s="24"/>
      <c r="OHG50" s="24"/>
      <c r="OHH50" s="24"/>
      <c r="OHI50" s="24"/>
      <c r="OHJ50" s="24"/>
      <c r="OHK50" s="24"/>
      <c r="OHL50" s="24"/>
      <c r="OHM50" s="24"/>
      <c r="OHN50" s="24"/>
      <c r="OHO50" s="24"/>
      <c r="OHP50" s="24"/>
      <c r="OHQ50" s="24"/>
      <c r="OHR50" s="24"/>
      <c r="OHS50" s="24"/>
      <c r="OHT50" s="24"/>
      <c r="OHU50" s="24"/>
      <c r="OHV50" s="24"/>
      <c r="OHW50" s="24"/>
      <c r="OHX50" s="24"/>
      <c r="OHY50" s="24"/>
      <c r="OHZ50" s="24"/>
      <c r="OIA50" s="24"/>
      <c r="OIB50" s="24"/>
      <c r="OIC50" s="24"/>
      <c r="OID50" s="24"/>
      <c r="OIE50" s="24"/>
      <c r="OIF50" s="24"/>
      <c r="OIG50" s="24"/>
      <c r="OIH50" s="24"/>
      <c r="OII50" s="24"/>
      <c r="OIJ50" s="24"/>
      <c r="OIK50" s="24"/>
      <c r="OIL50" s="24"/>
      <c r="OIM50" s="24"/>
      <c r="OIN50" s="24"/>
      <c r="OIO50" s="24"/>
      <c r="OIP50" s="24"/>
      <c r="OIQ50" s="24"/>
      <c r="OIR50" s="24"/>
      <c r="OIS50" s="24"/>
      <c r="OIT50" s="24"/>
      <c r="OIU50" s="24"/>
      <c r="OIV50" s="24"/>
      <c r="OIW50" s="24"/>
      <c r="OIX50" s="24"/>
      <c r="OIY50" s="24"/>
      <c r="OIZ50" s="24"/>
      <c r="OJA50" s="24"/>
      <c r="OJB50" s="24"/>
      <c r="OJC50" s="24"/>
      <c r="OJD50" s="24"/>
      <c r="OJE50" s="24"/>
      <c r="OJF50" s="24"/>
      <c r="OJG50" s="24"/>
      <c r="OJH50" s="24"/>
      <c r="OJI50" s="24"/>
      <c r="OJJ50" s="24"/>
      <c r="OJK50" s="24"/>
      <c r="OJL50" s="24"/>
      <c r="OJM50" s="24"/>
      <c r="OJN50" s="24"/>
      <c r="OJO50" s="24"/>
      <c r="OJP50" s="24"/>
      <c r="OJQ50" s="24"/>
      <c r="OJR50" s="24"/>
      <c r="OJS50" s="24"/>
      <c r="OJT50" s="24"/>
      <c r="OJU50" s="24"/>
      <c r="OJV50" s="24"/>
      <c r="OJW50" s="24"/>
      <c r="OJX50" s="24"/>
      <c r="OJY50" s="24"/>
      <c r="OJZ50" s="24"/>
      <c r="OKA50" s="24"/>
      <c r="OKB50" s="24"/>
      <c r="OKC50" s="24"/>
      <c r="OKD50" s="24"/>
      <c r="OKE50" s="24"/>
      <c r="OKF50" s="24"/>
      <c r="OKG50" s="24"/>
      <c r="OKH50" s="24"/>
      <c r="OKI50" s="24"/>
      <c r="OKJ50" s="24"/>
      <c r="OKK50" s="24"/>
      <c r="OKL50" s="24"/>
      <c r="OKM50" s="24"/>
      <c r="OKN50" s="24"/>
      <c r="OKO50" s="24"/>
      <c r="OKP50" s="24"/>
      <c r="OKQ50" s="24"/>
      <c r="OKR50" s="24"/>
      <c r="OKS50" s="24"/>
      <c r="OKT50" s="24"/>
      <c r="OKU50" s="24"/>
      <c r="OKV50" s="24"/>
      <c r="OKW50" s="24"/>
      <c r="OKX50" s="24"/>
      <c r="OKY50" s="24"/>
      <c r="OKZ50" s="24"/>
      <c r="OLA50" s="24"/>
      <c r="OLB50" s="24"/>
      <c r="OLC50" s="24"/>
      <c r="OLD50" s="24"/>
      <c r="OLE50" s="24"/>
      <c r="OLF50" s="24"/>
      <c r="OLG50" s="24"/>
      <c r="OLH50" s="24"/>
      <c r="OLI50" s="24"/>
      <c r="OLJ50" s="24"/>
      <c r="OLK50" s="24"/>
      <c r="OLL50" s="24"/>
      <c r="OLM50" s="24"/>
      <c r="OLN50" s="24"/>
      <c r="OLO50" s="24"/>
      <c r="OLP50" s="24"/>
      <c r="OLQ50" s="24"/>
      <c r="OLR50" s="24"/>
      <c r="OLS50" s="24"/>
      <c r="OLT50" s="24"/>
      <c r="OLU50" s="24"/>
      <c r="OLV50" s="24"/>
      <c r="OLW50" s="24"/>
      <c r="OLX50" s="24"/>
      <c r="OLY50" s="24"/>
      <c r="OLZ50" s="24"/>
      <c r="OMA50" s="24"/>
      <c r="OMB50" s="24"/>
      <c r="OMC50" s="24"/>
      <c r="OMD50" s="24"/>
      <c r="OME50" s="24"/>
      <c r="OMF50" s="24"/>
      <c r="OMG50" s="24"/>
      <c r="OMH50" s="24"/>
      <c r="OMI50" s="24"/>
      <c r="OMJ50" s="24"/>
      <c r="OMK50" s="24"/>
      <c r="OML50" s="24"/>
      <c r="OMM50" s="24"/>
      <c r="OMN50" s="24"/>
      <c r="OMO50" s="24"/>
      <c r="OMP50" s="24"/>
      <c r="OMQ50" s="24"/>
      <c r="OMR50" s="24"/>
      <c r="OMS50" s="24"/>
      <c r="OMT50" s="24"/>
      <c r="OMU50" s="24"/>
      <c r="OMV50" s="24"/>
      <c r="OMW50" s="24"/>
      <c r="OMX50" s="24"/>
      <c r="OMY50" s="24"/>
      <c r="OMZ50" s="24"/>
      <c r="ONA50" s="24"/>
      <c r="ONB50" s="24"/>
      <c r="ONC50" s="24"/>
      <c r="OND50" s="24"/>
      <c r="ONE50" s="24"/>
      <c r="ONF50" s="24"/>
      <c r="ONG50" s="24"/>
      <c r="ONH50" s="24"/>
      <c r="ONI50" s="24"/>
      <c r="ONJ50" s="24"/>
      <c r="ONK50" s="24"/>
      <c r="ONL50" s="24"/>
      <c r="ONM50" s="24"/>
      <c r="ONN50" s="24"/>
      <c r="ONO50" s="24"/>
      <c r="ONP50" s="24"/>
      <c r="ONQ50" s="24"/>
      <c r="ONR50" s="24"/>
      <c r="ONS50" s="24"/>
      <c r="ONT50" s="24"/>
      <c r="ONU50" s="24"/>
      <c r="ONV50" s="24"/>
      <c r="ONW50" s="24"/>
      <c r="ONX50" s="24"/>
      <c r="ONY50" s="24"/>
      <c r="ONZ50" s="24"/>
      <c r="OOA50" s="24"/>
      <c r="OOB50" s="24"/>
      <c r="OOC50" s="24"/>
      <c r="OOD50" s="24"/>
      <c r="OOE50" s="24"/>
      <c r="OOF50" s="24"/>
      <c r="OOG50" s="24"/>
      <c r="OOH50" s="24"/>
      <c r="OOI50" s="24"/>
      <c r="OOJ50" s="24"/>
      <c r="OOK50" s="24"/>
      <c r="OOL50" s="24"/>
      <c r="OOM50" s="24"/>
      <c r="OON50" s="24"/>
      <c r="OOO50" s="24"/>
      <c r="OOP50" s="24"/>
      <c r="OOQ50" s="24"/>
      <c r="OOR50" s="24"/>
      <c r="OOS50" s="24"/>
      <c r="OOT50" s="24"/>
      <c r="OOU50" s="24"/>
      <c r="OOV50" s="24"/>
      <c r="OOW50" s="24"/>
      <c r="OOX50" s="24"/>
      <c r="OOY50" s="24"/>
      <c r="OOZ50" s="24"/>
      <c r="OPA50" s="24"/>
      <c r="OPB50" s="24"/>
      <c r="OPC50" s="24"/>
      <c r="OPD50" s="24"/>
      <c r="OPE50" s="24"/>
      <c r="OPF50" s="24"/>
      <c r="OPG50" s="24"/>
      <c r="OPH50" s="24"/>
      <c r="OPI50" s="24"/>
      <c r="OPJ50" s="24"/>
      <c r="OPK50" s="24"/>
      <c r="OPL50" s="24"/>
      <c r="OPM50" s="24"/>
      <c r="OPN50" s="24"/>
      <c r="OPO50" s="24"/>
      <c r="OPP50" s="24"/>
      <c r="OPQ50" s="24"/>
      <c r="OPR50" s="24"/>
      <c r="OPS50" s="24"/>
      <c r="OPT50" s="24"/>
      <c r="OPU50" s="24"/>
      <c r="OPV50" s="24"/>
      <c r="OPW50" s="24"/>
      <c r="OPX50" s="24"/>
      <c r="OPY50" s="24"/>
      <c r="OPZ50" s="24"/>
      <c r="OQA50" s="24"/>
      <c r="OQB50" s="24"/>
      <c r="OQC50" s="24"/>
      <c r="OQD50" s="24"/>
      <c r="OQE50" s="24"/>
      <c r="OQF50" s="24"/>
      <c r="OQG50" s="24"/>
      <c r="OQH50" s="24"/>
      <c r="OQI50" s="24"/>
      <c r="OQJ50" s="24"/>
      <c r="OQK50" s="24"/>
      <c r="OQL50" s="24"/>
      <c r="OQM50" s="24"/>
      <c r="OQN50" s="24"/>
      <c r="OQO50" s="24"/>
      <c r="OQP50" s="24"/>
      <c r="OQQ50" s="24"/>
      <c r="OQR50" s="24"/>
      <c r="OQS50" s="24"/>
      <c r="OQT50" s="24"/>
      <c r="OQU50" s="24"/>
      <c r="OQV50" s="24"/>
      <c r="OQW50" s="24"/>
      <c r="OQX50" s="24"/>
      <c r="OQY50" s="24"/>
      <c r="OQZ50" s="24"/>
      <c r="ORA50" s="24"/>
      <c r="ORB50" s="24"/>
      <c r="ORC50" s="24"/>
      <c r="ORD50" s="24"/>
      <c r="ORE50" s="24"/>
      <c r="ORF50" s="24"/>
      <c r="ORG50" s="24"/>
      <c r="ORH50" s="24"/>
      <c r="ORI50" s="24"/>
      <c r="ORJ50" s="24"/>
      <c r="ORK50" s="24"/>
      <c r="ORL50" s="24"/>
      <c r="ORM50" s="24"/>
      <c r="ORN50" s="24"/>
      <c r="ORO50" s="24"/>
      <c r="ORP50" s="24"/>
      <c r="ORQ50" s="24"/>
      <c r="ORR50" s="24"/>
      <c r="ORS50" s="24"/>
      <c r="ORT50" s="24"/>
      <c r="ORU50" s="24"/>
      <c r="ORV50" s="24"/>
      <c r="ORW50" s="24"/>
      <c r="ORX50" s="24"/>
      <c r="ORY50" s="24"/>
      <c r="ORZ50" s="24"/>
      <c r="OSA50" s="24"/>
      <c r="OSB50" s="24"/>
      <c r="OSC50" s="24"/>
      <c r="OSD50" s="24"/>
      <c r="OSE50" s="24"/>
      <c r="OSF50" s="24"/>
      <c r="OSG50" s="24"/>
      <c r="OSH50" s="24"/>
      <c r="OSI50" s="24"/>
      <c r="OSJ50" s="24"/>
      <c r="OSK50" s="24"/>
      <c r="OSL50" s="24"/>
      <c r="OSM50" s="24"/>
      <c r="OSN50" s="24"/>
      <c r="OSO50" s="24"/>
      <c r="OSP50" s="24"/>
      <c r="OSQ50" s="24"/>
      <c r="OSR50" s="24"/>
      <c r="OSS50" s="24"/>
      <c r="OST50" s="24"/>
      <c r="OSU50" s="24"/>
      <c r="OSV50" s="24"/>
      <c r="OSW50" s="24"/>
      <c r="OSX50" s="24"/>
      <c r="OSY50" s="24"/>
      <c r="OSZ50" s="24"/>
      <c r="OTA50" s="24"/>
      <c r="OTB50" s="24"/>
      <c r="OTC50" s="24"/>
      <c r="OTD50" s="24"/>
      <c r="OTE50" s="24"/>
      <c r="OTF50" s="24"/>
      <c r="OTG50" s="24"/>
      <c r="OTH50" s="24"/>
      <c r="OTI50" s="24"/>
      <c r="OTJ50" s="24"/>
      <c r="OTK50" s="24"/>
      <c r="OTL50" s="24"/>
      <c r="OTM50" s="24"/>
      <c r="OTN50" s="24"/>
      <c r="OTO50" s="24"/>
      <c r="OTP50" s="24"/>
      <c r="OTQ50" s="24"/>
      <c r="OTR50" s="24"/>
      <c r="OTS50" s="24"/>
      <c r="OTT50" s="24"/>
      <c r="OTU50" s="24"/>
      <c r="OTV50" s="24"/>
      <c r="OTW50" s="24"/>
      <c r="OTX50" s="24"/>
      <c r="OTY50" s="24"/>
      <c r="OTZ50" s="24"/>
      <c r="OUA50" s="24"/>
      <c r="OUB50" s="24"/>
      <c r="OUC50" s="24"/>
      <c r="OUD50" s="24"/>
      <c r="OUE50" s="24"/>
      <c r="OUF50" s="24"/>
      <c r="OUG50" s="24"/>
      <c r="OUH50" s="24"/>
      <c r="OUI50" s="24"/>
      <c r="OUJ50" s="24"/>
      <c r="OUK50" s="24"/>
      <c r="OUL50" s="24"/>
      <c r="OUM50" s="24"/>
      <c r="OUN50" s="24"/>
      <c r="OUO50" s="24"/>
      <c r="OUP50" s="24"/>
      <c r="OUQ50" s="24"/>
      <c r="OUR50" s="24"/>
      <c r="OUS50" s="24"/>
      <c r="OUT50" s="24"/>
      <c r="OUU50" s="24"/>
      <c r="OUV50" s="24"/>
      <c r="OUW50" s="24"/>
      <c r="OUX50" s="24"/>
      <c r="OUY50" s="24"/>
      <c r="OUZ50" s="24"/>
      <c r="OVA50" s="24"/>
      <c r="OVB50" s="24"/>
      <c r="OVC50" s="24"/>
      <c r="OVD50" s="24"/>
      <c r="OVE50" s="24"/>
      <c r="OVF50" s="24"/>
      <c r="OVG50" s="24"/>
      <c r="OVH50" s="24"/>
      <c r="OVI50" s="24"/>
      <c r="OVJ50" s="24"/>
      <c r="OVK50" s="24"/>
      <c r="OVL50" s="24"/>
      <c r="OVM50" s="24"/>
      <c r="OVN50" s="24"/>
      <c r="OVO50" s="24"/>
      <c r="OVP50" s="24"/>
      <c r="OVQ50" s="24"/>
      <c r="OVR50" s="24"/>
      <c r="OVS50" s="24"/>
      <c r="OVT50" s="24"/>
      <c r="OVU50" s="24"/>
      <c r="OVV50" s="24"/>
      <c r="OVW50" s="24"/>
      <c r="OVX50" s="24"/>
      <c r="OVY50" s="24"/>
      <c r="OVZ50" s="24"/>
      <c r="OWA50" s="24"/>
      <c r="OWB50" s="24"/>
      <c r="OWC50" s="24"/>
      <c r="OWD50" s="24"/>
      <c r="OWE50" s="24"/>
      <c r="OWF50" s="24"/>
      <c r="OWG50" s="24"/>
      <c r="OWH50" s="24"/>
      <c r="OWI50" s="24"/>
      <c r="OWJ50" s="24"/>
      <c r="OWK50" s="24"/>
      <c r="OWL50" s="24"/>
      <c r="OWM50" s="24"/>
      <c r="OWN50" s="24"/>
      <c r="OWO50" s="24"/>
      <c r="OWP50" s="24"/>
      <c r="OWQ50" s="24"/>
      <c r="OWR50" s="24"/>
      <c r="OWS50" s="24"/>
      <c r="OWT50" s="24"/>
      <c r="OWU50" s="24"/>
      <c r="OWV50" s="24"/>
      <c r="OWW50" s="24"/>
      <c r="OWX50" s="24"/>
      <c r="OWY50" s="24"/>
      <c r="OWZ50" s="24"/>
      <c r="OXA50" s="24"/>
      <c r="OXB50" s="24"/>
      <c r="OXC50" s="24"/>
      <c r="OXD50" s="24"/>
      <c r="OXE50" s="24"/>
      <c r="OXF50" s="24"/>
      <c r="OXG50" s="24"/>
      <c r="OXH50" s="24"/>
      <c r="OXI50" s="24"/>
      <c r="OXJ50" s="24"/>
      <c r="OXK50" s="24"/>
      <c r="OXL50" s="24"/>
      <c r="OXM50" s="24"/>
      <c r="OXN50" s="24"/>
      <c r="OXO50" s="24"/>
      <c r="OXP50" s="24"/>
      <c r="OXQ50" s="24"/>
      <c r="OXR50" s="24"/>
      <c r="OXS50" s="24"/>
      <c r="OXT50" s="24"/>
      <c r="OXU50" s="24"/>
      <c r="OXV50" s="24"/>
      <c r="OXW50" s="24"/>
      <c r="OXX50" s="24"/>
      <c r="OXY50" s="24"/>
      <c r="OXZ50" s="24"/>
      <c r="OYA50" s="24"/>
      <c r="OYB50" s="24"/>
      <c r="OYC50" s="24"/>
      <c r="OYD50" s="24"/>
      <c r="OYE50" s="24"/>
      <c r="OYF50" s="24"/>
      <c r="OYG50" s="24"/>
      <c r="OYH50" s="24"/>
      <c r="OYI50" s="24"/>
      <c r="OYJ50" s="24"/>
      <c r="OYK50" s="24"/>
      <c r="OYL50" s="24"/>
      <c r="OYM50" s="24"/>
      <c r="OYN50" s="24"/>
      <c r="OYO50" s="24"/>
      <c r="OYP50" s="24"/>
      <c r="OYQ50" s="24"/>
      <c r="OYR50" s="24"/>
      <c r="OYS50" s="24"/>
      <c r="OYT50" s="24"/>
      <c r="OYU50" s="24"/>
      <c r="OYV50" s="24"/>
      <c r="OYW50" s="24"/>
      <c r="OYX50" s="24"/>
      <c r="OYY50" s="24"/>
      <c r="OYZ50" s="24"/>
      <c r="OZA50" s="24"/>
      <c r="OZB50" s="24"/>
      <c r="OZC50" s="24"/>
      <c r="OZD50" s="24"/>
      <c r="OZE50" s="24"/>
      <c r="OZF50" s="24"/>
      <c r="OZG50" s="24"/>
      <c r="OZH50" s="24"/>
      <c r="OZI50" s="24"/>
      <c r="OZJ50" s="24"/>
      <c r="OZK50" s="24"/>
      <c r="OZL50" s="24"/>
      <c r="OZM50" s="24"/>
      <c r="OZN50" s="24"/>
      <c r="OZO50" s="24"/>
      <c r="OZP50" s="24"/>
      <c r="OZQ50" s="24"/>
      <c r="OZR50" s="24"/>
      <c r="OZS50" s="24"/>
      <c r="OZT50" s="24"/>
      <c r="OZU50" s="24"/>
      <c r="OZV50" s="24"/>
      <c r="OZW50" s="24"/>
      <c r="OZX50" s="24"/>
      <c r="OZY50" s="24"/>
      <c r="OZZ50" s="24"/>
      <c r="PAA50" s="24"/>
      <c r="PAB50" s="24"/>
      <c r="PAC50" s="24"/>
      <c r="PAD50" s="24"/>
      <c r="PAE50" s="24"/>
      <c r="PAF50" s="24"/>
      <c r="PAG50" s="24"/>
      <c r="PAH50" s="24"/>
      <c r="PAI50" s="24"/>
      <c r="PAJ50" s="24"/>
      <c r="PAK50" s="24"/>
      <c r="PAL50" s="24"/>
      <c r="PAM50" s="24"/>
      <c r="PAN50" s="24"/>
      <c r="PAO50" s="24"/>
      <c r="PAP50" s="24"/>
      <c r="PAQ50" s="24"/>
      <c r="PAR50" s="24"/>
      <c r="PAS50" s="24"/>
      <c r="PAT50" s="24"/>
      <c r="PAU50" s="24"/>
      <c r="PAV50" s="24"/>
      <c r="PAW50" s="24"/>
      <c r="PAX50" s="24"/>
      <c r="PAY50" s="24"/>
      <c r="PAZ50" s="24"/>
      <c r="PBA50" s="24"/>
      <c r="PBB50" s="24"/>
      <c r="PBC50" s="24"/>
      <c r="PBD50" s="24"/>
      <c r="PBE50" s="24"/>
      <c r="PBF50" s="24"/>
      <c r="PBG50" s="24"/>
      <c r="PBH50" s="24"/>
      <c r="PBI50" s="24"/>
      <c r="PBJ50" s="24"/>
      <c r="PBK50" s="24"/>
      <c r="PBL50" s="24"/>
      <c r="PBM50" s="24"/>
      <c r="PBN50" s="24"/>
      <c r="PBO50" s="24"/>
      <c r="PBP50" s="24"/>
      <c r="PBQ50" s="24"/>
      <c r="PBR50" s="24"/>
      <c r="PBS50" s="24"/>
      <c r="PBT50" s="24"/>
      <c r="PBU50" s="24"/>
      <c r="PBV50" s="24"/>
      <c r="PBW50" s="24"/>
      <c r="PBX50" s="24"/>
      <c r="PBY50" s="24"/>
      <c r="PBZ50" s="24"/>
      <c r="PCA50" s="24"/>
      <c r="PCB50" s="24"/>
      <c r="PCC50" s="24"/>
      <c r="PCD50" s="24"/>
      <c r="PCE50" s="24"/>
      <c r="PCF50" s="24"/>
      <c r="PCG50" s="24"/>
      <c r="PCH50" s="24"/>
      <c r="PCI50" s="24"/>
      <c r="PCJ50" s="24"/>
      <c r="PCK50" s="24"/>
      <c r="PCL50" s="24"/>
      <c r="PCM50" s="24"/>
      <c r="PCN50" s="24"/>
      <c r="PCO50" s="24"/>
      <c r="PCP50" s="24"/>
      <c r="PCQ50" s="24"/>
      <c r="PCR50" s="24"/>
      <c r="PCS50" s="24"/>
      <c r="PCT50" s="24"/>
      <c r="PCU50" s="24"/>
      <c r="PCV50" s="24"/>
      <c r="PCW50" s="24"/>
      <c r="PCX50" s="24"/>
      <c r="PCY50" s="24"/>
      <c r="PCZ50" s="24"/>
      <c r="PDA50" s="24"/>
      <c r="PDB50" s="24"/>
      <c r="PDC50" s="24"/>
      <c r="PDD50" s="24"/>
      <c r="PDE50" s="24"/>
      <c r="PDF50" s="24"/>
      <c r="PDG50" s="24"/>
      <c r="PDH50" s="24"/>
      <c r="PDI50" s="24"/>
      <c r="PDJ50" s="24"/>
      <c r="PDK50" s="24"/>
      <c r="PDL50" s="24"/>
      <c r="PDM50" s="24"/>
      <c r="PDN50" s="24"/>
      <c r="PDO50" s="24"/>
      <c r="PDP50" s="24"/>
      <c r="PDQ50" s="24"/>
      <c r="PDR50" s="24"/>
      <c r="PDS50" s="24"/>
      <c r="PDT50" s="24"/>
      <c r="PDU50" s="24"/>
      <c r="PDV50" s="24"/>
      <c r="PDW50" s="24"/>
      <c r="PDX50" s="24"/>
      <c r="PDY50" s="24"/>
      <c r="PDZ50" s="24"/>
      <c r="PEA50" s="24"/>
      <c r="PEB50" s="24"/>
      <c r="PEC50" s="24"/>
      <c r="PED50" s="24"/>
      <c r="PEE50" s="24"/>
      <c r="PEF50" s="24"/>
      <c r="PEG50" s="24"/>
      <c r="PEH50" s="24"/>
      <c r="PEI50" s="24"/>
      <c r="PEJ50" s="24"/>
      <c r="PEK50" s="24"/>
      <c r="PEL50" s="24"/>
      <c r="PEM50" s="24"/>
      <c r="PEN50" s="24"/>
      <c r="PEO50" s="24"/>
      <c r="PEP50" s="24"/>
      <c r="PEQ50" s="24"/>
      <c r="PER50" s="24"/>
      <c r="PES50" s="24"/>
      <c r="PET50" s="24"/>
      <c r="PEU50" s="24"/>
      <c r="PEV50" s="24"/>
      <c r="PEW50" s="24"/>
      <c r="PEX50" s="24"/>
      <c r="PEY50" s="24"/>
      <c r="PEZ50" s="24"/>
      <c r="PFA50" s="24"/>
      <c r="PFB50" s="24"/>
      <c r="PFC50" s="24"/>
      <c r="PFD50" s="24"/>
      <c r="PFE50" s="24"/>
      <c r="PFF50" s="24"/>
      <c r="PFG50" s="24"/>
      <c r="PFH50" s="24"/>
      <c r="PFI50" s="24"/>
      <c r="PFJ50" s="24"/>
      <c r="PFK50" s="24"/>
      <c r="PFL50" s="24"/>
      <c r="PFM50" s="24"/>
      <c r="PFN50" s="24"/>
      <c r="PFO50" s="24"/>
      <c r="PFP50" s="24"/>
      <c r="PFQ50" s="24"/>
      <c r="PFR50" s="24"/>
      <c r="PFS50" s="24"/>
      <c r="PFT50" s="24"/>
      <c r="PFU50" s="24"/>
      <c r="PFV50" s="24"/>
      <c r="PFW50" s="24"/>
      <c r="PFX50" s="24"/>
      <c r="PFY50" s="24"/>
      <c r="PFZ50" s="24"/>
      <c r="PGA50" s="24"/>
      <c r="PGB50" s="24"/>
      <c r="PGC50" s="24"/>
      <c r="PGD50" s="24"/>
      <c r="PGE50" s="24"/>
      <c r="PGF50" s="24"/>
      <c r="PGG50" s="24"/>
      <c r="PGH50" s="24"/>
      <c r="PGI50" s="24"/>
      <c r="PGJ50" s="24"/>
      <c r="PGK50" s="24"/>
      <c r="PGL50" s="24"/>
      <c r="PGM50" s="24"/>
      <c r="PGN50" s="24"/>
      <c r="PGO50" s="24"/>
      <c r="PGP50" s="24"/>
      <c r="PGQ50" s="24"/>
      <c r="PGR50" s="24"/>
      <c r="PGS50" s="24"/>
      <c r="PGT50" s="24"/>
      <c r="PGU50" s="24"/>
      <c r="PGV50" s="24"/>
      <c r="PGW50" s="24"/>
      <c r="PGX50" s="24"/>
      <c r="PGY50" s="24"/>
      <c r="PGZ50" s="24"/>
      <c r="PHA50" s="24"/>
      <c r="PHB50" s="24"/>
      <c r="PHC50" s="24"/>
      <c r="PHD50" s="24"/>
      <c r="PHE50" s="24"/>
      <c r="PHF50" s="24"/>
      <c r="PHG50" s="24"/>
      <c r="PHH50" s="24"/>
      <c r="PHI50" s="24"/>
      <c r="PHJ50" s="24"/>
      <c r="PHK50" s="24"/>
      <c r="PHL50" s="24"/>
      <c r="PHM50" s="24"/>
      <c r="PHN50" s="24"/>
      <c r="PHO50" s="24"/>
      <c r="PHP50" s="24"/>
      <c r="PHQ50" s="24"/>
      <c r="PHR50" s="24"/>
      <c r="PHS50" s="24"/>
      <c r="PHT50" s="24"/>
      <c r="PHU50" s="24"/>
      <c r="PHV50" s="24"/>
      <c r="PHW50" s="24"/>
      <c r="PHX50" s="24"/>
      <c r="PHY50" s="24"/>
      <c r="PHZ50" s="24"/>
      <c r="PIA50" s="24"/>
      <c r="PIB50" s="24"/>
      <c r="PIC50" s="24"/>
      <c r="PID50" s="24"/>
      <c r="PIE50" s="24"/>
      <c r="PIF50" s="24"/>
      <c r="PIG50" s="24"/>
      <c r="PIH50" s="24"/>
      <c r="PII50" s="24"/>
      <c r="PIJ50" s="24"/>
      <c r="PIK50" s="24"/>
      <c r="PIL50" s="24"/>
      <c r="PIM50" s="24"/>
      <c r="PIN50" s="24"/>
      <c r="PIO50" s="24"/>
      <c r="PIP50" s="24"/>
      <c r="PIQ50" s="24"/>
      <c r="PIR50" s="24"/>
      <c r="PIS50" s="24"/>
      <c r="PIT50" s="24"/>
      <c r="PIU50" s="24"/>
      <c r="PIV50" s="24"/>
      <c r="PIW50" s="24"/>
      <c r="PIX50" s="24"/>
      <c r="PIY50" s="24"/>
      <c r="PIZ50" s="24"/>
      <c r="PJA50" s="24"/>
      <c r="PJB50" s="24"/>
      <c r="PJC50" s="24"/>
      <c r="PJD50" s="24"/>
      <c r="PJE50" s="24"/>
      <c r="PJF50" s="24"/>
      <c r="PJG50" s="24"/>
      <c r="PJH50" s="24"/>
      <c r="PJI50" s="24"/>
      <c r="PJJ50" s="24"/>
      <c r="PJK50" s="24"/>
      <c r="PJL50" s="24"/>
      <c r="PJM50" s="24"/>
      <c r="PJN50" s="24"/>
      <c r="PJO50" s="24"/>
      <c r="PJP50" s="24"/>
      <c r="PJQ50" s="24"/>
      <c r="PJR50" s="24"/>
      <c r="PJS50" s="24"/>
      <c r="PJT50" s="24"/>
      <c r="PJU50" s="24"/>
      <c r="PJV50" s="24"/>
      <c r="PJW50" s="24"/>
      <c r="PJX50" s="24"/>
      <c r="PJY50" s="24"/>
      <c r="PJZ50" s="24"/>
      <c r="PKA50" s="24"/>
      <c r="PKB50" s="24"/>
      <c r="PKC50" s="24"/>
      <c r="PKD50" s="24"/>
      <c r="PKE50" s="24"/>
      <c r="PKF50" s="24"/>
      <c r="PKG50" s="24"/>
      <c r="PKH50" s="24"/>
      <c r="PKI50" s="24"/>
      <c r="PKJ50" s="24"/>
      <c r="PKK50" s="24"/>
      <c r="PKL50" s="24"/>
      <c r="PKM50" s="24"/>
      <c r="PKN50" s="24"/>
      <c r="PKO50" s="24"/>
      <c r="PKP50" s="24"/>
      <c r="PKQ50" s="24"/>
      <c r="PKR50" s="24"/>
      <c r="PKS50" s="24"/>
      <c r="PKT50" s="24"/>
      <c r="PKU50" s="24"/>
      <c r="PKV50" s="24"/>
      <c r="PKW50" s="24"/>
      <c r="PKX50" s="24"/>
      <c r="PKY50" s="24"/>
      <c r="PKZ50" s="24"/>
      <c r="PLA50" s="24"/>
      <c r="PLB50" s="24"/>
      <c r="PLC50" s="24"/>
      <c r="PLD50" s="24"/>
      <c r="PLE50" s="24"/>
      <c r="PLF50" s="24"/>
      <c r="PLG50" s="24"/>
      <c r="PLH50" s="24"/>
      <c r="PLI50" s="24"/>
      <c r="PLJ50" s="24"/>
      <c r="PLK50" s="24"/>
      <c r="PLL50" s="24"/>
      <c r="PLM50" s="24"/>
      <c r="PLN50" s="24"/>
      <c r="PLO50" s="24"/>
      <c r="PLP50" s="24"/>
      <c r="PLQ50" s="24"/>
      <c r="PLR50" s="24"/>
      <c r="PLS50" s="24"/>
      <c r="PLT50" s="24"/>
      <c r="PLU50" s="24"/>
      <c r="PLV50" s="24"/>
      <c r="PLW50" s="24"/>
      <c r="PLX50" s="24"/>
      <c r="PLY50" s="24"/>
      <c r="PLZ50" s="24"/>
      <c r="PMA50" s="24"/>
      <c r="PMB50" s="24"/>
      <c r="PMC50" s="24"/>
      <c r="PMD50" s="24"/>
      <c r="PME50" s="24"/>
      <c r="PMF50" s="24"/>
      <c r="PMG50" s="24"/>
      <c r="PMH50" s="24"/>
      <c r="PMI50" s="24"/>
      <c r="PMJ50" s="24"/>
      <c r="PMK50" s="24"/>
      <c r="PML50" s="24"/>
      <c r="PMM50" s="24"/>
      <c r="PMN50" s="24"/>
      <c r="PMO50" s="24"/>
      <c r="PMP50" s="24"/>
      <c r="PMQ50" s="24"/>
      <c r="PMR50" s="24"/>
      <c r="PMS50" s="24"/>
      <c r="PMT50" s="24"/>
      <c r="PMU50" s="24"/>
      <c r="PMV50" s="24"/>
      <c r="PMW50" s="24"/>
      <c r="PMX50" s="24"/>
      <c r="PMY50" s="24"/>
      <c r="PMZ50" s="24"/>
      <c r="PNA50" s="24"/>
      <c r="PNB50" s="24"/>
      <c r="PNC50" s="24"/>
      <c r="PND50" s="24"/>
      <c r="PNE50" s="24"/>
      <c r="PNF50" s="24"/>
      <c r="PNG50" s="24"/>
      <c r="PNH50" s="24"/>
      <c r="PNI50" s="24"/>
      <c r="PNJ50" s="24"/>
      <c r="PNK50" s="24"/>
      <c r="PNL50" s="24"/>
      <c r="PNM50" s="24"/>
      <c r="PNN50" s="24"/>
      <c r="PNO50" s="24"/>
      <c r="PNP50" s="24"/>
      <c r="PNQ50" s="24"/>
      <c r="PNR50" s="24"/>
      <c r="PNS50" s="24"/>
      <c r="PNT50" s="24"/>
      <c r="PNU50" s="24"/>
      <c r="PNV50" s="24"/>
      <c r="PNW50" s="24"/>
      <c r="PNX50" s="24"/>
      <c r="PNY50" s="24"/>
      <c r="PNZ50" s="24"/>
      <c r="POA50" s="24"/>
      <c r="POB50" s="24"/>
      <c r="POC50" s="24"/>
      <c r="POD50" s="24"/>
      <c r="POE50" s="24"/>
      <c r="POF50" s="24"/>
      <c r="POG50" s="24"/>
      <c r="POH50" s="24"/>
      <c r="POI50" s="24"/>
      <c r="POJ50" s="24"/>
      <c r="POK50" s="24"/>
      <c r="POL50" s="24"/>
      <c r="POM50" s="24"/>
      <c r="PON50" s="24"/>
      <c r="POO50" s="24"/>
      <c r="POP50" s="24"/>
      <c r="POQ50" s="24"/>
      <c r="POR50" s="24"/>
      <c r="POS50" s="24"/>
      <c r="POT50" s="24"/>
      <c r="POU50" s="24"/>
      <c r="POV50" s="24"/>
      <c r="POW50" s="24"/>
      <c r="POX50" s="24"/>
      <c r="POY50" s="24"/>
      <c r="POZ50" s="24"/>
      <c r="PPA50" s="24"/>
      <c r="PPB50" s="24"/>
      <c r="PPC50" s="24"/>
      <c r="PPD50" s="24"/>
      <c r="PPE50" s="24"/>
      <c r="PPF50" s="24"/>
      <c r="PPG50" s="24"/>
      <c r="PPH50" s="24"/>
      <c r="PPI50" s="24"/>
      <c r="PPJ50" s="24"/>
      <c r="PPK50" s="24"/>
      <c r="PPL50" s="24"/>
      <c r="PPM50" s="24"/>
      <c r="PPN50" s="24"/>
      <c r="PPO50" s="24"/>
      <c r="PPP50" s="24"/>
      <c r="PPQ50" s="24"/>
      <c r="PPR50" s="24"/>
      <c r="PPS50" s="24"/>
      <c r="PPT50" s="24"/>
      <c r="PPU50" s="24"/>
      <c r="PPV50" s="24"/>
      <c r="PPW50" s="24"/>
      <c r="PPX50" s="24"/>
      <c r="PPY50" s="24"/>
      <c r="PPZ50" s="24"/>
      <c r="PQA50" s="24"/>
      <c r="PQB50" s="24"/>
      <c r="PQC50" s="24"/>
      <c r="PQD50" s="24"/>
      <c r="PQE50" s="24"/>
      <c r="PQF50" s="24"/>
      <c r="PQG50" s="24"/>
      <c r="PQH50" s="24"/>
      <c r="PQI50" s="24"/>
      <c r="PQJ50" s="24"/>
      <c r="PQK50" s="24"/>
      <c r="PQL50" s="24"/>
      <c r="PQM50" s="24"/>
      <c r="PQN50" s="24"/>
      <c r="PQO50" s="24"/>
      <c r="PQP50" s="24"/>
      <c r="PQQ50" s="24"/>
      <c r="PQR50" s="24"/>
      <c r="PQS50" s="24"/>
      <c r="PQT50" s="24"/>
      <c r="PQU50" s="24"/>
      <c r="PQV50" s="24"/>
      <c r="PQW50" s="24"/>
      <c r="PQX50" s="24"/>
      <c r="PQY50" s="24"/>
      <c r="PQZ50" s="24"/>
      <c r="PRA50" s="24"/>
      <c r="PRB50" s="24"/>
      <c r="PRC50" s="24"/>
      <c r="PRD50" s="24"/>
      <c r="PRE50" s="24"/>
      <c r="PRF50" s="24"/>
      <c r="PRG50" s="24"/>
      <c r="PRH50" s="24"/>
      <c r="PRI50" s="24"/>
      <c r="PRJ50" s="24"/>
      <c r="PRK50" s="24"/>
      <c r="PRL50" s="24"/>
      <c r="PRM50" s="24"/>
      <c r="PRN50" s="24"/>
      <c r="PRO50" s="24"/>
      <c r="PRP50" s="24"/>
      <c r="PRQ50" s="24"/>
      <c r="PRR50" s="24"/>
      <c r="PRS50" s="24"/>
      <c r="PRT50" s="24"/>
      <c r="PRU50" s="24"/>
      <c r="PRV50" s="24"/>
      <c r="PRW50" s="24"/>
      <c r="PRX50" s="24"/>
      <c r="PRY50" s="24"/>
      <c r="PRZ50" s="24"/>
      <c r="PSA50" s="24"/>
      <c r="PSB50" s="24"/>
      <c r="PSC50" s="24"/>
      <c r="PSD50" s="24"/>
      <c r="PSE50" s="24"/>
      <c r="PSF50" s="24"/>
      <c r="PSG50" s="24"/>
      <c r="PSH50" s="24"/>
      <c r="PSI50" s="24"/>
      <c r="PSJ50" s="24"/>
      <c r="PSK50" s="24"/>
      <c r="PSL50" s="24"/>
      <c r="PSM50" s="24"/>
      <c r="PSN50" s="24"/>
      <c r="PSO50" s="24"/>
      <c r="PSP50" s="24"/>
      <c r="PSQ50" s="24"/>
      <c r="PSR50" s="24"/>
      <c r="PSS50" s="24"/>
      <c r="PST50" s="24"/>
      <c r="PSU50" s="24"/>
      <c r="PSV50" s="24"/>
      <c r="PSW50" s="24"/>
      <c r="PSX50" s="24"/>
      <c r="PSY50" s="24"/>
      <c r="PSZ50" s="24"/>
      <c r="PTA50" s="24"/>
      <c r="PTB50" s="24"/>
      <c r="PTC50" s="24"/>
      <c r="PTD50" s="24"/>
      <c r="PTE50" s="24"/>
      <c r="PTF50" s="24"/>
      <c r="PTG50" s="24"/>
      <c r="PTH50" s="24"/>
      <c r="PTI50" s="24"/>
      <c r="PTJ50" s="24"/>
      <c r="PTK50" s="24"/>
      <c r="PTL50" s="24"/>
      <c r="PTM50" s="24"/>
      <c r="PTN50" s="24"/>
      <c r="PTO50" s="24"/>
      <c r="PTP50" s="24"/>
      <c r="PTQ50" s="24"/>
      <c r="PTR50" s="24"/>
      <c r="PTS50" s="24"/>
      <c r="PTT50" s="24"/>
      <c r="PTU50" s="24"/>
      <c r="PTV50" s="24"/>
      <c r="PTW50" s="24"/>
      <c r="PTX50" s="24"/>
      <c r="PTY50" s="24"/>
      <c r="PTZ50" s="24"/>
      <c r="PUA50" s="24"/>
      <c r="PUB50" s="24"/>
      <c r="PUC50" s="24"/>
      <c r="PUD50" s="24"/>
      <c r="PUE50" s="24"/>
      <c r="PUF50" s="24"/>
      <c r="PUG50" s="24"/>
      <c r="PUH50" s="24"/>
      <c r="PUI50" s="24"/>
      <c r="PUJ50" s="24"/>
      <c r="PUK50" s="24"/>
      <c r="PUL50" s="24"/>
      <c r="PUM50" s="24"/>
      <c r="PUN50" s="24"/>
      <c r="PUO50" s="24"/>
      <c r="PUP50" s="24"/>
      <c r="PUQ50" s="24"/>
      <c r="PUR50" s="24"/>
      <c r="PUS50" s="24"/>
      <c r="PUT50" s="24"/>
      <c r="PUU50" s="24"/>
      <c r="PUV50" s="24"/>
      <c r="PUW50" s="24"/>
      <c r="PUX50" s="24"/>
      <c r="PUY50" s="24"/>
      <c r="PUZ50" s="24"/>
      <c r="PVA50" s="24"/>
      <c r="PVB50" s="24"/>
      <c r="PVC50" s="24"/>
      <c r="PVD50" s="24"/>
      <c r="PVE50" s="24"/>
      <c r="PVF50" s="24"/>
      <c r="PVG50" s="24"/>
      <c r="PVH50" s="24"/>
      <c r="PVI50" s="24"/>
      <c r="PVJ50" s="24"/>
      <c r="PVK50" s="24"/>
      <c r="PVL50" s="24"/>
      <c r="PVM50" s="24"/>
      <c r="PVN50" s="24"/>
      <c r="PVO50" s="24"/>
      <c r="PVP50" s="24"/>
      <c r="PVQ50" s="24"/>
      <c r="PVR50" s="24"/>
      <c r="PVS50" s="24"/>
      <c r="PVT50" s="24"/>
      <c r="PVU50" s="24"/>
      <c r="PVV50" s="24"/>
      <c r="PVW50" s="24"/>
      <c r="PVX50" s="24"/>
      <c r="PVY50" s="24"/>
      <c r="PVZ50" s="24"/>
      <c r="PWA50" s="24"/>
      <c r="PWB50" s="24"/>
      <c r="PWC50" s="24"/>
      <c r="PWD50" s="24"/>
      <c r="PWE50" s="24"/>
      <c r="PWF50" s="24"/>
      <c r="PWG50" s="24"/>
      <c r="PWH50" s="24"/>
      <c r="PWI50" s="24"/>
      <c r="PWJ50" s="24"/>
      <c r="PWK50" s="24"/>
      <c r="PWL50" s="24"/>
      <c r="PWM50" s="24"/>
      <c r="PWN50" s="24"/>
      <c r="PWO50" s="24"/>
      <c r="PWP50" s="24"/>
      <c r="PWQ50" s="24"/>
      <c r="PWR50" s="24"/>
      <c r="PWS50" s="24"/>
      <c r="PWT50" s="24"/>
      <c r="PWU50" s="24"/>
      <c r="PWV50" s="24"/>
      <c r="PWW50" s="24"/>
      <c r="PWX50" s="24"/>
      <c r="PWY50" s="24"/>
      <c r="PWZ50" s="24"/>
      <c r="PXA50" s="24"/>
      <c r="PXB50" s="24"/>
      <c r="PXC50" s="24"/>
      <c r="PXD50" s="24"/>
      <c r="PXE50" s="24"/>
      <c r="PXF50" s="24"/>
      <c r="PXG50" s="24"/>
      <c r="PXH50" s="24"/>
      <c r="PXI50" s="24"/>
      <c r="PXJ50" s="24"/>
      <c r="PXK50" s="24"/>
      <c r="PXL50" s="24"/>
      <c r="PXM50" s="24"/>
      <c r="PXN50" s="24"/>
      <c r="PXO50" s="24"/>
      <c r="PXP50" s="24"/>
      <c r="PXQ50" s="24"/>
      <c r="PXR50" s="24"/>
      <c r="PXS50" s="24"/>
      <c r="PXT50" s="24"/>
      <c r="PXU50" s="24"/>
      <c r="PXV50" s="24"/>
      <c r="PXW50" s="24"/>
      <c r="PXX50" s="24"/>
      <c r="PXY50" s="24"/>
      <c r="PXZ50" s="24"/>
      <c r="PYA50" s="24"/>
      <c r="PYB50" s="24"/>
      <c r="PYC50" s="24"/>
      <c r="PYD50" s="24"/>
      <c r="PYE50" s="24"/>
      <c r="PYF50" s="24"/>
      <c r="PYG50" s="24"/>
      <c r="PYH50" s="24"/>
      <c r="PYI50" s="24"/>
      <c r="PYJ50" s="24"/>
      <c r="PYK50" s="24"/>
      <c r="PYL50" s="24"/>
      <c r="PYM50" s="24"/>
      <c r="PYN50" s="24"/>
      <c r="PYO50" s="24"/>
      <c r="PYP50" s="24"/>
      <c r="PYQ50" s="24"/>
      <c r="PYR50" s="24"/>
      <c r="PYS50" s="24"/>
      <c r="PYT50" s="24"/>
      <c r="PYU50" s="24"/>
      <c r="PYV50" s="24"/>
      <c r="PYW50" s="24"/>
      <c r="PYX50" s="24"/>
      <c r="PYY50" s="24"/>
      <c r="PYZ50" s="24"/>
      <c r="PZA50" s="24"/>
      <c r="PZB50" s="24"/>
      <c r="PZC50" s="24"/>
      <c r="PZD50" s="24"/>
      <c r="PZE50" s="24"/>
      <c r="PZF50" s="24"/>
      <c r="PZG50" s="24"/>
      <c r="PZH50" s="24"/>
      <c r="PZI50" s="24"/>
      <c r="PZJ50" s="24"/>
      <c r="PZK50" s="24"/>
      <c r="PZL50" s="24"/>
      <c r="PZM50" s="24"/>
      <c r="PZN50" s="24"/>
      <c r="PZO50" s="24"/>
      <c r="PZP50" s="24"/>
      <c r="PZQ50" s="24"/>
      <c r="PZR50" s="24"/>
      <c r="PZS50" s="24"/>
      <c r="PZT50" s="24"/>
      <c r="PZU50" s="24"/>
      <c r="PZV50" s="24"/>
      <c r="PZW50" s="24"/>
      <c r="PZX50" s="24"/>
      <c r="PZY50" s="24"/>
      <c r="PZZ50" s="24"/>
      <c r="QAA50" s="24"/>
      <c r="QAB50" s="24"/>
      <c r="QAC50" s="24"/>
      <c r="QAD50" s="24"/>
      <c r="QAE50" s="24"/>
      <c r="QAF50" s="24"/>
      <c r="QAG50" s="24"/>
      <c r="QAH50" s="24"/>
      <c r="QAI50" s="24"/>
      <c r="QAJ50" s="24"/>
      <c r="QAK50" s="24"/>
      <c r="QAL50" s="24"/>
      <c r="QAM50" s="24"/>
      <c r="QAN50" s="24"/>
      <c r="QAO50" s="24"/>
      <c r="QAP50" s="24"/>
      <c r="QAQ50" s="24"/>
      <c r="QAR50" s="24"/>
      <c r="QAS50" s="24"/>
      <c r="QAT50" s="24"/>
      <c r="QAU50" s="24"/>
      <c r="QAV50" s="24"/>
      <c r="QAW50" s="24"/>
      <c r="QAX50" s="24"/>
      <c r="QAY50" s="24"/>
      <c r="QAZ50" s="24"/>
      <c r="QBA50" s="24"/>
      <c r="QBB50" s="24"/>
      <c r="QBC50" s="24"/>
      <c r="QBD50" s="24"/>
      <c r="QBE50" s="24"/>
      <c r="QBF50" s="24"/>
      <c r="QBG50" s="24"/>
      <c r="QBH50" s="24"/>
      <c r="QBI50" s="24"/>
      <c r="QBJ50" s="24"/>
      <c r="QBK50" s="24"/>
      <c r="QBL50" s="24"/>
      <c r="QBM50" s="24"/>
      <c r="QBN50" s="24"/>
      <c r="QBO50" s="24"/>
      <c r="QBP50" s="24"/>
      <c r="QBQ50" s="24"/>
      <c r="QBR50" s="24"/>
      <c r="QBS50" s="24"/>
      <c r="QBT50" s="24"/>
      <c r="QBU50" s="24"/>
      <c r="QBV50" s="24"/>
      <c r="QBW50" s="24"/>
      <c r="QBX50" s="24"/>
      <c r="QBY50" s="24"/>
      <c r="QBZ50" s="24"/>
      <c r="QCA50" s="24"/>
      <c r="QCB50" s="24"/>
      <c r="QCC50" s="24"/>
      <c r="QCD50" s="24"/>
      <c r="QCE50" s="24"/>
      <c r="QCF50" s="24"/>
      <c r="QCG50" s="24"/>
      <c r="QCH50" s="24"/>
      <c r="QCI50" s="24"/>
      <c r="QCJ50" s="24"/>
      <c r="QCK50" s="24"/>
      <c r="QCL50" s="24"/>
      <c r="QCM50" s="24"/>
      <c r="QCN50" s="24"/>
      <c r="QCO50" s="24"/>
      <c r="QCP50" s="24"/>
      <c r="QCQ50" s="24"/>
      <c r="QCR50" s="24"/>
      <c r="QCS50" s="24"/>
      <c r="QCT50" s="24"/>
      <c r="QCU50" s="24"/>
      <c r="QCV50" s="24"/>
      <c r="QCW50" s="24"/>
      <c r="QCX50" s="24"/>
      <c r="QCY50" s="24"/>
      <c r="QCZ50" s="24"/>
      <c r="QDA50" s="24"/>
      <c r="QDB50" s="24"/>
      <c r="QDC50" s="24"/>
      <c r="QDD50" s="24"/>
      <c r="QDE50" s="24"/>
      <c r="QDF50" s="24"/>
      <c r="QDG50" s="24"/>
      <c r="QDH50" s="24"/>
      <c r="QDI50" s="24"/>
      <c r="QDJ50" s="24"/>
      <c r="QDK50" s="24"/>
      <c r="QDL50" s="24"/>
      <c r="QDM50" s="24"/>
      <c r="QDN50" s="24"/>
      <c r="QDO50" s="24"/>
      <c r="QDP50" s="24"/>
      <c r="QDQ50" s="24"/>
      <c r="QDR50" s="24"/>
      <c r="QDS50" s="24"/>
      <c r="QDT50" s="24"/>
      <c r="QDU50" s="24"/>
      <c r="QDV50" s="24"/>
      <c r="QDW50" s="24"/>
      <c r="QDX50" s="24"/>
      <c r="QDY50" s="24"/>
      <c r="QDZ50" s="24"/>
      <c r="QEA50" s="24"/>
      <c r="QEB50" s="24"/>
      <c r="QEC50" s="24"/>
      <c r="QED50" s="24"/>
      <c r="QEE50" s="24"/>
      <c r="QEF50" s="24"/>
      <c r="QEG50" s="24"/>
      <c r="QEH50" s="24"/>
      <c r="QEI50" s="24"/>
      <c r="QEJ50" s="24"/>
      <c r="QEK50" s="24"/>
      <c r="QEL50" s="24"/>
      <c r="QEM50" s="24"/>
      <c r="QEN50" s="24"/>
      <c r="QEO50" s="24"/>
      <c r="QEP50" s="24"/>
      <c r="QEQ50" s="24"/>
      <c r="QER50" s="24"/>
      <c r="QES50" s="24"/>
      <c r="QET50" s="24"/>
      <c r="QEU50" s="24"/>
      <c r="QEV50" s="24"/>
      <c r="QEW50" s="24"/>
      <c r="QEX50" s="24"/>
      <c r="QEY50" s="24"/>
      <c r="QEZ50" s="24"/>
      <c r="QFA50" s="24"/>
      <c r="QFB50" s="24"/>
      <c r="QFC50" s="24"/>
      <c r="QFD50" s="24"/>
      <c r="QFE50" s="24"/>
      <c r="QFF50" s="24"/>
      <c r="QFG50" s="24"/>
      <c r="QFH50" s="24"/>
      <c r="QFI50" s="24"/>
      <c r="QFJ50" s="24"/>
      <c r="QFK50" s="24"/>
      <c r="QFL50" s="24"/>
      <c r="QFM50" s="24"/>
      <c r="QFN50" s="24"/>
      <c r="QFO50" s="24"/>
      <c r="QFP50" s="24"/>
      <c r="QFQ50" s="24"/>
      <c r="QFR50" s="24"/>
      <c r="QFS50" s="24"/>
      <c r="QFT50" s="24"/>
      <c r="QFU50" s="24"/>
      <c r="QFV50" s="24"/>
      <c r="QFW50" s="24"/>
      <c r="QFX50" s="24"/>
      <c r="QFY50" s="24"/>
      <c r="QFZ50" s="24"/>
      <c r="QGA50" s="24"/>
      <c r="QGB50" s="24"/>
      <c r="QGC50" s="24"/>
      <c r="QGD50" s="24"/>
      <c r="QGE50" s="24"/>
      <c r="QGF50" s="24"/>
      <c r="QGG50" s="24"/>
      <c r="QGH50" s="24"/>
      <c r="QGI50" s="24"/>
      <c r="QGJ50" s="24"/>
      <c r="QGK50" s="24"/>
      <c r="QGL50" s="24"/>
      <c r="QGM50" s="24"/>
      <c r="QGN50" s="24"/>
      <c r="QGO50" s="24"/>
      <c r="QGP50" s="24"/>
      <c r="QGQ50" s="24"/>
      <c r="QGR50" s="24"/>
      <c r="QGS50" s="24"/>
      <c r="QGT50" s="24"/>
      <c r="QGU50" s="24"/>
      <c r="QGV50" s="24"/>
      <c r="QGW50" s="24"/>
      <c r="QGX50" s="24"/>
      <c r="QGY50" s="24"/>
      <c r="QGZ50" s="24"/>
      <c r="QHA50" s="24"/>
      <c r="QHB50" s="24"/>
      <c r="QHC50" s="24"/>
      <c r="QHD50" s="24"/>
      <c r="QHE50" s="24"/>
      <c r="QHF50" s="24"/>
      <c r="QHG50" s="24"/>
      <c r="QHH50" s="24"/>
      <c r="QHI50" s="24"/>
      <c r="QHJ50" s="24"/>
      <c r="QHK50" s="24"/>
      <c r="QHL50" s="24"/>
      <c r="QHM50" s="24"/>
      <c r="QHN50" s="24"/>
      <c r="QHO50" s="24"/>
      <c r="QHP50" s="24"/>
      <c r="QHQ50" s="24"/>
      <c r="QHR50" s="24"/>
      <c r="QHS50" s="24"/>
      <c r="QHT50" s="24"/>
      <c r="QHU50" s="24"/>
      <c r="QHV50" s="24"/>
      <c r="QHW50" s="24"/>
      <c r="QHX50" s="24"/>
      <c r="QHY50" s="24"/>
      <c r="QHZ50" s="24"/>
      <c r="QIA50" s="24"/>
      <c r="QIB50" s="24"/>
      <c r="QIC50" s="24"/>
      <c r="QID50" s="24"/>
      <c r="QIE50" s="24"/>
      <c r="QIF50" s="24"/>
      <c r="QIG50" s="24"/>
      <c r="QIH50" s="24"/>
      <c r="QII50" s="24"/>
      <c r="QIJ50" s="24"/>
      <c r="QIK50" s="24"/>
      <c r="QIL50" s="24"/>
      <c r="QIM50" s="24"/>
      <c r="QIN50" s="24"/>
      <c r="QIO50" s="24"/>
      <c r="QIP50" s="24"/>
      <c r="QIQ50" s="24"/>
      <c r="QIR50" s="24"/>
      <c r="QIS50" s="24"/>
      <c r="QIT50" s="24"/>
      <c r="QIU50" s="24"/>
      <c r="QIV50" s="24"/>
      <c r="QIW50" s="24"/>
      <c r="QIX50" s="24"/>
      <c r="QIY50" s="24"/>
      <c r="QIZ50" s="24"/>
      <c r="QJA50" s="24"/>
      <c r="QJB50" s="24"/>
      <c r="QJC50" s="24"/>
      <c r="QJD50" s="24"/>
      <c r="QJE50" s="24"/>
      <c r="QJF50" s="24"/>
      <c r="QJG50" s="24"/>
      <c r="QJH50" s="24"/>
      <c r="QJI50" s="24"/>
      <c r="QJJ50" s="24"/>
      <c r="QJK50" s="24"/>
      <c r="QJL50" s="24"/>
      <c r="QJM50" s="24"/>
      <c r="QJN50" s="24"/>
      <c r="QJO50" s="24"/>
      <c r="QJP50" s="24"/>
      <c r="QJQ50" s="24"/>
      <c r="QJR50" s="24"/>
      <c r="QJS50" s="24"/>
      <c r="QJT50" s="24"/>
      <c r="QJU50" s="24"/>
      <c r="QJV50" s="24"/>
      <c r="QJW50" s="24"/>
      <c r="QJX50" s="24"/>
      <c r="QJY50" s="24"/>
      <c r="QJZ50" s="24"/>
      <c r="QKA50" s="24"/>
      <c r="QKB50" s="24"/>
      <c r="QKC50" s="24"/>
      <c r="QKD50" s="24"/>
      <c r="QKE50" s="24"/>
      <c r="QKF50" s="24"/>
      <c r="QKG50" s="24"/>
      <c r="QKH50" s="24"/>
      <c r="QKI50" s="24"/>
      <c r="QKJ50" s="24"/>
      <c r="QKK50" s="24"/>
      <c r="QKL50" s="24"/>
      <c r="QKM50" s="24"/>
      <c r="QKN50" s="24"/>
      <c r="QKO50" s="24"/>
      <c r="QKP50" s="24"/>
      <c r="QKQ50" s="24"/>
      <c r="QKR50" s="24"/>
      <c r="QKS50" s="24"/>
      <c r="QKT50" s="24"/>
      <c r="QKU50" s="24"/>
      <c r="QKV50" s="24"/>
      <c r="QKW50" s="24"/>
      <c r="QKX50" s="24"/>
      <c r="QKY50" s="24"/>
      <c r="QKZ50" s="24"/>
      <c r="QLA50" s="24"/>
      <c r="QLB50" s="24"/>
      <c r="QLC50" s="24"/>
      <c r="QLD50" s="24"/>
      <c r="QLE50" s="24"/>
      <c r="QLF50" s="24"/>
      <c r="QLG50" s="24"/>
      <c r="QLH50" s="24"/>
      <c r="QLI50" s="24"/>
      <c r="QLJ50" s="24"/>
      <c r="QLK50" s="24"/>
      <c r="QLL50" s="24"/>
      <c r="QLM50" s="24"/>
      <c r="QLN50" s="24"/>
      <c r="QLO50" s="24"/>
      <c r="QLP50" s="24"/>
      <c r="QLQ50" s="24"/>
      <c r="QLR50" s="24"/>
      <c r="QLS50" s="24"/>
      <c r="QLT50" s="24"/>
      <c r="QLU50" s="24"/>
      <c r="QLV50" s="24"/>
      <c r="QLW50" s="24"/>
      <c r="QLX50" s="24"/>
      <c r="QLY50" s="24"/>
      <c r="QLZ50" s="24"/>
      <c r="QMA50" s="24"/>
      <c r="QMB50" s="24"/>
      <c r="QMC50" s="24"/>
      <c r="QMD50" s="24"/>
      <c r="QME50" s="24"/>
      <c r="QMF50" s="24"/>
      <c r="QMG50" s="24"/>
      <c r="QMH50" s="24"/>
      <c r="QMI50" s="24"/>
      <c r="QMJ50" s="24"/>
      <c r="QMK50" s="24"/>
      <c r="QML50" s="24"/>
      <c r="QMM50" s="24"/>
      <c r="QMN50" s="24"/>
      <c r="QMO50" s="24"/>
      <c r="QMP50" s="24"/>
      <c r="QMQ50" s="24"/>
      <c r="QMR50" s="24"/>
      <c r="QMS50" s="24"/>
      <c r="QMT50" s="24"/>
      <c r="QMU50" s="24"/>
      <c r="QMV50" s="24"/>
      <c r="QMW50" s="24"/>
      <c r="QMX50" s="24"/>
      <c r="QMY50" s="24"/>
      <c r="QMZ50" s="24"/>
      <c r="QNA50" s="24"/>
      <c r="QNB50" s="24"/>
      <c r="QNC50" s="24"/>
      <c r="QND50" s="24"/>
      <c r="QNE50" s="24"/>
      <c r="QNF50" s="24"/>
      <c r="QNG50" s="24"/>
      <c r="QNH50" s="24"/>
      <c r="QNI50" s="24"/>
      <c r="QNJ50" s="24"/>
      <c r="QNK50" s="24"/>
      <c r="QNL50" s="24"/>
      <c r="QNM50" s="24"/>
      <c r="QNN50" s="24"/>
      <c r="QNO50" s="24"/>
      <c r="QNP50" s="24"/>
      <c r="QNQ50" s="24"/>
      <c r="QNR50" s="24"/>
      <c r="QNS50" s="24"/>
      <c r="QNT50" s="24"/>
      <c r="QNU50" s="24"/>
      <c r="QNV50" s="24"/>
      <c r="QNW50" s="24"/>
      <c r="QNX50" s="24"/>
      <c r="QNY50" s="24"/>
      <c r="QNZ50" s="24"/>
      <c r="QOA50" s="24"/>
      <c r="QOB50" s="24"/>
      <c r="QOC50" s="24"/>
      <c r="QOD50" s="24"/>
      <c r="QOE50" s="24"/>
      <c r="QOF50" s="24"/>
      <c r="QOG50" s="24"/>
      <c r="QOH50" s="24"/>
      <c r="QOI50" s="24"/>
      <c r="QOJ50" s="24"/>
      <c r="QOK50" s="24"/>
      <c r="QOL50" s="24"/>
      <c r="QOM50" s="24"/>
      <c r="QON50" s="24"/>
      <c r="QOO50" s="24"/>
      <c r="QOP50" s="24"/>
      <c r="QOQ50" s="24"/>
      <c r="QOR50" s="24"/>
      <c r="QOS50" s="24"/>
      <c r="QOT50" s="24"/>
      <c r="QOU50" s="24"/>
      <c r="QOV50" s="24"/>
      <c r="QOW50" s="24"/>
      <c r="QOX50" s="24"/>
      <c r="QOY50" s="24"/>
      <c r="QOZ50" s="24"/>
      <c r="QPA50" s="24"/>
      <c r="QPB50" s="24"/>
      <c r="QPC50" s="24"/>
      <c r="QPD50" s="24"/>
      <c r="QPE50" s="24"/>
      <c r="QPF50" s="24"/>
      <c r="QPG50" s="24"/>
      <c r="QPH50" s="24"/>
      <c r="QPI50" s="24"/>
      <c r="QPJ50" s="24"/>
      <c r="QPK50" s="24"/>
      <c r="QPL50" s="24"/>
      <c r="QPM50" s="24"/>
      <c r="QPN50" s="24"/>
      <c r="QPO50" s="24"/>
      <c r="QPP50" s="24"/>
      <c r="QPQ50" s="24"/>
      <c r="QPR50" s="24"/>
      <c r="QPS50" s="24"/>
      <c r="QPT50" s="24"/>
      <c r="QPU50" s="24"/>
      <c r="QPV50" s="24"/>
      <c r="QPW50" s="24"/>
      <c r="QPX50" s="24"/>
      <c r="QPY50" s="24"/>
      <c r="QPZ50" s="24"/>
      <c r="QQA50" s="24"/>
      <c r="QQB50" s="24"/>
      <c r="QQC50" s="24"/>
      <c r="QQD50" s="24"/>
      <c r="QQE50" s="24"/>
      <c r="QQF50" s="24"/>
      <c r="QQG50" s="24"/>
      <c r="QQH50" s="24"/>
      <c r="QQI50" s="24"/>
      <c r="QQJ50" s="24"/>
      <c r="QQK50" s="24"/>
      <c r="QQL50" s="24"/>
      <c r="QQM50" s="24"/>
      <c r="QQN50" s="24"/>
      <c r="QQO50" s="24"/>
      <c r="QQP50" s="24"/>
      <c r="QQQ50" s="24"/>
      <c r="QQR50" s="24"/>
      <c r="QQS50" s="24"/>
      <c r="QQT50" s="24"/>
      <c r="QQU50" s="24"/>
      <c r="QQV50" s="24"/>
      <c r="QQW50" s="24"/>
      <c r="QQX50" s="24"/>
      <c r="QQY50" s="24"/>
      <c r="QQZ50" s="24"/>
      <c r="QRA50" s="24"/>
      <c r="QRB50" s="24"/>
      <c r="QRC50" s="24"/>
      <c r="QRD50" s="24"/>
      <c r="QRE50" s="24"/>
      <c r="QRF50" s="24"/>
      <c r="QRG50" s="24"/>
      <c r="QRH50" s="24"/>
      <c r="QRI50" s="24"/>
      <c r="QRJ50" s="24"/>
      <c r="QRK50" s="24"/>
      <c r="QRL50" s="24"/>
      <c r="QRM50" s="24"/>
      <c r="QRN50" s="24"/>
      <c r="QRO50" s="24"/>
      <c r="QRP50" s="24"/>
      <c r="QRQ50" s="24"/>
      <c r="QRR50" s="24"/>
      <c r="QRS50" s="24"/>
      <c r="QRT50" s="24"/>
      <c r="QRU50" s="24"/>
      <c r="QRV50" s="24"/>
      <c r="QRW50" s="24"/>
      <c r="QRX50" s="24"/>
      <c r="QRY50" s="24"/>
      <c r="QRZ50" s="24"/>
      <c r="QSA50" s="24"/>
      <c r="QSB50" s="24"/>
      <c r="QSC50" s="24"/>
      <c r="QSD50" s="24"/>
      <c r="QSE50" s="24"/>
      <c r="QSF50" s="24"/>
      <c r="QSG50" s="24"/>
      <c r="QSH50" s="24"/>
      <c r="QSI50" s="24"/>
      <c r="QSJ50" s="24"/>
      <c r="QSK50" s="24"/>
      <c r="QSL50" s="24"/>
      <c r="QSM50" s="24"/>
      <c r="QSN50" s="24"/>
      <c r="QSO50" s="24"/>
      <c r="QSP50" s="24"/>
      <c r="QSQ50" s="24"/>
      <c r="QSR50" s="24"/>
      <c r="QSS50" s="24"/>
      <c r="QST50" s="24"/>
      <c r="QSU50" s="24"/>
      <c r="QSV50" s="24"/>
      <c r="QSW50" s="24"/>
      <c r="QSX50" s="24"/>
      <c r="QSY50" s="24"/>
      <c r="QSZ50" s="24"/>
      <c r="QTA50" s="24"/>
      <c r="QTB50" s="24"/>
      <c r="QTC50" s="24"/>
      <c r="QTD50" s="24"/>
      <c r="QTE50" s="24"/>
      <c r="QTF50" s="24"/>
      <c r="QTG50" s="24"/>
      <c r="QTH50" s="24"/>
      <c r="QTI50" s="24"/>
      <c r="QTJ50" s="24"/>
      <c r="QTK50" s="24"/>
      <c r="QTL50" s="24"/>
      <c r="QTM50" s="24"/>
      <c r="QTN50" s="24"/>
      <c r="QTO50" s="24"/>
      <c r="QTP50" s="24"/>
      <c r="QTQ50" s="24"/>
      <c r="QTR50" s="24"/>
      <c r="QTS50" s="24"/>
      <c r="QTT50" s="24"/>
      <c r="QTU50" s="24"/>
      <c r="QTV50" s="24"/>
      <c r="QTW50" s="24"/>
      <c r="QTX50" s="24"/>
      <c r="QTY50" s="24"/>
      <c r="QTZ50" s="24"/>
      <c r="QUA50" s="24"/>
      <c r="QUB50" s="24"/>
      <c r="QUC50" s="24"/>
      <c r="QUD50" s="24"/>
      <c r="QUE50" s="24"/>
      <c r="QUF50" s="24"/>
      <c r="QUG50" s="24"/>
      <c r="QUH50" s="24"/>
      <c r="QUI50" s="24"/>
      <c r="QUJ50" s="24"/>
      <c r="QUK50" s="24"/>
      <c r="QUL50" s="24"/>
      <c r="QUM50" s="24"/>
      <c r="QUN50" s="24"/>
      <c r="QUO50" s="24"/>
      <c r="QUP50" s="24"/>
      <c r="QUQ50" s="24"/>
      <c r="QUR50" s="24"/>
      <c r="QUS50" s="24"/>
      <c r="QUT50" s="24"/>
      <c r="QUU50" s="24"/>
      <c r="QUV50" s="24"/>
      <c r="QUW50" s="24"/>
      <c r="QUX50" s="24"/>
      <c r="QUY50" s="24"/>
      <c r="QUZ50" s="24"/>
      <c r="QVA50" s="24"/>
      <c r="QVB50" s="24"/>
      <c r="QVC50" s="24"/>
      <c r="QVD50" s="24"/>
      <c r="QVE50" s="24"/>
      <c r="QVF50" s="24"/>
      <c r="QVG50" s="24"/>
      <c r="QVH50" s="24"/>
      <c r="QVI50" s="24"/>
      <c r="QVJ50" s="24"/>
      <c r="QVK50" s="24"/>
      <c r="QVL50" s="24"/>
      <c r="QVM50" s="24"/>
      <c r="QVN50" s="24"/>
      <c r="QVO50" s="24"/>
      <c r="QVP50" s="24"/>
      <c r="QVQ50" s="24"/>
      <c r="QVR50" s="24"/>
      <c r="QVS50" s="24"/>
      <c r="QVT50" s="24"/>
      <c r="QVU50" s="24"/>
      <c r="QVV50" s="24"/>
      <c r="QVW50" s="24"/>
      <c r="QVX50" s="24"/>
      <c r="QVY50" s="24"/>
      <c r="QVZ50" s="24"/>
      <c r="QWA50" s="24"/>
      <c r="QWB50" s="24"/>
      <c r="QWC50" s="24"/>
      <c r="QWD50" s="24"/>
      <c r="QWE50" s="24"/>
      <c r="QWF50" s="24"/>
      <c r="QWG50" s="24"/>
      <c r="QWH50" s="24"/>
      <c r="QWI50" s="24"/>
      <c r="QWJ50" s="24"/>
      <c r="QWK50" s="24"/>
      <c r="QWL50" s="24"/>
      <c r="QWM50" s="24"/>
      <c r="QWN50" s="24"/>
      <c r="QWO50" s="24"/>
      <c r="QWP50" s="24"/>
      <c r="QWQ50" s="24"/>
      <c r="QWR50" s="24"/>
      <c r="QWS50" s="24"/>
      <c r="QWT50" s="24"/>
      <c r="QWU50" s="24"/>
      <c r="QWV50" s="24"/>
      <c r="QWW50" s="24"/>
      <c r="QWX50" s="24"/>
      <c r="QWY50" s="24"/>
      <c r="QWZ50" s="24"/>
      <c r="QXA50" s="24"/>
      <c r="QXB50" s="24"/>
      <c r="QXC50" s="24"/>
      <c r="QXD50" s="24"/>
      <c r="QXE50" s="24"/>
      <c r="QXF50" s="24"/>
      <c r="QXG50" s="24"/>
      <c r="QXH50" s="24"/>
      <c r="QXI50" s="24"/>
      <c r="QXJ50" s="24"/>
      <c r="QXK50" s="24"/>
      <c r="QXL50" s="24"/>
      <c r="QXM50" s="24"/>
      <c r="QXN50" s="24"/>
      <c r="QXO50" s="24"/>
      <c r="QXP50" s="24"/>
      <c r="QXQ50" s="24"/>
      <c r="QXR50" s="24"/>
      <c r="QXS50" s="24"/>
      <c r="QXT50" s="24"/>
      <c r="QXU50" s="24"/>
      <c r="QXV50" s="24"/>
      <c r="QXW50" s="24"/>
      <c r="QXX50" s="24"/>
      <c r="QXY50" s="24"/>
      <c r="QXZ50" s="24"/>
      <c r="QYA50" s="24"/>
      <c r="QYB50" s="24"/>
      <c r="QYC50" s="24"/>
      <c r="QYD50" s="24"/>
      <c r="QYE50" s="24"/>
      <c r="QYF50" s="24"/>
      <c r="QYG50" s="24"/>
      <c r="QYH50" s="24"/>
      <c r="QYI50" s="24"/>
      <c r="QYJ50" s="24"/>
      <c r="QYK50" s="24"/>
      <c r="QYL50" s="24"/>
      <c r="QYM50" s="24"/>
      <c r="QYN50" s="24"/>
      <c r="QYO50" s="24"/>
      <c r="QYP50" s="24"/>
      <c r="QYQ50" s="24"/>
      <c r="QYR50" s="24"/>
      <c r="QYS50" s="24"/>
      <c r="QYT50" s="24"/>
      <c r="QYU50" s="24"/>
      <c r="QYV50" s="24"/>
      <c r="QYW50" s="24"/>
      <c r="QYX50" s="24"/>
      <c r="QYY50" s="24"/>
      <c r="QYZ50" s="24"/>
      <c r="QZA50" s="24"/>
      <c r="QZB50" s="24"/>
      <c r="QZC50" s="24"/>
      <c r="QZD50" s="24"/>
      <c r="QZE50" s="24"/>
      <c r="QZF50" s="24"/>
      <c r="QZG50" s="24"/>
      <c r="QZH50" s="24"/>
      <c r="QZI50" s="24"/>
      <c r="QZJ50" s="24"/>
      <c r="QZK50" s="24"/>
      <c r="QZL50" s="24"/>
      <c r="QZM50" s="24"/>
      <c r="QZN50" s="24"/>
      <c r="QZO50" s="24"/>
      <c r="QZP50" s="24"/>
      <c r="QZQ50" s="24"/>
      <c r="QZR50" s="24"/>
      <c r="QZS50" s="24"/>
      <c r="QZT50" s="24"/>
      <c r="QZU50" s="24"/>
      <c r="QZV50" s="24"/>
      <c r="QZW50" s="24"/>
      <c r="QZX50" s="24"/>
      <c r="QZY50" s="24"/>
      <c r="QZZ50" s="24"/>
      <c r="RAA50" s="24"/>
      <c r="RAB50" s="24"/>
      <c r="RAC50" s="24"/>
      <c r="RAD50" s="24"/>
      <c r="RAE50" s="24"/>
      <c r="RAF50" s="24"/>
      <c r="RAG50" s="24"/>
      <c r="RAH50" s="24"/>
      <c r="RAI50" s="24"/>
      <c r="RAJ50" s="24"/>
      <c r="RAK50" s="24"/>
      <c r="RAL50" s="24"/>
      <c r="RAM50" s="24"/>
      <c r="RAN50" s="24"/>
      <c r="RAO50" s="24"/>
      <c r="RAP50" s="24"/>
      <c r="RAQ50" s="24"/>
      <c r="RAR50" s="24"/>
      <c r="RAS50" s="24"/>
      <c r="RAT50" s="24"/>
      <c r="RAU50" s="24"/>
      <c r="RAV50" s="24"/>
      <c r="RAW50" s="24"/>
      <c r="RAX50" s="24"/>
      <c r="RAY50" s="24"/>
      <c r="RAZ50" s="24"/>
      <c r="RBA50" s="24"/>
      <c r="RBB50" s="24"/>
      <c r="RBC50" s="24"/>
      <c r="RBD50" s="24"/>
      <c r="RBE50" s="24"/>
      <c r="RBF50" s="24"/>
      <c r="RBG50" s="24"/>
      <c r="RBH50" s="24"/>
      <c r="RBI50" s="24"/>
      <c r="RBJ50" s="24"/>
      <c r="RBK50" s="24"/>
      <c r="RBL50" s="24"/>
      <c r="RBM50" s="24"/>
      <c r="RBN50" s="24"/>
      <c r="RBO50" s="24"/>
      <c r="RBP50" s="24"/>
      <c r="RBQ50" s="24"/>
      <c r="RBR50" s="24"/>
      <c r="RBS50" s="24"/>
      <c r="RBT50" s="24"/>
      <c r="RBU50" s="24"/>
      <c r="RBV50" s="24"/>
      <c r="RBW50" s="24"/>
      <c r="RBX50" s="24"/>
      <c r="RBY50" s="24"/>
      <c r="RBZ50" s="24"/>
      <c r="RCA50" s="24"/>
      <c r="RCB50" s="24"/>
      <c r="RCC50" s="24"/>
      <c r="RCD50" s="24"/>
      <c r="RCE50" s="24"/>
      <c r="RCF50" s="24"/>
      <c r="RCG50" s="24"/>
      <c r="RCH50" s="24"/>
      <c r="RCI50" s="24"/>
      <c r="RCJ50" s="24"/>
      <c r="RCK50" s="24"/>
      <c r="RCL50" s="24"/>
      <c r="RCM50" s="24"/>
      <c r="RCN50" s="24"/>
      <c r="RCO50" s="24"/>
      <c r="RCP50" s="24"/>
      <c r="RCQ50" s="24"/>
      <c r="RCR50" s="24"/>
      <c r="RCS50" s="24"/>
      <c r="RCT50" s="24"/>
      <c r="RCU50" s="24"/>
      <c r="RCV50" s="24"/>
      <c r="RCW50" s="24"/>
      <c r="RCX50" s="24"/>
      <c r="RCY50" s="24"/>
      <c r="RCZ50" s="24"/>
      <c r="RDA50" s="24"/>
      <c r="RDB50" s="24"/>
      <c r="RDC50" s="24"/>
      <c r="RDD50" s="24"/>
      <c r="RDE50" s="24"/>
      <c r="RDF50" s="24"/>
      <c r="RDG50" s="24"/>
      <c r="RDH50" s="24"/>
      <c r="RDI50" s="24"/>
      <c r="RDJ50" s="24"/>
      <c r="RDK50" s="24"/>
      <c r="RDL50" s="24"/>
      <c r="RDM50" s="24"/>
      <c r="RDN50" s="24"/>
      <c r="RDO50" s="24"/>
      <c r="RDP50" s="24"/>
      <c r="RDQ50" s="24"/>
      <c r="RDR50" s="24"/>
      <c r="RDS50" s="24"/>
      <c r="RDT50" s="24"/>
      <c r="RDU50" s="24"/>
      <c r="RDV50" s="24"/>
      <c r="RDW50" s="24"/>
      <c r="RDX50" s="24"/>
      <c r="RDY50" s="24"/>
      <c r="RDZ50" s="24"/>
      <c r="REA50" s="24"/>
      <c r="REB50" s="24"/>
      <c r="REC50" s="24"/>
      <c r="RED50" s="24"/>
      <c r="REE50" s="24"/>
      <c r="REF50" s="24"/>
      <c r="REG50" s="24"/>
      <c r="REH50" s="24"/>
      <c r="REI50" s="24"/>
      <c r="REJ50" s="24"/>
      <c r="REK50" s="24"/>
      <c r="REL50" s="24"/>
      <c r="REM50" s="24"/>
      <c r="REN50" s="24"/>
      <c r="REO50" s="24"/>
      <c r="REP50" s="24"/>
      <c r="REQ50" s="24"/>
      <c r="RER50" s="24"/>
      <c r="RES50" s="24"/>
      <c r="RET50" s="24"/>
      <c r="REU50" s="24"/>
      <c r="REV50" s="24"/>
      <c r="REW50" s="24"/>
      <c r="REX50" s="24"/>
      <c r="REY50" s="24"/>
      <c r="REZ50" s="24"/>
      <c r="RFA50" s="24"/>
      <c r="RFB50" s="24"/>
      <c r="RFC50" s="24"/>
      <c r="RFD50" s="24"/>
      <c r="RFE50" s="24"/>
      <c r="RFF50" s="24"/>
      <c r="RFG50" s="24"/>
      <c r="RFH50" s="24"/>
      <c r="RFI50" s="24"/>
      <c r="RFJ50" s="24"/>
      <c r="RFK50" s="24"/>
      <c r="RFL50" s="24"/>
      <c r="RFM50" s="24"/>
      <c r="RFN50" s="24"/>
      <c r="RFO50" s="24"/>
      <c r="RFP50" s="24"/>
      <c r="RFQ50" s="24"/>
      <c r="RFR50" s="24"/>
      <c r="RFS50" s="24"/>
      <c r="RFT50" s="24"/>
      <c r="RFU50" s="24"/>
      <c r="RFV50" s="24"/>
      <c r="RFW50" s="24"/>
      <c r="RFX50" s="24"/>
      <c r="RFY50" s="24"/>
      <c r="RFZ50" s="24"/>
      <c r="RGA50" s="24"/>
      <c r="RGB50" s="24"/>
      <c r="RGC50" s="24"/>
      <c r="RGD50" s="24"/>
      <c r="RGE50" s="24"/>
      <c r="RGF50" s="24"/>
      <c r="RGG50" s="24"/>
      <c r="RGH50" s="24"/>
      <c r="RGI50" s="24"/>
      <c r="RGJ50" s="24"/>
      <c r="RGK50" s="24"/>
      <c r="RGL50" s="24"/>
      <c r="RGM50" s="24"/>
      <c r="RGN50" s="24"/>
      <c r="RGO50" s="24"/>
      <c r="RGP50" s="24"/>
      <c r="RGQ50" s="24"/>
      <c r="RGR50" s="24"/>
      <c r="RGS50" s="24"/>
      <c r="RGT50" s="24"/>
      <c r="RGU50" s="24"/>
      <c r="RGV50" s="24"/>
      <c r="RGW50" s="24"/>
      <c r="RGX50" s="24"/>
      <c r="RGY50" s="24"/>
      <c r="RGZ50" s="24"/>
      <c r="RHA50" s="24"/>
      <c r="RHB50" s="24"/>
      <c r="RHC50" s="24"/>
      <c r="RHD50" s="24"/>
      <c r="RHE50" s="24"/>
      <c r="RHF50" s="24"/>
      <c r="RHG50" s="24"/>
      <c r="RHH50" s="24"/>
      <c r="RHI50" s="24"/>
      <c r="RHJ50" s="24"/>
      <c r="RHK50" s="24"/>
      <c r="RHL50" s="24"/>
      <c r="RHM50" s="24"/>
      <c r="RHN50" s="24"/>
      <c r="RHO50" s="24"/>
      <c r="RHP50" s="24"/>
      <c r="RHQ50" s="24"/>
      <c r="RHR50" s="24"/>
      <c r="RHS50" s="24"/>
      <c r="RHT50" s="24"/>
      <c r="RHU50" s="24"/>
      <c r="RHV50" s="24"/>
      <c r="RHW50" s="24"/>
      <c r="RHX50" s="24"/>
      <c r="RHY50" s="24"/>
      <c r="RHZ50" s="24"/>
      <c r="RIA50" s="24"/>
      <c r="RIB50" s="24"/>
      <c r="RIC50" s="24"/>
      <c r="RID50" s="24"/>
      <c r="RIE50" s="24"/>
      <c r="RIF50" s="24"/>
      <c r="RIG50" s="24"/>
      <c r="RIH50" s="24"/>
      <c r="RII50" s="24"/>
      <c r="RIJ50" s="24"/>
      <c r="RIK50" s="24"/>
      <c r="RIL50" s="24"/>
      <c r="RIM50" s="24"/>
      <c r="RIN50" s="24"/>
      <c r="RIO50" s="24"/>
      <c r="RIP50" s="24"/>
      <c r="RIQ50" s="24"/>
      <c r="RIR50" s="24"/>
      <c r="RIS50" s="24"/>
      <c r="RIT50" s="24"/>
      <c r="RIU50" s="24"/>
      <c r="RIV50" s="24"/>
      <c r="RIW50" s="24"/>
      <c r="RIX50" s="24"/>
      <c r="RIY50" s="24"/>
      <c r="RIZ50" s="24"/>
      <c r="RJA50" s="24"/>
      <c r="RJB50" s="24"/>
      <c r="RJC50" s="24"/>
      <c r="RJD50" s="24"/>
      <c r="RJE50" s="24"/>
      <c r="RJF50" s="24"/>
      <c r="RJG50" s="24"/>
      <c r="RJH50" s="24"/>
      <c r="RJI50" s="24"/>
      <c r="RJJ50" s="24"/>
      <c r="RJK50" s="24"/>
      <c r="RJL50" s="24"/>
      <c r="RJM50" s="24"/>
      <c r="RJN50" s="24"/>
      <c r="RJO50" s="24"/>
      <c r="RJP50" s="24"/>
      <c r="RJQ50" s="24"/>
      <c r="RJR50" s="24"/>
      <c r="RJS50" s="24"/>
      <c r="RJT50" s="24"/>
      <c r="RJU50" s="24"/>
      <c r="RJV50" s="24"/>
      <c r="RJW50" s="24"/>
      <c r="RJX50" s="24"/>
      <c r="RJY50" s="24"/>
      <c r="RJZ50" s="24"/>
      <c r="RKA50" s="24"/>
      <c r="RKB50" s="24"/>
      <c r="RKC50" s="24"/>
      <c r="RKD50" s="24"/>
      <c r="RKE50" s="24"/>
      <c r="RKF50" s="24"/>
      <c r="RKG50" s="24"/>
      <c r="RKH50" s="24"/>
      <c r="RKI50" s="24"/>
      <c r="RKJ50" s="24"/>
      <c r="RKK50" s="24"/>
      <c r="RKL50" s="24"/>
      <c r="RKM50" s="24"/>
      <c r="RKN50" s="24"/>
      <c r="RKO50" s="24"/>
      <c r="RKP50" s="24"/>
      <c r="RKQ50" s="24"/>
      <c r="RKR50" s="24"/>
      <c r="RKS50" s="24"/>
      <c r="RKT50" s="24"/>
      <c r="RKU50" s="24"/>
      <c r="RKV50" s="24"/>
      <c r="RKW50" s="24"/>
      <c r="RKX50" s="24"/>
      <c r="RKY50" s="24"/>
      <c r="RKZ50" s="24"/>
      <c r="RLA50" s="24"/>
      <c r="RLB50" s="24"/>
      <c r="RLC50" s="24"/>
      <c r="RLD50" s="24"/>
      <c r="RLE50" s="24"/>
      <c r="RLF50" s="24"/>
      <c r="RLG50" s="24"/>
      <c r="RLH50" s="24"/>
      <c r="RLI50" s="24"/>
      <c r="RLJ50" s="24"/>
      <c r="RLK50" s="24"/>
      <c r="RLL50" s="24"/>
      <c r="RLM50" s="24"/>
      <c r="RLN50" s="24"/>
      <c r="RLO50" s="24"/>
      <c r="RLP50" s="24"/>
      <c r="RLQ50" s="24"/>
      <c r="RLR50" s="24"/>
      <c r="RLS50" s="24"/>
      <c r="RLT50" s="24"/>
      <c r="RLU50" s="24"/>
      <c r="RLV50" s="24"/>
      <c r="RLW50" s="24"/>
      <c r="RLX50" s="24"/>
      <c r="RLY50" s="24"/>
      <c r="RLZ50" s="24"/>
      <c r="RMA50" s="24"/>
      <c r="RMB50" s="24"/>
      <c r="RMC50" s="24"/>
      <c r="RMD50" s="24"/>
      <c r="RME50" s="24"/>
      <c r="RMF50" s="24"/>
      <c r="RMG50" s="24"/>
      <c r="RMH50" s="24"/>
      <c r="RMI50" s="24"/>
      <c r="RMJ50" s="24"/>
      <c r="RMK50" s="24"/>
      <c r="RML50" s="24"/>
      <c r="RMM50" s="24"/>
      <c r="RMN50" s="24"/>
      <c r="RMO50" s="24"/>
      <c r="RMP50" s="24"/>
      <c r="RMQ50" s="24"/>
      <c r="RMR50" s="24"/>
      <c r="RMS50" s="24"/>
      <c r="RMT50" s="24"/>
      <c r="RMU50" s="24"/>
      <c r="RMV50" s="24"/>
      <c r="RMW50" s="24"/>
      <c r="RMX50" s="24"/>
      <c r="RMY50" s="24"/>
      <c r="RMZ50" s="24"/>
      <c r="RNA50" s="24"/>
      <c r="RNB50" s="24"/>
      <c r="RNC50" s="24"/>
      <c r="RND50" s="24"/>
      <c r="RNE50" s="24"/>
      <c r="RNF50" s="24"/>
      <c r="RNG50" s="24"/>
      <c r="RNH50" s="24"/>
      <c r="RNI50" s="24"/>
      <c r="RNJ50" s="24"/>
      <c r="RNK50" s="24"/>
      <c r="RNL50" s="24"/>
      <c r="RNM50" s="24"/>
      <c r="RNN50" s="24"/>
      <c r="RNO50" s="24"/>
      <c r="RNP50" s="24"/>
      <c r="RNQ50" s="24"/>
      <c r="RNR50" s="24"/>
      <c r="RNS50" s="24"/>
      <c r="RNT50" s="24"/>
      <c r="RNU50" s="24"/>
      <c r="RNV50" s="24"/>
      <c r="RNW50" s="24"/>
      <c r="RNX50" s="24"/>
      <c r="RNY50" s="24"/>
      <c r="RNZ50" s="24"/>
      <c r="ROA50" s="24"/>
      <c r="ROB50" s="24"/>
      <c r="ROC50" s="24"/>
      <c r="ROD50" s="24"/>
      <c r="ROE50" s="24"/>
      <c r="ROF50" s="24"/>
      <c r="ROG50" s="24"/>
      <c r="ROH50" s="24"/>
      <c r="ROI50" s="24"/>
      <c r="ROJ50" s="24"/>
      <c r="ROK50" s="24"/>
      <c r="ROL50" s="24"/>
      <c r="ROM50" s="24"/>
      <c r="RON50" s="24"/>
      <c r="ROO50" s="24"/>
      <c r="ROP50" s="24"/>
      <c r="ROQ50" s="24"/>
      <c r="ROR50" s="24"/>
      <c r="ROS50" s="24"/>
      <c r="ROT50" s="24"/>
      <c r="ROU50" s="24"/>
      <c r="ROV50" s="24"/>
      <c r="ROW50" s="24"/>
      <c r="ROX50" s="24"/>
      <c r="ROY50" s="24"/>
      <c r="ROZ50" s="24"/>
      <c r="RPA50" s="24"/>
      <c r="RPB50" s="24"/>
      <c r="RPC50" s="24"/>
      <c r="RPD50" s="24"/>
      <c r="RPE50" s="24"/>
      <c r="RPF50" s="24"/>
      <c r="RPG50" s="24"/>
      <c r="RPH50" s="24"/>
      <c r="RPI50" s="24"/>
      <c r="RPJ50" s="24"/>
      <c r="RPK50" s="24"/>
      <c r="RPL50" s="24"/>
      <c r="RPM50" s="24"/>
      <c r="RPN50" s="24"/>
      <c r="RPO50" s="24"/>
      <c r="RPP50" s="24"/>
      <c r="RPQ50" s="24"/>
      <c r="RPR50" s="24"/>
      <c r="RPS50" s="24"/>
      <c r="RPT50" s="24"/>
      <c r="RPU50" s="24"/>
      <c r="RPV50" s="24"/>
      <c r="RPW50" s="24"/>
      <c r="RPX50" s="24"/>
      <c r="RPY50" s="24"/>
      <c r="RPZ50" s="24"/>
      <c r="RQA50" s="24"/>
      <c r="RQB50" s="24"/>
      <c r="RQC50" s="24"/>
      <c r="RQD50" s="24"/>
      <c r="RQE50" s="24"/>
      <c r="RQF50" s="24"/>
      <c r="RQG50" s="24"/>
      <c r="RQH50" s="24"/>
      <c r="RQI50" s="24"/>
      <c r="RQJ50" s="24"/>
      <c r="RQK50" s="24"/>
      <c r="RQL50" s="24"/>
      <c r="RQM50" s="24"/>
      <c r="RQN50" s="24"/>
      <c r="RQO50" s="24"/>
      <c r="RQP50" s="24"/>
      <c r="RQQ50" s="24"/>
      <c r="RQR50" s="24"/>
      <c r="RQS50" s="24"/>
      <c r="RQT50" s="24"/>
      <c r="RQU50" s="24"/>
      <c r="RQV50" s="24"/>
      <c r="RQW50" s="24"/>
      <c r="RQX50" s="24"/>
      <c r="RQY50" s="24"/>
      <c r="RQZ50" s="24"/>
      <c r="RRA50" s="24"/>
      <c r="RRB50" s="24"/>
      <c r="RRC50" s="24"/>
      <c r="RRD50" s="24"/>
      <c r="RRE50" s="24"/>
      <c r="RRF50" s="24"/>
      <c r="RRG50" s="24"/>
      <c r="RRH50" s="24"/>
      <c r="RRI50" s="24"/>
      <c r="RRJ50" s="24"/>
      <c r="RRK50" s="24"/>
      <c r="RRL50" s="24"/>
      <c r="RRM50" s="24"/>
      <c r="RRN50" s="24"/>
      <c r="RRO50" s="24"/>
      <c r="RRP50" s="24"/>
      <c r="RRQ50" s="24"/>
      <c r="RRR50" s="24"/>
      <c r="RRS50" s="24"/>
      <c r="RRT50" s="24"/>
      <c r="RRU50" s="24"/>
      <c r="RRV50" s="24"/>
      <c r="RRW50" s="24"/>
      <c r="RRX50" s="24"/>
      <c r="RRY50" s="24"/>
      <c r="RRZ50" s="24"/>
      <c r="RSA50" s="24"/>
      <c r="RSB50" s="24"/>
      <c r="RSC50" s="24"/>
      <c r="RSD50" s="24"/>
      <c r="RSE50" s="24"/>
      <c r="RSF50" s="24"/>
      <c r="RSG50" s="24"/>
      <c r="RSH50" s="24"/>
      <c r="RSI50" s="24"/>
      <c r="RSJ50" s="24"/>
      <c r="RSK50" s="24"/>
      <c r="RSL50" s="24"/>
      <c r="RSM50" s="24"/>
      <c r="RSN50" s="24"/>
      <c r="RSO50" s="24"/>
      <c r="RSP50" s="24"/>
      <c r="RSQ50" s="24"/>
      <c r="RSR50" s="24"/>
      <c r="RSS50" s="24"/>
      <c r="RST50" s="24"/>
      <c r="RSU50" s="24"/>
      <c r="RSV50" s="24"/>
      <c r="RSW50" s="24"/>
      <c r="RSX50" s="24"/>
      <c r="RSY50" s="24"/>
      <c r="RSZ50" s="24"/>
      <c r="RTA50" s="24"/>
      <c r="RTB50" s="24"/>
      <c r="RTC50" s="24"/>
      <c r="RTD50" s="24"/>
      <c r="RTE50" s="24"/>
      <c r="RTF50" s="24"/>
      <c r="RTG50" s="24"/>
      <c r="RTH50" s="24"/>
      <c r="RTI50" s="24"/>
      <c r="RTJ50" s="24"/>
      <c r="RTK50" s="24"/>
      <c r="RTL50" s="24"/>
      <c r="RTM50" s="24"/>
      <c r="RTN50" s="24"/>
      <c r="RTO50" s="24"/>
      <c r="RTP50" s="24"/>
      <c r="RTQ50" s="24"/>
      <c r="RTR50" s="24"/>
      <c r="RTS50" s="24"/>
      <c r="RTT50" s="24"/>
      <c r="RTU50" s="24"/>
      <c r="RTV50" s="24"/>
      <c r="RTW50" s="24"/>
      <c r="RTX50" s="24"/>
      <c r="RTY50" s="24"/>
      <c r="RTZ50" s="24"/>
      <c r="RUA50" s="24"/>
      <c r="RUB50" s="24"/>
      <c r="RUC50" s="24"/>
      <c r="RUD50" s="24"/>
      <c r="RUE50" s="24"/>
      <c r="RUF50" s="24"/>
      <c r="RUG50" s="24"/>
      <c r="RUH50" s="24"/>
      <c r="RUI50" s="24"/>
      <c r="RUJ50" s="24"/>
      <c r="RUK50" s="24"/>
      <c r="RUL50" s="24"/>
      <c r="RUM50" s="24"/>
      <c r="RUN50" s="24"/>
      <c r="RUO50" s="24"/>
      <c r="RUP50" s="24"/>
      <c r="RUQ50" s="24"/>
      <c r="RUR50" s="24"/>
      <c r="RUS50" s="24"/>
      <c r="RUT50" s="24"/>
      <c r="RUU50" s="24"/>
      <c r="RUV50" s="24"/>
      <c r="RUW50" s="24"/>
      <c r="RUX50" s="24"/>
      <c r="RUY50" s="24"/>
      <c r="RUZ50" s="24"/>
      <c r="RVA50" s="24"/>
      <c r="RVB50" s="24"/>
      <c r="RVC50" s="24"/>
      <c r="RVD50" s="24"/>
      <c r="RVE50" s="24"/>
      <c r="RVF50" s="24"/>
      <c r="RVG50" s="24"/>
      <c r="RVH50" s="24"/>
      <c r="RVI50" s="24"/>
      <c r="RVJ50" s="24"/>
      <c r="RVK50" s="24"/>
      <c r="RVL50" s="24"/>
      <c r="RVM50" s="24"/>
      <c r="RVN50" s="24"/>
      <c r="RVO50" s="24"/>
      <c r="RVP50" s="24"/>
      <c r="RVQ50" s="24"/>
      <c r="RVR50" s="24"/>
      <c r="RVS50" s="24"/>
      <c r="RVT50" s="24"/>
      <c r="RVU50" s="24"/>
      <c r="RVV50" s="24"/>
      <c r="RVW50" s="24"/>
      <c r="RVX50" s="24"/>
      <c r="RVY50" s="24"/>
      <c r="RVZ50" s="24"/>
      <c r="RWA50" s="24"/>
      <c r="RWB50" s="24"/>
      <c r="RWC50" s="24"/>
      <c r="RWD50" s="24"/>
      <c r="RWE50" s="24"/>
      <c r="RWF50" s="24"/>
      <c r="RWG50" s="24"/>
      <c r="RWH50" s="24"/>
      <c r="RWI50" s="24"/>
      <c r="RWJ50" s="24"/>
      <c r="RWK50" s="24"/>
      <c r="RWL50" s="24"/>
      <c r="RWM50" s="24"/>
      <c r="RWN50" s="24"/>
      <c r="RWO50" s="24"/>
      <c r="RWP50" s="24"/>
      <c r="RWQ50" s="24"/>
      <c r="RWR50" s="24"/>
      <c r="RWS50" s="24"/>
      <c r="RWT50" s="24"/>
      <c r="RWU50" s="24"/>
      <c r="RWV50" s="24"/>
      <c r="RWW50" s="24"/>
      <c r="RWX50" s="24"/>
      <c r="RWY50" s="24"/>
      <c r="RWZ50" s="24"/>
      <c r="RXA50" s="24"/>
      <c r="RXB50" s="24"/>
      <c r="RXC50" s="24"/>
      <c r="RXD50" s="24"/>
      <c r="RXE50" s="24"/>
      <c r="RXF50" s="24"/>
      <c r="RXG50" s="24"/>
      <c r="RXH50" s="24"/>
      <c r="RXI50" s="24"/>
      <c r="RXJ50" s="24"/>
      <c r="RXK50" s="24"/>
      <c r="RXL50" s="24"/>
      <c r="RXM50" s="24"/>
      <c r="RXN50" s="24"/>
      <c r="RXO50" s="24"/>
      <c r="RXP50" s="24"/>
      <c r="RXQ50" s="24"/>
      <c r="RXR50" s="24"/>
      <c r="RXS50" s="24"/>
      <c r="RXT50" s="24"/>
      <c r="RXU50" s="24"/>
      <c r="RXV50" s="24"/>
      <c r="RXW50" s="24"/>
      <c r="RXX50" s="24"/>
      <c r="RXY50" s="24"/>
      <c r="RXZ50" s="24"/>
      <c r="RYA50" s="24"/>
      <c r="RYB50" s="24"/>
      <c r="RYC50" s="24"/>
      <c r="RYD50" s="24"/>
      <c r="RYE50" s="24"/>
      <c r="RYF50" s="24"/>
      <c r="RYG50" s="24"/>
      <c r="RYH50" s="24"/>
      <c r="RYI50" s="24"/>
      <c r="RYJ50" s="24"/>
      <c r="RYK50" s="24"/>
      <c r="RYL50" s="24"/>
      <c r="RYM50" s="24"/>
      <c r="RYN50" s="24"/>
      <c r="RYO50" s="24"/>
      <c r="RYP50" s="24"/>
      <c r="RYQ50" s="24"/>
      <c r="RYR50" s="24"/>
      <c r="RYS50" s="24"/>
      <c r="RYT50" s="24"/>
      <c r="RYU50" s="24"/>
      <c r="RYV50" s="24"/>
      <c r="RYW50" s="24"/>
      <c r="RYX50" s="24"/>
      <c r="RYY50" s="24"/>
      <c r="RYZ50" s="24"/>
      <c r="RZA50" s="24"/>
      <c r="RZB50" s="24"/>
      <c r="RZC50" s="24"/>
      <c r="RZD50" s="24"/>
      <c r="RZE50" s="24"/>
      <c r="RZF50" s="24"/>
      <c r="RZG50" s="24"/>
      <c r="RZH50" s="24"/>
      <c r="RZI50" s="24"/>
      <c r="RZJ50" s="24"/>
      <c r="RZK50" s="24"/>
      <c r="RZL50" s="24"/>
      <c r="RZM50" s="24"/>
      <c r="RZN50" s="24"/>
      <c r="RZO50" s="24"/>
      <c r="RZP50" s="24"/>
      <c r="RZQ50" s="24"/>
      <c r="RZR50" s="24"/>
      <c r="RZS50" s="24"/>
      <c r="RZT50" s="24"/>
      <c r="RZU50" s="24"/>
      <c r="RZV50" s="24"/>
      <c r="RZW50" s="24"/>
      <c r="RZX50" s="24"/>
      <c r="RZY50" s="24"/>
      <c r="RZZ50" s="24"/>
      <c r="SAA50" s="24"/>
      <c r="SAB50" s="24"/>
      <c r="SAC50" s="24"/>
      <c r="SAD50" s="24"/>
      <c r="SAE50" s="24"/>
      <c r="SAF50" s="24"/>
      <c r="SAG50" s="24"/>
      <c r="SAH50" s="24"/>
      <c r="SAI50" s="24"/>
      <c r="SAJ50" s="24"/>
      <c r="SAK50" s="24"/>
      <c r="SAL50" s="24"/>
      <c r="SAM50" s="24"/>
      <c r="SAN50" s="24"/>
      <c r="SAO50" s="24"/>
      <c r="SAP50" s="24"/>
      <c r="SAQ50" s="24"/>
      <c r="SAR50" s="24"/>
      <c r="SAS50" s="24"/>
      <c r="SAT50" s="24"/>
      <c r="SAU50" s="24"/>
      <c r="SAV50" s="24"/>
      <c r="SAW50" s="24"/>
      <c r="SAX50" s="24"/>
      <c r="SAY50" s="24"/>
      <c r="SAZ50" s="24"/>
      <c r="SBA50" s="24"/>
      <c r="SBB50" s="24"/>
      <c r="SBC50" s="24"/>
      <c r="SBD50" s="24"/>
      <c r="SBE50" s="24"/>
      <c r="SBF50" s="24"/>
      <c r="SBG50" s="24"/>
      <c r="SBH50" s="24"/>
      <c r="SBI50" s="24"/>
      <c r="SBJ50" s="24"/>
      <c r="SBK50" s="24"/>
      <c r="SBL50" s="24"/>
      <c r="SBM50" s="24"/>
      <c r="SBN50" s="24"/>
      <c r="SBO50" s="24"/>
      <c r="SBP50" s="24"/>
      <c r="SBQ50" s="24"/>
      <c r="SBR50" s="24"/>
      <c r="SBS50" s="24"/>
      <c r="SBT50" s="24"/>
      <c r="SBU50" s="24"/>
      <c r="SBV50" s="24"/>
      <c r="SBW50" s="24"/>
      <c r="SBX50" s="24"/>
      <c r="SBY50" s="24"/>
      <c r="SBZ50" s="24"/>
      <c r="SCA50" s="24"/>
      <c r="SCB50" s="24"/>
      <c r="SCC50" s="24"/>
      <c r="SCD50" s="24"/>
      <c r="SCE50" s="24"/>
      <c r="SCF50" s="24"/>
      <c r="SCG50" s="24"/>
      <c r="SCH50" s="24"/>
      <c r="SCI50" s="24"/>
      <c r="SCJ50" s="24"/>
      <c r="SCK50" s="24"/>
      <c r="SCL50" s="24"/>
      <c r="SCM50" s="24"/>
      <c r="SCN50" s="24"/>
      <c r="SCO50" s="24"/>
      <c r="SCP50" s="24"/>
      <c r="SCQ50" s="24"/>
      <c r="SCR50" s="24"/>
      <c r="SCS50" s="24"/>
      <c r="SCT50" s="24"/>
      <c r="SCU50" s="24"/>
      <c r="SCV50" s="24"/>
      <c r="SCW50" s="24"/>
      <c r="SCX50" s="24"/>
      <c r="SCY50" s="24"/>
      <c r="SCZ50" s="24"/>
      <c r="SDA50" s="24"/>
      <c r="SDB50" s="24"/>
      <c r="SDC50" s="24"/>
      <c r="SDD50" s="24"/>
      <c r="SDE50" s="24"/>
      <c r="SDF50" s="24"/>
      <c r="SDG50" s="24"/>
      <c r="SDH50" s="24"/>
      <c r="SDI50" s="24"/>
      <c r="SDJ50" s="24"/>
      <c r="SDK50" s="24"/>
      <c r="SDL50" s="24"/>
      <c r="SDM50" s="24"/>
      <c r="SDN50" s="24"/>
      <c r="SDO50" s="24"/>
      <c r="SDP50" s="24"/>
      <c r="SDQ50" s="24"/>
      <c r="SDR50" s="24"/>
      <c r="SDS50" s="24"/>
      <c r="SDT50" s="24"/>
      <c r="SDU50" s="24"/>
      <c r="SDV50" s="24"/>
      <c r="SDW50" s="24"/>
      <c r="SDX50" s="24"/>
      <c r="SDY50" s="24"/>
      <c r="SDZ50" s="24"/>
      <c r="SEA50" s="24"/>
      <c r="SEB50" s="24"/>
      <c r="SEC50" s="24"/>
      <c r="SED50" s="24"/>
      <c r="SEE50" s="24"/>
      <c r="SEF50" s="24"/>
      <c r="SEG50" s="24"/>
      <c r="SEH50" s="24"/>
      <c r="SEI50" s="24"/>
      <c r="SEJ50" s="24"/>
      <c r="SEK50" s="24"/>
      <c r="SEL50" s="24"/>
      <c r="SEM50" s="24"/>
      <c r="SEN50" s="24"/>
      <c r="SEO50" s="24"/>
      <c r="SEP50" s="24"/>
      <c r="SEQ50" s="24"/>
      <c r="SER50" s="24"/>
      <c r="SES50" s="24"/>
      <c r="SET50" s="24"/>
      <c r="SEU50" s="24"/>
      <c r="SEV50" s="24"/>
      <c r="SEW50" s="24"/>
      <c r="SEX50" s="24"/>
      <c r="SEY50" s="24"/>
      <c r="SEZ50" s="24"/>
      <c r="SFA50" s="24"/>
      <c r="SFB50" s="24"/>
      <c r="SFC50" s="24"/>
      <c r="SFD50" s="24"/>
      <c r="SFE50" s="24"/>
      <c r="SFF50" s="24"/>
      <c r="SFG50" s="24"/>
      <c r="SFH50" s="24"/>
      <c r="SFI50" s="24"/>
      <c r="SFJ50" s="24"/>
      <c r="SFK50" s="24"/>
      <c r="SFL50" s="24"/>
      <c r="SFM50" s="24"/>
      <c r="SFN50" s="24"/>
      <c r="SFO50" s="24"/>
      <c r="SFP50" s="24"/>
      <c r="SFQ50" s="24"/>
      <c r="SFR50" s="24"/>
      <c r="SFS50" s="24"/>
      <c r="SFT50" s="24"/>
      <c r="SFU50" s="24"/>
      <c r="SFV50" s="24"/>
      <c r="SFW50" s="24"/>
      <c r="SFX50" s="24"/>
      <c r="SFY50" s="24"/>
      <c r="SFZ50" s="24"/>
      <c r="SGA50" s="24"/>
      <c r="SGB50" s="24"/>
      <c r="SGC50" s="24"/>
      <c r="SGD50" s="24"/>
      <c r="SGE50" s="24"/>
      <c r="SGF50" s="24"/>
      <c r="SGG50" s="24"/>
      <c r="SGH50" s="24"/>
      <c r="SGI50" s="24"/>
      <c r="SGJ50" s="24"/>
      <c r="SGK50" s="24"/>
      <c r="SGL50" s="24"/>
      <c r="SGM50" s="24"/>
      <c r="SGN50" s="24"/>
      <c r="SGO50" s="24"/>
      <c r="SGP50" s="24"/>
      <c r="SGQ50" s="24"/>
      <c r="SGR50" s="24"/>
      <c r="SGS50" s="24"/>
      <c r="SGT50" s="24"/>
      <c r="SGU50" s="24"/>
      <c r="SGV50" s="24"/>
      <c r="SGW50" s="24"/>
      <c r="SGX50" s="24"/>
      <c r="SGY50" s="24"/>
      <c r="SGZ50" s="24"/>
      <c r="SHA50" s="24"/>
      <c r="SHB50" s="24"/>
      <c r="SHC50" s="24"/>
      <c r="SHD50" s="24"/>
      <c r="SHE50" s="24"/>
      <c r="SHF50" s="24"/>
      <c r="SHG50" s="24"/>
      <c r="SHH50" s="24"/>
      <c r="SHI50" s="24"/>
      <c r="SHJ50" s="24"/>
      <c r="SHK50" s="24"/>
      <c r="SHL50" s="24"/>
      <c r="SHM50" s="24"/>
      <c r="SHN50" s="24"/>
      <c r="SHO50" s="24"/>
      <c r="SHP50" s="24"/>
      <c r="SHQ50" s="24"/>
      <c r="SHR50" s="24"/>
      <c r="SHS50" s="24"/>
      <c r="SHT50" s="24"/>
      <c r="SHU50" s="24"/>
      <c r="SHV50" s="24"/>
      <c r="SHW50" s="24"/>
      <c r="SHX50" s="24"/>
      <c r="SHY50" s="24"/>
      <c r="SHZ50" s="24"/>
      <c r="SIA50" s="24"/>
      <c r="SIB50" s="24"/>
      <c r="SIC50" s="24"/>
      <c r="SID50" s="24"/>
      <c r="SIE50" s="24"/>
      <c r="SIF50" s="24"/>
      <c r="SIG50" s="24"/>
      <c r="SIH50" s="24"/>
      <c r="SII50" s="24"/>
      <c r="SIJ50" s="24"/>
      <c r="SIK50" s="24"/>
      <c r="SIL50" s="24"/>
      <c r="SIM50" s="24"/>
      <c r="SIN50" s="24"/>
      <c r="SIO50" s="24"/>
      <c r="SIP50" s="24"/>
      <c r="SIQ50" s="24"/>
      <c r="SIR50" s="24"/>
      <c r="SIS50" s="24"/>
      <c r="SIT50" s="24"/>
      <c r="SIU50" s="24"/>
      <c r="SIV50" s="24"/>
      <c r="SIW50" s="24"/>
      <c r="SIX50" s="24"/>
      <c r="SIY50" s="24"/>
      <c r="SIZ50" s="24"/>
      <c r="SJA50" s="24"/>
      <c r="SJB50" s="24"/>
      <c r="SJC50" s="24"/>
      <c r="SJD50" s="24"/>
      <c r="SJE50" s="24"/>
      <c r="SJF50" s="24"/>
      <c r="SJG50" s="24"/>
      <c r="SJH50" s="24"/>
      <c r="SJI50" s="24"/>
      <c r="SJJ50" s="24"/>
      <c r="SJK50" s="24"/>
      <c r="SJL50" s="24"/>
      <c r="SJM50" s="24"/>
      <c r="SJN50" s="24"/>
      <c r="SJO50" s="24"/>
      <c r="SJP50" s="24"/>
      <c r="SJQ50" s="24"/>
      <c r="SJR50" s="24"/>
      <c r="SJS50" s="24"/>
      <c r="SJT50" s="24"/>
      <c r="SJU50" s="24"/>
      <c r="SJV50" s="24"/>
      <c r="SJW50" s="24"/>
      <c r="SJX50" s="24"/>
      <c r="SJY50" s="24"/>
      <c r="SJZ50" s="24"/>
      <c r="SKA50" s="24"/>
      <c r="SKB50" s="24"/>
      <c r="SKC50" s="24"/>
      <c r="SKD50" s="24"/>
      <c r="SKE50" s="24"/>
      <c r="SKF50" s="24"/>
      <c r="SKG50" s="24"/>
      <c r="SKH50" s="24"/>
      <c r="SKI50" s="24"/>
      <c r="SKJ50" s="24"/>
      <c r="SKK50" s="24"/>
      <c r="SKL50" s="24"/>
      <c r="SKM50" s="24"/>
      <c r="SKN50" s="24"/>
      <c r="SKO50" s="24"/>
      <c r="SKP50" s="24"/>
      <c r="SKQ50" s="24"/>
      <c r="SKR50" s="24"/>
      <c r="SKS50" s="24"/>
      <c r="SKT50" s="24"/>
      <c r="SKU50" s="24"/>
      <c r="SKV50" s="24"/>
      <c r="SKW50" s="24"/>
      <c r="SKX50" s="24"/>
      <c r="SKY50" s="24"/>
      <c r="SKZ50" s="24"/>
      <c r="SLA50" s="24"/>
      <c r="SLB50" s="24"/>
      <c r="SLC50" s="24"/>
      <c r="SLD50" s="24"/>
      <c r="SLE50" s="24"/>
      <c r="SLF50" s="24"/>
      <c r="SLG50" s="24"/>
      <c r="SLH50" s="24"/>
      <c r="SLI50" s="24"/>
      <c r="SLJ50" s="24"/>
      <c r="SLK50" s="24"/>
      <c r="SLL50" s="24"/>
      <c r="SLM50" s="24"/>
      <c r="SLN50" s="24"/>
      <c r="SLO50" s="24"/>
      <c r="SLP50" s="24"/>
      <c r="SLQ50" s="24"/>
      <c r="SLR50" s="24"/>
      <c r="SLS50" s="24"/>
      <c r="SLT50" s="24"/>
      <c r="SLU50" s="24"/>
      <c r="SLV50" s="24"/>
      <c r="SLW50" s="24"/>
      <c r="SLX50" s="24"/>
      <c r="SLY50" s="24"/>
      <c r="SLZ50" s="24"/>
      <c r="SMA50" s="24"/>
      <c r="SMB50" s="24"/>
      <c r="SMC50" s="24"/>
      <c r="SMD50" s="24"/>
      <c r="SME50" s="24"/>
      <c r="SMF50" s="24"/>
      <c r="SMG50" s="24"/>
      <c r="SMH50" s="24"/>
      <c r="SMI50" s="24"/>
      <c r="SMJ50" s="24"/>
      <c r="SMK50" s="24"/>
      <c r="SML50" s="24"/>
      <c r="SMM50" s="24"/>
      <c r="SMN50" s="24"/>
      <c r="SMO50" s="24"/>
      <c r="SMP50" s="24"/>
      <c r="SMQ50" s="24"/>
      <c r="SMR50" s="24"/>
      <c r="SMS50" s="24"/>
      <c r="SMT50" s="24"/>
      <c r="SMU50" s="24"/>
      <c r="SMV50" s="24"/>
      <c r="SMW50" s="24"/>
      <c r="SMX50" s="24"/>
      <c r="SMY50" s="24"/>
      <c r="SMZ50" s="24"/>
      <c r="SNA50" s="24"/>
      <c r="SNB50" s="24"/>
      <c r="SNC50" s="24"/>
      <c r="SND50" s="24"/>
      <c r="SNE50" s="24"/>
      <c r="SNF50" s="24"/>
      <c r="SNG50" s="24"/>
      <c r="SNH50" s="24"/>
      <c r="SNI50" s="24"/>
      <c r="SNJ50" s="24"/>
      <c r="SNK50" s="24"/>
      <c r="SNL50" s="24"/>
      <c r="SNM50" s="24"/>
      <c r="SNN50" s="24"/>
      <c r="SNO50" s="24"/>
      <c r="SNP50" s="24"/>
      <c r="SNQ50" s="24"/>
      <c r="SNR50" s="24"/>
      <c r="SNS50" s="24"/>
      <c r="SNT50" s="24"/>
      <c r="SNU50" s="24"/>
      <c r="SNV50" s="24"/>
      <c r="SNW50" s="24"/>
      <c r="SNX50" s="24"/>
      <c r="SNY50" s="24"/>
      <c r="SNZ50" s="24"/>
      <c r="SOA50" s="24"/>
      <c r="SOB50" s="24"/>
      <c r="SOC50" s="24"/>
      <c r="SOD50" s="24"/>
      <c r="SOE50" s="24"/>
      <c r="SOF50" s="24"/>
      <c r="SOG50" s="24"/>
      <c r="SOH50" s="24"/>
      <c r="SOI50" s="24"/>
      <c r="SOJ50" s="24"/>
      <c r="SOK50" s="24"/>
      <c r="SOL50" s="24"/>
      <c r="SOM50" s="24"/>
      <c r="SON50" s="24"/>
      <c r="SOO50" s="24"/>
      <c r="SOP50" s="24"/>
      <c r="SOQ50" s="24"/>
      <c r="SOR50" s="24"/>
      <c r="SOS50" s="24"/>
      <c r="SOT50" s="24"/>
      <c r="SOU50" s="24"/>
      <c r="SOV50" s="24"/>
      <c r="SOW50" s="24"/>
      <c r="SOX50" s="24"/>
      <c r="SOY50" s="24"/>
      <c r="SOZ50" s="24"/>
      <c r="SPA50" s="24"/>
      <c r="SPB50" s="24"/>
      <c r="SPC50" s="24"/>
      <c r="SPD50" s="24"/>
      <c r="SPE50" s="24"/>
      <c r="SPF50" s="24"/>
      <c r="SPG50" s="24"/>
      <c r="SPH50" s="24"/>
      <c r="SPI50" s="24"/>
      <c r="SPJ50" s="24"/>
      <c r="SPK50" s="24"/>
      <c r="SPL50" s="24"/>
      <c r="SPM50" s="24"/>
      <c r="SPN50" s="24"/>
      <c r="SPO50" s="24"/>
      <c r="SPP50" s="24"/>
      <c r="SPQ50" s="24"/>
      <c r="SPR50" s="24"/>
      <c r="SPS50" s="24"/>
      <c r="SPT50" s="24"/>
      <c r="SPU50" s="24"/>
      <c r="SPV50" s="24"/>
      <c r="SPW50" s="24"/>
      <c r="SPX50" s="24"/>
      <c r="SPY50" s="24"/>
      <c r="SPZ50" s="24"/>
      <c r="SQA50" s="24"/>
      <c r="SQB50" s="24"/>
      <c r="SQC50" s="24"/>
      <c r="SQD50" s="24"/>
      <c r="SQE50" s="24"/>
      <c r="SQF50" s="24"/>
      <c r="SQG50" s="24"/>
      <c r="SQH50" s="24"/>
      <c r="SQI50" s="24"/>
      <c r="SQJ50" s="24"/>
      <c r="SQK50" s="24"/>
      <c r="SQL50" s="24"/>
      <c r="SQM50" s="24"/>
      <c r="SQN50" s="24"/>
      <c r="SQO50" s="24"/>
      <c r="SQP50" s="24"/>
      <c r="SQQ50" s="24"/>
      <c r="SQR50" s="24"/>
      <c r="SQS50" s="24"/>
      <c r="SQT50" s="24"/>
      <c r="SQU50" s="24"/>
      <c r="SQV50" s="24"/>
      <c r="SQW50" s="24"/>
      <c r="SQX50" s="24"/>
      <c r="SQY50" s="24"/>
      <c r="SQZ50" s="24"/>
      <c r="SRA50" s="24"/>
      <c r="SRB50" s="24"/>
      <c r="SRC50" s="24"/>
      <c r="SRD50" s="24"/>
      <c r="SRE50" s="24"/>
      <c r="SRF50" s="24"/>
      <c r="SRG50" s="24"/>
      <c r="SRH50" s="24"/>
      <c r="SRI50" s="24"/>
      <c r="SRJ50" s="24"/>
      <c r="SRK50" s="24"/>
      <c r="SRL50" s="24"/>
      <c r="SRM50" s="24"/>
      <c r="SRN50" s="24"/>
      <c r="SRO50" s="24"/>
      <c r="SRP50" s="24"/>
      <c r="SRQ50" s="24"/>
      <c r="SRR50" s="24"/>
      <c r="SRS50" s="24"/>
      <c r="SRT50" s="24"/>
      <c r="SRU50" s="24"/>
      <c r="SRV50" s="24"/>
      <c r="SRW50" s="24"/>
      <c r="SRX50" s="24"/>
      <c r="SRY50" s="24"/>
      <c r="SRZ50" s="24"/>
      <c r="SSA50" s="24"/>
      <c r="SSB50" s="24"/>
      <c r="SSC50" s="24"/>
      <c r="SSD50" s="24"/>
      <c r="SSE50" s="24"/>
      <c r="SSF50" s="24"/>
      <c r="SSG50" s="24"/>
      <c r="SSH50" s="24"/>
      <c r="SSI50" s="24"/>
      <c r="SSJ50" s="24"/>
      <c r="SSK50" s="24"/>
      <c r="SSL50" s="24"/>
      <c r="SSM50" s="24"/>
      <c r="SSN50" s="24"/>
      <c r="SSO50" s="24"/>
      <c r="SSP50" s="24"/>
      <c r="SSQ50" s="24"/>
      <c r="SSR50" s="24"/>
      <c r="SSS50" s="24"/>
      <c r="SST50" s="24"/>
      <c r="SSU50" s="24"/>
      <c r="SSV50" s="24"/>
      <c r="SSW50" s="24"/>
      <c r="SSX50" s="24"/>
      <c r="SSY50" s="24"/>
      <c r="SSZ50" s="24"/>
      <c r="STA50" s="24"/>
      <c r="STB50" s="24"/>
      <c r="STC50" s="24"/>
      <c r="STD50" s="24"/>
      <c r="STE50" s="24"/>
      <c r="STF50" s="24"/>
      <c r="STG50" s="24"/>
      <c r="STH50" s="24"/>
      <c r="STI50" s="24"/>
      <c r="STJ50" s="24"/>
      <c r="STK50" s="24"/>
      <c r="STL50" s="24"/>
      <c r="STM50" s="24"/>
      <c r="STN50" s="24"/>
      <c r="STO50" s="24"/>
      <c r="STP50" s="24"/>
      <c r="STQ50" s="24"/>
      <c r="STR50" s="24"/>
      <c r="STS50" s="24"/>
      <c r="STT50" s="24"/>
      <c r="STU50" s="24"/>
      <c r="STV50" s="24"/>
      <c r="STW50" s="24"/>
      <c r="STX50" s="24"/>
      <c r="STY50" s="24"/>
      <c r="STZ50" s="24"/>
      <c r="SUA50" s="24"/>
      <c r="SUB50" s="24"/>
      <c r="SUC50" s="24"/>
      <c r="SUD50" s="24"/>
      <c r="SUE50" s="24"/>
      <c r="SUF50" s="24"/>
      <c r="SUG50" s="24"/>
      <c r="SUH50" s="24"/>
      <c r="SUI50" s="24"/>
      <c r="SUJ50" s="24"/>
      <c r="SUK50" s="24"/>
      <c r="SUL50" s="24"/>
      <c r="SUM50" s="24"/>
      <c r="SUN50" s="24"/>
      <c r="SUO50" s="24"/>
      <c r="SUP50" s="24"/>
      <c r="SUQ50" s="24"/>
      <c r="SUR50" s="24"/>
      <c r="SUS50" s="24"/>
      <c r="SUT50" s="24"/>
      <c r="SUU50" s="24"/>
      <c r="SUV50" s="24"/>
      <c r="SUW50" s="24"/>
      <c r="SUX50" s="24"/>
      <c r="SUY50" s="24"/>
      <c r="SUZ50" s="24"/>
      <c r="SVA50" s="24"/>
      <c r="SVB50" s="24"/>
      <c r="SVC50" s="24"/>
      <c r="SVD50" s="24"/>
      <c r="SVE50" s="24"/>
      <c r="SVF50" s="24"/>
      <c r="SVG50" s="24"/>
      <c r="SVH50" s="24"/>
      <c r="SVI50" s="24"/>
      <c r="SVJ50" s="24"/>
      <c r="SVK50" s="24"/>
      <c r="SVL50" s="24"/>
      <c r="SVM50" s="24"/>
      <c r="SVN50" s="24"/>
      <c r="SVO50" s="24"/>
      <c r="SVP50" s="24"/>
      <c r="SVQ50" s="24"/>
      <c r="SVR50" s="24"/>
      <c r="SVS50" s="24"/>
      <c r="SVT50" s="24"/>
      <c r="SVU50" s="24"/>
      <c r="SVV50" s="24"/>
      <c r="SVW50" s="24"/>
      <c r="SVX50" s="24"/>
      <c r="SVY50" s="24"/>
      <c r="SVZ50" s="24"/>
      <c r="SWA50" s="24"/>
      <c r="SWB50" s="24"/>
      <c r="SWC50" s="24"/>
      <c r="SWD50" s="24"/>
      <c r="SWE50" s="24"/>
      <c r="SWF50" s="24"/>
      <c r="SWG50" s="24"/>
      <c r="SWH50" s="24"/>
      <c r="SWI50" s="24"/>
      <c r="SWJ50" s="24"/>
      <c r="SWK50" s="24"/>
      <c r="SWL50" s="24"/>
      <c r="SWM50" s="24"/>
      <c r="SWN50" s="24"/>
      <c r="SWO50" s="24"/>
      <c r="SWP50" s="24"/>
      <c r="SWQ50" s="24"/>
      <c r="SWR50" s="24"/>
      <c r="SWS50" s="24"/>
      <c r="SWT50" s="24"/>
      <c r="SWU50" s="24"/>
      <c r="SWV50" s="24"/>
      <c r="SWW50" s="24"/>
      <c r="SWX50" s="24"/>
      <c r="SWY50" s="24"/>
      <c r="SWZ50" s="24"/>
      <c r="SXA50" s="24"/>
      <c r="SXB50" s="24"/>
      <c r="SXC50" s="24"/>
      <c r="SXD50" s="24"/>
      <c r="SXE50" s="24"/>
      <c r="SXF50" s="24"/>
      <c r="SXG50" s="24"/>
      <c r="SXH50" s="24"/>
      <c r="SXI50" s="24"/>
      <c r="SXJ50" s="24"/>
      <c r="SXK50" s="24"/>
      <c r="SXL50" s="24"/>
      <c r="SXM50" s="24"/>
      <c r="SXN50" s="24"/>
      <c r="SXO50" s="24"/>
      <c r="SXP50" s="24"/>
      <c r="SXQ50" s="24"/>
      <c r="SXR50" s="24"/>
      <c r="SXS50" s="24"/>
      <c r="SXT50" s="24"/>
      <c r="SXU50" s="24"/>
      <c r="SXV50" s="24"/>
      <c r="SXW50" s="24"/>
      <c r="SXX50" s="24"/>
      <c r="SXY50" s="24"/>
      <c r="SXZ50" s="24"/>
      <c r="SYA50" s="24"/>
      <c r="SYB50" s="24"/>
      <c r="SYC50" s="24"/>
      <c r="SYD50" s="24"/>
      <c r="SYE50" s="24"/>
      <c r="SYF50" s="24"/>
      <c r="SYG50" s="24"/>
      <c r="SYH50" s="24"/>
      <c r="SYI50" s="24"/>
      <c r="SYJ50" s="24"/>
      <c r="SYK50" s="24"/>
      <c r="SYL50" s="24"/>
      <c r="SYM50" s="24"/>
      <c r="SYN50" s="24"/>
      <c r="SYO50" s="24"/>
      <c r="SYP50" s="24"/>
      <c r="SYQ50" s="24"/>
      <c r="SYR50" s="24"/>
      <c r="SYS50" s="24"/>
      <c r="SYT50" s="24"/>
      <c r="SYU50" s="24"/>
      <c r="SYV50" s="24"/>
      <c r="SYW50" s="24"/>
      <c r="SYX50" s="24"/>
      <c r="SYY50" s="24"/>
      <c r="SYZ50" s="24"/>
      <c r="SZA50" s="24"/>
      <c r="SZB50" s="24"/>
      <c r="SZC50" s="24"/>
      <c r="SZD50" s="24"/>
      <c r="SZE50" s="24"/>
      <c r="SZF50" s="24"/>
      <c r="SZG50" s="24"/>
      <c r="SZH50" s="24"/>
      <c r="SZI50" s="24"/>
      <c r="SZJ50" s="24"/>
      <c r="SZK50" s="24"/>
      <c r="SZL50" s="24"/>
      <c r="SZM50" s="24"/>
      <c r="SZN50" s="24"/>
      <c r="SZO50" s="24"/>
      <c r="SZP50" s="24"/>
      <c r="SZQ50" s="24"/>
      <c r="SZR50" s="24"/>
      <c r="SZS50" s="24"/>
      <c r="SZT50" s="24"/>
      <c r="SZU50" s="24"/>
      <c r="SZV50" s="24"/>
      <c r="SZW50" s="24"/>
      <c r="SZX50" s="24"/>
      <c r="SZY50" s="24"/>
      <c r="SZZ50" s="24"/>
      <c r="TAA50" s="24"/>
      <c r="TAB50" s="24"/>
      <c r="TAC50" s="24"/>
      <c r="TAD50" s="24"/>
      <c r="TAE50" s="24"/>
      <c r="TAF50" s="24"/>
      <c r="TAG50" s="24"/>
      <c r="TAH50" s="24"/>
      <c r="TAI50" s="24"/>
      <c r="TAJ50" s="24"/>
      <c r="TAK50" s="24"/>
      <c r="TAL50" s="24"/>
      <c r="TAM50" s="24"/>
      <c r="TAN50" s="24"/>
      <c r="TAO50" s="24"/>
      <c r="TAP50" s="24"/>
      <c r="TAQ50" s="24"/>
      <c r="TAR50" s="24"/>
      <c r="TAS50" s="24"/>
      <c r="TAT50" s="24"/>
      <c r="TAU50" s="24"/>
      <c r="TAV50" s="24"/>
      <c r="TAW50" s="24"/>
      <c r="TAX50" s="24"/>
      <c r="TAY50" s="24"/>
      <c r="TAZ50" s="24"/>
      <c r="TBA50" s="24"/>
      <c r="TBB50" s="24"/>
      <c r="TBC50" s="24"/>
      <c r="TBD50" s="24"/>
      <c r="TBE50" s="24"/>
      <c r="TBF50" s="24"/>
      <c r="TBG50" s="24"/>
      <c r="TBH50" s="24"/>
      <c r="TBI50" s="24"/>
      <c r="TBJ50" s="24"/>
      <c r="TBK50" s="24"/>
      <c r="TBL50" s="24"/>
      <c r="TBM50" s="24"/>
      <c r="TBN50" s="24"/>
      <c r="TBO50" s="24"/>
      <c r="TBP50" s="24"/>
      <c r="TBQ50" s="24"/>
      <c r="TBR50" s="24"/>
      <c r="TBS50" s="24"/>
      <c r="TBT50" s="24"/>
      <c r="TBU50" s="24"/>
      <c r="TBV50" s="24"/>
      <c r="TBW50" s="24"/>
      <c r="TBX50" s="24"/>
      <c r="TBY50" s="24"/>
      <c r="TBZ50" s="24"/>
      <c r="TCA50" s="24"/>
      <c r="TCB50" s="24"/>
      <c r="TCC50" s="24"/>
      <c r="TCD50" s="24"/>
      <c r="TCE50" s="24"/>
      <c r="TCF50" s="24"/>
      <c r="TCG50" s="24"/>
      <c r="TCH50" s="24"/>
      <c r="TCI50" s="24"/>
      <c r="TCJ50" s="24"/>
      <c r="TCK50" s="24"/>
      <c r="TCL50" s="24"/>
      <c r="TCM50" s="24"/>
      <c r="TCN50" s="24"/>
      <c r="TCO50" s="24"/>
      <c r="TCP50" s="24"/>
      <c r="TCQ50" s="24"/>
      <c r="TCR50" s="24"/>
      <c r="TCS50" s="24"/>
      <c r="TCT50" s="24"/>
      <c r="TCU50" s="24"/>
      <c r="TCV50" s="24"/>
      <c r="TCW50" s="24"/>
      <c r="TCX50" s="24"/>
      <c r="TCY50" s="24"/>
      <c r="TCZ50" s="24"/>
      <c r="TDA50" s="24"/>
      <c r="TDB50" s="24"/>
      <c r="TDC50" s="24"/>
      <c r="TDD50" s="24"/>
      <c r="TDE50" s="24"/>
      <c r="TDF50" s="24"/>
      <c r="TDG50" s="24"/>
      <c r="TDH50" s="24"/>
      <c r="TDI50" s="24"/>
      <c r="TDJ50" s="24"/>
      <c r="TDK50" s="24"/>
      <c r="TDL50" s="24"/>
      <c r="TDM50" s="24"/>
      <c r="TDN50" s="24"/>
      <c r="TDO50" s="24"/>
      <c r="TDP50" s="24"/>
      <c r="TDQ50" s="24"/>
      <c r="TDR50" s="24"/>
      <c r="TDS50" s="24"/>
      <c r="TDT50" s="24"/>
      <c r="TDU50" s="24"/>
      <c r="TDV50" s="24"/>
      <c r="TDW50" s="24"/>
      <c r="TDX50" s="24"/>
      <c r="TDY50" s="24"/>
      <c r="TDZ50" s="24"/>
      <c r="TEA50" s="24"/>
      <c r="TEB50" s="24"/>
      <c r="TEC50" s="24"/>
      <c r="TED50" s="24"/>
      <c r="TEE50" s="24"/>
      <c r="TEF50" s="24"/>
      <c r="TEG50" s="24"/>
      <c r="TEH50" s="24"/>
      <c r="TEI50" s="24"/>
      <c r="TEJ50" s="24"/>
      <c r="TEK50" s="24"/>
      <c r="TEL50" s="24"/>
      <c r="TEM50" s="24"/>
      <c r="TEN50" s="24"/>
      <c r="TEO50" s="24"/>
      <c r="TEP50" s="24"/>
      <c r="TEQ50" s="24"/>
      <c r="TER50" s="24"/>
      <c r="TES50" s="24"/>
      <c r="TET50" s="24"/>
      <c r="TEU50" s="24"/>
      <c r="TEV50" s="24"/>
      <c r="TEW50" s="24"/>
      <c r="TEX50" s="24"/>
      <c r="TEY50" s="24"/>
      <c r="TEZ50" s="24"/>
      <c r="TFA50" s="24"/>
      <c r="TFB50" s="24"/>
      <c r="TFC50" s="24"/>
      <c r="TFD50" s="24"/>
      <c r="TFE50" s="24"/>
      <c r="TFF50" s="24"/>
      <c r="TFG50" s="24"/>
      <c r="TFH50" s="24"/>
      <c r="TFI50" s="24"/>
      <c r="TFJ50" s="24"/>
      <c r="TFK50" s="24"/>
      <c r="TFL50" s="24"/>
      <c r="TFM50" s="24"/>
      <c r="TFN50" s="24"/>
      <c r="TFO50" s="24"/>
      <c r="TFP50" s="24"/>
      <c r="TFQ50" s="24"/>
      <c r="TFR50" s="24"/>
      <c r="TFS50" s="24"/>
      <c r="TFT50" s="24"/>
      <c r="TFU50" s="24"/>
      <c r="TFV50" s="24"/>
      <c r="TFW50" s="24"/>
      <c r="TFX50" s="24"/>
      <c r="TFY50" s="24"/>
      <c r="TFZ50" s="24"/>
      <c r="TGA50" s="24"/>
      <c r="TGB50" s="24"/>
      <c r="TGC50" s="24"/>
      <c r="TGD50" s="24"/>
      <c r="TGE50" s="24"/>
      <c r="TGF50" s="24"/>
      <c r="TGG50" s="24"/>
      <c r="TGH50" s="24"/>
      <c r="TGI50" s="24"/>
      <c r="TGJ50" s="24"/>
      <c r="TGK50" s="24"/>
      <c r="TGL50" s="24"/>
      <c r="TGM50" s="24"/>
      <c r="TGN50" s="24"/>
      <c r="TGO50" s="24"/>
      <c r="TGP50" s="24"/>
      <c r="TGQ50" s="24"/>
      <c r="TGR50" s="24"/>
      <c r="TGS50" s="24"/>
      <c r="TGT50" s="24"/>
      <c r="TGU50" s="24"/>
      <c r="TGV50" s="24"/>
      <c r="TGW50" s="24"/>
      <c r="TGX50" s="24"/>
      <c r="TGY50" s="24"/>
      <c r="TGZ50" s="24"/>
      <c r="THA50" s="24"/>
      <c r="THB50" s="24"/>
      <c r="THC50" s="24"/>
      <c r="THD50" s="24"/>
      <c r="THE50" s="24"/>
      <c r="THF50" s="24"/>
      <c r="THG50" s="24"/>
      <c r="THH50" s="24"/>
      <c r="THI50" s="24"/>
      <c r="THJ50" s="24"/>
      <c r="THK50" s="24"/>
      <c r="THL50" s="24"/>
      <c r="THM50" s="24"/>
      <c r="THN50" s="24"/>
      <c r="THO50" s="24"/>
      <c r="THP50" s="24"/>
      <c r="THQ50" s="24"/>
      <c r="THR50" s="24"/>
      <c r="THS50" s="24"/>
      <c r="THT50" s="24"/>
      <c r="THU50" s="24"/>
      <c r="THV50" s="24"/>
      <c r="THW50" s="24"/>
      <c r="THX50" s="24"/>
      <c r="THY50" s="24"/>
      <c r="THZ50" s="24"/>
      <c r="TIA50" s="24"/>
      <c r="TIB50" s="24"/>
      <c r="TIC50" s="24"/>
      <c r="TID50" s="24"/>
      <c r="TIE50" s="24"/>
      <c r="TIF50" s="24"/>
      <c r="TIG50" s="24"/>
      <c r="TIH50" s="24"/>
      <c r="TII50" s="24"/>
      <c r="TIJ50" s="24"/>
      <c r="TIK50" s="24"/>
      <c r="TIL50" s="24"/>
      <c r="TIM50" s="24"/>
      <c r="TIN50" s="24"/>
      <c r="TIO50" s="24"/>
      <c r="TIP50" s="24"/>
      <c r="TIQ50" s="24"/>
      <c r="TIR50" s="24"/>
      <c r="TIS50" s="24"/>
      <c r="TIT50" s="24"/>
      <c r="TIU50" s="24"/>
      <c r="TIV50" s="24"/>
      <c r="TIW50" s="24"/>
      <c r="TIX50" s="24"/>
      <c r="TIY50" s="24"/>
      <c r="TIZ50" s="24"/>
      <c r="TJA50" s="24"/>
      <c r="TJB50" s="24"/>
      <c r="TJC50" s="24"/>
      <c r="TJD50" s="24"/>
      <c r="TJE50" s="24"/>
      <c r="TJF50" s="24"/>
      <c r="TJG50" s="24"/>
      <c r="TJH50" s="24"/>
      <c r="TJI50" s="24"/>
      <c r="TJJ50" s="24"/>
      <c r="TJK50" s="24"/>
      <c r="TJL50" s="24"/>
      <c r="TJM50" s="24"/>
      <c r="TJN50" s="24"/>
      <c r="TJO50" s="24"/>
      <c r="TJP50" s="24"/>
      <c r="TJQ50" s="24"/>
      <c r="TJR50" s="24"/>
      <c r="TJS50" s="24"/>
      <c r="TJT50" s="24"/>
      <c r="TJU50" s="24"/>
      <c r="TJV50" s="24"/>
      <c r="TJW50" s="24"/>
      <c r="TJX50" s="24"/>
      <c r="TJY50" s="24"/>
      <c r="TJZ50" s="24"/>
      <c r="TKA50" s="24"/>
      <c r="TKB50" s="24"/>
      <c r="TKC50" s="24"/>
      <c r="TKD50" s="24"/>
      <c r="TKE50" s="24"/>
      <c r="TKF50" s="24"/>
      <c r="TKG50" s="24"/>
      <c r="TKH50" s="24"/>
      <c r="TKI50" s="24"/>
      <c r="TKJ50" s="24"/>
      <c r="TKK50" s="24"/>
      <c r="TKL50" s="24"/>
      <c r="TKM50" s="24"/>
      <c r="TKN50" s="24"/>
      <c r="TKO50" s="24"/>
      <c r="TKP50" s="24"/>
      <c r="TKQ50" s="24"/>
      <c r="TKR50" s="24"/>
      <c r="TKS50" s="24"/>
      <c r="TKT50" s="24"/>
      <c r="TKU50" s="24"/>
      <c r="TKV50" s="24"/>
      <c r="TKW50" s="24"/>
      <c r="TKX50" s="24"/>
      <c r="TKY50" s="24"/>
      <c r="TKZ50" s="24"/>
      <c r="TLA50" s="24"/>
      <c r="TLB50" s="24"/>
      <c r="TLC50" s="24"/>
      <c r="TLD50" s="24"/>
      <c r="TLE50" s="24"/>
      <c r="TLF50" s="24"/>
      <c r="TLG50" s="24"/>
      <c r="TLH50" s="24"/>
      <c r="TLI50" s="24"/>
      <c r="TLJ50" s="24"/>
      <c r="TLK50" s="24"/>
      <c r="TLL50" s="24"/>
      <c r="TLM50" s="24"/>
      <c r="TLN50" s="24"/>
      <c r="TLO50" s="24"/>
      <c r="TLP50" s="24"/>
      <c r="TLQ50" s="24"/>
      <c r="TLR50" s="24"/>
      <c r="TLS50" s="24"/>
      <c r="TLT50" s="24"/>
      <c r="TLU50" s="24"/>
      <c r="TLV50" s="24"/>
      <c r="TLW50" s="24"/>
      <c r="TLX50" s="24"/>
      <c r="TLY50" s="24"/>
      <c r="TLZ50" s="24"/>
      <c r="TMA50" s="24"/>
      <c r="TMB50" s="24"/>
      <c r="TMC50" s="24"/>
      <c r="TMD50" s="24"/>
      <c r="TME50" s="24"/>
      <c r="TMF50" s="24"/>
      <c r="TMG50" s="24"/>
      <c r="TMH50" s="24"/>
      <c r="TMI50" s="24"/>
      <c r="TMJ50" s="24"/>
      <c r="TMK50" s="24"/>
      <c r="TML50" s="24"/>
      <c r="TMM50" s="24"/>
      <c r="TMN50" s="24"/>
      <c r="TMO50" s="24"/>
      <c r="TMP50" s="24"/>
      <c r="TMQ50" s="24"/>
      <c r="TMR50" s="24"/>
      <c r="TMS50" s="24"/>
      <c r="TMT50" s="24"/>
      <c r="TMU50" s="24"/>
      <c r="TMV50" s="24"/>
      <c r="TMW50" s="24"/>
      <c r="TMX50" s="24"/>
      <c r="TMY50" s="24"/>
      <c r="TMZ50" s="24"/>
      <c r="TNA50" s="24"/>
      <c r="TNB50" s="24"/>
      <c r="TNC50" s="24"/>
      <c r="TND50" s="24"/>
      <c r="TNE50" s="24"/>
      <c r="TNF50" s="24"/>
      <c r="TNG50" s="24"/>
      <c r="TNH50" s="24"/>
      <c r="TNI50" s="24"/>
      <c r="TNJ50" s="24"/>
      <c r="TNK50" s="24"/>
      <c r="TNL50" s="24"/>
      <c r="TNM50" s="24"/>
      <c r="TNN50" s="24"/>
      <c r="TNO50" s="24"/>
      <c r="TNP50" s="24"/>
      <c r="TNQ50" s="24"/>
      <c r="TNR50" s="24"/>
      <c r="TNS50" s="24"/>
      <c r="TNT50" s="24"/>
      <c r="TNU50" s="24"/>
      <c r="TNV50" s="24"/>
      <c r="TNW50" s="24"/>
      <c r="TNX50" s="24"/>
      <c r="TNY50" s="24"/>
      <c r="TNZ50" s="24"/>
      <c r="TOA50" s="24"/>
      <c r="TOB50" s="24"/>
      <c r="TOC50" s="24"/>
      <c r="TOD50" s="24"/>
      <c r="TOE50" s="24"/>
      <c r="TOF50" s="24"/>
      <c r="TOG50" s="24"/>
      <c r="TOH50" s="24"/>
      <c r="TOI50" s="24"/>
      <c r="TOJ50" s="24"/>
      <c r="TOK50" s="24"/>
      <c r="TOL50" s="24"/>
      <c r="TOM50" s="24"/>
      <c r="TON50" s="24"/>
      <c r="TOO50" s="24"/>
      <c r="TOP50" s="24"/>
      <c r="TOQ50" s="24"/>
      <c r="TOR50" s="24"/>
      <c r="TOS50" s="24"/>
      <c r="TOT50" s="24"/>
      <c r="TOU50" s="24"/>
      <c r="TOV50" s="24"/>
      <c r="TOW50" s="24"/>
      <c r="TOX50" s="24"/>
      <c r="TOY50" s="24"/>
      <c r="TOZ50" s="24"/>
      <c r="TPA50" s="24"/>
      <c r="TPB50" s="24"/>
      <c r="TPC50" s="24"/>
      <c r="TPD50" s="24"/>
      <c r="TPE50" s="24"/>
      <c r="TPF50" s="24"/>
      <c r="TPG50" s="24"/>
      <c r="TPH50" s="24"/>
      <c r="TPI50" s="24"/>
      <c r="TPJ50" s="24"/>
      <c r="TPK50" s="24"/>
      <c r="TPL50" s="24"/>
      <c r="TPM50" s="24"/>
      <c r="TPN50" s="24"/>
      <c r="TPO50" s="24"/>
      <c r="TPP50" s="24"/>
      <c r="TPQ50" s="24"/>
      <c r="TPR50" s="24"/>
      <c r="TPS50" s="24"/>
      <c r="TPT50" s="24"/>
      <c r="TPU50" s="24"/>
      <c r="TPV50" s="24"/>
      <c r="TPW50" s="24"/>
      <c r="TPX50" s="24"/>
      <c r="TPY50" s="24"/>
      <c r="TPZ50" s="24"/>
      <c r="TQA50" s="24"/>
      <c r="TQB50" s="24"/>
      <c r="TQC50" s="24"/>
      <c r="TQD50" s="24"/>
      <c r="TQE50" s="24"/>
      <c r="TQF50" s="24"/>
      <c r="TQG50" s="24"/>
      <c r="TQH50" s="24"/>
      <c r="TQI50" s="24"/>
      <c r="TQJ50" s="24"/>
      <c r="TQK50" s="24"/>
      <c r="TQL50" s="24"/>
      <c r="TQM50" s="24"/>
      <c r="TQN50" s="24"/>
      <c r="TQO50" s="24"/>
      <c r="TQP50" s="24"/>
      <c r="TQQ50" s="24"/>
      <c r="TQR50" s="24"/>
      <c r="TQS50" s="24"/>
      <c r="TQT50" s="24"/>
      <c r="TQU50" s="24"/>
      <c r="TQV50" s="24"/>
      <c r="TQW50" s="24"/>
      <c r="TQX50" s="24"/>
      <c r="TQY50" s="24"/>
      <c r="TQZ50" s="24"/>
      <c r="TRA50" s="24"/>
      <c r="TRB50" s="24"/>
      <c r="TRC50" s="24"/>
      <c r="TRD50" s="24"/>
      <c r="TRE50" s="24"/>
      <c r="TRF50" s="24"/>
      <c r="TRG50" s="24"/>
      <c r="TRH50" s="24"/>
      <c r="TRI50" s="24"/>
      <c r="TRJ50" s="24"/>
      <c r="TRK50" s="24"/>
      <c r="TRL50" s="24"/>
      <c r="TRM50" s="24"/>
      <c r="TRN50" s="24"/>
      <c r="TRO50" s="24"/>
      <c r="TRP50" s="24"/>
      <c r="TRQ50" s="24"/>
      <c r="TRR50" s="24"/>
      <c r="TRS50" s="24"/>
      <c r="TRT50" s="24"/>
      <c r="TRU50" s="24"/>
      <c r="TRV50" s="24"/>
      <c r="TRW50" s="24"/>
      <c r="TRX50" s="24"/>
      <c r="TRY50" s="24"/>
      <c r="TRZ50" s="24"/>
      <c r="TSA50" s="24"/>
      <c r="TSB50" s="24"/>
      <c r="TSC50" s="24"/>
      <c r="TSD50" s="24"/>
      <c r="TSE50" s="24"/>
      <c r="TSF50" s="24"/>
      <c r="TSG50" s="24"/>
      <c r="TSH50" s="24"/>
      <c r="TSI50" s="24"/>
      <c r="TSJ50" s="24"/>
      <c r="TSK50" s="24"/>
      <c r="TSL50" s="24"/>
      <c r="TSM50" s="24"/>
      <c r="TSN50" s="24"/>
      <c r="TSO50" s="24"/>
      <c r="TSP50" s="24"/>
      <c r="TSQ50" s="24"/>
      <c r="TSR50" s="24"/>
      <c r="TSS50" s="24"/>
      <c r="TST50" s="24"/>
      <c r="TSU50" s="24"/>
      <c r="TSV50" s="24"/>
      <c r="TSW50" s="24"/>
      <c r="TSX50" s="24"/>
      <c r="TSY50" s="24"/>
      <c r="TSZ50" s="24"/>
      <c r="TTA50" s="24"/>
      <c r="TTB50" s="24"/>
      <c r="TTC50" s="24"/>
      <c r="TTD50" s="24"/>
      <c r="TTE50" s="24"/>
      <c r="TTF50" s="24"/>
      <c r="TTG50" s="24"/>
      <c r="TTH50" s="24"/>
      <c r="TTI50" s="24"/>
      <c r="TTJ50" s="24"/>
      <c r="TTK50" s="24"/>
      <c r="TTL50" s="24"/>
      <c r="TTM50" s="24"/>
      <c r="TTN50" s="24"/>
      <c r="TTO50" s="24"/>
      <c r="TTP50" s="24"/>
      <c r="TTQ50" s="24"/>
      <c r="TTR50" s="24"/>
      <c r="TTS50" s="24"/>
      <c r="TTT50" s="24"/>
      <c r="TTU50" s="24"/>
      <c r="TTV50" s="24"/>
      <c r="TTW50" s="24"/>
      <c r="TTX50" s="24"/>
      <c r="TTY50" s="24"/>
      <c r="TTZ50" s="24"/>
      <c r="TUA50" s="24"/>
      <c r="TUB50" s="24"/>
      <c r="TUC50" s="24"/>
      <c r="TUD50" s="24"/>
      <c r="TUE50" s="24"/>
      <c r="TUF50" s="24"/>
      <c r="TUG50" s="24"/>
      <c r="TUH50" s="24"/>
      <c r="TUI50" s="24"/>
      <c r="TUJ50" s="24"/>
      <c r="TUK50" s="24"/>
      <c r="TUL50" s="24"/>
      <c r="TUM50" s="24"/>
      <c r="TUN50" s="24"/>
      <c r="TUO50" s="24"/>
      <c r="TUP50" s="24"/>
      <c r="TUQ50" s="24"/>
      <c r="TUR50" s="24"/>
      <c r="TUS50" s="24"/>
      <c r="TUT50" s="24"/>
      <c r="TUU50" s="24"/>
      <c r="TUV50" s="24"/>
      <c r="TUW50" s="24"/>
      <c r="TUX50" s="24"/>
      <c r="TUY50" s="24"/>
      <c r="TUZ50" s="24"/>
      <c r="TVA50" s="24"/>
      <c r="TVB50" s="24"/>
      <c r="TVC50" s="24"/>
      <c r="TVD50" s="24"/>
      <c r="TVE50" s="24"/>
      <c r="TVF50" s="24"/>
      <c r="TVG50" s="24"/>
      <c r="TVH50" s="24"/>
      <c r="TVI50" s="24"/>
      <c r="TVJ50" s="24"/>
      <c r="TVK50" s="24"/>
      <c r="TVL50" s="24"/>
      <c r="TVM50" s="24"/>
      <c r="TVN50" s="24"/>
      <c r="TVO50" s="24"/>
      <c r="TVP50" s="24"/>
      <c r="TVQ50" s="24"/>
      <c r="TVR50" s="24"/>
      <c r="TVS50" s="24"/>
      <c r="TVT50" s="24"/>
      <c r="TVU50" s="24"/>
      <c r="TVV50" s="24"/>
      <c r="TVW50" s="24"/>
      <c r="TVX50" s="24"/>
      <c r="TVY50" s="24"/>
      <c r="TVZ50" s="24"/>
      <c r="TWA50" s="24"/>
      <c r="TWB50" s="24"/>
      <c r="TWC50" s="24"/>
      <c r="TWD50" s="24"/>
      <c r="TWE50" s="24"/>
      <c r="TWF50" s="24"/>
      <c r="TWG50" s="24"/>
      <c r="TWH50" s="24"/>
      <c r="TWI50" s="24"/>
      <c r="TWJ50" s="24"/>
      <c r="TWK50" s="24"/>
      <c r="TWL50" s="24"/>
      <c r="TWM50" s="24"/>
      <c r="TWN50" s="24"/>
      <c r="TWO50" s="24"/>
      <c r="TWP50" s="24"/>
      <c r="TWQ50" s="24"/>
      <c r="TWR50" s="24"/>
      <c r="TWS50" s="24"/>
      <c r="TWT50" s="24"/>
      <c r="TWU50" s="24"/>
      <c r="TWV50" s="24"/>
      <c r="TWW50" s="24"/>
      <c r="TWX50" s="24"/>
      <c r="TWY50" s="24"/>
      <c r="TWZ50" s="24"/>
      <c r="TXA50" s="24"/>
      <c r="TXB50" s="24"/>
      <c r="TXC50" s="24"/>
      <c r="TXD50" s="24"/>
      <c r="TXE50" s="24"/>
      <c r="TXF50" s="24"/>
      <c r="TXG50" s="24"/>
      <c r="TXH50" s="24"/>
      <c r="TXI50" s="24"/>
      <c r="TXJ50" s="24"/>
      <c r="TXK50" s="24"/>
      <c r="TXL50" s="24"/>
      <c r="TXM50" s="24"/>
      <c r="TXN50" s="24"/>
      <c r="TXO50" s="24"/>
      <c r="TXP50" s="24"/>
      <c r="TXQ50" s="24"/>
      <c r="TXR50" s="24"/>
      <c r="TXS50" s="24"/>
      <c r="TXT50" s="24"/>
      <c r="TXU50" s="24"/>
      <c r="TXV50" s="24"/>
      <c r="TXW50" s="24"/>
      <c r="TXX50" s="24"/>
      <c r="TXY50" s="24"/>
      <c r="TXZ50" s="24"/>
      <c r="TYA50" s="24"/>
      <c r="TYB50" s="24"/>
      <c r="TYC50" s="24"/>
      <c r="TYD50" s="24"/>
      <c r="TYE50" s="24"/>
      <c r="TYF50" s="24"/>
      <c r="TYG50" s="24"/>
      <c r="TYH50" s="24"/>
      <c r="TYI50" s="24"/>
      <c r="TYJ50" s="24"/>
      <c r="TYK50" s="24"/>
      <c r="TYL50" s="24"/>
      <c r="TYM50" s="24"/>
      <c r="TYN50" s="24"/>
      <c r="TYO50" s="24"/>
      <c r="TYP50" s="24"/>
      <c r="TYQ50" s="24"/>
      <c r="TYR50" s="24"/>
      <c r="TYS50" s="24"/>
      <c r="TYT50" s="24"/>
      <c r="TYU50" s="24"/>
      <c r="TYV50" s="24"/>
      <c r="TYW50" s="24"/>
      <c r="TYX50" s="24"/>
      <c r="TYY50" s="24"/>
      <c r="TYZ50" s="24"/>
      <c r="TZA50" s="24"/>
      <c r="TZB50" s="24"/>
      <c r="TZC50" s="24"/>
      <c r="TZD50" s="24"/>
      <c r="TZE50" s="24"/>
      <c r="TZF50" s="24"/>
      <c r="TZG50" s="24"/>
      <c r="TZH50" s="24"/>
      <c r="TZI50" s="24"/>
      <c r="TZJ50" s="24"/>
      <c r="TZK50" s="24"/>
      <c r="TZL50" s="24"/>
      <c r="TZM50" s="24"/>
      <c r="TZN50" s="24"/>
      <c r="TZO50" s="24"/>
      <c r="TZP50" s="24"/>
      <c r="TZQ50" s="24"/>
      <c r="TZR50" s="24"/>
      <c r="TZS50" s="24"/>
      <c r="TZT50" s="24"/>
      <c r="TZU50" s="24"/>
      <c r="TZV50" s="24"/>
      <c r="TZW50" s="24"/>
      <c r="TZX50" s="24"/>
      <c r="TZY50" s="24"/>
      <c r="TZZ50" s="24"/>
      <c r="UAA50" s="24"/>
      <c r="UAB50" s="24"/>
      <c r="UAC50" s="24"/>
      <c r="UAD50" s="24"/>
      <c r="UAE50" s="24"/>
      <c r="UAF50" s="24"/>
      <c r="UAG50" s="24"/>
      <c r="UAH50" s="24"/>
      <c r="UAI50" s="24"/>
      <c r="UAJ50" s="24"/>
      <c r="UAK50" s="24"/>
      <c r="UAL50" s="24"/>
      <c r="UAM50" s="24"/>
      <c r="UAN50" s="24"/>
      <c r="UAO50" s="24"/>
      <c r="UAP50" s="24"/>
      <c r="UAQ50" s="24"/>
      <c r="UAR50" s="24"/>
      <c r="UAS50" s="24"/>
      <c r="UAT50" s="24"/>
      <c r="UAU50" s="24"/>
      <c r="UAV50" s="24"/>
      <c r="UAW50" s="24"/>
      <c r="UAX50" s="24"/>
      <c r="UAY50" s="24"/>
      <c r="UAZ50" s="24"/>
      <c r="UBA50" s="24"/>
      <c r="UBB50" s="24"/>
      <c r="UBC50" s="24"/>
      <c r="UBD50" s="24"/>
      <c r="UBE50" s="24"/>
      <c r="UBF50" s="24"/>
      <c r="UBG50" s="24"/>
      <c r="UBH50" s="24"/>
      <c r="UBI50" s="24"/>
      <c r="UBJ50" s="24"/>
      <c r="UBK50" s="24"/>
      <c r="UBL50" s="24"/>
      <c r="UBM50" s="24"/>
      <c r="UBN50" s="24"/>
      <c r="UBO50" s="24"/>
      <c r="UBP50" s="24"/>
      <c r="UBQ50" s="24"/>
      <c r="UBR50" s="24"/>
      <c r="UBS50" s="24"/>
      <c r="UBT50" s="24"/>
      <c r="UBU50" s="24"/>
      <c r="UBV50" s="24"/>
      <c r="UBW50" s="24"/>
      <c r="UBX50" s="24"/>
      <c r="UBY50" s="24"/>
      <c r="UBZ50" s="24"/>
      <c r="UCA50" s="24"/>
      <c r="UCB50" s="24"/>
      <c r="UCC50" s="24"/>
      <c r="UCD50" s="24"/>
      <c r="UCE50" s="24"/>
      <c r="UCF50" s="24"/>
      <c r="UCG50" s="24"/>
      <c r="UCH50" s="24"/>
      <c r="UCI50" s="24"/>
      <c r="UCJ50" s="24"/>
      <c r="UCK50" s="24"/>
      <c r="UCL50" s="24"/>
      <c r="UCM50" s="24"/>
      <c r="UCN50" s="24"/>
      <c r="UCO50" s="24"/>
      <c r="UCP50" s="24"/>
      <c r="UCQ50" s="24"/>
      <c r="UCR50" s="24"/>
      <c r="UCS50" s="24"/>
      <c r="UCT50" s="24"/>
      <c r="UCU50" s="24"/>
      <c r="UCV50" s="24"/>
      <c r="UCW50" s="24"/>
      <c r="UCX50" s="24"/>
      <c r="UCY50" s="24"/>
      <c r="UCZ50" s="24"/>
      <c r="UDA50" s="24"/>
      <c r="UDB50" s="24"/>
      <c r="UDC50" s="24"/>
      <c r="UDD50" s="24"/>
      <c r="UDE50" s="24"/>
      <c r="UDF50" s="24"/>
      <c r="UDG50" s="24"/>
      <c r="UDH50" s="24"/>
      <c r="UDI50" s="24"/>
      <c r="UDJ50" s="24"/>
      <c r="UDK50" s="24"/>
      <c r="UDL50" s="24"/>
      <c r="UDM50" s="24"/>
      <c r="UDN50" s="24"/>
      <c r="UDO50" s="24"/>
      <c r="UDP50" s="24"/>
      <c r="UDQ50" s="24"/>
      <c r="UDR50" s="24"/>
      <c r="UDS50" s="24"/>
      <c r="UDT50" s="24"/>
      <c r="UDU50" s="24"/>
      <c r="UDV50" s="24"/>
      <c r="UDW50" s="24"/>
      <c r="UDX50" s="24"/>
      <c r="UDY50" s="24"/>
      <c r="UDZ50" s="24"/>
      <c r="UEA50" s="24"/>
      <c r="UEB50" s="24"/>
      <c r="UEC50" s="24"/>
      <c r="UED50" s="24"/>
      <c r="UEE50" s="24"/>
      <c r="UEF50" s="24"/>
      <c r="UEG50" s="24"/>
      <c r="UEH50" s="24"/>
      <c r="UEI50" s="24"/>
      <c r="UEJ50" s="24"/>
      <c r="UEK50" s="24"/>
      <c r="UEL50" s="24"/>
      <c r="UEM50" s="24"/>
      <c r="UEN50" s="24"/>
      <c r="UEO50" s="24"/>
      <c r="UEP50" s="24"/>
      <c r="UEQ50" s="24"/>
      <c r="UER50" s="24"/>
      <c r="UES50" s="24"/>
      <c r="UET50" s="24"/>
      <c r="UEU50" s="24"/>
      <c r="UEV50" s="24"/>
      <c r="UEW50" s="24"/>
      <c r="UEX50" s="24"/>
      <c r="UEY50" s="24"/>
      <c r="UEZ50" s="24"/>
      <c r="UFA50" s="24"/>
      <c r="UFB50" s="24"/>
      <c r="UFC50" s="24"/>
      <c r="UFD50" s="24"/>
      <c r="UFE50" s="24"/>
      <c r="UFF50" s="24"/>
      <c r="UFG50" s="24"/>
      <c r="UFH50" s="24"/>
      <c r="UFI50" s="24"/>
      <c r="UFJ50" s="24"/>
      <c r="UFK50" s="24"/>
      <c r="UFL50" s="24"/>
      <c r="UFM50" s="24"/>
      <c r="UFN50" s="24"/>
      <c r="UFO50" s="24"/>
      <c r="UFP50" s="24"/>
      <c r="UFQ50" s="24"/>
      <c r="UFR50" s="24"/>
      <c r="UFS50" s="24"/>
      <c r="UFT50" s="24"/>
      <c r="UFU50" s="24"/>
      <c r="UFV50" s="24"/>
      <c r="UFW50" s="24"/>
      <c r="UFX50" s="24"/>
      <c r="UFY50" s="24"/>
      <c r="UFZ50" s="24"/>
      <c r="UGA50" s="24"/>
      <c r="UGB50" s="24"/>
      <c r="UGC50" s="24"/>
      <c r="UGD50" s="24"/>
      <c r="UGE50" s="24"/>
      <c r="UGF50" s="24"/>
      <c r="UGG50" s="24"/>
      <c r="UGH50" s="24"/>
      <c r="UGI50" s="24"/>
      <c r="UGJ50" s="24"/>
      <c r="UGK50" s="24"/>
      <c r="UGL50" s="24"/>
      <c r="UGM50" s="24"/>
      <c r="UGN50" s="24"/>
      <c r="UGO50" s="24"/>
      <c r="UGP50" s="24"/>
      <c r="UGQ50" s="24"/>
      <c r="UGR50" s="24"/>
      <c r="UGS50" s="24"/>
      <c r="UGT50" s="24"/>
      <c r="UGU50" s="24"/>
      <c r="UGV50" s="24"/>
      <c r="UGW50" s="24"/>
      <c r="UGX50" s="24"/>
      <c r="UGY50" s="24"/>
      <c r="UGZ50" s="24"/>
      <c r="UHA50" s="24"/>
      <c r="UHB50" s="24"/>
      <c r="UHC50" s="24"/>
      <c r="UHD50" s="24"/>
      <c r="UHE50" s="24"/>
      <c r="UHF50" s="24"/>
      <c r="UHG50" s="24"/>
      <c r="UHH50" s="24"/>
      <c r="UHI50" s="24"/>
      <c r="UHJ50" s="24"/>
      <c r="UHK50" s="24"/>
      <c r="UHL50" s="24"/>
      <c r="UHM50" s="24"/>
      <c r="UHN50" s="24"/>
      <c r="UHO50" s="24"/>
      <c r="UHP50" s="24"/>
      <c r="UHQ50" s="24"/>
      <c r="UHR50" s="24"/>
      <c r="UHS50" s="24"/>
      <c r="UHT50" s="24"/>
      <c r="UHU50" s="24"/>
      <c r="UHV50" s="24"/>
      <c r="UHW50" s="24"/>
      <c r="UHX50" s="24"/>
      <c r="UHY50" s="24"/>
      <c r="UHZ50" s="24"/>
      <c r="UIA50" s="24"/>
      <c r="UIB50" s="24"/>
      <c r="UIC50" s="24"/>
      <c r="UID50" s="24"/>
      <c r="UIE50" s="24"/>
      <c r="UIF50" s="24"/>
      <c r="UIG50" s="24"/>
      <c r="UIH50" s="24"/>
      <c r="UII50" s="24"/>
      <c r="UIJ50" s="24"/>
      <c r="UIK50" s="24"/>
      <c r="UIL50" s="24"/>
      <c r="UIM50" s="24"/>
      <c r="UIN50" s="24"/>
      <c r="UIO50" s="24"/>
      <c r="UIP50" s="24"/>
      <c r="UIQ50" s="24"/>
      <c r="UIR50" s="24"/>
      <c r="UIS50" s="24"/>
      <c r="UIT50" s="24"/>
      <c r="UIU50" s="24"/>
      <c r="UIV50" s="24"/>
      <c r="UIW50" s="24"/>
      <c r="UIX50" s="24"/>
      <c r="UIY50" s="24"/>
      <c r="UIZ50" s="24"/>
      <c r="UJA50" s="24"/>
      <c r="UJB50" s="24"/>
      <c r="UJC50" s="24"/>
      <c r="UJD50" s="24"/>
      <c r="UJE50" s="24"/>
      <c r="UJF50" s="24"/>
      <c r="UJG50" s="24"/>
      <c r="UJH50" s="24"/>
      <c r="UJI50" s="24"/>
      <c r="UJJ50" s="24"/>
      <c r="UJK50" s="24"/>
      <c r="UJL50" s="24"/>
      <c r="UJM50" s="24"/>
      <c r="UJN50" s="24"/>
      <c r="UJO50" s="24"/>
      <c r="UJP50" s="24"/>
      <c r="UJQ50" s="24"/>
      <c r="UJR50" s="24"/>
      <c r="UJS50" s="24"/>
      <c r="UJT50" s="24"/>
      <c r="UJU50" s="24"/>
      <c r="UJV50" s="24"/>
      <c r="UJW50" s="24"/>
      <c r="UJX50" s="24"/>
      <c r="UJY50" s="24"/>
      <c r="UJZ50" s="24"/>
      <c r="UKA50" s="24"/>
      <c r="UKB50" s="24"/>
      <c r="UKC50" s="24"/>
      <c r="UKD50" s="24"/>
      <c r="UKE50" s="24"/>
      <c r="UKF50" s="24"/>
      <c r="UKG50" s="24"/>
      <c r="UKH50" s="24"/>
      <c r="UKI50" s="24"/>
      <c r="UKJ50" s="24"/>
      <c r="UKK50" s="24"/>
      <c r="UKL50" s="24"/>
      <c r="UKM50" s="24"/>
      <c r="UKN50" s="24"/>
      <c r="UKO50" s="24"/>
      <c r="UKP50" s="24"/>
      <c r="UKQ50" s="24"/>
      <c r="UKR50" s="24"/>
      <c r="UKS50" s="24"/>
      <c r="UKT50" s="24"/>
      <c r="UKU50" s="24"/>
      <c r="UKV50" s="24"/>
      <c r="UKW50" s="24"/>
      <c r="UKX50" s="24"/>
      <c r="UKY50" s="24"/>
      <c r="UKZ50" s="24"/>
      <c r="ULA50" s="24"/>
      <c r="ULB50" s="24"/>
      <c r="ULC50" s="24"/>
      <c r="ULD50" s="24"/>
      <c r="ULE50" s="24"/>
      <c r="ULF50" s="24"/>
      <c r="ULG50" s="24"/>
      <c r="ULH50" s="24"/>
      <c r="ULI50" s="24"/>
      <c r="ULJ50" s="24"/>
      <c r="ULK50" s="24"/>
      <c r="ULL50" s="24"/>
      <c r="ULM50" s="24"/>
      <c r="ULN50" s="24"/>
      <c r="ULO50" s="24"/>
      <c r="ULP50" s="24"/>
      <c r="ULQ50" s="24"/>
      <c r="ULR50" s="24"/>
      <c r="ULS50" s="24"/>
      <c r="ULT50" s="24"/>
      <c r="ULU50" s="24"/>
      <c r="ULV50" s="24"/>
      <c r="ULW50" s="24"/>
      <c r="ULX50" s="24"/>
      <c r="ULY50" s="24"/>
      <c r="ULZ50" s="24"/>
      <c r="UMA50" s="24"/>
      <c r="UMB50" s="24"/>
      <c r="UMC50" s="24"/>
      <c r="UMD50" s="24"/>
      <c r="UME50" s="24"/>
      <c r="UMF50" s="24"/>
      <c r="UMG50" s="24"/>
      <c r="UMH50" s="24"/>
      <c r="UMI50" s="24"/>
      <c r="UMJ50" s="24"/>
      <c r="UMK50" s="24"/>
      <c r="UML50" s="24"/>
      <c r="UMM50" s="24"/>
      <c r="UMN50" s="24"/>
      <c r="UMO50" s="24"/>
      <c r="UMP50" s="24"/>
      <c r="UMQ50" s="24"/>
      <c r="UMR50" s="24"/>
      <c r="UMS50" s="24"/>
      <c r="UMT50" s="24"/>
      <c r="UMU50" s="24"/>
      <c r="UMV50" s="24"/>
      <c r="UMW50" s="24"/>
      <c r="UMX50" s="24"/>
      <c r="UMY50" s="24"/>
      <c r="UMZ50" s="24"/>
      <c r="UNA50" s="24"/>
      <c r="UNB50" s="24"/>
      <c r="UNC50" s="24"/>
      <c r="UND50" s="24"/>
      <c r="UNE50" s="24"/>
      <c r="UNF50" s="24"/>
      <c r="UNG50" s="24"/>
      <c r="UNH50" s="24"/>
      <c r="UNI50" s="24"/>
      <c r="UNJ50" s="24"/>
      <c r="UNK50" s="24"/>
      <c r="UNL50" s="24"/>
      <c r="UNM50" s="24"/>
      <c r="UNN50" s="24"/>
      <c r="UNO50" s="24"/>
      <c r="UNP50" s="24"/>
      <c r="UNQ50" s="24"/>
      <c r="UNR50" s="24"/>
      <c r="UNS50" s="24"/>
      <c r="UNT50" s="24"/>
      <c r="UNU50" s="24"/>
      <c r="UNV50" s="24"/>
      <c r="UNW50" s="24"/>
      <c r="UNX50" s="24"/>
      <c r="UNY50" s="24"/>
      <c r="UNZ50" s="24"/>
      <c r="UOA50" s="24"/>
      <c r="UOB50" s="24"/>
      <c r="UOC50" s="24"/>
      <c r="UOD50" s="24"/>
      <c r="UOE50" s="24"/>
      <c r="UOF50" s="24"/>
      <c r="UOG50" s="24"/>
      <c r="UOH50" s="24"/>
      <c r="UOI50" s="24"/>
      <c r="UOJ50" s="24"/>
      <c r="UOK50" s="24"/>
      <c r="UOL50" s="24"/>
      <c r="UOM50" s="24"/>
      <c r="UON50" s="24"/>
      <c r="UOO50" s="24"/>
      <c r="UOP50" s="24"/>
      <c r="UOQ50" s="24"/>
      <c r="UOR50" s="24"/>
      <c r="UOS50" s="24"/>
      <c r="UOT50" s="24"/>
      <c r="UOU50" s="24"/>
      <c r="UOV50" s="24"/>
      <c r="UOW50" s="24"/>
      <c r="UOX50" s="24"/>
      <c r="UOY50" s="24"/>
      <c r="UOZ50" s="24"/>
      <c r="UPA50" s="24"/>
      <c r="UPB50" s="24"/>
      <c r="UPC50" s="24"/>
      <c r="UPD50" s="24"/>
      <c r="UPE50" s="24"/>
      <c r="UPF50" s="24"/>
      <c r="UPG50" s="24"/>
      <c r="UPH50" s="24"/>
      <c r="UPI50" s="24"/>
      <c r="UPJ50" s="24"/>
      <c r="UPK50" s="24"/>
      <c r="UPL50" s="24"/>
      <c r="UPM50" s="24"/>
      <c r="UPN50" s="24"/>
      <c r="UPO50" s="24"/>
      <c r="UPP50" s="24"/>
      <c r="UPQ50" s="24"/>
      <c r="UPR50" s="24"/>
      <c r="UPS50" s="24"/>
      <c r="UPT50" s="24"/>
      <c r="UPU50" s="24"/>
      <c r="UPV50" s="24"/>
      <c r="UPW50" s="24"/>
      <c r="UPX50" s="24"/>
      <c r="UPY50" s="24"/>
      <c r="UPZ50" s="24"/>
      <c r="UQA50" s="24"/>
      <c r="UQB50" s="24"/>
      <c r="UQC50" s="24"/>
      <c r="UQD50" s="24"/>
      <c r="UQE50" s="24"/>
      <c r="UQF50" s="24"/>
      <c r="UQG50" s="24"/>
      <c r="UQH50" s="24"/>
      <c r="UQI50" s="24"/>
      <c r="UQJ50" s="24"/>
      <c r="UQK50" s="24"/>
      <c r="UQL50" s="24"/>
      <c r="UQM50" s="24"/>
      <c r="UQN50" s="24"/>
      <c r="UQO50" s="24"/>
      <c r="UQP50" s="24"/>
      <c r="UQQ50" s="24"/>
      <c r="UQR50" s="24"/>
      <c r="UQS50" s="24"/>
      <c r="UQT50" s="24"/>
      <c r="UQU50" s="24"/>
      <c r="UQV50" s="24"/>
      <c r="UQW50" s="24"/>
      <c r="UQX50" s="24"/>
      <c r="UQY50" s="24"/>
      <c r="UQZ50" s="24"/>
      <c r="URA50" s="24"/>
      <c r="URB50" s="24"/>
      <c r="URC50" s="24"/>
      <c r="URD50" s="24"/>
      <c r="URE50" s="24"/>
      <c r="URF50" s="24"/>
      <c r="URG50" s="24"/>
      <c r="URH50" s="24"/>
      <c r="URI50" s="24"/>
      <c r="URJ50" s="24"/>
      <c r="URK50" s="24"/>
      <c r="URL50" s="24"/>
      <c r="URM50" s="24"/>
      <c r="URN50" s="24"/>
      <c r="URO50" s="24"/>
      <c r="URP50" s="24"/>
      <c r="URQ50" s="24"/>
      <c r="URR50" s="24"/>
      <c r="URS50" s="24"/>
      <c r="URT50" s="24"/>
      <c r="URU50" s="24"/>
      <c r="URV50" s="24"/>
      <c r="URW50" s="24"/>
      <c r="URX50" s="24"/>
      <c r="URY50" s="24"/>
      <c r="URZ50" s="24"/>
      <c r="USA50" s="24"/>
      <c r="USB50" s="24"/>
      <c r="USC50" s="24"/>
      <c r="USD50" s="24"/>
      <c r="USE50" s="24"/>
      <c r="USF50" s="24"/>
      <c r="USG50" s="24"/>
      <c r="USH50" s="24"/>
      <c r="USI50" s="24"/>
      <c r="USJ50" s="24"/>
      <c r="USK50" s="24"/>
      <c r="USL50" s="24"/>
      <c r="USM50" s="24"/>
      <c r="USN50" s="24"/>
      <c r="USO50" s="24"/>
      <c r="USP50" s="24"/>
      <c r="USQ50" s="24"/>
      <c r="USR50" s="24"/>
      <c r="USS50" s="24"/>
      <c r="UST50" s="24"/>
      <c r="USU50" s="24"/>
      <c r="USV50" s="24"/>
      <c r="USW50" s="24"/>
      <c r="USX50" s="24"/>
      <c r="USY50" s="24"/>
      <c r="USZ50" s="24"/>
      <c r="UTA50" s="24"/>
      <c r="UTB50" s="24"/>
      <c r="UTC50" s="24"/>
      <c r="UTD50" s="24"/>
      <c r="UTE50" s="24"/>
      <c r="UTF50" s="24"/>
      <c r="UTG50" s="24"/>
      <c r="UTH50" s="24"/>
      <c r="UTI50" s="24"/>
      <c r="UTJ50" s="24"/>
      <c r="UTK50" s="24"/>
      <c r="UTL50" s="24"/>
      <c r="UTM50" s="24"/>
      <c r="UTN50" s="24"/>
      <c r="UTO50" s="24"/>
      <c r="UTP50" s="24"/>
      <c r="UTQ50" s="24"/>
      <c r="UTR50" s="24"/>
      <c r="UTS50" s="24"/>
      <c r="UTT50" s="24"/>
      <c r="UTU50" s="24"/>
      <c r="UTV50" s="24"/>
      <c r="UTW50" s="24"/>
      <c r="UTX50" s="24"/>
      <c r="UTY50" s="24"/>
      <c r="UTZ50" s="24"/>
      <c r="UUA50" s="24"/>
      <c r="UUB50" s="24"/>
      <c r="UUC50" s="24"/>
      <c r="UUD50" s="24"/>
      <c r="UUE50" s="24"/>
      <c r="UUF50" s="24"/>
      <c r="UUG50" s="24"/>
      <c r="UUH50" s="24"/>
      <c r="UUI50" s="24"/>
      <c r="UUJ50" s="24"/>
      <c r="UUK50" s="24"/>
      <c r="UUL50" s="24"/>
      <c r="UUM50" s="24"/>
      <c r="UUN50" s="24"/>
      <c r="UUO50" s="24"/>
      <c r="UUP50" s="24"/>
      <c r="UUQ50" s="24"/>
      <c r="UUR50" s="24"/>
      <c r="UUS50" s="24"/>
      <c r="UUT50" s="24"/>
      <c r="UUU50" s="24"/>
      <c r="UUV50" s="24"/>
      <c r="UUW50" s="24"/>
      <c r="UUX50" s="24"/>
      <c r="UUY50" s="24"/>
      <c r="UUZ50" s="24"/>
      <c r="UVA50" s="24"/>
      <c r="UVB50" s="24"/>
      <c r="UVC50" s="24"/>
      <c r="UVD50" s="24"/>
      <c r="UVE50" s="24"/>
      <c r="UVF50" s="24"/>
      <c r="UVG50" s="24"/>
      <c r="UVH50" s="24"/>
      <c r="UVI50" s="24"/>
      <c r="UVJ50" s="24"/>
      <c r="UVK50" s="24"/>
      <c r="UVL50" s="24"/>
      <c r="UVM50" s="24"/>
      <c r="UVN50" s="24"/>
      <c r="UVO50" s="24"/>
      <c r="UVP50" s="24"/>
      <c r="UVQ50" s="24"/>
      <c r="UVR50" s="24"/>
      <c r="UVS50" s="24"/>
      <c r="UVT50" s="24"/>
      <c r="UVU50" s="24"/>
      <c r="UVV50" s="24"/>
      <c r="UVW50" s="24"/>
      <c r="UVX50" s="24"/>
      <c r="UVY50" s="24"/>
      <c r="UVZ50" s="24"/>
      <c r="UWA50" s="24"/>
      <c r="UWB50" s="24"/>
      <c r="UWC50" s="24"/>
      <c r="UWD50" s="24"/>
      <c r="UWE50" s="24"/>
      <c r="UWF50" s="24"/>
      <c r="UWG50" s="24"/>
      <c r="UWH50" s="24"/>
      <c r="UWI50" s="24"/>
      <c r="UWJ50" s="24"/>
      <c r="UWK50" s="24"/>
      <c r="UWL50" s="24"/>
      <c r="UWM50" s="24"/>
      <c r="UWN50" s="24"/>
      <c r="UWO50" s="24"/>
      <c r="UWP50" s="24"/>
      <c r="UWQ50" s="24"/>
      <c r="UWR50" s="24"/>
      <c r="UWS50" s="24"/>
      <c r="UWT50" s="24"/>
      <c r="UWU50" s="24"/>
      <c r="UWV50" s="24"/>
      <c r="UWW50" s="24"/>
      <c r="UWX50" s="24"/>
      <c r="UWY50" s="24"/>
      <c r="UWZ50" s="24"/>
      <c r="UXA50" s="24"/>
      <c r="UXB50" s="24"/>
      <c r="UXC50" s="24"/>
      <c r="UXD50" s="24"/>
      <c r="UXE50" s="24"/>
      <c r="UXF50" s="24"/>
      <c r="UXG50" s="24"/>
      <c r="UXH50" s="24"/>
      <c r="UXI50" s="24"/>
      <c r="UXJ50" s="24"/>
      <c r="UXK50" s="24"/>
      <c r="UXL50" s="24"/>
      <c r="UXM50" s="24"/>
      <c r="UXN50" s="24"/>
      <c r="UXO50" s="24"/>
      <c r="UXP50" s="24"/>
      <c r="UXQ50" s="24"/>
      <c r="UXR50" s="24"/>
      <c r="UXS50" s="24"/>
      <c r="UXT50" s="24"/>
      <c r="UXU50" s="24"/>
      <c r="UXV50" s="24"/>
      <c r="UXW50" s="24"/>
      <c r="UXX50" s="24"/>
      <c r="UXY50" s="24"/>
      <c r="UXZ50" s="24"/>
      <c r="UYA50" s="24"/>
      <c r="UYB50" s="24"/>
      <c r="UYC50" s="24"/>
      <c r="UYD50" s="24"/>
      <c r="UYE50" s="24"/>
      <c r="UYF50" s="24"/>
      <c r="UYG50" s="24"/>
      <c r="UYH50" s="24"/>
      <c r="UYI50" s="24"/>
      <c r="UYJ50" s="24"/>
      <c r="UYK50" s="24"/>
      <c r="UYL50" s="24"/>
      <c r="UYM50" s="24"/>
      <c r="UYN50" s="24"/>
      <c r="UYO50" s="24"/>
      <c r="UYP50" s="24"/>
      <c r="UYQ50" s="24"/>
      <c r="UYR50" s="24"/>
      <c r="UYS50" s="24"/>
      <c r="UYT50" s="24"/>
      <c r="UYU50" s="24"/>
      <c r="UYV50" s="24"/>
      <c r="UYW50" s="24"/>
      <c r="UYX50" s="24"/>
      <c r="UYY50" s="24"/>
      <c r="UYZ50" s="24"/>
      <c r="UZA50" s="24"/>
      <c r="UZB50" s="24"/>
      <c r="UZC50" s="24"/>
      <c r="UZD50" s="24"/>
      <c r="UZE50" s="24"/>
      <c r="UZF50" s="24"/>
      <c r="UZG50" s="24"/>
      <c r="UZH50" s="24"/>
      <c r="UZI50" s="24"/>
      <c r="UZJ50" s="24"/>
      <c r="UZK50" s="24"/>
      <c r="UZL50" s="24"/>
      <c r="UZM50" s="24"/>
      <c r="UZN50" s="24"/>
      <c r="UZO50" s="24"/>
      <c r="UZP50" s="24"/>
      <c r="UZQ50" s="24"/>
      <c r="UZR50" s="24"/>
      <c r="UZS50" s="24"/>
      <c r="UZT50" s="24"/>
      <c r="UZU50" s="24"/>
      <c r="UZV50" s="24"/>
      <c r="UZW50" s="24"/>
      <c r="UZX50" s="24"/>
      <c r="UZY50" s="24"/>
      <c r="UZZ50" s="24"/>
      <c r="VAA50" s="24"/>
      <c r="VAB50" s="24"/>
      <c r="VAC50" s="24"/>
      <c r="VAD50" s="24"/>
      <c r="VAE50" s="24"/>
      <c r="VAF50" s="24"/>
      <c r="VAG50" s="24"/>
      <c r="VAH50" s="24"/>
      <c r="VAI50" s="24"/>
      <c r="VAJ50" s="24"/>
      <c r="VAK50" s="24"/>
      <c r="VAL50" s="24"/>
      <c r="VAM50" s="24"/>
      <c r="VAN50" s="24"/>
      <c r="VAO50" s="24"/>
      <c r="VAP50" s="24"/>
      <c r="VAQ50" s="24"/>
      <c r="VAR50" s="24"/>
      <c r="VAS50" s="24"/>
      <c r="VAT50" s="24"/>
      <c r="VAU50" s="24"/>
      <c r="VAV50" s="24"/>
      <c r="VAW50" s="24"/>
      <c r="VAX50" s="24"/>
      <c r="VAY50" s="24"/>
      <c r="VAZ50" s="24"/>
      <c r="VBA50" s="24"/>
      <c r="VBB50" s="24"/>
      <c r="VBC50" s="24"/>
      <c r="VBD50" s="24"/>
      <c r="VBE50" s="24"/>
      <c r="VBF50" s="24"/>
      <c r="VBG50" s="24"/>
      <c r="VBH50" s="24"/>
      <c r="VBI50" s="24"/>
      <c r="VBJ50" s="24"/>
      <c r="VBK50" s="24"/>
      <c r="VBL50" s="24"/>
      <c r="VBM50" s="24"/>
      <c r="VBN50" s="24"/>
      <c r="VBO50" s="24"/>
      <c r="VBP50" s="24"/>
      <c r="VBQ50" s="24"/>
      <c r="VBR50" s="24"/>
      <c r="VBS50" s="24"/>
      <c r="VBT50" s="24"/>
      <c r="VBU50" s="24"/>
      <c r="VBV50" s="24"/>
      <c r="VBW50" s="24"/>
      <c r="VBX50" s="24"/>
      <c r="VBY50" s="24"/>
      <c r="VBZ50" s="24"/>
      <c r="VCA50" s="24"/>
      <c r="VCB50" s="24"/>
      <c r="VCC50" s="24"/>
      <c r="VCD50" s="24"/>
      <c r="VCE50" s="24"/>
      <c r="VCF50" s="24"/>
      <c r="VCG50" s="24"/>
      <c r="VCH50" s="24"/>
      <c r="VCI50" s="24"/>
      <c r="VCJ50" s="24"/>
      <c r="VCK50" s="24"/>
      <c r="VCL50" s="24"/>
      <c r="VCM50" s="24"/>
      <c r="VCN50" s="24"/>
      <c r="VCO50" s="24"/>
      <c r="VCP50" s="24"/>
      <c r="VCQ50" s="24"/>
      <c r="VCR50" s="24"/>
      <c r="VCS50" s="24"/>
      <c r="VCT50" s="24"/>
      <c r="VCU50" s="24"/>
      <c r="VCV50" s="24"/>
      <c r="VCW50" s="24"/>
      <c r="VCX50" s="24"/>
      <c r="VCY50" s="24"/>
      <c r="VCZ50" s="24"/>
      <c r="VDA50" s="24"/>
      <c r="VDB50" s="24"/>
      <c r="VDC50" s="24"/>
      <c r="VDD50" s="24"/>
      <c r="VDE50" s="24"/>
      <c r="VDF50" s="24"/>
      <c r="VDG50" s="24"/>
      <c r="VDH50" s="24"/>
      <c r="VDI50" s="24"/>
      <c r="VDJ50" s="24"/>
      <c r="VDK50" s="24"/>
      <c r="VDL50" s="24"/>
      <c r="VDM50" s="24"/>
      <c r="VDN50" s="24"/>
      <c r="VDO50" s="24"/>
      <c r="VDP50" s="24"/>
      <c r="VDQ50" s="24"/>
      <c r="VDR50" s="24"/>
      <c r="VDS50" s="24"/>
      <c r="VDT50" s="24"/>
      <c r="VDU50" s="24"/>
      <c r="VDV50" s="24"/>
      <c r="VDW50" s="24"/>
      <c r="VDX50" s="24"/>
      <c r="VDY50" s="24"/>
      <c r="VDZ50" s="24"/>
      <c r="VEA50" s="24"/>
      <c r="VEB50" s="24"/>
      <c r="VEC50" s="24"/>
      <c r="VED50" s="24"/>
      <c r="VEE50" s="24"/>
      <c r="VEF50" s="24"/>
      <c r="VEG50" s="24"/>
      <c r="VEH50" s="24"/>
      <c r="VEI50" s="24"/>
      <c r="VEJ50" s="24"/>
      <c r="VEK50" s="24"/>
      <c r="VEL50" s="24"/>
      <c r="VEM50" s="24"/>
      <c r="VEN50" s="24"/>
      <c r="VEO50" s="24"/>
      <c r="VEP50" s="24"/>
      <c r="VEQ50" s="24"/>
      <c r="VER50" s="24"/>
      <c r="VES50" s="24"/>
      <c r="VET50" s="24"/>
      <c r="VEU50" s="24"/>
      <c r="VEV50" s="24"/>
      <c r="VEW50" s="24"/>
      <c r="VEX50" s="24"/>
      <c r="VEY50" s="24"/>
      <c r="VEZ50" s="24"/>
      <c r="VFA50" s="24"/>
      <c r="VFB50" s="24"/>
      <c r="VFC50" s="24"/>
      <c r="VFD50" s="24"/>
      <c r="VFE50" s="24"/>
      <c r="VFF50" s="24"/>
      <c r="VFG50" s="24"/>
      <c r="VFH50" s="24"/>
      <c r="VFI50" s="24"/>
      <c r="VFJ50" s="24"/>
      <c r="VFK50" s="24"/>
      <c r="VFL50" s="24"/>
      <c r="VFM50" s="24"/>
      <c r="VFN50" s="24"/>
      <c r="VFO50" s="24"/>
      <c r="VFP50" s="24"/>
      <c r="VFQ50" s="24"/>
      <c r="VFR50" s="24"/>
      <c r="VFS50" s="24"/>
      <c r="VFT50" s="24"/>
      <c r="VFU50" s="24"/>
      <c r="VFV50" s="24"/>
      <c r="VFW50" s="24"/>
      <c r="VFX50" s="24"/>
      <c r="VFY50" s="24"/>
      <c r="VFZ50" s="24"/>
      <c r="VGA50" s="24"/>
      <c r="VGB50" s="24"/>
      <c r="VGC50" s="24"/>
      <c r="VGD50" s="24"/>
      <c r="VGE50" s="24"/>
      <c r="VGF50" s="24"/>
      <c r="VGG50" s="24"/>
      <c r="VGH50" s="24"/>
      <c r="VGI50" s="24"/>
      <c r="VGJ50" s="24"/>
      <c r="VGK50" s="24"/>
      <c r="VGL50" s="24"/>
      <c r="VGM50" s="24"/>
      <c r="VGN50" s="24"/>
      <c r="VGO50" s="24"/>
      <c r="VGP50" s="24"/>
      <c r="VGQ50" s="24"/>
      <c r="VGR50" s="24"/>
      <c r="VGS50" s="24"/>
      <c r="VGT50" s="24"/>
      <c r="VGU50" s="24"/>
      <c r="VGV50" s="24"/>
      <c r="VGW50" s="24"/>
      <c r="VGX50" s="24"/>
      <c r="VGY50" s="24"/>
      <c r="VGZ50" s="24"/>
      <c r="VHA50" s="24"/>
      <c r="VHB50" s="24"/>
      <c r="VHC50" s="24"/>
      <c r="VHD50" s="24"/>
      <c r="VHE50" s="24"/>
      <c r="VHF50" s="24"/>
      <c r="VHG50" s="24"/>
      <c r="VHH50" s="24"/>
      <c r="VHI50" s="24"/>
      <c r="VHJ50" s="24"/>
      <c r="VHK50" s="24"/>
      <c r="VHL50" s="24"/>
      <c r="VHM50" s="24"/>
      <c r="VHN50" s="24"/>
      <c r="VHO50" s="24"/>
      <c r="VHP50" s="24"/>
      <c r="VHQ50" s="24"/>
      <c r="VHR50" s="24"/>
      <c r="VHS50" s="24"/>
      <c r="VHT50" s="24"/>
      <c r="VHU50" s="24"/>
      <c r="VHV50" s="24"/>
      <c r="VHW50" s="24"/>
      <c r="VHX50" s="24"/>
      <c r="VHY50" s="24"/>
      <c r="VHZ50" s="24"/>
      <c r="VIA50" s="24"/>
      <c r="VIB50" s="24"/>
      <c r="VIC50" s="24"/>
      <c r="VID50" s="24"/>
      <c r="VIE50" s="24"/>
      <c r="VIF50" s="24"/>
      <c r="VIG50" s="24"/>
      <c r="VIH50" s="24"/>
      <c r="VII50" s="24"/>
      <c r="VIJ50" s="24"/>
      <c r="VIK50" s="24"/>
      <c r="VIL50" s="24"/>
      <c r="VIM50" s="24"/>
      <c r="VIN50" s="24"/>
      <c r="VIO50" s="24"/>
      <c r="VIP50" s="24"/>
      <c r="VIQ50" s="24"/>
      <c r="VIR50" s="24"/>
      <c r="VIS50" s="24"/>
      <c r="VIT50" s="24"/>
      <c r="VIU50" s="24"/>
      <c r="VIV50" s="24"/>
      <c r="VIW50" s="24"/>
      <c r="VIX50" s="24"/>
      <c r="VIY50" s="24"/>
      <c r="VIZ50" s="24"/>
      <c r="VJA50" s="24"/>
      <c r="VJB50" s="24"/>
      <c r="VJC50" s="24"/>
      <c r="VJD50" s="24"/>
      <c r="VJE50" s="24"/>
      <c r="VJF50" s="24"/>
      <c r="VJG50" s="24"/>
      <c r="VJH50" s="24"/>
      <c r="VJI50" s="24"/>
      <c r="VJJ50" s="24"/>
      <c r="VJK50" s="24"/>
      <c r="VJL50" s="24"/>
      <c r="VJM50" s="24"/>
      <c r="VJN50" s="24"/>
      <c r="VJO50" s="24"/>
      <c r="VJP50" s="24"/>
      <c r="VJQ50" s="24"/>
      <c r="VJR50" s="24"/>
      <c r="VJS50" s="24"/>
      <c r="VJT50" s="24"/>
      <c r="VJU50" s="24"/>
      <c r="VJV50" s="24"/>
      <c r="VJW50" s="24"/>
      <c r="VJX50" s="24"/>
      <c r="VJY50" s="24"/>
      <c r="VJZ50" s="24"/>
      <c r="VKA50" s="24"/>
      <c r="VKB50" s="24"/>
      <c r="VKC50" s="24"/>
      <c r="VKD50" s="24"/>
      <c r="VKE50" s="24"/>
      <c r="VKF50" s="24"/>
      <c r="VKG50" s="24"/>
      <c r="VKH50" s="24"/>
      <c r="VKI50" s="24"/>
      <c r="VKJ50" s="24"/>
      <c r="VKK50" s="24"/>
      <c r="VKL50" s="24"/>
      <c r="VKM50" s="24"/>
      <c r="VKN50" s="24"/>
      <c r="VKO50" s="24"/>
      <c r="VKP50" s="24"/>
      <c r="VKQ50" s="24"/>
      <c r="VKR50" s="24"/>
      <c r="VKS50" s="24"/>
      <c r="VKT50" s="24"/>
      <c r="VKU50" s="24"/>
      <c r="VKV50" s="24"/>
      <c r="VKW50" s="24"/>
      <c r="VKX50" s="24"/>
      <c r="VKY50" s="24"/>
      <c r="VKZ50" s="24"/>
      <c r="VLA50" s="24"/>
      <c r="VLB50" s="24"/>
      <c r="VLC50" s="24"/>
      <c r="VLD50" s="24"/>
      <c r="VLE50" s="24"/>
      <c r="VLF50" s="24"/>
      <c r="VLG50" s="24"/>
      <c r="VLH50" s="24"/>
      <c r="VLI50" s="24"/>
      <c r="VLJ50" s="24"/>
      <c r="VLK50" s="24"/>
      <c r="VLL50" s="24"/>
      <c r="VLM50" s="24"/>
      <c r="VLN50" s="24"/>
      <c r="VLO50" s="24"/>
      <c r="VLP50" s="24"/>
      <c r="VLQ50" s="24"/>
      <c r="VLR50" s="24"/>
      <c r="VLS50" s="24"/>
      <c r="VLT50" s="24"/>
      <c r="VLU50" s="24"/>
      <c r="VLV50" s="24"/>
      <c r="VLW50" s="24"/>
      <c r="VLX50" s="24"/>
      <c r="VLY50" s="24"/>
      <c r="VLZ50" s="24"/>
      <c r="VMA50" s="24"/>
      <c r="VMB50" s="24"/>
      <c r="VMC50" s="24"/>
      <c r="VMD50" s="24"/>
      <c r="VME50" s="24"/>
      <c r="VMF50" s="24"/>
      <c r="VMG50" s="24"/>
      <c r="VMH50" s="24"/>
      <c r="VMI50" s="24"/>
      <c r="VMJ50" s="24"/>
      <c r="VMK50" s="24"/>
      <c r="VML50" s="24"/>
      <c r="VMM50" s="24"/>
      <c r="VMN50" s="24"/>
      <c r="VMO50" s="24"/>
      <c r="VMP50" s="24"/>
      <c r="VMQ50" s="24"/>
      <c r="VMR50" s="24"/>
      <c r="VMS50" s="24"/>
      <c r="VMT50" s="24"/>
      <c r="VMU50" s="24"/>
      <c r="VMV50" s="24"/>
      <c r="VMW50" s="24"/>
      <c r="VMX50" s="24"/>
      <c r="VMY50" s="24"/>
      <c r="VMZ50" s="24"/>
      <c r="VNA50" s="24"/>
      <c r="VNB50" s="24"/>
      <c r="VNC50" s="24"/>
      <c r="VND50" s="24"/>
      <c r="VNE50" s="24"/>
      <c r="VNF50" s="24"/>
      <c r="VNG50" s="24"/>
      <c r="VNH50" s="24"/>
      <c r="VNI50" s="24"/>
      <c r="VNJ50" s="24"/>
      <c r="VNK50" s="24"/>
      <c r="VNL50" s="24"/>
      <c r="VNM50" s="24"/>
      <c r="VNN50" s="24"/>
      <c r="VNO50" s="24"/>
      <c r="VNP50" s="24"/>
      <c r="VNQ50" s="24"/>
      <c r="VNR50" s="24"/>
      <c r="VNS50" s="24"/>
      <c r="VNT50" s="24"/>
      <c r="VNU50" s="24"/>
      <c r="VNV50" s="24"/>
      <c r="VNW50" s="24"/>
      <c r="VNX50" s="24"/>
      <c r="VNY50" s="24"/>
      <c r="VNZ50" s="24"/>
      <c r="VOA50" s="24"/>
      <c r="VOB50" s="24"/>
      <c r="VOC50" s="24"/>
      <c r="VOD50" s="24"/>
      <c r="VOE50" s="24"/>
      <c r="VOF50" s="24"/>
      <c r="VOG50" s="24"/>
      <c r="VOH50" s="24"/>
      <c r="VOI50" s="24"/>
      <c r="VOJ50" s="24"/>
      <c r="VOK50" s="24"/>
      <c r="VOL50" s="24"/>
      <c r="VOM50" s="24"/>
      <c r="VON50" s="24"/>
      <c r="VOO50" s="24"/>
      <c r="VOP50" s="24"/>
      <c r="VOQ50" s="24"/>
      <c r="VOR50" s="24"/>
      <c r="VOS50" s="24"/>
      <c r="VOT50" s="24"/>
      <c r="VOU50" s="24"/>
      <c r="VOV50" s="24"/>
      <c r="VOW50" s="24"/>
      <c r="VOX50" s="24"/>
      <c r="VOY50" s="24"/>
      <c r="VOZ50" s="24"/>
      <c r="VPA50" s="24"/>
      <c r="VPB50" s="24"/>
      <c r="VPC50" s="24"/>
      <c r="VPD50" s="24"/>
      <c r="VPE50" s="24"/>
      <c r="VPF50" s="24"/>
      <c r="VPG50" s="24"/>
      <c r="VPH50" s="24"/>
      <c r="VPI50" s="24"/>
      <c r="VPJ50" s="24"/>
      <c r="VPK50" s="24"/>
      <c r="VPL50" s="24"/>
      <c r="VPM50" s="24"/>
      <c r="VPN50" s="24"/>
      <c r="VPO50" s="24"/>
      <c r="VPP50" s="24"/>
      <c r="VPQ50" s="24"/>
      <c r="VPR50" s="24"/>
      <c r="VPS50" s="24"/>
      <c r="VPT50" s="24"/>
      <c r="VPU50" s="24"/>
      <c r="VPV50" s="24"/>
      <c r="VPW50" s="24"/>
      <c r="VPX50" s="24"/>
      <c r="VPY50" s="24"/>
      <c r="VPZ50" s="24"/>
      <c r="VQA50" s="24"/>
      <c r="VQB50" s="24"/>
      <c r="VQC50" s="24"/>
      <c r="VQD50" s="24"/>
      <c r="VQE50" s="24"/>
      <c r="VQF50" s="24"/>
      <c r="VQG50" s="24"/>
      <c r="VQH50" s="24"/>
      <c r="VQI50" s="24"/>
      <c r="VQJ50" s="24"/>
      <c r="VQK50" s="24"/>
      <c r="VQL50" s="24"/>
      <c r="VQM50" s="24"/>
      <c r="VQN50" s="24"/>
      <c r="VQO50" s="24"/>
      <c r="VQP50" s="24"/>
      <c r="VQQ50" s="24"/>
      <c r="VQR50" s="24"/>
      <c r="VQS50" s="24"/>
      <c r="VQT50" s="24"/>
      <c r="VQU50" s="24"/>
      <c r="VQV50" s="24"/>
      <c r="VQW50" s="24"/>
      <c r="VQX50" s="24"/>
      <c r="VQY50" s="24"/>
      <c r="VQZ50" s="24"/>
      <c r="VRA50" s="24"/>
      <c r="VRB50" s="24"/>
      <c r="VRC50" s="24"/>
      <c r="VRD50" s="24"/>
      <c r="VRE50" s="24"/>
      <c r="VRF50" s="24"/>
      <c r="VRG50" s="24"/>
      <c r="VRH50" s="24"/>
      <c r="VRI50" s="24"/>
      <c r="VRJ50" s="24"/>
      <c r="VRK50" s="24"/>
      <c r="VRL50" s="24"/>
      <c r="VRM50" s="24"/>
      <c r="VRN50" s="24"/>
      <c r="VRO50" s="24"/>
      <c r="VRP50" s="24"/>
      <c r="VRQ50" s="24"/>
      <c r="VRR50" s="24"/>
      <c r="VRS50" s="24"/>
      <c r="VRT50" s="24"/>
      <c r="VRU50" s="24"/>
      <c r="VRV50" s="24"/>
      <c r="VRW50" s="24"/>
      <c r="VRX50" s="24"/>
      <c r="VRY50" s="24"/>
      <c r="VRZ50" s="24"/>
      <c r="VSA50" s="24"/>
      <c r="VSB50" s="24"/>
      <c r="VSC50" s="24"/>
      <c r="VSD50" s="24"/>
      <c r="VSE50" s="24"/>
      <c r="VSF50" s="24"/>
      <c r="VSG50" s="24"/>
      <c r="VSH50" s="24"/>
      <c r="VSI50" s="24"/>
      <c r="VSJ50" s="24"/>
      <c r="VSK50" s="24"/>
      <c r="VSL50" s="24"/>
      <c r="VSM50" s="24"/>
      <c r="VSN50" s="24"/>
      <c r="VSO50" s="24"/>
      <c r="VSP50" s="24"/>
      <c r="VSQ50" s="24"/>
      <c r="VSR50" s="24"/>
      <c r="VSS50" s="24"/>
      <c r="VST50" s="24"/>
      <c r="VSU50" s="24"/>
      <c r="VSV50" s="24"/>
      <c r="VSW50" s="24"/>
      <c r="VSX50" s="24"/>
      <c r="VSY50" s="24"/>
      <c r="VSZ50" s="24"/>
      <c r="VTA50" s="24"/>
      <c r="VTB50" s="24"/>
      <c r="VTC50" s="24"/>
      <c r="VTD50" s="24"/>
      <c r="VTE50" s="24"/>
      <c r="VTF50" s="24"/>
      <c r="VTG50" s="24"/>
      <c r="VTH50" s="24"/>
      <c r="VTI50" s="24"/>
      <c r="VTJ50" s="24"/>
      <c r="VTK50" s="24"/>
      <c r="VTL50" s="24"/>
      <c r="VTM50" s="24"/>
      <c r="VTN50" s="24"/>
      <c r="VTO50" s="24"/>
      <c r="VTP50" s="24"/>
      <c r="VTQ50" s="24"/>
      <c r="VTR50" s="24"/>
      <c r="VTS50" s="24"/>
      <c r="VTT50" s="24"/>
      <c r="VTU50" s="24"/>
      <c r="VTV50" s="24"/>
      <c r="VTW50" s="24"/>
      <c r="VTX50" s="24"/>
      <c r="VTY50" s="24"/>
      <c r="VTZ50" s="24"/>
      <c r="VUA50" s="24"/>
      <c r="VUB50" s="24"/>
      <c r="VUC50" s="24"/>
      <c r="VUD50" s="24"/>
      <c r="VUE50" s="24"/>
      <c r="VUF50" s="24"/>
      <c r="VUG50" s="24"/>
      <c r="VUH50" s="24"/>
      <c r="VUI50" s="24"/>
      <c r="VUJ50" s="24"/>
      <c r="VUK50" s="24"/>
      <c r="VUL50" s="24"/>
      <c r="VUM50" s="24"/>
      <c r="VUN50" s="24"/>
      <c r="VUO50" s="24"/>
      <c r="VUP50" s="24"/>
      <c r="VUQ50" s="24"/>
      <c r="VUR50" s="24"/>
      <c r="VUS50" s="24"/>
      <c r="VUT50" s="24"/>
      <c r="VUU50" s="24"/>
      <c r="VUV50" s="24"/>
      <c r="VUW50" s="24"/>
      <c r="VUX50" s="24"/>
      <c r="VUY50" s="24"/>
      <c r="VUZ50" s="24"/>
      <c r="VVA50" s="24"/>
      <c r="VVB50" s="24"/>
      <c r="VVC50" s="24"/>
      <c r="VVD50" s="24"/>
      <c r="VVE50" s="24"/>
      <c r="VVF50" s="24"/>
      <c r="VVG50" s="24"/>
      <c r="VVH50" s="24"/>
      <c r="VVI50" s="24"/>
      <c r="VVJ50" s="24"/>
      <c r="VVK50" s="24"/>
      <c r="VVL50" s="24"/>
      <c r="VVM50" s="24"/>
      <c r="VVN50" s="24"/>
      <c r="VVO50" s="24"/>
      <c r="VVP50" s="24"/>
      <c r="VVQ50" s="24"/>
      <c r="VVR50" s="24"/>
      <c r="VVS50" s="24"/>
      <c r="VVT50" s="24"/>
      <c r="VVU50" s="24"/>
      <c r="VVV50" s="24"/>
      <c r="VVW50" s="24"/>
      <c r="VVX50" s="24"/>
      <c r="VVY50" s="24"/>
      <c r="VVZ50" s="24"/>
      <c r="VWA50" s="24"/>
      <c r="VWB50" s="24"/>
      <c r="VWC50" s="24"/>
      <c r="VWD50" s="24"/>
      <c r="VWE50" s="24"/>
      <c r="VWF50" s="24"/>
      <c r="VWG50" s="24"/>
      <c r="VWH50" s="24"/>
      <c r="VWI50" s="24"/>
      <c r="VWJ50" s="24"/>
      <c r="VWK50" s="24"/>
      <c r="VWL50" s="24"/>
      <c r="VWM50" s="24"/>
      <c r="VWN50" s="24"/>
      <c r="VWO50" s="24"/>
      <c r="VWP50" s="24"/>
      <c r="VWQ50" s="24"/>
      <c r="VWR50" s="24"/>
      <c r="VWS50" s="24"/>
      <c r="VWT50" s="24"/>
      <c r="VWU50" s="24"/>
      <c r="VWV50" s="24"/>
      <c r="VWW50" s="24"/>
      <c r="VWX50" s="24"/>
      <c r="VWY50" s="24"/>
      <c r="VWZ50" s="24"/>
      <c r="VXA50" s="24"/>
      <c r="VXB50" s="24"/>
      <c r="VXC50" s="24"/>
      <c r="VXD50" s="24"/>
      <c r="VXE50" s="24"/>
      <c r="VXF50" s="24"/>
      <c r="VXG50" s="24"/>
      <c r="VXH50" s="24"/>
      <c r="VXI50" s="24"/>
      <c r="VXJ50" s="24"/>
      <c r="VXK50" s="24"/>
      <c r="VXL50" s="24"/>
      <c r="VXM50" s="24"/>
      <c r="VXN50" s="24"/>
      <c r="VXO50" s="24"/>
      <c r="VXP50" s="24"/>
      <c r="VXQ50" s="24"/>
      <c r="VXR50" s="24"/>
      <c r="VXS50" s="24"/>
      <c r="VXT50" s="24"/>
      <c r="VXU50" s="24"/>
      <c r="VXV50" s="24"/>
      <c r="VXW50" s="24"/>
      <c r="VXX50" s="24"/>
      <c r="VXY50" s="24"/>
      <c r="VXZ50" s="24"/>
      <c r="VYA50" s="24"/>
      <c r="VYB50" s="24"/>
      <c r="VYC50" s="24"/>
      <c r="VYD50" s="24"/>
      <c r="VYE50" s="24"/>
      <c r="VYF50" s="24"/>
      <c r="VYG50" s="24"/>
      <c r="VYH50" s="24"/>
      <c r="VYI50" s="24"/>
      <c r="VYJ50" s="24"/>
      <c r="VYK50" s="24"/>
      <c r="VYL50" s="24"/>
      <c r="VYM50" s="24"/>
      <c r="VYN50" s="24"/>
      <c r="VYO50" s="24"/>
      <c r="VYP50" s="24"/>
      <c r="VYQ50" s="24"/>
      <c r="VYR50" s="24"/>
      <c r="VYS50" s="24"/>
      <c r="VYT50" s="24"/>
      <c r="VYU50" s="24"/>
      <c r="VYV50" s="24"/>
      <c r="VYW50" s="24"/>
      <c r="VYX50" s="24"/>
      <c r="VYY50" s="24"/>
      <c r="VYZ50" s="24"/>
      <c r="VZA50" s="24"/>
      <c r="VZB50" s="24"/>
      <c r="VZC50" s="24"/>
      <c r="VZD50" s="24"/>
      <c r="VZE50" s="24"/>
      <c r="VZF50" s="24"/>
      <c r="VZG50" s="24"/>
      <c r="VZH50" s="24"/>
      <c r="VZI50" s="24"/>
      <c r="VZJ50" s="24"/>
      <c r="VZK50" s="24"/>
      <c r="VZL50" s="24"/>
      <c r="VZM50" s="24"/>
      <c r="VZN50" s="24"/>
      <c r="VZO50" s="24"/>
      <c r="VZP50" s="24"/>
      <c r="VZQ50" s="24"/>
      <c r="VZR50" s="24"/>
      <c r="VZS50" s="24"/>
      <c r="VZT50" s="24"/>
      <c r="VZU50" s="24"/>
      <c r="VZV50" s="24"/>
      <c r="VZW50" s="24"/>
      <c r="VZX50" s="24"/>
      <c r="VZY50" s="24"/>
      <c r="VZZ50" s="24"/>
      <c r="WAA50" s="24"/>
      <c r="WAB50" s="24"/>
      <c r="WAC50" s="24"/>
      <c r="WAD50" s="24"/>
      <c r="WAE50" s="24"/>
      <c r="WAF50" s="24"/>
      <c r="WAG50" s="24"/>
      <c r="WAH50" s="24"/>
      <c r="WAI50" s="24"/>
      <c r="WAJ50" s="24"/>
      <c r="WAK50" s="24"/>
      <c r="WAL50" s="24"/>
      <c r="WAM50" s="24"/>
      <c r="WAN50" s="24"/>
      <c r="WAO50" s="24"/>
      <c r="WAP50" s="24"/>
      <c r="WAQ50" s="24"/>
      <c r="WAR50" s="24"/>
      <c r="WAS50" s="24"/>
      <c r="WAT50" s="24"/>
      <c r="WAU50" s="24"/>
      <c r="WAV50" s="24"/>
      <c r="WAW50" s="24"/>
      <c r="WAX50" s="24"/>
      <c r="WAY50" s="24"/>
      <c r="WAZ50" s="24"/>
      <c r="WBA50" s="24"/>
      <c r="WBB50" s="24"/>
      <c r="WBC50" s="24"/>
      <c r="WBD50" s="24"/>
      <c r="WBE50" s="24"/>
      <c r="WBF50" s="24"/>
      <c r="WBG50" s="24"/>
      <c r="WBH50" s="24"/>
      <c r="WBI50" s="24"/>
      <c r="WBJ50" s="24"/>
      <c r="WBK50" s="24"/>
      <c r="WBL50" s="24"/>
      <c r="WBM50" s="24"/>
      <c r="WBN50" s="24"/>
      <c r="WBO50" s="24"/>
      <c r="WBP50" s="24"/>
      <c r="WBQ50" s="24"/>
      <c r="WBR50" s="24"/>
      <c r="WBS50" s="24"/>
      <c r="WBT50" s="24"/>
      <c r="WBU50" s="24"/>
      <c r="WBV50" s="24"/>
      <c r="WBW50" s="24"/>
      <c r="WBX50" s="24"/>
      <c r="WBY50" s="24"/>
      <c r="WBZ50" s="24"/>
      <c r="WCA50" s="24"/>
      <c r="WCB50" s="24"/>
      <c r="WCC50" s="24"/>
      <c r="WCD50" s="24"/>
      <c r="WCE50" s="24"/>
      <c r="WCF50" s="24"/>
      <c r="WCG50" s="24"/>
      <c r="WCH50" s="24"/>
      <c r="WCI50" s="24"/>
      <c r="WCJ50" s="24"/>
      <c r="WCK50" s="24"/>
      <c r="WCL50" s="24"/>
      <c r="WCM50" s="24"/>
      <c r="WCN50" s="24"/>
      <c r="WCO50" s="24"/>
      <c r="WCP50" s="24"/>
      <c r="WCQ50" s="24"/>
      <c r="WCR50" s="24"/>
      <c r="WCS50" s="24"/>
      <c r="WCT50" s="24"/>
      <c r="WCU50" s="24"/>
      <c r="WCV50" s="24"/>
      <c r="WCW50" s="24"/>
      <c r="WCX50" s="24"/>
      <c r="WCY50" s="24"/>
      <c r="WCZ50" s="24"/>
      <c r="WDA50" s="24"/>
      <c r="WDB50" s="24"/>
      <c r="WDC50" s="24"/>
      <c r="WDD50" s="24"/>
      <c r="WDE50" s="24"/>
      <c r="WDF50" s="24"/>
      <c r="WDG50" s="24"/>
      <c r="WDH50" s="24"/>
      <c r="WDI50" s="24"/>
      <c r="WDJ50" s="24"/>
      <c r="WDK50" s="24"/>
      <c r="WDL50" s="24"/>
      <c r="WDM50" s="24"/>
      <c r="WDN50" s="24"/>
      <c r="WDO50" s="24"/>
      <c r="WDP50" s="24"/>
      <c r="WDQ50" s="24"/>
      <c r="WDR50" s="24"/>
      <c r="WDS50" s="24"/>
      <c r="WDT50" s="24"/>
      <c r="WDU50" s="24"/>
      <c r="WDV50" s="24"/>
      <c r="WDW50" s="24"/>
      <c r="WDX50" s="24"/>
      <c r="WDY50" s="24"/>
      <c r="WDZ50" s="24"/>
      <c r="WEA50" s="24"/>
      <c r="WEB50" s="24"/>
      <c r="WEC50" s="24"/>
      <c r="WED50" s="24"/>
      <c r="WEE50" s="24"/>
      <c r="WEF50" s="24"/>
      <c r="WEG50" s="24"/>
      <c r="WEH50" s="24"/>
      <c r="WEI50" s="24"/>
      <c r="WEJ50" s="24"/>
      <c r="WEK50" s="24"/>
      <c r="WEL50" s="24"/>
      <c r="WEM50" s="24"/>
      <c r="WEN50" s="24"/>
      <c r="WEO50" s="24"/>
      <c r="WEP50" s="24"/>
      <c r="WEQ50" s="24"/>
      <c r="WER50" s="24"/>
      <c r="WES50" s="24"/>
      <c r="WET50" s="24"/>
      <c r="WEU50" s="24"/>
      <c r="WEV50" s="24"/>
      <c r="WEW50" s="24"/>
      <c r="WEX50" s="24"/>
      <c r="WEY50" s="24"/>
      <c r="WEZ50" s="24"/>
      <c r="WFA50" s="24"/>
      <c r="WFB50" s="24"/>
      <c r="WFC50" s="24"/>
      <c r="WFD50" s="24"/>
      <c r="WFE50" s="24"/>
      <c r="WFF50" s="24"/>
      <c r="WFG50" s="24"/>
      <c r="WFH50" s="24"/>
      <c r="WFI50" s="24"/>
      <c r="WFJ50" s="24"/>
      <c r="WFK50" s="24"/>
      <c r="WFL50" s="24"/>
      <c r="WFM50" s="24"/>
      <c r="WFN50" s="24"/>
      <c r="WFO50" s="24"/>
      <c r="WFP50" s="24"/>
      <c r="WFQ50" s="24"/>
      <c r="WFR50" s="24"/>
      <c r="WFS50" s="24"/>
      <c r="WFT50" s="24"/>
      <c r="WFU50" s="24"/>
      <c r="WFV50" s="24"/>
      <c r="WFW50" s="24"/>
      <c r="WFX50" s="24"/>
      <c r="WFY50" s="24"/>
      <c r="WFZ50" s="24"/>
      <c r="WGA50" s="24"/>
      <c r="WGB50" s="24"/>
      <c r="WGC50" s="24"/>
      <c r="WGD50" s="24"/>
      <c r="WGE50" s="24"/>
      <c r="WGF50" s="24"/>
      <c r="WGG50" s="24"/>
      <c r="WGH50" s="24"/>
      <c r="WGI50" s="24"/>
      <c r="WGJ50" s="24"/>
      <c r="WGK50" s="24"/>
      <c r="WGL50" s="24"/>
      <c r="WGM50" s="24"/>
      <c r="WGN50" s="24"/>
      <c r="WGO50" s="24"/>
      <c r="WGP50" s="24"/>
      <c r="WGQ50" s="24"/>
      <c r="WGR50" s="24"/>
      <c r="WGS50" s="24"/>
      <c r="WGT50" s="24"/>
      <c r="WGU50" s="24"/>
      <c r="WGV50" s="24"/>
      <c r="WGW50" s="24"/>
      <c r="WGX50" s="24"/>
      <c r="WGY50" s="24"/>
      <c r="WGZ50" s="24"/>
      <c r="WHA50" s="24"/>
      <c r="WHB50" s="24"/>
      <c r="WHC50" s="24"/>
      <c r="WHD50" s="24"/>
      <c r="WHE50" s="24"/>
      <c r="WHF50" s="24"/>
      <c r="WHG50" s="24"/>
      <c r="WHH50" s="24"/>
      <c r="WHI50" s="24"/>
      <c r="WHJ50" s="24"/>
      <c r="WHK50" s="24"/>
      <c r="WHL50" s="24"/>
      <c r="WHM50" s="24"/>
      <c r="WHN50" s="24"/>
      <c r="WHO50" s="24"/>
      <c r="WHP50" s="24"/>
      <c r="WHQ50" s="24"/>
      <c r="WHR50" s="24"/>
      <c r="WHS50" s="24"/>
      <c r="WHT50" s="24"/>
      <c r="WHU50" s="24"/>
      <c r="WHV50" s="24"/>
      <c r="WHW50" s="24"/>
      <c r="WHX50" s="24"/>
      <c r="WHY50" s="24"/>
      <c r="WHZ50" s="24"/>
      <c r="WIA50" s="24"/>
      <c r="WIB50" s="24"/>
      <c r="WIC50" s="24"/>
      <c r="WID50" s="24"/>
      <c r="WIE50" s="24"/>
      <c r="WIF50" s="24"/>
      <c r="WIG50" s="24"/>
      <c r="WIH50" s="24"/>
      <c r="WII50" s="24"/>
      <c r="WIJ50" s="24"/>
      <c r="WIK50" s="24"/>
      <c r="WIL50" s="24"/>
      <c r="WIM50" s="24"/>
      <c r="WIN50" s="24"/>
      <c r="WIO50" s="24"/>
      <c r="WIP50" s="24"/>
      <c r="WIQ50" s="24"/>
      <c r="WIR50" s="24"/>
      <c r="WIS50" s="24"/>
      <c r="WIT50" s="24"/>
      <c r="WIU50" s="24"/>
      <c r="WIV50" s="24"/>
      <c r="WIW50" s="24"/>
      <c r="WIX50" s="24"/>
      <c r="WIY50" s="24"/>
      <c r="WIZ50" s="24"/>
      <c r="WJA50" s="24"/>
      <c r="WJB50" s="24"/>
      <c r="WJC50" s="24"/>
      <c r="WJD50" s="24"/>
      <c r="WJE50" s="24"/>
      <c r="WJF50" s="24"/>
      <c r="WJG50" s="24"/>
      <c r="WJH50" s="24"/>
      <c r="WJI50" s="24"/>
      <c r="WJJ50" s="24"/>
      <c r="WJK50" s="24"/>
      <c r="WJL50" s="24"/>
      <c r="WJM50" s="24"/>
      <c r="WJN50" s="24"/>
      <c r="WJO50" s="24"/>
      <c r="WJP50" s="24"/>
      <c r="WJQ50" s="24"/>
      <c r="WJR50" s="24"/>
      <c r="WJS50" s="24"/>
      <c r="WJT50" s="24"/>
      <c r="WJU50" s="24"/>
      <c r="WJV50" s="24"/>
      <c r="WJW50" s="24"/>
      <c r="WJX50" s="24"/>
      <c r="WJY50" s="24"/>
      <c r="WJZ50" s="24"/>
      <c r="WKA50" s="24"/>
      <c r="WKB50" s="24"/>
      <c r="WKC50" s="24"/>
      <c r="WKD50" s="24"/>
      <c r="WKE50" s="24"/>
      <c r="WKF50" s="24"/>
      <c r="WKG50" s="24"/>
      <c r="WKH50" s="24"/>
      <c r="WKI50" s="24"/>
      <c r="WKJ50" s="24"/>
      <c r="WKK50" s="24"/>
      <c r="WKL50" s="24"/>
      <c r="WKM50" s="24"/>
      <c r="WKN50" s="24"/>
      <c r="WKO50" s="24"/>
      <c r="WKP50" s="24"/>
      <c r="WKQ50" s="24"/>
      <c r="WKR50" s="24"/>
      <c r="WKS50" s="24"/>
      <c r="WKT50" s="24"/>
      <c r="WKU50" s="24"/>
      <c r="WKV50" s="24"/>
      <c r="WKW50" s="24"/>
      <c r="WKX50" s="24"/>
      <c r="WKY50" s="24"/>
      <c r="WKZ50" s="24"/>
      <c r="WLA50" s="24"/>
      <c r="WLB50" s="24"/>
      <c r="WLC50" s="24"/>
      <c r="WLD50" s="24"/>
      <c r="WLE50" s="24"/>
      <c r="WLF50" s="24"/>
      <c r="WLG50" s="24"/>
      <c r="WLH50" s="24"/>
      <c r="WLI50" s="24"/>
      <c r="WLJ50" s="24"/>
      <c r="WLK50" s="24"/>
      <c r="WLL50" s="24"/>
      <c r="WLM50" s="24"/>
      <c r="WLN50" s="24"/>
      <c r="WLO50" s="24"/>
      <c r="WLP50" s="24"/>
      <c r="WLQ50" s="24"/>
      <c r="WLR50" s="24"/>
      <c r="WLS50" s="24"/>
      <c r="WLT50" s="24"/>
      <c r="WLU50" s="24"/>
      <c r="WLV50" s="24"/>
      <c r="WLW50" s="24"/>
      <c r="WLX50" s="24"/>
      <c r="WLY50" s="24"/>
      <c r="WLZ50" s="24"/>
      <c r="WMA50" s="24"/>
      <c r="WMB50" s="24"/>
      <c r="WMC50" s="24"/>
      <c r="WMD50" s="24"/>
      <c r="WME50" s="24"/>
      <c r="WMF50" s="24"/>
      <c r="WMG50" s="24"/>
      <c r="WMH50" s="24"/>
      <c r="WMI50" s="24"/>
      <c r="WMJ50" s="24"/>
      <c r="WMK50" s="24"/>
      <c r="WML50" s="24"/>
      <c r="WMM50" s="24"/>
      <c r="WMN50" s="24"/>
      <c r="WMO50" s="24"/>
      <c r="WMP50" s="24"/>
      <c r="WMQ50" s="24"/>
      <c r="WMR50" s="24"/>
      <c r="WMS50" s="24"/>
      <c r="WMT50" s="24"/>
      <c r="WMU50" s="24"/>
      <c r="WMV50" s="24"/>
      <c r="WMW50" s="24"/>
      <c r="WMX50" s="24"/>
      <c r="WMY50" s="24"/>
      <c r="WMZ50" s="24"/>
      <c r="WNA50" s="24"/>
      <c r="WNB50" s="24"/>
      <c r="WNC50" s="24"/>
      <c r="WND50" s="24"/>
      <c r="WNE50" s="24"/>
      <c r="WNF50" s="24"/>
      <c r="WNG50" s="24"/>
      <c r="WNH50" s="24"/>
      <c r="WNI50" s="24"/>
      <c r="WNJ50" s="24"/>
      <c r="WNK50" s="24"/>
      <c r="WNL50" s="24"/>
      <c r="WNM50" s="24"/>
      <c r="WNN50" s="24"/>
      <c r="WNO50" s="24"/>
      <c r="WNP50" s="24"/>
      <c r="WNQ50" s="24"/>
      <c r="WNR50" s="24"/>
      <c r="WNS50" s="24"/>
      <c r="WNT50" s="24"/>
      <c r="WNU50" s="24"/>
      <c r="WNV50" s="24"/>
      <c r="WNW50" s="24"/>
      <c r="WNX50" s="24"/>
      <c r="WNY50" s="24"/>
      <c r="WNZ50" s="24"/>
      <c r="WOA50" s="24"/>
      <c r="WOB50" s="24"/>
      <c r="WOC50" s="24"/>
      <c r="WOD50" s="24"/>
      <c r="WOE50" s="24"/>
      <c r="WOF50" s="24"/>
      <c r="WOG50" s="24"/>
      <c r="WOH50" s="24"/>
      <c r="WOI50" s="24"/>
      <c r="WOJ50" s="24"/>
      <c r="WOK50" s="24"/>
      <c r="WOL50" s="24"/>
      <c r="WOM50" s="24"/>
      <c r="WON50" s="24"/>
      <c r="WOO50" s="24"/>
      <c r="WOP50" s="24"/>
      <c r="WOQ50" s="24"/>
      <c r="WOR50" s="24"/>
      <c r="WOS50" s="24"/>
      <c r="WOT50" s="24"/>
      <c r="WOU50" s="24"/>
      <c r="WOV50" s="24"/>
      <c r="WOW50" s="24"/>
      <c r="WOX50" s="24"/>
      <c r="WOY50" s="24"/>
      <c r="WOZ50" s="24"/>
      <c r="WPA50" s="24"/>
      <c r="WPB50" s="24"/>
      <c r="WPC50" s="24"/>
      <c r="WPD50" s="24"/>
      <c r="WPE50" s="24"/>
      <c r="WPF50" s="24"/>
      <c r="WPG50" s="24"/>
      <c r="WPH50" s="24"/>
      <c r="WPI50" s="24"/>
      <c r="WPJ50" s="24"/>
      <c r="WPK50" s="24"/>
      <c r="WPL50" s="24"/>
      <c r="WPM50" s="24"/>
      <c r="WPN50" s="24"/>
      <c r="WPO50" s="24"/>
      <c r="WPP50" s="24"/>
      <c r="WPQ50" s="24"/>
      <c r="WPR50" s="24"/>
      <c r="WPS50" s="24"/>
      <c r="WPT50" s="24"/>
      <c r="WPU50" s="24"/>
      <c r="WPV50" s="24"/>
      <c r="WPW50" s="24"/>
      <c r="WPX50" s="24"/>
      <c r="WPY50" s="24"/>
      <c r="WPZ50" s="24"/>
      <c r="WQA50" s="24"/>
      <c r="WQB50" s="24"/>
      <c r="WQC50" s="24"/>
      <c r="WQD50" s="24"/>
      <c r="WQE50" s="24"/>
      <c r="WQF50" s="24"/>
      <c r="WQG50" s="24"/>
      <c r="WQH50" s="24"/>
      <c r="WQI50" s="24"/>
      <c r="WQJ50" s="24"/>
      <c r="WQK50" s="24"/>
      <c r="WQL50" s="24"/>
      <c r="WQM50" s="24"/>
      <c r="WQN50" s="24"/>
      <c r="WQO50" s="24"/>
      <c r="WQP50" s="24"/>
      <c r="WQQ50" s="24"/>
      <c r="WQR50" s="24"/>
      <c r="WQS50" s="24"/>
      <c r="WQT50" s="24"/>
      <c r="WQU50" s="24"/>
      <c r="WQV50" s="24"/>
      <c r="WQW50" s="24"/>
      <c r="WQX50" s="24"/>
      <c r="WQY50" s="24"/>
      <c r="WQZ50" s="24"/>
      <c r="WRA50" s="24"/>
      <c r="WRB50" s="24"/>
      <c r="WRC50" s="24"/>
      <c r="WRD50" s="24"/>
      <c r="WRE50" s="24"/>
      <c r="WRF50" s="24"/>
      <c r="WRG50" s="24"/>
      <c r="WRH50" s="24"/>
      <c r="WRI50" s="24"/>
      <c r="WRJ50" s="24"/>
      <c r="WRK50" s="24"/>
      <c r="WRL50" s="24"/>
      <c r="WRM50" s="24"/>
      <c r="WRN50" s="24"/>
      <c r="WRO50" s="24"/>
      <c r="WRP50" s="24"/>
      <c r="WRQ50" s="24"/>
      <c r="WRR50" s="24"/>
      <c r="WRS50" s="24"/>
      <c r="WRT50" s="24"/>
      <c r="WRU50" s="24"/>
      <c r="WRV50" s="24"/>
      <c r="WRW50" s="24"/>
      <c r="WRX50" s="24"/>
      <c r="WRY50" s="24"/>
      <c r="WRZ50" s="24"/>
      <c r="WSA50" s="24"/>
      <c r="WSB50" s="24"/>
      <c r="WSC50" s="24"/>
      <c r="WSD50" s="24"/>
      <c r="WSE50" s="24"/>
      <c r="WSF50" s="24"/>
      <c r="WSG50" s="24"/>
      <c r="WSH50" s="24"/>
      <c r="WSI50" s="24"/>
      <c r="WSJ50" s="24"/>
      <c r="WSK50" s="24"/>
      <c r="WSL50" s="24"/>
      <c r="WSM50" s="24"/>
      <c r="WSN50" s="24"/>
      <c r="WSO50" s="24"/>
      <c r="WSP50" s="24"/>
      <c r="WSQ50" s="24"/>
      <c r="WSR50" s="24"/>
      <c r="WSS50" s="24"/>
      <c r="WST50" s="24"/>
      <c r="WSU50" s="24"/>
      <c r="WSV50" s="24"/>
      <c r="WSW50" s="24"/>
      <c r="WSX50" s="24"/>
      <c r="WSY50" s="24"/>
      <c r="WSZ50" s="24"/>
      <c r="WTA50" s="24"/>
      <c r="WTB50" s="24"/>
      <c r="WTC50" s="24"/>
      <c r="WTD50" s="24"/>
      <c r="WTE50" s="24"/>
      <c r="WTF50" s="24"/>
      <c r="WTG50" s="24"/>
      <c r="WTH50" s="24"/>
      <c r="WTI50" s="24"/>
      <c r="WTJ50" s="24"/>
      <c r="WTK50" s="24"/>
      <c r="WTL50" s="24"/>
      <c r="WTM50" s="24"/>
      <c r="WTN50" s="24"/>
      <c r="WTO50" s="24"/>
      <c r="WTP50" s="24"/>
      <c r="WTQ50" s="24"/>
      <c r="WTR50" s="24"/>
      <c r="WTS50" s="24"/>
      <c r="WTT50" s="24"/>
      <c r="WTU50" s="24"/>
      <c r="WTV50" s="24"/>
      <c r="WTW50" s="24"/>
      <c r="WTX50" s="24"/>
      <c r="WTY50" s="24"/>
      <c r="WTZ50" s="24"/>
      <c r="WUA50" s="24"/>
      <c r="WUB50" s="24"/>
      <c r="WUC50" s="24"/>
      <c r="WUD50" s="24"/>
      <c r="WUE50" s="24"/>
      <c r="WUF50" s="24"/>
      <c r="WUG50" s="24"/>
      <c r="WUH50" s="24"/>
      <c r="WUI50" s="24"/>
      <c r="WUJ50" s="24"/>
      <c r="WUK50" s="24"/>
      <c r="WUL50" s="24"/>
      <c r="WUM50" s="24"/>
      <c r="WUN50" s="24"/>
      <c r="WUO50" s="24"/>
      <c r="WUP50" s="24"/>
      <c r="WUQ50" s="24"/>
      <c r="WUR50" s="24"/>
      <c r="WUS50" s="24"/>
      <c r="WUT50" s="24"/>
      <c r="WUU50" s="24"/>
      <c r="WUV50" s="24"/>
      <c r="WUW50" s="24"/>
      <c r="WUX50" s="24"/>
      <c r="WUY50" s="24"/>
      <c r="WUZ50" s="24"/>
      <c r="WVA50" s="24"/>
      <c r="WVB50" s="24"/>
      <c r="WVC50" s="24"/>
      <c r="WVD50" s="24"/>
      <c r="WVE50" s="24"/>
      <c r="WVF50" s="24"/>
      <c r="WVG50" s="24"/>
      <c r="WVH50" s="24"/>
      <c r="WVI50" s="24"/>
      <c r="WVJ50" s="24"/>
      <c r="WVK50" s="24"/>
      <c r="WVL50" s="24"/>
      <c r="WVM50" s="24"/>
      <c r="WVN50" s="24"/>
      <c r="WVO50" s="24"/>
      <c r="WVP50" s="24"/>
      <c r="WVQ50" s="24"/>
      <c r="WVR50" s="24"/>
      <c r="WVS50" s="24"/>
      <c r="WVT50" s="24"/>
      <c r="WVU50" s="24"/>
      <c r="WVV50" s="24"/>
      <c r="WVW50" s="24"/>
      <c r="WVX50" s="24"/>
      <c r="WVY50" s="24"/>
      <c r="WVZ50" s="24"/>
      <c r="WWA50" s="24"/>
      <c r="WWB50" s="24"/>
      <c r="WWC50" s="24"/>
      <c r="WWD50" s="24"/>
      <c r="WWE50" s="24"/>
      <c r="WWF50" s="24"/>
      <c r="WWG50" s="24"/>
      <c r="WWH50" s="24"/>
      <c r="WWI50" s="24"/>
      <c r="WWJ50" s="24"/>
      <c r="WWK50" s="24"/>
      <c r="WWL50" s="24"/>
      <c r="WWM50" s="24"/>
      <c r="WWN50" s="24"/>
      <c r="WWO50" s="24"/>
      <c r="WWP50" s="24"/>
      <c r="WWQ50" s="24"/>
      <c r="WWR50" s="24"/>
      <c r="WWS50" s="24"/>
      <c r="WWT50" s="24"/>
      <c r="WWU50" s="24"/>
      <c r="WWV50" s="24"/>
      <c r="WWW50" s="24"/>
      <c r="WWX50" s="24"/>
      <c r="WWY50" s="24"/>
      <c r="WWZ50" s="24"/>
      <c r="WXA50" s="24"/>
      <c r="WXB50" s="24"/>
      <c r="WXC50" s="24"/>
      <c r="WXD50" s="24"/>
      <c r="WXE50" s="24"/>
      <c r="WXF50" s="24"/>
      <c r="WXG50" s="24"/>
      <c r="WXH50" s="24"/>
      <c r="WXI50" s="24"/>
      <c r="WXJ50" s="24"/>
      <c r="WXK50" s="24"/>
      <c r="WXL50" s="24"/>
      <c r="WXM50" s="24"/>
      <c r="WXN50" s="24"/>
      <c r="WXO50" s="24"/>
      <c r="WXP50" s="24"/>
      <c r="WXQ50" s="24"/>
      <c r="WXR50" s="24"/>
      <c r="WXS50" s="24"/>
      <c r="WXT50" s="24"/>
      <c r="WXU50" s="24"/>
      <c r="WXV50" s="24"/>
      <c r="WXW50" s="24"/>
      <c r="WXX50" s="24"/>
      <c r="WXY50" s="24"/>
      <c r="WXZ50" s="24"/>
      <c r="WYA50" s="24"/>
      <c r="WYB50" s="24"/>
      <c r="WYC50" s="24"/>
      <c r="WYD50" s="24"/>
      <c r="WYE50" s="24"/>
      <c r="WYF50" s="24"/>
      <c r="WYG50" s="24"/>
      <c r="WYH50" s="24"/>
      <c r="WYI50" s="24"/>
      <c r="WYJ50" s="24"/>
      <c r="WYK50" s="24"/>
      <c r="WYL50" s="24"/>
      <c r="WYM50" s="24"/>
      <c r="WYN50" s="24"/>
      <c r="WYO50" s="24"/>
      <c r="WYP50" s="24"/>
      <c r="WYQ50" s="24"/>
      <c r="WYR50" s="24"/>
      <c r="WYS50" s="24"/>
      <c r="WYT50" s="24"/>
      <c r="WYU50" s="24"/>
      <c r="WYV50" s="24"/>
      <c r="WYW50" s="24"/>
      <c r="WYX50" s="24"/>
      <c r="WYY50" s="24"/>
      <c r="WYZ50" s="24"/>
      <c r="WZA50" s="24"/>
      <c r="WZB50" s="24"/>
      <c r="WZC50" s="24"/>
      <c r="WZD50" s="24"/>
      <c r="WZE50" s="24"/>
      <c r="WZF50" s="24"/>
      <c r="WZG50" s="24"/>
      <c r="WZH50" s="24"/>
      <c r="WZI50" s="24"/>
      <c r="WZJ50" s="24"/>
      <c r="WZK50" s="24"/>
      <c r="WZL50" s="24"/>
      <c r="WZM50" s="24"/>
      <c r="WZN50" s="24"/>
      <c r="WZO50" s="24"/>
      <c r="WZP50" s="24"/>
      <c r="WZQ50" s="24"/>
      <c r="WZR50" s="24"/>
      <c r="WZS50" s="24"/>
      <c r="WZT50" s="24"/>
      <c r="WZU50" s="24"/>
      <c r="WZV50" s="24"/>
      <c r="WZW50" s="24"/>
      <c r="WZX50" s="24"/>
      <c r="WZY50" s="24"/>
      <c r="WZZ50" s="24"/>
      <c r="XAA50" s="24"/>
      <c r="XAB50" s="24"/>
      <c r="XAC50" s="24"/>
      <c r="XAD50" s="24"/>
      <c r="XAE50" s="24"/>
      <c r="XAF50" s="24"/>
      <c r="XAG50" s="24"/>
      <c r="XAH50" s="24"/>
      <c r="XAI50" s="24"/>
      <c r="XAJ50" s="24"/>
      <c r="XAK50" s="24"/>
      <c r="XAL50" s="24"/>
      <c r="XAM50" s="24"/>
      <c r="XAN50" s="24"/>
      <c r="XAO50" s="24"/>
      <c r="XAP50" s="24"/>
      <c r="XAQ50" s="24"/>
      <c r="XAR50" s="24"/>
      <c r="XAS50" s="24"/>
      <c r="XAT50" s="24"/>
      <c r="XAU50" s="24"/>
      <c r="XAV50" s="24"/>
      <c r="XAW50" s="24"/>
      <c r="XAX50" s="24"/>
      <c r="XAY50" s="24"/>
      <c r="XAZ50" s="24"/>
      <c r="XBA50" s="24"/>
      <c r="XBB50" s="24"/>
      <c r="XBC50" s="24"/>
      <c r="XBD50" s="24"/>
      <c r="XBE50" s="24"/>
      <c r="XBF50" s="24"/>
      <c r="XBG50" s="24"/>
      <c r="XBH50" s="24"/>
      <c r="XBI50" s="24"/>
      <c r="XBJ50" s="24"/>
      <c r="XBK50" s="24"/>
      <c r="XBL50" s="24"/>
      <c r="XBM50" s="24"/>
      <c r="XBN50" s="24"/>
      <c r="XBO50" s="24"/>
      <c r="XBP50" s="24"/>
      <c r="XBQ50" s="24"/>
      <c r="XBR50" s="24"/>
      <c r="XBS50" s="24"/>
      <c r="XBT50" s="24"/>
      <c r="XBU50" s="24"/>
      <c r="XBV50" s="24"/>
      <c r="XBW50" s="24"/>
      <c r="XBX50" s="24"/>
      <c r="XBY50" s="24"/>
      <c r="XBZ50" s="24"/>
      <c r="XCA50" s="24"/>
      <c r="XCB50" s="24"/>
      <c r="XCC50" s="24"/>
      <c r="XCD50" s="24"/>
      <c r="XCE50" s="24"/>
      <c r="XCF50" s="24"/>
      <c r="XCG50" s="24"/>
      <c r="XCH50" s="24"/>
      <c r="XCI50" s="24"/>
      <c r="XCJ50" s="24"/>
      <c r="XCK50" s="24"/>
      <c r="XCL50" s="24"/>
      <c r="XCM50" s="24"/>
      <c r="XCN50" s="24"/>
      <c r="XCO50" s="24"/>
      <c r="XCP50" s="24"/>
      <c r="XCQ50" s="24"/>
      <c r="XCR50" s="24"/>
      <c r="XCS50" s="24"/>
      <c r="XCT50" s="24"/>
      <c r="XCU50" s="24"/>
      <c r="XCV50" s="24"/>
      <c r="XCW50" s="24"/>
      <c r="XCX50" s="24"/>
      <c r="XCY50" s="24"/>
      <c r="XCZ50" s="24"/>
      <c r="XDA50" s="24"/>
      <c r="XDB50" s="24"/>
      <c r="XDC50" s="24"/>
      <c r="XDD50" s="24"/>
      <c r="XDE50" s="24"/>
      <c r="XDF50" s="24"/>
      <c r="XDG50" s="24"/>
      <c r="XDH50" s="24"/>
      <c r="XDI50" s="24"/>
      <c r="XDJ50" s="24"/>
      <c r="XDK50" s="24"/>
      <c r="XDL50" s="24"/>
      <c r="XDM50" s="24"/>
      <c r="XDN50" s="24"/>
      <c r="XDO50" s="24"/>
      <c r="XDP50" s="24"/>
      <c r="XDQ50" s="24"/>
      <c r="XDR50" s="24"/>
      <c r="XDS50" s="24"/>
      <c r="XDT50" s="24"/>
      <c r="XDU50" s="24"/>
      <c r="XDV50" s="24"/>
      <c r="XDW50" s="24"/>
      <c r="XDX50" s="24"/>
      <c r="XDY50" s="24"/>
      <c r="XDZ50" s="24"/>
      <c r="XEA50" s="24"/>
      <c r="XEB50" s="24"/>
      <c r="XEC50" s="24"/>
      <c r="XED50" s="24"/>
      <c r="XEE50" s="24"/>
      <c r="XEF50" s="24"/>
      <c r="XEG50" s="24"/>
      <c r="XEH50" s="24"/>
      <c r="XEI50" s="24"/>
      <c r="XEJ50" s="24"/>
      <c r="XEK50" s="24"/>
      <c r="XEL50" s="24"/>
      <c r="XEM50" s="24"/>
      <c r="XEN50" s="24"/>
      <c r="XEO50" s="24"/>
      <c r="XEP50" s="24"/>
      <c r="XEQ50" s="24"/>
      <c r="XER50" s="24"/>
      <c r="XES50" s="24"/>
      <c r="XET50" s="24"/>
      <c r="XEU50" s="24"/>
      <c r="XEV50" s="24"/>
      <c r="XEW50" s="24"/>
      <c r="XEX50" s="24"/>
      <c r="XEY50" s="24"/>
      <c r="XEZ50" s="24"/>
      <c r="XFA50" s="24"/>
      <c r="XFB50" s="24"/>
      <c r="XFC50" s="24"/>
      <c r="XFD50" s="24"/>
    </row>
    <row r="51" spans="1:16384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  <c r="IX51" s="24"/>
      <c r="IY51" s="24"/>
      <c r="IZ51" s="24"/>
      <c r="JA51" s="24"/>
      <c r="JB51" s="24"/>
      <c r="JC51" s="24"/>
      <c r="JD51" s="24"/>
      <c r="JE51" s="24"/>
      <c r="JF51" s="24"/>
      <c r="JG51" s="24"/>
      <c r="JH51" s="24"/>
      <c r="JI51" s="24"/>
      <c r="JJ51" s="24"/>
      <c r="JK51" s="24"/>
      <c r="JL51" s="24"/>
      <c r="JM51" s="24"/>
      <c r="JN51" s="24"/>
      <c r="JO51" s="24"/>
      <c r="JP51" s="24"/>
      <c r="JQ51" s="24"/>
      <c r="JR51" s="24"/>
      <c r="JS51" s="24"/>
      <c r="JT51" s="24"/>
      <c r="JU51" s="24"/>
      <c r="JV51" s="24"/>
      <c r="JW51" s="24"/>
      <c r="JX51" s="24"/>
      <c r="JY51" s="24"/>
      <c r="JZ51" s="24"/>
      <c r="KA51" s="24"/>
      <c r="KB51" s="24"/>
      <c r="KC51" s="24"/>
      <c r="KD51" s="24"/>
      <c r="KE51" s="24"/>
      <c r="KF51" s="24"/>
      <c r="KG51" s="24"/>
      <c r="KH51" s="24"/>
      <c r="KI51" s="24"/>
      <c r="KJ51" s="24"/>
      <c r="KK51" s="24"/>
      <c r="KL51" s="24"/>
      <c r="KM51" s="24"/>
      <c r="KN51" s="24"/>
      <c r="KO51" s="24"/>
      <c r="KP51" s="24"/>
      <c r="KQ51" s="24"/>
      <c r="KR51" s="24"/>
      <c r="KS51" s="24"/>
      <c r="KT51" s="24"/>
      <c r="KU51" s="24"/>
      <c r="KV51" s="24"/>
      <c r="KW51" s="24"/>
      <c r="KX51" s="24"/>
      <c r="KY51" s="24"/>
      <c r="KZ51" s="24"/>
      <c r="LA51" s="24"/>
      <c r="LB51" s="24"/>
      <c r="LC51" s="24"/>
      <c r="LD51" s="24"/>
      <c r="LE51" s="24"/>
      <c r="LF51" s="24"/>
      <c r="LG51" s="24"/>
      <c r="LH51" s="24"/>
      <c r="LI51" s="24"/>
      <c r="LJ51" s="24"/>
      <c r="LK51" s="24"/>
      <c r="LL51" s="24"/>
      <c r="LM51" s="24"/>
      <c r="LN51" s="24"/>
      <c r="LO51" s="24"/>
      <c r="LP51" s="24"/>
      <c r="LQ51" s="24"/>
      <c r="LR51" s="24"/>
      <c r="LS51" s="24"/>
      <c r="LT51" s="24"/>
      <c r="LU51" s="24"/>
      <c r="LV51" s="24"/>
      <c r="LW51" s="24"/>
      <c r="LX51" s="24"/>
      <c r="LY51" s="24"/>
      <c r="LZ51" s="24"/>
      <c r="MA51" s="24"/>
      <c r="MB51" s="24"/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  <c r="OV51" s="24"/>
      <c r="OW51" s="24"/>
      <c r="OX51" s="24"/>
      <c r="OY51" s="24"/>
      <c r="OZ51" s="24"/>
      <c r="PA51" s="24"/>
      <c r="PB51" s="24"/>
      <c r="PC51" s="24"/>
      <c r="PD51" s="24"/>
      <c r="PE51" s="24"/>
      <c r="PF51" s="24"/>
      <c r="PG51" s="24"/>
      <c r="PH51" s="24"/>
      <c r="PI51" s="24"/>
      <c r="PJ51" s="24"/>
      <c r="PK51" s="24"/>
      <c r="PL51" s="24"/>
      <c r="PM51" s="24"/>
      <c r="PN51" s="24"/>
      <c r="PO51" s="24"/>
      <c r="PP51" s="24"/>
      <c r="PQ51" s="24"/>
      <c r="PR51" s="24"/>
      <c r="PS51" s="24"/>
      <c r="PT51" s="24"/>
      <c r="PU51" s="24"/>
      <c r="PV51" s="24"/>
      <c r="PW51" s="24"/>
      <c r="PX51" s="24"/>
      <c r="PY51" s="24"/>
      <c r="PZ51" s="24"/>
      <c r="QA51" s="24"/>
      <c r="QB51" s="24"/>
      <c r="QC51" s="24"/>
      <c r="QD51" s="24"/>
      <c r="QE51" s="24"/>
      <c r="QF51" s="24"/>
      <c r="QG51" s="24"/>
      <c r="QH51" s="24"/>
      <c r="QI51" s="24"/>
      <c r="QJ51" s="24"/>
      <c r="QK51" s="24"/>
      <c r="QL51" s="24"/>
      <c r="QM51" s="24"/>
      <c r="QN51" s="24"/>
      <c r="QO51" s="24"/>
      <c r="QP51" s="24"/>
      <c r="QQ51" s="24"/>
      <c r="QR51" s="24"/>
      <c r="QS51" s="24"/>
      <c r="QT51" s="24"/>
      <c r="QU51" s="24"/>
      <c r="QV51" s="24"/>
      <c r="QW51" s="24"/>
      <c r="QX51" s="24"/>
      <c r="QY51" s="24"/>
      <c r="QZ51" s="24"/>
      <c r="RA51" s="24"/>
      <c r="RB51" s="24"/>
      <c r="RC51" s="24"/>
      <c r="RD51" s="24"/>
      <c r="RE51" s="24"/>
      <c r="RF51" s="24"/>
      <c r="RG51" s="24"/>
      <c r="RH51" s="24"/>
      <c r="RI51" s="24"/>
      <c r="RJ51" s="24"/>
      <c r="RK51" s="24"/>
      <c r="RL51" s="24"/>
      <c r="RM51" s="24"/>
      <c r="RN51" s="24"/>
      <c r="RO51" s="24"/>
      <c r="RP51" s="24"/>
      <c r="RQ51" s="24"/>
      <c r="RR51" s="24"/>
      <c r="RS51" s="24"/>
      <c r="RT51" s="24"/>
      <c r="RU51" s="24"/>
      <c r="RV51" s="24"/>
      <c r="RW51" s="24"/>
      <c r="RX51" s="24"/>
      <c r="RY51" s="24"/>
      <c r="RZ51" s="24"/>
      <c r="SA51" s="24"/>
      <c r="SB51" s="24"/>
      <c r="SC51" s="24"/>
      <c r="SD51" s="24"/>
      <c r="SE51" s="24"/>
      <c r="SF51" s="24"/>
      <c r="SG51" s="24"/>
      <c r="SH51" s="24"/>
      <c r="SI51" s="24"/>
      <c r="SJ51" s="24"/>
      <c r="SK51" s="24"/>
      <c r="SL51" s="24"/>
      <c r="SM51" s="24"/>
      <c r="SN51" s="24"/>
      <c r="SO51" s="24"/>
      <c r="SP51" s="24"/>
      <c r="SQ51" s="24"/>
      <c r="SR51" s="24"/>
      <c r="SS51" s="24"/>
      <c r="ST51" s="24"/>
      <c r="SU51" s="24"/>
      <c r="SV51" s="24"/>
      <c r="SW51" s="24"/>
      <c r="SX51" s="24"/>
      <c r="SY51" s="24"/>
      <c r="SZ51" s="24"/>
      <c r="TA51" s="24"/>
      <c r="TB51" s="24"/>
      <c r="TC51" s="24"/>
      <c r="TD51" s="24"/>
      <c r="TE51" s="24"/>
      <c r="TF51" s="24"/>
      <c r="TG51" s="24"/>
      <c r="TH51" s="24"/>
      <c r="TI51" s="24"/>
      <c r="TJ51" s="24"/>
      <c r="TK51" s="24"/>
      <c r="TL51" s="24"/>
      <c r="TM51" s="24"/>
      <c r="TN51" s="24"/>
      <c r="TO51" s="24"/>
      <c r="TP51" s="24"/>
      <c r="TQ51" s="24"/>
      <c r="TR51" s="24"/>
      <c r="TS51" s="24"/>
      <c r="TT51" s="24"/>
      <c r="TU51" s="24"/>
      <c r="TV51" s="24"/>
      <c r="TW51" s="24"/>
      <c r="TX51" s="24"/>
      <c r="TY51" s="24"/>
      <c r="TZ51" s="24"/>
      <c r="UA51" s="24"/>
      <c r="UB51" s="24"/>
      <c r="UC51" s="24"/>
      <c r="UD51" s="24"/>
      <c r="UE51" s="24"/>
      <c r="UF51" s="24"/>
      <c r="UG51" s="24"/>
      <c r="UH51" s="24"/>
      <c r="UI51" s="24"/>
      <c r="UJ51" s="24"/>
      <c r="UK51" s="24"/>
      <c r="UL51" s="24"/>
      <c r="UM51" s="24"/>
      <c r="UN51" s="24"/>
      <c r="UO51" s="24"/>
      <c r="UP51" s="24"/>
      <c r="UQ51" s="24"/>
      <c r="UR51" s="24"/>
      <c r="US51" s="24"/>
      <c r="UT51" s="24"/>
      <c r="UU51" s="24"/>
      <c r="UV51" s="24"/>
      <c r="UW51" s="24"/>
      <c r="UX51" s="24"/>
      <c r="UY51" s="24"/>
      <c r="UZ51" s="24"/>
      <c r="VA51" s="24"/>
      <c r="VB51" s="24"/>
      <c r="VC51" s="24"/>
      <c r="VD51" s="24"/>
      <c r="VE51" s="24"/>
      <c r="VF51" s="24"/>
      <c r="VG51" s="24"/>
      <c r="VH51" s="24"/>
      <c r="VI51" s="24"/>
      <c r="VJ51" s="24"/>
      <c r="VK51" s="24"/>
      <c r="VL51" s="24"/>
      <c r="VM51" s="24"/>
      <c r="VN51" s="24"/>
      <c r="VO51" s="24"/>
      <c r="VP51" s="24"/>
      <c r="VQ51" s="24"/>
      <c r="VR51" s="24"/>
      <c r="VS51" s="24"/>
      <c r="VT51" s="24"/>
      <c r="VU51" s="24"/>
      <c r="VV51" s="24"/>
      <c r="VW51" s="24"/>
      <c r="VX51" s="24"/>
      <c r="VY51" s="24"/>
      <c r="VZ51" s="24"/>
      <c r="WA51" s="24"/>
      <c r="WB51" s="24"/>
      <c r="WC51" s="24"/>
      <c r="WD51" s="24"/>
      <c r="WE51" s="24"/>
      <c r="WF51" s="24"/>
      <c r="WG51" s="24"/>
      <c r="WH51" s="24"/>
      <c r="WI51" s="24"/>
      <c r="WJ51" s="24"/>
      <c r="WK51" s="24"/>
      <c r="WL51" s="24"/>
      <c r="WM51" s="24"/>
      <c r="WN51" s="24"/>
      <c r="WO51" s="24"/>
      <c r="WP51" s="24"/>
      <c r="WQ51" s="24"/>
      <c r="WR51" s="24"/>
      <c r="WS51" s="24"/>
      <c r="WT51" s="24"/>
      <c r="WU51" s="24"/>
      <c r="WV51" s="24"/>
      <c r="WW51" s="24"/>
      <c r="WX51" s="24"/>
      <c r="WY51" s="24"/>
      <c r="WZ51" s="24"/>
      <c r="XA51" s="24"/>
      <c r="XB51" s="24"/>
      <c r="XC51" s="24"/>
      <c r="XD51" s="24"/>
      <c r="XE51" s="24"/>
      <c r="XF51" s="24"/>
      <c r="XG51" s="24"/>
      <c r="XH51" s="24"/>
      <c r="XI51" s="24"/>
      <c r="XJ51" s="24"/>
      <c r="XK51" s="24"/>
      <c r="XL51" s="24"/>
      <c r="XM51" s="24"/>
      <c r="XN51" s="24"/>
      <c r="XO51" s="24"/>
      <c r="XP51" s="24"/>
      <c r="XQ51" s="24"/>
      <c r="XR51" s="24"/>
      <c r="XS51" s="24"/>
      <c r="XT51" s="24"/>
      <c r="XU51" s="24"/>
      <c r="XV51" s="24"/>
      <c r="XW51" s="24"/>
      <c r="XX51" s="24"/>
      <c r="XY51" s="24"/>
      <c r="XZ51" s="24"/>
      <c r="YA51" s="24"/>
      <c r="YB51" s="24"/>
      <c r="YC51" s="24"/>
      <c r="YD51" s="24"/>
      <c r="YE51" s="24"/>
      <c r="YF51" s="24"/>
      <c r="YG51" s="24"/>
      <c r="YH51" s="24"/>
      <c r="YI51" s="24"/>
      <c r="YJ51" s="24"/>
      <c r="YK51" s="24"/>
      <c r="YL51" s="24"/>
      <c r="YM51" s="24"/>
      <c r="YN51" s="24"/>
      <c r="YO51" s="24"/>
      <c r="YP51" s="24"/>
      <c r="YQ51" s="24"/>
      <c r="YR51" s="24"/>
      <c r="YS51" s="24"/>
      <c r="YT51" s="24"/>
      <c r="YU51" s="24"/>
      <c r="YV51" s="24"/>
      <c r="YW51" s="24"/>
      <c r="YX51" s="24"/>
      <c r="YY51" s="24"/>
      <c r="YZ51" s="24"/>
      <c r="ZA51" s="24"/>
      <c r="ZB51" s="24"/>
      <c r="ZC51" s="24"/>
      <c r="ZD51" s="24"/>
      <c r="ZE51" s="24"/>
      <c r="ZF51" s="24"/>
      <c r="ZG51" s="24"/>
      <c r="ZH51" s="24"/>
      <c r="ZI51" s="24"/>
      <c r="ZJ51" s="24"/>
      <c r="ZK51" s="24"/>
      <c r="ZL51" s="24"/>
      <c r="ZM51" s="24"/>
      <c r="ZN51" s="24"/>
      <c r="ZO51" s="24"/>
      <c r="ZP51" s="24"/>
      <c r="ZQ51" s="24"/>
      <c r="ZR51" s="24"/>
      <c r="ZS51" s="24"/>
      <c r="ZT51" s="24"/>
      <c r="ZU51" s="24"/>
      <c r="ZV51" s="24"/>
      <c r="ZW51" s="24"/>
      <c r="ZX51" s="24"/>
      <c r="ZY51" s="24"/>
      <c r="ZZ51" s="24"/>
      <c r="AAA51" s="24"/>
      <c r="AAB51" s="24"/>
      <c r="AAC51" s="24"/>
      <c r="AAD51" s="24"/>
      <c r="AAE51" s="24"/>
      <c r="AAF51" s="24"/>
      <c r="AAG51" s="24"/>
      <c r="AAH51" s="24"/>
      <c r="AAI51" s="24"/>
      <c r="AAJ51" s="24"/>
      <c r="AAK51" s="24"/>
      <c r="AAL51" s="24"/>
      <c r="AAM51" s="24"/>
      <c r="AAN51" s="24"/>
      <c r="AAO51" s="24"/>
      <c r="AAP51" s="24"/>
      <c r="AAQ51" s="24"/>
      <c r="AAR51" s="24"/>
      <c r="AAS51" s="24"/>
      <c r="AAT51" s="24"/>
      <c r="AAU51" s="24"/>
      <c r="AAV51" s="24"/>
      <c r="AAW51" s="24"/>
      <c r="AAX51" s="24"/>
      <c r="AAY51" s="24"/>
      <c r="AAZ51" s="24"/>
      <c r="ABA51" s="24"/>
      <c r="ABB51" s="24"/>
      <c r="ABC51" s="24"/>
      <c r="ABD51" s="24"/>
      <c r="ABE51" s="24"/>
      <c r="ABF51" s="24"/>
      <c r="ABG51" s="24"/>
      <c r="ABH51" s="24"/>
      <c r="ABI51" s="24"/>
      <c r="ABJ51" s="24"/>
      <c r="ABK51" s="24"/>
      <c r="ABL51" s="24"/>
      <c r="ABM51" s="24"/>
      <c r="ABN51" s="24"/>
      <c r="ABO51" s="24"/>
      <c r="ABP51" s="24"/>
      <c r="ABQ51" s="24"/>
      <c r="ABR51" s="24"/>
      <c r="ABS51" s="24"/>
      <c r="ABT51" s="24"/>
      <c r="ABU51" s="24"/>
      <c r="ABV51" s="24"/>
      <c r="ABW51" s="24"/>
      <c r="ABX51" s="24"/>
      <c r="ABY51" s="24"/>
      <c r="ABZ51" s="24"/>
      <c r="ACA51" s="24"/>
      <c r="ACB51" s="24"/>
      <c r="ACC51" s="24"/>
      <c r="ACD51" s="24"/>
      <c r="ACE51" s="24"/>
      <c r="ACF51" s="24"/>
      <c r="ACG51" s="24"/>
      <c r="ACH51" s="24"/>
      <c r="ACI51" s="24"/>
      <c r="ACJ51" s="24"/>
      <c r="ACK51" s="24"/>
      <c r="ACL51" s="24"/>
      <c r="ACM51" s="24"/>
      <c r="ACN51" s="24"/>
      <c r="ACO51" s="24"/>
      <c r="ACP51" s="24"/>
      <c r="ACQ51" s="24"/>
      <c r="ACR51" s="24"/>
      <c r="ACS51" s="24"/>
      <c r="ACT51" s="24"/>
      <c r="ACU51" s="24"/>
      <c r="ACV51" s="24"/>
      <c r="ACW51" s="24"/>
      <c r="ACX51" s="24"/>
      <c r="ACY51" s="24"/>
      <c r="ACZ51" s="24"/>
      <c r="ADA51" s="24"/>
      <c r="ADB51" s="24"/>
      <c r="ADC51" s="24"/>
      <c r="ADD51" s="24"/>
      <c r="ADE51" s="24"/>
      <c r="ADF51" s="24"/>
      <c r="ADG51" s="24"/>
      <c r="ADH51" s="24"/>
      <c r="ADI51" s="24"/>
      <c r="ADJ51" s="24"/>
      <c r="ADK51" s="24"/>
      <c r="ADL51" s="24"/>
      <c r="ADM51" s="24"/>
      <c r="ADN51" s="24"/>
      <c r="ADO51" s="24"/>
      <c r="ADP51" s="24"/>
      <c r="ADQ51" s="24"/>
      <c r="ADR51" s="24"/>
      <c r="ADS51" s="24"/>
      <c r="ADT51" s="24"/>
      <c r="ADU51" s="24"/>
      <c r="ADV51" s="24"/>
      <c r="ADW51" s="24"/>
      <c r="ADX51" s="24"/>
      <c r="ADY51" s="24"/>
      <c r="ADZ51" s="24"/>
      <c r="AEA51" s="24"/>
      <c r="AEB51" s="24"/>
      <c r="AEC51" s="24"/>
      <c r="AED51" s="24"/>
      <c r="AEE51" s="24"/>
      <c r="AEF51" s="24"/>
      <c r="AEG51" s="24"/>
      <c r="AEH51" s="24"/>
      <c r="AEI51" s="24"/>
      <c r="AEJ51" s="24"/>
      <c r="AEK51" s="24"/>
      <c r="AEL51" s="24"/>
      <c r="AEM51" s="24"/>
      <c r="AEN51" s="24"/>
      <c r="AEO51" s="24"/>
      <c r="AEP51" s="24"/>
      <c r="AEQ51" s="24"/>
      <c r="AER51" s="24"/>
      <c r="AES51" s="24"/>
      <c r="AET51" s="24"/>
      <c r="AEU51" s="24"/>
      <c r="AEV51" s="24"/>
      <c r="AEW51" s="24"/>
      <c r="AEX51" s="24"/>
      <c r="AEY51" s="24"/>
      <c r="AEZ51" s="24"/>
      <c r="AFA51" s="24"/>
      <c r="AFB51" s="24"/>
      <c r="AFC51" s="24"/>
      <c r="AFD51" s="24"/>
      <c r="AFE51" s="24"/>
      <c r="AFF51" s="24"/>
      <c r="AFG51" s="24"/>
      <c r="AFH51" s="24"/>
      <c r="AFI51" s="24"/>
      <c r="AFJ51" s="24"/>
      <c r="AFK51" s="24"/>
      <c r="AFL51" s="24"/>
      <c r="AFM51" s="24"/>
      <c r="AFN51" s="24"/>
      <c r="AFO51" s="24"/>
      <c r="AFP51" s="24"/>
      <c r="AFQ51" s="24"/>
      <c r="AFR51" s="24"/>
      <c r="AFS51" s="24"/>
      <c r="AFT51" s="24"/>
      <c r="AFU51" s="24"/>
      <c r="AFV51" s="24"/>
      <c r="AFW51" s="24"/>
      <c r="AFX51" s="24"/>
      <c r="AFY51" s="24"/>
      <c r="AFZ51" s="24"/>
      <c r="AGA51" s="24"/>
      <c r="AGB51" s="24"/>
      <c r="AGC51" s="24"/>
      <c r="AGD51" s="24"/>
      <c r="AGE51" s="24"/>
      <c r="AGF51" s="24"/>
      <c r="AGG51" s="24"/>
      <c r="AGH51" s="24"/>
      <c r="AGI51" s="24"/>
      <c r="AGJ51" s="24"/>
      <c r="AGK51" s="24"/>
      <c r="AGL51" s="24"/>
      <c r="AGM51" s="24"/>
      <c r="AGN51" s="24"/>
      <c r="AGO51" s="24"/>
      <c r="AGP51" s="24"/>
      <c r="AGQ51" s="24"/>
      <c r="AGR51" s="24"/>
      <c r="AGS51" s="24"/>
      <c r="AGT51" s="24"/>
      <c r="AGU51" s="24"/>
      <c r="AGV51" s="24"/>
      <c r="AGW51" s="24"/>
      <c r="AGX51" s="24"/>
      <c r="AGY51" s="24"/>
      <c r="AGZ51" s="24"/>
      <c r="AHA51" s="24"/>
      <c r="AHB51" s="24"/>
      <c r="AHC51" s="24"/>
      <c r="AHD51" s="24"/>
      <c r="AHE51" s="24"/>
      <c r="AHF51" s="24"/>
      <c r="AHG51" s="24"/>
      <c r="AHH51" s="24"/>
      <c r="AHI51" s="24"/>
      <c r="AHJ51" s="24"/>
      <c r="AHK51" s="24"/>
      <c r="AHL51" s="24"/>
      <c r="AHM51" s="24"/>
      <c r="AHN51" s="24"/>
      <c r="AHO51" s="24"/>
      <c r="AHP51" s="24"/>
      <c r="AHQ51" s="24"/>
      <c r="AHR51" s="24"/>
      <c r="AHS51" s="24"/>
      <c r="AHT51" s="24"/>
      <c r="AHU51" s="24"/>
      <c r="AHV51" s="24"/>
      <c r="AHW51" s="24"/>
      <c r="AHX51" s="24"/>
      <c r="AHY51" s="24"/>
      <c r="AHZ51" s="24"/>
      <c r="AIA51" s="24"/>
      <c r="AIB51" s="24"/>
      <c r="AIC51" s="24"/>
      <c r="AID51" s="24"/>
      <c r="AIE51" s="24"/>
      <c r="AIF51" s="24"/>
      <c r="AIG51" s="24"/>
      <c r="AIH51" s="24"/>
      <c r="AII51" s="24"/>
      <c r="AIJ51" s="24"/>
      <c r="AIK51" s="24"/>
      <c r="AIL51" s="24"/>
      <c r="AIM51" s="24"/>
      <c r="AIN51" s="24"/>
      <c r="AIO51" s="24"/>
      <c r="AIP51" s="24"/>
      <c r="AIQ51" s="24"/>
      <c r="AIR51" s="24"/>
      <c r="AIS51" s="24"/>
      <c r="AIT51" s="24"/>
      <c r="AIU51" s="24"/>
      <c r="AIV51" s="24"/>
      <c r="AIW51" s="24"/>
      <c r="AIX51" s="24"/>
      <c r="AIY51" s="24"/>
      <c r="AIZ51" s="24"/>
      <c r="AJA51" s="24"/>
      <c r="AJB51" s="24"/>
      <c r="AJC51" s="24"/>
      <c r="AJD51" s="24"/>
      <c r="AJE51" s="24"/>
      <c r="AJF51" s="24"/>
      <c r="AJG51" s="24"/>
      <c r="AJH51" s="24"/>
      <c r="AJI51" s="24"/>
      <c r="AJJ51" s="24"/>
      <c r="AJK51" s="24"/>
      <c r="AJL51" s="24"/>
      <c r="AJM51" s="24"/>
      <c r="AJN51" s="24"/>
      <c r="AJO51" s="24"/>
      <c r="AJP51" s="24"/>
      <c r="AJQ51" s="24"/>
      <c r="AJR51" s="24"/>
      <c r="AJS51" s="24"/>
      <c r="AJT51" s="24"/>
      <c r="AJU51" s="24"/>
      <c r="AJV51" s="24"/>
      <c r="AJW51" s="24"/>
      <c r="AJX51" s="24"/>
      <c r="AJY51" s="24"/>
      <c r="AJZ51" s="24"/>
      <c r="AKA51" s="24"/>
      <c r="AKB51" s="24"/>
      <c r="AKC51" s="24"/>
      <c r="AKD51" s="24"/>
      <c r="AKE51" s="24"/>
      <c r="AKF51" s="24"/>
      <c r="AKG51" s="24"/>
      <c r="AKH51" s="24"/>
      <c r="AKI51" s="24"/>
      <c r="AKJ51" s="24"/>
      <c r="AKK51" s="24"/>
      <c r="AKL51" s="24"/>
      <c r="AKM51" s="24"/>
      <c r="AKN51" s="24"/>
      <c r="AKO51" s="24"/>
      <c r="AKP51" s="24"/>
      <c r="AKQ51" s="24"/>
      <c r="AKR51" s="24"/>
      <c r="AKS51" s="24"/>
      <c r="AKT51" s="24"/>
      <c r="AKU51" s="24"/>
      <c r="AKV51" s="24"/>
      <c r="AKW51" s="24"/>
      <c r="AKX51" s="24"/>
      <c r="AKY51" s="24"/>
      <c r="AKZ51" s="24"/>
      <c r="ALA51" s="24"/>
      <c r="ALB51" s="24"/>
      <c r="ALC51" s="24"/>
      <c r="ALD51" s="24"/>
      <c r="ALE51" s="24"/>
      <c r="ALF51" s="24"/>
      <c r="ALG51" s="24"/>
      <c r="ALH51" s="24"/>
      <c r="ALI51" s="24"/>
      <c r="ALJ51" s="24"/>
      <c r="ALK51" s="24"/>
      <c r="ALL51" s="24"/>
      <c r="ALM51" s="24"/>
      <c r="ALN51" s="24"/>
      <c r="ALO51" s="24"/>
      <c r="ALP51" s="24"/>
      <c r="ALQ51" s="24"/>
      <c r="ALR51" s="24"/>
      <c r="ALS51" s="24"/>
      <c r="ALT51" s="24"/>
      <c r="ALU51" s="24"/>
      <c r="ALV51" s="24"/>
      <c r="ALW51" s="24"/>
      <c r="ALX51" s="24"/>
      <c r="ALY51" s="24"/>
      <c r="ALZ51" s="24"/>
      <c r="AMA51" s="24"/>
      <c r="AMB51" s="24"/>
      <c r="AMC51" s="24"/>
      <c r="AMD51" s="24"/>
      <c r="AME51" s="24"/>
      <c r="AMF51" s="24"/>
      <c r="AMG51" s="24"/>
      <c r="AMH51" s="24"/>
      <c r="AMI51" s="24"/>
      <c r="AMJ51" s="24"/>
      <c r="AMK51" s="24"/>
      <c r="AML51" s="24"/>
      <c r="AMM51" s="24"/>
      <c r="AMN51" s="24"/>
      <c r="AMO51" s="24"/>
      <c r="AMP51" s="24"/>
      <c r="AMQ51" s="24"/>
      <c r="AMR51" s="24"/>
      <c r="AMS51" s="24"/>
      <c r="AMT51" s="24"/>
      <c r="AMU51" s="24"/>
      <c r="AMV51" s="24"/>
      <c r="AMW51" s="24"/>
      <c r="AMX51" s="24"/>
      <c r="AMY51" s="24"/>
      <c r="AMZ51" s="24"/>
      <c r="ANA51" s="24"/>
      <c r="ANB51" s="24"/>
      <c r="ANC51" s="24"/>
      <c r="AND51" s="24"/>
      <c r="ANE51" s="24"/>
      <c r="ANF51" s="24"/>
      <c r="ANG51" s="24"/>
      <c r="ANH51" s="24"/>
      <c r="ANI51" s="24"/>
      <c r="ANJ51" s="24"/>
      <c r="ANK51" s="24"/>
      <c r="ANL51" s="24"/>
      <c r="ANM51" s="24"/>
      <c r="ANN51" s="24"/>
      <c r="ANO51" s="24"/>
      <c r="ANP51" s="24"/>
      <c r="ANQ51" s="24"/>
      <c r="ANR51" s="24"/>
      <c r="ANS51" s="24"/>
      <c r="ANT51" s="24"/>
      <c r="ANU51" s="24"/>
      <c r="ANV51" s="24"/>
      <c r="ANW51" s="24"/>
      <c r="ANX51" s="24"/>
      <c r="ANY51" s="24"/>
      <c r="ANZ51" s="24"/>
      <c r="AOA51" s="24"/>
      <c r="AOB51" s="24"/>
      <c r="AOC51" s="24"/>
      <c r="AOD51" s="24"/>
      <c r="AOE51" s="24"/>
      <c r="AOF51" s="24"/>
      <c r="AOG51" s="24"/>
      <c r="AOH51" s="24"/>
      <c r="AOI51" s="24"/>
      <c r="AOJ51" s="24"/>
      <c r="AOK51" s="24"/>
      <c r="AOL51" s="24"/>
      <c r="AOM51" s="24"/>
      <c r="AON51" s="24"/>
      <c r="AOO51" s="24"/>
      <c r="AOP51" s="24"/>
      <c r="AOQ51" s="24"/>
      <c r="AOR51" s="24"/>
      <c r="AOS51" s="24"/>
      <c r="AOT51" s="24"/>
      <c r="AOU51" s="24"/>
      <c r="AOV51" s="24"/>
      <c r="AOW51" s="24"/>
      <c r="AOX51" s="24"/>
      <c r="AOY51" s="24"/>
      <c r="AOZ51" s="24"/>
      <c r="APA51" s="24"/>
      <c r="APB51" s="24"/>
      <c r="APC51" s="24"/>
      <c r="APD51" s="24"/>
      <c r="APE51" s="24"/>
      <c r="APF51" s="24"/>
      <c r="APG51" s="24"/>
      <c r="APH51" s="24"/>
      <c r="API51" s="24"/>
      <c r="APJ51" s="24"/>
      <c r="APK51" s="24"/>
      <c r="APL51" s="24"/>
      <c r="APM51" s="24"/>
      <c r="APN51" s="24"/>
      <c r="APO51" s="24"/>
      <c r="APP51" s="24"/>
      <c r="APQ51" s="24"/>
      <c r="APR51" s="24"/>
      <c r="APS51" s="24"/>
      <c r="APT51" s="24"/>
      <c r="APU51" s="24"/>
      <c r="APV51" s="24"/>
      <c r="APW51" s="24"/>
      <c r="APX51" s="24"/>
      <c r="APY51" s="24"/>
      <c r="APZ51" s="24"/>
      <c r="AQA51" s="24"/>
      <c r="AQB51" s="24"/>
      <c r="AQC51" s="24"/>
      <c r="AQD51" s="24"/>
      <c r="AQE51" s="24"/>
      <c r="AQF51" s="24"/>
      <c r="AQG51" s="24"/>
      <c r="AQH51" s="24"/>
      <c r="AQI51" s="24"/>
      <c r="AQJ51" s="24"/>
      <c r="AQK51" s="24"/>
      <c r="AQL51" s="24"/>
      <c r="AQM51" s="24"/>
      <c r="AQN51" s="24"/>
      <c r="AQO51" s="24"/>
      <c r="AQP51" s="24"/>
      <c r="AQQ51" s="24"/>
      <c r="AQR51" s="24"/>
      <c r="AQS51" s="24"/>
      <c r="AQT51" s="24"/>
      <c r="AQU51" s="24"/>
      <c r="AQV51" s="24"/>
      <c r="AQW51" s="24"/>
      <c r="AQX51" s="24"/>
      <c r="AQY51" s="24"/>
      <c r="AQZ51" s="24"/>
      <c r="ARA51" s="24"/>
      <c r="ARB51" s="24"/>
      <c r="ARC51" s="24"/>
      <c r="ARD51" s="24"/>
      <c r="ARE51" s="24"/>
      <c r="ARF51" s="24"/>
      <c r="ARG51" s="24"/>
      <c r="ARH51" s="24"/>
      <c r="ARI51" s="24"/>
      <c r="ARJ51" s="24"/>
      <c r="ARK51" s="24"/>
      <c r="ARL51" s="24"/>
      <c r="ARM51" s="24"/>
      <c r="ARN51" s="24"/>
      <c r="ARO51" s="24"/>
      <c r="ARP51" s="24"/>
      <c r="ARQ51" s="24"/>
      <c r="ARR51" s="24"/>
      <c r="ARS51" s="24"/>
      <c r="ART51" s="24"/>
      <c r="ARU51" s="24"/>
      <c r="ARV51" s="24"/>
      <c r="ARW51" s="24"/>
      <c r="ARX51" s="24"/>
      <c r="ARY51" s="24"/>
      <c r="ARZ51" s="24"/>
      <c r="ASA51" s="24"/>
      <c r="ASB51" s="24"/>
      <c r="ASC51" s="24"/>
      <c r="ASD51" s="24"/>
      <c r="ASE51" s="24"/>
      <c r="ASF51" s="24"/>
      <c r="ASG51" s="24"/>
      <c r="ASH51" s="24"/>
      <c r="ASI51" s="24"/>
      <c r="ASJ51" s="24"/>
      <c r="ASK51" s="24"/>
      <c r="ASL51" s="24"/>
      <c r="ASM51" s="24"/>
      <c r="ASN51" s="24"/>
      <c r="ASO51" s="24"/>
      <c r="ASP51" s="24"/>
      <c r="ASQ51" s="24"/>
      <c r="ASR51" s="24"/>
      <c r="ASS51" s="24"/>
      <c r="AST51" s="24"/>
      <c r="ASU51" s="24"/>
      <c r="ASV51" s="24"/>
      <c r="ASW51" s="24"/>
      <c r="ASX51" s="24"/>
      <c r="ASY51" s="24"/>
      <c r="ASZ51" s="24"/>
      <c r="ATA51" s="24"/>
      <c r="ATB51" s="24"/>
      <c r="ATC51" s="24"/>
      <c r="ATD51" s="24"/>
      <c r="ATE51" s="24"/>
      <c r="ATF51" s="24"/>
      <c r="ATG51" s="24"/>
      <c r="ATH51" s="24"/>
      <c r="ATI51" s="24"/>
      <c r="ATJ51" s="24"/>
      <c r="ATK51" s="24"/>
      <c r="ATL51" s="24"/>
      <c r="ATM51" s="24"/>
      <c r="ATN51" s="24"/>
      <c r="ATO51" s="24"/>
      <c r="ATP51" s="24"/>
      <c r="ATQ51" s="24"/>
      <c r="ATR51" s="24"/>
      <c r="ATS51" s="24"/>
      <c r="ATT51" s="24"/>
      <c r="ATU51" s="24"/>
      <c r="ATV51" s="24"/>
      <c r="ATW51" s="24"/>
      <c r="ATX51" s="24"/>
      <c r="ATY51" s="24"/>
      <c r="ATZ51" s="24"/>
      <c r="AUA51" s="24"/>
      <c r="AUB51" s="24"/>
      <c r="AUC51" s="24"/>
      <c r="AUD51" s="24"/>
      <c r="AUE51" s="24"/>
      <c r="AUF51" s="24"/>
      <c r="AUG51" s="24"/>
      <c r="AUH51" s="24"/>
      <c r="AUI51" s="24"/>
      <c r="AUJ51" s="24"/>
      <c r="AUK51" s="24"/>
      <c r="AUL51" s="24"/>
      <c r="AUM51" s="24"/>
      <c r="AUN51" s="24"/>
      <c r="AUO51" s="24"/>
      <c r="AUP51" s="24"/>
      <c r="AUQ51" s="24"/>
      <c r="AUR51" s="24"/>
      <c r="AUS51" s="24"/>
      <c r="AUT51" s="24"/>
      <c r="AUU51" s="24"/>
      <c r="AUV51" s="24"/>
      <c r="AUW51" s="24"/>
      <c r="AUX51" s="24"/>
      <c r="AUY51" s="24"/>
      <c r="AUZ51" s="24"/>
      <c r="AVA51" s="24"/>
      <c r="AVB51" s="24"/>
      <c r="AVC51" s="24"/>
      <c r="AVD51" s="24"/>
      <c r="AVE51" s="24"/>
      <c r="AVF51" s="24"/>
      <c r="AVG51" s="24"/>
      <c r="AVH51" s="24"/>
      <c r="AVI51" s="24"/>
      <c r="AVJ51" s="24"/>
      <c r="AVK51" s="24"/>
      <c r="AVL51" s="24"/>
      <c r="AVM51" s="24"/>
      <c r="AVN51" s="24"/>
      <c r="AVO51" s="24"/>
      <c r="AVP51" s="24"/>
      <c r="AVQ51" s="24"/>
      <c r="AVR51" s="24"/>
      <c r="AVS51" s="24"/>
      <c r="AVT51" s="24"/>
      <c r="AVU51" s="24"/>
      <c r="AVV51" s="24"/>
      <c r="AVW51" s="24"/>
      <c r="AVX51" s="24"/>
      <c r="AVY51" s="24"/>
      <c r="AVZ51" s="24"/>
      <c r="AWA51" s="24"/>
      <c r="AWB51" s="24"/>
      <c r="AWC51" s="24"/>
      <c r="AWD51" s="24"/>
      <c r="AWE51" s="24"/>
      <c r="AWF51" s="24"/>
      <c r="AWG51" s="24"/>
      <c r="AWH51" s="24"/>
      <c r="AWI51" s="24"/>
      <c r="AWJ51" s="24"/>
      <c r="AWK51" s="24"/>
      <c r="AWL51" s="24"/>
      <c r="AWM51" s="24"/>
      <c r="AWN51" s="24"/>
      <c r="AWO51" s="24"/>
      <c r="AWP51" s="24"/>
      <c r="AWQ51" s="24"/>
      <c r="AWR51" s="24"/>
      <c r="AWS51" s="24"/>
      <c r="AWT51" s="24"/>
      <c r="AWU51" s="24"/>
      <c r="AWV51" s="24"/>
      <c r="AWW51" s="24"/>
      <c r="AWX51" s="24"/>
      <c r="AWY51" s="24"/>
      <c r="AWZ51" s="24"/>
      <c r="AXA51" s="24"/>
      <c r="AXB51" s="24"/>
      <c r="AXC51" s="24"/>
      <c r="AXD51" s="24"/>
      <c r="AXE51" s="24"/>
      <c r="AXF51" s="24"/>
      <c r="AXG51" s="24"/>
      <c r="AXH51" s="24"/>
      <c r="AXI51" s="24"/>
      <c r="AXJ51" s="24"/>
      <c r="AXK51" s="24"/>
      <c r="AXL51" s="24"/>
      <c r="AXM51" s="24"/>
      <c r="AXN51" s="24"/>
      <c r="AXO51" s="24"/>
      <c r="AXP51" s="24"/>
      <c r="AXQ51" s="24"/>
      <c r="AXR51" s="24"/>
      <c r="AXS51" s="24"/>
      <c r="AXT51" s="24"/>
      <c r="AXU51" s="24"/>
      <c r="AXV51" s="24"/>
      <c r="AXW51" s="24"/>
      <c r="AXX51" s="24"/>
      <c r="AXY51" s="24"/>
      <c r="AXZ51" s="24"/>
      <c r="AYA51" s="24"/>
      <c r="AYB51" s="24"/>
      <c r="AYC51" s="24"/>
      <c r="AYD51" s="24"/>
      <c r="AYE51" s="24"/>
      <c r="AYF51" s="24"/>
      <c r="AYG51" s="24"/>
      <c r="AYH51" s="24"/>
      <c r="AYI51" s="24"/>
      <c r="AYJ51" s="24"/>
      <c r="AYK51" s="24"/>
      <c r="AYL51" s="24"/>
      <c r="AYM51" s="24"/>
      <c r="AYN51" s="24"/>
      <c r="AYO51" s="24"/>
      <c r="AYP51" s="24"/>
      <c r="AYQ51" s="24"/>
      <c r="AYR51" s="24"/>
      <c r="AYS51" s="24"/>
      <c r="AYT51" s="24"/>
      <c r="AYU51" s="24"/>
      <c r="AYV51" s="24"/>
      <c r="AYW51" s="24"/>
      <c r="AYX51" s="24"/>
      <c r="AYY51" s="24"/>
      <c r="AYZ51" s="24"/>
      <c r="AZA51" s="24"/>
      <c r="AZB51" s="24"/>
      <c r="AZC51" s="24"/>
      <c r="AZD51" s="24"/>
      <c r="AZE51" s="24"/>
      <c r="AZF51" s="24"/>
      <c r="AZG51" s="24"/>
      <c r="AZH51" s="24"/>
      <c r="AZI51" s="24"/>
      <c r="AZJ51" s="24"/>
      <c r="AZK51" s="24"/>
      <c r="AZL51" s="24"/>
      <c r="AZM51" s="24"/>
      <c r="AZN51" s="24"/>
      <c r="AZO51" s="24"/>
      <c r="AZP51" s="24"/>
      <c r="AZQ51" s="24"/>
      <c r="AZR51" s="24"/>
      <c r="AZS51" s="24"/>
      <c r="AZT51" s="24"/>
      <c r="AZU51" s="24"/>
      <c r="AZV51" s="24"/>
      <c r="AZW51" s="24"/>
      <c r="AZX51" s="24"/>
      <c r="AZY51" s="24"/>
      <c r="AZZ51" s="24"/>
      <c r="BAA51" s="24"/>
      <c r="BAB51" s="24"/>
      <c r="BAC51" s="24"/>
      <c r="BAD51" s="24"/>
      <c r="BAE51" s="24"/>
      <c r="BAF51" s="24"/>
      <c r="BAG51" s="24"/>
      <c r="BAH51" s="24"/>
      <c r="BAI51" s="24"/>
      <c r="BAJ51" s="24"/>
      <c r="BAK51" s="24"/>
      <c r="BAL51" s="24"/>
      <c r="BAM51" s="24"/>
      <c r="BAN51" s="24"/>
      <c r="BAO51" s="24"/>
      <c r="BAP51" s="24"/>
      <c r="BAQ51" s="24"/>
      <c r="BAR51" s="24"/>
      <c r="BAS51" s="24"/>
      <c r="BAT51" s="24"/>
      <c r="BAU51" s="24"/>
      <c r="BAV51" s="24"/>
      <c r="BAW51" s="24"/>
      <c r="BAX51" s="24"/>
      <c r="BAY51" s="24"/>
      <c r="BAZ51" s="24"/>
      <c r="BBA51" s="24"/>
      <c r="BBB51" s="24"/>
      <c r="BBC51" s="24"/>
      <c r="BBD51" s="24"/>
      <c r="BBE51" s="24"/>
      <c r="BBF51" s="24"/>
      <c r="BBG51" s="24"/>
      <c r="BBH51" s="24"/>
      <c r="BBI51" s="24"/>
      <c r="BBJ51" s="24"/>
      <c r="BBK51" s="24"/>
      <c r="BBL51" s="24"/>
      <c r="BBM51" s="24"/>
      <c r="BBN51" s="24"/>
      <c r="BBO51" s="24"/>
      <c r="BBP51" s="24"/>
      <c r="BBQ51" s="24"/>
      <c r="BBR51" s="24"/>
      <c r="BBS51" s="24"/>
      <c r="BBT51" s="24"/>
      <c r="BBU51" s="24"/>
      <c r="BBV51" s="24"/>
      <c r="BBW51" s="24"/>
      <c r="BBX51" s="24"/>
      <c r="BBY51" s="24"/>
      <c r="BBZ51" s="24"/>
      <c r="BCA51" s="24"/>
      <c r="BCB51" s="24"/>
      <c r="BCC51" s="24"/>
      <c r="BCD51" s="24"/>
      <c r="BCE51" s="24"/>
      <c r="BCF51" s="24"/>
      <c r="BCG51" s="24"/>
      <c r="BCH51" s="24"/>
      <c r="BCI51" s="24"/>
      <c r="BCJ51" s="24"/>
      <c r="BCK51" s="24"/>
      <c r="BCL51" s="24"/>
      <c r="BCM51" s="24"/>
      <c r="BCN51" s="24"/>
      <c r="BCO51" s="24"/>
      <c r="BCP51" s="24"/>
      <c r="BCQ51" s="24"/>
      <c r="BCR51" s="24"/>
      <c r="BCS51" s="24"/>
      <c r="BCT51" s="24"/>
      <c r="BCU51" s="24"/>
      <c r="BCV51" s="24"/>
      <c r="BCW51" s="24"/>
      <c r="BCX51" s="24"/>
      <c r="BCY51" s="24"/>
      <c r="BCZ51" s="24"/>
      <c r="BDA51" s="24"/>
      <c r="BDB51" s="24"/>
      <c r="BDC51" s="24"/>
      <c r="BDD51" s="24"/>
      <c r="BDE51" s="24"/>
      <c r="BDF51" s="24"/>
      <c r="BDG51" s="24"/>
      <c r="BDH51" s="24"/>
      <c r="BDI51" s="24"/>
      <c r="BDJ51" s="24"/>
      <c r="BDK51" s="24"/>
      <c r="BDL51" s="24"/>
      <c r="BDM51" s="24"/>
      <c r="BDN51" s="24"/>
      <c r="BDO51" s="24"/>
      <c r="BDP51" s="24"/>
      <c r="BDQ51" s="24"/>
      <c r="BDR51" s="24"/>
      <c r="BDS51" s="24"/>
      <c r="BDT51" s="24"/>
      <c r="BDU51" s="24"/>
      <c r="BDV51" s="24"/>
      <c r="BDW51" s="24"/>
      <c r="BDX51" s="24"/>
      <c r="BDY51" s="24"/>
      <c r="BDZ51" s="24"/>
      <c r="BEA51" s="24"/>
      <c r="BEB51" s="24"/>
      <c r="BEC51" s="24"/>
      <c r="BED51" s="24"/>
      <c r="BEE51" s="24"/>
      <c r="BEF51" s="24"/>
      <c r="BEG51" s="24"/>
      <c r="BEH51" s="24"/>
      <c r="BEI51" s="24"/>
      <c r="BEJ51" s="24"/>
      <c r="BEK51" s="24"/>
      <c r="BEL51" s="24"/>
      <c r="BEM51" s="24"/>
      <c r="BEN51" s="24"/>
      <c r="BEO51" s="24"/>
      <c r="BEP51" s="24"/>
      <c r="BEQ51" s="24"/>
      <c r="BER51" s="24"/>
      <c r="BES51" s="24"/>
      <c r="BET51" s="24"/>
      <c r="BEU51" s="24"/>
      <c r="BEV51" s="24"/>
      <c r="BEW51" s="24"/>
      <c r="BEX51" s="24"/>
      <c r="BEY51" s="24"/>
      <c r="BEZ51" s="24"/>
      <c r="BFA51" s="24"/>
      <c r="BFB51" s="24"/>
      <c r="BFC51" s="24"/>
      <c r="BFD51" s="24"/>
      <c r="BFE51" s="24"/>
      <c r="BFF51" s="24"/>
      <c r="BFG51" s="24"/>
      <c r="BFH51" s="24"/>
      <c r="BFI51" s="24"/>
      <c r="BFJ51" s="24"/>
      <c r="BFK51" s="24"/>
      <c r="BFL51" s="24"/>
      <c r="BFM51" s="24"/>
      <c r="BFN51" s="24"/>
      <c r="BFO51" s="24"/>
      <c r="BFP51" s="24"/>
      <c r="BFQ51" s="24"/>
      <c r="BFR51" s="24"/>
      <c r="BFS51" s="24"/>
      <c r="BFT51" s="24"/>
      <c r="BFU51" s="24"/>
      <c r="BFV51" s="24"/>
      <c r="BFW51" s="24"/>
      <c r="BFX51" s="24"/>
      <c r="BFY51" s="24"/>
      <c r="BFZ51" s="24"/>
      <c r="BGA51" s="24"/>
      <c r="BGB51" s="24"/>
      <c r="BGC51" s="24"/>
      <c r="BGD51" s="24"/>
      <c r="BGE51" s="24"/>
      <c r="BGF51" s="24"/>
      <c r="BGG51" s="24"/>
      <c r="BGH51" s="24"/>
      <c r="BGI51" s="24"/>
      <c r="BGJ51" s="24"/>
      <c r="BGK51" s="24"/>
      <c r="BGL51" s="24"/>
      <c r="BGM51" s="24"/>
      <c r="BGN51" s="24"/>
      <c r="BGO51" s="24"/>
      <c r="BGP51" s="24"/>
      <c r="BGQ51" s="24"/>
      <c r="BGR51" s="24"/>
      <c r="BGS51" s="24"/>
      <c r="BGT51" s="24"/>
      <c r="BGU51" s="24"/>
      <c r="BGV51" s="24"/>
      <c r="BGW51" s="24"/>
      <c r="BGX51" s="24"/>
      <c r="BGY51" s="24"/>
      <c r="BGZ51" s="24"/>
      <c r="BHA51" s="24"/>
      <c r="BHB51" s="24"/>
      <c r="BHC51" s="24"/>
      <c r="BHD51" s="24"/>
      <c r="BHE51" s="24"/>
      <c r="BHF51" s="24"/>
      <c r="BHG51" s="24"/>
      <c r="BHH51" s="24"/>
      <c r="BHI51" s="24"/>
      <c r="BHJ51" s="24"/>
      <c r="BHK51" s="24"/>
      <c r="BHL51" s="24"/>
      <c r="BHM51" s="24"/>
      <c r="BHN51" s="24"/>
      <c r="BHO51" s="24"/>
      <c r="BHP51" s="24"/>
      <c r="BHQ51" s="24"/>
      <c r="BHR51" s="24"/>
      <c r="BHS51" s="24"/>
      <c r="BHT51" s="24"/>
      <c r="BHU51" s="24"/>
      <c r="BHV51" s="24"/>
      <c r="BHW51" s="24"/>
      <c r="BHX51" s="24"/>
      <c r="BHY51" s="24"/>
      <c r="BHZ51" s="24"/>
      <c r="BIA51" s="24"/>
      <c r="BIB51" s="24"/>
      <c r="BIC51" s="24"/>
      <c r="BID51" s="24"/>
      <c r="BIE51" s="24"/>
      <c r="BIF51" s="24"/>
      <c r="BIG51" s="24"/>
      <c r="BIH51" s="24"/>
      <c r="BII51" s="24"/>
      <c r="BIJ51" s="24"/>
      <c r="BIK51" s="24"/>
      <c r="BIL51" s="24"/>
      <c r="BIM51" s="24"/>
      <c r="BIN51" s="24"/>
      <c r="BIO51" s="24"/>
      <c r="BIP51" s="24"/>
      <c r="BIQ51" s="24"/>
      <c r="BIR51" s="24"/>
      <c r="BIS51" s="24"/>
      <c r="BIT51" s="24"/>
      <c r="BIU51" s="24"/>
      <c r="BIV51" s="24"/>
      <c r="BIW51" s="24"/>
      <c r="BIX51" s="24"/>
      <c r="BIY51" s="24"/>
      <c r="BIZ51" s="24"/>
      <c r="BJA51" s="24"/>
      <c r="BJB51" s="24"/>
      <c r="BJC51" s="24"/>
      <c r="BJD51" s="24"/>
      <c r="BJE51" s="24"/>
      <c r="BJF51" s="24"/>
      <c r="BJG51" s="24"/>
      <c r="BJH51" s="24"/>
      <c r="BJI51" s="24"/>
      <c r="BJJ51" s="24"/>
      <c r="BJK51" s="24"/>
      <c r="BJL51" s="24"/>
      <c r="BJM51" s="24"/>
      <c r="BJN51" s="24"/>
      <c r="BJO51" s="24"/>
      <c r="BJP51" s="24"/>
      <c r="BJQ51" s="24"/>
      <c r="BJR51" s="24"/>
      <c r="BJS51" s="24"/>
      <c r="BJT51" s="24"/>
      <c r="BJU51" s="24"/>
      <c r="BJV51" s="24"/>
      <c r="BJW51" s="24"/>
      <c r="BJX51" s="24"/>
      <c r="BJY51" s="24"/>
      <c r="BJZ51" s="24"/>
      <c r="BKA51" s="24"/>
      <c r="BKB51" s="24"/>
      <c r="BKC51" s="24"/>
      <c r="BKD51" s="24"/>
      <c r="BKE51" s="24"/>
      <c r="BKF51" s="24"/>
      <c r="BKG51" s="24"/>
      <c r="BKH51" s="24"/>
      <c r="BKI51" s="24"/>
      <c r="BKJ51" s="24"/>
      <c r="BKK51" s="24"/>
      <c r="BKL51" s="24"/>
      <c r="BKM51" s="24"/>
      <c r="BKN51" s="24"/>
      <c r="BKO51" s="24"/>
      <c r="BKP51" s="24"/>
      <c r="BKQ51" s="24"/>
      <c r="BKR51" s="24"/>
      <c r="BKS51" s="24"/>
      <c r="BKT51" s="24"/>
      <c r="BKU51" s="24"/>
      <c r="BKV51" s="24"/>
      <c r="BKW51" s="24"/>
      <c r="BKX51" s="24"/>
      <c r="BKY51" s="24"/>
      <c r="BKZ51" s="24"/>
      <c r="BLA51" s="24"/>
      <c r="BLB51" s="24"/>
      <c r="BLC51" s="24"/>
      <c r="BLD51" s="24"/>
      <c r="BLE51" s="24"/>
      <c r="BLF51" s="24"/>
      <c r="BLG51" s="24"/>
      <c r="BLH51" s="24"/>
      <c r="BLI51" s="24"/>
      <c r="BLJ51" s="24"/>
      <c r="BLK51" s="24"/>
      <c r="BLL51" s="24"/>
      <c r="BLM51" s="24"/>
      <c r="BLN51" s="24"/>
      <c r="BLO51" s="24"/>
      <c r="BLP51" s="24"/>
      <c r="BLQ51" s="24"/>
      <c r="BLR51" s="24"/>
      <c r="BLS51" s="24"/>
      <c r="BLT51" s="24"/>
      <c r="BLU51" s="24"/>
      <c r="BLV51" s="24"/>
      <c r="BLW51" s="24"/>
      <c r="BLX51" s="24"/>
      <c r="BLY51" s="24"/>
      <c r="BLZ51" s="24"/>
      <c r="BMA51" s="24"/>
      <c r="BMB51" s="24"/>
      <c r="BMC51" s="24"/>
      <c r="BMD51" s="24"/>
      <c r="BME51" s="24"/>
      <c r="BMF51" s="24"/>
      <c r="BMG51" s="24"/>
      <c r="BMH51" s="24"/>
      <c r="BMI51" s="24"/>
      <c r="BMJ51" s="24"/>
      <c r="BMK51" s="24"/>
      <c r="BML51" s="24"/>
      <c r="BMM51" s="24"/>
      <c r="BMN51" s="24"/>
      <c r="BMO51" s="24"/>
      <c r="BMP51" s="24"/>
      <c r="BMQ51" s="24"/>
      <c r="BMR51" s="24"/>
      <c r="BMS51" s="24"/>
      <c r="BMT51" s="24"/>
      <c r="BMU51" s="24"/>
      <c r="BMV51" s="24"/>
      <c r="BMW51" s="24"/>
      <c r="BMX51" s="24"/>
      <c r="BMY51" s="24"/>
      <c r="BMZ51" s="24"/>
      <c r="BNA51" s="24"/>
      <c r="BNB51" s="24"/>
      <c r="BNC51" s="24"/>
      <c r="BND51" s="24"/>
      <c r="BNE51" s="24"/>
      <c r="BNF51" s="24"/>
      <c r="BNG51" s="24"/>
      <c r="BNH51" s="24"/>
      <c r="BNI51" s="24"/>
      <c r="BNJ51" s="24"/>
      <c r="BNK51" s="24"/>
      <c r="BNL51" s="24"/>
      <c r="BNM51" s="24"/>
      <c r="BNN51" s="24"/>
      <c r="BNO51" s="24"/>
      <c r="BNP51" s="24"/>
      <c r="BNQ51" s="24"/>
      <c r="BNR51" s="24"/>
      <c r="BNS51" s="24"/>
      <c r="BNT51" s="24"/>
      <c r="BNU51" s="24"/>
      <c r="BNV51" s="24"/>
      <c r="BNW51" s="24"/>
      <c r="BNX51" s="24"/>
      <c r="BNY51" s="24"/>
      <c r="BNZ51" s="24"/>
      <c r="BOA51" s="24"/>
      <c r="BOB51" s="24"/>
      <c r="BOC51" s="24"/>
      <c r="BOD51" s="24"/>
      <c r="BOE51" s="24"/>
      <c r="BOF51" s="24"/>
      <c r="BOG51" s="24"/>
      <c r="BOH51" s="24"/>
      <c r="BOI51" s="24"/>
      <c r="BOJ51" s="24"/>
      <c r="BOK51" s="24"/>
      <c r="BOL51" s="24"/>
      <c r="BOM51" s="24"/>
      <c r="BON51" s="24"/>
      <c r="BOO51" s="24"/>
      <c r="BOP51" s="24"/>
      <c r="BOQ51" s="24"/>
      <c r="BOR51" s="24"/>
      <c r="BOS51" s="24"/>
      <c r="BOT51" s="24"/>
      <c r="BOU51" s="24"/>
      <c r="BOV51" s="24"/>
      <c r="BOW51" s="24"/>
      <c r="BOX51" s="24"/>
      <c r="BOY51" s="24"/>
      <c r="BOZ51" s="24"/>
      <c r="BPA51" s="24"/>
      <c r="BPB51" s="24"/>
      <c r="BPC51" s="24"/>
      <c r="BPD51" s="24"/>
      <c r="BPE51" s="24"/>
      <c r="BPF51" s="24"/>
      <c r="BPG51" s="24"/>
      <c r="BPH51" s="24"/>
      <c r="BPI51" s="24"/>
      <c r="BPJ51" s="24"/>
      <c r="BPK51" s="24"/>
      <c r="BPL51" s="24"/>
      <c r="BPM51" s="24"/>
      <c r="BPN51" s="24"/>
      <c r="BPO51" s="24"/>
      <c r="BPP51" s="24"/>
      <c r="BPQ51" s="24"/>
      <c r="BPR51" s="24"/>
      <c r="BPS51" s="24"/>
      <c r="BPT51" s="24"/>
      <c r="BPU51" s="24"/>
      <c r="BPV51" s="24"/>
      <c r="BPW51" s="24"/>
      <c r="BPX51" s="24"/>
      <c r="BPY51" s="24"/>
      <c r="BPZ51" s="24"/>
      <c r="BQA51" s="24"/>
      <c r="BQB51" s="24"/>
      <c r="BQC51" s="24"/>
      <c r="BQD51" s="24"/>
      <c r="BQE51" s="24"/>
      <c r="BQF51" s="24"/>
      <c r="BQG51" s="24"/>
      <c r="BQH51" s="24"/>
      <c r="BQI51" s="24"/>
      <c r="BQJ51" s="24"/>
      <c r="BQK51" s="24"/>
      <c r="BQL51" s="24"/>
      <c r="BQM51" s="24"/>
      <c r="BQN51" s="24"/>
      <c r="BQO51" s="24"/>
      <c r="BQP51" s="24"/>
      <c r="BQQ51" s="24"/>
      <c r="BQR51" s="24"/>
      <c r="BQS51" s="24"/>
      <c r="BQT51" s="24"/>
      <c r="BQU51" s="24"/>
      <c r="BQV51" s="24"/>
      <c r="BQW51" s="24"/>
      <c r="BQX51" s="24"/>
      <c r="BQY51" s="24"/>
      <c r="BQZ51" s="24"/>
      <c r="BRA51" s="24"/>
      <c r="BRB51" s="24"/>
      <c r="BRC51" s="24"/>
      <c r="BRD51" s="24"/>
      <c r="BRE51" s="24"/>
      <c r="BRF51" s="24"/>
      <c r="BRG51" s="24"/>
      <c r="BRH51" s="24"/>
      <c r="BRI51" s="24"/>
      <c r="BRJ51" s="24"/>
      <c r="BRK51" s="24"/>
      <c r="BRL51" s="24"/>
      <c r="BRM51" s="24"/>
      <c r="BRN51" s="24"/>
      <c r="BRO51" s="24"/>
      <c r="BRP51" s="24"/>
      <c r="BRQ51" s="24"/>
      <c r="BRR51" s="24"/>
      <c r="BRS51" s="24"/>
      <c r="BRT51" s="24"/>
      <c r="BRU51" s="24"/>
      <c r="BRV51" s="24"/>
      <c r="BRW51" s="24"/>
      <c r="BRX51" s="24"/>
      <c r="BRY51" s="24"/>
      <c r="BRZ51" s="24"/>
      <c r="BSA51" s="24"/>
      <c r="BSB51" s="24"/>
      <c r="BSC51" s="24"/>
      <c r="BSD51" s="24"/>
      <c r="BSE51" s="24"/>
      <c r="BSF51" s="24"/>
      <c r="BSG51" s="24"/>
      <c r="BSH51" s="24"/>
      <c r="BSI51" s="24"/>
      <c r="BSJ51" s="24"/>
      <c r="BSK51" s="24"/>
      <c r="BSL51" s="24"/>
      <c r="BSM51" s="24"/>
      <c r="BSN51" s="24"/>
      <c r="BSO51" s="24"/>
      <c r="BSP51" s="24"/>
      <c r="BSQ51" s="24"/>
      <c r="BSR51" s="24"/>
      <c r="BSS51" s="24"/>
      <c r="BST51" s="24"/>
      <c r="BSU51" s="24"/>
      <c r="BSV51" s="24"/>
      <c r="BSW51" s="24"/>
      <c r="BSX51" s="24"/>
      <c r="BSY51" s="24"/>
      <c r="BSZ51" s="24"/>
      <c r="BTA51" s="24"/>
      <c r="BTB51" s="24"/>
      <c r="BTC51" s="24"/>
      <c r="BTD51" s="24"/>
      <c r="BTE51" s="24"/>
      <c r="BTF51" s="24"/>
      <c r="BTG51" s="24"/>
      <c r="BTH51" s="24"/>
      <c r="BTI51" s="24"/>
      <c r="BTJ51" s="24"/>
      <c r="BTK51" s="24"/>
      <c r="BTL51" s="24"/>
      <c r="BTM51" s="24"/>
      <c r="BTN51" s="24"/>
      <c r="BTO51" s="24"/>
      <c r="BTP51" s="24"/>
      <c r="BTQ51" s="24"/>
      <c r="BTR51" s="24"/>
      <c r="BTS51" s="24"/>
      <c r="BTT51" s="24"/>
      <c r="BTU51" s="24"/>
      <c r="BTV51" s="24"/>
      <c r="BTW51" s="24"/>
      <c r="BTX51" s="24"/>
      <c r="BTY51" s="24"/>
      <c r="BTZ51" s="24"/>
      <c r="BUA51" s="24"/>
      <c r="BUB51" s="24"/>
      <c r="BUC51" s="24"/>
      <c r="BUD51" s="24"/>
      <c r="BUE51" s="24"/>
      <c r="BUF51" s="24"/>
      <c r="BUG51" s="24"/>
      <c r="BUH51" s="24"/>
      <c r="BUI51" s="24"/>
      <c r="BUJ51" s="24"/>
      <c r="BUK51" s="24"/>
      <c r="BUL51" s="24"/>
      <c r="BUM51" s="24"/>
      <c r="BUN51" s="24"/>
      <c r="BUO51" s="24"/>
      <c r="BUP51" s="24"/>
      <c r="BUQ51" s="24"/>
      <c r="BUR51" s="24"/>
      <c r="BUS51" s="24"/>
      <c r="BUT51" s="24"/>
      <c r="BUU51" s="24"/>
      <c r="BUV51" s="24"/>
      <c r="BUW51" s="24"/>
      <c r="BUX51" s="24"/>
      <c r="BUY51" s="24"/>
      <c r="BUZ51" s="24"/>
      <c r="BVA51" s="24"/>
      <c r="BVB51" s="24"/>
      <c r="BVC51" s="24"/>
      <c r="BVD51" s="24"/>
      <c r="BVE51" s="24"/>
      <c r="BVF51" s="24"/>
      <c r="BVG51" s="24"/>
      <c r="BVH51" s="24"/>
      <c r="BVI51" s="24"/>
      <c r="BVJ51" s="24"/>
      <c r="BVK51" s="24"/>
      <c r="BVL51" s="24"/>
      <c r="BVM51" s="24"/>
      <c r="BVN51" s="24"/>
      <c r="BVO51" s="24"/>
      <c r="BVP51" s="24"/>
      <c r="BVQ51" s="24"/>
      <c r="BVR51" s="24"/>
      <c r="BVS51" s="24"/>
      <c r="BVT51" s="24"/>
      <c r="BVU51" s="24"/>
      <c r="BVV51" s="24"/>
      <c r="BVW51" s="24"/>
      <c r="BVX51" s="24"/>
      <c r="BVY51" s="24"/>
      <c r="BVZ51" s="24"/>
      <c r="BWA51" s="24"/>
      <c r="BWB51" s="24"/>
      <c r="BWC51" s="24"/>
      <c r="BWD51" s="24"/>
      <c r="BWE51" s="24"/>
      <c r="BWF51" s="24"/>
      <c r="BWG51" s="24"/>
      <c r="BWH51" s="24"/>
      <c r="BWI51" s="24"/>
      <c r="BWJ51" s="24"/>
      <c r="BWK51" s="24"/>
      <c r="BWL51" s="24"/>
      <c r="BWM51" s="24"/>
      <c r="BWN51" s="24"/>
      <c r="BWO51" s="24"/>
      <c r="BWP51" s="24"/>
      <c r="BWQ51" s="24"/>
      <c r="BWR51" s="24"/>
      <c r="BWS51" s="24"/>
      <c r="BWT51" s="24"/>
      <c r="BWU51" s="24"/>
      <c r="BWV51" s="24"/>
      <c r="BWW51" s="24"/>
      <c r="BWX51" s="24"/>
      <c r="BWY51" s="24"/>
      <c r="BWZ51" s="24"/>
      <c r="BXA51" s="24"/>
      <c r="BXB51" s="24"/>
      <c r="BXC51" s="24"/>
      <c r="BXD51" s="24"/>
      <c r="BXE51" s="24"/>
      <c r="BXF51" s="24"/>
      <c r="BXG51" s="24"/>
      <c r="BXH51" s="24"/>
      <c r="BXI51" s="24"/>
      <c r="BXJ51" s="24"/>
      <c r="BXK51" s="24"/>
      <c r="BXL51" s="24"/>
      <c r="BXM51" s="24"/>
      <c r="BXN51" s="24"/>
      <c r="BXO51" s="24"/>
      <c r="BXP51" s="24"/>
      <c r="BXQ51" s="24"/>
      <c r="BXR51" s="24"/>
      <c r="BXS51" s="24"/>
      <c r="BXT51" s="24"/>
      <c r="BXU51" s="24"/>
      <c r="BXV51" s="24"/>
      <c r="BXW51" s="24"/>
      <c r="BXX51" s="24"/>
      <c r="BXY51" s="24"/>
      <c r="BXZ51" s="24"/>
      <c r="BYA51" s="24"/>
      <c r="BYB51" s="24"/>
      <c r="BYC51" s="24"/>
      <c r="BYD51" s="24"/>
      <c r="BYE51" s="24"/>
      <c r="BYF51" s="24"/>
      <c r="BYG51" s="24"/>
      <c r="BYH51" s="24"/>
      <c r="BYI51" s="24"/>
      <c r="BYJ51" s="24"/>
      <c r="BYK51" s="24"/>
      <c r="BYL51" s="24"/>
      <c r="BYM51" s="24"/>
      <c r="BYN51" s="24"/>
      <c r="BYO51" s="24"/>
      <c r="BYP51" s="24"/>
      <c r="BYQ51" s="24"/>
      <c r="BYR51" s="24"/>
      <c r="BYS51" s="24"/>
      <c r="BYT51" s="24"/>
      <c r="BYU51" s="24"/>
      <c r="BYV51" s="24"/>
      <c r="BYW51" s="24"/>
      <c r="BYX51" s="24"/>
      <c r="BYY51" s="24"/>
      <c r="BYZ51" s="24"/>
      <c r="BZA51" s="24"/>
      <c r="BZB51" s="24"/>
      <c r="BZC51" s="24"/>
      <c r="BZD51" s="24"/>
      <c r="BZE51" s="24"/>
      <c r="BZF51" s="24"/>
      <c r="BZG51" s="24"/>
      <c r="BZH51" s="24"/>
      <c r="BZI51" s="24"/>
      <c r="BZJ51" s="24"/>
      <c r="BZK51" s="24"/>
      <c r="BZL51" s="24"/>
      <c r="BZM51" s="24"/>
      <c r="BZN51" s="24"/>
      <c r="BZO51" s="24"/>
      <c r="BZP51" s="24"/>
      <c r="BZQ51" s="24"/>
      <c r="BZR51" s="24"/>
      <c r="BZS51" s="24"/>
      <c r="BZT51" s="24"/>
      <c r="BZU51" s="24"/>
      <c r="BZV51" s="24"/>
      <c r="BZW51" s="24"/>
      <c r="BZX51" s="24"/>
      <c r="BZY51" s="24"/>
      <c r="BZZ51" s="24"/>
      <c r="CAA51" s="24"/>
      <c r="CAB51" s="24"/>
      <c r="CAC51" s="24"/>
      <c r="CAD51" s="24"/>
      <c r="CAE51" s="24"/>
      <c r="CAF51" s="24"/>
      <c r="CAG51" s="24"/>
      <c r="CAH51" s="24"/>
      <c r="CAI51" s="24"/>
      <c r="CAJ51" s="24"/>
      <c r="CAK51" s="24"/>
      <c r="CAL51" s="24"/>
      <c r="CAM51" s="24"/>
      <c r="CAN51" s="24"/>
      <c r="CAO51" s="24"/>
      <c r="CAP51" s="24"/>
      <c r="CAQ51" s="24"/>
      <c r="CAR51" s="24"/>
      <c r="CAS51" s="24"/>
      <c r="CAT51" s="24"/>
      <c r="CAU51" s="24"/>
      <c r="CAV51" s="24"/>
      <c r="CAW51" s="24"/>
      <c r="CAX51" s="24"/>
      <c r="CAY51" s="24"/>
      <c r="CAZ51" s="24"/>
      <c r="CBA51" s="24"/>
      <c r="CBB51" s="24"/>
      <c r="CBC51" s="24"/>
      <c r="CBD51" s="24"/>
      <c r="CBE51" s="24"/>
      <c r="CBF51" s="24"/>
      <c r="CBG51" s="24"/>
      <c r="CBH51" s="24"/>
      <c r="CBI51" s="24"/>
      <c r="CBJ51" s="24"/>
      <c r="CBK51" s="24"/>
      <c r="CBL51" s="24"/>
      <c r="CBM51" s="24"/>
      <c r="CBN51" s="24"/>
      <c r="CBO51" s="24"/>
      <c r="CBP51" s="24"/>
      <c r="CBQ51" s="24"/>
      <c r="CBR51" s="24"/>
      <c r="CBS51" s="24"/>
      <c r="CBT51" s="24"/>
      <c r="CBU51" s="24"/>
      <c r="CBV51" s="24"/>
      <c r="CBW51" s="24"/>
      <c r="CBX51" s="24"/>
      <c r="CBY51" s="24"/>
      <c r="CBZ51" s="24"/>
      <c r="CCA51" s="24"/>
      <c r="CCB51" s="24"/>
      <c r="CCC51" s="24"/>
      <c r="CCD51" s="24"/>
      <c r="CCE51" s="24"/>
      <c r="CCF51" s="24"/>
      <c r="CCG51" s="24"/>
      <c r="CCH51" s="24"/>
      <c r="CCI51" s="24"/>
      <c r="CCJ51" s="24"/>
      <c r="CCK51" s="24"/>
      <c r="CCL51" s="24"/>
      <c r="CCM51" s="24"/>
      <c r="CCN51" s="24"/>
      <c r="CCO51" s="24"/>
      <c r="CCP51" s="24"/>
      <c r="CCQ51" s="24"/>
      <c r="CCR51" s="24"/>
      <c r="CCS51" s="24"/>
      <c r="CCT51" s="24"/>
      <c r="CCU51" s="24"/>
      <c r="CCV51" s="24"/>
      <c r="CCW51" s="24"/>
      <c r="CCX51" s="24"/>
      <c r="CCY51" s="24"/>
      <c r="CCZ51" s="24"/>
      <c r="CDA51" s="24"/>
      <c r="CDB51" s="24"/>
      <c r="CDC51" s="24"/>
      <c r="CDD51" s="24"/>
      <c r="CDE51" s="24"/>
      <c r="CDF51" s="24"/>
      <c r="CDG51" s="24"/>
      <c r="CDH51" s="24"/>
      <c r="CDI51" s="24"/>
      <c r="CDJ51" s="24"/>
      <c r="CDK51" s="24"/>
      <c r="CDL51" s="24"/>
      <c r="CDM51" s="24"/>
      <c r="CDN51" s="24"/>
      <c r="CDO51" s="24"/>
      <c r="CDP51" s="24"/>
      <c r="CDQ51" s="24"/>
      <c r="CDR51" s="24"/>
      <c r="CDS51" s="24"/>
      <c r="CDT51" s="24"/>
      <c r="CDU51" s="24"/>
      <c r="CDV51" s="24"/>
      <c r="CDW51" s="24"/>
      <c r="CDX51" s="24"/>
      <c r="CDY51" s="24"/>
      <c r="CDZ51" s="24"/>
      <c r="CEA51" s="24"/>
      <c r="CEB51" s="24"/>
      <c r="CEC51" s="24"/>
      <c r="CED51" s="24"/>
      <c r="CEE51" s="24"/>
      <c r="CEF51" s="24"/>
      <c r="CEG51" s="24"/>
      <c r="CEH51" s="24"/>
      <c r="CEI51" s="24"/>
      <c r="CEJ51" s="24"/>
      <c r="CEK51" s="24"/>
      <c r="CEL51" s="24"/>
      <c r="CEM51" s="24"/>
      <c r="CEN51" s="24"/>
      <c r="CEO51" s="24"/>
      <c r="CEP51" s="24"/>
      <c r="CEQ51" s="24"/>
      <c r="CER51" s="24"/>
      <c r="CES51" s="24"/>
      <c r="CET51" s="24"/>
      <c r="CEU51" s="24"/>
      <c r="CEV51" s="24"/>
      <c r="CEW51" s="24"/>
      <c r="CEX51" s="24"/>
      <c r="CEY51" s="24"/>
      <c r="CEZ51" s="24"/>
      <c r="CFA51" s="24"/>
      <c r="CFB51" s="24"/>
      <c r="CFC51" s="24"/>
      <c r="CFD51" s="24"/>
      <c r="CFE51" s="24"/>
      <c r="CFF51" s="24"/>
      <c r="CFG51" s="24"/>
      <c r="CFH51" s="24"/>
      <c r="CFI51" s="24"/>
      <c r="CFJ51" s="24"/>
      <c r="CFK51" s="24"/>
      <c r="CFL51" s="24"/>
      <c r="CFM51" s="24"/>
      <c r="CFN51" s="24"/>
      <c r="CFO51" s="24"/>
      <c r="CFP51" s="24"/>
      <c r="CFQ51" s="24"/>
      <c r="CFR51" s="24"/>
      <c r="CFS51" s="24"/>
      <c r="CFT51" s="24"/>
      <c r="CFU51" s="24"/>
      <c r="CFV51" s="24"/>
      <c r="CFW51" s="24"/>
      <c r="CFX51" s="24"/>
      <c r="CFY51" s="24"/>
      <c r="CFZ51" s="24"/>
      <c r="CGA51" s="24"/>
      <c r="CGB51" s="24"/>
      <c r="CGC51" s="24"/>
      <c r="CGD51" s="24"/>
      <c r="CGE51" s="24"/>
      <c r="CGF51" s="24"/>
      <c r="CGG51" s="24"/>
      <c r="CGH51" s="24"/>
      <c r="CGI51" s="24"/>
      <c r="CGJ51" s="24"/>
      <c r="CGK51" s="24"/>
      <c r="CGL51" s="24"/>
      <c r="CGM51" s="24"/>
      <c r="CGN51" s="24"/>
      <c r="CGO51" s="24"/>
      <c r="CGP51" s="24"/>
      <c r="CGQ51" s="24"/>
      <c r="CGR51" s="24"/>
      <c r="CGS51" s="24"/>
      <c r="CGT51" s="24"/>
      <c r="CGU51" s="24"/>
      <c r="CGV51" s="24"/>
      <c r="CGW51" s="24"/>
      <c r="CGX51" s="24"/>
      <c r="CGY51" s="24"/>
      <c r="CGZ51" s="24"/>
      <c r="CHA51" s="24"/>
      <c r="CHB51" s="24"/>
      <c r="CHC51" s="24"/>
      <c r="CHD51" s="24"/>
      <c r="CHE51" s="24"/>
      <c r="CHF51" s="24"/>
      <c r="CHG51" s="24"/>
      <c r="CHH51" s="24"/>
      <c r="CHI51" s="24"/>
      <c r="CHJ51" s="24"/>
      <c r="CHK51" s="24"/>
      <c r="CHL51" s="24"/>
      <c r="CHM51" s="24"/>
      <c r="CHN51" s="24"/>
      <c r="CHO51" s="24"/>
      <c r="CHP51" s="24"/>
      <c r="CHQ51" s="24"/>
      <c r="CHR51" s="24"/>
      <c r="CHS51" s="24"/>
      <c r="CHT51" s="24"/>
      <c r="CHU51" s="24"/>
      <c r="CHV51" s="24"/>
      <c r="CHW51" s="24"/>
      <c r="CHX51" s="24"/>
      <c r="CHY51" s="24"/>
      <c r="CHZ51" s="24"/>
      <c r="CIA51" s="24"/>
      <c r="CIB51" s="24"/>
      <c r="CIC51" s="24"/>
      <c r="CID51" s="24"/>
      <c r="CIE51" s="24"/>
      <c r="CIF51" s="24"/>
      <c r="CIG51" s="24"/>
      <c r="CIH51" s="24"/>
      <c r="CII51" s="24"/>
      <c r="CIJ51" s="24"/>
      <c r="CIK51" s="24"/>
      <c r="CIL51" s="24"/>
      <c r="CIM51" s="24"/>
      <c r="CIN51" s="24"/>
      <c r="CIO51" s="24"/>
      <c r="CIP51" s="24"/>
      <c r="CIQ51" s="24"/>
      <c r="CIR51" s="24"/>
      <c r="CIS51" s="24"/>
      <c r="CIT51" s="24"/>
      <c r="CIU51" s="24"/>
      <c r="CIV51" s="24"/>
      <c r="CIW51" s="24"/>
      <c r="CIX51" s="24"/>
      <c r="CIY51" s="24"/>
      <c r="CIZ51" s="24"/>
      <c r="CJA51" s="24"/>
      <c r="CJB51" s="24"/>
      <c r="CJC51" s="24"/>
      <c r="CJD51" s="24"/>
      <c r="CJE51" s="24"/>
      <c r="CJF51" s="24"/>
      <c r="CJG51" s="24"/>
      <c r="CJH51" s="24"/>
      <c r="CJI51" s="24"/>
      <c r="CJJ51" s="24"/>
      <c r="CJK51" s="24"/>
      <c r="CJL51" s="24"/>
      <c r="CJM51" s="24"/>
      <c r="CJN51" s="24"/>
      <c r="CJO51" s="24"/>
      <c r="CJP51" s="24"/>
      <c r="CJQ51" s="24"/>
      <c r="CJR51" s="24"/>
      <c r="CJS51" s="24"/>
      <c r="CJT51" s="24"/>
      <c r="CJU51" s="24"/>
      <c r="CJV51" s="24"/>
      <c r="CJW51" s="24"/>
      <c r="CJX51" s="24"/>
      <c r="CJY51" s="24"/>
      <c r="CJZ51" s="24"/>
      <c r="CKA51" s="24"/>
      <c r="CKB51" s="24"/>
      <c r="CKC51" s="24"/>
      <c r="CKD51" s="24"/>
      <c r="CKE51" s="24"/>
      <c r="CKF51" s="24"/>
      <c r="CKG51" s="24"/>
      <c r="CKH51" s="24"/>
      <c r="CKI51" s="24"/>
      <c r="CKJ51" s="24"/>
      <c r="CKK51" s="24"/>
      <c r="CKL51" s="24"/>
      <c r="CKM51" s="24"/>
      <c r="CKN51" s="24"/>
      <c r="CKO51" s="24"/>
      <c r="CKP51" s="24"/>
      <c r="CKQ51" s="24"/>
      <c r="CKR51" s="24"/>
      <c r="CKS51" s="24"/>
      <c r="CKT51" s="24"/>
      <c r="CKU51" s="24"/>
      <c r="CKV51" s="24"/>
      <c r="CKW51" s="24"/>
      <c r="CKX51" s="24"/>
      <c r="CKY51" s="24"/>
      <c r="CKZ51" s="24"/>
      <c r="CLA51" s="24"/>
      <c r="CLB51" s="24"/>
      <c r="CLC51" s="24"/>
      <c r="CLD51" s="24"/>
      <c r="CLE51" s="24"/>
      <c r="CLF51" s="24"/>
      <c r="CLG51" s="24"/>
      <c r="CLH51" s="24"/>
      <c r="CLI51" s="24"/>
      <c r="CLJ51" s="24"/>
      <c r="CLK51" s="24"/>
      <c r="CLL51" s="24"/>
      <c r="CLM51" s="24"/>
      <c r="CLN51" s="24"/>
      <c r="CLO51" s="24"/>
      <c r="CLP51" s="24"/>
      <c r="CLQ51" s="24"/>
      <c r="CLR51" s="24"/>
      <c r="CLS51" s="24"/>
      <c r="CLT51" s="24"/>
      <c r="CLU51" s="24"/>
      <c r="CLV51" s="24"/>
      <c r="CLW51" s="24"/>
      <c r="CLX51" s="24"/>
      <c r="CLY51" s="24"/>
      <c r="CLZ51" s="24"/>
      <c r="CMA51" s="24"/>
      <c r="CMB51" s="24"/>
      <c r="CMC51" s="24"/>
      <c r="CMD51" s="24"/>
      <c r="CME51" s="24"/>
      <c r="CMF51" s="24"/>
      <c r="CMG51" s="24"/>
      <c r="CMH51" s="24"/>
      <c r="CMI51" s="24"/>
      <c r="CMJ51" s="24"/>
      <c r="CMK51" s="24"/>
      <c r="CML51" s="24"/>
      <c r="CMM51" s="24"/>
      <c r="CMN51" s="24"/>
      <c r="CMO51" s="24"/>
      <c r="CMP51" s="24"/>
      <c r="CMQ51" s="24"/>
      <c r="CMR51" s="24"/>
      <c r="CMS51" s="24"/>
      <c r="CMT51" s="24"/>
      <c r="CMU51" s="24"/>
      <c r="CMV51" s="24"/>
      <c r="CMW51" s="24"/>
      <c r="CMX51" s="24"/>
      <c r="CMY51" s="24"/>
      <c r="CMZ51" s="24"/>
      <c r="CNA51" s="24"/>
      <c r="CNB51" s="24"/>
      <c r="CNC51" s="24"/>
      <c r="CND51" s="24"/>
      <c r="CNE51" s="24"/>
      <c r="CNF51" s="24"/>
      <c r="CNG51" s="24"/>
      <c r="CNH51" s="24"/>
      <c r="CNI51" s="24"/>
      <c r="CNJ51" s="24"/>
      <c r="CNK51" s="24"/>
      <c r="CNL51" s="24"/>
      <c r="CNM51" s="24"/>
      <c r="CNN51" s="24"/>
      <c r="CNO51" s="24"/>
      <c r="CNP51" s="24"/>
      <c r="CNQ51" s="24"/>
      <c r="CNR51" s="24"/>
      <c r="CNS51" s="24"/>
      <c r="CNT51" s="24"/>
      <c r="CNU51" s="24"/>
      <c r="CNV51" s="24"/>
      <c r="CNW51" s="24"/>
      <c r="CNX51" s="24"/>
      <c r="CNY51" s="24"/>
      <c r="CNZ51" s="24"/>
      <c r="COA51" s="24"/>
      <c r="COB51" s="24"/>
      <c r="COC51" s="24"/>
      <c r="COD51" s="24"/>
      <c r="COE51" s="24"/>
      <c r="COF51" s="24"/>
      <c r="COG51" s="24"/>
      <c r="COH51" s="24"/>
      <c r="COI51" s="24"/>
      <c r="COJ51" s="24"/>
      <c r="COK51" s="24"/>
      <c r="COL51" s="24"/>
      <c r="COM51" s="24"/>
      <c r="CON51" s="24"/>
      <c r="COO51" s="24"/>
      <c r="COP51" s="24"/>
      <c r="COQ51" s="24"/>
      <c r="COR51" s="24"/>
      <c r="COS51" s="24"/>
      <c r="COT51" s="24"/>
      <c r="COU51" s="24"/>
      <c r="COV51" s="24"/>
      <c r="COW51" s="24"/>
      <c r="COX51" s="24"/>
      <c r="COY51" s="24"/>
      <c r="COZ51" s="24"/>
      <c r="CPA51" s="24"/>
      <c r="CPB51" s="24"/>
      <c r="CPC51" s="24"/>
      <c r="CPD51" s="24"/>
      <c r="CPE51" s="24"/>
      <c r="CPF51" s="24"/>
      <c r="CPG51" s="24"/>
      <c r="CPH51" s="24"/>
      <c r="CPI51" s="24"/>
      <c r="CPJ51" s="24"/>
      <c r="CPK51" s="24"/>
      <c r="CPL51" s="24"/>
      <c r="CPM51" s="24"/>
      <c r="CPN51" s="24"/>
      <c r="CPO51" s="24"/>
      <c r="CPP51" s="24"/>
      <c r="CPQ51" s="24"/>
      <c r="CPR51" s="24"/>
      <c r="CPS51" s="24"/>
      <c r="CPT51" s="24"/>
      <c r="CPU51" s="24"/>
      <c r="CPV51" s="24"/>
      <c r="CPW51" s="24"/>
      <c r="CPX51" s="24"/>
      <c r="CPY51" s="24"/>
      <c r="CPZ51" s="24"/>
      <c r="CQA51" s="24"/>
      <c r="CQB51" s="24"/>
      <c r="CQC51" s="24"/>
      <c r="CQD51" s="24"/>
      <c r="CQE51" s="24"/>
      <c r="CQF51" s="24"/>
      <c r="CQG51" s="24"/>
      <c r="CQH51" s="24"/>
      <c r="CQI51" s="24"/>
      <c r="CQJ51" s="24"/>
      <c r="CQK51" s="24"/>
      <c r="CQL51" s="24"/>
      <c r="CQM51" s="24"/>
      <c r="CQN51" s="24"/>
      <c r="CQO51" s="24"/>
      <c r="CQP51" s="24"/>
      <c r="CQQ51" s="24"/>
      <c r="CQR51" s="24"/>
      <c r="CQS51" s="24"/>
      <c r="CQT51" s="24"/>
      <c r="CQU51" s="24"/>
      <c r="CQV51" s="24"/>
      <c r="CQW51" s="24"/>
      <c r="CQX51" s="24"/>
      <c r="CQY51" s="24"/>
      <c r="CQZ51" s="24"/>
      <c r="CRA51" s="24"/>
      <c r="CRB51" s="24"/>
      <c r="CRC51" s="24"/>
      <c r="CRD51" s="24"/>
      <c r="CRE51" s="24"/>
      <c r="CRF51" s="24"/>
      <c r="CRG51" s="24"/>
      <c r="CRH51" s="24"/>
      <c r="CRI51" s="24"/>
      <c r="CRJ51" s="24"/>
      <c r="CRK51" s="24"/>
      <c r="CRL51" s="24"/>
      <c r="CRM51" s="24"/>
      <c r="CRN51" s="24"/>
      <c r="CRO51" s="24"/>
      <c r="CRP51" s="24"/>
      <c r="CRQ51" s="24"/>
      <c r="CRR51" s="24"/>
      <c r="CRS51" s="24"/>
      <c r="CRT51" s="24"/>
      <c r="CRU51" s="24"/>
      <c r="CRV51" s="24"/>
      <c r="CRW51" s="24"/>
      <c r="CRX51" s="24"/>
      <c r="CRY51" s="24"/>
      <c r="CRZ51" s="24"/>
      <c r="CSA51" s="24"/>
      <c r="CSB51" s="24"/>
      <c r="CSC51" s="24"/>
      <c r="CSD51" s="24"/>
      <c r="CSE51" s="24"/>
      <c r="CSF51" s="24"/>
      <c r="CSG51" s="24"/>
      <c r="CSH51" s="24"/>
      <c r="CSI51" s="24"/>
      <c r="CSJ51" s="24"/>
      <c r="CSK51" s="24"/>
      <c r="CSL51" s="24"/>
      <c r="CSM51" s="24"/>
      <c r="CSN51" s="24"/>
      <c r="CSO51" s="24"/>
      <c r="CSP51" s="24"/>
      <c r="CSQ51" s="24"/>
      <c r="CSR51" s="24"/>
      <c r="CSS51" s="24"/>
      <c r="CST51" s="24"/>
      <c r="CSU51" s="24"/>
      <c r="CSV51" s="24"/>
      <c r="CSW51" s="24"/>
      <c r="CSX51" s="24"/>
      <c r="CSY51" s="24"/>
      <c r="CSZ51" s="24"/>
      <c r="CTA51" s="24"/>
      <c r="CTB51" s="24"/>
      <c r="CTC51" s="24"/>
      <c r="CTD51" s="24"/>
      <c r="CTE51" s="24"/>
      <c r="CTF51" s="24"/>
      <c r="CTG51" s="24"/>
      <c r="CTH51" s="24"/>
      <c r="CTI51" s="24"/>
      <c r="CTJ51" s="24"/>
      <c r="CTK51" s="24"/>
      <c r="CTL51" s="24"/>
      <c r="CTM51" s="24"/>
      <c r="CTN51" s="24"/>
      <c r="CTO51" s="24"/>
      <c r="CTP51" s="24"/>
      <c r="CTQ51" s="24"/>
      <c r="CTR51" s="24"/>
      <c r="CTS51" s="24"/>
      <c r="CTT51" s="24"/>
      <c r="CTU51" s="24"/>
      <c r="CTV51" s="24"/>
      <c r="CTW51" s="24"/>
      <c r="CTX51" s="24"/>
      <c r="CTY51" s="24"/>
      <c r="CTZ51" s="24"/>
      <c r="CUA51" s="24"/>
      <c r="CUB51" s="24"/>
      <c r="CUC51" s="24"/>
      <c r="CUD51" s="24"/>
      <c r="CUE51" s="24"/>
      <c r="CUF51" s="24"/>
      <c r="CUG51" s="24"/>
      <c r="CUH51" s="24"/>
      <c r="CUI51" s="24"/>
      <c r="CUJ51" s="24"/>
      <c r="CUK51" s="24"/>
      <c r="CUL51" s="24"/>
      <c r="CUM51" s="24"/>
      <c r="CUN51" s="24"/>
      <c r="CUO51" s="24"/>
      <c r="CUP51" s="24"/>
      <c r="CUQ51" s="24"/>
      <c r="CUR51" s="24"/>
      <c r="CUS51" s="24"/>
      <c r="CUT51" s="24"/>
      <c r="CUU51" s="24"/>
      <c r="CUV51" s="24"/>
      <c r="CUW51" s="24"/>
      <c r="CUX51" s="24"/>
      <c r="CUY51" s="24"/>
      <c r="CUZ51" s="24"/>
      <c r="CVA51" s="24"/>
      <c r="CVB51" s="24"/>
      <c r="CVC51" s="24"/>
      <c r="CVD51" s="24"/>
      <c r="CVE51" s="24"/>
      <c r="CVF51" s="24"/>
      <c r="CVG51" s="24"/>
      <c r="CVH51" s="24"/>
      <c r="CVI51" s="24"/>
      <c r="CVJ51" s="24"/>
      <c r="CVK51" s="24"/>
      <c r="CVL51" s="24"/>
      <c r="CVM51" s="24"/>
      <c r="CVN51" s="24"/>
      <c r="CVO51" s="24"/>
      <c r="CVP51" s="24"/>
      <c r="CVQ51" s="24"/>
      <c r="CVR51" s="24"/>
      <c r="CVS51" s="24"/>
      <c r="CVT51" s="24"/>
      <c r="CVU51" s="24"/>
      <c r="CVV51" s="24"/>
      <c r="CVW51" s="24"/>
      <c r="CVX51" s="24"/>
      <c r="CVY51" s="24"/>
      <c r="CVZ51" s="24"/>
      <c r="CWA51" s="24"/>
      <c r="CWB51" s="24"/>
      <c r="CWC51" s="24"/>
      <c r="CWD51" s="24"/>
      <c r="CWE51" s="24"/>
      <c r="CWF51" s="24"/>
      <c r="CWG51" s="24"/>
      <c r="CWH51" s="24"/>
      <c r="CWI51" s="24"/>
      <c r="CWJ51" s="24"/>
      <c r="CWK51" s="24"/>
      <c r="CWL51" s="24"/>
      <c r="CWM51" s="24"/>
      <c r="CWN51" s="24"/>
      <c r="CWO51" s="24"/>
      <c r="CWP51" s="24"/>
      <c r="CWQ51" s="24"/>
      <c r="CWR51" s="24"/>
      <c r="CWS51" s="24"/>
      <c r="CWT51" s="24"/>
      <c r="CWU51" s="24"/>
      <c r="CWV51" s="24"/>
      <c r="CWW51" s="24"/>
      <c r="CWX51" s="24"/>
      <c r="CWY51" s="24"/>
      <c r="CWZ51" s="24"/>
      <c r="CXA51" s="24"/>
      <c r="CXB51" s="24"/>
      <c r="CXC51" s="24"/>
      <c r="CXD51" s="24"/>
      <c r="CXE51" s="24"/>
      <c r="CXF51" s="24"/>
      <c r="CXG51" s="24"/>
      <c r="CXH51" s="24"/>
      <c r="CXI51" s="24"/>
      <c r="CXJ51" s="24"/>
      <c r="CXK51" s="24"/>
      <c r="CXL51" s="24"/>
      <c r="CXM51" s="24"/>
      <c r="CXN51" s="24"/>
      <c r="CXO51" s="24"/>
      <c r="CXP51" s="24"/>
      <c r="CXQ51" s="24"/>
      <c r="CXR51" s="24"/>
      <c r="CXS51" s="24"/>
      <c r="CXT51" s="24"/>
      <c r="CXU51" s="24"/>
      <c r="CXV51" s="24"/>
      <c r="CXW51" s="24"/>
      <c r="CXX51" s="24"/>
      <c r="CXY51" s="24"/>
      <c r="CXZ51" s="24"/>
      <c r="CYA51" s="24"/>
      <c r="CYB51" s="24"/>
      <c r="CYC51" s="24"/>
      <c r="CYD51" s="24"/>
      <c r="CYE51" s="24"/>
      <c r="CYF51" s="24"/>
      <c r="CYG51" s="24"/>
      <c r="CYH51" s="24"/>
      <c r="CYI51" s="24"/>
      <c r="CYJ51" s="24"/>
      <c r="CYK51" s="24"/>
      <c r="CYL51" s="24"/>
      <c r="CYM51" s="24"/>
      <c r="CYN51" s="24"/>
      <c r="CYO51" s="24"/>
      <c r="CYP51" s="24"/>
      <c r="CYQ51" s="24"/>
      <c r="CYR51" s="24"/>
      <c r="CYS51" s="24"/>
      <c r="CYT51" s="24"/>
      <c r="CYU51" s="24"/>
      <c r="CYV51" s="24"/>
      <c r="CYW51" s="24"/>
      <c r="CYX51" s="24"/>
      <c r="CYY51" s="24"/>
      <c r="CYZ51" s="24"/>
      <c r="CZA51" s="24"/>
      <c r="CZB51" s="24"/>
      <c r="CZC51" s="24"/>
      <c r="CZD51" s="24"/>
      <c r="CZE51" s="24"/>
      <c r="CZF51" s="24"/>
      <c r="CZG51" s="24"/>
      <c r="CZH51" s="24"/>
      <c r="CZI51" s="24"/>
      <c r="CZJ51" s="24"/>
      <c r="CZK51" s="24"/>
      <c r="CZL51" s="24"/>
      <c r="CZM51" s="24"/>
      <c r="CZN51" s="24"/>
      <c r="CZO51" s="24"/>
      <c r="CZP51" s="24"/>
      <c r="CZQ51" s="24"/>
      <c r="CZR51" s="24"/>
      <c r="CZS51" s="24"/>
      <c r="CZT51" s="24"/>
      <c r="CZU51" s="24"/>
      <c r="CZV51" s="24"/>
      <c r="CZW51" s="24"/>
      <c r="CZX51" s="24"/>
      <c r="CZY51" s="24"/>
      <c r="CZZ51" s="24"/>
      <c r="DAA51" s="24"/>
      <c r="DAB51" s="24"/>
      <c r="DAC51" s="24"/>
      <c r="DAD51" s="24"/>
      <c r="DAE51" s="24"/>
      <c r="DAF51" s="24"/>
      <c r="DAG51" s="24"/>
      <c r="DAH51" s="24"/>
      <c r="DAI51" s="24"/>
      <c r="DAJ51" s="24"/>
      <c r="DAK51" s="24"/>
      <c r="DAL51" s="24"/>
      <c r="DAM51" s="24"/>
      <c r="DAN51" s="24"/>
      <c r="DAO51" s="24"/>
      <c r="DAP51" s="24"/>
      <c r="DAQ51" s="24"/>
      <c r="DAR51" s="24"/>
      <c r="DAS51" s="24"/>
      <c r="DAT51" s="24"/>
      <c r="DAU51" s="24"/>
      <c r="DAV51" s="24"/>
      <c r="DAW51" s="24"/>
      <c r="DAX51" s="24"/>
      <c r="DAY51" s="24"/>
      <c r="DAZ51" s="24"/>
      <c r="DBA51" s="24"/>
      <c r="DBB51" s="24"/>
      <c r="DBC51" s="24"/>
      <c r="DBD51" s="24"/>
      <c r="DBE51" s="24"/>
      <c r="DBF51" s="24"/>
      <c r="DBG51" s="24"/>
      <c r="DBH51" s="24"/>
      <c r="DBI51" s="24"/>
      <c r="DBJ51" s="24"/>
      <c r="DBK51" s="24"/>
      <c r="DBL51" s="24"/>
      <c r="DBM51" s="24"/>
      <c r="DBN51" s="24"/>
      <c r="DBO51" s="24"/>
      <c r="DBP51" s="24"/>
      <c r="DBQ51" s="24"/>
      <c r="DBR51" s="24"/>
      <c r="DBS51" s="24"/>
      <c r="DBT51" s="24"/>
      <c r="DBU51" s="24"/>
      <c r="DBV51" s="24"/>
      <c r="DBW51" s="24"/>
      <c r="DBX51" s="24"/>
      <c r="DBY51" s="24"/>
      <c r="DBZ51" s="24"/>
      <c r="DCA51" s="24"/>
      <c r="DCB51" s="24"/>
      <c r="DCC51" s="24"/>
      <c r="DCD51" s="24"/>
      <c r="DCE51" s="24"/>
      <c r="DCF51" s="24"/>
      <c r="DCG51" s="24"/>
      <c r="DCH51" s="24"/>
      <c r="DCI51" s="24"/>
      <c r="DCJ51" s="24"/>
      <c r="DCK51" s="24"/>
      <c r="DCL51" s="24"/>
      <c r="DCM51" s="24"/>
      <c r="DCN51" s="24"/>
      <c r="DCO51" s="24"/>
      <c r="DCP51" s="24"/>
      <c r="DCQ51" s="24"/>
      <c r="DCR51" s="24"/>
      <c r="DCS51" s="24"/>
      <c r="DCT51" s="24"/>
      <c r="DCU51" s="24"/>
      <c r="DCV51" s="24"/>
      <c r="DCW51" s="24"/>
      <c r="DCX51" s="24"/>
      <c r="DCY51" s="24"/>
      <c r="DCZ51" s="24"/>
      <c r="DDA51" s="24"/>
      <c r="DDB51" s="24"/>
      <c r="DDC51" s="24"/>
      <c r="DDD51" s="24"/>
      <c r="DDE51" s="24"/>
      <c r="DDF51" s="24"/>
      <c r="DDG51" s="24"/>
      <c r="DDH51" s="24"/>
      <c r="DDI51" s="24"/>
      <c r="DDJ51" s="24"/>
      <c r="DDK51" s="24"/>
      <c r="DDL51" s="24"/>
      <c r="DDM51" s="24"/>
      <c r="DDN51" s="24"/>
      <c r="DDO51" s="24"/>
      <c r="DDP51" s="24"/>
      <c r="DDQ51" s="24"/>
      <c r="DDR51" s="24"/>
      <c r="DDS51" s="24"/>
      <c r="DDT51" s="24"/>
      <c r="DDU51" s="24"/>
      <c r="DDV51" s="24"/>
      <c r="DDW51" s="24"/>
      <c r="DDX51" s="24"/>
      <c r="DDY51" s="24"/>
      <c r="DDZ51" s="24"/>
      <c r="DEA51" s="24"/>
      <c r="DEB51" s="24"/>
      <c r="DEC51" s="24"/>
      <c r="DED51" s="24"/>
      <c r="DEE51" s="24"/>
      <c r="DEF51" s="24"/>
      <c r="DEG51" s="24"/>
      <c r="DEH51" s="24"/>
      <c r="DEI51" s="24"/>
      <c r="DEJ51" s="24"/>
      <c r="DEK51" s="24"/>
      <c r="DEL51" s="24"/>
      <c r="DEM51" s="24"/>
      <c r="DEN51" s="24"/>
      <c r="DEO51" s="24"/>
      <c r="DEP51" s="24"/>
      <c r="DEQ51" s="24"/>
      <c r="DER51" s="24"/>
      <c r="DES51" s="24"/>
      <c r="DET51" s="24"/>
      <c r="DEU51" s="24"/>
      <c r="DEV51" s="24"/>
      <c r="DEW51" s="24"/>
      <c r="DEX51" s="24"/>
      <c r="DEY51" s="24"/>
      <c r="DEZ51" s="24"/>
      <c r="DFA51" s="24"/>
      <c r="DFB51" s="24"/>
      <c r="DFC51" s="24"/>
      <c r="DFD51" s="24"/>
      <c r="DFE51" s="24"/>
      <c r="DFF51" s="24"/>
      <c r="DFG51" s="24"/>
      <c r="DFH51" s="24"/>
      <c r="DFI51" s="24"/>
      <c r="DFJ51" s="24"/>
      <c r="DFK51" s="24"/>
      <c r="DFL51" s="24"/>
      <c r="DFM51" s="24"/>
      <c r="DFN51" s="24"/>
      <c r="DFO51" s="24"/>
      <c r="DFP51" s="24"/>
      <c r="DFQ51" s="24"/>
      <c r="DFR51" s="24"/>
      <c r="DFS51" s="24"/>
      <c r="DFT51" s="24"/>
      <c r="DFU51" s="24"/>
      <c r="DFV51" s="24"/>
      <c r="DFW51" s="24"/>
      <c r="DFX51" s="24"/>
      <c r="DFY51" s="24"/>
      <c r="DFZ51" s="24"/>
      <c r="DGA51" s="24"/>
      <c r="DGB51" s="24"/>
      <c r="DGC51" s="24"/>
      <c r="DGD51" s="24"/>
      <c r="DGE51" s="24"/>
      <c r="DGF51" s="24"/>
      <c r="DGG51" s="24"/>
      <c r="DGH51" s="24"/>
      <c r="DGI51" s="24"/>
      <c r="DGJ51" s="24"/>
      <c r="DGK51" s="24"/>
      <c r="DGL51" s="24"/>
      <c r="DGM51" s="24"/>
      <c r="DGN51" s="24"/>
      <c r="DGO51" s="24"/>
      <c r="DGP51" s="24"/>
      <c r="DGQ51" s="24"/>
      <c r="DGR51" s="24"/>
      <c r="DGS51" s="24"/>
      <c r="DGT51" s="24"/>
      <c r="DGU51" s="24"/>
      <c r="DGV51" s="24"/>
      <c r="DGW51" s="24"/>
      <c r="DGX51" s="24"/>
      <c r="DGY51" s="24"/>
      <c r="DGZ51" s="24"/>
      <c r="DHA51" s="24"/>
      <c r="DHB51" s="24"/>
      <c r="DHC51" s="24"/>
      <c r="DHD51" s="24"/>
      <c r="DHE51" s="24"/>
      <c r="DHF51" s="24"/>
      <c r="DHG51" s="24"/>
      <c r="DHH51" s="24"/>
      <c r="DHI51" s="24"/>
      <c r="DHJ51" s="24"/>
      <c r="DHK51" s="24"/>
      <c r="DHL51" s="24"/>
      <c r="DHM51" s="24"/>
      <c r="DHN51" s="24"/>
      <c r="DHO51" s="24"/>
      <c r="DHP51" s="24"/>
      <c r="DHQ51" s="24"/>
      <c r="DHR51" s="24"/>
      <c r="DHS51" s="24"/>
      <c r="DHT51" s="24"/>
      <c r="DHU51" s="24"/>
      <c r="DHV51" s="24"/>
      <c r="DHW51" s="24"/>
      <c r="DHX51" s="24"/>
      <c r="DHY51" s="24"/>
      <c r="DHZ51" s="24"/>
      <c r="DIA51" s="24"/>
      <c r="DIB51" s="24"/>
      <c r="DIC51" s="24"/>
      <c r="DID51" s="24"/>
      <c r="DIE51" s="24"/>
      <c r="DIF51" s="24"/>
      <c r="DIG51" s="24"/>
      <c r="DIH51" s="24"/>
      <c r="DII51" s="24"/>
      <c r="DIJ51" s="24"/>
      <c r="DIK51" s="24"/>
      <c r="DIL51" s="24"/>
      <c r="DIM51" s="24"/>
      <c r="DIN51" s="24"/>
      <c r="DIO51" s="24"/>
      <c r="DIP51" s="24"/>
      <c r="DIQ51" s="24"/>
      <c r="DIR51" s="24"/>
      <c r="DIS51" s="24"/>
      <c r="DIT51" s="24"/>
      <c r="DIU51" s="24"/>
      <c r="DIV51" s="24"/>
      <c r="DIW51" s="24"/>
      <c r="DIX51" s="24"/>
      <c r="DIY51" s="24"/>
      <c r="DIZ51" s="24"/>
      <c r="DJA51" s="24"/>
      <c r="DJB51" s="24"/>
      <c r="DJC51" s="24"/>
      <c r="DJD51" s="24"/>
      <c r="DJE51" s="24"/>
      <c r="DJF51" s="24"/>
      <c r="DJG51" s="24"/>
      <c r="DJH51" s="24"/>
      <c r="DJI51" s="24"/>
      <c r="DJJ51" s="24"/>
      <c r="DJK51" s="24"/>
      <c r="DJL51" s="24"/>
      <c r="DJM51" s="24"/>
      <c r="DJN51" s="24"/>
      <c r="DJO51" s="24"/>
      <c r="DJP51" s="24"/>
      <c r="DJQ51" s="24"/>
      <c r="DJR51" s="24"/>
      <c r="DJS51" s="24"/>
      <c r="DJT51" s="24"/>
      <c r="DJU51" s="24"/>
      <c r="DJV51" s="24"/>
      <c r="DJW51" s="24"/>
      <c r="DJX51" s="24"/>
      <c r="DJY51" s="24"/>
      <c r="DJZ51" s="24"/>
      <c r="DKA51" s="24"/>
      <c r="DKB51" s="24"/>
      <c r="DKC51" s="24"/>
      <c r="DKD51" s="24"/>
      <c r="DKE51" s="24"/>
      <c r="DKF51" s="24"/>
      <c r="DKG51" s="24"/>
      <c r="DKH51" s="24"/>
      <c r="DKI51" s="24"/>
      <c r="DKJ51" s="24"/>
      <c r="DKK51" s="24"/>
      <c r="DKL51" s="24"/>
      <c r="DKM51" s="24"/>
      <c r="DKN51" s="24"/>
      <c r="DKO51" s="24"/>
      <c r="DKP51" s="24"/>
      <c r="DKQ51" s="24"/>
      <c r="DKR51" s="24"/>
      <c r="DKS51" s="24"/>
      <c r="DKT51" s="24"/>
      <c r="DKU51" s="24"/>
      <c r="DKV51" s="24"/>
      <c r="DKW51" s="24"/>
      <c r="DKX51" s="24"/>
      <c r="DKY51" s="24"/>
      <c r="DKZ51" s="24"/>
      <c r="DLA51" s="24"/>
      <c r="DLB51" s="24"/>
      <c r="DLC51" s="24"/>
      <c r="DLD51" s="24"/>
      <c r="DLE51" s="24"/>
      <c r="DLF51" s="24"/>
      <c r="DLG51" s="24"/>
      <c r="DLH51" s="24"/>
      <c r="DLI51" s="24"/>
      <c r="DLJ51" s="24"/>
      <c r="DLK51" s="24"/>
      <c r="DLL51" s="24"/>
      <c r="DLM51" s="24"/>
      <c r="DLN51" s="24"/>
      <c r="DLO51" s="24"/>
      <c r="DLP51" s="24"/>
      <c r="DLQ51" s="24"/>
      <c r="DLR51" s="24"/>
      <c r="DLS51" s="24"/>
      <c r="DLT51" s="24"/>
      <c r="DLU51" s="24"/>
      <c r="DLV51" s="24"/>
      <c r="DLW51" s="24"/>
      <c r="DLX51" s="24"/>
      <c r="DLY51" s="24"/>
      <c r="DLZ51" s="24"/>
      <c r="DMA51" s="24"/>
      <c r="DMB51" s="24"/>
      <c r="DMC51" s="24"/>
      <c r="DMD51" s="24"/>
      <c r="DME51" s="24"/>
      <c r="DMF51" s="24"/>
      <c r="DMG51" s="24"/>
      <c r="DMH51" s="24"/>
      <c r="DMI51" s="24"/>
      <c r="DMJ51" s="24"/>
      <c r="DMK51" s="24"/>
      <c r="DML51" s="24"/>
      <c r="DMM51" s="24"/>
      <c r="DMN51" s="24"/>
      <c r="DMO51" s="24"/>
      <c r="DMP51" s="24"/>
      <c r="DMQ51" s="24"/>
      <c r="DMR51" s="24"/>
      <c r="DMS51" s="24"/>
      <c r="DMT51" s="24"/>
      <c r="DMU51" s="24"/>
      <c r="DMV51" s="24"/>
      <c r="DMW51" s="24"/>
      <c r="DMX51" s="24"/>
      <c r="DMY51" s="24"/>
      <c r="DMZ51" s="24"/>
      <c r="DNA51" s="24"/>
      <c r="DNB51" s="24"/>
      <c r="DNC51" s="24"/>
      <c r="DND51" s="24"/>
      <c r="DNE51" s="24"/>
      <c r="DNF51" s="24"/>
      <c r="DNG51" s="24"/>
      <c r="DNH51" s="24"/>
      <c r="DNI51" s="24"/>
      <c r="DNJ51" s="24"/>
      <c r="DNK51" s="24"/>
      <c r="DNL51" s="24"/>
      <c r="DNM51" s="24"/>
      <c r="DNN51" s="24"/>
      <c r="DNO51" s="24"/>
      <c r="DNP51" s="24"/>
      <c r="DNQ51" s="24"/>
      <c r="DNR51" s="24"/>
      <c r="DNS51" s="24"/>
      <c r="DNT51" s="24"/>
      <c r="DNU51" s="24"/>
      <c r="DNV51" s="24"/>
      <c r="DNW51" s="24"/>
      <c r="DNX51" s="24"/>
      <c r="DNY51" s="24"/>
      <c r="DNZ51" s="24"/>
      <c r="DOA51" s="24"/>
      <c r="DOB51" s="24"/>
      <c r="DOC51" s="24"/>
      <c r="DOD51" s="24"/>
      <c r="DOE51" s="24"/>
      <c r="DOF51" s="24"/>
      <c r="DOG51" s="24"/>
      <c r="DOH51" s="24"/>
      <c r="DOI51" s="24"/>
      <c r="DOJ51" s="24"/>
      <c r="DOK51" s="24"/>
      <c r="DOL51" s="24"/>
      <c r="DOM51" s="24"/>
      <c r="DON51" s="24"/>
      <c r="DOO51" s="24"/>
      <c r="DOP51" s="24"/>
      <c r="DOQ51" s="24"/>
      <c r="DOR51" s="24"/>
      <c r="DOS51" s="24"/>
      <c r="DOT51" s="24"/>
      <c r="DOU51" s="24"/>
      <c r="DOV51" s="24"/>
      <c r="DOW51" s="24"/>
      <c r="DOX51" s="24"/>
      <c r="DOY51" s="24"/>
      <c r="DOZ51" s="24"/>
      <c r="DPA51" s="24"/>
      <c r="DPB51" s="24"/>
      <c r="DPC51" s="24"/>
      <c r="DPD51" s="24"/>
      <c r="DPE51" s="24"/>
      <c r="DPF51" s="24"/>
      <c r="DPG51" s="24"/>
      <c r="DPH51" s="24"/>
      <c r="DPI51" s="24"/>
      <c r="DPJ51" s="24"/>
      <c r="DPK51" s="24"/>
      <c r="DPL51" s="24"/>
      <c r="DPM51" s="24"/>
      <c r="DPN51" s="24"/>
      <c r="DPO51" s="24"/>
      <c r="DPP51" s="24"/>
      <c r="DPQ51" s="24"/>
      <c r="DPR51" s="24"/>
      <c r="DPS51" s="24"/>
      <c r="DPT51" s="24"/>
      <c r="DPU51" s="24"/>
      <c r="DPV51" s="24"/>
      <c r="DPW51" s="24"/>
      <c r="DPX51" s="24"/>
      <c r="DPY51" s="24"/>
      <c r="DPZ51" s="24"/>
      <c r="DQA51" s="24"/>
      <c r="DQB51" s="24"/>
      <c r="DQC51" s="24"/>
      <c r="DQD51" s="24"/>
      <c r="DQE51" s="24"/>
      <c r="DQF51" s="24"/>
      <c r="DQG51" s="24"/>
      <c r="DQH51" s="24"/>
      <c r="DQI51" s="24"/>
      <c r="DQJ51" s="24"/>
      <c r="DQK51" s="24"/>
      <c r="DQL51" s="24"/>
      <c r="DQM51" s="24"/>
      <c r="DQN51" s="24"/>
      <c r="DQO51" s="24"/>
      <c r="DQP51" s="24"/>
      <c r="DQQ51" s="24"/>
      <c r="DQR51" s="24"/>
      <c r="DQS51" s="24"/>
      <c r="DQT51" s="24"/>
      <c r="DQU51" s="24"/>
      <c r="DQV51" s="24"/>
      <c r="DQW51" s="24"/>
      <c r="DQX51" s="24"/>
      <c r="DQY51" s="24"/>
      <c r="DQZ51" s="24"/>
      <c r="DRA51" s="24"/>
      <c r="DRB51" s="24"/>
      <c r="DRC51" s="24"/>
      <c r="DRD51" s="24"/>
      <c r="DRE51" s="24"/>
      <c r="DRF51" s="24"/>
      <c r="DRG51" s="24"/>
      <c r="DRH51" s="24"/>
      <c r="DRI51" s="24"/>
      <c r="DRJ51" s="24"/>
      <c r="DRK51" s="24"/>
      <c r="DRL51" s="24"/>
      <c r="DRM51" s="24"/>
      <c r="DRN51" s="24"/>
      <c r="DRO51" s="24"/>
      <c r="DRP51" s="24"/>
      <c r="DRQ51" s="24"/>
      <c r="DRR51" s="24"/>
      <c r="DRS51" s="24"/>
      <c r="DRT51" s="24"/>
      <c r="DRU51" s="24"/>
      <c r="DRV51" s="24"/>
      <c r="DRW51" s="24"/>
      <c r="DRX51" s="24"/>
      <c r="DRY51" s="24"/>
      <c r="DRZ51" s="24"/>
      <c r="DSA51" s="24"/>
      <c r="DSB51" s="24"/>
      <c r="DSC51" s="24"/>
      <c r="DSD51" s="24"/>
      <c r="DSE51" s="24"/>
      <c r="DSF51" s="24"/>
      <c r="DSG51" s="24"/>
      <c r="DSH51" s="24"/>
      <c r="DSI51" s="24"/>
      <c r="DSJ51" s="24"/>
      <c r="DSK51" s="24"/>
      <c r="DSL51" s="24"/>
      <c r="DSM51" s="24"/>
      <c r="DSN51" s="24"/>
      <c r="DSO51" s="24"/>
      <c r="DSP51" s="24"/>
      <c r="DSQ51" s="24"/>
      <c r="DSR51" s="24"/>
      <c r="DSS51" s="24"/>
      <c r="DST51" s="24"/>
      <c r="DSU51" s="24"/>
      <c r="DSV51" s="24"/>
      <c r="DSW51" s="24"/>
      <c r="DSX51" s="24"/>
      <c r="DSY51" s="24"/>
      <c r="DSZ51" s="24"/>
      <c r="DTA51" s="24"/>
      <c r="DTB51" s="24"/>
      <c r="DTC51" s="24"/>
      <c r="DTD51" s="24"/>
      <c r="DTE51" s="24"/>
      <c r="DTF51" s="24"/>
      <c r="DTG51" s="24"/>
      <c r="DTH51" s="24"/>
      <c r="DTI51" s="24"/>
      <c r="DTJ51" s="24"/>
      <c r="DTK51" s="24"/>
      <c r="DTL51" s="24"/>
      <c r="DTM51" s="24"/>
      <c r="DTN51" s="24"/>
      <c r="DTO51" s="24"/>
      <c r="DTP51" s="24"/>
      <c r="DTQ51" s="24"/>
      <c r="DTR51" s="24"/>
      <c r="DTS51" s="24"/>
      <c r="DTT51" s="24"/>
      <c r="DTU51" s="24"/>
      <c r="DTV51" s="24"/>
      <c r="DTW51" s="24"/>
      <c r="DTX51" s="24"/>
      <c r="DTY51" s="24"/>
      <c r="DTZ51" s="24"/>
      <c r="DUA51" s="24"/>
      <c r="DUB51" s="24"/>
      <c r="DUC51" s="24"/>
      <c r="DUD51" s="24"/>
      <c r="DUE51" s="24"/>
      <c r="DUF51" s="24"/>
      <c r="DUG51" s="24"/>
      <c r="DUH51" s="24"/>
      <c r="DUI51" s="24"/>
      <c r="DUJ51" s="24"/>
      <c r="DUK51" s="24"/>
      <c r="DUL51" s="24"/>
      <c r="DUM51" s="24"/>
      <c r="DUN51" s="24"/>
      <c r="DUO51" s="24"/>
      <c r="DUP51" s="24"/>
      <c r="DUQ51" s="24"/>
      <c r="DUR51" s="24"/>
      <c r="DUS51" s="24"/>
      <c r="DUT51" s="24"/>
      <c r="DUU51" s="24"/>
      <c r="DUV51" s="24"/>
      <c r="DUW51" s="24"/>
      <c r="DUX51" s="24"/>
      <c r="DUY51" s="24"/>
      <c r="DUZ51" s="24"/>
      <c r="DVA51" s="24"/>
      <c r="DVB51" s="24"/>
      <c r="DVC51" s="24"/>
      <c r="DVD51" s="24"/>
      <c r="DVE51" s="24"/>
      <c r="DVF51" s="24"/>
      <c r="DVG51" s="24"/>
      <c r="DVH51" s="24"/>
      <c r="DVI51" s="24"/>
      <c r="DVJ51" s="24"/>
      <c r="DVK51" s="24"/>
      <c r="DVL51" s="24"/>
      <c r="DVM51" s="24"/>
      <c r="DVN51" s="24"/>
      <c r="DVO51" s="24"/>
      <c r="DVP51" s="24"/>
      <c r="DVQ51" s="24"/>
      <c r="DVR51" s="24"/>
      <c r="DVS51" s="24"/>
      <c r="DVT51" s="24"/>
      <c r="DVU51" s="24"/>
      <c r="DVV51" s="24"/>
      <c r="DVW51" s="24"/>
      <c r="DVX51" s="24"/>
      <c r="DVY51" s="24"/>
      <c r="DVZ51" s="24"/>
      <c r="DWA51" s="24"/>
      <c r="DWB51" s="24"/>
      <c r="DWC51" s="24"/>
      <c r="DWD51" s="24"/>
      <c r="DWE51" s="24"/>
      <c r="DWF51" s="24"/>
      <c r="DWG51" s="24"/>
      <c r="DWH51" s="24"/>
      <c r="DWI51" s="24"/>
      <c r="DWJ51" s="24"/>
      <c r="DWK51" s="24"/>
      <c r="DWL51" s="24"/>
      <c r="DWM51" s="24"/>
      <c r="DWN51" s="24"/>
      <c r="DWO51" s="24"/>
      <c r="DWP51" s="24"/>
      <c r="DWQ51" s="24"/>
      <c r="DWR51" s="24"/>
      <c r="DWS51" s="24"/>
      <c r="DWT51" s="24"/>
      <c r="DWU51" s="24"/>
      <c r="DWV51" s="24"/>
      <c r="DWW51" s="24"/>
      <c r="DWX51" s="24"/>
      <c r="DWY51" s="24"/>
      <c r="DWZ51" s="24"/>
      <c r="DXA51" s="24"/>
      <c r="DXB51" s="24"/>
      <c r="DXC51" s="24"/>
      <c r="DXD51" s="24"/>
      <c r="DXE51" s="24"/>
      <c r="DXF51" s="24"/>
      <c r="DXG51" s="24"/>
      <c r="DXH51" s="24"/>
      <c r="DXI51" s="24"/>
      <c r="DXJ51" s="24"/>
      <c r="DXK51" s="24"/>
      <c r="DXL51" s="24"/>
      <c r="DXM51" s="24"/>
      <c r="DXN51" s="24"/>
      <c r="DXO51" s="24"/>
      <c r="DXP51" s="24"/>
      <c r="DXQ51" s="24"/>
      <c r="DXR51" s="24"/>
      <c r="DXS51" s="24"/>
      <c r="DXT51" s="24"/>
      <c r="DXU51" s="24"/>
      <c r="DXV51" s="24"/>
      <c r="DXW51" s="24"/>
      <c r="DXX51" s="24"/>
      <c r="DXY51" s="24"/>
      <c r="DXZ51" s="24"/>
      <c r="DYA51" s="24"/>
      <c r="DYB51" s="24"/>
      <c r="DYC51" s="24"/>
      <c r="DYD51" s="24"/>
      <c r="DYE51" s="24"/>
      <c r="DYF51" s="24"/>
      <c r="DYG51" s="24"/>
      <c r="DYH51" s="24"/>
      <c r="DYI51" s="24"/>
      <c r="DYJ51" s="24"/>
      <c r="DYK51" s="24"/>
      <c r="DYL51" s="24"/>
      <c r="DYM51" s="24"/>
      <c r="DYN51" s="24"/>
      <c r="DYO51" s="24"/>
      <c r="DYP51" s="24"/>
      <c r="DYQ51" s="24"/>
      <c r="DYR51" s="24"/>
      <c r="DYS51" s="24"/>
      <c r="DYT51" s="24"/>
      <c r="DYU51" s="24"/>
      <c r="DYV51" s="24"/>
      <c r="DYW51" s="24"/>
      <c r="DYX51" s="24"/>
      <c r="DYY51" s="24"/>
      <c r="DYZ51" s="24"/>
      <c r="DZA51" s="24"/>
      <c r="DZB51" s="24"/>
      <c r="DZC51" s="24"/>
      <c r="DZD51" s="24"/>
      <c r="DZE51" s="24"/>
      <c r="DZF51" s="24"/>
      <c r="DZG51" s="24"/>
      <c r="DZH51" s="24"/>
      <c r="DZI51" s="24"/>
      <c r="DZJ51" s="24"/>
      <c r="DZK51" s="24"/>
      <c r="DZL51" s="24"/>
      <c r="DZM51" s="24"/>
      <c r="DZN51" s="24"/>
      <c r="DZO51" s="24"/>
      <c r="DZP51" s="24"/>
      <c r="DZQ51" s="24"/>
      <c r="DZR51" s="24"/>
      <c r="DZS51" s="24"/>
      <c r="DZT51" s="24"/>
      <c r="DZU51" s="24"/>
      <c r="DZV51" s="24"/>
      <c r="DZW51" s="24"/>
      <c r="DZX51" s="24"/>
      <c r="DZY51" s="24"/>
      <c r="DZZ51" s="24"/>
      <c r="EAA51" s="24"/>
      <c r="EAB51" s="24"/>
      <c r="EAC51" s="24"/>
      <c r="EAD51" s="24"/>
      <c r="EAE51" s="24"/>
      <c r="EAF51" s="24"/>
      <c r="EAG51" s="24"/>
      <c r="EAH51" s="24"/>
      <c r="EAI51" s="24"/>
      <c r="EAJ51" s="24"/>
      <c r="EAK51" s="24"/>
      <c r="EAL51" s="24"/>
      <c r="EAM51" s="24"/>
      <c r="EAN51" s="24"/>
      <c r="EAO51" s="24"/>
      <c r="EAP51" s="24"/>
      <c r="EAQ51" s="24"/>
      <c r="EAR51" s="24"/>
      <c r="EAS51" s="24"/>
      <c r="EAT51" s="24"/>
      <c r="EAU51" s="24"/>
      <c r="EAV51" s="24"/>
      <c r="EAW51" s="24"/>
      <c r="EAX51" s="24"/>
      <c r="EAY51" s="24"/>
      <c r="EAZ51" s="24"/>
      <c r="EBA51" s="24"/>
      <c r="EBB51" s="24"/>
      <c r="EBC51" s="24"/>
      <c r="EBD51" s="24"/>
      <c r="EBE51" s="24"/>
      <c r="EBF51" s="24"/>
      <c r="EBG51" s="24"/>
      <c r="EBH51" s="24"/>
      <c r="EBI51" s="24"/>
      <c r="EBJ51" s="24"/>
      <c r="EBK51" s="24"/>
      <c r="EBL51" s="24"/>
      <c r="EBM51" s="24"/>
      <c r="EBN51" s="24"/>
      <c r="EBO51" s="24"/>
      <c r="EBP51" s="24"/>
      <c r="EBQ51" s="24"/>
      <c r="EBR51" s="24"/>
      <c r="EBS51" s="24"/>
      <c r="EBT51" s="24"/>
      <c r="EBU51" s="24"/>
      <c r="EBV51" s="24"/>
      <c r="EBW51" s="24"/>
      <c r="EBX51" s="24"/>
      <c r="EBY51" s="24"/>
      <c r="EBZ51" s="24"/>
      <c r="ECA51" s="24"/>
      <c r="ECB51" s="24"/>
      <c r="ECC51" s="24"/>
      <c r="ECD51" s="24"/>
      <c r="ECE51" s="24"/>
      <c r="ECF51" s="24"/>
      <c r="ECG51" s="24"/>
      <c r="ECH51" s="24"/>
      <c r="ECI51" s="24"/>
      <c r="ECJ51" s="24"/>
      <c r="ECK51" s="24"/>
      <c r="ECL51" s="24"/>
      <c r="ECM51" s="24"/>
      <c r="ECN51" s="24"/>
      <c r="ECO51" s="24"/>
      <c r="ECP51" s="24"/>
      <c r="ECQ51" s="24"/>
      <c r="ECR51" s="24"/>
      <c r="ECS51" s="24"/>
      <c r="ECT51" s="24"/>
      <c r="ECU51" s="24"/>
      <c r="ECV51" s="24"/>
      <c r="ECW51" s="24"/>
      <c r="ECX51" s="24"/>
      <c r="ECY51" s="24"/>
      <c r="ECZ51" s="24"/>
      <c r="EDA51" s="24"/>
      <c r="EDB51" s="24"/>
      <c r="EDC51" s="24"/>
      <c r="EDD51" s="24"/>
      <c r="EDE51" s="24"/>
      <c r="EDF51" s="24"/>
      <c r="EDG51" s="24"/>
      <c r="EDH51" s="24"/>
      <c r="EDI51" s="24"/>
      <c r="EDJ51" s="24"/>
      <c r="EDK51" s="24"/>
      <c r="EDL51" s="24"/>
      <c r="EDM51" s="24"/>
      <c r="EDN51" s="24"/>
      <c r="EDO51" s="24"/>
      <c r="EDP51" s="24"/>
      <c r="EDQ51" s="24"/>
      <c r="EDR51" s="24"/>
      <c r="EDS51" s="24"/>
      <c r="EDT51" s="24"/>
      <c r="EDU51" s="24"/>
      <c r="EDV51" s="24"/>
      <c r="EDW51" s="24"/>
      <c r="EDX51" s="24"/>
      <c r="EDY51" s="24"/>
      <c r="EDZ51" s="24"/>
      <c r="EEA51" s="24"/>
      <c r="EEB51" s="24"/>
      <c r="EEC51" s="24"/>
      <c r="EED51" s="24"/>
      <c r="EEE51" s="24"/>
      <c r="EEF51" s="24"/>
      <c r="EEG51" s="24"/>
      <c r="EEH51" s="24"/>
      <c r="EEI51" s="24"/>
      <c r="EEJ51" s="24"/>
      <c r="EEK51" s="24"/>
      <c r="EEL51" s="24"/>
      <c r="EEM51" s="24"/>
      <c r="EEN51" s="24"/>
      <c r="EEO51" s="24"/>
      <c r="EEP51" s="24"/>
      <c r="EEQ51" s="24"/>
      <c r="EER51" s="24"/>
      <c r="EES51" s="24"/>
      <c r="EET51" s="24"/>
      <c r="EEU51" s="24"/>
      <c r="EEV51" s="24"/>
      <c r="EEW51" s="24"/>
      <c r="EEX51" s="24"/>
      <c r="EEY51" s="24"/>
      <c r="EEZ51" s="24"/>
      <c r="EFA51" s="24"/>
      <c r="EFB51" s="24"/>
      <c r="EFC51" s="24"/>
      <c r="EFD51" s="24"/>
      <c r="EFE51" s="24"/>
      <c r="EFF51" s="24"/>
      <c r="EFG51" s="24"/>
      <c r="EFH51" s="24"/>
      <c r="EFI51" s="24"/>
      <c r="EFJ51" s="24"/>
      <c r="EFK51" s="24"/>
      <c r="EFL51" s="24"/>
      <c r="EFM51" s="24"/>
      <c r="EFN51" s="24"/>
      <c r="EFO51" s="24"/>
      <c r="EFP51" s="24"/>
      <c r="EFQ51" s="24"/>
      <c r="EFR51" s="24"/>
      <c r="EFS51" s="24"/>
      <c r="EFT51" s="24"/>
      <c r="EFU51" s="24"/>
      <c r="EFV51" s="24"/>
      <c r="EFW51" s="24"/>
      <c r="EFX51" s="24"/>
      <c r="EFY51" s="24"/>
      <c r="EFZ51" s="24"/>
      <c r="EGA51" s="24"/>
      <c r="EGB51" s="24"/>
      <c r="EGC51" s="24"/>
      <c r="EGD51" s="24"/>
      <c r="EGE51" s="24"/>
      <c r="EGF51" s="24"/>
      <c r="EGG51" s="24"/>
      <c r="EGH51" s="24"/>
      <c r="EGI51" s="24"/>
      <c r="EGJ51" s="24"/>
      <c r="EGK51" s="24"/>
      <c r="EGL51" s="24"/>
      <c r="EGM51" s="24"/>
      <c r="EGN51" s="24"/>
      <c r="EGO51" s="24"/>
      <c r="EGP51" s="24"/>
      <c r="EGQ51" s="24"/>
      <c r="EGR51" s="24"/>
      <c r="EGS51" s="24"/>
      <c r="EGT51" s="24"/>
      <c r="EGU51" s="24"/>
      <c r="EGV51" s="24"/>
      <c r="EGW51" s="24"/>
      <c r="EGX51" s="24"/>
      <c r="EGY51" s="24"/>
      <c r="EGZ51" s="24"/>
      <c r="EHA51" s="24"/>
      <c r="EHB51" s="24"/>
      <c r="EHC51" s="24"/>
      <c r="EHD51" s="24"/>
      <c r="EHE51" s="24"/>
      <c r="EHF51" s="24"/>
      <c r="EHG51" s="24"/>
      <c r="EHH51" s="24"/>
      <c r="EHI51" s="24"/>
      <c r="EHJ51" s="24"/>
      <c r="EHK51" s="24"/>
      <c r="EHL51" s="24"/>
      <c r="EHM51" s="24"/>
      <c r="EHN51" s="24"/>
      <c r="EHO51" s="24"/>
      <c r="EHP51" s="24"/>
      <c r="EHQ51" s="24"/>
      <c r="EHR51" s="24"/>
      <c r="EHS51" s="24"/>
      <c r="EHT51" s="24"/>
      <c r="EHU51" s="24"/>
      <c r="EHV51" s="24"/>
      <c r="EHW51" s="24"/>
      <c r="EHX51" s="24"/>
      <c r="EHY51" s="24"/>
      <c r="EHZ51" s="24"/>
      <c r="EIA51" s="24"/>
      <c r="EIB51" s="24"/>
      <c r="EIC51" s="24"/>
      <c r="EID51" s="24"/>
      <c r="EIE51" s="24"/>
      <c r="EIF51" s="24"/>
      <c r="EIG51" s="24"/>
      <c r="EIH51" s="24"/>
      <c r="EII51" s="24"/>
      <c r="EIJ51" s="24"/>
      <c r="EIK51" s="24"/>
      <c r="EIL51" s="24"/>
      <c r="EIM51" s="24"/>
      <c r="EIN51" s="24"/>
      <c r="EIO51" s="24"/>
      <c r="EIP51" s="24"/>
      <c r="EIQ51" s="24"/>
      <c r="EIR51" s="24"/>
      <c r="EIS51" s="24"/>
      <c r="EIT51" s="24"/>
      <c r="EIU51" s="24"/>
      <c r="EIV51" s="24"/>
      <c r="EIW51" s="24"/>
      <c r="EIX51" s="24"/>
      <c r="EIY51" s="24"/>
      <c r="EIZ51" s="24"/>
      <c r="EJA51" s="24"/>
      <c r="EJB51" s="24"/>
      <c r="EJC51" s="24"/>
      <c r="EJD51" s="24"/>
      <c r="EJE51" s="24"/>
      <c r="EJF51" s="24"/>
      <c r="EJG51" s="24"/>
      <c r="EJH51" s="24"/>
      <c r="EJI51" s="24"/>
      <c r="EJJ51" s="24"/>
      <c r="EJK51" s="24"/>
      <c r="EJL51" s="24"/>
      <c r="EJM51" s="24"/>
      <c r="EJN51" s="24"/>
      <c r="EJO51" s="24"/>
      <c r="EJP51" s="24"/>
      <c r="EJQ51" s="24"/>
      <c r="EJR51" s="24"/>
      <c r="EJS51" s="24"/>
      <c r="EJT51" s="24"/>
      <c r="EJU51" s="24"/>
      <c r="EJV51" s="24"/>
      <c r="EJW51" s="24"/>
      <c r="EJX51" s="24"/>
      <c r="EJY51" s="24"/>
      <c r="EJZ51" s="24"/>
      <c r="EKA51" s="24"/>
      <c r="EKB51" s="24"/>
      <c r="EKC51" s="24"/>
      <c r="EKD51" s="24"/>
      <c r="EKE51" s="24"/>
      <c r="EKF51" s="24"/>
      <c r="EKG51" s="24"/>
      <c r="EKH51" s="24"/>
      <c r="EKI51" s="24"/>
      <c r="EKJ51" s="24"/>
      <c r="EKK51" s="24"/>
      <c r="EKL51" s="24"/>
      <c r="EKM51" s="24"/>
      <c r="EKN51" s="24"/>
      <c r="EKO51" s="24"/>
      <c r="EKP51" s="24"/>
      <c r="EKQ51" s="24"/>
      <c r="EKR51" s="24"/>
      <c r="EKS51" s="24"/>
      <c r="EKT51" s="24"/>
      <c r="EKU51" s="24"/>
      <c r="EKV51" s="24"/>
      <c r="EKW51" s="24"/>
      <c r="EKX51" s="24"/>
      <c r="EKY51" s="24"/>
      <c r="EKZ51" s="24"/>
      <c r="ELA51" s="24"/>
      <c r="ELB51" s="24"/>
      <c r="ELC51" s="24"/>
      <c r="ELD51" s="24"/>
      <c r="ELE51" s="24"/>
      <c r="ELF51" s="24"/>
      <c r="ELG51" s="24"/>
      <c r="ELH51" s="24"/>
      <c r="ELI51" s="24"/>
      <c r="ELJ51" s="24"/>
      <c r="ELK51" s="24"/>
      <c r="ELL51" s="24"/>
      <c r="ELM51" s="24"/>
      <c r="ELN51" s="24"/>
      <c r="ELO51" s="24"/>
      <c r="ELP51" s="24"/>
      <c r="ELQ51" s="24"/>
      <c r="ELR51" s="24"/>
      <c r="ELS51" s="24"/>
      <c r="ELT51" s="24"/>
      <c r="ELU51" s="24"/>
      <c r="ELV51" s="24"/>
      <c r="ELW51" s="24"/>
      <c r="ELX51" s="24"/>
      <c r="ELY51" s="24"/>
      <c r="ELZ51" s="24"/>
      <c r="EMA51" s="24"/>
      <c r="EMB51" s="24"/>
      <c r="EMC51" s="24"/>
      <c r="EMD51" s="24"/>
      <c r="EME51" s="24"/>
      <c r="EMF51" s="24"/>
      <c r="EMG51" s="24"/>
      <c r="EMH51" s="24"/>
      <c r="EMI51" s="24"/>
      <c r="EMJ51" s="24"/>
      <c r="EMK51" s="24"/>
      <c r="EML51" s="24"/>
      <c r="EMM51" s="24"/>
      <c r="EMN51" s="24"/>
      <c r="EMO51" s="24"/>
      <c r="EMP51" s="24"/>
      <c r="EMQ51" s="24"/>
      <c r="EMR51" s="24"/>
      <c r="EMS51" s="24"/>
      <c r="EMT51" s="24"/>
      <c r="EMU51" s="24"/>
      <c r="EMV51" s="24"/>
      <c r="EMW51" s="24"/>
      <c r="EMX51" s="24"/>
      <c r="EMY51" s="24"/>
      <c r="EMZ51" s="24"/>
      <c r="ENA51" s="24"/>
      <c r="ENB51" s="24"/>
      <c r="ENC51" s="24"/>
      <c r="END51" s="24"/>
      <c r="ENE51" s="24"/>
      <c r="ENF51" s="24"/>
      <c r="ENG51" s="24"/>
      <c r="ENH51" s="24"/>
      <c r="ENI51" s="24"/>
      <c r="ENJ51" s="24"/>
      <c r="ENK51" s="24"/>
      <c r="ENL51" s="24"/>
      <c r="ENM51" s="24"/>
      <c r="ENN51" s="24"/>
      <c r="ENO51" s="24"/>
      <c r="ENP51" s="24"/>
      <c r="ENQ51" s="24"/>
      <c r="ENR51" s="24"/>
      <c r="ENS51" s="24"/>
      <c r="ENT51" s="24"/>
      <c r="ENU51" s="24"/>
      <c r="ENV51" s="24"/>
      <c r="ENW51" s="24"/>
      <c r="ENX51" s="24"/>
      <c r="ENY51" s="24"/>
      <c r="ENZ51" s="24"/>
      <c r="EOA51" s="24"/>
      <c r="EOB51" s="24"/>
      <c r="EOC51" s="24"/>
      <c r="EOD51" s="24"/>
      <c r="EOE51" s="24"/>
      <c r="EOF51" s="24"/>
      <c r="EOG51" s="24"/>
      <c r="EOH51" s="24"/>
      <c r="EOI51" s="24"/>
      <c r="EOJ51" s="24"/>
      <c r="EOK51" s="24"/>
      <c r="EOL51" s="24"/>
      <c r="EOM51" s="24"/>
      <c r="EON51" s="24"/>
      <c r="EOO51" s="24"/>
      <c r="EOP51" s="24"/>
      <c r="EOQ51" s="24"/>
      <c r="EOR51" s="24"/>
      <c r="EOS51" s="24"/>
      <c r="EOT51" s="24"/>
      <c r="EOU51" s="24"/>
      <c r="EOV51" s="24"/>
      <c r="EOW51" s="24"/>
      <c r="EOX51" s="24"/>
      <c r="EOY51" s="24"/>
      <c r="EOZ51" s="24"/>
      <c r="EPA51" s="24"/>
      <c r="EPB51" s="24"/>
      <c r="EPC51" s="24"/>
      <c r="EPD51" s="24"/>
      <c r="EPE51" s="24"/>
      <c r="EPF51" s="24"/>
      <c r="EPG51" s="24"/>
      <c r="EPH51" s="24"/>
      <c r="EPI51" s="24"/>
      <c r="EPJ51" s="24"/>
      <c r="EPK51" s="24"/>
      <c r="EPL51" s="24"/>
      <c r="EPM51" s="24"/>
      <c r="EPN51" s="24"/>
      <c r="EPO51" s="24"/>
      <c r="EPP51" s="24"/>
      <c r="EPQ51" s="24"/>
      <c r="EPR51" s="24"/>
      <c r="EPS51" s="24"/>
      <c r="EPT51" s="24"/>
      <c r="EPU51" s="24"/>
      <c r="EPV51" s="24"/>
      <c r="EPW51" s="24"/>
      <c r="EPX51" s="24"/>
      <c r="EPY51" s="24"/>
      <c r="EPZ51" s="24"/>
      <c r="EQA51" s="24"/>
      <c r="EQB51" s="24"/>
      <c r="EQC51" s="24"/>
      <c r="EQD51" s="24"/>
      <c r="EQE51" s="24"/>
      <c r="EQF51" s="24"/>
      <c r="EQG51" s="24"/>
      <c r="EQH51" s="24"/>
      <c r="EQI51" s="24"/>
      <c r="EQJ51" s="24"/>
      <c r="EQK51" s="24"/>
      <c r="EQL51" s="24"/>
      <c r="EQM51" s="24"/>
      <c r="EQN51" s="24"/>
      <c r="EQO51" s="24"/>
      <c r="EQP51" s="24"/>
      <c r="EQQ51" s="24"/>
      <c r="EQR51" s="24"/>
      <c r="EQS51" s="24"/>
      <c r="EQT51" s="24"/>
      <c r="EQU51" s="24"/>
      <c r="EQV51" s="24"/>
      <c r="EQW51" s="24"/>
      <c r="EQX51" s="24"/>
      <c r="EQY51" s="24"/>
      <c r="EQZ51" s="24"/>
      <c r="ERA51" s="24"/>
      <c r="ERB51" s="24"/>
      <c r="ERC51" s="24"/>
      <c r="ERD51" s="24"/>
      <c r="ERE51" s="24"/>
      <c r="ERF51" s="24"/>
      <c r="ERG51" s="24"/>
      <c r="ERH51" s="24"/>
      <c r="ERI51" s="24"/>
      <c r="ERJ51" s="24"/>
      <c r="ERK51" s="24"/>
      <c r="ERL51" s="24"/>
      <c r="ERM51" s="24"/>
      <c r="ERN51" s="24"/>
      <c r="ERO51" s="24"/>
      <c r="ERP51" s="24"/>
      <c r="ERQ51" s="24"/>
      <c r="ERR51" s="24"/>
      <c r="ERS51" s="24"/>
      <c r="ERT51" s="24"/>
      <c r="ERU51" s="24"/>
      <c r="ERV51" s="24"/>
      <c r="ERW51" s="24"/>
      <c r="ERX51" s="24"/>
      <c r="ERY51" s="24"/>
      <c r="ERZ51" s="24"/>
      <c r="ESA51" s="24"/>
      <c r="ESB51" s="24"/>
      <c r="ESC51" s="24"/>
      <c r="ESD51" s="24"/>
      <c r="ESE51" s="24"/>
      <c r="ESF51" s="24"/>
      <c r="ESG51" s="24"/>
      <c r="ESH51" s="24"/>
      <c r="ESI51" s="24"/>
      <c r="ESJ51" s="24"/>
      <c r="ESK51" s="24"/>
      <c r="ESL51" s="24"/>
      <c r="ESM51" s="24"/>
      <c r="ESN51" s="24"/>
      <c r="ESO51" s="24"/>
      <c r="ESP51" s="24"/>
      <c r="ESQ51" s="24"/>
      <c r="ESR51" s="24"/>
      <c r="ESS51" s="24"/>
      <c r="EST51" s="24"/>
      <c r="ESU51" s="24"/>
      <c r="ESV51" s="24"/>
      <c r="ESW51" s="24"/>
      <c r="ESX51" s="24"/>
      <c r="ESY51" s="24"/>
      <c r="ESZ51" s="24"/>
      <c r="ETA51" s="24"/>
      <c r="ETB51" s="24"/>
      <c r="ETC51" s="24"/>
      <c r="ETD51" s="24"/>
      <c r="ETE51" s="24"/>
      <c r="ETF51" s="24"/>
      <c r="ETG51" s="24"/>
      <c r="ETH51" s="24"/>
      <c r="ETI51" s="24"/>
      <c r="ETJ51" s="24"/>
      <c r="ETK51" s="24"/>
      <c r="ETL51" s="24"/>
      <c r="ETM51" s="24"/>
      <c r="ETN51" s="24"/>
      <c r="ETO51" s="24"/>
      <c r="ETP51" s="24"/>
      <c r="ETQ51" s="24"/>
      <c r="ETR51" s="24"/>
      <c r="ETS51" s="24"/>
      <c r="ETT51" s="24"/>
      <c r="ETU51" s="24"/>
      <c r="ETV51" s="24"/>
      <c r="ETW51" s="24"/>
      <c r="ETX51" s="24"/>
      <c r="ETY51" s="24"/>
      <c r="ETZ51" s="24"/>
      <c r="EUA51" s="24"/>
      <c r="EUB51" s="24"/>
      <c r="EUC51" s="24"/>
      <c r="EUD51" s="24"/>
      <c r="EUE51" s="24"/>
      <c r="EUF51" s="24"/>
      <c r="EUG51" s="24"/>
      <c r="EUH51" s="24"/>
      <c r="EUI51" s="24"/>
      <c r="EUJ51" s="24"/>
      <c r="EUK51" s="24"/>
      <c r="EUL51" s="24"/>
      <c r="EUM51" s="24"/>
      <c r="EUN51" s="24"/>
      <c r="EUO51" s="24"/>
      <c r="EUP51" s="24"/>
      <c r="EUQ51" s="24"/>
      <c r="EUR51" s="24"/>
      <c r="EUS51" s="24"/>
      <c r="EUT51" s="24"/>
      <c r="EUU51" s="24"/>
      <c r="EUV51" s="24"/>
      <c r="EUW51" s="24"/>
      <c r="EUX51" s="24"/>
      <c r="EUY51" s="24"/>
      <c r="EUZ51" s="24"/>
      <c r="EVA51" s="24"/>
      <c r="EVB51" s="24"/>
      <c r="EVC51" s="24"/>
      <c r="EVD51" s="24"/>
      <c r="EVE51" s="24"/>
      <c r="EVF51" s="24"/>
      <c r="EVG51" s="24"/>
      <c r="EVH51" s="24"/>
      <c r="EVI51" s="24"/>
      <c r="EVJ51" s="24"/>
      <c r="EVK51" s="24"/>
      <c r="EVL51" s="24"/>
      <c r="EVM51" s="24"/>
      <c r="EVN51" s="24"/>
      <c r="EVO51" s="24"/>
      <c r="EVP51" s="24"/>
      <c r="EVQ51" s="24"/>
      <c r="EVR51" s="24"/>
      <c r="EVS51" s="24"/>
      <c r="EVT51" s="24"/>
      <c r="EVU51" s="24"/>
      <c r="EVV51" s="24"/>
      <c r="EVW51" s="24"/>
      <c r="EVX51" s="24"/>
      <c r="EVY51" s="24"/>
      <c r="EVZ51" s="24"/>
      <c r="EWA51" s="24"/>
      <c r="EWB51" s="24"/>
      <c r="EWC51" s="24"/>
      <c r="EWD51" s="24"/>
      <c r="EWE51" s="24"/>
      <c r="EWF51" s="24"/>
      <c r="EWG51" s="24"/>
      <c r="EWH51" s="24"/>
      <c r="EWI51" s="24"/>
      <c r="EWJ51" s="24"/>
      <c r="EWK51" s="24"/>
      <c r="EWL51" s="24"/>
      <c r="EWM51" s="24"/>
      <c r="EWN51" s="24"/>
      <c r="EWO51" s="24"/>
      <c r="EWP51" s="24"/>
      <c r="EWQ51" s="24"/>
      <c r="EWR51" s="24"/>
      <c r="EWS51" s="24"/>
      <c r="EWT51" s="24"/>
      <c r="EWU51" s="24"/>
      <c r="EWV51" s="24"/>
      <c r="EWW51" s="24"/>
      <c r="EWX51" s="24"/>
      <c r="EWY51" s="24"/>
      <c r="EWZ51" s="24"/>
      <c r="EXA51" s="24"/>
      <c r="EXB51" s="24"/>
      <c r="EXC51" s="24"/>
      <c r="EXD51" s="24"/>
      <c r="EXE51" s="24"/>
      <c r="EXF51" s="24"/>
      <c r="EXG51" s="24"/>
      <c r="EXH51" s="24"/>
      <c r="EXI51" s="24"/>
      <c r="EXJ51" s="24"/>
      <c r="EXK51" s="24"/>
      <c r="EXL51" s="24"/>
      <c r="EXM51" s="24"/>
      <c r="EXN51" s="24"/>
      <c r="EXO51" s="24"/>
      <c r="EXP51" s="24"/>
      <c r="EXQ51" s="24"/>
      <c r="EXR51" s="24"/>
      <c r="EXS51" s="24"/>
      <c r="EXT51" s="24"/>
      <c r="EXU51" s="24"/>
      <c r="EXV51" s="24"/>
      <c r="EXW51" s="24"/>
      <c r="EXX51" s="24"/>
      <c r="EXY51" s="24"/>
      <c r="EXZ51" s="24"/>
      <c r="EYA51" s="24"/>
      <c r="EYB51" s="24"/>
      <c r="EYC51" s="24"/>
      <c r="EYD51" s="24"/>
      <c r="EYE51" s="24"/>
      <c r="EYF51" s="24"/>
      <c r="EYG51" s="24"/>
      <c r="EYH51" s="24"/>
      <c r="EYI51" s="24"/>
      <c r="EYJ51" s="24"/>
      <c r="EYK51" s="24"/>
      <c r="EYL51" s="24"/>
      <c r="EYM51" s="24"/>
      <c r="EYN51" s="24"/>
      <c r="EYO51" s="24"/>
      <c r="EYP51" s="24"/>
      <c r="EYQ51" s="24"/>
      <c r="EYR51" s="24"/>
      <c r="EYS51" s="24"/>
      <c r="EYT51" s="24"/>
      <c r="EYU51" s="24"/>
      <c r="EYV51" s="24"/>
      <c r="EYW51" s="24"/>
      <c r="EYX51" s="24"/>
      <c r="EYY51" s="24"/>
      <c r="EYZ51" s="24"/>
      <c r="EZA51" s="24"/>
      <c r="EZB51" s="24"/>
      <c r="EZC51" s="24"/>
      <c r="EZD51" s="24"/>
      <c r="EZE51" s="24"/>
      <c r="EZF51" s="24"/>
      <c r="EZG51" s="24"/>
      <c r="EZH51" s="24"/>
      <c r="EZI51" s="24"/>
      <c r="EZJ51" s="24"/>
      <c r="EZK51" s="24"/>
      <c r="EZL51" s="24"/>
      <c r="EZM51" s="24"/>
      <c r="EZN51" s="24"/>
      <c r="EZO51" s="24"/>
      <c r="EZP51" s="24"/>
      <c r="EZQ51" s="24"/>
      <c r="EZR51" s="24"/>
      <c r="EZS51" s="24"/>
      <c r="EZT51" s="24"/>
      <c r="EZU51" s="24"/>
      <c r="EZV51" s="24"/>
      <c r="EZW51" s="24"/>
      <c r="EZX51" s="24"/>
      <c r="EZY51" s="24"/>
      <c r="EZZ51" s="24"/>
      <c r="FAA51" s="24"/>
      <c r="FAB51" s="24"/>
      <c r="FAC51" s="24"/>
      <c r="FAD51" s="24"/>
      <c r="FAE51" s="24"/>
      <c r="FAF51" s="24"/>
      <c r="FAG51" s="24"/>
      <c r="FAH51" s="24"/>
      <c r="FAI51" s="24"/>
      <c r="FAJ51" s="24"/>
      <c r="FAK51" s="24"/>
      <c r="FAL51" s="24"/>
      <c r="FAM51" s="24"/>
      <c r="FAN51" s="24"/>
      <c r="FAO51" s="24"/>
      <c r="FAP51" s="24"/>
      <c r="FAQ51" s="24"/>
      <c r="FAR51" s="24"/>
      <c r="FAS51" s="24"/>
      <c r="FAT51" s="24"/>
      <c r="FAU51" s="24"/>
      <c r="FAV51" s="24"/>
      <c r="FAW51" s="24"/>
      <c r="FAX51" s="24"/>
      <c r="FAY51" s="24"/>
      <c r="FAZ51" s="24"/>
      <c r="FBA51" s="24"/>
      <c r="FBB51" s="24"/>
      <c r="FBC51" s="24"/>
      <c r="FBD51" s="24"/>
      <c r="FBE51" s="24"/>
      <c r="FBF51" s="24"/>
      <c r="FBG51" s="24"/>
      <c r="FBH51" s="24"/>
      <c r="FBI51" s="24"/>
      <c r="FBJ51" s="24"/>
      <c r="FBK51" s="24"/>
      <c r="FBL51" s="24"/>
      <c r="FBM51" s="24"/>
      <c r="FBN51" s="24"/>
      <c r="FBO51" s="24"/>
      <c r="FBP51" s="24"/>
      <c r="FBQ51" s="24"/>
      <c r="FBR51" s="24"/>
      <c r="FBS51" s="24"/>
      <c r="FBT51" s="24"/>
      <c r="FBU51" s="24"/>
      <c r="FBV51" s="24"/>
      <c r="FBW51" s="24"/>
      <c r="FBX51" s="24"/>
      <c r="FBY51" s="24"/>
      <c r="FBZ51" s="24"/>
      <c r="FCA51" s="24"/>
      <c r="FCB51" s="24"/>
      <c r="FCC51" s="24"/>
      <c r="FCD51" s="24"/>
      <c r="FCE51" s="24"/>
      <c r="FCF51" s="24"/>
      <c r="FCG51" s="24"/>
      <c r="FCH51" s="24"/>
      <c r="FCI51" s="24"/>
      <c r="FCJ51" s="24"/>
      <c r="FCK51" s="24"/>
      <c r="FCL51" s="24"/>
      <c r="FCM51" s="24"/>
      <c r="FCN51" s="24"/>
      <c r="FCO51" s="24"/>
      <c r="FCP51" s="24"/>
      <c r="FCQ51" s="24"/>
      <c r="FCR51" s="24"/>
      <c r="FCS51" s="24"/>
      <c r="FCT51" s="24"/>
      <c r="FCU51" s="24"/>
      <c r="FCV51" s="24"/>
      <c r="FCW51" s="24"/>
      <c r="FCX51" s="24"/>
      <c r="FCY51" s="24"/>
      <c r="FCZ51" s="24"/>
      <c r="FDA51" s="24"/>
      <c r="FDB51" s="24"/>
      <c r="FDC51" s="24"/>
      <c r="FDD51" s="24"/>
      <c r="FDE51" s="24"/>
      <c r="FDF51" s="24"/>
      <c r="FDG51" s="24"/>
      <c r="FDH51" s="24"/>
      <c r="FDI51" s="24"/>
      <c r="FDJ51" s="24"/>
      <c r="FDK51" s="24"/>
      <c r="FDL51" s="24"/>
      <c r="FDM51" s="24"/>
      <c r="FDN51" s="24"/>
      <c r="FDO51" s="24"/>
      <c r="FDP51" s="24"/>
      <c r="FDQ51" s="24"/>
      <c r="FDR51" s="24"/>
      <c r="FDS51" s="24"/>
      <c r="FDT51" s="24"/>
      <c r="FDU51" s="24"/>
      <c r="FDV51" s="24"/>
      <c r="FDW51" s="24"/>
      <c r="FDX51" s="24"/>
      <c r="FDY51" s="24"/>
      <c r="FDZ51" s="24"/>
      <c r="FEA51" s="24"/>
      <c r="FEB51" s="24"/>
      <c r="FEC51" s="24"/>
      <c r="FED51" s="24"/>
      <c r="FEE51" s="24"/>
      <c r="FEF51" s="24"/>
      <c r="FEG51" s="24"/>
      <c r="FEH51" s="24"/>
      <c r="FEI51" s="24"/>
      <c r="FEJ51" s="24"/>
      <c r="FEK51" s="24"/>
      <c r="FEL51" s="24"/>
      <c r="FEM51" s="24"/>
      <c r="FEN51" s="24"/>
      <c r="FEO51" s="24"/>
      <c r="FEP51" s="24"/>
      <c r="FEQ51" s="24"/>
      <c r="FER51" s="24"/>
      <c r="FES51" s="24"/>
      <c r="FET51" s="24"/>
      <c r="FEU51" s="24"/>
      <c r="FEV51" s="24"/>
      <c r="FEW51" s="24"/>
      <c r="FEX51" s="24"/>
      <c r="FEY51" s="24"/>
      <c r="FEZ51" s="24"/>
      <c r="FFA51" s="24"/>
      <c r="FFB51" s="24"/>
      <c r="FFC51" s="24"/>
      <c r="FFD51" s="24"/>
      <c r="FFE51" s="24"/>
      <c r="FFF51" s="24"/>
      <c r="FFG51" s="24"/>
      <c r="FFH51" s="24"/>
      <c r="FFI51" s="24"/>
      <c r="FFJ51" s="24"/>
      <c r="FFK51" s="24"/>
      <c r="FFL51" s="24"/>
      <c r="FFM51" s="24"/>
      <c r="FFN51" s="24"/>
      <c r="FFO51" s="24"/>
      <c r="FFP51" s="24"/>
      <c r="FFQ51" s="24"/>
      <c r="FFR51" s="24"/>
      <c r="FFS51" s="24"/>
      <c r="FFT51" s="24"/>
      <c r="FFU51" s="24"/>
      <c r="FFV51" s="24"/>
      <c r="FFW51" s="24"/>
      <c r="FFX51" s="24"/>
      <c r="FFY51" s="24"/>
      <c r="FFZ51" s="24"/>
      <c r="FGA51" s="24"/>
      <c r="FGB51" s="24"/>
      <c r="FGC51" s="24"/>
      <c r="FGD51" s="24"/>
      <c r="FGE51" s="24"/>
      <c r="FGF51" s="24"/>
      <c r="FGG51" s="24"/>
      <c r="FGH51" s="24"/>
      <c r="FGI51" s="24"/>
      <c r="FGJ51" s="24"/>
      <c r="FGK51" s="24"/>
      <c r="FGL51" s="24"/>
      <c r="FGM51" s="24"/>
      <c r="FGN51" s="24"/>
      <c r="FGO51" s="24"/>
      <c r="FGP51" s="24"/>
      <c r="FGQ51" s="24"/>
      <c r="FGR51" s="24"/>
      <c r="FGS51" s="24"/>
      <c r="FGT51" s="24"/>
      <c r="FGU51" s="24"/>
      <c r="FGV51" s="24"/>
      <c r="FGW51" s="24"/>
      <c r="FGX51" s="24"/>
      <c r="FGY51" s="24"/>
      <c r="FGZ51" s="24"/>
      <c r="FHA51" s="24"/>
      <c r="FHB51" s="24"/>
      <c r="FHC51" s="24"/>
      <c r="FHD51" s="24"/>
      <c r="FHE51" s="24"/>
      <c r="FHF51" s="24"/>
      <c r="FHG51" s="24"/>
      <c r="FHH51" s="24"/>
      <c r="FHI51" s="24"/>
      <c r="FHJ51" s="24"/>
      <c r="FHK51" s="24"/>
      <c r="FHL51" s="24"/>
      <c r="FHM51" s="24"/>
      <c r="FHN51" s="24"/>
      <c r="FHO51" s="24"/>
      <c r="FHP51" s="24"/>
      <c r="FHQ51" s="24"/>
      <c r="FHR51" s="24"/>
      <c r="FHS51" s="24"/>
      <c r="FHT51" s="24"/>
      <c r="FHU51" s="24"/>
      <c r="FHV51" s="24"/>
      <c r="FHW51" s="24"/>
      <c r="FHX51" s="24"/>
      <c r="FHY51" s="24"/>
      <c r="FHZ51" s="24"/>
      <c r="FIA51" s="24"/>
      <c r="FIB51" s="24"/>
      <c r="FIC51" s="24"/>
      <c r="FID51" s="24"/>
      <c r="FIE51" s="24"/>
      <c r="FIF51" s="24"/>
      <c r="FIG51" s="24"/>
      <c r="FIH51" s="24"/>
      <c r="FII51" s="24"/>
      <c r="FIJ51" s="24"/>
      <c r="FIK51" s="24"/>
      <c r="FIL51" s="24"/>
      <c r="FIM51" s="24"/>
      <c r="FIN51" s="24"/>
      <c r="FIO51" s="24"/>
      <c r="FIP51" s="24"/>
      <c r="FIQ51" s="24"/>
      <c r="FIR51" s="24"/>
      <c r="FIS51" s="24"/>
      <c r="FIT51" s="24"/>
      <c r="FIU51" s="24"/>
      <c r="FIV51" s="24"/>
      <c r="FIW51" s="24"/>
      <c r="FIX51" s="24"/>
      <c r="FIY51" s="24"/>
      <c r="FIZ51" s="24"/>
      <c r="FJA51" s="24"/>
      <c r="FJB51" s="24"/>
      <c r="FJC51" s="24"/>
      <c r="FJD51" s="24"/>
      <c r="FJE51" s="24"/>
      <c r="FJF51" s="24"/>
      <c r="FJG51" s="24"/>
      <c r="FJH51" s="24"/>
      <c r="FJI51" s="24"/>
      <c r="FJJ51" s="24"/>
      <c r="FJK51" s="24"/>
      <c r="FJL51" s="24"/>
      <c r="FJM51" s="24"/>
      <c r="FJN51" s="24"/>
      <c r="FJO51" s="24"/>
      <c r="FJP51" s="24"/>
      <c r="FJQ51" s="24"/>
      <c r="FJR51" s="24"/>
      <c r="FJS51" s="24"/>
      <c r="FJT51" s="24"/>
      <c r="FJU51" s="24"/>
      <c r="FJV51" s="24"/>
      <c r="FJW51" s="24"/>
      <c r="FJX51" s="24"/>
      <c r="FJY51" s="24"/>
      <c r="FJZ51" s="24"/>
      <c r="FKA51" s="24"/>
      <c r="FKB51" s="24"/>
      <c r="FKC51" s="24"/>
      <c r="FKD51" s="24"/>
      <c r="FKE51" s="24"/>
      <c r="FKF51" s="24"/>
      <c r="FKG51" s="24"/>
      <c r="FKH51" s="24"/>
      <c r="FKI51" s="24"/>
      <c r="FKJ51" s="24"/>
      <c r="FKK51" s="24"/>
      <c r="FKL51" s="24"/>
      <c r="FKM51" s="24"/>
      <c r="FKN51" s="24"/>
      <c r="FKO51" s="24"/>
      <c r="FKP51" s="24"/>
      <c r="FKQ51" s="24"/>
      <c r="FKR51" s="24"/>
      <c r="FKS51" s="24"/>
      <c r="FKT51" s="24"/>
      <c r="FKU51" s="24"/>
      <c r="FKV51" s="24"/>
      <c r="FKW51" s="24"/>
      <c r="FKX51" s="24"/>
      <c r="FKY51" s="24"/>
      <c r="FKZ51" s="24"/>
      <c r="FLA51" s="24"/>
      <c r="FLB51" s="24"/>
      <c r="FLC51" s="24"/>
      <c r="FLD51" s="24"/>
      <c r="FLE51" s="24"/>
      <c r="FLF51" s="24"/>
      <c r="FLG51" s="24"/>
      <c r="FLH51" s="24"/>
      <c r="FLI51" s="24"/>
      <c r="FLJ51" s="24"/>
      <c r="FLK51" s="24"/>
      <c r="FLL51" s="24"/>
      <c r="FLM51" s="24"/>
      <c r="FLN51" s="24"/>
      <c r="FLO51" s="24"/>
      <c r="FLP51" s="24"/>
      <c r="FLQ51" s="24"/>
      <c r="FLR51" s="24"/>
      <c r="FLS51" s="24"/>
      <c r="FLT51" s="24"/>
      <c r="FLU51" s="24"/>
      <c r="FLV51" s="24"/>
      <c r="FLW51" s="24"/>
      <c r="FLX51" s="24"/>
      <c r="FLY51" s="24"/>
      <c r="FLZ51" s="24"/>
      <c r="FMA51" s="24"/>
      <c r="FMB51" s="24"/>
      <c r="FMC51" s="24"/>
      <c r="FMD51" s="24"/>
      <c r="FME51" s="24"/>
      <c r="FMF51" s="24"/>
      <c r="FMG51" s="24"/>
      <c r="FMH51" s="24"/>
      <c r="FMI51" s="24"/>
      <c r="FMJ51" s="24"/>
      <c r="FMK51" s="24"/>
      <c r="FML51" s="24"/>
      <c r="FMM51" s="24"/>
      <c r="FMN51" s="24"/>
      <c r="FMO51" s="24"/>
      <c r="FMP51" s="24"/>
      <c r="FMQ51" s="24"/>
      <c r="FMR51" s="24"/>
      <c r="FMS51" s="24"/>
      <c r="FMT51" s="24"/>
      <c r="FMU51" s="24"/>
      <c r="FMV51" s="24"/>
      <c r="FMW51" s="24"/>
      <c r="FMX51" s="24"/>
      <c r="FMY51" s="24"/>
      <c r="FMZ51" s="24"/>
      <c r="FNA51" s="24"/>
      <c r="FNB51" s="24"/>
      <c r="FNC51" s="24"/>
      <c r="FND51" s="24"/>
      <c r="FNE51" s="24"/>
      <c r="FNF51" s="24"/>
      <c r="FNG51" s="24"/>
      <c r="FNH51" s="24"/>
      <c r="FNI51" s="24"/>
      <c r="FNJ51" s="24"/>
      <c r="FNK51" s="24"/>
      <c r="FNL51" s="24"/>
      <c r="FNM51" s="24"/>
      <c r="FNN51" s="24"/>
      <c r="FNO51" s="24"/>
      <c r="FNP51" s="24"/>
      <c r="FNQ51" s="24"/>
      <c r="FNR51" s="24"/>
      <c r="FNS51" s="24"/>
      <c r="FNT51" s="24"/>
      <c r="FNU51" s="24"/>
      <c r="FNV51" s="24"/>
      <c r="FNW51" s="24"/>
      <c r="FNX51" s="24"/>
      <c r="FNY51" s="24"/>
      <c r="FNZ51" s="24"/>
      <c r="FOA51" s="24"/>
      <c r="FOB51" s="24"/>
      <c r="FOC51" s="24"/>
      <c r="FOD51" s="24"/>
      <c r="FOE51" s="24"/>
      <c r="FOF51" s="24"/>
      <c r="FOG51" s="24"/>
      <c r="FOH51" s="24"/>
      <c r="FOI51" s="24"/>
      <c r="FOJ51" s="24"/>
      <c r="FOK51" s="24"/>
      <c r="FOL51" s="24"/>
      <c r="FOM51" s="24"/>
      <c r="FON51" s="24"/>
      <c r="FOO51" s="24"/>
      <c r="FOP51" s="24"/>
      <c r="FOQ51" s="24"/>
      <c r="FOR51" s="24"/>
      <c r="FOS51" s="24"/>
      <c r="FOT51" s="24"/>
      <c r="FOU51" s="24"/>
      <c r="FOV51" s="24"/>
      <c r="FOW51" s="24"/>
      <c r="FOX51" s="24"/>
      <c r="FOY51" s="24"/>
      <c r="FOZ51" s="24"/>
      <c r="FPA51" s="24"/>
      <c r="FPB51" s="24"/>
      <c r="FPC51" s="24"/>
      <c r="FPD51" s="24"/>
      <c r="FPE51" s="24"/>
      <c r="FPF51" s="24"/>
      <c r="FPG51" s="24"/>
      <c r="FPH51" s="24"/>
      <c r="FPI51" s="24"/>
      <c r="FPJ51" s="24"/>
      <c r="FPK51" s="24"/>
      <c r="FPL51" s="24"/>
      <c r="FPM51" s="24"/>
      <c r="FPN51" s="24"/>
      <c r="FPO51" s="24"/>
      <c r="FPP51" s="24"/>
      <c r="FPQ51" s="24"/>
      <c r="FPR51" s="24"/>
      <c r="FPS51" s="24"/>
      <c r="FPT51" s="24"/>
      <c r="FPU51" s="24"/>
      <c r="FPV51" s="24"/>
      <c r="FPW51" s="24"/>
      <c r="FPX51" s="24"/>
      <c r="FPY51" s="24"/>
      <c r="FPZ51" s="24"/>
      <c r="FQA51" s="24"/>
      <c r="FQB51" s="24"/>
      <c r="FQC51" s="24"/>
      <c r="FQD51" s="24"/>
      <c r="FQE51" s="24"/>
      <c r="FQF51" s="24"/>
      <c r="FQG51" s="24"/>
      <c r="FQH51" s="24"/>
      <c r="FQI51" s="24"/>
      <c r="FQJ51" s="24"/>
      <c r="FQK51" s="24"/>
      <c r="FQL51" s="24"/>
      <c r="FQM51" s="24"/>
      <c r="FQN51" s="24"/>
      <c r="FQO51" s="24"/>
      <c r="FQP51" s="24"/>
      <c r="FQQ51" s="24"/>
      <c r="FQR51" s="24"/>
      <c r="FQS51" s="24"/>
      <c r="FQT51" s="24"/>
      <c r="FQU51" s="24"/>
      <c r="FQV51" s="24"/>
      <c r="FQW51" s="24"/>
      <c r="FQX51" s="24"/>
      <c r="FQY51" s="24"/>
      <c r="FQZ51" s="24"/>
      <c r="FRA51" s="24"/>
      <c r="FRB51" s="24"/>
      <c r="FRC51" s="24"/>
      <c r="FRD51" s="24"/>
      <c r="FRE51" s="24"/>
      <c r="FRF51" s="24"/>
      <c r="FRG51" s="24"/>
      <c r="FRH51" s="24"/>
      <c r="FRI51" s="24"/>
      <c r="FRJ51" s="24"/>
      <c r="FRK51" s="24"/>
      <c r="FRL51" s="24"/>
      <c r="FRM51" s="24"/>
      <c r="FRN51" s="24"/>
      <c r="FRO51" s="24"/>
      <c r="FRP51" s="24"/>
      <c r="FRQ51" s="24"/>
      <c r="FRR51" s="24"/>
      <c r="FRS51" s="24"/>
      <c r="FRT51" s="24"/>
      <c r="FRU51" s="24"/>
      <c r="FRV51" s="24"/>
      <c r="FRW51" s="24"/>
      <c r="FRX51" s="24"/>
      <c r="FRY51" s="24"/>
      <c r="FRZ51" s="24"/>
      <c r="FSA51" s="24"/>
      <c r="FSB51" s="24"/>
      <c r="FSC51" s="24"/>
      <c r="FSD51" s="24"/>
      <c r="FSE51" s="24"/>
      <c r="FSF51" s="24"/>
      <c r="FSG51" s="24"/>
      <c r="FSH51" s="24"/>
      <c r="FSI51" s="24"/>
      <c r="FSJ51" s="24"/>
      <c r="FSK51" s="24"/>
      <c r="FSL51" s="24"/>
      <c r="FSM51" s="24"/>
      <c r="FSN51" s="24"/>
      <c r="FSO51" s="24"/>
      <c r="FSP51" s="24"/>
      <c r="FSQ51" s="24"/>
      <c r="FSR51" s="24"/>
      <c r="FSS51" s="24"/>
      <c r="FST51" s="24"/>
      <c r="FSU51" s="24"/>
      <c r="FSV51" s="24"/>
      <c r="FSW51" s="24"/>
      <c r="FSX51" s="24"/>
      <c r="FSY51" s="24"/>
      <c r="FSZ51" s="24"/>
      <c r="FTA51" s="24"/>
      <c r="FTB51" s="24"/>
      <c r="FTC51" s="24"/>
      <c r="FTD51" s="24"/>
      <c r="FTE51" s="24"/>
      <c r="FTF51" s="24"/>
      <c r="FTG51" s="24"/>
      <c r="FTH51" s="24"/>
      <c r="FTI51" s="24"/>
      <c r="FTJ51" s="24"/>
      <c r="FTK51" s="24"/>
      <c r="FTL51" s="24"/>
      <c r="FTM51" s="24"/>
      <c r="FTN51" s="24"/>
      <c r="FTO51" s="24"/>
      <c r="FTP51" s="24"/>
      <c r="FTQ51" s="24"/>
      <c r="FTR51" s="24"/>
      <c r="FTS51" s="24"/>
      <c r="FTT51" s="24"/>
      <c r="FTU51" s="24"/>
      <c r="FTV51" s="24"/>
      <c r="FTW51" s="24"/>
      <c r="FTX51" s="24"/>
      <c r="FTY51" s="24"/>
      <c r="FTZ51" s="24"/>
      <c r="FUA51" s="24"/>
      <c r="FUB51" s="24"/>
      <c r="FUC51" s="24"/>
      <c r="FUD51" s="24"/>
      <c r="FUE51" s="24"/>
      <c r="FUF51" s="24"/>
      <c r="FUG51" s="24"/>
      <c r="FUH51" s="24"/>
      <c r="FUI51" s="24"/>
      <c r="FUJ51" s="24"/>
      <c r="FUK51" s="24"/>
      <c r="FUL51" s="24"/>
      <c r="FUM51" s="24"/>
      <c r="FUN51" s="24"/>
      <c r="FUO51" s="24"/>
      <c r="FUP51" s="24"/>
      <c r="FUQ51" s="24"/>
      <c r="FUR51" s="24"/>
      <c r="FUS51" s="24"/>
      <c r="FUT51" s="24"/>
      <c r="FUU51" s="24"/>
      <c r="FUV51" s="24"/>
      <c r="FUW51" s="24"/>
      <c r="FUX51" s="24"/>
      <c r="FUY51" s="24"/>
      <c r="FUZ51" s="24"/>
      <c r="FVA51" s="24"/>
      <c r="FVB51" s="24"/>
      <c r="FVC51" s="24"/>
      <c r="FVD51" s="24"/>
      <c r="FVE51" s="24"/>
      <c r="FVF51" s="24"/>
      <c r="FVG51" s="24"/>
      <c r="FVH51" s="24"/>
      <c r="FVI51" s="24"/>
      <c r="FVJ51" s="24"/>
      <c r="FVK51" s="24"/>
      <c r="FVL51" s="24"/>
      <c r="FVM51" s="24"/>
      <c r="FVN51" s="24"/>
      <c r="FVO51" s="24"/>
      <c r="FVP51" s="24"/>
      <c r="FVQ51" s="24"/>
      <c r="FVR51" s="24"/>
      <c r="FVS51" s="24"/>
      <c r="FVT51" s="24"/>
      <c r="FVU51" s="24"/>
      <c r="FVV51" s="24"/>
      <c r="FVW51" s="24"/>
      <c r="FVX51" s="24"/>
      <c r="FVY51" s="24"/>
      <c r="FVZ51" s="24"/>
      <c r="FWA51" s="24"/>
      <c r="FWB51" s="24"/>
      <c r="FWC51" s="24"/>
      <c r="FWD51" s="24"/>
      <c r="FWE51" s="24"/>
      <c r="FWF51" s="24"/>
      <c r="FWG51" s="24"/>
      <c r="FWH51" s="24"/>
      <c r="FWI51" s="24"/>
      <c r="FWJ51" s="24"/>
      <c r="FWK51" s="24"/>
      <c r="FWL51" s="24"/>
      <c r="FWM51" s="24"/>
      <c r="FWN51" s="24"/>
      <c r="FWO51" s="24"/>
      <c r="FWP51" s="24"/>
      <c r="FWQ51" s="24"/>
      <c r="FWR51" s="24"/>
      <c r="FWS51" s="24"/>
      <c r="FWT51" s="24"/>
      <c r="FWU51" s="24"/>
      <c r="FWV51" s="24"/>
      <c r="FWW51" s="24"/>
      <c r="FWX51" s="24"/>
      <c r="FWY51" s="24"/>
      <c r="FWZ51" s="24"/>
      <c r="FXA51" s="24"/>
      <c r="FXB51" s="24"/>
      <c r="FXC51" s="24"/>
      <c r="FXD51" s="24"/>
      <c r="FXE51" s="24"/>
      <c r="FXF51" s="24"/>
      <c r="FXG51" s="24"/>
      <c r="FXH51" s="24"/>
      <c r="FXI51" s="24"/>
      <c r="FXJ51" s="24"/>
      <c r="FXK51" s="24"/>
      <c r="FXL51" s="24"/>
      <c r="FXM51" s="24"/>
      <c r="FXN51" s="24"/>
      <c r="FXO51" s="24"/>
      <c r="FXP51" s="24"/>
      <c r="FXQ51" s="24"/>
      <c r="FXR51" s="24"/>
      <c r="FXS51" s="24"/>
      <c r="FXT51" s="24"/>
      <c r="FXU51" s="24"/>
      <c r="FXV51" s="24"/>
      <c r="FXW51" s="24"/>
      <c r="FXX51" s="24"/>
      <c r="FXY51" s="24"/>
      <c r="FXZ51" s="24"/>
      <c r="FYA51" s="24"/>
      <c r="FYB51" s="24"/>
      <c r="FYC51" s="24"/>
      <c r="FYD51" s="24"/>
      <c r="FYE51" s="24"/>
      <c r="FYF51" s="24"/>
      <c r="FYG51" s="24"/>
      <c r="FYH51" s="24"/>
      <c r="FYI51" s="24"/>
      <c r="FYJ51" s="24"/>
      <c r="FYK51" s="24"/>
      <c r="FYL51" s="24"/>
      <c r="FYM51" s="24"/>
      <c r="FYN51" s="24"/>
      <c r="FYO51" s="24"/>
      <c r="FYP51" s="24"/>
      <c r="FYQ51" s="24"/>
      <c r="FYR51" s="24"/>
      <c r="FYS51" s="24"/>
      <c r="FYT51" s="24"/>
      <c r="FYU51" s="24"/>
      <c r="FYV51" s="24"/>
      <c r="FYW51" s="24"/>
      <c r="FYX51" s="24"/>
      <c r="FYY51" s="24"/>
      <c r="FYZ51" s="24"/>
      <c r="FZA51" s="24"/>
      <c r="FZB51" s="24"/>
      <c r="FZC51" s="24"/>
      <c r="FZD51" s="24"/>
      <c r="FZE51" s="24"/>
      <c r="FZF51" s="24"/>
      <c r="FZG51" s="24"/>
      <c r="FZH51" s="24"/>
      <c r="FZI51" s="24"/>
      <c r="FZJ51" s="24"/>
      <c r="FZK51" s="24"/>
      <c r="FZL51" s="24"/>
      <c r="FZM51" s="24"/>
      <c r="FZN51" s="24"/>
      <c r="FZO51" s="24"/>
      <c r="FZP51" s="24"/>
      <c r="FZQ51" s="24"/>
      <c r="FZR51" s="24"/>
      <c r="FZS51" s="24"/>
      <c r="FZT51" s="24"/>
      <c r="FZU51" s="24"/>
      <c r="FZV51" s="24"/>
      <c r="FZW51" s="24"/>
      <c r="FZX51" s="24"/>
      <c r="FZY51" s="24"/>
      <c r="FZZ51" s="24"/>
      <c r="GAA51" s="24"/>
      <c r="GAB51" s="24"/>
      <c r="GAC51" s="24"/>
      <c r="GAD51" s="24"/>
      <c r="GAE51" s="24"/>
      <c r="GAF51" s="24"/>
      <c r="GAG51" s="24"/>
      <c r="GAH51" s="24"/>
      <c r="GAI51" s="24"/>
      <c r="GAJ51" s="24"/>
      <c r="GAK51" s="24"/>
      <c r="GAL51" s="24"/>
      <c r="GAM51" s="24"/>
      <c r="GAN51" s="24"/>
      <c r="GAO51" s="24"/>
      <c r="GAP51" s="24"/>
      <c r="GAQ51" s="24"/>
      <c r="GAR51" s="24"/>
      <c r="GAS51" s="24"/>
      <c r="GAT51" s="24"/>
      <c r="GAU51" s="24"/>
      <c r="GAV51" s="24"/>
      <c r="GAW51" s="24"/>
      <c r="GAX51" s="24"/>
      <c r="GAY51" s="24"/>
      <c r="GAZ51" s="24"/>
      <c r="GBA51" s="24"/>
      <c r="GBB51" s="24"/>
      <c r="GBC51" s="24"/>
      <c r="GBD51" s="24"/>
      <c r="GBE51" s="24"/>
      <c r="GBF51" s="24"/>
      <c r="GBG51" s="24"/>
      <c r="GBH51" s="24"/>
      <c r="GBI51" s="24"/>
      <c r="GBJ51" s="24"/>
      <c r="GBK51" s="24"/>
      <c r="GBL51" s="24"/>
      <c r="GBM51" s="24"/>
      <c r="GBN51" s="24"/>
      <c r="GBO51" s="24"/>
      <c r="GBP51" s="24"/>
      <c r="GBQ51" s="24"/>
      <c r="GBR51" s="24"/>
      <c r="GBS51" s="24"/>
      <c r="GBT51" s="24"/>
      <c r="GBU51" s="24"/>
      <c r="GBV51" s="24"/>
      <c r="GBW51" s="24"/>
      <c r="GBX51" s="24"/>
      <c r="GBY51" s="24"/>
      <c r="GBZ51" s="24"/>
      <c r="GCA51" s="24"/>
      <c r="GCB51" s="24"/>
      <c r="GCC51" s="24"/>
      <c r="GCD51" s="24"/>
      <c r="GCE51" s="24"/>
      <c r="GCF51" s="24"/>
      <c r="GCG51" s="24"/>
      <c r="GCH51" s="24"/>
      <c r="GCI51" s="24"/>
      <c r="GCJ51" s="24"/>
      <c r="GCK51" s="24"/>
      <c r="GCL51" s="24"/>
      <c r="GCM51" s="24"/>
      <c r="GCN51" s="24"/>
      <c r="GCO51" s="24"/>
      <c r="GCP51" s="24"/>
      <c r="GCQ51" s="24"/>
      <c r="GCR51" s="24"/>
      <c r="GCS51" s="24"/>
      <c r="GCT51" s="24"/>
      <c r="GCU51" s="24"/>
      <c r="GCV51" s="24"/>
      <c r="GCW51" s="24"/>
      <c r="GCX51" s="24"/>
      <c r="GCY51" s="24"/>
      <c r="GCZ51" s="24"/>
      <c r="GDA51" s="24"/>
      <c r="GDB51" s="24"/>
      <c r="GDC51" s="24"/>
      <c r="GDD51" s="24"/>
      <c r="GDE51" s="24"/>
      <c r="GDF51" s="24"/>
      <c r="GDG51" s="24"/>
      <c r="GDH51" s="24"/>
      <c r="GDI51" s="24"/>
      <c r="GDJ51" s="24"/>
      <c r="GDK51" s="24"/>
      <c r="GDL51" s="24"/>
      <c r="GDM51" s="24"/>
      <c r="GDN51" s="24"/>
      <c r="GDO51" s="24"/>
      <c r="GDP51" s="24"/>
      <c r="GDQ51" s="24"/>
      <c r="GDR51" s="24"/>
      <c r="GDS51" s="24"/>
      <c r="GDT51" s="24"/>
      <c r="GDU51" s="24"/>
      <c r="GDV51" s="24"/>
      <c r="GDW51" s="24"/>
      <c r="GDX51" s="24"/>
      <c r="GDY51" s="24"/>
      <c r="GDZ51" s="24"/>
      <c r="GEA51" s="24"/>
      <c r="GEB51" s="24"/>
      <c r="GEC51" s="24"/>
      <c r="GED51" s="24"/>
      <c r="GEE51" s="24"/>
      <c r="GEF51" s="24"/>
      <c r="GEG51" s="24"/>
      <c r="GEH51" s="24"/>
      <c r="GEI51" s="24"/>
      <c r="GEJ51" s="24"/>
      <c r="GEK51" s="24"/>
      <c r="GEL51" s="24"/>
      <c r="GEM51" s="24"/>
      <c r="GEN51" s="24"/>
      <c r="GEO51" s="24"/>
      <c r="GEP51" s="24"/>
      <c r="GEQ51" s="24"/>
      <c r="GER51" s="24"/>
      <c r="GES51" s="24"/>
      <c r="GET51" s="24"/>
      <c r="GEU51" s="24"/>
      <c r="GEV51" s="24"/>
      <c r="GEW51" s="24"/>
      <c r="GEX51" s="24"/>
      <c r="GEY51" s="24"/>
      <c r="GEZ51" s="24"/>
      <c r="GFA51" s="24"/>
      <c r="GFB51" s="24"/>
      <c r="GFC51" s="24"/>
      <c r="GFD51" s="24"/>
      <c r="GFE51" s="24"/>
      <c r="GFF51" s="24"/>
      <c r="GFG51" s="24"/>
      <c r="GFH51" s="24"/>
      <c r="GFI51" s="24"/>
      <c r="GFJ51" s="24"/>
      <c r="GFK51" s="24"/>
      <c r="GFL51" s="24"/>
      <c r="GFM51" s="24"/>
      <c r="GFN51" s="24"/>
      <c r="GFO51" s="24"/>
      <c r="GFP51" s="24"/>
      <c r="GFQ51" s="24"/>
      <c r="GFR51" s="24"/>
      <c r="GFS51" s="24"/>
      <c r="GFT51" s="24"/>
      <c r="GFU51" s="24"/>
      <c r="GFV51" s="24"/>
      <c r="GFW51" s="24"/>
      <c r="GFX51" s="24"/>
      <c r="GFY51" s="24"/>
      <c r="GFZ51" s="24"/>
      <c r="GGA51" s="24"/>
      <c r="GGB51" s="24"/>
      <c r="GGC51" s="24"/>
      <c r="GGD51" s="24"/>
      <c r="GGE51" s="24"/>
      <c r="GGF51" s="24"/>
      <c r="GGG51" s="24"/>
      <c r="GGH51" s="24"/>
      <c r="GGI51" s="24"/>
      <c r="GGJ51" s="24"/>
      <c r="GGK51" s="24"/>
      <c r="GGL51" s="24"/>
      <c r="GGM51" s="24"/>
      <c r="GGN51" s="24"/>
      <c r="GGO51" s="24"/>
      <c r="GGP51" s="24"/>
      <c r="GGQ51" s="24"/>
      <c r="GGR51" s="24"/>
      <c r="GGS51" s="24"/>
      <c r="GGT51" s="24"/>
      <c r="GGU51" s="24"/>
      <c r="GGV51" s="24"/>
      <c r="GGW51" s="24"/>
      <c r="GGX51" s="24"/>
      <c r="GGY51" s="24"/>
      <c r="GGZ51" s="24"/>
      <c r="GHA51" s="24"/>
      <c r="GHB51" s="24"/>
      <c r="GHC51" s="24"/>
      <c r="GHD51" s="24"/>
      <c r="GHE51" s="24"/>
      <c r="GHF51" s="24"/>
      <c r="GHG51" s="24"/>
      <c r="GHH51" s="24"/>
      <c r="GHI51" s="24"/>
      <c r="GHJ51" s="24"/>
      <c r="GHK51" s="24"/>
      <c r="GHL51" s="24"/>
      <c r="GHM51" s="24"/>
      <c r="GHN51" s="24"/>
      <c r="GHO51" s="24"/>
      <c r="GHP51" s="24"/>
      <c r="GHQ51" s="24"/>
      <c r="GHR51" s="24"/>
      <c r="GHS51" s="24"/>
      <c r="GHT51" s="24"/>
      <c r="GHU51" s="24"/>
      <c r="GHV51" s="24"/>
      <c r="GHW51" s="24"/>
      <c r="GHX51" s="24"/>
      <c r="GHY51" s="24"/>
      <c r="GHZ51" s="24"/>
      <c r="GIA51" s="24"/>
      <c r="GIB51" s="24"/>
      <c r="GIC51" s="24"/>
      <c r="GID51" s="24"/>
      <c r="GIE51" s="24"/>
      <c r="GIF51" s="24"/>
      <c r="GIG51" s="24"/>
      <c r="GIH51" s="24"/>
      <c r="GII51" s="24"/>
      <c r="GIJ51" s="24"/>
      <c r="GIK51" s="24"/>
      <c r="GIL51" s="24"/>
      <c r="GIM51" s="24"/>
      <c r="GIN51" s="24"/>
      <c r="GIO51" s="24"/>
      <c r="GIP51" s="24"/>
      <c r="GIQ51" s="24"/>
      <c r="GIR51" s="24"/>
      <c r="GIS51" s="24"/>
      <c r="GIT51" s="24"/>
      <c r="GIU51" s="24"/>
      <c r="GIV51" s="24"/>
      <c r="GIW51" s="24"/>
      <c r="GIX51" s="24"/>
      <c r="GIY51" s="24"/>
      <c r="GIZ51" s="24"/>
      <c r="GJA51" s="24"/>
      <c r="GJB51" s="24"/>
      <c r="GJC51" s="24"/>
      <c r="GJD51" s="24"/>
      <c r="GJE51" s="24"/>
      <c r="GJF51" s="24"/>
      <c r="GJG51" s="24"/>
      <c r="GJH51" s="24"/>
      <c r="GJI51" s="24"/>
      <c r="GJJ51" s="24"/>
      <c r="GJK51" s="24"/>
      <c r="GJL51" s="24"/>
      <c r="GJM51" s="24"/>
      <c r="GJN51" s="24"/>
      <c r="GJO51" s="24"/>
      <c r="GJP51" s="24"/>
      <c r="GJQ51" s="24"/>
      <c r="GJR51" s="24"/>
      <c r="GJS51" s="24"/>
      <c r="GJT51" s="24"/>
      <c r="GJU51" s="24"/>
      <c r="GJV51" s="24"/>
      <c r="GJW51" s="24"/>
      <c r="GJX51" s="24"/>
      <c r="GJY51" s="24"/>
      <c r="GJZ51" s="24"/>
      <c r="GKA51" s="24"/>
      <c r="GKB51" s="24"/>
      <c r="GKC51" s="24"/>
      <c r="GKD51" s="24"/>
      <c r="GKE51" s="24"/>
      <c r="GKF51" s="24"/>
      <c r="GKG51" s="24"/>
      <c r="GKH51" s="24"/>
      <c r="GKI51" s="24"/>
      <c r="GKJ51" s="24"/>
      <c r="GKK51" s="24"/>
      <c r="GKL51" s="24"/>
      <c r="GKM51" s="24"/>
      <c r="GKN51" s="24"/>
      <c r="GKO51" s="24"/>
      <c r="GKP51" s="24"/>
      <c r="GKQ51" s="24"/>
      <c r="GKR51" s="24"/>
      <c r="GKS51" s="24"/>
      <c r="GKT51" s="24"/>
      <c r="GKU51" s="24"/>
      <c r="GKV51" s="24"/>
      <c r="GKW51" s="24"/>
      <c r="GKX51" s="24"/>
      <c r="GKY51" s="24"/>
      <c r="GKZ51" s="24"/>
      <c r="GLA51" s="24"/>
      <c r="GLB51" s="24"/>
      <c r="GLC51" s="24"/>
      <c r="GLD51" s="24"/>
      <c r="GLE51" s="24"/>
      <c r="GLF51" s="24"/>
      <c r="GLG51" s="24"/>
      <c r="GLH51" s="24"/>
      <c r="GLI51" s="24"/>
      <c r="GLJ51" s="24"/>
      <c r="GLK51" s="24"/>
      <c r="GLL51" s="24"/>
      <c r="GLM51" s="24"/>
      <c r="GLN51" s="24"/>
      <c r="GLO51" s="24"/>
      <c r="GLP51" s="24"/>
      <c r="GLQ51" s="24"/>
      <c r="GLR51" s="24"/>
      <c r="GLS51" s="24"/>
      <c r="GLT51" s="24"/>
      <c r="GLU51" s="24"/>
      <c r="GLV51" s="24"/>
      <c r="GLW51" s="24"/>
      <c r="GLX51" s="24"/>
      <c r="GLY51" s="24"/>
      <c r="GLZ51" s="24"/>
      <c r="GMA51" s="24"/>
      <c r="GMB51" s="24"/>
      <c r="GMC51" s="24"/>
      <c r="GMD51" s="24"/>
      <c r="GME51" s="24"/>
      <c r="GMF51" s="24"/>
      <c r="GMG51" s="24"/>
      <c r="GMH51" s="24"/>
      <c r="GMI51" s="24"/>
      <c r="GMJ51" s="24"/>
      <c r="GMK51" s="24"/>
      <c r="GML51" s="24"/>
      <c r="GMM51" s="24"/>
      <c r="GMN51" s="24"/>
      <c r="GMO51" s="24"/>
      <c r="GMP51" s="24"/>
      <c r="GMQ51" s="24"/>
      <c r="GMR51" s="24"/>
      <c r="GMS51" s="24"/>
      <c r="GMT51" s="24"/>
      <c r="GMU51" s="24"/>
      <c r="GMV51" s="24"/>
      <c r="GMW51" s="24"/>
      <c r="GMX51" s="24"/>
      <c r="GMY51" s="24"/>
      <c r="GMZ51" s="24"/>
      <c r="GNA51" s="24"/>
      <c r="GNB51" s="24"/>
      <c r="GNC51" s="24"/>
      <c r="GND51" s="24"/>
      <c r="GNE51" s="24"/>
      <c r="GNF51" s="24"/>
      <c r="GNG51" s="24"/>
      <c r="GNH51" s="24"/>
      <c r="GNI51" s="24"/>
      <c r="GNJ51" s="24"/>
      <c r="GNK51" s="24"/>
      <c r="GNL51" s="24"/>
      <c r="GNM51" s="24"/>
      <c r="GNN51" s="24"/>
      <c r="GNO51" s="24"/>
      <c r="GNP51" s="24"/>
      <c r="GNQ51" s="24"/>
      <c r="GNR51" s="24"/>
      <c r="GNS51" s="24"/>
      <c r="GNT51" s="24"/>
      <c r="GNU51" s="24"/>
      <c r="GNV51" s="24"/>
      <c r="GNW51" s="24"/>
      <c r="GNX51" s="24"/>
      <c r="GNY51" s="24"/>
      <c r="GNZ51" s="24"/>
      <c r="GOA51" s="24"/>
      <c r="GOB51" s="24"/>
      <c r="GOC51" s="24"/>
      <c r="GOD51" s="24"/>
      <c r="GOE51" s="24"/>
      <c r="GOF51" s="24"/>
      <c r="GOG51" s="24"/>
      <c r="GOH51" s="24"/>
      <c r="GOI51" s="24"/>
      <c r="GOJ51" s="24"/>
      <c r="GOK51" s="24"/>
      <c r="GOL51" s="24"/>
      <c r="GOM51" s="24"/>
      <c r="GON51" s="24"/>
      <c r="GOO51" s="24"/>
      <c r="GOP51" s="24"/>
      <c r="GOQ51" s="24"/>
      <c r="GOR51" s="24"/>
      <c r="GOS51" s="24"/>
      <c r="GOT51" s="24"/>
      <c r="GOU51" s="24"/>
      <c r="GOV51" s="24"/>
      <c r="GOW51" s="24"/>
      <c r="GOX51" s="24"/>
      <c r="GOY51" s="24"/>
      <c r="GOZ51" s="24"/>
      <c r="GPA51" s="24"/>
      <c r="GPB51" s="24"/>
      <c r="GPC51" s="24"/>
      <c r="GPD51" s="24"/>
      <c r="GPE51" s="24"/>
      <c r="GPF51" s="24"/>
      <c r="GPG51" s="24"/>
      <c r="GPH51" s="24"/>
      <c r="GPI51" s="24"/>
      <c r="GPJ51" s="24"/>
      <c r="GPK51" s="24"/>
      <c r="GPL51" s="24"/>
      <c r="GPM51" s="24"/>
      <c r="GPN51" s="24"/>
      <c r="GPO51" s="24"/>
      <c r="GPP51" s="24"/>
      <c r="GPQ51" s="24"/>
      <c r="GPR51" s="24"/>
      <c r="GPS51" s="24"/>
      <c r="GPT51" s="24"/>
      <c r="GPU51" s="24"/>
      <c r="GPV51" s="24"/>
      <c r="GPW51" s="24"/>
      <c r="GPX51" s="24"/>
      <c r="GPY51" s="24"/>
      <c r="GPZ51" s="24"/>
      <c r="GQA51" s="24"/>
      <c r="GQB51" s="24"/>
      <c r="GQC51" s="24"/>
      <c r="GQD51" s="24"/>
      <c r="GQE51" s="24"/>
      <c r="GQF51" s="24"/>
      <c r="GQG51" s="24"/>
      <c r="GQH51" s="24"/>
      <c r="GQI51" s="24"/>
      <c r="GQJ51" s="24"/>
      <c r="GQK51" s="24"/>
      <c r="GQL51" s="24"/>
      <c r="GQM51" s="24"/>
      <c r="GQN51" s="24"/>
      <c r="GQO51" s="24"/>
      <c r="GQP51" s="24"/>
      <c r="GQQ51" s="24"/>
      <c r="GQR51" s="24"/>
      <c r="GQS51" s="24"/>
      <c r="GQT51" s="24"/>
      <c r="GQU51" s="24"/>
      <c r="GQV51" s="24"/>
      <c r="GQW51" s="24"/>
      <c r="GQX51" s="24"/>
      <c r="GQY51" s="24"/>
      <c r="GQZ51" s="24"/>
      <c r="GRA51" s="24"/>
      <c r="GRB51" s="24"/>
      <c r="GRC51" s="24"/>
      <c r="GRD51" s="24"/>
      <c r="GRE51" s="24"/>
      <c r="GRF51" s="24"/>
      <c r="GRG51" s="24"/>
      <c r="GRH51" s="24"/>
      <c r="GRI51" s="24"/>
      <c r="GRJ51" s="24"/>
      <c r="GRK51" s="24"/>
      <c r="GRL51" s="24"/>
      <c r="GRM51" s="24"/>
      <c r="GRN51" s="24"/>
      <c r="GRO51" s="24"/>
      <c r="GRP51" s="24"/>
      <c r="GRQ51" s="24"/>
      <c r="GRR51" s="24"/>
      <c r="GRS51" s="24"/>
      <c r="GRT51" s="24"/>
      <c r="GRU51" s="24"/>
      <c r="GRV51" s="24"/>
      <c r="GRW51" s="24"/>
      <c r="GRX51" s="24"/>
      <c r="GRY51" s="24"/>
      <c r="GRZ51" s="24"/>
      <c r="GSA51" s="24"/>
      <c r="GSB51" s="24"/>
      <c r="GSC51" s="24"/>
      <c r="GSD51" s="24"/>
      <c r="GSE51" s="24"/>
      <c r="GSF51" s="24"/>
      <c r="GSG51" s="24"/>
      <c r="GSH51" s="24"/>
      <c r="GSI51" s="24"/>
      <c r="GSJ51" s="24"/>
      <c r="GSK51" s="24"/>
      <c r="GSL51" s="24"/>
      <c r="GSM51" s="24"/>
      <c r="GSN51" s="24"/>
      <c r="GSO51" s="24"/>
      <c r="GSP51" s="24"/>
      <c r="GSQ51" s="24"/>
      <c r="GSR51" s="24"/>
      <c r="GSS51" s="24"/>
      <c r="GST51" s="24"/>
      <c r="GSU51" s="24"/>
      <c r="GSV51" s="24"/>
      <c r="GSW51" s="24"/>
      <c r="GSX51" s="24"/>
      <c r="GSY51" s="24"/>
      <c r="GSZ51" s="24"/>
      <c r="GTA51" s="24"/>
      <c r="GTB51" s="24"/>
      <c r="GTC51" s="24"/>
      <c r="GTD51" s="24"/>
      <c r="GTE51" s="24"/>
      <c r="GTF51" s="24"/>
      <c r="GTG51" s="24"/>
      <c r="GTH51" s="24"/>
      <c r="GTI51" s="24"/>
      <c r="GTJ51" s="24"/>
      <c r="GTK51" s="24"/>
      <c r="GTL51" s="24"/>
      <c r="GTM51" s="24"/>
      <c r="GTN51" s="24"/>
      <c r="GTO51" s="24"/>
      <c r="GTP51" s="24"/>
      <c r="GTQ51" s="24"/>
      <c r="GTR51" s="24"/>
      <c r="GTS51" s="24"/>
      <c r="GTT51" s="24"/>
      <c r="GTU51" s="24"/>
      <c r="GTV51" s="24"/>
      <c r="GTW51" s="24"/>
      <c r="GTX51" s="24"/>
      <c r="GTY51" s="24"/>
      <c r="GTZ51" s="24"/>
      <c r="GUA51" s="24"/>
      <c r="GUB51" s="24"/>
      <c r="GUC51" s="24"/>
      <c r="GUD51" s="24"/>
      <c r="GUE51" s="24"/>
      <c r="GUF51" s="24"/>
      <c r="GUG51" s="24"/>
      <c r="GUH51" s="24"/>
      <c r="GUI51" s="24"/>
      <c r="GUJ51" s="24"/>
      <c r="GUK51" s="24"/>
      <c r="GUL51" s="24"/>
      <c r="GUM51" s="24"/>
      <c r="GUN51" s="24"/>
      <c r="GUO51" s="24"/>
      <c r="GUP51" s="24"/>
      <c r="GUQ51" s="24"/>
      <c r="GUR51" s="24"/>
      <c r="GUS51" s="24"/>
      <c r="GUT51" s="24"/>
      <c r="GUU51" s="24"/>
      <c r="GUV51" s="24"/>
      <c r="GUW51" s="24"/>
      <c r="GUX51" s="24"/>
      <c r="GUY51" s="24"/>
      <c r="GUZ51" s="24"/>
      <c r="GVA51" s="24"/>
      <c r="GVB51" s="24"/>
      <c r="GVC51" s="24"/>
      <c r="GVD51" s="24"/>
      <c r="GVE51" s="24"/>
      <c r="GVF51" s="24"/>
      <c r="GVG51" s="24"/>
      <c r="GVH51" s="24"/>
      <c r="GVI51" s="24"/>
      <c r="GVJ51" s="24"/>
      <c r="GVK51" s="24"/>
      <c r="GVL51" s="24"/>
      <c r="GVM51" s="24"/>
      <c r="GVN51" s="24"/>
      <c r="GVO51" s="24"/>
      <c r="GVP51" s="24"/>
      <c r="GVQ51" s="24"/>
      <c r="GVR51" s="24"/>
      <c r="GVS51" s="24"/>
      <c r="GVT51" s="24"/>
      <c r="GVU51" s="24"/>
      <c r="GVV51" s="24"/>
      <c r="GVW51" s="24"/>
      <c r="GVX51" s="24"/>
      <c r="GVY51" s="24"/>
      <c r="GVZ51" s="24"/>
      <c r="GWA51" s="24"/>
      <c r="GWB51" s="24"/>
      <c r="GWC51" s="24"/>
      <c r="GWD51" s="24"/>
      <c r="GWE51" s="24"/>
      <c r="GWF51" s="24"/>
      <c r="GWG51" s="24"/>
      <c r="GWH51" s="24"/>
      <c r="GWI51" s="24"/>
      <c r="GWJ51" s="24"/>
      <c r="GWK51" s="24"/>
      <c r="GWL51" s="24"/>
      <c r="GWM51" s="24"/>
      <c r="GWN51" s="24"/>
      <c r="GWO51" s="24"/>
      <c r="GWP51" s="24"/>
      <c r="GWQ51" s="24"/>
      <c r="GWR51" s="24"/>
      <c r="GWS51" s="24"/>
      <c r="GWT51" s="24"/>
      <c r="GWU51" s="24"/>
      <c r="GWV51" s="24"/>
      <c r="GWW51" s="24"/>
      <c r="GWX51" s="24"/>
      <c r="GWY51" s="24"/>
      <c r="GWZ51" s="24"/>
      <c r="GXA51" s="24"/>
      <c r="GXB51" s="24"/>
      <c r="GXC51" s="24"/>
      <c r="GXD51" s="24"/>
      <c r="GXE51" s="24"/>
      <c r="GXF51" s="24"/>
      <c r="GXG51" s="24"/>
      <c r="GXH51" s="24"/>
      <c r="GXI51" s="24"/>
      <c r="GXJ51" s="24"/>
      <c r="GXK51" s="24"/>
      <c r="GXL51" s="24"/>
      <c r="GXM51" s="24"/>
      <c r="GXN51" s="24"/>
      <c r="GXO51" s="24"/>
      <c r="GXP51" s="24"/>
      <c r="GXQ51" s="24"/>
      <c r="GXR51" s="24"/>
      <c r="GXS51" s="24"/>
      <c r="GXT51" s="24"/>
      <c r="GXU51" s="24"/>
      <c r="GXV51" s="24"/>
      <c r="GXW51" s="24"/>
      <c r="GXX51" s="24"/>
      <c r="GXY51" s="24"/>
      <c r="GXZ51" s="24"/>
      <c r="GYA51" s="24"/>
      <c r="GYB51" s="24"/>
      <c r="GYC51" s="24"/>
      <c r="GYD51" s="24"/>
      <c r="GYE51" s="24"/>
      <c r="GYF51" s="24"/>
      <c r="GYG51" s="24"/>
      <c r="GYH51" s="24"/>
      <c r="GYI51" s="24"/>
      <c r="GYJ51" s="24"/>
      <c r="GYK51" s="24"/>
      <c r="GYL51" s="24"/>
      <c r="GYM51" s="24"/>
      <c r="GYN51" s="24"/>
      <c r="GYO51" s="24"/>
      <c r="GYP51" s="24"/>
      <c r="GYQ51" s="24"/>
      <c r="GYR51" s="24"/>
      <c r="GYS51" s="24"/>
      <c r="GYT51" s="24"/>
      <c r="GYU51" s="24"/>
      <c r="GYV51" s="24"/>
      <c r="GYW51" s="24"/>
      <c r="GYX51" s="24"/>
      <c r="GYY51" s="24"/>
      <c r="GYZ51" s="24"/>
      <c r="GZA51" s="24"/>
      <c r="GZB51" s="24"/>
      <c r="GZC51" s="24"/>
      <c r="GZD51" s="24"/>
      <c r="GZE51" s="24"/>
      <c r="GZF51" s="24"/>
      <c r="GZG51" s="24"/>
      <c r="GZH51" s="24"/>
      <c r="GZI51" s="24"/>
      <c r="GZJ51" s="24"/>
      <c r="GZK51" s="24"/>
      <c r="GZL51" s="24"/>
      <c r="GZM51" s="24"/>
      <c r="GZN51" s="24"/>
      <c r="GZO51" s="24"/>
      <c r="GZP51" s="24"/>
      <c r="GZQ51" s="24"/>
      <c r="GZR51" s="24"/>
      <c r="GZS51" s="24"/>
      <c r="GZT51" s="24"/>
      <c r="GZU51" s="24"/>
      <c r="GZV51" s="24"/>
      <c r="GZW51" s="24"/>
      <c r="GZX51" s="24"/>
      <c r="GZY51" s="24"/>
      <c r="GZZ51" s="24"/>
      <c r="HAA51" s="24"/>
      <c r="HAB51" s="24"/>
      <c r="HAC51" s="24"/>
      <c r="HAD51" s="24"/>
      <c r="HAE51" s="24"/>
      <c r="HAF51" s="24"/>
      <c r="HAG51" s="24"/>
      <c r="HAH51" s="24"/>
      <c r="HAI51" s="24"/>
      <c r="HAJ51" s="24"/>
      <c r="HAK51" s="24"/>
      <c r="HAL51" s="24"/>
      <c r="HAM51" s="24"/>
      <c r="HAN51" s="24"/>
      <c r="HAO51" s="24"/>
      <c r="HAP51" s="24"/>
      <c r="HAQ51" s="24"/>
      <c r="HAR51" s="24"/>
      <c r="HAS51" s="24"/>
      <c r="HAT51" s="24"/>
      <c r="HAU51" s="24"/>
      <c r="HAV51" s="24"/>
      <c r="HAW51" s="24"/>
      <c r="HAX51" s="24"/>
      <c r="HAY51" s="24"/>
      <c r="HAZ51" s="24"/>
      <c r="HBA51" s="24"/>
      <c r="HBB51" s="24"/>
      <c r="HBC51" s="24"/>
      <c r="HBD51" s="24"/>
      <c r="HBE51" s="24"/>
      <c r="HBF51" s="24"/>
      <c r="HBG51" s="24"/>
      <c r="HBH51" s="24"/>
      <c r="HBI51" s="24"/>
      <c r="HBJ51" s="24"/>
      <c r="HBK51" s="24"/>
      <c r="HBL51" s="24"/>
      <c r="HBM51" s="24"/>
      <c r="HBN51" s="24"/>
      <c r="HBO51" s="24"/>
      <c r="HBP51" s="24"/>
      <c r="HBQ51" s="24"/>
      <c r="HBR51" s="24"/>
      <c r="HBS51" s="24"/>
      <c r="HBT51" s="24"/>
      <c r="HBU51" s="24"/>
      <c r="HBV51" s="24"/>
      <c r="HBW51" s="24"/>
      <c r="HBX51" s="24"/>
      <c r="HBY51" s="24"/>
      <c r="HBZ51" s="24"/>
      <c r="HCA51" s="24"/>
      <c r="HCB51" s="24"/>
      <c r="HCC51" s="24"/>
      <c r="HCD51" s="24"/>
      <c r="HCE51" s="24"/>
      <c r="HCF51" s="24"/>
      <c r="HCG51" s="24"/>
      <c r="HCH51" s="24"/>
      <c r="HCI51" s="24"/>
      <c r="HCJ51" s="24"/>
      <c r="HCK51" s="24"/>
      <c r="HCL51" s="24"/>
      <c r="HCM51" s="24"/>
      <c r="HCN51" s="24"/>
      <c r="HCO51" s="24"/>
      <c r="HCP51" s="24"/>
      <c r="HCQ51" s="24"/>
      <c r="HCR51" s="24"/>
      <c r="HCS51" s="24"/>
      <c r="HCT51" s="24"/>
      <c r="HCU51" s="24"/>
      <c r="HCV51" s="24"/>
      <c r="HCW51" s="24"/>
      <c r="HCX51" s="24"/>
      <c r="HCY51" s="24"/>
      <c r="HCZ51" s="24"/>
      <c r="HDA51" s="24"/>
      <c r="HDB51" s="24"/>
      <c r="HDC51" s="24"/>
      <c r="HDD51" s="24"/>
      <c r="HDE51" s="24"/>
      <c r="HDF51" s="24"/>
      <c r="HDG51" s="24"/>
      <c r="HDH51" s="24"/>
      <c r="HDI51" s="24"/>
      <c r="HDJ51" s="24"/>
      <c r="HDK51" s="24"/>
      <c r="HDL51" s="24"/>
      <c r="HDM51" s="24"/>
      <c r="HDN51" s="24"/>
      <c r="HDO51" s="24"/>
      <c r="HDP51" s="24"/>
      <c r="HDQ51" s="24"/>
      <c r="HDR51" s="24"/>
      <c r="HDS51" s="24"/>
      <c r="HDT51" s="24"/>
      <c r="HDU51" s="24"/>
      <c r="HDV51" s="24"/>
      <c r="HDW51" s="24"/>
      <c r="HDX51" s="24"/>
      <c r="HDY51" s="24"/>
      <c r="HDZ51" s="24"/>
      <c r="HEA51" s="24"/>
      <c r="HEB51" s="24"/>
      <c r="HEC51" s="24"/>
      <c r="HED51" s="24"/>
      <c r="HEE51" s="24"/>
      <c r="HEF51" s="24"/>
      <c r="HEG51" s="24"/>
      <c r="HEH51" s="24"/>
      <c r="HEI51" s="24"/>
      <c r="HEJ51" s="24"/>
      <c r="HEK51" s="24"/>
      <c r="HEL51" s="24"/>
      <c r="HEM51" s="24"/>
      <c r="HEN51" s="24"/>
      <c r="HEO51" s="24"/>
      <c r="HEP51" s="24"/>
      <c r="HEQ51" s="24"/>
      <c r="HER51" s="24"/>
      <c r="HES51" s="24"/>
      <c r="HET51" s="24"/>
      <c r="HEU51" s="24"/>
      <c r="HEV51" s="24"/>
      <c r="HEW51" s="24"/>
      <c r="HEX51" s="24"/>
      <c r="HEY51" s="24"/>
      <c r="HEZ51" s="24"/>
      <c r="HFA51" s="24"/>
      <c r="HFB51" s="24"/>
      <c r="HFC51" s="24"/>
      <c r="HFD51" s="24"/>
      <c r="HFE51" s="24"/>
      <c r="HFF51" s="24"/>
      <c r="HFG51" s="24"/>
      <c r="HFH51" s="24"/>
      <c r="HFI51" s="24"/>
      <c r="HFJ51" s="24"/>
      <c r="HFK51" s="24"/>
      <c r="HFL51" s="24"/>
      <c r="HFM51" s="24"/>
      <c r="HFN51" s="24"/>
      <c r="HFO51" s="24"/>
      <c r="HFP51" s="24"/>
      <c r="HFQ51" s="24"/>
      <c r="HFR51" s="24"/>
      <c r="HFS51" s="24"/>
      <c r="HFT51" s="24"/>
      <c r="HFU51" s="24"/>
      <c r="HFV51" s="24"/>
      <c r="HFW51" s="24"/>
      <c r="HFX51" s="24"/>
      <c r="HFY51" s="24"/>
      <c r="HFZ51" s="24"/>
      <c r="HGA51" s="24"/>
      <c r="HGB51" s="24"/>
      <c r="HGC51" s="24"/>
      <c r="HGD51" s="24"/>
      <c r="HGE51" s="24"/>
      <c r="HGF51" s="24"/>
      <c r="HGG51" s="24"/>
      <c r="HGH51" s="24"/>
      <c r="HGI51" s="24"/>
      <c r="HGJ51" s="24"/>
      <c r="HGK51" s="24"/>
      <c r="HGL51" s="24"/>
      <c r="HGM51" s="24"/>
      <c r="HGN51" s="24"/>
      <c r="HGO51" s="24"/>
      <c r="HGP51" s="24"/>
      <c r="HGQ51" s="24"/>
      <c r="HGR51" s="24"/>
      <c r="HGS51" s="24"/>
      <c r="HGT51" s="24"/>
      <c r="HGU51" s="24"/>
      <c r="HGV51" s="24"/>
      <c r="HGW51" s="24"/>
      <c r="HGX51" s="24"/>
      <c r="HGY51" s="24"/>
      <c r="HGZ51" s="24"/>
      <c r="HHA51" s="24"/>
      <c r="HHB51" s="24"/>
      <c r="HHC51" s="24"/>
      <c r="HHD51" s="24"/>
      <c r="HHE51" s="24"/>
      <c r="HHF51" s="24"/>
      <c r="HHG51" s="24"/>
      <c r="HHH51" s="24"/>
      <c r="HHI51" s="24"/>
      <c r="HHJ51" s="24"/>
      <c r="HHK51" s="24"/>
      <c r="HHL51" s="24"/>
      <c r="HHM51" s="24"/>
      <c r="HHN51" s="24"/>
      <c r="HHO51" s="24"/>
      <c r="HHP51" s="24"/>
      <c r="HHQ51" s="24"/>
      <c r="HHR51" s="24"/>
      <c r="HHS51" s="24"/>
      <c r="HHT51" s="24"/>
      <c r="HHU51" s="24"/>
      <c r="HHV51" s="24"/>
      <c r="HHW51" s="24"/>
      <c r="HHX51" s="24"/>
      <c r="HHY51" s="24"/>
      <c r="HHZ51" s="24"/>
      <c r="HIA51" s="24"/>
      <c r="HIB51" s="24"/>
      <c r="HIC51" s="24"/>
      <c r="HID51" s="24"/>
      <c r="HIE51" s="24"/>
      <c r="HIF51" s="24"/>
      <c r="HIG51" s="24"/>
      <c r="HIH51" s="24"/>
      <c r="HII51" s="24"/>
      <c r="HIJ51" s="24"/>
      <c r="HIK51" s="24"/>
      <c r="HIL51" s="24"/>
      <c r="HIM51" s="24"/>
      <c r="HIN51" s="24"/>
      <c r="HIO51" s="24"/>
      <c r="HIP51" s="24"/>
      <c r="HIQ51" s="24"/>
      <c r="HIR51" s="24"/>
      <c r="HIS51" s="24"/>
      <c r="HIT51" s="24"/>
      <c r="HIU51" s="24"/>
      <c r="HIV51" s="24"/>
      <c r="HIW51" s="24"/>
      <c r="HIX51" s="24"/>
      <c r="HIY51" s="24"/>
      <c r="HIZ51" s="24"/>
      <c r="HJA51" s="24"/>
      <c r="HJB51" s="24"/>
      <c r="HJC51" s="24"/>
      <c r="HJD51" s="24"/>
      <c r="HJE51" s="24"/>
      <c r="HJF51" s="24"/>
      <c r="HJG51" s="24"/>
      <c r="HJH51" s="24"/>
      <c r="HJI51" s="24"/>
      <c r="HJJ51" s="24"/>
      <c r="HJK51" s="24"/>
      <c r="HJL51" s="24"/>
      <c r="HJM51" s="24"/>
      <c r="HJN51" s="24"/>
      <c r="HJO51" s="24"/>
      <c r="HJP51" s="24"/>
      <c r="HJQ51" s="24"/>
      <c r="HJR51" s="24"/>
      <c r="HJS51" s="24"/>
      <c r="HJT51" s="24"/>
      <c r="HJU51" s="24"/>
      <c r="HJV51" s="24"/>
      <c r="HJW51" s="24"/>
      <c r="HJX51" s="24"/>
      <c r="HJY51" s="24"/>
      <c r="HJZ51" s="24"/>
      <c r="HKA51" s="24"/>
      <c r="HKB51" s="24"/>
      <c r="HKC51" s="24"/>
      <c r="HKD51" s="24"/>
      <c r="HKE51" s="24"/>
      <c r="HKF51" s="24"/>
      <c r="HKG51" s="24"/>
      <c r="HKH51" s="24"/>
      <c r="HKI51" s="24"/>
      <c r="HKJ51" s="24"/>
      <c r="HKK51" s="24"/>
      <c r="HKL51" s="24"/>
      <c r="HKM51" s="24"/>
      <c r="HKN51" s="24"/>
      <c r="HKO51" s="24"/>
      <c r="HKP51" s="24"/>
      <c r="HKQ51" s="24"/>
      <c r="HKR51" s="24"/>
      <c r="HKS51" s="24"/>
      <c r="HKT51" s="24"/>
      <c r="HKU51" s="24"/>
      <c r="HKV51" s="24"/>
      <c r="HKW51" s="24"/>
      <c r="HKX51" s="24"/>
      <c r="HKY51" s="24"/>
      <c r="HKZ51" s="24"/>
      <c r="HLA51" s="24"/>
      <c r="HLB51" s="24"/>
      <c r="HLC51" s="24"/>
      <c r="HLD51" s="24"/>
      <c r="HLE51" s="24"/>
      <c r="HLF51" s="24"/>
      <c r="HLG51" s="24"/>
      <c r="HLH51" s="24"/>
      <c r="HLI51" s="24"/>
      <c r="HLJ51" s="24"/>
      <c r="HLK51" s="24"/>
      <c r="HLL51" s="24"/>
      <c r="HLM51" s="24"/>
      <c r="HLN51" s="24"/>
      <c r="HLO51" s="24"/>
      <c r="HLP51" s="24"/>
      <c r="HLQ51" s="24"/>
      <c r="HLR51" s="24"/>
      <c r="HLS51" s="24"/>
      <c r="HLT51" s="24"/>
      <c r="HLU51" s="24"/>
      <c r="HLV51" s="24"/>
      <c r="HLW51" s="24"/>
      <c r="HLX51" s="24"/>
      <c r="HLY51" s="24"/>
      <c r="HLZ51" s="24"/>
      <c r="HMA51" s="24"/>
      <c r="HMB51" s="24"/>
      <c r="HMC51" s="24"/>
      <c r="HMD51" s="24"/>
      <c r="HME51" s="24"/>
      <c r="HMF51" s="24"/>
      <c r="HMG51" s="24"/>
      <c r="HMH51" s="24"/>
      <c r="HMI51" s="24"/>
      <c r="HMJ51" s="24"/>
      <c r="HMK51" s="24"/>
      <c r="HML51" s="24"/>
      <c r="HMM51" s="24"/>
      <c r="HMN51" s="24"/>
      <c r="HMO51" s="24"/>
      <c r="HMP51" s="24"/>
      <c r="HMQ51" s="24"/>
      <c r="HMR51" s="24"/>
      <c r="HMS51" s="24"/>
      <c r="HMT51" s="24"/>
      <c r="HMU51" s="24"/>
      <c r="HMV51" s="24"/>
      <c r="HMW51" s="24"/>
      <c r="HMX51" s="24"/>
      <c r="HMY51" s="24"/>
      <c r="HMZ51" s="24"/>
      <c r="HNA51" s="24"/>
      <c r="HNB51" s="24"/>
      <c r="HNC51" s="24"/>
      <c r="HND51" s="24"/>
      <c r="HNE51" s="24"/>
      <c r="HNF51" s="24"/>
      <c r="HNG51" s="24"/>
      <c r="HNH51" s="24"/>
      <c r="HNI51" s="24"/>
      <c r="HNJ51" s="24"/>
      <c r="HNK51" s="24"/>
      <c r="HNL51" s="24"/>
      <c r="HNM51" s="24"/>
      <c r="HNN51" s="24"/>
      <c r="HNO51" s="24"/>
      <c r="HNP51" s="24"/>
      <c r="HNQ51" s="24"/>
      <c r="HNR51" s="24"/>
      <c r="HNS51" s="24"/>
      <c r="HNT51" s="24"/>
      <c r="HNU51" s="24"/>
      <c r="HNV51" s="24"/>
      <c r="HNW51" s="24"/>
      <c r="HNX51" s="24"/>
      <c r="HNY51" s="24"/>
      <c r="HNZ51" s="24"/>
      <c r="HOA51" s="24"/>
      <c r="HOB51" s="24"/>
      <c r="HOC51" s="24"/>
      <c r="HOD51" s="24"/>
      <c r="HOE51" s="24"/>
      <c r="HOF51" s="24"/>
      <c r="HOG51" s="24"/>
      <c r="HOH51" s="24"/>
      <c r="HOI51" s="24"/>
      <c r="HOJ51" s="24"/>
      <c r="HOK51" s="24"/>
      <c r="HOL51" s="24"/>
      <c r="HOM51" s="24"/>
      <c r="HON51" s="24"/>
      <c r="HOO51" s="24"/>
      <c r="HOP51" s="24"/>
      <c r="HOQ51" s="24"/>
      <c r="HOR51" s="24"/>
      <c r="HOS51" s="24"/>
      <c r="HOT51" s="24"/>
      <c r="HOU51" s="24"/>
      <c r="HOV51" s="24"/>
      <c r="HOW51" s="24"/>
      <c r="HOX51" s="24"/>
      <c r="HOY51" s="24"/>
      <c r="HOZ51" s="24"/>
      <c r="HPA51" s="24"/>
      <c r="HPB51" s="24"/>
      <c r="HPC51" s="24"/>
      <c r="HPD51" s="24"/>
      <c r="HPE51" s="24"/>
      <c r="HPF51" s="24"/>
      <c r="HPG51" s="24"/>
      <c r="HPH51" s="24"/>
      <c r="HPI51" s="24"/>
      <c r="HPJ51" s="24"/>
      <c r="HPK51" s="24"/>
      <c r="HPL51" s="24"/>
      <c r="HPM51" s="24"/>
      <c r="HPN51" s="24"/>
      <c r="HPO51" s="24"/>
      <c r="HPP51" s="24"/>
      <c r="HPQ51" s="24"/>
      <c r="HPR51" s="24"/>
      <c r="HPS51" s="24"/>
      <c r="HPT51" s="24"/>
      <c r="HPU51" s="24"/>
      <c r="HPV51" s="24"/>
      <c r="HPW51" s="24"/>
      <c r="HPX51" s="24"/>
      <c r="HPY51" s="24"/>
      <c r="HPZ51" s="24"/>
      <c r="HQA51" s="24"/>
      <c r="HQB51" s="24"/>
      <c r="HQC51" s="24"/>
      <c r="HQD51" s="24"/>
      <c r="HQE51" s="24"/>
      <c r="HQF51" s="24"/>
      <c r="HQG51" s="24"/>
      <c r="HQH51" s="24"/>
      <c r="HQI51" s="24"/>
      <c r="HQJ51" s="24"/>
      <c r="HQK51" s="24"/>
      <c r="HQL51" s="24"/>
      <c r="HQM51" s="24"/>
      <c r="HQN51" s="24"/>
      <c r="HQO51" s="24"/>
      <c r="HQP51" s="24"/>
      <c r="HQQ51" s="24"/>
      <c r="HQR51" s="24"/>
      <c r="HQS51" s="24"/>
      <c r="HQT51" s="24"/>
      <c r="HQU51" s="24"/>
      <c r="HQV51" s="24"/>
      <c r="HQW51" s="24"/>
      <c r="HQX51" s="24"/>
      <c r="HQY51" s="24"/>
      <c r="HQZ51" s="24"/>
      <c r="HRA51" s="24"/>
      <c r="HRB51" s="24"/>
      <c r="HRC51" s="24"/>
      <c r="HRD51" s="24"/>
      <c r="HRE51" s="24"/>
      <c r="HRF51" s="24"/>
      <c r="HRG51" s="24"/>
      <c r="HRH51" s="24"/>
      <c r="HRI51" s="24"/>
      <c r="HRJ51" s="24"/>
      <c r="HRK51" s="24"/>
      <c r="HRL51" s="24"/>
      <c r="HRM51" s="24"/>
      <c r="HRN51" s="24"/>
      <c r="HRO51" s="24"/>
      <c r="HRP51" s="24"/>
      <c r="HRQ51" s="24"/>
      <c r="HRR51" s="24"/>
      <c r="HRS51" s="24"/>
      <c r="HRT51" s="24"/>
      <c r="HRU51" s="24"/>
      <c r="HRV51" s="24"/>
      <c r="HRW51" s="24"/>
      <c r="HRX51" s="24"/>
      <c r="HRY51" s="24"/>
      <c r="HRZ51" s="24"/>
      <c r="HSA51" s="24"/>
      <c r="HSB51" s="24"/>
      <c r="HSC51" s="24"/>
      <c r="HSD51" s="24"/>
      <c r="HSE51" s="24"/>
      <c r="HSF51" s="24"/>
      <c r="HSG51" s="24"/>
      <c r="HSH51" s="24"/>
      <c r="HSI51" s="24"/>
      <c r="HSJ51" s="24"/>
      <c r="HSK51" s="24"/>
      <c r="HSL51" s="24"/>
      <c r="HSM51" s="24"/>
      <c r="HSN51" s="24"/>
      <c r="HSO51" s="24"/>
      <c r="HSP51" s="24"/>
      <c r="HSQ51" s="24"/>
      <c r="HSR51" s="24"/>
      <c r="HSS51" s="24"/>
      <c r="HST51" s="24"/>
      <c r="HSU51" s="24"/>
      <c r="HSV51" s="24"/>
      <c r="HSW51" s="24"/>
      <c r="HSX51" s="24"/>
      <c r="HSY51" s="24"/>
      <c r="HSZ51" s="24"/>
      <c r="HTA51" s="24"/>
      <c r="HTB51" s="24"/>
      <c r="HTC51" s="24"/>
      <c r="HTD51" s="24"/>
      <c r="HTE51" s="24"/>
      <c r="HTF51" s="24"/>
      <c r="HTG51" s="24"/>
      <c r="HTH51" s="24"/>
      <c r="HTI51" s="24"/>
      <c r="HTJ51" s="24"/>
      <c r="HTK51" s="24"/>
      <c r="HTL51" s="24"/>
      <c r="HTM51" s="24"/>
      <c r="HTN51" s="24"/>
      <c r="HTO51" s="24"/>
      <c r="HTP51" s="24"/>
      <c r="HTQ51" s="24"/>
      <c r="HTR51" s="24"/>
      <c r="HTS51" s="24"/>
      <c r="HTT51" s="24"/>
      <c r="HTU51" s="24"/>
      <c r="HTV51" s="24"/>
      <c r="HTW51" s="24"/>
      <c r="HTX51" s="24"/>
      <c r="HTY51" s="24"/>
      <c r="HTZ51" s="24"/>
      <c r="HUA51" s="24"/>
      <c r="HUB51" s="24"/>
      <c r="HUC51" s="24"/>
      <c r="HUD51" s="24"/>
      <c r="HUE51" s="24"/>
      <c r="HUF51" s="24"/>
      <c r="HUG51" s="24"/>
      <c r="HUH51" s="24"/>
      <c r="HUI51" s="24"/>
      <c r="HUJ51" s="24"/>
      <c r="HUK51" s="24"/>
      <c r="HUL51" s="24"/>
      <c r="HUM51" s="24"/>
      <c r="HUN51" s="24"/>
      <c r="HUO51" s="24"/>
      <c r="HUP51" s="24"/>
      <c r="HUQ51" s="24"/>
      <c r="HUR51" s="24"/>
      <c r="HUS51" s="24"/>
      <c r="HUT51" s="24"/>
      <c r="HUU51" s="24"/>
      <c r="HUV51" s="24"/>
      <c r="HUW51" s="24"/>
      <c r="HUX51" s="24"/>
      <c r="HUY51" s="24"/>
      <c r="HUZ51" s="24"/>
      <c r="HVA51" s="24"/>
      <c r="HVB51" s="24"/>
      <c r="HVC51" s="24"/>
      <c r="HVD51" s="24"/>
      <c r="HVE51" s="24"/>
      <c r="HVF51" s="24"/>
      <c r="HVG51" s="24"/>
      <c r="HVH51" s="24"/>
      <c r="HVI51" s="24"/>
      <c r="HVJ51" s="24"/>
      <c r="HVK51" s="24"/>
      <c r="HVL51" s="24"/>
      <c r="HVM51" s="24"/>
      <c r="HVN51" s="24"/>
      <c r="HVO51" s="24"/>
      <c r="HVP51" s="24"/>
      <c r="HVQ51" s="24"/>
      <c r="HVR51" s="24"/>
      <c r="HVS51" s="24"/>
      <c r="HVT51" s="24"/>
      <c r="HVU51" s="24"/>
      <c r="HVV51" s="24"/>
      <c r="HVW51" s="24"/>
      <c r="HVX51" s="24"/>
      <c r="HVY51" s="24"/>
      <c r="HVZ51" s="24"/>
      <c r="HWA51" s="24"/>
      <c r="HWB51" s="24"/>
      <c r="HWC51" s="24"/>
      <c r="HWD51" s="24"/>
      <c r="HWE51" s="24"/>
      <c r="HWF51" s="24"/>
      <c r="HWG51" s="24"/>
      <c r="HWH51" s="24"/>
      <c r="HWI51" s="24"/>
      <c r="HWJ51" s="24"/>
      <c r="HWK51" s="24"/>
      <c r="HWL51" s="24"/>
      <c r="HWM51" s="24"/>
      <c r="HWN51" s="24"/>
      <c r="HWO51" s="24"/>
      <c r="HWP51" s="24"/>
      <c r="HWQ51" s="24"/>
      <c r="HWR51" s="24"/>
      <c r="HWS51" s="24"/>
      <c r="HWT51" s="24"/>
      <c r="HWU51" s="24"/>
      <c r="HWV51" s="24"/>
      <c r="HWW51" s="24"/>
      <c r="HWX51" s="24"/>
      <c r="HWY51" s="24"/>
      <c r="HWZ51" s="24"/>
      <c r="HXA51" s="24"/>
      <c r="HXB51" s="24"/>
      <c r="HXC51" s="24"/>
      <c r="HXD51" s="24"/>
      <c r="HXE51" s="24"/>
      <c r="HXF51" s="24"/>
      <c r="HXG51" s="24"/>
      <c r="HXH51" s="24"/>
      <c r="HXI51" s="24"/>
      <c r="HXJ51" s="24"/>
      <c r="HXK51" s="24"/>
      <c r="HXL51" s="24"/>
      <c r="HXM51" s="24"/>
      <c r="HXN51" s="24"/>
      <c r="HXO51" s="24"/>
      <c r="HXP51" s="24"/>
      <c r="HXQ51" s="24"/>
      <c r="HXR51" s="24"/>
      <c r="HXS51" s="24"/>
      <c r="HXT51" s="24"/>
      <c r="HXU51" s="24"/>
      <c r="HXV51" s="24"/>
      <c r="HXW51" s="24"/>
      <c r="HXX51" s="24"/>
      <c r="HXY51" s="24"/>
      <c r="HXZ51" s="24"/>
      <c r="HYA51" s="24"/>
      <c r="HYB51" s="24"/>
      <c r="HYC51" s="24"/>
      <c r="HYD51" s="24"/>
      <c r="HYE51" s="24"/>
      <c r="HYF51" s="24"/>
      <c r="HYG51" s="24"/>
      <c r="HYH51" s="24"/>
      <c r="HYI51" s="24"/>
      <c r="HYJ51" s="24"/>
      <c r="HYK51" s="24"/>
      <c r="HYL51" s="24"/>
      <c r="HYM51" s="24"/>
      <c r="HYN51" s="24"/>
      <c r="HYO51" s="24"/>
      <c r="HYP51" s="24"/>
      <c r="HYQ51" s="24"/>
      <c r="HYR51" s="24"/>
      <c r="HYS51" s="24"/>
      <c r="HYT51" s="24"/>
      <c r="HYU51" s="24"/>
      <c r="HYV51" s="24"/>
      <c r="HYW51" s="24"/>
      <c r="HYX51" s="24"/>
      <c r="HYY51" s="24"/>
      <c r="HYZ51" s="24"/>
      <c r="HZA51" s="24"/>
      <c r="HZB51" s="24"/>
      <c r="HZC51" s="24"/>
      <c r="HZD51" s="24"/>
      <c r="HZE51" s="24"/>
      <c r="HZF51" s="24"/>
      <c r="HZG51" s="24"/>
      <c r="HZH51" s="24"/>
      <c r="HZI51" s="24"/>
      <c r="HZJ51" s="24"/>
      <c r="HZK51" s="24"/>
      <c r="HZL51" s="24"/>
      <c r="HZM51" s="24"/>
      <c r="HZN51" s="24"/>
      <c r="HZO51" s="24"/>
      <c r="HZP51" s="24"/>
      <c r="HZQ51" s="24"/>
      <c r="HZR51" s="24"/>
      <c r="HZS51" s="24"/>
      <c r="HZT51" s="24"/>
      <c r="HZU51" s="24"/>
      <c r="HZV51" s="24"/>
      <c r="HZW51" s="24"/>
      <c r="HZX51" s="24"/>
      <c r="HZY51" s="24"/>
      <c r="HZZ51" s="24"/>
      <c r="IAA51" s="24"/>
      <c r="IAB51" s="24"/>
      <c r="IAC51" s="24"/>
      <c r="IAD51" s="24"/>
      <c r="IAE51" s="24"/>
      <c r="IAF51" s="24"/>
      <c r="IAG51" s="24"/>
      <c r="IAH51" s="24"/>
      <c r="IAI51" s="24"/>
      <c r="IAJ51" s="24"/>
      <c r="IAK51" s="24"/>
      <c r="IAL51" s="24"/>
      <c r="IAM51" s="24"/>
      <c r="IAN51" s="24"/>
      <c r="IAO51" s="24"/>
      <c r="IAP51" s="24"/>
      <c r="IAQ51" s="24"/>
      <c r="IAR51" s="24"/>
      <c r="IAS51" s="24"/>
      <c r="IAT51" s="24"/>
      <c r="IAU51" s="24"/>
      <c r="IAV51" s="24"/>
      <c r="IAW51" s="24"/>
      <c r="IAX51" s="24"/>
      <c r="IAY51" s="24"/>
      <c r="IAZ51" s="24"/>
      <c r="IBA51" s="24"/>
      <c r="IBB51" s="24"/>
      <c r="IBC51" s="24"/>
      <c r="IBD51" s="24"/>
      <c r="IBE51" s="24"/>
      <c r="IBF51" s="24"/>
      <c r="IBG51" s="24"/>
      <c r="IBH51" s="24"/>
      <c r="IBI51" s="24"/>
      <c r="IBJ51" s="24"/>
      <c r="IBK51" s="24"/>
      <c r="IBL51" s="24"/>
      <c r="IBM51" s="24"/>
      <c r="IBN51" s="24"/>
      <c r="IBO51" s="24"/>
      <c r="IBP51" s="24"/>
      <c r="IBQ51" s="24"/>
      <c r="IBR51" s="24"/>
      <c r="IBS51" s="24"/>
      <c r="IBT51" s="24"/>
      <c r="IBU51" s="24"/>
      <c r="IBV51" s="24"/>
      <c r="IBW51" s="24"/>
      <c r="IBX51" s="24"/>
      <c r="IBY51" s="24"/>
      <c r="IBZ51" s="24"/>
      <c r="ICA51" s="24"/>
      <c r="ICB51" s="24"/>
      <c r="ICC51" s="24"/>
      <c r="ICD51" s="24"/>
      <c r="ICE51" s="24"/>
      <c r="ICF51" s="24"/>
      <c r="ICG51" s="24"/>
      <c r="ICH51" s="24"/>
      <c r="ICI51" s="24"/>
      <c r="ICJ51" s="24"/>
      <c r="ICK51" s="24"/>
      <c r="ICL51" s="24"/>
      <c r="ICM51" s="24"/>
      <c r="ICN51" s="24"/>
      <c r="ICO51" s="24"/>
      <c r="ICP51" s="24"/>
      <c r="ICQ51" s="24"/>
      <c r="ICR51" s="24"/>
      <c r="ICS51" s="24"/>
      <c r="ICT51" s="24"/>
      <c r="ICU51" s="24"/>
      <c r="ICV51" s="24"/>
      <c r="ICW51" s="24"/>
      <c r="ICX51" s="24"/>
      <c r="ICY51" s="24"/>
      <c r="ICZ51" s="24"/>
      <c r="IDA51" s="24"/>
      <c r="IDB51" s="24"/>
      <c r="IDC51" s="24"/>
      <c r="IDD51" s="24"/>
      <c r="IDE51" s="24"/>
      <c r="IDF51" s="24"/>
      <c r="IDG51" s="24"/>
      <c r="IDH51" s="24"/>
      <c r="IDI51" s="24"/>
      <c r="IDJ51" s="24"/>
      <c r="IDK51" s="24"/>
      <c r="IDL51" s="24"/>
      <c r="IDM51" s="24"/>
      <c r="IDN51" s="24"/>
      <c r="IDO51" s="24"/>
      <c r="IDP51" s="24"/>
      <c r="IDQ51" s="24"/>
      <c r="IDR51" s="24"/>
      <c r="IDS51" s="24"/>
      <c r="IDT51" s="24"/>
      <c r="IDU51" s="24"/>
      <c r="IDV51" s="24"/>
      <c r="IDW51" s="24"/>
      <c r="IDX51" s="24"/>
      <c r="IDY51" s="24"/>
      <c r="IDZ51" s="24"/>
      <c r="IEA51" s="24"/>
      <c r="IEB51" s="24"/>
      <c r="IEC51" s="24"/>
      <c r="IED51" s="24"/>
      <c r="IEE51" s="24"/>
      <c r="IEF51" s="24"/>
      <c r="IEG51" s="24"/>
      <c r="IEH51" s="24"/>
      <c r="IEI51" s="24"/>
      <c r="IEJ51" s="24"/>
      <c r="IEK51" s="24"/>
      <c r="IEL51" s="24"/>
      <c r="IEM51" s="24"/>
      <c r="IEN51" s="24"/>
      <c r="IEO51" s="24"/>
      <c r="IEP51" s="24"/>
      <c r="IEQ51" s="24"/>
      <c r="IER51" s="24"/>
      <c r="IES51" s="24"/>
      <c r="IET51" s="24"/>
      <c r="IEU51" s="24"/>
      <c r="IEV51" s="24"/>
      <c r="IEW51" s="24"/>
      <c r="IEX51" s="24"/>
      <c r="IEY51" s="24"/>
      <c r="IEZ51" s="24"/>
      <c r="IFA51" s="24"/>
      <c r="IFB51" s="24"/>
      <c r="IFC51" s="24"/>
      <c r="IFD51" s="24"/>
      <c r="IFE51" s="24"/>
      <c r="IFF51" s="24"/>
      <c r="IFG51" s="24"/>
      <c r="IFH51" s="24"/>
      <c r="IFI51" s="24"/>
      <c r="IFJ51" s="24"/>
      <c r="IFK51" s="24"/>
      <c r="IFL51" s="24"/>
      <c r="IFM51" s="24"/>
      <c r="IFN51" s="24"/>
      <c r="IFO51" s="24"/>
      <c r="IFP51" s="24"/>
      <c r="IFQ51" s="24"/>
      <c r="IFR51" s="24"/>
      <c r="IFS51" s="24"/>
      <c r="IFT51" s="24"/>
      <c r="IFU51" s="24"/>
      <c r="IFV51" s="24"/>
      <c r="IFW51" s="24"/>
      <c r="IFX51" s="24"/>
      <c r="IFY51" s="24"/>
      <c r="IFZ51" s="24"/>
      <c r="IGA51" s="24"/>
      <c r="IGB51" s="24"/>
      <c r="IGC51" s="24"/>
      <c r="IGD51" s="24"/>
      <c r="IGE51" s="24"/>
      <c r="IGF51" s="24"/>
      <c r="IGG51" s="24"/>
      <c r="IGH51" s="24"/>
      <c r="IGI51" s="24"/>
      <c r="IGJ51" s="24"/>
      <c r="IGK51" s="24"/>
      <c r="IGL51" s="24"/>
      <c r="IGM51" s="24"/>
      <c r="IGN51" s="24"/>
      <c r="IGO51" s="24"/>
      <c r="IGP51" s="24"/>
      <c r="IGQ51" s="24"/>
      <c r="IGR51" s="24"/>
      <c r="IGS51" s="24"/>
      <c r="IGT51" s="24"/>
      <c r="IGU51" s="24"/>
      <c r="IGV51" s="24"/>
      <c r="IGW51" s="24"/>
      <c r="IGX51" s="24"/>
      <c r="IGY51" s="24"/>
      <c r="IGZ51" s="24"/>
      <c r="IHA51" s="24"/>
      <c r="IHB51" s="24"/>
      <c r="IHC51" s="24"/>
      <c r="IHD51" s="24"/>
      <c r="IHE51" s="24"/>
      <c r="IHF51" s="24"/>
      <c r="IHG51" s="24"/>
      <c r="IHH51" s="24"/>
      <c r="IHI51" s="24"/>
      <c r="IHJ51" s="24"/>
      <c r="IHK51" s="24"/>
      <c r="IHL51" s="24"/>
      <c r="IHM51" s="24"/>
      <c r="IHN51" s="24"/>
      <c r="IHO51" s="24"/>
      <c r="IHP51" s="24"/>
      <c r="IHQ51" s="24"/>
      <c r="IHR51" s="24"/>
      <c r="IHS51" s="24"/>
      <c r="IHT51" s="24"/>
      <c r="IHU51" s="24"/>
      <c r="IHV51" s="24"/>
      <c r="IHW51" s="24"/>
      <c r="IHX51" s="24"/>
      <c r="IHY51" s="24"/>
      <c r="IHZ51" s="24"/>
      <c r="IIA51" s="24"/>
      <c r="IIB51" s="24"/>
      <c r="IIC51" s="24"/>
      <c r="IID51" s="24"/>
      <c r="IIE51" s="24"/>
      <c r="IIF51" s="24"/>
      <c r="IIG51" s="24"/>
      <c r="IIH51" s="24"/>
      <c r="III51" s="24"/>
      <c r="IIJ51" s="24"/>
      <c r="IIK51" s="24"/>
      <c r="IIL51" s="24"/>
      <c r="IIM51" s="24"/>
      <c r="IIN51" s="24"/>
      <c r="IIO51" s="24"/>
      <c r="IIP51" s="24"/>
      <c r="IIQ51" s="24"/>
      <c r="IIR51" s="24"/>
      <c r="IIS51" s="24"/>
      <c r="IIT51" s="24"/>
      <c r="IIU51" s="24"/>
      <c r="IIV51" s="24"/>
      <c r="IIW51" s="24"/>
      <c r="IIX51" s="24"/>
      <c r="IIY51" s="24"/>
      <c r="IIZ51" s="24"/>
      <c r="IJA51" s="24"/>
      <c r="IJB51" s="24"/>
      <c r="IJC51" s="24"/>
      <c r="IJD51" s="24"/>
      <c r="IJE51" s="24"/>
      <c r="IJF51" s="24"/>
      <c r="IJG51" s="24"/>
      <c r="IJH51" s="24"/>
      <c r="IJI51" s="24"/>
      <c r="IJJ51" s="24"/>
      <c r="IJK51" s="24"/>
      <c r="IJL51" s="24"/>
      <c r="IJM51" s="24"/>
      <c r="IJN51" s="24"/>
      <c r="IJO51" s="24"/>
      <c r="IJP51" s="24"/>
      <c r="IJQ51" s="24"/>
      <c r="IJR51" s="24"/>
      <c r="IJS51" s="24"/>
      <c r="IJT51" s="24"/>
      <c r="IJU51" s="24"/>
      <c r="IJV51" s="24"/>
      <c r="IJW51" s="24"/>
      <c r="IJX51" s="24"/>
      <c r="IJY51" s="24"/>
      <c r="IJZ51" s="24"/>
      <c r="IKA51" s="24"/>
      <c r="IKB51" s="24"/>
      <c r="IKC51" s="24"/>
      <c r="IKD51" s="24"/>
      <c r="IKE51" s="24"/>
      <c r="IKF51" s="24"/>
      <c r="IKG51" s="24"/>
      <c r="IKH51" s="24"/>
      <c r="IKI51" s="24"/>
      <c r="IKJ51" s="24"/>
      <c r="IKK51" s="24"/>
      <c r="IKL51" s="24"/>
      <c r="IKM51" s="24"/>
      <c r="IKN51" s="24"/>
      <c r="IKO51" s="24"/>
      <c r="IKP51" s="24"/>
      <c r="IKQ51" s="24"/>
      <c r="IKR51" s="24"/>
      <c r="IKS51" s="24"/>
      <c r="IKT51" s="24"/>
      <c r="IKU51" s="24"/>
      <c r="IKV51" s="24"/>
      <c r="IKW51" s="24"/>
      <c r="IKX51" s="24"/>
      <c r="IKY51" s="24"/>
      <c r="IKZ51" s="24"/>
      <c r="ILA51" s="24"/>
      <c r="ILB51" s="24"/>
      <c r="ILC51" s="24"/>
      <c r="ILD51" s="24"/>
      <c r="ILE51" s="24"/>
      <c r="ILF51" s="24"/>
      <c r="ILG51" s="24"/>
      <c r="ILH51" s="24"/>
      <c r="ILI51" s="24"/>
      <c r="ILJ51" s="24"/>
      <c r="ILK51" s="24"/>
      <c r="ILL51" s="24"/>
      <c r="ILM51" s="24"/>
      <c r="ILN51" s="24"/>
      <c r="ILO51" s="24"/>
      <c r="ILP51" s="24"/>
      <c r="ILQ51" s="24"/>
      <c r="ILR51" s="24"/>
      <c r="ILS51" s="24"/>
      <c r="ILT51" s="24"/>
      <c r="ILU51" s="24"/>
      <c r="ILV51" s="24"/>
      <c r="ILW51" s="24"/>
      <c r="ILX51" s="24"/>
      <c r="ILY51" s="24"/>
      <c r="ILZ51" s="24"/>
      <c r="IMA51" s="24"/>
      <c r="IMB51" s="24"/>
      <c r="IMC51" s="24"/>
      <c r="IMD51" s="24"/>
      <c r="IME51" s="24"/>
      <c r="IMF51" s="24"/>
      <c r="IMG51" s="24"/>
      <c r="IMH51" s="24"/>
      <c r="IMI51" s="24"/>
      <c r="IMJ51" s="24"/>
      <c r="IMK51" s="24"/>
      <c r="IML51" s="24"/>
      <c r="IMM51" s="24"/>
      <c r="IMN51" s="24"/>
      <c r="IMO51" s="24"/>
      <c r="IMP51" s="24"/>
      <c r="IMQ51" s="24"/>
      <c r="IMR51" s="24"/>
      <c r="IMS51" s="24"/>
      <c r="IMT51" s="24"/>
      <c r="IMU51" s="24"/>
      <c r="IMV51" s="24"/>
      <c r="IMW51" s="24"/>
      <c r="IMX51" s="24"/>
      <c r="IMY51" s="24"/>
      <c r="IMZ51" s="24"/>
      <c r="INA51" s="24"/>
      <c r="INB51" s="24"/>
      <c r="INC51" s="24"/>
      <c r="IND51" s="24"/>
      <c r="INE51" s="24"/>
      <c r="INF51" s="24"/>
      <c r="ING51" s="24"/>
      <c r="INH51" s="24"/>
      <c r="INI51" s="24"/>
      <c r="INJ51" s="24"/>
      <c r="INK51" s="24"/>
      <c r="INL51" s="24"/>
      <c r="INM51" s="24"/>
      <c r="INN51" s="24"/>
      <c r="INO51" s="24"/>
      <c r="INP51" s="24"/>
      <c r="INQ51" s="24"/>
      <c r="INR51" s="24"/>
      <c r="INS51" s="24"/>
      <c r="INT51" s="24"/>
      <c r="INU51" s="24"/>
      <c r="INV51" s="24"/>
      <c r="INW51" s="24"/>
      <c r="INX51" s="24"/>
      <c r="INY51" s="24"/>
      <c r="INZ51" s="24"/>
      <c r="IOA51" s="24"/>
      <c r="IOB51" s="24"/>
      <c r="IOC51" s="24"/>
      <c r="IOD51" s="24"/>
      <c r="IOE51" s="24"/>
      <c r="IOF51" s="24"/>
      <c r="IOG51" s="24"/>
      <c r="IOH51" s="24"/>
      <c r="IOI51" s="24"/>
      <c r="IOJ51" s="24"/>
      <c r="IOK51" s="24"/>
      <c r="IOL51" s="24"/>
      <c r="IOM51" s="24"/>
      <c r="ION51" s="24"/>
      <c r="IOO51" s="24"/>
      <c r="IOP51" s="24"/>
      <c r="IOQ51" s="24"/>
      <c r="IOR51" s="24"/>
      <c r="IOS51" s="24"/>
      <c r="IOT51" s="24"/>
      <c r="IOU51" s="24"/>
      <c r="IOV51" s="24"/>
      <c r="IOW51" s="24"/>
      <c r="IOX51" s="24"/>
      <c r="IOY51" s="24"/>
      <c r="IOZ51" s="24"/>
      <c r="IPA51" s="24"/>
      <c r="IPB51" s="24"/>
      <c r="IPC51" s="24"/>
      <c r="IPD51" s="24"/>
      <c r="IPE51" s="24"/>
      <c r="IPF51" s="24"/>
      <c r="IPG51" s="24"/>
      <c r="IPH51" s="24"/>
      <c r="IPI51" s="24"/>
      <c r="IPJ51" s="24"/>
      <c r="IPK51" s="24"/>
      <c r="IPL51" s="24"/>
      <c r="IPM51" s="24"/>
      <c r="IPN51" s="24"/>
      <c r="IPO51" s="24"/>
      <c r="IPP51" s="24"/>
      <c r="IPQ51" s="24"/>
      <c r="IPR51" s="24"/>
      <c r="IPS51" s="24"/>
      <c r="IPT51" s="24"/>
      <c r="IPU51" s="24"/>
      <c r="IPV51" s="24"/>
      <c r="IPW51" s="24"/>
      <c r="IPX51" s="24"/>
      <c r="IPY51" s="24"/>
      <c r="IPZ51" s="24"/>
      <c r="IQA51" s="24"/>
      <c r="IQB51" s="24"/>
      <c r="IQC51" s="24"/>
      <c r="IQD51" s="24"/>
      <c r="IQE51" s="24"/>
      <c r="IQF51" s="24"/>
      <c r="IQG51" s="24"/>
      <c r="IQH51" s="24"/>
      <c r="IQI51" s="24"/>
      <c r="IQJ51" s="24"/>
      <c r="IQK51" s="24"/>
      <c r="IQL51" s="24"/>
      <c r="IQM51" s="24"/>
      <c r="IQN51" s="24"/>
      <c r="IQO51" s="24"/>
      <c r="IQP51" s="24"/>
      <c r="IQQ51" s="24"/>
      <c r="IQR51" s="24"/>
      <c r="IQS51" s="24"/>
      <c r="IQT51" s="24"/>
      <c r="IQU51" s="24"/>
      <c r="IQV51" s="24"/>
      <c r="IQW51" s="24"/>
      <c r="IQX51" s="24"/>
      <c r="IQY51" s="24"/>
      <c r="IQZ51" s="24"/>
      <c r="IRA51" s="24"/>
      <c r="IRB51" s="24"/>
      <c r="IRC51" s="24"/>
      <c r="IRD51" s="24"/>
      <c r="IRE51" s="24"/>
      <c r="IRF51" s="24"/>
      <c r="IRG51" s="24"/>
      <c r="IRH51" s="24"/>
      <c r="IRI51" s="24"/>
      <c r="IRJ51" s="24"/>
      <c r="IRK51" s="24"/>
      <c r="IRL51" s="24"/>
      <c r="IRM51" s="24"/>
      <c r="IRN51" s="24"/>
      <c r="IRO51" s="24"/>
      <c r="IRP51" s="24"/>
      <c r="IRQ51" s="24"/>
      <c r="IRR51" s="24"/>
      <c r="IRS51" s="24"/>
      <c r="IRT51" s="24"/>
      <c r="IRU51" s="24"/>
      <c r="IRV51" s="24"/>
      <c r="IRW51" s="24"/>
      <c r="IRX51" s="24"/>
      <c r="IRY51" s="24"/>
      <c r="IRZ51" s="24"/>
      <c r="ISA51" s="24"/>
      <c r="ISB51" s="24"/>
      <c r="ISC51" s="24"/>
      <c r="ISD51" s="24"/>
      <c r="ISE51" s="24"/>
      <c r="ISF51" s="24"/>
      <c r="ISG51" s="24"/>
      <c r="ISH51" s="24"/>
      <c r="ISI51" s="24"/>
      <c r="ISJ51" s="24"/>
      <c r="ISK51" s="24"/>
      <c r="ISL51" s="24"/>
      <c r="ISM51" s="24"/>
      <c r="ISN51" s="24"/>
      <c r="ISO51" s="24"/>
      <c r="ISP51" s="24"/>
      <c r="ISQ51" s="24"/>
      <c r="ISR51" s="24"/>
      <c r="ISS51" s="24"/>
      <c r="IST51" s="24"/>
      <c r="ISU51" s="24"/>
      <c r="ISV51" s="24"/>
      <c r="ISW51" s="24"/>
      <c r="ISX51" s="24"/>
      <c r="ISY51" s="24"/>
      <c r="ISZ51" s="24"/>
      <c r="ITA51" s="24"/>
      <c r="ITB51" s="24"/>
      <c r="ITC51" s="24"/>
      <c r="ITD51" s="24"/>
      <c r="ITE51" s="24"/>
      <c r="ITF51" s="24"/>
      <c r="ITG51" s="24"/>
      <c r="ITH51" s="24"/>
      <c r="ITI51" s="24"/>
      <c r="ITJ51" s="24"/>
      <c r="ITK51" s="24"/>
      <c r="ITL51" s="24"/>
      <c r="ITM51" s="24"/>
      <c r="ITN51" s="24"/>
      <c r="ITO51" s="24"/>
      <c r="ITP51" s="24"/>
      <c r="ITQ51" s="24"/>
      <c r="ITR51" s="24"/>
      <c r="ITS51" s="24"/>
      <c r="ITT51" s="24"/>
      <c r="ITU51" s="24"/>
      <c r="ITV51" s="24"/>
      <c r="ITW51" s="24"/>
      <c r="ITX51" s="24"/>
      <c r="ITY51" s="24"/>
      <c r="ITZ51" s="24"/>
      <c r="IUA51" s="24"/>
      <c r="IUB51" s="24"/>
      <c r="IUC51" s="24"/>
      <c r="IUD51" s="24"/>
      <c r="IUE51" s="24"/>
      <c r="IUF51" s="24"/>
      <c r="IUG51" s="24"/>
      <c r="IUH51" s="24"/>
      <c r="IUI51" s="24"/>
      <c r="IUJ51" s="24"/>
      <c r="IUK51" s="24"/>
      <c r="IUL51" s="24"/>
      <c r="IUM51" s="24"/>
      <c r="IUN51" s="24"/>
      <c r="IUO51" s="24"/>
      <c r="IUP51" s="24"/>
      <c r="IUQ51" s="24"/>
      <c r="IUR51" s="24"/>
      <c r="IUS51" s="24"/>
      <c r="IUT51" s="24"/>
      <c r="IUU51" s="24"/>
      <c r="IUV51" s="24"/>
      <c r="IUW51" s="24"/>
      <c r="IUX51" s="24"/>
      <c r="IUY51" s="24"/>
      <c r="IUZ51" s="24"/>
      <c r="IVA51" s="24"/>
      <c r="IVB51" s="24"/>
      <c r="IVC51" s="24"/>
      <c r="IVD51" s="24"/>
      <c r="IVE51" s="24"/>
      <c r="IVF51" s="24"/>
      <c r="IVG51" s="24"/>
      <c r="IVH51" s="24"/>
      <c r="IVI51" s="24"/>
      <c r="IVJ51" s="24"/>
      <c r="IVK51" s="24"/>
      <c r="IVL51" s="24"/>
      <c r="IVM51" s="24"/>
      <c r="IVN51" s="24"/>
      <c r="IVO51" s="24"/>
      <c r="IVP51" s="24"/>
      <c r="IVQ51" s="24"/>
      <c r="IVR51" s="24"/>
      <c r="IVS51" s="24"/>
      <c r="IVT51" s="24"/>
      <c r="IVU51" s="24"/>
      <c r="IVV51" s="24"/>
      <c r="IVW51" s="24"/>
      <c r="IVX51" s="24"/>
      <c r="IVY51" s="24"/>
      <c r="IVZ51" s="24"/>
      <c r="IWA51" s="24"/>
      <c r="IWB51" s="24"/>
      <c r="IWC51" s="24"/>
      <c r="IWD51" s="24"/>
      <c r="IWE51" s="24"/>
      <c r="IWF51" s="24"/>
      <c r="IWG51" s="24"/>
      <c r="IWH51" s="24"/>
      <c r="IWI51" s="24"/>
      <c r="IWJ51" s="24"/>
      <c r="IWK51" s="24"/>
      <c r="IWL51" s="24"/>
      <c r="IWM51" s="24"/>
      <c r="IWN51" s="24"/>
      <c r="IWO51" s="24"/>
      <c r="IWP51" s="24"/>
      <c r="IWQ51" s="24"/>
      <c r="IWR51" s="24"/>
      <c r="IWS51" s="24"/>
      <c r="IWT51" s="24"/>
      <c r="IWU51" s="24"/>
      <c r="IWV51" s="24"/>
      <c r="IWW51" s="24"/>
      <c r="IWX51" s="24"/>
      <c r="IWY51" s="24"/>
      <c r="IWZ51" s="24"/>
      <c r="IXA51" s="24"/>
      <c r="IXB51" s="24"/>
      <c r="IXC51" s="24"/>
      <c r="IXD51" s="24"/>
      <c r="IXE51" s="24"/>
      <c r="IXF51" s="24"/>
      <c r="IXG51" s="24"/>
      <c r="IXH51" s="24"/>
      <c r="IXI51" s="24"/>
      <c r="IXJ51" s="24"/>
      <c r="IXK51" s="24"/>
      <c r="IXL51" s="24"/>
      <c r="IXM51" s="24"/>
      <c r="IXN51" s="24"/>
      <c r="IXO51" s="24"/>
      <c r="IXP51" s="24"/>
      <c r="IXQ51" s="24"/>
      <c r="IXR51" s="24"/>
      <c r="IXS51" s="24"/>
      <c r="IXT51" s="24"/>
      <c r="IXU51" s="24"/>
      <c r="IXV51" s="24"/>
      <c r="IXW51" s="24"/>
      <c r="IXX51" s="24"/>
      <c r="IXY51" s="24"/>
      <c r="IXZ51" s="24"/>
      <c r="IYA51" s="24"/>
      <c r="IYB51" s="24"/>
      <c r="IYC51" s="24"/>
      <c r="IYD51" s="24"/>
      <c r="IYE51" s="24"/>
      <c r="IYF51" s="24"/>
      <c r="IYG51" s="24"/>
      <c r="IYH51" s="24"/>
      <c r="IYI51" s="24"/>
      <c r="IYJ51" s="24"/>
      <c r="IYK51" s="24"/>
      <c r="IYL51" s="24"/>
      <c r="IYM51" s="24"/>
      <c r="IYN51" s="24"/>
      <c r="IYO51" s="24"/>
      <c r="IYP51" s="24"/>
      <c r="IYQ51" s="24"/>
      <c r="IYR51" s="24"/>
      <c r="IYS51" s="24"/>
      <c r="IYT51" s="24"/>
      <c r="IYU51" s="24"/>
      <c r="IYV51" s="24"/>
      <c r="IYW51" s="24"/>
      <c r="IYX51" s="24"/>
      <c r="IYY51" s="24"/>
      <c r="IYZ51" s="24"/>
      <c r="IZA51" s="24"/>
      <c r="IZB51" s="24"/>
      <c r="IZC51" s="24"/>
      <c r="IZD51" s="24"/>
      <c r="IZE51" s="24"/>
      <c r="IZF51" s="24"/>
      <c r="IZG51" s="24"/>
      <c r="IZH51" s="24"/>
      <c r="IZI51" s="24"/>
      <c r="IZJ51" s="24"/>
      <c r="IZK51" s="24"/>
      <c r="IZL51" s="24"/>
      <c r="IZM51" s="24"/>
      <c r="IZN51" s="24"/>
      <c r="IZO51" s="24"/>
      <c r="IZP51" s="24"/>
      <c r="IZQ51" s="24"/>
      <c r="IZR51" s="24"/>
      <c r="IZS51" s="24"/>
      <c r="IZT51" s="24"/>
      <c r="IZU51" s="24"/>
      <c r="IZV51" s="24"/>
      <c r="IZW51" s="24"/>
      <c r="IZX51" s="24"/>
      <c r="IZY51" s="24"/>
      <c r="IZZ51" s="24"/>
      <c r="JAA51" s="24"/>
      <c r="JAB51" s="24"/>
      <c r="JAC51" s="24"/>
      <c r="JAD51" s="24"/>
      <c r="JAE51" s="24"/>
      <c r="JAF51" s="24"/>
      <c r="JAG51" s="24"/>
      <c r="JAH51" s="24"/>
      <c r="JAI51" s="24"/>
      <c r="JAJ51" s="24"/>
      <c r="JAK51" s="24"/>
      <c r="JAL51" s="24"/>
      <c r="JAM51" s="24"/>
      <c r="JAN51" s="24"/>
      <c r="JAO51" s="24"/>
      <c r="JAP51" s="24"/>
      <c r="JAQ51" s="24"/>
      <c r="JAR51" s="24"/>
      <c r="JAS51" s="24"/>
      <c r="JAT51" s="24"/>
      <c r="JAU51" s="24"/>
      <c r="JAV51" s="24"/>
      <c r="JAW51" s="24"/>
      <c r="JAX51" s="24"/>
      <c r="JAY51" s="24"/>
      <c r="JAZ51" s="24"/>
      <c r="JBA51" s="24"/>
      <c r="JBB51" s="24"/>
      <c r="JBC51" s="24"/>
      <c r="JBD51" s="24"/>
      <c r="JBE51" s="24"/>
      <c r="JBF51" s="24"/>
      <c r="JBG51" s="24"/>
      <c r="JBH51" s="24"/>
      <c r="JBI51" s="24"/>
      <c r="JBJ51" s="24"/>
      <c r="JBK51" s="24"/>
      <c r="JBL51" s="24"/>
      <c r="JBM51" s="24"/>
      <c r="JBN51" s="24"/>
      <c r="JBO51" s="24"/>
      <c r="JBP51" s="24"/>
      <c r="JBQ51" s="24"/>
      <c r="JBR51" s="24"/>
      <c r="JBS51" s="24"/>
      <c r="JBT51" s="24"/>
      <c r="JBU51" s="24"/>
      <c r="JBV51" s="24"/>
      <c r="JBW51" s="24"/>
      <c r="JBX51" s="24"/>
      <c r="JBY51" s="24"/>
      <c r="JBZ51" s="24"/>
      <c r="JCA51" s="24"/>
      <c r="JCB51" s="24"/>
      <c r="JCC51" s="24"/>
      <c r="JCD51" s="24"/>
      <c r="JCE51" s="24"/>
      <c r="JCF51" s="24"/>
      <c r="JCG51" s="24"/>
      <c r="JCH51" s="24"/>
      <c r="JCI51" s="24"/>
      <c r="JCJ51" s="24"/>
      <c r="JCK51" s="24"/>
      <c r="JCL51" s="24"/>
      <c r="JCM51" s="24"/>
      <c r="JCN51" s="24"/>
      <c r="JCO51" s="24"/>
      <c r="JCP51" s="24"/>
      <c r="JCQ51" s="24"/>
      <c r="JCR51" s="24"/>
      <c r="JCS51" s="24"/>
      <c r="JCT51" s="24"/>
      <c r="JCU51" s="24"/>
      <c r="JCV51" s="24"/>
      <c r="JCW51" s="24"/>
      <c r="JCX51" s="24"/>
      <c r="JCY51" s="24"/>
      <c r="JCZ51" s="24"/>
      <c r="JDA51" s="24"/>
      <c r="JDB51" s="24"/>
      <c r="JDC51" s="24"/>
      <c r="JDD51" s="24"/>
      <c r="JDE51" s="24"/>
      <c r="JDF51" s="24"/>
      <c r="JDG51" s="24"/>
      <c r="JDH51" s="24"/>
      <c r="JDI51" s="24"/>
      <c r="JDJ51" s="24"/>
      <c r="JDK51" s="24"/>
      <c r="JDL51" s="24"/>
      <c r="JDM51" s="24"/>
      <c r="JDN51" s="24"/>
      <c r="JDO51" s="24"/>
      <c r="JDP51" s="24"/>
      <c r="JDQ51" s="24"/>
      <c r="JDR51" s="24"/>
      <c r="JDS51" s="24"/>
      <c r="JDT51" s="24"/>
      <c r="JDU51" s="24"/>
      <c r="JDV51" s="24"/>
      <c r="JDW51" s="24"/>
      <c r="JDX51" s="24"/>
      <c r="JDY51" s="24"/>
      <c r="JDZ51" s="24"/>
      <c r="JEA51" s="24"/>
      <c r="JEB51" s="24"/>
      <c r="JEC51" s="24"/>
      <c r="JED51" s="24"/>
      <c r="JEE51" s="24"/>
      <c r="JEF51" s="24"/>
      <c r="JEG51" s="24"/>
      <c r="JEH51" s="24"/>
      <c r="JEI51" s="24"/>
      <c r="JEJ51" s="24"/>
      <c r="JEK51" s="24"/>
      <c r="JEL51" s="24"/>
      <c r="JEM51" s="24"/>
      <c r="JEN51" s="24"/>
      <c r="JEO51" s="24"/>
      <c r="JEP51" s="24"/>
      <c r="JEQ51" s="24"/>
      <c r="JER51" s="24"/>
      <c r="JES51" s="24"/>
      <c r="JET51" s="24"/>
      <c r="JEU51" s="24"/>
      <c r="JEV51" s="24"/>
      <c r="JEW51" s="24"/>
      <c r="JEX51" s="24"/>
      <c r="JEY51" s="24"/>
      <c r="JEZ51" s="24"/>
      <c r="JFA51" s="24"/>
      <c r="JFB51" s="24"/>
      <c r="JFC51" s="24"/>
      <c r="JFD51" s="24"/>
      <c r="JFE51" s="24"/>
      <c r="JFF51" s="24"/>
      <c r="JFG51" s="24"/>
      <c r="JFH51" s="24"/>
      <c r="JFI51" s="24"/>
      <c r="JFJ51" s="24"/>
      <c r="JFK51" s="24"/>
      <c r="JFL51" s="24"/>
      <c r="JFM51" s="24"/>
      <c r="JFN51" s="24"/>
      <c r="JFO51" s="24"/>
      <c r="JFP51" s="24"/>
      <c r="JFQ51" s="24"/>
      <c r="JFR51" s="24"/>
      <c r="JFS51" s="24"/>
      <c r="JFT51" s="24"/>
      <c r="JFU51" s="24"/>
      <c r="JFV51" s="24"/>
      <c r="JFW51" s="24"/>
      <c r="JFX51" s="24"/>
      <c r="JFY51" s="24"/>
      <c r="JFZ51" s="24"/>
      <c r="JGA51" s="24"/>
      <c r="JGB51" s="24"/>
      <c r="JGC51" s="24"/>
      <c r="JGD51" s="24"/>
      <c r="JGE51" s="24"/>
      <c r="JGF51" s="24"/>
      <c r="JGG51" s="24"/>
      <c r="JGH51" s="24"/>
      <c r="JGI51" s="24"/>
      <c r="JGJ51" s="24"/>
      <c r="JGK51" s="24"/>
      <c r="JGL51" s="24"/>
      <c r="JGM51" s="24"/>
      <c r="JGN51" s="24"/>
      <c r="JGO51" s="24"/>
      <c r="JGP51" s="24"/>
      <c r="JGQ51" s="24"/>
      <c r="JGR51" s="24"/>
      <c r="JGS51" s="24"/>
      <c r="JGT51" s="24"/>
      <c r="JGU51" s="24"/>
      <c r="JGV51" s="24"/>
      <c r="JGW51" s="24"/>
      <c r="JGX51" s="24"/>
      <c r="JGY51" s="24"/>
      <c r="JGZ51" s="24"/>
      <c r="JHA51" s="24"/>
      <c r="JHB51" s="24"/>
      <c r="JHC51" s="24"/>
      <c r="JHD51" s="24"/>
      <c r="JHE51" s="24"/>
      <c r="JHF51" s="24"/>
      <c r="JHG51" s="24"/>
      <c r="JHH51" s="24"/>
      <c r="JHI51" s="24"/>
      <c r="JHJ51" s="24"/>
      <c r="JHK51" s="24"/>
      <c r="JHL51" s="24"/>
      <c r="JHM51" s="24"/>
      <c r="JHN51" s="24"/>
      <c r="JHO51" s="24"/>
      <c r="JHP51" s="24"/>
      <c r="JHQ51" s="24"/>
      <c r="JHR51" s="24"/>
      <c r="JHS51" s="24"/>
      <c r="JHT51" s="24"/>
      <c r="JHU51" s="24"/>
      <c r="JHV51" s="24"/>
      <c r="JHW51" s="24"/>
      <c r="JHX51" s="24"/>
      <c r="JHY51" s="24"/>
      <c r="JHZ51" s="24"/>
      <c r="JIA51" s="24"/>
      <c r="JIB51" s="24"/>
      <c r="JIC51" s="24"/>
      <c r="JID51" s="24"/>
      <c r="JIE51" s="24"/>
      <c r="JIF51" s="24"/>
      <c r="JIG51" s="24"/>
      <c r="JIH51" s="24"/>
      <c r="JII51" s="24"/>
      <c r="JIJ51" s="24"/>
      <c r="JIK51" s="24"/>
      <c r="JIL51" s="24"/>
      <c r="JIM51" s="24"/>
      <c r="JIN51" s="24"/>
      <c r="JIO51" s="24"/>
      <c r="JIP51" s="24"/>
      <c r="JIQ51" s="24"/>
      <c r="JIR51" s="24"/>
      <c r="JIS51" s="24"/>
      <c r="JIT51" s="24"/>
      <c r="JIU51" s="24"/>
      <c r="JIV51" s="24"/>
      <c r="JIW51" s="24"/>
      <c r="JIX51" s="24"/>
      <c r="JIY51" s="24"/>
      <c r="JIZ51" s="24"/>
      <c r="JJA51" s="24"/>
      <c r="JJB51" s="24"/>
      <c r="JJC51" s="24"/>
      <c r="JJD51" s="24"/>
      <c r="JJE51" s="24"/>
      <c r="JJF51" s="24"/>
      <c r="JJG51" s="24"/>
      <c r="JJH51" s="24"/>
      <c r="JJI51" s="24"/>
      <c r="JJJ51" s="24"/>
      <c r="JJK51" s="24"/>
      <c r="JJL51" s="24"/>
      <c r="JJM51" s="24"/>
      <c r="JJN51" s="24"/>
      <c r="JJO51" s="24"/>
      <c r="JJP51" s="24"/>
      <c r="JJQ51" s="24"/>
      <c r="JJR51" s="24"/>
      <c r="JJS51" s="24"/>
      <c r="JJT51" s="24"/>
      <c r="JJU51" s="24"/>
      <c r="JJV51" s="24"/>
      <c r="JJW51" s="24"/>
      <c r="JJX51" s="24"/>
      <c r="JJY51" s="24"/>
      <c r="JJZ51" s="24"/>
      <c r="JKA51" s="24"/>
      <c r="JKB51" s="24"/>
      <c r="JKC51" s="24"/>
      <c r="JKD51" s="24"/>
      <c r="JKE51" s="24"/>
      <c r="JKF51" s="24"/>
      <c r="JKG51" s="24"/>
      <c r="JKH51" s="24"/>
      <c r="JKI51" s="24"/>
      <c r="JKJ51" s="24"/>
      <c r="JKK51" s="24"/>
      <c r="JKL51" s="24"/>
      <c r="JKM51" s="24"/>
      <c r="JKN51" s="24"/>
      <c r="JKO51" s="24"/>
      <c r="JKP51" s="24"/>
      <c r="JKQ51" s="24"/>
      <c r="JKR51" s="24"/>
      <c r="JKS51" s="24"/>
      <c r="JKT51" s="24"/>
      <c r="JKU51" s="24"/>
      <c r="JKV51" s="24"/>
      <c r="JKW51" s="24"/>
      <c r="JKX51" s="24"/>
      <c r="JKY51" s="24"/>
      <c r="JKZ51" s="24"/>
      <c r="JLA51" s="24"/>
      <c r="JLB51" s="24"/>
      <c r="JLC51" s="24"/>
      <c r="JLD51" s="24"/>
      <c r="JLE51" s="24"/>
      <c r="JLF51" s="24"/>
      <c r="JLG51" s="24"/>
      <c r="JLH51" s="24"/>
      <c r="JLI51" s="24"/>
      <c r="JLJ51" s="24"/>
      <c r="JLK51" s="24"/>
      <c r="JLL51" s="24"/>
      <c r="JLM51" s="24"/>
      <c r="JLN51" s="24"/>
      <c r="JLO51" s="24"/>
      <c r="JLP51" s="24"/>
      <c r="JLQ51" s="24"/>
      <c r="JLR51" s="24"/>
      <c r="JLS51" s="24"/>
      <c r="JLT51" s="24"/>
      <c r="JLU51" s="24"/>
      <c r="JLV51" s="24"/>
      <c r="JLW51" s="24"/>
      <c r="JLX51" s="24"/>
      <c r="JLY51" s="24"/>
      <c r="JLZ51" s="24"/>
      <c r="JMA51" s="24"/>
      <c r="JMB51" s="24"/>
      <c r="JMC51" s="24"/>
      <c r="JMD51" s="24"/>
      <c r="JME51" s="24"/>
      <c r="JMF51" s="24"/>
      <c r="JMG51" s="24"/>
      <c r="JMH51" s="24"/>
      <c r="JMI51" s="24"/>
      <c r="JMJ51" s="24"/>
      <c r="JMK51" s="24"/>
      <c r="JML51" s="24"/>
      <c r="JMM51" s="24"/>
      <c r="JMN51" s="24"/>
      <c r="JMO51" s="24"/>
      <c r="JMP51" s="24"/>
      <c r="JMQ51" s="24"/>
      <c r="JMR51" s="24"/>
      <c r="JMS51" s="24"/>
      <c r="JMT51" s="24"/>
      <c r="JMU51" s="24"/>
      <c r="JMV51" s="24"/>
      <c r="JMW51" s="24"/>
      <c r="JMX51" s="24"/>
      <c r="JMY51" s="24"/>
      <c r="JMZ51" s="24"/>
      <c r="JNA51" s="24"/>
      <c r="JNB51" s="24"/>
      <c r="JNC51" s="24"/>
      <c r="JND51" s="24"/>
      <c r="JNE51" s="24"/>
      <c r="JNF51" s="24"/>
      <c r="JNG51" s="24"/>
      <c r="JNH51" s="24"/>
      <c r="JNI51" s="24"/>
      <c r="JNJ51" s="24"/>
      <c r="JNK51" s="24"/>
      <c r="JNL51" s="24"/>
      <c r="JNM51" s="24"/>
      <c r="JNN51" s="24"/>
      <c r="JNO51" s="24"/>
      <c r="JNP51" s="24"/>
      <c r="JNQ51" s="24"/>
      <c r="JNR51" s="24"/>
      <c r="JNS51" s="24"/>
      <c r="JNT51" s="24"/>
      <c r="JNU51" s="24"/>
      <c r="JNV51" s="24"/>
      <c r="JNW51" s="24"/>
      <c r="JNX51" s="24"/>
      <c r="JNY51" s="24"/>
      <c r="JNZ51" s="24"/>
      <c r="JOA51" s="24"/>
      <c r="JOB51" s="24"/>
      <c r="JOC51" s="24"/>
      <c r="JOD51" s="24"/>
      <c r="JOE51" s="24"/>
      <c r="JOF51" s="24"/>
      <c r="JOG51" s="24"/>
      <c r="JOH51" s="24"/>
      <c r="JOI51" s="24"/>
      <c r="JOJ51" s="24"/>
      <c r="JOK51" s="24"/>
      <c r="JOL51" s="24"/>
      <c r="JOM51" s="24"/>
      <c r="JON51" s="24"/>
      <c r="JOO51" s="24"/>
      <c r="JOP51" s="24"/>
      <c r="JOQ51" s="24"/>
      <c r="JOR51" s="24"/>
      <c r="JOS51" s="24"/>
      <c r="JOT51" s="24"/>
      <c r="JOU51" s="24"/>
      <c r="JOV51" s="24"/>
      <c r="JOW51" s="24"/>
      <c r="JOX51" s="24"/>
      <c r="JOY51" s="24"/>
      <c r="JOZ51" s="24"/>
      <c r="JPA51" s="24"/>
      <c r="JPB51" s="24"/>
      <c r="JPC51" s="24"/>
      <c r="JPD51" s="24"/>
      <c r="JPE51" s="24"/>
      <c r="JPF51" s="24"/>
      <c r="JPG51" s="24"/>
      <c r="JPH51" s="24"/>
      <c r="JPI51" s="24"/>
      <c r="JPJ51" s="24"/>
      <c r="JPK51" s="24"/>
      <c r="JPL51" s="24"/>
      <c r="JPM51" s="24"/>
      <c r="JPN51" s="24"/>
      <c r="JPO51" s="24"/>
      <c r="JPP51" s="24"/>
      <c r="JPQ51" s="24"/>
      <c r="JPR51" s="24"/>
      <c r="JPS51" s="24"/>
      <c r="JPT51" s="24"/>
      <c r="JPU51" s="24"/>
      <c r="JPV51" s="24"/>
      <c r="JPW51" s="24"/>
      <c r="JPX51" s="24"/>
      <c r="JPY51" s="24"/>
      <c r="JPZ51" s="24"/>
      <c r="JQA51" s="24"/>
      <c r="JQB51" s="24"/>
      <c r="JQC51" s="24"/>
      <c r="JQD51" s="24"/>
      <c r="JQE51" s="24"/>
      <c r="JQF51" s="24"/>
      <c r="JQG51" s="24"/>
      <c r="JQH51" s="24"/>
      <c r="JQI51" s="24"/>
      <c r="JQJ51" s="24"/>
      <c r="JQK51" s="24"/>
      <c r="JQL51" s="24"/>
      <c r="JQM51" s="24"/>
      <c r="JQN51" s="24"/>
      <c r="JQO51" s="24"/>
      <c r="JQP51" s="24"/>
      <c r="JQQ51" s="24"/>
      <c r="JQR51" s="24"/>
      <c r="JQS51" s="24"/>
      <c r="JQT51" s="24"/>
      <c r="JQU51" s="24"/>
      <c r="JQV51" s="24"/>
      <c r="JQW51" s="24"/>
      <c r="JQX51" s="24"/>
      <c r="JQY51" s="24"/>
      <c r="JQZ51" s="24"/>
      <c r="JRA51" s="24"/>
      <c r="JRB51" s="24"/>
      <c r="JRC51" s="24"/>
      <c r="JRD51" s="24"/>
      <c r="JRE51" s="24"/>
      <c r="JRF51" s="24"/>
      <c r="JRG51" s="24"/>
      <c r="JRH51" s="24"/>
      <c r="JRI51" s="24"/>
      <c r="JRJ51" s="24"/>
      <c r="JRK51" s="24"/>
      <c r="JRL51" s="24"/>
      <c r="JRM51" s="24"/>
      <c r="JRN51" s="24"/>
      <c r="JRO51" s="24"/>
      <c r="JRP51" s="24"/>
      <c r="JRQ51" s="24"/>
      <c r="JRR51" s="24"/>
      <c r="JRS51" s="24"/>
      <c r="JRT51" s="24"/>
      <c r="JRU51" s="24"/>
      <c r="JRV51" s="24"/>
      <c r="JRW51" s="24"/>
      <c r="JRX51" s="24"/>
      <c r="JRY51" s="24"/>
      <c r="JRZ51" s="24"/>
      <c r="JSA51" s="24"/>
      <c r="JSB51" s="24"/>
      <c r="JSC51" s="24"/>
      <c r="JSD51" s="24"/>
      <c r="JSE51" s="24"/>
      <c r="JSF51" s="24"/>
      <c r="JSG51" s="24"/>
      <c r="JSH51" s="24"/>
      <c r="JSI51" s="24"/>
      <c r="JSJ51" s="24"/>
      <c r="JSK51" s="24"/>
      <c r="JSL51" s="24"/>
      <c r="JSM51" s="24"/>
      <c r="JSN51" s="24"/>
      <c r="JSO51" s="24"/>
      <c r="JSP51" s="24"/>
      <c r="JSQ51" s="24"/>
      <c r="JSR51" s="24"/>
      <c r="JSS51" s="24"/>
      <c r="JST51" s="24"/>
      <c r="JSU51" s="24"/>
      <c r="JSV51" s="24"/>
      <c r="JSW51" s="24"/>
      <c r="JSX51" s="24"/>
      <c r="JSY51" s="24"/>
      <c r="JSZ51" s="24"/>
      <c r="JTA51" s="24"/>
      <c r="JTB51" s="24"/>
      <c r="JTC51" s="24"/>
      <c r="JTD51" s="24"/>
      <c r="JTE51" s="24"/>
      <c r="JTF51" s="24"/>
      <c r="JTG51" s="24"/>
      <c r="JTH51" s="24"/>
      <c r="JTI51" s="24"/>
      <c r="JTJ51" s="24"/>
      <c r="JTK51" s="24"/>
      <c r="JTL51" s="24"/>
      <c r="JTM51" s="24"/>
      <c r="JTN51" s="24"/>
      <c r="JTO51" s="24"/>
      <c r="JTP51" s="24"/>
      <c r="JTQ51" s="24"/>
      <c r="JTR51" s="24"/>
      <c r="JTS51" s="24"/>
      <c r="JTT51" s="24"/>
      <c r="JTU51" s="24"/>
      <c r="JTV51" s="24"/>
      <c r="JTW51" s="24"/>
      <c r="JTX51" s="24"/>
      <c r="JTY51" s="24"/>
      <c r="JTZ51" s="24"/>
      <c r="JUA51" s="24"/>
      <c r="JUB51" s="24"/>
      <c r="JUC51" s="24"/>
      <c r="JUD51" s="24"/>
      <c r="JUE51" s="24"/>
      <c r="JUF51" s="24"/>
      <c r="JUG51" s="24"/>
      <c r="JUH51" s="24"/>
      <c r="JUI51" s="24"/>
      <c r="JUJ51" s="24"/>
      <c r="JUK51" s="24"/>
      <c r="JUL51" s="24"/>
      <c r="JUM51" s="24"/>
      <c r="JUN51" s="24"/>
      <c r="JUO51" s="24"/>
      <c r="JUP51" s="24"/>
      <c r="JUQ51" s="24"/>
      <c r="JUR51" s="24"/>
      <c r="JUS51" s="24"/>
      <c r="JUT51" s="24"/>
      <c r="JUU51" s="24"/>
      <c r="JUV51" s="24"/>
      <c r="JUW51" s="24"/>
      <c r="JUX51" s="24"/>
      <c r="JUY51" s="24"/>
      <c r="JUZ51" s="24"/>
      <c r="JVA51" s="24"/>
      <c r="JVB51" s="24"/>
      <c r="JVC51" s="24"/>
      <c r="JVD51" s="24"/>
      <c r="JVE51" s="24"/>
      <c r="JVF51" s="24"/>
      <c r="JVG51" s="24"/>
      <c r="JVH51" s="24"/>
      <c r="JVI51" s="24"/>
      <c r="JVJ51" s="24"/>
      <c r="JVK51" s="24"/>
      <c r="JVL51" s="24"/>
      <c r="JVM51" s="24"/>
      <c r="JVN51" s="24"/>
      <c r="JVO51" s="24"/>
      <c r="JVP51" s="24"/>
      <c r="JVQ51" s="24"/>
      <c r="JVR51" s="24"/>
      <c r="JVS51" s="24"/>
      <c r="JVT51" s="24"/>
      <c r="JVU51" s="24"/>
      <c r="JVV51" s="24"/>
      <c r="JVW51" s="24"/>
      <c r="JVX51" s="24"/>
      <c r="JVY51" s="24"/>
      <c r="JVZ51" s="24"/>
      <c r="JWA51" s="24"/>
      <c r="JWB51" s="24"/>
      <c r="JWC51" s="24"/>
      <c r="JWD51" s="24"/>
      <c r="JWE51" s="24"/>
      <c r="JWF51" s="24"/>
      <c r="JWG51" s="24"/>
      <c r="JWH51" s="24"/>
      <c r="JWI51" s="24"/>
      <c r="JWJ51" s="24"/>
      <c r="JWK51" s="24"/>
      <c r="JWL51" s="24"/>
      <c r="JWM51" s="24"/>
      <c r="JWN51" s="24"/>
      <c r="JWO51" s="24"/>
      <c r="JWP51" s="24"/>
      <c r="JWQ51" s="24"/>
      <c r="JWR51" s="24"/>
      <c r="JWS51" s="24"/>
      <c r="JWT51" s="24"/>
      <c r="JWU51" s="24"/>
      <c r="JWV51" s="24"/>
      <c r="JWW51" s="24"/>
      <c r="JWX51" s="24"/>
      <c r="JWY51" s="24"/>
      <c r="JWZ51" s="24"/>
      <c r="JXA51" s="24"/>
      <c r="JXB51" s="24"/>
      <c r="JXC51" s="24"/>
      <c r="JXD51" s="24"/>
      <c r="JXE51" s="24"/>
      <c r="JXF51" s="24"/>
      <c r="JXG51" s="24"/>
      <c r="JXH51" s="24"/>
      <c r="JXI51" s="24"/>
      <c r="JXJ51" s="24"/>
      <c r="JXK51" s="24"/>
      <c r="JXL51" s="24"/>
      <c r="JXM51" s="24"/>
      <c r="JXN51" s="24"/>
      <c r="JXO51" s="24"/>
      <c r="JXP51" s="24"/>
      <c r="JXQ51" s="24"/>
      <c r="JXR51" s="24"/>
      <c r="JXS51" s="24"/>
      <c r="JXT51" s="24"/>
      <c r="JXU51" s="24"/>
      <c r="JXV51" s="24"/>
      <c r="JXW51" s="24"/>
      <c r="JXX51" s="24"/>
      <c r="JXY51" s="24"/>
      <c r="JXZ51" s="24"/>
      <c r="JYA51" s="24"/>
      <c r="JYB51" s="24"/>
      <c r="JYC51" s="24"/>
      <c r="JYD51" s="24"/>
      <c r="JYE51" s="24"/>
      <c r="JYF51" s="24"/>
      <c r="JYG51" s="24"/>
      <c r="JYH51" s="24"/>
      <c r="JYI51" s="24"/>
      <c r="JYJ51" s="24"/>
      <c r="JYK51" s="24"/>
      <c r="JYL51" s="24"/>
      <c r="JYM51" s="24"/>
      <c r="JYN51" s="24"/>
      <c r="JYO51" s="24"/>
      <c r="JYP51" s="24"/>
      <c r="JYQ51" s="24"/>
      <c r="JYR51" s="24"/>
      <c r="JYS51" s="24"/>
      <c r="JYT51" s="24"/>
      <c r="JYU51" s="24"/>
      <c r="JYV51" s="24"/>
      <c r="JYW51" s="24"/>
      <c r="JYX51" s="24"/>
      <c r="JYY51" s="24"/>
      <c r="JYZ51" s="24"/>
      <c r="JZA51" s="24"/>
      <c r="JZB51" s="24"/>
      <c r="JZC51" s="24"/>
      <c r="JZD51" s="24"/>
      <c r="JZE51" s="24"/>
      <c r="JZF51" s="24"/>
      <c r="JZG51" s="24"/>
      <c r="JZH51" s="24"/>
      <c r="JZI51" s="24"/>
      <c r="JZJ51" s="24"/>
      <c r="JZK51" s="24"/>
      <c r="JZL51" s="24"/>
      <c r="JZM51" s="24"/>
      <c r="JZN51" s="24"/>
      <c r="JZO51" s="24"/>
      <c r="JZP51" s="24"/>
      <c r="JZQ51" s="24"/>
      <c r="JZR51" s="24"/>
      <c r="JZS51" s="24"/>
      <c r="JZT51" s="24"/>
      <c r="JZU51" s="24"/>
      <c r="JZV51" s="24"/>
      <c r="JZW51" s="24"/>
      <c r="JZX51" s="24"/>
      <c r="JZY51" s="24"/>
      <c r="JZZ51" s="24"/>
      <c r="KAA51" s="24"/>
      <c r="KAB51" s="24"/>
      <c r="KAC51" s="24"/>
      <c r="KAD51" s="24"/>
      <c r="KAE51" s="24"/>
      <c r="KAF51" s="24"/>
      <c r="KAG51" s="24"/>
      <c r="KAH51" s="24"/>
      <c r="KAI51" s="24"/>
      <c r="KAJ51" s="24"/>
      <c r="KAK51" s="24"/>
      <c r="KAL51" s="24"/>
      <c r="KAM51" s="24"/>
      <c r="KAN51" s="24"/>
      <c r="KAO51" s="24"/>
      <c r="KAP51" s="24"/>
      <c r="KAQ51" s="24"/>
      <c r="KAR51" s="24"/>
      <c r="KAS51" s="24"/>
      <c r="KAT51" s="24"/>
      <c r="KAU51" s="24"/>
      <c r="KAV51" s="24"/>
      <c r="KAW51" s="24"/>
      <c r="KAX51" s="24"/>
      <c r="KAY51" s="24"/>
      <c r="KAZ51" s="24"/>
      <c r="KBA51" s="24"/>
      <c r="KBB51" s="24"/>
      <c r="KBC51" s="24"/>
      <c r="KBD51" s="24"/>
      <c r="KBE51" s="24"/>
      <c r="KBF51" s="24"/>
      <c r="KBG51" s="24"/>
      <c r="KBH51" s="24"/>
      <c r="KBI51" s="24"/>
      <c r="KBJ51" s="24"/>
      <c r="KBK51" s="24"/>
      <c r="KBL51" s="24"/>
      <c r="KBM51" s="24"/>
      <c r="KBN51" s="24"/>
      <c r="KBO51" s="24"/>
      <c r="KBP51" s="24"/>
      <c r="KBQ51" s="24"/>
      <c r="KBR51" s="24"/>
      <c r="KBS51" s="24"/>
      <c r="KBT51" s="24"/>
      <c r="KBU51" s="24"/>
      <c r="KBV51" s="24"/>
      <c r="KBW51" s="24"/>
      <c r="KBX51" s="24"/>
      <c r="KBY51" s="24"/>
      <c r="KBZ51" s="24"/>
      <c r="KCA51" s="24"/>
      <c r="KCB51" s="24"/>
      <c r="KCC51" s="24"/>
      <c r="KCD51" s="24"/>
      <c r="KCE51" s="24"/>
      <c r="KCF51" s="24"/>
      <c r="KCG51" s="24"/>
      <c r="KCH51" s="24"/>
      <c r="KCI51" s="24"/>
      <c r="KCJ51" s="24"/>
      <c r="KCK51" s="24"/>
      <c r="KCL51" s="24"/>
      <c r="KCM51" s="24"/>
      <c r="KCN51" s="24"/>
      <c r="KCO51" s="24"/>
      <c r="KCP51" s="24"/>
      <c r="KCQ51" s="24"/>
      <c r="KCR51" s="24"/>
      <c r="KCS51" s="24"/>
      <c r="KCT51" s="24"/>
      <c r="KCU51" s="24"/>
      <c r="KCV51" s="24"/>
      <c r="KCW51" s="24"/>
      <c r="KCX51" s="24"/>
      <c r="KCY51" s="24"/>
      <c r="KCZ51" s="24"/>
      <c r="KDA51" s="24"/>
      <c r="KDB51" s="24"/>
      <c r="KDC51" s="24"/>
      <c r="KDD51" s="24"/>
      <c r="KDE51" s="24"/>
      <c r="KDF51" s="24"/>
      <c r="KDG51" s="24"/>
      <c r="KDH51" s="24"/>
      <c r="KDI51" s="24"/>
      <c r="KDJ51" s="24"/>
      <c r="KDK51" s="24"/>
      <c r="KDL51" s="24"/>
      <c r="KDM51" s="24"/>
      <c r="KDN51" s="24"/>
      <c r="KDO51" s="24"/>
      <c r="KDP51" s="24"/>
      <c r="KDQ51" s="24"/>
      <c r="KDR51" s="24"/>
      <c r="KDS51" s="24"/>
      <c r="KDT51" s="24"/>
      <c r="KDU51" s="24"/>
      <c r="KDV51" s="24"/>
      <c r="KDW51" s="24"/>
      <c r="KDX51" s="24"/>
      <c r="KDY51" s="24"/>
      <c r="KDZ51" s="24"/>
      <c r="KEA51" s="24"/>
      <c r="KEB51" s="24"/>
      <c r="KEC51" s="24"/>
      <c r="KED51" s="24"/>
      <c r="KEE51" s="24"/>
      <c r="KEF51" s="24"/>
      <c r="KEG51" s="24"/>
      <c r="KEH51" s="24"/>
      <c r="KEI51" s="24"/>
      <c r="KEJ51" s="24"/>
      <c r="KEK51" s="24"/>
      <c r="KEL51" s="24"/>
      <c r="KEM51" s="24"/>
      <c r="KEN51" s="24"/>
      <c r="KEO51" s="24"/>
      <c r="KEP51" s="24"/>
      <c r="KEQ51" s="24"/>
      <c r="KER51" s="24"/>
      <c r="KES51" s="24"/>
      <c r="KET51" s="24"/>
      <c r="KEU51" s="24"/>
      <c r="KEV51" s="24"/>
      <c r="KEW51" s="24"/>
      <c r="KEX51" s="24"/>
      <c r="KEY51" s="24"/>
      <c r="KEZ51" s="24"/>
      <c r="KFA51" s="24"/>
      <c r="KFB51" s="24"/>
      <c r="KFC51" s="24"/>
      <c r="KFD51" s="24"/>
      <c r="KFE51" s="24"/>
      <c r="KFF51" s="24"/>
      <c r="KFG51" s="24"/>
      <c r="KFH51" s="24"/>
      <c r="KFI51" s="24"/>
      <c r="KFJ51" s="24"/>
      <c r="KFK51" s="24"/>
      <c r="KFL51" s="24"/>
      <c r="KFM51" s="24"/>
      <c r="KFN51" s="24"/>
      <c r="KFO51" s="24"/>
      <c r="KFP51" s="24"/>
      <c r="KFQ51" s="24"/>
      <c r="KFR51" s="24"/>
      <c r="KFS51" s="24"/>
      <c r="KFT51" s="24"/>
      <c r="KFU51" s="24"/>
      <c r="KFV51" s="24"/>
      <c r="KFW51" s="24"/>
      <c r="KFX51" s="24"/>
      <c r="KFY51" s="24"/>
      <c r="KFZ51" s="24"/>
      <c r="KGA51" s="24"/>
      <c r="KGB51" s="24"/>
      <c r="KGC51" s="24"/>
      <c r="KGD51" s="24"/>
      <c r="KGE51" s="24"/>
      <c r="KGF51" s="24"/>
      <c r="KGG51" s="24"/>
      <c r="KGH51" s="24"/>
      <c r="KGI51" s="24"/>
      <c r="KGJ51" s="24"/>
      <c r="KGK51" s="24"/>
      <c r="KGL51" s="24"/>
      <c r="KGM51" s="24"/>
      <c r="KGN51" s="24"/>
      <c r="KGO51" s="24"/>
      <c r="KGP51" s="24"/>
      <c r="KGQ51" s="24"/>
      <c r="KGR51" s="24"/>
      <c r="KGS51" s="24"/>
      <c r="KGT51" s="24"/>
      <c r="KGU51" s="24"/>
      <c r="KGV51" s="24"/>
      <c r="KGW51" s="24"/>
      <c r="KGX51" s="24"/>
      <c r="KGY51" s="24"/>
      <c r="KGZ51" s="24"/>
      <c r="KHA51" s="24"/>
      <c r="KHB51" s="24"/>
      <c r="KHC51" s="24"/>
      <c r="KHD51" s="24"/>
      <c r="KHE51" s="24"/>
      <c r="KHF51" s="24"/>
      <c r="KHG51" s="24"/>
      <c r="KHH51" s="24"/>
      <c r="KHI51" s="24"/>
      <c r="KHJ51" s="24"/>
      <c r="KHK51" s="24"/>
      <c r="KHL51" s="24"/>
      <c r="KHM51" s="24"/>
      <c r="KHN51" s="24"/>
      <c r="KHO51" s="24"/>
      <c r="KHP51" s="24"/>
      <c r="KHQ51" s="24"/>
      <c r="KHR51" s="24"/>
      <c r="KHS51" s="24"/>
      <c r="KHT51" s="24"/>
      <c r="KHU51" s="24"/>
      <c r="KHV51" s="24"/>
      <c r="KHW51" s="24"/>
      <c r="KHX51" s="24"/>
      <c r="KHY51" s="24"/>
      <c r="KHZ51" s="24"/>
      <c r="KIA51" s="24"/>
      <c r="KIB51" s="24"/>
      <c r="KIC51" s="24"/>
      <c r="KID51" s="24"/>
      <c r="KIE51" s="24"/>
      <c r="KIF51" s="24"/>
      <c r="KIG51" s="24"/>
      <c r="KIH51" s="24"/>
      <c r="KII51" s="24"/>
      <c r="KIJ51" s="24"/>
      <c r="KIK51" s="24"/>
      <c r="KIL51" s="24"/>
      <c r="KIM51" s="24"/>
      <c r="KIN51" s="24"/>
      <c r="KIO51" s="24"/>
      <c r="KIP51" s="24"/>
      <c r="KIQ51" s="24"/>
      <c r="KIR51" s="24"/>
      <c r="KIS51" s="24"/>
      <c r="KIT51" s="24"/>
      <c r="KIU51" s="24"/>
      <c r="KIV51" s="24"/>
      <c r="KIW51" s="24"/>
      <c r="KIX51" s="24"/>
      <c r="KIY51" s="24"/>
      <c r="KIZ51" s="24"/>
      <c r="KJA51" s="24"/>
      <c r="KJB51" s="24"/>
      <c r="KJC51" s="24"/>
      <c r="KJD51" s="24"/>
      <c r="KJE51" s="24"/>
      <c r="KJF51" s="24"/>
      <c r="KJG51" s="24"/>
      <c r="KJH51" s="24"/>
      <c r="KJI51" s="24"/>
      <c r="KJJ51" s="24"/>
      <c r="KJK51" s="24"/>
      <c r="KJL51" s="24"/>
      <c r="KJM51" s="24"/>
      <c r="KJN51" s="24"/>
      <c r="KJO51" s="24"/>
      <c r="KJP51" s="24"/>
      <c r="KJQ51" s="24"/>
      <c r="KJR51" s="24"/>
      <c r="KJS51" s="24"/>
      <c r="KJT51" s="24"/>
      <c r="KJU51" s="24"/>
      <c r="KJV51" s="24"/>
      <c r="KJW51" s="24"/>
      <c r="KJX51" s="24"/>
      <c r="KJY51" s="24"/>
      <c r="KJZ51" s="24"/>
      <c r="KKA51" s="24"/>
      <c r="KKB51" s="24"/>
      <c r="KKC51" s="24"/>
      <c r="KKD51" s="24"/>
      <c r="KKE51" s="24"/>
      <c r="KKF51" s="24"/>
      <c r="KKG51" s="24"/>
      <c r="KKH51" s="24"/>
      <c r="KKI51" s="24"/>
      <c r="KKJ51" s="24"/>
      <c r="KKK51" s="24"/>
      <c r="KKL51" s="24"/>
      <c r="KKM51" s="24"/>
      <c r="KKN51" s="24"/>
      <c r="KKO51" s="24"/>
      <c r="KKP51" s="24"/>
      <c r="KKQ51" s="24"/>
      <c r="KKR51" s="24"/>
      <c r="KKS51" s="24"/>
      <c r="KKT51" s="24"/>
      <c r="KKU51" s="24"/>
      <c r="KKV51" s="24"/>
      <c r="KKW51" s="24"/>
      <c r="KKX51" s="24"/>
      <c r="KKY51" s="24"/>
      <c r="KKZ51" s="24"/>
      <c r="KLA51" s="24"/>
      <c r="KLB51" s="24"/>
      <c r="KLC51" s="24"/>
      <c r="KLD51" s="24"/>
      <c r="KLE51" s="24"/>
      <c r="KLF51" s="24"/>
      <c r="KLG51" s="24"/>
      <c r="KLH51" s="24"/>
      <c r="KLI51" s="24"/>
      <c r="KLJ51" s="24"/>
      <c r="KLK51" s="24"/>
      <c r="KLL51" s="24"/>
      <c r="KLM51" s="24"/>
      <c r="KLN51" s="24"/>
      <c r="KLO51" s="24"/>
      <c r="KLP51" s="24"/>
      <c r="KLQ51" s="24"/>
      <c r="KLR51" s="24"/>
      <c r="KLS51" s="24"/>
      <c r="KLT51" s="24"/>
      <c r="KLU51" s="24"/>
      <c r="KLV51" s="24"/>
      <c r="KLW51" s="24"/>
      <c r="KLX51" s="24"/>
      <c r="KLY51" s="24"/>
      <c r="KLZ51" s="24"/>
      <c r="KMA51" s="24"/>
      <c r="KMB51" s="24"/>
      <c r="KMC51" s="24"/>
      <c r="KMD51" s="24"/>
      <c r="KME51" s="24"/>
      <c r="KMF51" s="24"/>
      <c r="KMG51" s="24"/>
      <c r="KMH51" s="24"/>
      <c r="KMI51" s="24"/>
      <c r="KMJ51" s="24"/>
      <c r="KMK51" s="24"/>
      <c r="KML51" s="24"/>
      <c r="KMM51" s="24"/>
      <c r="KMN51" s="24"/>
      <c r="KMO51" s="24"/>
      <c r="KMP51" s="24"/>
      <c r="KMQ51" s="24"/>
      <c r="KMR51" s="24"/>
      <c r="KMS51" s="24"/>
      <c r="KMT51" s="24"/>
      <c r="KMU51" s="24"/>
      <c r="KMV51" s="24"/>
      <c r="KMW51" s="24"/>
      <c r="KMX51" s="24"/>
      <c r="KMY51" s="24"/>
      <c r="KMZ51" s="24"/>
      <c r="KNA51" s="24"/>
      <c r="KNB51" s="24"/>
      <c r="KNC51" s="24"/>
      <c r="KND51" s="24"/>
      <c r="KNE51" s="24"/>
      <c r="KNF51" s="24"/>
      <c r="KNG51" s="24"/>
      <c r="KNH51" s="24"/>
      <c r="KNI51" s="24"/>
      <c r="KNJ51" s="24"/>
      <c r="KNK51" s="24"/>
      <c r="KNL51" s="24"/>
      <c r="KNM51" s="24"/>
      <c r="KNN51" s="24"/>
      <c r="KNO51" s="24"/>
      <c r="KNP51" s="24"/>
      <c r="KNQ51" s="24"/>
      <c r="KNR51" s="24"/>
      <c r="KNS51" s="24"/>
      <c r="KNT51" s="24"/>
      <c r="KNU51" s="24"/>
      <c r="KNV51" s="24"/>
      <c r="KNW51" s="24"/>
      <c r="KNX51" s="24"/>
      <c r="KNY51" s="24"/>
      <c r="KNZ51" s="24"/>
      <c r="KOA51" s="24"/>
      <c r="KOB51" s="24"/>
      <c r="KOC51" s="24"/>
      <c r="KOD51" s="24"/>
      <c r="KOE51" s="24"/>
      <c r="KOF51" s="24"/>
      <c r="KOG51" s="24"/>
      <c r="KOH51" s="24"/>
      <c r="KOI51" s="24"/>
      <c r="KOJ51" s="24"/>
      <c r="KOK51" s="24"/>
      <c r="KOL51" s="24"/>
      <c r="KOM51" s="24"/>
      <c r="KON51" s="24"/>
      <c r="KOO51" s="24"/>
      <c r="KOP51" s="24"/>
      <c r="KOQ51" s="24"/>
      <c r="KOR51" s="24"/>
      <c r="KOS51" s="24"/>
      <c r="KOT51" s="24"/>
      <c r="KOU51" s="24"/>
      <c r="KOV51" s="24"/>
      <c r="KOW51" s="24"/>
      <c r="KOX51" s="24"/>
      <c r="KOY51" s="24"/>
      <c r="KOZ51" s="24"/>
      <c r="KPA51" s="24"/>
      <c r="KPB51" s="24"/>
      <c r="KPC51" s="24"/>
      <c r="KPD51" s="24"/>
      <c r="KPE51" s="24"/>
      <c r="KPF51" s="24"/>
      <c r="KPG51" s="24"/>
      <c r="KPH51" s="24"/>
      <c r="KPI51" s="24"/>
      <c r="KPJ51" s="24"/>
      <c r="KPK51" s="24"/>
      <c r="KPL51" s="24"/>
      <c r="KPM51" s="24"/>
      <c r="KPN51" s="24"/>
      <c r="KPO51" s="24"/>
      <c r="KPP51" s="24"/>
      <c r="KPQ51" s="24"/>
      <c r="KPR51" s="24"/>
      <c r="KPS51" s="24"/>
      <c r="KPT51" s="24"/>
      <c r="KPU51" s="24"/>
      <c r="KPV51" s="24"/>
      <c r="KPW51" s="24"/>
      <c r="KPX51" s="24"/>
      <c r="KPY51" s="24"/>
      <c r="KPZ51" s="24"/>
      <c r="KQA51" s="24"/>
      <c r="KQB51" s="24"/>
      <c r="KQC51" s="24"/>
      <c r="KQD51" s="24"/>
      <c r="KQE51" s="24"/>
      <c r="KQF51" s="24"/>
      <c r="KQG51" s="24"/>
      <c r="KQH51" s="24"/>
      <c r="KQI51" s="24"/>
      <c r="KQJ51" s="24"/>
      <c r="KQK51" s="24"/>
      <c r="KQL51" s="24"/>
      <c r="KQM51" s="24"/>
      <c r="KQN51" s="24"/>
      <c r="KQO51" s="24"/>
      <c r="KQP51" s="24"/>
      <c r="KQQ51" s="24"/>
      <c r="KQR51" s="24"/>
      <c r="KQS51" s="24"/>
      <c r="KQT51" s="24"/>
      <c r="KQU51" s="24"/>
      <c r="KQV51" s="24"/>
      <c r="KQW51" s="24"/>
      <c r="KQX51" s="24"/>
      <c r="KQY51" s="24"/>
      <c r="KQZ51" s="24"/>
      <c r="KRA51" s="24"/>
      <c r="KRB51" s="24"/>
      <c r="KRC51" s="24"/>
      <c r="KRD51" s="24"/>
      <c r="KRE51" s="24"/>
      <c r="KRF51" s="24"/>
      <c r="KRG51" s="24"/>
      <c r="KRH51" s="24"/>
      <c r="KRI51" s="24"/>
      <c r="KRJ51" s="24"/>
      <c r="KRK51" s="24"/>
      <c r="KRL51" s="24"/>
      <c r="KRM51" s="24"/>
      <c r="KRN51" s="24"/>
      <c r="KRO51" s="24"/>
      <c r="KRP51" s="24"/>
      <c r="KRQ51" s="24"/>
      <c r="KRR51" s="24"/>
      <c r="KRS51" s="24"/>
      <c r="KRT51" s="24"/>
      <c r="KRU51" s="24"/>
      <c r="KRV51" s="24"/>
      <c r="KRW51" s="24"/>
      <c r="KRX51" s="24"/>
      <c r="KRY51" s="24"/>
      <c r="KRZ51" s="24"/>
      <c r="KSA51" s="24"/>
      <c r="KSB51" s="24"/>
      <c r="KSC51" s="24"/>
      <c r="KSD51" s="24"/>
      <c r="KSE51" s="24"/>
      <c r="KSF51" s="24"/>
      <c r="KSG51" s="24"/>
      <c r="KSH51" s="24"/>
      <c r="KSI51" s="24"/>
      <c r="KSJ51" s="24"/>
      <c r="KSK51" s="24"/>
      <c r="KSL51" s="24"/>
      <c r="KSM51" s="24"/>
      <c r="KSN51" s="24"/>
      <c r="KSO51" s="24"/>
      <c r="KSP51" s="24"/>
      <c r="KSQ51" s="24"/>
      <c r="KSR51" s="24"/>
      <c r="KSS51" s="24"/>
      <c r="KST51" s="24"/>
      <c r="KSU51" s="24"/>
      <c r="KSV51" s="24"/>
      <c r="KSW51" s="24"/>
      <c r="KSX51" s="24"/>
      <c r="KSY51" s="24"/>
      <c r="KSZ51" s="24"/>
      <c r="KTA51" s="24"/>
      <c r="KTB51" s="24"/>
      <c r="KTC51" s="24"/>
      <c r="KTD51" s="24"/>
      <c r="KTE51" s="24"/>
      <c r="KTF51" s="24"/>
      <c r="KTG51" s="24"/>
      <c r="KTH51" s="24"/>
      <c r="KTI51" s="24"/>
      <c r="KTJ51" s="24"/>
      <c r="KTK51" s="24"/>
      <c r="KTL51" s="24"/>
      <c r="KTM51" s="24"/>
      <c r="KTN51" s="24"/>
      <c r="KTO51" s="24"/>
      <c r="KTP51" s="24"/>
      <c r="KTQ51" s="24"/>
      <c r="KTR51" s="24"/>
      <c r="KTS51" s="24"/>
      <c r="KTT51" s="24"/>
      <c r="KTU51" s="24"/>
      <c r="KTV51" s="24"/>
      <c r="KTW51" s="24"/>
      <c r="KTX51" s="24"/>
      <c r="KTY51" s="24"/>
      <c r="KTZ51" s="24"/>
      <c r="KUA51" s="24"/>
      <c r="KUB51" s="24"/>
      <c r="KUC51" s="24"/>
      <c r="KUD51" s="24"/>
      <c r="KUE51" s="24"/>
      <c r="KUF51" s="24"/>
      <c r="KUG51" s="24"/>
      <c r="KUH51" s="24"/>
      <c r="KUI51" s="24"/>
      <c r="KUJ51" s="24"/>
      <c r="KUK51" s="24"/>
      <c r="KUL51" s="24"/>
      <c r="KUM51" s="24"/>
      <c r="KUN51" s="24"/>
      <c r="KUO51" s="24"/>
      <c r="KUP51" s="24"/>
      <c r="KUQ51" s="24"/>
      <c r="KUR51" s="24"/>
      <c r="KUS51" s="24"/>
      <c r="KUT51" s="24"/>
      <c r="KUU51" s="24"/>
      <c r="KUV51" s="24"/>
      <c r="KUW51" s="24"/>
      <c r="KUX51" s="24"/>
      <c r="KUY51" s="24"/>
      <c r="KUZ51" s="24"/>
      <c r="KVA51" s="24"/>
      <c r="KVB51" s="24"/>
      <c r="KVC51" s="24"/>
      <c r="KVD51" s="24"/>
      <c r="KVE51" s="24"/>
      <c r="KVF51" s="24"/>
      <c r="KVG51" s="24"/>
      <c r="KVH51" s="24"/>
      <c r="KVI51" s="24"/>
      <c r="KVJ51" s="24"/>
      <c r="KVK51" s="24"/>
      <c r="KVL51" s="24"/>
      <c r="KVM51" s="24"/>
      <c r="KVN51" s="24"/>
      <c r="KVO51" s="24"/>
      <c r="KVP51" s="24"/>
      <c r="KVQ51" s="24"/>
      <c r="KVR51" s="24"/>
      <c r="KVS51" s="24"/>
      <c r="KVT51" s="24"/>
      <c r="KVU51" s="24"/>
      <c r="KVV51" s="24"/>
      <c r="KVW51" s="24"/>
      <c r="KVX51" s="24"/>
      <c r="KVY51" s="24"/>
      <c r="KVZ51" s="24"/>
      <c r="KWA51" s="24"/>
      <c r="KWB51" s="24"/>
      <c r="KWC51" s="24"/>
      <c r="KWD51" s="24"/>
      <c r="KWE51" s="24"/>
      <c r="KWF51" s="24"/>
      <c r="KWG51" s="24"/>
      <c r="KWH51" s="24"/>
      <c r="KWI51" s="24"/>
      <c r="KWJ51" s="24"/>
      <c r="KWK51" s="24"/>
      <c r="KWL51" s="24"/>
      <c r="KWM51" s="24"/>
      <c r="KWN51" s="24"/>
      <c r="KWO51" s="24"/>
      <c r="KWP51" s="24"/>
      <c r="KWQ51" s="24"/>
      <c r="KWR51" s="24"/>
      <c r="KWS51" s="24"/>
      <c r="KWT51" s="24"/>
      <c r="KWU51" s="24"/>
      <c r="KWV51" s="24"/>
      <c r="KWW51" s="24"/>
      <c r="KWX51" s="24"/>
      <c r="KWY51" s="24"/>
      <c r="KWZ51" s="24"/>
      <c r="KXA51" s="24"/>
      <c r="KXB51" s="24"/>
      <c r="KXC51" s="24"/>
      <c r="KXD51" s="24"/>
      <c r="KXE51" s="24"/>
      <c r="KXF51" s="24"/>
      <c r="KXG51" s="24"/>
      <c r="KXH51" s="24"/>
      <c r="KXI51" s="24"/>
      <c r="KXJ51" s="24"/>
      <c r="KXK51" s="24"/>
      <c r="KXL51" s="24"/>
      <c r="KXM51" s="24"/>
      <c r="KXN51" s="24"/>
      <c r="KXO51" s="24"/>
      <c r="KXP51" s="24"/>
      <c r="KXQ51" s="24"/>
      <c r="KXR51" s="24"/>
      <c r="KXS51" s="24"/>
      <c r="KXT51" s="24"/>
      <c r="KXU51" s="24"/>
      <c r="KXV51" s="24"/>
      <c r="KXW51" s="24"/>
      <c r="KXX51" s="24"/>
      <c r="KXY51" s="24"/>
      <c r="KXZ51" s="24"/>
      <c r="KYA51" s="24"/>
      <c r="KYB51" s="24"/>
      <c r="KYC51" s="24"/>
      <c r="KYD51" s="24"/>
      <c r="KYE51" s="24"/>
      <c r="KYF51" s="24"/>
      <c r="KYG51" s="24"/>
      <c r="KYH51" s="24"/>
      <c r="KYI51" s="24"/>
      <c r="KYJ51" s="24"/>
      <c r="KYK51" s="24"/>
      <c r="KYL51" s="24"/>
      <c r="KYM51" s="24"/>
      <c r="KYN51" s="24"/>
      <c r="KYO51" s="24"/>
      <c r="KYP51" s="24"/>
      <c r="KYQ51" s="24"/>
      <c r="KYR51" s="24"/>
      <c r="KYS51" s="24"/>
      <c r="KYT51" s="24"/>
      <c r="KYU51" s="24"/>
      <c r="KYV51" s="24"/>
      <c r="KYW51" s="24"/>
      <c r="KYX51" s="24"/>
      <c r="KYY51" s="24"/>
      <c r="KYZ51" s="24"/>
      <c r="KZA51" s="24"/>
      <c r="KZB51" s="24"/>
      <c r="KZC51" s="24"/>
      <c r="KZD51" s="24"/>
      <c r="KZE51" s="24"/>
      <c r="KZF51" s="24"/>
      <c r="KZG51" s="24"/>
      <c r="KZH51" s="24"/>
      <c r="KZI51" s="24"/>
      <c r="KZJ51" s="24"/>
      <c r="KZK51" s="24"/>
      <c r="KZL51" s="24"/>
      <c r="KZM51" s="24"/>
      <c r="KZN51" s="24"/>
      <c r="KZO51" s="24"/>
      <c r="KZP51" s="24"/>
      <c r="KZQ51" s="24"/>
      <c r="KZR51" s="24"/>
      <c r="KZS51" s="24"/>
      <c r="KZT51" s="24"/>
      <c r="KZU51" s="24"/>
      <c r="KZV51" s="24"/>
      <c r="KZW51" s="24"/>
      <c r="KZX51" s="24"/>
      <c r="KZY51" s="24"/>
      <c r="KZZ51" s="24"/>
      <c r="LAA51" s="24"/>
      <c r="LAB51" s="24"/>
      <c r="LAC51" s="24"/>
      <c r="LAD51" s="24"/>
      <c r="LAE51" s="24"/>
      <c r="LAF51" s="24"/>
      <c r="LAG51" s="24"/>
      <c r="LAH51" s="24"/>
      <c r="LAI51" s="24"/>
      <c r="LAJ51" s="24"/>
      <c r="LAK51" s="24"/>
      <c r="LAL51" s="24"/>
      <c r="LAM51" s="24"/>
      <c r="LAN51" s="24"/>
      <c r="LAO51" s="24"/>
      <c r="LAP51" s="24"/>
      <c r="LAQ51" s="24"/>
      <c r="LAR51" s="24"/>
      <c r="LAS51" s="24"/>
      <c r="LAT51" s="24"/>
      <c r="LAU51" s="24"/>
      <c r="LAV51" s="24"/>
      <c r="LAW51" s="24"/>
      <c r="LAX51" s="24"/>
      <c r="LAY51" s="24"/>
      <c r="LAZ51" s="24"/>
      <c r="LBA51" s="24"/>
      <c r="LBB51" s="24"/>
      <c r="LBC51" s="24"/>
      <c r="LBD51" s="24"/>
      <c r="LBE51" s="24"/>
      <c r="LBF51" s="24"/>
      <c r="LBG51" s="24"/>
      <c r="LBH51" s="24"/>
      <c r="LBI51" s="24"/>
      <c r="LBJ51" s="24"/>
      <c r="LBK51" s="24"/>
      <c r="LBL51" s="24"/>
      <c r="LBM51" s="24"/>
      <c r="LBN51" s="24"/>
      <c r="LBO51" s="24"/>
      <c r="LBP51" s="24"/>
      <c r="LBQ51" s="24"/>
      <c r="LBR51" s="24"/>
      <c r="LBS51" s="24"/>
      <c r="LBT51" s="24"/>
      <c r="LBU51" s="24"/>
      <c r="LBV51" s="24"/>
      <c r="LBW51" s="24"/>
      <c r="LBX51" s="24"/>
      <c r="LBY51" s="24"/>
      <c r="LBZ51" s="24"/>
      <c r="LCA51" s="24"/>
      <c r="LCB51" s="24"/>
      <c r="LCC51" s="24"/>
      <c r="LCD51" s="24"/>
      <c r="LCE51" s="24"/>
      <c r="LCF51" s="24"/>
      <c r="LCG51" s="24"/>
      <c r="LCH51" s="24"/>
      <c r="LCI51" s="24"/>
      <c r="LCJ51" s="24"/>
      <c r="LCK51" s="24"/>
      <c r="LCL51" s="24"/>
      <c r="LCM51" s="24"/>
      <c r="LCN51" s="24"/>
      <c r="LCO51" s="24"/>
      <c r="LCP51" s="24"/>
      <c r="LCQ51" s="24"/>
      <c r="LCR51" s="24"/>
      <c r="LCS51" s="24"/>
      <c r="LCT51" s="24"/>
      <c r="LCU51" s="24"/>
      <c r="LCV51" s="24"/>
      <c r="LCW51" s="24"/>
      <c r="LCX51" s="24"/>
      <c r="LCY51" s="24"/>
      <c r="LCZ51" s="24"/>
      <c r="LDA51" s="24"/>
      <c r="LDB51" s="24"/>
      <c r="LDC51" s="24"/>
      <c r="LDD51" s="24"/>
      <c r="LDE51" s="24"/>
      <c r="LDF51" s="24"/>
      <c r="LDG51" s="24"/>
      <c r="LDH51" s="24"/>
      <c r="LDI51" s="24"/>
      <c r="LDJ51" s="24"/>
      <c r="LDK51" s="24"/>
      <c r="LDL51" s="24"/>
      <c r="LDM51" s="24"/>
      <c r="LDN51" s="24"/>
      <c r="LDO51" s="24"/>
      <c r="LDP51" s="24"/>
      <c r="LDQ51" s="24"/>
      <c r="LDR51" s="24"/>
      <c r="LDS51" s="24"/>
      <c r="LDT51" s="24"/>
      <c r="LDU51" s="24"/>
      <c r="LDV51" s="24"/>
      <c r="LDW51" s="24"/>
      <c r="LDX51" s="24"/>
      <c r="LDY51" s="24"/>
      <c r="LDZ51" s="24"/>
      <c r="LEA51" s="24"/>
      <c r="LEB51" s="24"/>
      <c r="LEC51" s="24"/>
      <c r="LED51" s="24"/>
      <c r="LEE51" s="24"/>
      <c r="LEF51" s="24"/>
      <c r="LEG51" s="24"/>
      <c r="LEH51" s="24"/>
      <c r="LEI51" s="24"/>
      <c r="LEJ51" s="24"/>
      <c r="LEK51" s="24"/>
      <c r="LEL51" s="24"/>
      <c r="LEM51" s="24"/>
      <c r="LEN51" s="24"/>
      <c r="LEO51" s="24"/>
      <c r="LEP51" s="24"/>
      <c r="LEQ51" s="24"/>
      <c r="LER51" s="24"/>
      <c r="LES51" s="24"/>
      <c r="LET51" s="24"/>
      <c r="LEU51" s="24"/>
      <c r="LEV51" s="24"/>
      <c r="LEW51" s="24"/>
      <c r="LEX51" s="24"/>
      <c r="LEY51" s="24"/>
      <c r="LEZ51" s="24"/>
      <c r="LFA51" s="24"/>
      <c r="LFB51" s="24"/>
      <c r="LFC51" s="24"/>
      <c r="LFD51" s="24"/>
      <c r="LFE51" s="24"/>
      <c r="LFF51" s="24"/>
      <c r="LFG51" s="24"/>
      <c r="LFH51" s="24"/>
      <c r="LFI51" s="24"/>
      <c r="LFJ51" s="24"/>
      <c r="LFK51" s="24"/>
      <c r="LFL51" s="24"/>
      <c r="LFM51" s="24"/>
      <c r="LFN51" s="24"/>
      <c r="LFO51" s="24"/>
      <c r="LFP51" s="24"/>
      <c r="LFQ51" s="24"/>
      <c r="LFR51" s="24"/>
      <c r="LFS51" s="24"/>
      <c r="LFT51" s="24"/>
      <c r="LFU51" s="24"/>
      <c r="LFV51" s="24"/>
      <c r="LFW51" s="24"/>
      <c r="LFX51" s="24"/>
      <c r="LFY51" s="24"/>
      <c r="LFZ51" s="24"/>
      <c r="LGA51" s="24"/>
      <c r="LGB51" s="24"/>
      <c r="LGC51" s="24"/>
      <c r="LGD51" s="24"/>
      <c r="LGE51" s="24"/>
      <c r="LGF51" s="24"/>
      <c r="LGG51" s="24"/>
      <c r="LGH51" s="24"/>
      <c r="LGI51" s="24"/>
      <c r="LGJ51" s="24"/>
      <c r="LGK51" s="24"/>
      <c r="LGL51" s="24"/>
      <c r="LGM51" s="24"/>
      <c r="LGN51" s="24"/>
      <c r="LGO51" s="24"/>
      <c r="LGP51" s="24"/>
      <c r="LGQ51" s="24"/>
      <c r="LGR51" s="24"/>
      <c r="LGS51" s="24"/>
      <c r="LGT51" s="24"/>
      <c r="LGU51" s="24"/>
      <c r="LGV51" s="24"/>
      <c r="LGW51" s="24"/>
      <c r="LGX51" s="24"/>
      <c r="LGY51" s="24"/>
      <c r="LGZ51" s="24"/>
      <c r="LHA51" s="24"/>
      <c r="LHB51" s="24"/>
      <c r="LHC51" s="24"/>
      <c r="LHD51" s="24"/>
      <c r="LHE51" s="24"/>
      <c r="LHF51" s="24"/>
      <c r="LHG51" s="24"/>
      <c r="LHH51" s="24"/>
      <c r="LHI51" s="24"/>
      <c r="LHJ51" s="24"/>
      <c r="LHK51" s="24"/>
      <c r="LHL51" s="24"/>
      <c r="LHM51" s="24"/>
      <c r="LHN51" s="24"/>
      <c r="LHO51" s="24"/>
      <c r="LHP51" s="24"/>
      <c r="LHQ51" s="24"/>
      <c r="LHR51" s="24"/>
      <c r="LHS51" s="24"/>
      <c r="LHT51" s="24"/>
      <c r="LHU51" s="24"/>
      <c r="LHV51" s="24"/>
      <c r="LHW51" s="24"/>
      <c r="LHX51" s="24"/>
      <c r="LHY51" s="24"/>
      <c r="LHZ51" s="24"/>
      <c r="LIA51" s="24"/>
      <c r="LIB51" s="24"/>
      <c r="LIC51" s="24"/>
      <c r="LID51" s="24"/>
      <c r="LIE51" s="24"/>
      <c r="LIF51" s="24"/>
      <c r="LIG51" s="24"/>
      <c r="LIH51" s="24"/>
      <c r="LII51" s="24"/>
      <c r="LIJ51" s="24"/>
      <c r="LIK51" s="24"/>
      <c r="LIL51" s="24"/>
      <c r="LIM51" s="24"/>
      <c r="LIN51" s="24"/>
      <c r="LIO51" s="24"/>
      <c r="LIP51" s="24"/>
      <c r="LIQ51" s="24"/>
      <c r="LIR51" s="24"/>
      <c r="LIS51" s="24"/>
      <c r="LIT51" s="24"/>
      <c r="LIU51" s="24"/>
      <c r="LIV51" s="24"/>
      <c r="LIW51" s="24"/>
      <c r="LIX51" s="24"/>
      <c r="LIY51" s="24"/>
      <c r="LIZ51" s="24"/>
      <c r="LJA51" s="24"/>
      <c r="LJB51" s="24"/>
      <c r="LJC51" s="24"/>
      <c r="LJD51" s="24"/>
      <c r="LJE51" s="24"/>
      <c r="LJF51" s="24"/>
      <c r="LJG51" s="24"/>
      <c r="LJH51" s="24"/>
      <c r="LJI51" s="24"/>
      <c r="LJJ51" s="24"/>
      <c r="LJK51" s="24"/>
      <c r="LJL51" s="24"/>
      <c r="LJM51" s="24"/>
      <c r="LJN51" s="24"/>
      <c r="LJO51" s="24"/>
      <c r="LJP51" s="24"/>
      <c r="LJQ51" s="24"/>
      <c r="LJR51" s="24"/>
      <c r="LJS51" s="24"/>
      <c r="LJT51" s="24"/>
      <c r="LJU51" s="24"/>
      <c r="LJV51" s="24"/>
      <c r="LJW51" s="24"/>
      <c r="LJX51" s="24"/>
      <c r="LJY51" s="24"/>
      <c r="LJZ51" s="24"/>
      <c r="LKA51" s="24"/>
      <c r="LKB51" s="24"/>
      <c r="LKC51" s="24"/>
      <c r="LKD51" s="24"/>
      <c r="LKE51" s="24"/>
      <c r="LKF51" s="24"/>
      <c r="LKG51" s="24"/>
      <c r="LKH51" s="24"/>
      <c r="LKI51" s="24"/>
      <c r="LKJ51" s="24"/>
      <c r="LKK51" s="24"/>
      <c r="LKL51" s="24"/>
      <c r="LKM51" s="24"/>
      <c r="LKN51" s="24"/>
      <c r="LKO51" s="24"/>
      <c r="LKP51" s="24"/>
      <c r="LKQ51" s="24"/>
      <c r="LKR51" s="24"/>
      <c r="LKS51" s="24"/>
      <c r="LKT51" s="24"/>
      <c r="LKU51" s="24"/>
      <c r="LKV51" s="24"/>
      <c r="LKW51" s="24"/>
      <c r="LKX51" s="24"/>
      <c r="LKY51" s="24"/>
      <c r="LKZ51" s="24"/>
      <c r="LLA51" s="24"/>
      <c r="LLB51" s="24"/>
      <c r="LLC51" s="24"/>
      <c r="LLD51" s="24"/>
      <c r="LLE51" s="24"/>
      <c r="LLF51" s="24"/>
      <c r="LLG51" s="24"/>
      <c r="LLH51" s="24"/>
      <c r="LLI51" s="24"/>
      <c r="LLJ51" s="24"/>
      <c r="LLK51" s="24"/>
      <c r="LLL51" s="24"/>
      <c r="LLM51" s="24"/>
      <c r="LLN51" s="24"/>
      <c r="LLO51" s="24"/>
      <c r="LLP51" s="24"/>
      <c r="LLQ51" s="24"/>
      <c r="LLR51" s="24"/>
      <c r="LLS51" s="24"/>
      <c r="LLT51" s="24"/>
      <c r="LLU51" s="24"/>
      <c r="LLV51" s="24"/>
      <c r="LLW51" s="24"/>
      <c r="LLX51" s="24"/>
      <c r="LLY51" s="24"/>
      <c r="LLZ51" s="24"/>
      <c r="LMA51" s="24"/>
      <c r="LMB51" s="24"/>
      <c r="LMC51" s="24"/>
      <c r="LMD51" s="24"/>
      <c r="LME51" s="24"/>
      <c r="LMF51" s="24"/>
      <c r="LMG51" s="24"/>
      <c r="LMH51" s="24"/>
      <c r="LMI51" s="24"/>
      <c r="LMJ51" s="24"/>
      <c r="LMK51" s="24"/>
      <c r="LML51" s="24"/>
      <c r="LMM51" s="24"/>
      <c r="LMN51" s="24"/>
      <c r="LMO51" s="24"/>
      <c r="LMP51" s="24"/>
      <c r="LMQ51" s="24"/>
      <c r="LMR51" s="24"/>
      <c r="LMS51" s="24"/>
      <c r="LMT51" s="24"/>
      <c r="LMU51" s="24"/>
      <c r="LMV51" s="24"/>
      <c r="LMW51" s="24"/>
      <c r="LMX51" s="24"/>
      <c r="LMY51" s="24"/>
      <c r="LMZ51" s="24"/>
      <c r="LNA51" s="24"/>
      <c r="LNB51" s="24"/>
      <c r="LNC51" s="24"/>
      <c r="LND51" s="24"/>
      <c r="LNE51" s="24"/>
      <c r="LNF51" s="24"/>
      <c r="LNG51" s="24"/>
      <c r="LNH51" s="24"/>
      <c r="LNI51" s="24"/>
      <c r="LNJ51" s="24"/>
      <c r="LNK51" s="24"/>
      <c r="LNL51" s="24"/>
      <c r="LNM51" s="24"/>
      <c r="LNN51" s="24"/>
      <c r="LNO51" s="24"/>
      <c r="LNP51" s="24"/>
      <c r="LNQ51" s="24"/>
      <c r="LNR51" s="24"/>
      <c r="LNS51" s="24"/>
      <c r="LNT51" s="24"/>
      <c r="LNU51" s="24"/>
      <c r="LNV51" s="24"/>
      <c r="LNW51" s="24"/>
      <c r="LNX51" s="24"/>
      <c r="LNY51" s="24"/>
      <c r="LNZ51" s="24"/>
      <c r="LOA51" s="24"/>
      <c r="LOB51" s="24"/>
      <c r="LOC51" s="24"/>
      <c r="LOD51" s="24"/>
      <c r="LOE51" s="24"/>
      <c r="LOF51" s="24"/>
      <c r="LOG51" s="24"/>
      <c r="LOH51" s="24"/>
      <c r="LOI51" s="24"/>
      <c r="LOJ51" s="24"/>
      <c r="LOK51" s="24"/>
      <c r="LOL51" s="24"/>
      <c r="LOM51" s="24"/>
      <c r="LON51" s="24"/>
      <c r="LOO51" s="24"/>
      <c r="LOP51" s="24"/>
      <c r="LOQ51" s="24"/>
      <c r="LOR51" s="24"/>
      <c r="LOS51" s="24"/>
      <c r="LOT51" s="24"/>
      <c r="LOU51" s="24"/>
      <c r="LOV51" s="24"/>
      <c r="LOW51" s="24"/>
      <c r="LOX51" s="24"/>
      <c r="LOY51" s="24"/>
      <c r="LOZ51" s="24"/>
      <c r="LPA51" s="24"/>
      <c r="LPB51" s="24"/>
      <c r="LPC51" s="24"/>
      <c r="LPD51" s="24"/>
      <c r="LPE51" s="24"/>
      <c r="LPF51" s="24"/>
      <c r="LPG51" s="24"/>
      <c r="LPH51" s="24"/>
      <c r="LPI51" s="24"/>
      <c r="LPJ51" s="24"/>
      <c r="LPK51" s="24"/>
      <c r="LPL51" s="24"/>
      <c r="LPM51" s="24"/>
      <c r="LPN51" s="24"/>
      <c r="LPO51" s="24"/>
      <c r="LPP51" s="24"/>
      <c r="LPQ51" s="24"/>
      <c r="LPR51" s="24"/>
      <c r="LPS51" s="24"/>
      <c r="LPT51" s="24"/>
      <c r="LPU51" s="24"/>
      <c r="LPV51" s="24"/>
      <c r="LPW51" s="24"/>
      <c r="LPX51" s="24"/>
      <c r="LPY51" s="24"/>
      <c r="LPZ51" s="24"/>
      <c r="LQA51" s="24"/>
      <c r="LQB51" s="24"/>
      <c r="LQC51" s="24"/>
      <c r="LQD51" s="24"/>
      <c r="LQE51" s="24"/>
      <c r="LQF51" s="24"/>
      <c r="LQG51" s="24"/>
      <c r="LQH51" s="24"/>
      <c r="LQI51" s="24"/>
      <c r="LQJ51" s="24"/>
      <c r="LQK51" s="24"/>
      <c r="LQL51" s="24"/>
      <c r="LQM51" s="24"/>
      <c r="LQN51" s="24"/>
      <c r="LQO51" s="24"/>
      <c r="LQP51" s="24"/>
      <c r="LQQ51" s="24"/>
      <c r="LQR51" s="24"/>
      <c r="LQS51" s="24"/>
      <c r="LQT51" s="24"/>
      <c r="LQU51" s="24"/>
      <c r="LQV51" s="24"/>
      <c r="LQW51" s="24"/>
      <c r="LQX51" s="24"/>
      <c r="LQY51" s="24"/>
      <c r="LQZ51" s="24"/>
      <c r="LRA51" s="24"/>
      <c r="LRB51" s="24"/>
      <c r="LRC51" s="24"/>
      <c r="LRD51" s="24"/>
      <c r="LRE51" s="24"/>
      <c r="LRF51" s="24"/>
      <c r="LRG51" s="24"/>
      <c r="LRH51" s="24"/>
      <c r="LRI51" s="24"/>
      <c r="LRJ51" s="24"/>
      <c r="LRK51" s="24"/>
      <c r="LRL51" s="24"/>
      <c r="LRM51" s="24"/>
      <c r="LRN51" s="24"/>
      <c r="LRO51" s="24"/>
      <c r="LRP51" s="24"/>
      <c r="LRQ51" s="24"/>
      <c r="LRR51" s="24"/>
      <c r="LRS51" s="24"/>
      <c r="LRT51" s="24"/>
      <c r="LRU51" s="24"/>
      <c r="LRV51" s="24"/>
      <c r="LRW51" s="24"/>
      <c r="LRX51" s="24"/>
      <c r="LRY51" s="24"/>
      <c r="LRZ51" s="24"/>
      <c r="LSA51" s="24"/>
      <c r="LSB51" s="24"/>
      <c r="LSC51" s="24"/>
      <c r="LSD51" s="24"/>
      <c r="LSE51" s="24"/>
      <c r="LSF51" s="24"/>
      <c r="LSG51" s="24"/>
      <c r="LSH51" s="24"/>
      <c r="LSI51" s="24"/>
      <c r="LSJ51" s="24"/>
      <c r="LSK51" s="24"/>
      <c r="LSL51" s="24"/>
      <c r="LSM51" s="24"/>
      <c r="LSN51" s="24"/>
      <c r="LSO51" s="24"/>
      <c r="LSP51" s="24"/>
      <c r="LSQ51" s="24"/>
      <c r="LSR51" s="24"/>
      <c r="LSS51" s="24"/>
      <c r="LST51" s="24"/>
      <c r="LSU51" s="24"/>
      <c r="LSV51" s="24"/>
      <c r="LSW51" s="24"/>
      <c r="LSX51" s="24"/>
      <c r="LSY51" s="24"/>
      <c r="LSZ51" s="24"/>
      <c r="LTA51" s="24"/>
      <c r="LTB51" s="24"/>
      <c r="LTC51" s="24"/>
      <c r="LTD51" s="24"/>
      <c r="LTE51" s="24"/>
      <c r="LTF51" s="24"/>
      <c r="LTG51" s="24"/>
      <c r="LTH51" s="24"/>
      <c r="LTI51" s="24"/>
      <c r="LTJ51" s="24"/>
      <c r="LTK51" s="24"/>
      <c r="LTL51" s="24"/>
      <c r="LTM51" s="24"/>
      <c r="LTN51" s="24"/>
      <c r="LTO51" s="24"/>
      <c r="LTP51" s="24"/>
      <c r="LTQ51" s="24"/>
      <c r="LTR51" s="24"/>
      <c r="LTS51" s="24"/>
      <c r="LTT51" s="24"/>
      <c r="LTU51" s="24"/>
      <c r="LTV51" s="24"/>
      <c r="LTW51" s="24"/>
      <c r="LTX51" s="24"/>
      <c r="LTY51" s="24"/>
      <c r="LTZ51" s="24"/>
      <c r="LUA51" s="24"/>
      <c r="LUB51" s="24"/>
      <c r="LUC51" s="24"/>
      <c r="LUD51" s="24"/>
      <c r="LUE51" s="24"/>
      <c r="LUF51" s="24"/>
      <c r="LUG51" s="24"/>
      <c r="LUH51" s="24"/>
      <c r="LUI51" s="24"/>
      <c r="LUJ51" s="24"/>
      <c r="LUK51" s="24"/>
      <c r="LUL51" s="24"/>
      <c r="LUM51" s="24"/>
      <c r="LUN51" s="24"/>
      <c r="LUO51" s="24"/>
      <c r="LUP51" s="24"/>
      <c r="LUQ51" s="24"/>
      <c r="LUR51" s="24"/>
      <c r="LUS51" s="24"/>
      <c r="LUT51" s="24"/>
      <c r="LUU51" s="24"/>
      <c r="LUV51" s="24"/>
      <c r="LUW51" s="24"/>
      <c r="LUX51" s="24"/>
      <c r="LUY51" s="24"/>
      <c r="LUZ51" s="24"/>
      <c r="LVA51" s="24"/>
      <c r="LVB51" s="24"/>
      <c r="LVC51" s="24"/>
      <c r="LVD51" s="24"/>
      <c r="LVE51" s="24"/>
      <c r="LVF51" s="24"/>
      <c r="LVG51" s="24"/>
      <c r="LVH51" s="24"/>
      <c r="LVI51" s="24"/>
      <c r="LVJ51" s="24"/>
      <c r="LVK51" s="24"/>
      <c r="LVL51" s="24"/>
      <c r="LVM51" s="24"/>
      <c r="LVN51" s="24"/>
      <c r="LVO51" s="24"/>
      <c r="LVP51" s="24"/>
      <c r="LVQ51" s="24"/>
      <c r="LVR51" s="24"/>
      <c r="LVS51" s="24"/>
      <c r="LVT51" s="24"/>
      <c r="LVU51" s="24"/>
      <c r="LVV51" s="24"/>
      <c r="LVW51" s="24"/>
      <c r="LVX51" s="24"/>
      <c r="LVY51" s="24"/>
      <c r="LVZ51" s="24"/>
      <c r="LWA51" s="24"/>
      <c r="LWB51" s="24"/>
      <c r="LWC51" s="24"/>
      <c r="LWD51" s="24"/>
      <c r="LWE51" s="24"/>
      <c r="LWF51" s="24"/>
      <c r="LWG51" s="24"/>
      <c r="LWH51" s="24"/>
      <c r="LWI51" s="24"/>
      <c r="LWJ51" s="24"/>
      <c r="LWK51" s="24"/>
      <c r="LWL51" s="24"/>
      <c r="LWM51" s="24"/>
      <c r="LWN51" s="24"/>
      <c r="LWO51" s="24"/>
      <c r="LWP51" s="24"/>
      <c r="LWQ51" s="24"/>
      <c r="LWR51" s="24"/>
      <c r="LWS51" s="24"/>
      <c r="LWT51" s="24"/>
      <c r="LWU51" s="24"/>
      <c r="LWV51" s="24"/>
      <c r="LWW51" s="24"/>
      <c r="LWX51" s="24"/>
      <c r="LWY51" s="24"/>
      <c r="LWZ51" s="24"/>
      <c r="LXA51" s="24"/>
      <c r="LXB51" s="24"/>
      <c r="LXC51" s="24"/>
      <c r="LXD51" s="24"/>
      <c r="LXE51" s="24"/>
      <c r="LXF51" s="24"/>
      <c r="LXG51" s="24"/>
      <c r="LXH51" s="24"/>
      <c r="LXI51" s="24"/>
      <c r="LXJ51" s="24"/>
      <c r="LXK51" s="24"/>
      <c r="LXL51" s="24"/>
      <c r="LXM51" s="24"/>
      <c r="LXN51" s="24"/>
      <c r="LXO51" s="24"/>
      <c r="LXP51" s="24"/>
      <c r="LXQ51" s="24"/>
      <c r="LXR51" s="24"/>
      <c r="LXS51" s="24"/>
      <c r="LXT51" s="24"/>
      <c r="LXU51" s="24"/>
      <c r="LXV51" s="24"/>
      <c r="LXW51" s="24"/>
      <c r="LXX51" s="24"/>
      <c r="LXY51" s="24"/>
      <c r="LXZ51" s="24"/>
      <c r="LYA51" s="24"/>
      <c r="LYB51" s="24"/>
      <c r="LYC51" s="24"/>
      <c r="LYD51" s="24"/>
      <c r="LYE51" s="24"/>
      <c r="LYF51" s="24"/>
      <c r="LYG51" s="24"/>
      <c r="LYH51" s="24"/>
      <c r="LYI51" s="24"/>
      <c r="LYJ51" s="24"/>
      <c r="LYK51" s="24"/>
      <c r="LYL51" s="24"/>
      <c r="LYM51" s="24"/>
      <c r="LYN51" s="24"/>
      <c r="LYO51" s="24"/>
      <c r="LYP51" s="24"/>
      <c r="LYQ51" s="24"/>
      <c r="LYR51" s="24"/>
      <c r="LYS51" s="24"/>
      <c r="LYT51" s="24"/>
      <c r="LYU51" s="24"/>
      <c r="LYV51" s="24"/>
      <c r="LYW51" s="24"/>
      <c r="LYX51" s="24"/>
      <c r="LYY51" s="24"/>
      <c r="LYZ51" s="24"/>
      <c r="LZA51" s="24"/>
      <c r="LZB51" s="24"/>
      <c r="LZC51" s="24"/>
      <c r="LZD51" s="24"/>
      <c r="LZE51" s="24"/>
      <c r="LZF51" s="24"/>
      <c r="LZG51" s="24"/>
      <c r="LZH51" s="24"/>
      <c r="LZI51" s="24"/>
      <c r="LZJ51" s="24"/>
      <c r="LZK51" s="24"/>
      <c r="LZL51" s="24"/>
      <c r="LZM51" s="24"/>
      <c r="LZN51" s="24"/>
      <c r="LZO51" s="24"/>
      <c r="LZP51" s="24"/>
      <c r="LZQ51" s="24"/>
      <c r="LZR51" s="24"/>
      <c r="LZS51" s="24"/>
      <c r="LZT51" s="24"/>
      <c r="LZU51" s="24"/>
      <c r="LZV51" s="24"/>
      <c r="LZW51" s="24"/>
      <c r="LZX51" s="24"/>
      <c r="LZY51" s="24"/>
      <c r="LZZ51" s="24"/>
      <c r="MAA51" s="24"/>
      <c r="MAB51" s="24"/>
      <c r="MAC51" s="24"/>
      <c r="MAD51" s="24"/>
      <c r="MAE51" s="24"/>
      <c r="MAF51" s="24"/>
      <c r="MAG51" s="24"/>
      <c r="MAH51" s="24"/>
      <c r="MAI51" s="24"/>
      <c r="MAJ51" s="24"/>
      <c r="MAK51" s="24"/>
      <c r="MAL51" s="24"/>
      <c r="MAM51" s="24"/>
      <c r="MAN51" s="24"/>
      <c r="MAO51" s="24"/>
      <c r="MAP51" s="24"/>
      <c r="MAQ51" s="24"/>
      <c r="MAR51" s="24"/>
      <c r="MAS51" s="24"/>
      <c r="MAT51" s="24"/>
      <c r="MAU51" s="24"/>
      <c r="MAV51" s="24"/>
      <c r="MAW51" s="24"/>
      <c r="MAX51" s="24"/>
      <c r="MAY51" s="24"/>
      <c r="MAZ51" s="24"/>
      <c r="MBA51" s="24"/>
      <c r="MBB51" s="24"/>
      <c r="MBC51" s="24"/>
      <c r="MBD51" s="24"/>
      <c r="MBE51" s="24"/>
      <c r="MBF51" s="24"/>
      <c r="MBG51" s="24"/>
      <c r="MBH51" s="24"/>
      <c r="MBI51" s="24"/>
      <c r="MBJ51" s="24"/>
      <c r="MBK51" s="24"/>
      <c r="MBL51" s="24"/>
      <c r="MBM51" s="24"/>
      <c r="MBN51" s="24"/>
      <c r="MBO51" s="24"/>
      <c r="MBP51" s="24"/>
      <c r="MBQ51" s="24"/>
      <c r="MBR51" s="24"/>
      <c r="MBS51" s="24"/>
      <c r="MBT51" s="24"/>
      <c r="MBU51" s="24"/>
      <c r="MBV51" s="24"/>
      <c r="MBW51" s="24"/>
      <c r="MBX51" s="24"/>
      <c r="MBY51" s="24"/>
      <c r="MBZ51" s="24"/>
      <c r="MCA51" s="24"/>
      <c r="MCB51" s="24"/>
      <c r="MCC51" s="24"/>
      <c r="MCD51" s="24"/>
      <c r="MCE51" s="24"/>
      <c r="MCF51" s="24"/>
      <c r="MCG51" s="24"/>
      <c r="MCH51" s="24"/>
      <c r="MCI51" s="24"/>
      <c r="MCJ51" s="24"/>
      <c r="MCK51" s="24"/>
      <c r="MCL51" s="24"/>
      <c r="MCM51" s="24"/>
      <c r="MCN51" s="24"/>
      <c r="MCO51" s="24"/>
      <c r="MCP51" s="24"/>
      <c r="MCQ51" s="24"/>
      <c r="MCR51" s="24"/>
      <c r="MCS51" s="24"/>
      <c r="MCT51" s="24"/>
      <c r="MCU51" s="24"/>
      <c r="MCV51" s="24"/>
      <c r="MCW51" s="24"/>
      <c r="MCX51" s="24"/>
      <c r="MCY51" s="24"/>
      <c r="MCZ51" s="24"/>
      <c r="MDA51" s="24"/>
      <c r="MDB51" s="24"/>
      <c r="MDC51" s="24"/>
      <c r="MDD51" s="24"/>
      <c r="MDE51" s="24"/>
      <c r="MDF51" s="24"/>
      <c r="MDG51" s="24"/>
      <c r="MDH51" s="24"/>
      <c r="MDI51" s="24"/>
      <c r="MDJ51" s="24"/>
      <c r="MDK51" s="24"/>
      <c r="MDL51" s="24"/>
      <c r="MDM51" s="24"/>
      <c r="MDN51" s="24"/>
      <c r="MDO51" s="24"/>
      <c r="MDP51" s="24"/>
      <c r="MDQ51" s="24"/>
      <c r="MDR51" s="24"/>
      <c r="MDS51" s="24"/>
      <c r="MDT51" s="24"/>
      <c r="MDU51" s="24"/>
      <c r="MDV51" s="24"/>
      <c r="MDW51" s="24"/>
      <c r="MDX51" s="24"/>
      <c r="MDY51" s="24"/>
      <c r="MDZ51" s="24"/>
      <c r="MEA51" s="24"/>
      <c r="MEB51" s="24"/>
      <c r="MEC51" s="24"/>
      <c r="MED51" s="24"/>
      <c r="MEE51" s="24"/>
      <c r="MEF51" s="24"/>
      <c r="MEG51" s="24"/>
      <c r="MEH51" s="24"/>
      <c r="MEI51" s="24"/>
      <c r="MEJ51" s="24"/>
      <c r="MEK51" s="24"/>
      <c r="MEL51" s="24"/>
      <c r="MEM51" s="24"/>
      <c r="MEN51" s="24"/>
      <c r="MEO51" s="24"/>
      <c r="MEP51" s="24"/>
      <c r="MEQ51" s="24"/>
      <c r="MER51" s="24"/>
      <c r="MES51" s="24"/>
      <c r="MET51" s="24"/>
      <c r="MEU51" s="24"/>
      <c r="MEV51" s="24"/>
      <c r="MEW51" s="24"/>
      <c r="MEX51" s="24"/>
      <c r="MEY51" s="24"/>
      <c r="MEZ51" s="24"/>
      <c r="MFA51" s="24"/>
      <c r="MFB51" s="24"/>
      <c r="MFC51" s="24"/>
      <c r="MFD51" s="24"/>
      <c r="MFE51" s="24"/>
      <c r="MFF51" s="24"/>
      <c r="MFG51" s="24"/>
      <c r="MFH51" s="24"/>
      <c r="MFI51" s="24"/>
      <c r="MFJ51" s="24"/>
      <c r="MFK51" s="24"/>
      <c r="MFL51" s="24"/>
      <c r="MFM51" s="24"/>
      <c r="MFN51" s="24"/>
      <c r="MFO51" s="24"/>
      <c r="MFP51" s="24"/>
      <c r="MFQ51" s="24"/>
      <c r="MFR51" s="24"/>
      <c r="MFS51" s="24"/>
      <c r="MFT51" s="24"/>
      <c r="MFU51" s="24"/>
      <c r="MFV51" s="24"/>
      <c r="MFW51" s="24"/>
      <c r="MFX51" s="24"/>
      <c r="MFY51" s="24"/>
      <c r="MFZ51" s="24"/>
      <c r="MGA51" s="24"/>
      <c r="MGB51" s="24"/>
      <c r="MGC51" s="24"/>
      <c r="MGD51" s="24"/>
      <c r="MGE51" s="24"/>
      <c r="MGF51" s="24"/>
      <c r="MGG51" s="24"/>
      <c r="MGH51" s="24"/>
      <c r="MGI51" s="24"/>
      <c r="MGJ51" s="24"/>
      <c r="MGK51" s="24"/>
      <c r="MGL51" s="24"/>
      <c r="MGM51" s="24"/>
      <c r="MGN51" s="24"/>
      <c r="MGO51" s="24"/>
      <c r="MGP51" s="24"/>
      <c r="MGQ51" s="24"/>
      <c r="MGR51" s="24"/>
      <c r="MGS51" s="24"/>
      <c r="MGT51" s="24"/>
      <c r="MGU51" s="24"/>
      <c r="MGV51" s="24"/>
      <c r="MGW51" s="24"/>
      <c r="MGX51" s="24"/>
      <c r="MGY51" s="24"/>
      <c r="MGZ51" s="24"/>
      <c r="MHA51" s="24"/>
      <c r="MHB51" s="24"/>
      <c r="MHC51" s="24"/>
      <c r="MHD51" s="24"/>
      <c r="MHE51" s="24"/>
      <c r="MHF51" s="24"/>
      <c r="MHG51" s="24"/>
      <c r="MHH51" s="24"/>
      <c r="MHI51" s="24"/>
      <c r="MHJ51" s="24"/>
      <c r="MHK51" s="24"/>
      <c r="MHL51" s="24"/>
      <c r="MHM51" s="24"/>
      <c r="MHN51" s="24"/>
      <c r="MHO51" s="24"/>
      <c r="MHP51" s="24"/>
      <c r="MHQ51" s="24"/>
      <c r="MHR51" s="24"/>
      <c r="MHS51" s="24"/>
      <c r="MHT51" s="24"/>
      <c r="MHU51" s="24"/>
      <c r="MHV51" s="24"/>
      <c r="MHW51" s="24"/>
      <c r="MHX51" s="24"/>
      <c r="MHY51" s="24"/>
      <c r="MHZ51" s="24"/>
      <c r="MIA51" s="24"/>
      <c r="MIB51" s="24"/>
      <c r="MIC51" s="24"/>
      <c r="MID51" s="24"/>
      <c r="MIE51" s="24"/>
      <c r="MIF51" s="24"/>
      <c r="MIG51" s="24"/>
      <c r="MIH51" s="24"/>
      <c r="MII51" s="24"/>
      <c r="MIJ51" s="24"/>
      <c r="MIK51" s="24"/>
      <c r="MIL51" s="24"/>
      <c r="MIM51" s="24"/>
      <c r="MIN51" s="24"/>
      <c r="MIO51" s="24"/>
      <c r="MIP51" s="24"/>
      <c r="MIQ51" s="24"/>
      <c r="MIR51" s="24"/>
      <c r="MIS51" s="24"/>
      <c r="MIT51" s="24"/>
      <c r="MIU51" s="24"/>
      <c r="MIV51" s="24"/>
      <c r="MIW51" s="24"/>
      <c r="MIX51" s="24"/>
      <c r="MIY51" s="24"/>
      <c r="MIZ51" s="24"/>
      <c r="MJA51" s="24"/>
      <c r="MJB51" s="24"/>
      <c r="MJC51" s="24"/>
      <c r="MJD51" s="24"/>
      <c r="MJE51" s="24"/>
      <c r="MJF51" s="24"/>
      <c r="MJG51" s="24"/>
      <c r="MJH51" s="24"/>
      <c r="MJI51" s="24"/>
      <c r="MJJ51" s="24"/>
      <c r="MJK51" s="24"/>
      <c r="MJL51" s="24"/>
      <c r="MJM51" s="24"/>
      <c r="MJN51" s="24"/>
      <c r="MJO51" s="24"/>
      <c r="MJP51" s="24"/>
      <c r="MJQ51" s="24"/>
      <c r="MJR51" s="24"/>
      <c r="MJS51" s="24"/>
      <c r="MJT51" s="24"/>
      <c r="MJU51" s="24"/>
      <c r="MJV51" s="24"/>
      <c r="MJW51" s="24"/>
      <c r="MJX51" s="24"/>
      <c r="MJY51" s="24"/>
      <c r="MJZ51" s="24"/>
      <c r="MKA51" s="24"/>
      <c r="MKB51" s="24"/>
      <c r="MKC51" s="24"/>
      <c r="MKD51" s="24"/>
      <c r="MKE51" s="24"/>
      <c r="MKF51" s="24"/>
      <c r="MKG51" s="24"/>
      <c r="MKH51" s="24"/>
      <c r="MKI51" s="24"/>
      <c r="MKJ51" s="24"/>
      <c r="MKK51" s="24"/>
      <c r="MKL51" s="24"/>
      <c r="MKM51" s="24"/>
      <c r="MKN51" s="24"/>
      <c r="MKO51" s="24"/>
      <c r="MKP51" s="24"/>
      <c r="MKQ51" s="24"/>
      <c r="MKR51" s="24"/>
      <c r="MKS51" s="24"/>
      <c r="MKT51" s="24"/>
      <c r="MKU51" s="24"/>
      <c r="MKV51" s="24"/>
      <c r="MKW51" s="24"/>
      <c r="MKX51" s="24"/>
      <c r="MKY51" s="24"/>
      <c r="MKZ51" s="24"/>
      <c r="MLA51" s="24"/>
      <c r="MLB51" s="24"/>
      <c r="MLC51" s="24"/>
      <c r="MLD51" s="24"/>
      <c r="MLE51" s="24"/>
      <c r="MLF51" s="24"/>
      <c r="MLG51" s="24"/>
      <c r="MLH51" s="24"/>
      <c r="MLI51" s="24"/>
      <c r="MLJ51" s="24"/>
      <c r="MLK51" s="24"/>
      <c r="MLL51" s="24"/>
      <c r="MLM51" s="24"/>
      <c r="MLN51" s="24"/>
      <c r="MLO51" s="24"/>
      <c r="MLP51" s="24"/>
      <c r="MLQ51" s="24"/>
      <c r="MLR51" s="24"/>
      <c r="MLS51" s="24"/>
      <c r="MLT51" s="24"/>
      <c r="MLU51" s="24"/>
      <c r="MLV51" s="24"/>
      <c r="MLW51" s="24"/>
      <c r="MLX51" s="24"/>
      <c r="MLY51" s="24"/>
      <c r="MLZ51" s="24"/>
      <c r="MMA51" s="24"/>
      <c r="MMB51" s="24"/>
      <c r="MMC51" s="24"/>
      <c r="MMD51" s="24"/>
      <c r="MME51" s="24"/>
      <c r="MMF51" s="24"/>
      <c r="MMG51" s="24"/>
      <c r="MMH51" s="24"/>
      <c r="MMI51" s="24"/>
      <c r="MMJ51" s="24"/>
      <c r="MMK51" s="24"/>
      <c r="MML51" s="24"/>
      <c r="MMM51" s="24"/>
      <c r="MMN51" s="24"/>
      <c r="MMO51" s="24"/>
      <c r="MMP51" s="24"/>
      <c r="MMQ51" s="24"/>
      <c r="MMR51" s="24"/>
      <c r="MMS51" s="24"/>
      <c r="MMT51" s="24"/>
      <c r="MMU51" s="24"/>
      <c r="MMV51" s="24"/>
      <c r="MMW51" s="24"/>
      <c r="MMX51" s="24"/>
      <c r="MMY51" s="24"/>
      <c r="MMZ51" s="24"/>
      <c r="MNA51" s="24"/>
      <c r="MNB51" s="24"/>
      <c r="MNC51" s="24"/>
      <c r="MND51" s="24"/>
      <c r="MNE51" s="24"/>
      <c r="MNF51" s="24"/>
      <c r="MNG51" s="24"/>
      <c r="MNH51" s="24"/>
      <c r="MNI51" s="24"/>
      <c r="MNJ51" s="24"/>
      <c r="MNK51" s="24"/>
      <c r="MNL51" s="24"/>
      <c r="MNM51" s="24"/>
      <c r="MNN51" s="24"/>
      <c r="MNO51" s="24"/>
      <c r="MNP51" s="24"/>
      <c r="MNQ51" s="24"/>
      <c r="MNR51" s="24"/>
      <c r="MNS51" s="24"/>
      <c r="MNT51" s="24"/>
      <c r="MNU51" s="24"/>
      <c r="MNV51" s="24"/>
      <c r="MNW51" s="24"/>
      <c r="MNX51" s="24"/>
      <c r="MNY51" s="24"/>
      <c r="MNZ51" s="24"/>
      <c r="MOA51" s="24"/>
      <c r="MOB51" s="24"/>
      <c r="MOC51" s="24"/>
      <c r="MOD51" s="24"/>
      <c r="MOE51" s="24"/>
      <c r="MOF51" s="24"/>
      <c r="MOG51" s="24"/>
      <c r="MOH51" s="24"/>
      <c r="MOI51" s="24"/>
      <c r="MOJ51" s="24"/>
      <c r="MOK51" s="24"/>
      <c r="MOL51" s="24"/>
      <c r="MOM51" s="24"/>
      <c r="MON51" s="24"/>
      <c r="MOO51" s="24"/>
      <c r="MOP51" s="24"/>
      <c r="MOQ51" s="24"/>
      <c r="MOR51" s="24"/>
      <c r="MOS51" s="24"/>
      <c r="MOT51" s="24"/>
      <c r="MOU51" s="24"/>
      <c r="MOV51" s="24"/>
      <c r="MOW51" s="24"/>
      <c r="MOX51" s="24"/>
      <c r="MOY51" s="24"/>
      <c r="MOZ51" s="24"/>
      <c r="MPA51" s="24"/>
      <c r="MPB51" s="24"/>
      <c r="MPC51" s="24"/>
      <c r="MPD51" s="24"/>
      <c r="MPE51" s="24"/>
      <c r="MPF51" s="24"/>
      <c r="MPG51" s="24"/>
      <c r="MPH51" s="24"/>
      <c r="MPI51" s="24"/>
      <c r="MPJ51" s="24"/>
      <c r="MPK51" s="24"/>
      <c r="MPL51" s="24"/>
      <c r="MPM51" s="24"/>
      <c r="MPN51" s="24"/>
      <c r="MPO51" s="24"/>
      <c r="MPP51" s="24"/>
      <c r="MPQ51" s="24"/>
      <c r="MPR51" s="24"/>
      <c r="MPS51" s="24"/>
      <c r="MPT51" s="24"/>
      <c r="MPU51" s="24"/>
      <c r="MPV51" s="24"/>
      <c r="MPW51" s="24"/>
      <c r="MPX51" s="24"/>
      <c r="MPY51" s="24"/>
      <c r="MPZ51" s="24"/>
      <c r="MQA51" s="24"/>
      <c r="MQB51" s="24"/>
      <c r="MQC51" s="24"/>
      <c r="MQD51" s="24"/>
      <c r="MQE51" s="24"/>
      <c r="MQF51" s="24"/>
      <c r="MQG51" s="24"/>
      <c r="MQH51" s="24"/>
      <c r="MQI51" s="24"/>
      <c r="MQJ51" s="24"/>
      <c r="MQK51" s="24"/>
      <c r="MQL51" s="24"/>
      <c r="MQM51" s="24"/>
      <c r="MQN51" s="24"/>
      <c r="MQO51" s="24"/>
      <c r="MQP51" s="24"/>
      <c r="MQQ51" s="24"/>
      <c r="MQR51" s="24"/>
      <c r="MQS51" s="24"/>
      <c r="MQT51" s="24"/>
      <c r="MQU51" s="24"/>
      <c r="MQV51" s="24"/>
      <c r="MQW51" s="24"/>
      <c r="MQX51" s="24"/>
      <c r="MQY51" s="24"/>
      <c r="MQZ51" s="24"/>
      <c r="MRA51" s="24"/>
      <c r="MRB51" s="24"/>
      <c r="MRC51" s="24"/>
      <c r="MRD51" s="24"/>
      <c r="MRE51" s="24"/>
      <c r="MRF51" s="24"/>
      <c r="MRG51" s="24"/>
      <c r="MRH51" s="24"/>
      <c r="MRI51" s="24"/>
      <c r="MRJ51" s="24"/>
      <c r="MRK51" s="24"/>
      <c r="MRL51" s="24"/>
      <c r="MRM51" s="24"/>
      <c r="MRN51" s="24"/>
      <c r="MRO51" s="24"/>
      <c r="MRP51" s="24"/>
      <c r="MRQ51" s="24"/>
      <c r="MRR51" s="24"/>
      <c r="MRS51" s="24"/>
      <c r="MRT51" s="24"/>
      <c r="MRU51" s="24"/>
      <c r="MRV51" s="24"/>
      <c r="MRW51" s="24"/>
      <c r="MRX51" s="24"/>
      <c r="MRY51" s="24"/>
      <c r="MRZ51" s="24"/>
      <c r="MSA51" s="24"/>
      <c r="MSB51" s="24"/>
      <c r="MSC51" s="24"/>
      <c r="MSD51" s="24"/>
      <c r="MSE51" s="24"/>
      <c r="MSF51" s="24"/>
      <c r="MSG51" s="24"/>
      <c r="MSH51" s="24"/>
      <c r="MSI51" s="24"/>
      <c r="MSJ51" s="24"/>
      <c r="MSK51" s="24"/>
      <c r="MSL51" s="24"/>
      <c r="MSM51" s="24"/>
      <c r="MSN51" s="24"/>
      <c r="MSO51" s="24"/>
      <c r="MSP51" s="24"/>
      <c r="MSQ51" s="24"/>
      <c r="MSR51" s="24"/>
      <c r="MSS51" s="24"/>
      <c r="MST51" s="24"/>
      <c r="MSU51" s="24"/>
      <c r="MSV51" s="24"/>
      <c r="MSW51" s="24"/>
      <c r="MSX51" s="24"/>
      <c r="MSY51" s="24"/>
      <c r="MSZ51" s="24"/>
      <c r="MTA51" s="24"/>
      <c r="MTB51" s="24"/>
      <c r="MTC51" s="24"/>
      <c r="MTD51" s="24"/>
      <c r="MTE51" s="24"/>
      <c r="MTF51" s="24"/>
      <c r="MTG51" s="24"/>
      <c r="MTH51" s="24"/>
      <c r="MTI51" s="24"/>
      <c r="MTJ51" s="24"/>
      <c r="MTK51" s="24"/>
      <c r="MTL51" s="24"/>
      <c r="MTM51" s="24"/>
      <c r="MTN51" s="24"/>
      <c r="MTO51" s="24"/>
      <c r="MTP51" s="24"/>
      <c r="MTQ51" s="24"/>
      <c r="MTR51" s="24"/>
      <c r="MTS51" s="24"/>
      <c r="MTT51" s="24"/>
      <c r="MTU51" s="24"/>
      <c r="MTV51" s="24"/>
      <c r="MTW51" s="24"/>
      <c r="MTX51" s="24"/>
      <c r="MTY51" s="24"/>
      <c r="MTZ51" s="24"/>
      <c r="MUA51" s="24"/>
      <c r="MUB51" s="24"/>
      <c r="MUC51" s="24"/>
      <c r="MUD51" s="24"/>
      <c r="MUE51" s="24"/>
      <c r="MUF51" s="24"/>
      <c r="MUG51" s="24"/>
      <c r="MUH51" s="24"/>
      <c r="MUI51" s="24"/>
      <c r="MUJ51" s="24"/>
      <c r="MUK51" s="24"/>
      <c r="MUL51" s="24"/>
      <c r="MUM51" s="24"/>
      <c r="MUN51" s="24"/>
      <c r="MUO51" s="24"/>
      <c r="MUP51" s="24"/>
      <c r="MUQ51" s="24"/>
      <c r="MUR51" s="24"/>
      <c r="MUS51" s="24"/>
      <c r="MUT51" s="24"/>
      <c r="MUU51" s="24"/>
      <c r="MUV51" s="24"/>
      <c r="MUW51" s="24"/>
      <c r="MUX51" s="24"/>
      <c r="MUY51" s="24"/>
      <c r="MUZ51" s="24"/>
      <c r="MVA51" s="24"/>
      <c r="MVB51" s="24"/>
      <c r="MVC51" s="24"/>
      <c r="MVD51" s="24"/>
      <c r="MVE51" s="24"/>
      <c r="MVF51" s="24"/>
      <c r="MVG51" s="24"/>
      <c r="MVH51" s="24"/>
      <c r="MVI51" s="24"/>
      <c r="MVJ51" s="24"/>
      <c r="MVK51" s="24"/>
      <c r="MVL51" s="24"/>
      <c r="MVM51" s="24"/>
      <c r="MVN51" s="24"/>
      <c r="MVO51" s="24"/>
      <c r="MVP51" s="24"/>
      <c r="MVQ51" s="24"/>
      <c r="MVR51" s="24"/>
      <c r="MVS51" s="24"/>
      <c r="MVT51" s="24"/>
      <c r="MVU51" s="24"/>
      <c r="MVV51" s="24"/>
      <c r="MVW51" s="24"/>
      <c r="MVX51" s="24"/>
      <c r="MVY51" s="24"/>
      <c r="MVZ51" s="24"/>
      <c r="MWA51" s="24"/>
      <c r="MWB51" s="24"/>
      <c r="MWC51" s="24"/>
      <c r="MWD51" s="24"/>
      <c r="MWE51" s="24"/>
      <c r="MWF51" s="24"/>
      <c r="MWG51" s="24"/>
      <c r="MWH51" s="24"/>
      <c r="MWI51" s="24"/>
      <c r="MWJ51" s="24"/>
      <c r="MWK51" s="24"/>
      <c r="MWL51" s="24"/>
      <c r="MWM51" s="24"/>
      <c r="MWN51" s="24"/>
      <c r="MWO51" s="24"/>
      <c r="MWP51" s="24"/>
      <c r="MWQ51" s="24"/>
      <c r="MWR51" s="24"/>
      <c r="MWS51" s="24"/>
      <c r="MWT51" s="24"/>
      <c r="MWU51" s="24"/>
      <c r="MWV51" s="24"/>
      <c r="MWW51" s="24"/>
      <c r="MWX51" s="24"/>
      <c r="MWY51" s="24"/>
      <c r="MWZ51" s="24"/>
      <c r="MXA51" s="24"/>
      <c r="MXB51" s="24"/>
      <c r="MXC51" s="24"/>
      <c r="MXD51" s="24"/>
      <c r="MXE51" s="24"/>
      <c r="MXF51" s="24"/>
      <c r="MXG51" s="24"/>
      <c r="MXH51" s="24"/>
      <c r="MXI51" s="24"/>
      <c r="MXJ51" s="24"/>
      <c r="MXK51" s="24"/>
      <c r="MXL51" s="24"/>
      <c r="MXM51" s="24"/>
      <c r="MXN51" s="24"/>
      <c r="MXO51" s="24"/>
      <c r="MXP51" s="24"/>
      <c r="MXQ51" s="24"/>
      <c r="MXR51" s="24"/>
      <c r="MXS51" s="24"/>
      <c r="MXT51" s="24"/>
      <c r="MXU51" s="24"/>
      <c r="MXV51" s="24"/>
      <c r="MXW51" s="24"/>
      <c r="MXX51" s="24"/>
      <c r="MXY51" s="24"/>
      <c r="MXZ51" s="24"/>
      <c r="MYA51" s="24"/>
      <c r="MYB51" s="24"/>
      <c r="MYC51" s="24"/>
      <c r="MYD51" s="24"/>
      <c r="MYE51" s="24"/>
      <c r="MYF51" s="24"/>
      <c r="MYG51" s="24"/>
      <c r="MYH51" s="24"/>
      <c r="MYI51" s="24"/>
      <c r="MYJ51" s="24"/>
      <c r="MYK51" s="24"/>
      <c r="MYL51" s="24"/>
      <c r="MYM51" s="24"/>
      <c r="MYN51" s="24"/>
      <c r="MYO51" s="24"/>
      <c r="MYP51" s="24"/>
      <c r="MYQ51" s="24"/>
      <c r="MYR51" s="24"/>
      <c r="MYS51" s="24"/>
      <c r="MYT51" s="24"/>
      <c r="MYU51" s="24"/>
      <c r="MYV51" s="24"/>
      <c r="MYW51" s="24"/>
      <c r="MYX51" s="24"/>
      <c r="MYY51" s="24"/>
      <c r="MYZ51" s="24"/>
      <c r="MZA51" s="24"/>
      <c r="MZB51" s="24"/>
      <c r="MZC51" s="24"/>
      <c r="MZD51" s="24"/>
      <c r="MZE51" s="24"/>
      <c r="MZF51" s="24"/>
      <c r="MZG51" s="24"/>
      <c r="MZH51" s="24"/>
      <c r="MZI51" s="24"/>
      <c r="MZJ51" s="24"/>
      <c r="MZK51" s="24"/>
      <c r="MZL51" s="24"/>
      <c r="MZM51" s="24"/>
      <c r="MZN51" s="24"/>
      <c r="MZO51" s="24"/>
      <c r="MZP51" s="24"/>
      <c r="MZQ51" s="24"/>
      <c r="MZR51" s="24"/>
      <c r="MZS51" s="24"/>
      <c r="MZT51" s="24"/>
      <c r="MZU51" s="24"/>
      <c r="MZV51" s="24"/>
      <c r="MZW51" s="24"/>
      <c r="MZX51" s="24"/>
      <c r="MZY51" s="24"/>
      <c r="MZZ51" s="24"/>
      <c r="NAA51" s="24"/>
      <c r="NAB51" s="24"/>
      <c r="NAC51" s="24"/>
      <c r="NAD51" s="24"/>
      <c r="NAE51" s="24"/>
      <c r="NAF51" s="24"/>
      <c r="NAG51" s="24"/>
      <c r="NAH51" s="24"/>
      <c r="NAI51" s="24"/>
      <c r="NAJ51" s="24"/>
      <c r="NAK51" s="24"/>
      <c r="NAL51" s="24"/>
      <c r="NAM51" s="24"/>
      <c r="NAN51" s="24"/>
      <c r="NAO51" s="24"/>
      <c r="NAP51" s="24"/>
      <c r="NAQ51" s="24"/>
      <c r="NAR51" s="24"/>
      <c r="NAS51" s="24"/>
      <c r="NAT51" s="24"/>
      <c r="NAU51" s="24"/>
      <c r="NAV51" s="24"/>
      <c r="NAW51" s="24"/>
      <c r="NAX51" s="24"/>
      <c r="NAY51" s="24"/>
      <c r="NAZ51" s="24"/>
      <c r="NBA51" s="24"/>
      <c r="NBB51" s="24"/>
      <c r="NBC51" s="24"/>
      <c r="NBD51" s="24"/>
      <c r="NBE51" s="24"/>
      <c r="NBF51" s="24"/>
      <c r="NBG51" s="24"/>
      <c r="NBH51" s="24"/>
      <c r="NBI51" s="24"/>
      <c r="NBJ51" s="24"/>
      <c r="NBK51" s="24"/>
      <c r="NBL51" s="24"/>
      <c r="NBM51" s="24"/>
      <c r="NBN51" s="24"/>
      <c r="NBO51" s="24"/>
      <c r="NBP51" s="24"/>
      <c r="NBQ51" s="24"/>
      <c r="NBR51" s="24"/>
      <c r="NBS51" s="24"/>
      <c r="NBT51" s="24"/>
      <c r="NBU51" s="24"/>
      <c r="NBV51" s="24"/>
      <c r="NBW51" s="24"/>
      <c r="NBX51" s="24"/>
      <c r="NBY51" s="24"/>
      <c r="NBZ51" s="24"/>
      <c r="NCA51" s="24"/>
      <c r="NCB51" s="24"/>
      <c r="NCC51" s="24"/>
      <c r="NCD51" s="24"/>
      <c r="NCE51" s="24"/>
      <c r="NCF51" s="24"/>
      <c r="NCG51" s="24"/>
      <c r="NCH51" s="24"/>
      <c r="NCI51" s="24"/>
      <c r="NCJ51" s="24"/>
      <c r="NCK51" s="24"/>
      <c r="NCL51" s="24"/>
      <c r="NCM51" s="24"/>
      <c r="NCN51" s="24"/>
      <c r="NCO51" s="24"/>
      <c r="NCP51" s="24"/>
      <c r="NCQ51" s="24"/>
      <c r="NCR51" s="24"/>
      <c r="NCS51" s="24"/>
      <c r="NCT51" s="24"/>
      <c r="NCU51" s="24"/>
      <c r="NCV51" s="24"/>
      <c r="NCW51" s="24"/>
      <c r="NCX51" s="24"/>
      <c r="NCY51" s="24"/>
      <c r="NCZ51" s="24"/>
      <c r="NDA51" s="24"/>
      <c r="NDB51" s="24"/>
      <c r="NDC51" s="24"/>
      <c r="NDD51" s="24"/>
      <c r="NDE51" s="24"/>
      <c r="NDF51" s="24"/>
      <c r="NDG51" s="24"/>
      <c r="NDH51" s="24"/>
      <c r="NDI51" s="24"/>
      <c r="NDJ51" s="24"/>
      <c r="NDK51" s="24"/>
      <c r="NDL51" s="24"/>
      <c r="NDM51" s="24"/>
      <c r="NDN51" s="24"/>
      <c r="NDO51" s="24"/>
      <c r="NDP51" s="24"/>
      <c r="NDQ51" s="24"/>
      <c r="NDR51" s="24"/>
      <c r="NDS51" s="24"/>
      <c r="NDT51" s="24"/>
      <c r="NDU51" s="24"/>
      <c r="NDV51" s="24"/>
      <c r="NDW51" s="24"/>
      <c r="NDX51" s="24"/>
      <c r="NDY51" s="24"/>
      <c r="NDZ51" s="24"/>
      <c r="NEA51" s="24"/>
      <c r="NEB51" s="24"/>
      <c r="NEC51" s="24"/>
      <c r="NED51" s="24"/>
      <c r="NEE51" s="24"/>
      <c r="NEF51" s="24"/>
      <c r="NEG51" s="24"/>
      <c r="NEH51" s="24"/>
      <c r="NEI51" s="24"/>
      <c r="NEJ51" s="24"/>
      <c r="NEK51" s="24"/>
      <c r="NEL51" s="24"/>
      <c r="NEM51" s="24"/>
      <c r="NEN51" s="24"/>
      <c r="NEO51" s="24"/>
      <c r="NEP51" s="24"/>
      <c r="NEQ51" s="24"/>
      <c r="NER51" s="24"/>
      <c r="NES51" s="24"/>
      <c r="NET51" s="24"/>
      <c r="NEU51" s="24"/>
      <c r="NEV51" s="24"/>
      <c r="NEW51" s="24"/>
      <c r="NEX51" s="24"/>
      <c r="NEY51" s="24"/>
      <c r="NEZ51" s="24"/>
      <c r="NFA51" s="24"/>
      <c r="NFB51" s="24"/>
      <c r="NFC51" s="24"/>
      <c r="NFD51" s="24"/>
      <c r="NFE51" s="24"/>
      <c r="NFF51" s="24"/>
      <c r="NFG51" s="24"/>
      <c r="NFH51" s="24"/>
      <c r="NFI51" s="24"/>
      <c r="NFJ51" s="24"/>
      <c r="NFK51" s="24"/>
      <c r="NFL51" s="24"/>
      <c r="NFM51" s="24"/>
      <c r="NFN51" s="24"/>
      <c r="NFO51" s="24"/>
      <c r="NFP51" s="24"/>
      <c r="NFQ51" s="24"/>
      <c r="NFR51" s="24"/>
      <c r="NFS51" s="24"/>
      <c r="NFT51" s="24"/>
      <c r="NFU51" s="24"/>
      <c r="NFV51" s="24"/>
      <c r="NFW51" s="24"/>
      <c r="NFX51" s="24"/>
      <c r="NFY51" s="24"/>
      <c r="NFZ51" s="24"/>
      <c r="NGA51" s="24"/>
      <c r="NGB51" s="24"/>
      <c r="NGC51" s="24"/>
      <c r="NGD51" s="24"/>
      <c r="NGE51" s="24"/>
      <c r="NGF51" s="24"/>
      <c r="NGG51" s="24"/>
      <c r="NGH51" s="24"/>
      <c r="NGI51" s="24"/>
      <c r="NGJ51" s="24"/>
      <c r="NGK51" s="24"/>
      <c r="NGL51" s="24"/>
      <c r="NGM51" s="24"/>
      <c r="NGN51" s="24"/>
      <c r="NGO51" s="24"/>
      <c r="NGP51" s="24"/>
      <c r="NGQ51" s="24"/>
      <c r="NGR51" s="24"/>
      <c r="NGS51" s="24"/>
      <c r="NGT51" s="24"/>
      <c r="NGU51" s="24"/>
      <c r="NGV51" s="24"/>
      <c r="NGW51" s="24"/>
      <c r="NGX51" s="24"/>
      <c r="NGY51" s="24"/>
      <c r="NGZ51" s="24"/>
      <c r="NHA51" s="24"/>
      <c r="NHB51" s="24"/>
      <c r="NHC51" s="24"/>
      <c r="NHD51" s="24"/>
      <c r="NHE51" s="24"/>
      <c r="NHF51" s="24"/>
      <c r="NHG51" s="24"/>
      <c r="NHH51" s="24"/>
      <c r="NHI51" s="24"/>
      <c r="NHJ51" s="24"/>
      <c r="NHK51" s="24"/>
      <c r="NHL51" s="24"/>
      <c r="NHM51" s="24"/>
      <c r="NHN51" s="24"/>
      <c r="NHO51" s="24"/>
      <c r="NHP51" s="24"/>
      <c r="NHQ51" s="24"/>
      <c r="NHR51" s="24"/>
      <c r="NHS51" s="24"/>
      <c r="NHT51" s="24"/>
      <c r="NHU51" s="24"/>
      <c r="NHV51" s="24"/>
      <c r="NHW51" s="24"/>
      <c r="NHX51" s="24"/>
      <c r="NHY51" s="24"/>
      <c r="NHZ51" s="24"/>
      <c r="NIA51" s="24"/>
      <c r="NIB51" s="24"/>
      <c r="NIC51" s="24"/>
      <c r="NID51" s="24"/>
      <c r="NIE51" s="24"/>
      <c r="NIF51" s="24"/>
      <c r="NIG51" s="24"/>
      <c r="NIH51" s="24"/>
      <c r="NII51" s="24"/>
      <c r="NIJ51" s="24"/>
      <c r="NIK51" s="24"/>
      <c r="NIL51" s="24"/>
      <c r="NIM51" s="24"/>
      <c r="NIN51" s="24"/>
      <c r="NIO51" s="24"/>
      <c r="NIP51" s="24"/>
      <c r="NIQ51" s="24"/>
      <c r="NIR51" s="24"/>
      <c r="NIS51" s="24"/>
      <c r="NIT51" s="24"/>
      <c r="NIU51" s="24"/>
      <c r="NIV51" s="24"/>
      <c r="NIW51" s="24"/>
      <c r="NIX51" s="24"/>
      <c r="NIY51" s="24"/>
      <c r="NIZ51" s="24"/>
      <c r="NJA51" s="24"/>
      <c r="NJB51" s="24"/>
      <c r="NJC51" s="24"/>
      <c r="NJD51" s="24"/>
      <c r="NJE51" s="24"/>
      <c r="NJF51" s="24"/>
      <c r="NJG51" s="24"/>
      <c r="NJH51" s="24"/>
      <c r="NJI51" s="24"/>
      <c r="NJJ51" s="24"/>
      <c r="NJK51" s="24"/>
      <c r="NJL51" s="24"/>
      <c r="NJM51" s="24"/>
      <c r="NJN51" s="24"/>
      <c r="NJO51" s="24"/>
      <c r="NJP51" s="24"/>
      <c r="NJQ51" s="24"/>
      <c r="NJR51" s="24"/>
      <c r="NJS51" s="24"/>
      <c r="NJT51" s="24"/>
      <c r="NJU51" s="24"/>
      <c r="NJV51" s="24"/>
      <c r="NJW51" s="24"/>
      <c r="NJX51" s="24"/>
      <c r="NJY51" s="24"/>
      <c r="NJZ51" s="24"/>
      <c r="NKA51" s="24"/>
      <c r="NKB51" s="24"/>
      <c r="NKC51" s="24"/>
      <c r="NKD51" s="24"/>
      <c r="NKE51" s="24"/>
      <c r="NKF51" s="24"/>
      <c r="NKG51" s="24"/>
      <c r="NKH51" s="24"/>
      <c r="NKI51" s="24"/>
      <c r="NKJ51" s="24"/>
      <c r="NKK51" s="24"/>
      <c r="NKL51" s="24"/>
      <c r="NKM51" s="24"/>
      <c r="NKN51" s="24"/>
      <c r="NKO51" s="24"/>
      <c r="NKP51" s="24"/>
      <c r="NKQ51" s="24"/>
      <c r="NKR51" s="24"/>
      <c r="NKS51" s="24"/>
      <c r="NKT51" s="24"/>
      <c r="NKU51" s="24"/>
      <c r="NKV51" s="24"/>
      <c r="NKW51" s="24"/>
      <c r="NKX51" s="24"/>
      <c r="NKY51" s="24"/>
      <c r="NKZ51" s="24"/>
      <c r="NLA51" s="24"/>
      <c r="NLB51" s="24"/>
      <c r="NLC51" s="24"/>
      <c r="NLD51" s="24"/>
      <c r="NLE51" s="24"/>
      <c r="NLF51" s="24"/>
      <c r="NLG51" s="24"/>
      <c r="NLH51" s="24"/>
      <c r="NLI51" s="24"/>
      <c r="NLJ51" s="24"/>
      <c r="NLK51" s="24"/>
      <c r="NLL51" s="24"/>
      <c r="NLM51" s="24"/>
      <c r="NLN51" s="24"/>
      <c r="NLO51" s="24"/>
      <c r="NLP51" s="24"/>
      <c r="NLQ51" s="24"/>
      <c r="NLR51" s="24"/>
      <c r="NLS51" s="24"/>
      <c r="NLT51" s="24"/>
      <c r="NLU51" s="24"/>
      <c r="NLV51" s="24"/>
      <c r="NLW51" s="24"/>
      <c r="NLX51" s="24"/>
      <c r="NLY51" s="24"/>
      <c r="NLZ51" s="24"/>
      <c r="NMA51" s="24"/>
      <c r="NMB51" s="24"/>
      <c r="NMC51" s="24"/>
      <c r="NMD51" s="24"/>
      <c r="NME51" s="24"/>
      <c r="NMF51" s="24"/>
      <c r="NMG51" s="24"/>
      <c r="NMH51" s="24"/>
      <c r="NMI51" s="24"/>
      <c r="NMJ51" s="24"/>
      <c r="NMK51" s="24"/>
      <c r="NML51" s="24"/>
      <c r="NMM51" s="24"/>
      <c r="NMN51" s="24"/>
      <c r="NMO51" s="24"/>
      <c r="NMP51" s="24"/>
      <c r="NMQ51" s="24"/>
      <c r="NMR51" s="24"/>
      <c r="NMS51" s="24"/>
      <c r="NMT51" s="24"/>
      <c r="NMU51" s="24"/>
      <c r="NMV51" s="24"/>
      <c r="NMW51" s="24"/>
      <c r="NMX51" s="24"/>
      <c r="NMY51" s="24"/>
      <c r="NMZ51" s="24"/>
      <c r="NNA51" s="24"/>
      <c r="NNB51" s="24"/>
      <c r="NNC51" s="24"/>
      <c r="NND51" s="24"/>
      <c r="NNE51" s="24"/>
      <c r="NNF51" s="24"/>
      <c r="NNG51" s="24"/>
      <c r="NNH51" s="24"/>
      <c r="NNI51" s="24"/>
      <c r="NNJ51" s="24"/>
      <c r="NNK51" s="24"/>
      <c r="NNL51" s="24"/>
      <c r="NNM51" s="24"/>
      <c r="NNN51" s="24"/>
      <c r="NNO51" s="24"/>
      <c r="NNP51" s="24"/>
      <c r="NNQ51" s="24"/>
      <c r="NNR51" s="24"/>
      <c r="NNS51" s="24"/>
      <c r="NNT51" s="24"/>
      <c r="NNU51" s="24"/>
      <c r="NNV51" s="24"/>
      <c r="NNW51" s="24"/>
      <c r="NNX51" s="24"/>
      <c r="NNY51" s="24"/>
      <c r="NNZ51" s="24"/>
      <c r="NOA51" s="24"/>
      <c r="NOB51" s="24"/>
      <c r="NOC51" s="24"/>
      <c r="NOD51" s="24"/>
      <c r="NOE51" s="24"/>
      <c r="NOF51" s="24"/>
      <c r="NOG51" s="24"/>
      <c r="NOH51" s="24"/>
      <c r="NOI51" s="24"/>
      <c r="NOJ51" s="24"/>
      <c r="NOK51" s="24"/>
      <c r="NOL51" s="24"/>
      <c r="NOM51" s="24"/>
      <c r="NON51" s="24"/>
      <c r="NOO51" s="24"/>
      <c r="NOP51" s="24"/>
      <c r="NOQ51" s="24"/>
      <c r="NOR51" s="24"/>
      <c r="NOS51" s="24"/>
      <c r="NOT51" s="24"/>
      <c r="NOU51" s="24"/>
      <c r="NOV51" s="24"/>
      <c r="NOW51" s="24"/>
      <c r="NOX51" s="24"/>
      <c r="NOY51" s="24"/>
      <c r="NOZ51" s="24"/>
      <c r="NPA51" s="24"/>
      <c r="NPB51" s="24"/>
      <c r="NPC51" s="24"/>
      <c r="NPD51" s="24"/>
      <c r="NPE51" s="24"/>
      <c r="NPF51" s="24"/>
      <c r="NPG51" s="24"/>
      <c r="NPH51" s="24"/>
      <c r="NPI51" s="24"/>
      <c r="NPJ51" s="24"/>
      <c r="NPK51" s="24"/>
      <c r="NPL51" s="24"/>
      <c r="NPM51" s="24"/>
      <c r="NPN51" s="24"/>
      <c r="NPO51" s="24"/>
      <c r="NPP51" s="24"/>
      <c r="NPQ51" s="24"/>
      <c r="NPR51" s="24"/>
      <c r="NPS51" s="24"/>
      <c r="NPT51" s="24"/>
      <c r="NPU51" s="24"/>
      <c r="NPV51" s="24"/>
      <c r="NPW51" s="24"/>
      <c r="NPX51" s="24"/>
      <c r="NPY51" s="24"/>
      <c r="NPZ51" s="24"/>
      <c r="NQA51" s="24"/>
      <c r="NQB51" s="24"/>
      <c r="NQC51" s="24"/>
      <c r="NQD51" s="24"/>
      <c r="NQE51" s="24"/>
      <c r="NQF51" s="24"/>
      <c r="NQG51" s="24"/>
      <c r="NQH51" s="24"/>
      <c r="NQI51" s="24"/>
      <c r="NQJ51" s="24"/>
      <c r="NQK51" s="24"/>
      <c r="NQL51" s="24"/>
      <c r="NQM51" s="24"/>
      <c r="NQN51" s="24"/>
      <c r="NQO51" s="24"/>
      <c r="NQP51" s="24"/>
      <c r="NQQ51" s="24"/>
      <c r="NQR51" s="24"/>
      <c r="NQS51" s="24"/>
      <c r="NQT51" s="24"/>
      <c r="NQU51" s="24"/>
      <c r="NQV51" s="24"/>
      <c r="NQW51" s="24"/>
      <c r="NQX51" s="24"/>
      <c r="NQY51" s="24"/>
      <c r="NQZ51" s="24"/>
      <c r="NRA51" s="24"/>
      <c r="NRB51" s="24"/>
      <c r="NRC51" s="24"/>
      <c r="NRD51" s="24"/>
      <c r="NRE51" s="24"/>
      <c r="NRF51" s="24"/>
      <c r="NRG51" s="24"/>
      <c r="NRH51" s="24"/>
      <c r="NRI51" s="24"/>
      <c r="NRJ51" s="24"/>
      <c r="NRK51" s="24"/>
      <c r="NRL51" s="24"/>
      <c r="NRM51" s="24"/>
      <c r="NRN51" s="24"/>
      <c r="NRO51" s="24"/>
      <c r="NRP51" s="24"/>
      <c r="NRQ51" s="24"/>
      <c r="NRR51" s="24"/>
      <c r="NRS51" s="24"/>
      <c r="NRT51" s="24"/>
      <c r="NRU51" s="24"/>
      <c r="NRV51" s="24"/>
      <c r="NRW51" s="24"/>
      <c r="NRX51" s="24"/>
      <c r="NRY51" s="24"/>
      <c r="NRZ51" s="24"/>
      <c r="NSA51" s="24"/>
      <c r="NSB51" s="24"/>
      <c r="NSC51" s="24"/>
      <c r="NSD51" s="24"/>
      <c r="NSE51" s="24"/>
      <c r="NSF51" s="24"/>
      <c r="NSG51" s="24"/>
      <c r="NSH51" s="24"/>
      <c r="NSI51" s="24"/>
      <c r="NSJ51" s="24"/>
      <c r="NSK51" s="24"/>
      <c r="NSL51" s="24"/>
      <c r="NSM51" s="24"/>
      <c r="NSN51" s="24"/>
      <c r="NSO51" s="24"/>
      <c r="NSP51" s="24"/>
      <c r="NSQ51" s="24"/>
      <c r="NSR51" s="24"/>
      <c r="NSS51" s="24"/>
      <c r="NST51" s="24"/>
      <c r="NSU51" s="24"/>
      <c r="NSV51" s="24"/>
      <c r="NSW51" s="24"/>
      <c r="NSX51" s="24"/>
      <c r="NSY51" s="24"/>
      <c r="NSZ51" s="24"/>
      <c r="NTA51" s="24"/>
      <c r="NTB51" s="24"/>
      <c r="NTC51" s="24"/>
      <c r="NTD51" s="24"/>
      <c r="NTE51" s="24"/>
      <c r="NTF51" s="24"/>
      <c r="NTG51" s="24"/>
      <c r="NTH51" s="24"/>
      <c r="NTI51" s="24"/>
      <c r="NTJ51" s="24"/>
      <c r="NTK51" s="24"/>
      <c r="NTL51" s="24"/>
      <c r="NTM51" s="24"/>
      <c r="NTN51" s="24"/>
      <c r="NTO51" s="24"/>
      <c r="NTP51" s="24"/>
      <c r="NTQ51" s="24"/>
      <c r="NTR51" s="24"/>
      <c r="NTS51" s="24"/>
      <c r="NTT51" s="24"/>
      <c r="NTU51" s="24"/>
      <c r="NTV51" s="24"/>
      <c r="NTW51" s="24"/>
      <c r="NTX51" s="24"/>
      <c r="NTY51" s="24"/>
      <c r="NTZ51" s="24"/>
      <c r="NUA51" s="24"/>
      <c r="NUB51" s="24"/>
      <c r="NUC51" s="24"/>
      <c r="NUD51" s="24"/>
      <c r="NUE51" s="24"/>
      <c r="NUF51" s="24"/>
      <c r="NUG51" s="24"/>
      <c r="NUH51" s="24"/>
      <c r="NUI51" s="24"/>
      <c r="NUJ51" s="24"/>
      <c r="NUK51" s="24"/>
      <c r="NUL51" s="24"/>
      <c r="NUM51" s="24"/>
      <c r="NUN51" s="24"/>
      <c r="NUO51" s="24"/>
      <c r="NUP51" s="24"/>
      <c r="NUQ51" s="24"/>
      <c r="NUR51" s="24"/>
      <c r="NUS51" s="24"/>
      <c r="NUT51" s="24"/>
      <c r="NUU51" s="24"/>
      <c r="NUV51" s="24"/>
      <c r="NUW51" s="24"/>
      <c r="NUX51" s="24"/>
      <c r="NUY51" s="24"/>
      <c r="NUZ51" s="24"/>
      <c r="NVA51" s="24"/>
      <c r="NVB51" s="24"/>
      <c r="NVC51" s="24"/>
      <c r="NVD51" s="24"/>
      <c r="NVE51" s="24"/>
      <c r="NVF51" s="24"/>
      <c r="NVG51" s="24"/>
      <c r="NVH51" s="24"/>
      <c r="NVI51" s="24"/>
      <c r="NVJ51" s="24"/>
      <c r="NVK51" s="24"/>
      <c r="NVL51" s="24"/>
      <c r="NVM51" s="24"/>
      <c r="NVN51" s="24"/>
      <c r="NVO51" s="24"/>
      <c r="NVP51" s="24"/>
      <c r="NVQ51" s="24"/>
      <c r="NVR51" s="24"/>
      <c r="NVS51" s="24"/>
      <c r="NVT51" s="24"/>
      <c r="NVU51" s="24"/>
      <c r="NVV51" s="24"/>
      <c r="NVW51" s="24"/>
      <c r="NVX51" s="24"/>
      <c r="NVY51" s="24"/>
      <c r="NVZ51" s="24"/>
      <c r="NWA51" s="24"/>
      <c r="NWB51" s="24"/>
      <c r="NWC51" s="24"/>
      <c r="NWD51" s="24"/>
      <c r="NWE51" s="24"/>
      <c r="NWF51" s="24"/>
      <c r="NWG51" s="24"/>
      <c r="NWH51" s="24"/>
      <c r="NWI51" s="24"/>
      <c r="NWJ51" s="24"/>
      <c r="NWK51" s="24"/>
      <c r="NWL51" s="24"/>
      <c r="NWM51" s="24"/>
      <c r="NWN51" s="24"/>
      <c r="NWO51" s="24"/>
      <c r="NWP51" s="24"/>
      <c r="NWQ51" s="24"/>
      <c r="NWR51" s="24"/>
      <c r="NWS51" s="24"/>
      <c r="NWT51" s="24"/>
      <c r="NWU51" s="24"/>
      <c r="NWV51" s="24"/>
      <c r="NWW51" s="24"/>
      <c r="NWX51" s="24"/>
      <c r="NWY51" s="24"/>
      <c r="NWZ51" s="24"/>
      <c r="NXA51" s="24"/>
      <c r="NXB51" s="24"/>
      <c r="NXC51" s="24"/>
      <c r="NXD51" s="24"/>
      <c r="NXE51" s="24"/>
      <c r="NXF51" s="24"/>
      <c r="NXG51" s="24"/>
      <c r="NXH51" s="24"/>
      <c r="NXI51" s="24"/>
      <c r="NXJ51" s="24"/>
      <c r="NXK51" s="24"/>
      <c r="NXL51" s="24"/>
      <c r="NXM51" s="24"/>
      <c r="NXN51" s="24"/>
      <c r="NXO51" s="24"/>
      <c r="NXP51" s="24"/>
      <c r="NXQ51" s="24"/>
      <c r="NXR51" s="24"/>
      <c r="NXS51" s="24"/>
      <c r="NXT51" s="24"/>
      <c r="NXU51" s="24"/>
      <c r="NXV51" s="24"/>
      <c r="NXW51" s="24"/>
      <c r="NXX51" s="24"/>
      <c r="NXY51" s="24"/>
      <c r="NXZ51" s="24"/>
      <c r="NYA51" s="24"/>
      <c r="NYB51" s="24"/>
      <c r="NYC51" s="24"/>
      <c r="NYD51" s="24"/>
      <c r="NYE51" s="24"/>
      <c r="NYF51" s="24"/>
      <c r="NYG51" s="24"/>
      <c r="NYH51" s="24"/>
      <c r="NYI51" s="24"/>
      <c r="NYJ51" s="24"/>
      <c r="NYK51" s="24"/>
      <c r="NYL51" s="24"/>
      <c r="NYM51" s="24"/>
      <c r="NYN51" s="24"/>
      <c r="NYO51" s="24"/>
      <c r="NYP51" s="24"/>
      <c r="NYQ51" s="24"/>
      <c r="NYR51" s="24"/>
      <c r="NYS51" s="24"/>
      <c r="NYT51" s="24"/>
      <c r="NYU51" s="24"/>
      <c r="NYV51" s="24"/>
      <c r="NYW51" s="24"/>
      <c r="NYX51" s="24"/>
      <c r="NYY51" s="24"/>
      <c r="NYZ51" s="24"/>
      <c r="NZA51" s="24"/>
      <c r="NZB51" s="24"/>
      <c r="NZC51" s="24"/>
      <c r="NZD51" s="24"/>
      <c r="NZE51" s="24"/>
      <c r="NZF51" s="24"/>
      <c r="NZG51" s="24"/>
      <c r="NZH51" s="24"/>
      <c r="NZI51" s="24"/>
      <c r="NZJ51" s="24"/>
      <c r="NZK51" s="24"/>
      <c r="NZL51" s="24"/>
      <c r="NZM51" s="24"/>
      <c r="NZN51" s="24"/>
      <c r="NZO51" s="24"/>
      <c r="NZP51" s="24"/>
      <c r="NZQ51" s="24"/>
      <c r="NZR51" s="24"/>
      <c r="NZS51" s="24"/>
      <c r="NZT51" s="24"/>
      <c r="NZU51" s="24"/>
      <c r="NZV51" s="24"/>
      <c r="NZW51" s="24"/>
      <c r="NZX51" s="24"/>
      <c r="NZY51" s="24"/>
      <c r="NZZ51" s="24"/>
      <c r="OAA51" s="24"/>
      <c r="OAB51" s="24"/>
      <c r="OAC51" s="24"/>
      <c r="OAD51" s="24"/>
      <c r="OAE51" s="24"/>
      <c r="OAF51" s="24"/>
      <c r="OAG51" s="24"/>
      <c r="OAH51" s="24"/>
      <c r="OAI51" s="24"/>
      <c r="OAJ51" s="24"/>
      <c r="OAK51" s="24"/>
      <c r="OAL51" s="24"/>
      <c r="OAM51" s="24"/>
      <c r="OAN51" s="24"/>
      <c r="OAO51" s="24"/>
      <c r="OAP51" s="24"/>
      <c r="OAQ51" s="24"/>
      <c r="OAR51" s="24"/>
      <c r="OAS51" s="24"/>
      <c r="OAT51" s="24"/>
      <c r="OAU51" s="24"/>
      <c r="OAV51" s="24"/>
      <c r="OAW51" s="24"/>
      <c r="OAX51" s="24"/>
      <c r="OAY51" s="24"/>
      <c r="OAZ51" s="24"/>
      <c r="OBA51" s="24"/>
      <c r="OBB51" s="24"/>
      <c r="OBC51" s="24"/>
      <c r="OBD51" s="24"/>
      <c r="OBE51" s="24"/>
      <c r="OBF51" s="24"/>
      <c r="OBG51" s="24"/>
      <c r="OBH51" s="24"/>
      <c r="OBI51" s="24"/>
      <c r="OBJ51" s="24"/>
      <c r="OBK51" s="24"/>
      <c r="OBL51" s="24"/>
      <c r="OBM51" s="24"/>
      <c r="OBN51" s="24"/>
      <c r="OBO51" s="24"/>
      <c r="OBP51" s="24"/>
      <c r="OBQ51" s="24"/>
      <c r="OBR51" s="24"/>
      <c r="OBS51" s="24"/>
      <c r="OBT51" s="24"/>
      <c r="OBU51" s="24"/>
      <c r="OBV51" s="24"/>
      <c r="OBW51" s="24"/>
      <c r="OBX51" s="24"/>
      <c r="OBY51" s="24"/>
      <c r="OBZ51" s="24"/>
      <c r="OCA51" s="24"/>
      <c r="OCB51" s="24"/>
      <c r="OCC51" s="24"/>
      <c r="OCD51" s="24"/>
      <c r="OCE51" s="24"/>
      <c r="OCF51" s="24"/>
      <c r="OCG51" s="24"/>
      <c r="OCH51" s="24"/>
      <c r="OCI51" s="24"/>
      <c r="OCJ51" s="24"/>
      <c r="OCK51" s="24"/>
      <c r="OCL51" s="24"/>
      <c r="OCM51" s="24"/>
      <c r="OCN51" s="24"/>
      <c r="OCO51" s="24"/>
      <c r="OCP51" s="24"/>
      <c r="OCQ51" s="24"/>
      <c r="OCR51" s="24"/>
      <c r="OCS51" s="24"/>
      <c r="OCT51" s="24"/>
      <c r="OCU51" s="24"/>
      <c r="OCV51" s="24"/>
      <c r="OCW51" s="24"/>
      <c r="OCX51" s="24"/>
      <c r="OCY51" s="24"/>
      <c r="OCZ51" s="24"/>
      <c r="ODA51" s="24"/>
      <c r="ODB51" s="24"/>
      <c r="ODC51" s="24"/>
      <c r="ODD51" s="24"/>
      <c r="ODE51" s="24"/>
      <c r="ODF51" s="24"/>
      <c r="ODG51" s="24"/>
      <c r="ODH51" s="24"/>
      <c r="ODI51" s="24"/>
      <c r="ODJ51" s="24"/>
      <c r="ODK51" s="24"/>
      <c r="ODL51" s="24"/>
      <c r="ODM51" s="24"/>
      <c r="ODN51" s="24"/>
      <c r="ODO51" s="24"/>
      <c r="ODP51" s="24"/>
      <c r="ODQ51" s="24"/>
      <c r="ODR51" s="24"/>
      <c r="ODS51" s="24"/>
      <c r="ODT51" s="24"/>
      <c r="ODU51" s="24"/>
      <c r="ODV51" s="24"/>
      <c r="ODW51" s="24"/>
      <c r="ODX51" s="24"/>
      <c r="ODY51" s="24"/>
      <c r="ODZ51" s="24"/>
      <c r="OEA51" s="24"/>
      <c r="OEB51" s="24"/>
      <c r="OEC51" s="24"/>
      <c r="OED51" s="24"/>
      <c r="OEE51" s="24"/>
      <c r="OEF51" s="24"/>
      <c r="OEG51" s="24"/>
      <c r="OEH51" s="24"/>
      <c r="OEI51" s="24"/>
      <c r="OEJ51" s="24"/>
      <c r="OEK51" s="24"/>
      <c r="OEL51" s="24"/>
      <c r="OEM51" s="24"/>
      <c r="OEN51" s="24"/>
      <c r="OEO51" s="24"/>
      <c r="OEP51" s="24"/>
      <c r="OEQ51" s="24"/>
      <c r="OER51" s="24"/>
      <c r="OES51" s="24"/>
      <c r="OET51" s="24"/>
      <c r="OEU51" s="24"/>
      <c r="OEV51" s="24"/>
      <c r="OEW51" s="24"/>
      <c r="OEX51" s="24"/>
      <c r="OEY51" s="24"/>
      <c r="OEZ51" s="24"/>
      <c r="OFA51" s="24"/>
      <c r="OFB51" s="24"/>
      <c r="OFC51" s="24"/>
      <c r="OFD51" s="24"/>
      <c r="OFE51" s="24"/>
      <c r="OFF51" s="24"/>
      <c r="OFG51" s="24"/>
      <c r="OFH51" s="24"/>
      <c r="OFI51" s="24"/>
      <c r="OFJ51" s="24"/>
      <c r="OFK51" s="24"/>
      <c r="OFL51" s="24"/>
      <c r="OFM51" s="24"/>
      <c r="OFN51" s="24"/>
      <c r="OFO51" s="24"/>
      <c r="OFP51" s="24"/>
      <c r="OFQ51" s="24"/>
      <c r="OFR51" s="24"/>
      <c r="OFS51" s="24"/>
      <c r="OFT51" s="24"/>
      <c r="OFU51" s="24"/>
      <c r="OFV51" s="24"/>
      <c r="OFW51" s="24"/>
      <c r="OFX51" s="24"/>
      <c r="OFY51" s="24"/>
      <c r="OFZ51" s="24"/>
      <c r="OGA51" s="24"/>
      <c r="OGB51" s="24"/>
      <c r="OGC51" s="24"/>
      <c r="OGD51" s="24"/>
      <c r="OGE51" s="24"/>
      <c r="OGF51" s="24"/>
      <c r="OGG51" s="24"/>
      <c r="OGH51" s="24"/>
      <c r="OGI51" s="24"/>
      <c r="OGJ51" s="24"/>
      <c r="OGK51" s="24"/>
      <c r="OGL51" s="24"/>
      <c r="OGM51" s="24"/>
      <c r="OGN51" s="24"/>
      <c r="OGO51" s="24"/>
      <c r="OGP51" s="24"/>
      <c r="OGQ51" s="24"/>
      <c r="OGR51" s="24"/>
      <c r="OGS51" s="24"/>
      <c r="OGT51" s="24"/>
      <c r="OGU51" s="24"/>
      <c r="OGV51" s="24"/>
      <c r="OGW51" s="24"/>
      <c r="OGX51" s="24"/>
      <c r="OGY51" s="24"/>
      <c r="OGZ51" s="24"/>
      <c r="OHA51" s="24"/>
      <c r="OHB51" s="24"/>
      <c r="OHC51" s="24"/>
      <c r="OHD51" s="24"/>
      <c r="OHE51" s="24"/>
      <c r="OHF51" s="24"/>
      <c r="OHG51" s="24"/>
      <c r="OHH51" s="24"/>
      <c r="OHI51" s="24"/>
      <c r="OHJ51" s="24"/>
      <c r="OHK51" s="24"/>
      <c r="OHL51" s="24"/>
      <c r="OHM51" s="24"/>
      <c r="OHN51" s="24"/>
      <c r="OHO51" s="24"/>
      <c r="OHP51" s="24"/>
      <c r="OHQ51" s="24"/>
      <c r="OHR51" s="24"/>
      <c r="OHS51" s="24"/>
      <c r="OHT51" s="24"/>
      <c r="OHU51" s="24"/>
      <c r="OHV51" s="24"/>
      <c r="OHW51" s="24"/>
      <c r="OHX51" s="24"/>
      <c r="OHY51" s="24"/>
      <c r="OHZ51" s="24"/>
      <c r="OIA51" s="24"/>
      <c r="OIB51" s="24"/>
      <c r="OIC51" s="24"/>
      <c r="OID51" s="24"/>
      <c r="OIE51" s="24"/>
      <c r="OIF51" s="24"/>
      <c r="OIG51" s="24"/>
      <c r="OIH51" s="24"/>
      <c r="OII51" s="24"/>
      <c r="OIJ51" s="24"/>
      <c r="OIK51" s="24"/>
      <c r="OIL51" s="24"/>
      <c r="OIM51" s="24"/>
      <c r="OIN51" s="24"/>
      <c r="OIO51" s="24"/>
      <c r="OIP51" s="24"/>
      <c r="OIQ51" s="24"/>
      <c r="OIR51" s="24"/>
      <c r="OIS51" s="24"/>
      <c r="OIT51" s="24"/>
      <c r="OIU51" s="24"/>
      <c r="OIV51" s="24"/>
      <c r="OIW51" s="24"/>
      <c r="OIX51" s="24"/>
      <c r="OIY51" s="24"/>
      <c r="OIZ51" s="24"/>
      <c r="OJA51" s="24"/>
      <c r="OJB51" s="24"/>
      <c r="OJC51" s="24"/>
      <c r="OJD51" s="24"/>
      <c r="OJE51" s="24"/>
      <c r="OJF51" s="24"/>
      <c r="OJG51" s="24"/>
      <c r="OJH51" s="24"/>
      <c r="OJI51" s="24"/>
      <c r="OJJ51" s="24"/>
      <c r="OJK51" s="24"/>
      <c r="OJL51" s="24"/>
      <c r="OJM51" s="24"/>
      <c r="OJN51" s="24"/>
      <c r="OJO51" s="24"/>
      <c r="OJP51" s="24"/>
      <c r="OJQ51" s="24"/>
      <c r="OJR51" s="24"/>
      <c r="OJS51" s="24"/>
      <c r="OJT51" s="24"/>
      <c r="OJU51" s="24"/>
      <c r="OJV51" s="24"/>
      <c r="OJW51" s="24"/>
      <c r="OJX51" s="24"/>
      <c r="OJY51" s="24"/>
      <c r="OJZ51" s="24"/>
      <c r="OKA51" s="24"/>
      <c r="OKB51" s="24"/>
      <c r="OKC51" s="24"/>
      <c r="OKD51" s="24"/>
      <c r="OKE51" s="24"/>
      <c r="OKF51" s="24"/>
      <c r="OKG51" s="24"/>
      <c r="OKH51" s="24"/>
      <c r="OKI51" s="24"/>
      <c r="OKJ51" s="24"/>
      <c r="OKK51" s="24"/>
      <c r="OKL51" s="24"/>
      <c r="OKM51" s="24"/>
      <c r="OKN51" s="24"/>
      <c r="OKO51" s="24"/>
      <c r="OKP51" s="24"/>
      <c r="OKQ51" s="24"/>
      <c r="OKR51" s="24"/>
      <c r="OKS51" s="24"/>
      <c r="OKT51" s="24"/>
      <c r="OKU51" s="24"/>
      <c r="OKV51" s="24"/>
      <c r="OKW51" s="24"/>
      <c r="OKX51" s="24"/>
      <c r="OKY51" s="24"/>
      <c r="OKZ51" s="24"/>
      <c r="OLA51" s="24"/>
      <c r="OLB51" s="24"/>
      <c r="OLC51" s="24"/>
      <c r="OLD51" s="24"/>
      <c r="OLE51" s="24"/>
      <c r="OLF51" s="24"/>
      <c r="OLG51" s="24"/>
      <c r="OLH51" s="24"/>
      <c r="OLI51" s="24"/>
      <c r="OLJ51" s="24"/>
      <c r="OLK51" s="24"/>
      <c r="OLL51" s="24"/>
      <c r="OLM51" s="24"/>
      <c r="OLN51" s="24"/>
      <c r="OLO51" s="24"/>
      <c r="OLP51" s="24"/>
      <c r="OLQ51" s="24"/>
      <c r="OLR51" s="24"/>
      <c r="OLS51" s="24"/>
      <c r="OLT51" s="24"/>
      <c r="OLU51" s="24"/>
      <c r="OLV51" s="24"/>
      <c r="OLW51" s="24"/>
      <c r="OLX51" s="24"/>
      <c r="OLY51" s="24"/>
      <c r="OLZ51" s="24"/>
      <c r="OMA51" s="24"/>
      <c r="OMB51" s="24"/>
      <c r="OMC51" s="24"/>
      <c r="OMD51" s="24"/>
      <c r="OME51" s="24"/>
      <c r="OMF51" s="24"/>
      <c r="OMG51" s="24"/>
      <c r="OMH51" s="24"/>
      <c r="OMI51" s="24"/>
      <c r="OMJ51" s="24"/>
      <c r="OMK51" s="24"/>
      <c r="OML51" s="24"/>
      <c r="OMM51" s="24"/>
      <c r="OMN51" s="24"/>
      <c r="OMO51" s="24"/>
      <c r="OMP51" s="24"/>
      <c r="OMQ51" s="24"/>
      <c r="OMR51" s="24"/>
      <c r="OMS51" s="24"/>
      <c r="OMT51" s="24"/>
      <c r="OMU51" s="24"/>
      <c r="OMV51" s="24"/>
      <c r="OMW51" s="24"/>
      <c r="OMX51" s="24"/>
      <c r="OMY51" s="24"/>
      <c r="OMZ51" s="24"/>
      <c r="ONA51" s="24"/>
      <c r="ONB51" s="24"/>
      <c r="ONC51" s="24"/>
      <c r="OND51" s="24"/>
      <c r="ONE51" s="24"/>
      <c r="ONF51" s="24"/>
      <c r="ONG51" s="24"/>
      <c r="ONH51" s="24"/>
      <c r="ONI51" s="24"/>
      <c r="ONJ51" s="24"/>
      <c r="ONK51" s="24"/>
      <c r="ONL51" s="24"/>
      <c r="ONM51" s="24"/>
      <c r="ONN51" s="24"/>
      <c r="ONO51" s="24"/>
      <c r="ONP51" s="24"/>
      <c r="ONQ51" s="24"/>
      <c r="ONR51" s="24"/>
      <c r="ONS51" s="24"/>
      <c r="ONT51" s="24"/>
      <c r="ONU51" s="24"/>
      <c r="ONV51" s="24"/>
      <c r="ONW51" s="24"/>
      <c r="ONX51" s="24"/>
      <c r="ONY51" s="24"/>
      <c r="ONZ51" s="24"/>
      <c r="OOA51" s="24"/>
      <c r="OOB51" s="24"/>
      <c r="OOC51" s="24"/>
      <c r="OOD51" s="24"/>
      <c r="OOE51" s="24"/>
      <c r="OOF51" s="24"/>
      <c r="OOG51" s="24"/>
      <c r="OOH51" s="24"/>
      <c r="OOI51" s="24"/>
      <c r="OOJ51" s="24"/>
      <c r="OOK51" s="24"/>
      <c r="OOL51" s="24"/>
      <c r="OOM51" s="24"/>
      <c r="OON51" s="24"/>
      <c r="OOO51" s="24"/>
      <c r="OOP51" s="24"/>
      <c r="OOQ51" s="24"/>
      <c r="OOR51" s="24"/>
      <c r="OOS51" s="24"/>
      <c r="OOT51" s="24"/>
      <c r="OOU51" s="24"/>
      <c r="OOV51" s="24"/>
      <c r="OOW51" s="24"/>
      <c r="OOX51" s="24"/>
      <c r="OOY51" s="24"/>
      <c r="OOZ51" s="24"/>
      <c r="OPA51" s="24"/>
      <c r="OPB51" s="24"/>
      <c r="OPC51" s="24"/>
      <c r="OPD51" s="24"/>
      <c r="OPE51" s="24"/>
      <c r="OPF51" s="24"/>
      <c r="OPG51" s="24"/>
      <c r="OPH51" s="24"/>
      <c r="OPI51" s="24"/>
      <c r="OPJ51" s="24"/>
      <c r="OPK51" s="24"/>
      <c r="OPL51" s="24"/>
      <c r="OPM51" s="24"/>
      <c r="OPN51" s="24"/>
      <c r="OPO51" s="24"/>
      <c r="OPP51" s="24"/>
      <c r="OPQ51" s="24"/>
      <c r="OPR51" s="24"/>
      <c r="OPS51" s="24"/>
      <c r="OPT51" s="24"/>
      <c r="OPU51" s="24"/>
      <c r="OPV51" s="24"/>
      <c r="OPW51" s="24"/>
      <c r="OPX51" s="24"/>
      <c r="OPY51" s="24"/>
      <c r="OPZ51" s="24"/>
      <c r="OQA51" s="24"/>
      <c r="OQB51" s="24"/>
      <c r="OQC51" s="24"/>
      <c r="OQD51" s="24"/>
      <c r="OQE51" s="24"/>
      <c r="OQF51" s="24"/>
      <c r="OQG51" s="24"/>
      <c r="OQH51" s="24"/>
      <c r="OQI51" s="24"/>
      <c r="OQJ51" s="24"/>
      <c r="OQK51" s="24"/>
      <c r="OQL51" s="24"/>
      <c r="OQM51" s="24"/>
      <c r="OQN51" s="24"/>
      <c r="OQO51" s="24"/>
      <c r="OQP51" s="24"/>
      <c r="OQQ51" s="24"/>
      <c r="OQR51" s="24"/>
      <c r="OQS51" s="24"/>
      <c r="OQT51" s="24"/>
      <c r="OQU51" s="24"/>
      <c r="OQV51" s="24"/>
      <c r="OQW51" s="24"/>
      <c r="OQX51" s="24"/>
      <c r="OQY51" s="24"/>
      <c r="OQZ51" s="24"/>
      <c r="ORA51" s="24"/>
      <c r="ORB51" s="24"/>
      <c r="ORC51" s="24"/>
      <c r="ORD51" s="24"/>
      <c r="ORE51" s="24"/>
      <c r="ORF51" s="24"/>
      <c r="ORG51" s="24"/>
      <c r="ORH51" s="24"/>
      <c r="ORI51" s="24"/>
      <c r="ORJ51" s="24"/>
      <c r="ORK51" s="24"/>
      <c r="ORL51" s="24"/>
      <c r="ORM51" s="24"/>
      <c r="ORN51" s="24"/>
      <c r="ORO51" s="24"/>
      <c r="ORP51" s="24"/>
      <c r="ORQ51" s="24"/>
      <c r="ORR51" s="24"/>
      <c r="ORS51" s="24"/>
      <c r="ORT51" s="24"/>
      <c r="ORU51" s="24"/>
      <c r="ORV51" s="24"/>
      <c r="ORW51" s="24"/>
      <c r="ORX51" s="24"/>
      <c r="ORY51" s="24"/>
      <c r="ORZ51" s="24"/>
      <c r="OSA51" s="24"/>
      <c r="OSB51" s="24"/>
      <c r="OSC51" s="24"/>
      <c r="OSD51" s="24"/>
      <c r="OSE51" s="24"/>
      <c r="OSF51" s="24"/>
      <c r="OSG51" s="24"/>
      <c r="OSH51" s="24"/>
      <c r="OSI51" s="24"/>
      <c r="OSJ51" s="24"/>
      <c r="OSK51" s="24"/>
      <c r="OSL51" s="24"/>
      <c r="OSM51" s="24"/>
      <c r="OSN51" s="24"/>
      <c r="OSO51" s="24"/>
      <c r="OSP51" s="24"/>
      <c r="OSQ51" s="24"/>
      <c r="OSR51" s="24"/>
      <c r="OSS51" s="24"/>
      <c r="OST51" s="24"/>
      <c r="OSU51" s="24"/>
      <c r="OSV51" s="24"/>
      <c r="OSW51" s="24"/>
      <c r="OSX51" s="24"/>
      <c r="OSY51" s="24"/>
      <c r="OSZ51" s="24"/>
      <c r="OTA51" s="24"/>
      <c r="OTB51" s="24"/>
      <c r="OTC51" s="24"/>
      <c r="OTD51" s="24"/>
      <c r="OTE51" s="24"/>
      <c r="OTF51" s="24"/>
      <c r="OTG51" s="24"/>
      <c r="OTH51" s="24"/>
      <c r="OTI51" s="24"/>
      <c r="OTJ51" s="24"/>
      <c r="OTK51" s="24"/>
      <c r="OTL51" s="24"/>
      <c r="OTM51" s="24"/>
      <c r="OTN51" s="24"/>
      <c r="OTO51" s="24"/>
      <c r="OTP51" s="24"/>
      <c r="OTQ51" s="24"/>
      <c r="OTR51" s="24"/>
      <c r="OTS51" s="24"/>
      <c r="OTT51" s="24"/>
      <c r="OTU51" s="24"/>
      <c r="OTV51" s="24"/>
      <c r="OTW51" s="24"/>
      <c r="OTX51" s="24"/>
      <c r="OTY51" s="24"/>
      <c r="OTZ51" s="24"/>
      <c r="OUA51" s="24"/>
      <c r="OUB51" s="24"/>
      <c r="OUC51" s="24"/>
      <c r="OUD51" s="24"/>
      <c r="OUE51" s="24"/>
      <c r="OUF51" s="24"/>
      <c r="OUG51" s="24"/>
      <c r="OUH51" s="24"/>
      <c r="OUI51" s="24"/>
      <c r="OUJ51" s="24"/>
      <c r="OUK51" s="24"/>
      <c r="OUL51" s="24"/>
      <c r="OUM51" s="24"/>
      <c r="OUN51" s="24"/>
      <c r="OUO51" s="24"/>
      <c r="OUP51" s="24"/>
      <c r="OUQ51" s="24"/>
      <c r="OUR51" s="24"/>
      <c r="OUS51" s="24"/>
      <c r="OUT51" s="24"/>
      <c r="OUU51" s="24"/>
      <c r="OUV51" s="24"/>
      <c r="OUW51" s="24"/>
      <c r="OUX51" s="24"/>
      <c r="OUY51" s="24"/>
      <c r="OUZ51" s="24"/>
      <c r="OVA51" s="24"/>
      <c r="OVB51" s="24"/>
      <c r="OVC51" s="24"/>
      <c r="OVD51" s="24"/>
      <c r="OVE51" s="24"/>
      <c r="OVF51" s="24"/>
      <c r="OVG51" s="24"/>
      <c r="OVH51" s="24"/>
      <c r="OVI51" s="24"/>
      <c r="OVJ51" s="24"/>
      <c r="OVK51" s="24"/>
      <c r="OVL51" s="24"/>
      <c r="OVM51" s="24"/>
      <c r="OVN51" s="24"/>
      <c r="OVO51" s="24"/>
      <c r="OVP51" s="24"/>
      <c r="OVQ51" s="24"/>
      <c r="OVR51" s="24"/>
      <c r="OVS51" s="24"/>
      <c r="OVT51" s="24"/>
      <c r="OVU51" s="24"/>
      <c r="OVV51" s="24"/>
      <c r="OVW51" s="24"/>
      <c r="OVX51" s="24"/>
      <c r="OVY51" s="24"/>
      <c r="OVZ51" s="24"/>
      <c r="OWA51" s="24"/>
      <c r="OWB51" s="24"/>
      <c r="OWC51" s="24"/>
      <c r="OWD51" s="24"/>
      <c r="OWE51" s="24"/>
      <c r="OWF51" s="24"/>
      <c r="OWG51" s="24"/>
      <c r="OWH51" s="24"/>
      <c r="OWI51" s="24"/>
      <c r="OWJ51" s="24"/>
      <c r="OWK51" s="24"/>
      <c r="OWL51" s="24"/>
      <c r="OWM51" s="24"/>
      <c r="OWN51" s="24"/>
      <c r="OWO51" s="24"/>
      <c r="OWP51" s="24"/>
      <c r="OWQ51" s="24"/>
      <c r="OWR51" s="24"/>
      <c r="OWS51" s="24"/>
      <c r="OWT51" s="24"/>
      <c r="OWU51" s="24"/>
      <c r="OWV51" s="24"/>
      <c r="OWW51" s="24"/>
      <c r="OWX51" s="24"/>
      <c r="OWY51" s="24"/>
      <c r="OWZ51" s="24"/>
      <c r="OXA51" s="24"/>
      <c r="OXB51" s="24"/>
      <c r="OXC51" s="24"/>
      <c r="OXD51" s="24"/>
      <c r="OXE51" s="24"/>
      <c r="OXF51" s="24"/>
      <c r="OXG51" s="24"/>
      <c r="OXH51" s="24"/>
      <c r="OXI51" s="24"/>
      <c r="OXJ51" s="24"/>
      <c r="OXK51" s="24"/>
      <c r="OXL51" s="24"/>
      <c r="OXM51" s="24"/>
      <c r="OXN51" s="24"/>
      <c r="OXO51" s="24"/>
      <c r="OXP51" s="24"/>
      <c r="OXQ51" s="24"/>
      <c r="OXR51" s="24"/>
      <c r="OXS51" s="24"/>
      <c r="OXT51" s="24"/>
      <c r="OXU51" s="24"/>
      <c r="OXV51" s="24"/>
      <c r="OXW51" s="24"/>
      <c r="OXX51" s="24"/>
      <c r="OXY51" s="24"/>
      <c r="OXZ51" s="24"/>
      <c r="OYA51" s="24"/>
      <c r="OYB51" s="24"/>
      <c r="OYC51" s="24"/>
      <c r="OYD51" s="24"/>
      <c r="OYE51" s="24"/>
      <c r="OYF51" s="24"/>
      <c r="OYG51" s="24"/>
      <c r="OYH51" s="24"/>
      <c r="OYI51" s="24"/>
      <c r="OYJ51" s="24"/>
      <c r="OYK51" s="24"/>
      <c r="OYL51" s="24"/>
      <c r="OYM51" s="24"/>
      <c r="OYN51" s="24"/>
      <c r="OYO51" s="24"/>
      <c r="OYP51" s="24"/>
      <c r="OYQ51" s="24"/>
      <c r="OYR51" s="24"/>
      <c r="OYS51" s="24"/>
      <c r="OYT51" s="24"/>
      <c r="OYU51" s="24"/>
      <c r="OYV51" s="24"/>
      <c r="OYW51" s="24"/>
      <c r="OYX51" s="24"/>
      <c r="OYY51" s="24"/>
      <c r="OYZ51" s="24"/>
      <c r="OZA51" s="24"/>
      <c r="OZB51" s="24"/>
      <c r="OZC51" s="24"/>
      <c r="OZD51" s="24"/>
      <c r="OZE51" s="24"/>
      <c r="OZF51" s="24"/>
      <c r="OZG51" s="24"/>
      <c r="OZH51" s="24"/>
      <c r="OZI51" s="24"/>
      <c r="OZJ51" s="24"/>
      <c r="OZK51" s="24"/>
      <c r="OZL51" s="24"/>
      <c r="OZM51" s="24"/>
      <c r="OZN51" s="24"/>
      <c r="OZO51" s="24"/>
      <c r="OZP51" s="24"/>
      <c r="OZQ51" s="24"/>
      <c r="OZR51" s="24"/>
      <c r="OZS51" s="24"/>
      <c r="OZT51" s="24"/>
      <c r="OZU51" s="24"/>
      <c r="OZV51" s="24"/>
      <c r="OZW51" s="24"/>
      <c r="OZX51" s="24"/>
      <c r="OZY51" s="24"/>
      <c r="OZZ51" s="24"/>
      <c r="PAA51" s="24"/>
      <c r="PAB51" s="24"/>
      <c r="PAC51" s="24"/>
      <c r="PAD51" s="24"/>
      <c r="PAE51" s="24"/>
      <c r="PAF51" s="24"/>
      <c r="PAG51" s="24"/>
      <c r="PAH51" s="24"/>
      <c r="PAI51" s="24"/>
      <c r="PAJ51" s="24"/>
      <c r="PAK51" s="24"/>
      <c r="PAL51" s="24"/>
      <c r="PAM51" s="24"/>
      <c r="PAN51" s="24"/>
      <c r="PAO51" s="24"/>
      <c r="PAP51" s="24"/>
      <c r="PAQ51" s="24"/>
      <c r="PAR51" s="24"/>
      <c r="PAS51" s="24"/>
      <c r="PAT51" s="24"/>
      <c r="PAU51" s="24"/>
      <c r="PAV51" s="24"/>
      <c r="PAW51" s="24"/>
      <c r="PAX51" s="24"/>
      <c r="PAY51" s="24"/>
      <c r="PAZ51" s="24"/>
      <c r="PBA51" s="24"/>
      <c r="PBB51" s="24"/>
      <c r="PBC51" s="24"/>
      <c r="PBD51" s="24"/>
      <c r="PBE51" s="24"/>
      <c r="PBF51" s="24"/>
      <c r="PBG51" s="24"/>
      <c r="PBH51" s="24"/>
      <c r="PBI51" s="24"/>
      <c r="PBJ51" s="24"/>
      <c r="PBK51" s="24"/>
      <c r="PBL51" s="24"/>
      <c r="PBM51" s="24"/>
      <c r="PBN51" s="24"/>
      <c r="PBO51" s="24"/>
      <c r="PBP51" s="24"/>
      <c r="PBQ51" s="24"/>
      <c r="PBR51" s="24"/>
      <c r="PBS51" s="24"/>
      <c r="PBT51" s="24"/>
      <c r="PBU51" s="24"/>
      <c r="PBV51" s="24"/>
      <c r="PBW51" s="24"/>
      <c r="PBX51" s="24"/>
      <c r="PBY51" s="24"/>
      <c r="PBZ51" s="24"/>
      <c r="PCA51" s="24"/>
      <c r="PCB51" s="24"/>
      <c r="PCC51" s="24"/>
      <c r="PCD51" s="24"/>
      <c r="PCE51" s="24"/>
      <c r="PCF51" s="24"/>
      <c r="PCG51" s="24"/>
      <c r="PCH51" s="24"/>
      <c r="PCI51" s="24"/>
      <c r="PCJ51" s="24"/>
      <c r="PCK51" s="24"/>
      <c r="PCL51" s="24"/>
      <c r="PCM51" s="24"/>
      <c r="PCN51" s="24"/>
      <c r="PCO51" s="24"/>
      <c r="PCP51" s="24"/>
      <c r="PCQ51" s="24"/>
      <c r="PCR51" s="24"/>
      <c r="PCS51" s="24"/>
      <c r="PCT51" s="24"/>
      <c r="PCU51" s="24"/>
      <c r="PCV51" s="24"/>
      <c r="PCW51" s="24"/>
      <c r="PCX51" s="24"/>
      <c r="PCY51" s="24"/>
      <c r="PCZ51" s="24"/>
      <c r="PDA51" s="24"/>
      <c r="PDB51" s="24"/>
      <c r="PDC51" s="24"/>
      <c r="PDD51" s="24"/>
      <c r="PDE51" s="24"/>
      <c r="PDF51" s="24"/>
      <c r="PDG51" s="24"/>
      <c r="PDH51" s="24"/>
      <c r="PDI51" s="24"/>
      <c r="PDJ51" s="24"/>
      <c r="PDK51" s="24"/>
      <c r="PDL51" s="24"/>
      <c r="PDM51" s="24"/>
      <c r="PDN51" s="24"/>
      <c r="PDO51" s="24"/>
      <c r="PDP51" s="24"/>
      <c r="PDQ51" s="24"/>
      <c r="PDR51" s="24"/>
      <c r="PDS51" s="24"/>
      <c r="PDT51" s="24"/>
      <c r="PDU51" s="24"/>
      <c r="PDV51" s="24"/>
      <c r="PDW51" s="24"/>
      <c r="PDX51" s="24"/>
      <c r="PDY51" s="24"/>
      <c r="PDZ51" s="24"/>
      <c r="PEA51" s="24"/>
      <c r="PEB51" s="24"/>
      <c r="PEC51" s="24"/>
      <c r="PED51" s="24"/>
      <c r="PEE51" s="24"/>
      <c r="PEF51" s="24"/>
      <c r="PEG51" s="24"/>
      <c r="PEH51" s="24"/>
      <c r="PEI51" s="24"/>
      <c r="PEJ51" s="24"/>
      <c r="PEK51" s="24"/>
      <c r="PEL51" s="24"/>
      <c r="PEM51" s="24"/>
      <c r="PEN51" s="24"/>
      <c r="PEO51" s="24"/>
      <c r="PEP51" s="24"/>
      <c r="PEQ51" s="24"/>
      <c r="PER51" s="24"/>
      <c r="PES51" s="24"/>
      <c r="PET51" s="24"/>
      <c r="PEU51" s="24"/>
      <c r="PEV51" s="24"/>
      <c r="PEW51" s="24"/>
      <c r="PEX51" s="24"/>
      <c r="PEY51" s="24"/>
      <c r="PEZ51" s="24"/>
      <c r="PFA51" s="24"/>
      <c r="PFB51" s="24"/>
      <c r="PFC51" s="24"/>
      <c r="PFD51" s="24"/>
      <c r="PFE51" s="24"/>
      <c r="PFF51" s="24"/>
      <c r="PFG51" s="24"/>
      <c r="PFH51" s="24"/>
      <c r="PFI51" s="24"/>
      <c r="PFJ51" s="24"/>
      <c r="PFK51" s="24"/>
      <c r="PFL51" s="24"/>
      <c r="PFM51" s="24"/>
      <c r="PFN51" s="24"/>
      <c r="PFO51" s="24"/>
      <c r="PFP51" s="24"/>
      <c r="PFQ51" s="24"/>
      <c r="PFR51" s="24"/>
      <c r="PFS51" s="24"/>
      <c r="PFT51" s="24"/>
      <c r="PFU51" s="24"/>
      <c r="PFV51" s="24"/>
      <c r="PFW51" s="24"/>
      <c r="PFX51" s="24"/>
      <c r="PFY51" s="24"/>
      <c r="PFZ51" s="24"/>
      <c r="PGA51" s="24"/>
      <c r="PGB51" s="24"/>
      <c r="PGC51" s="24"/>
      <c r="PGD51" s="24"/>
      <c r="PGE51" s="24"/>
      <c r="PGF51" s="24"/>
      <c r="PGG51" s="24"/>
      <c r="PGH51" s="24"/>
      <c r="PGI51" s="24"/>
      <c r="PGJ51" s="24"/>
      <c r="PGK51" s="24"/>
      <c r="PGL51" s="24"/>
      <c r="PGM51" s="24"/>
      <c r="PGN51" s="24"/>
      <c r="PGO51" s="24"/>
      <c r="PGP51" s="24"/>
      <c r="PGQ51" s="24"/>
      <c r="PGR51" s="24"/>
      <c r="PGS51" s="24"/>
      <c r="PGT51" s="24"/>
      <c r="PGU51" s="24"/>
      <c r="PGV51" s="24"/>
      <c r="PGW51" s="24"/>
      <c r="PGX51" s="24"/>
      <c r="PGY51" s="24"/>
      <c r="PGZ51" s="24"/>
      <c r="PHA51" s="24"/>
      <c r="PHB51" s="24"/>
      <c r="PHC51" s="24"/>
      <c r="PHD51" s="24"/>
      <c r="PHE51" s="24"/>
      <c r="PHF51" s="24"/>
      <c r="PHG51" s="24"/>
      <c r="PHH51" s="24"/>
      <c r="PHI51" s="24"/>
      <c r="PHJ51" s="24"/>
      <c r="PHK51" s="24"/>
      <c r="PHL51" s="24"/>
      <c r="PHM51" s="24"/>
      <c r="PHN51" s="24"/>
      <c r="PHO51" s="24"/>
      <c r="PHP51" s="24"/>
      <c r="PHQ51" s="24"/>
      <c r="PHR51" s="24"/>
      <c r="PHS51" s="24"/>
      <c r="PHT51" s="24"/>
      <c r="PHU51" s="24"/>
      <c r="PHV51" s="24"/>
      <c r="PHW51" s="24"/>
      <c r="PHX51" s="24"/>
      <c r="PHY51" s="24"/>
      <c r="PHZ51" s="24"/>
      <c r="PIA51" s="24"/>
      <c r="PIB51" s="24"/>
      <c r="PIC51" s="24"/>
      <c r="PID51" s="24"/>
      <c r="PIE51" s="24"/>
      <c r="PIF51" s="24"/>
      <c r="PIG51" s="24"/>
      <c r="PIH51" s="24"/>
      <c r="PII51" s="24"/>
      <c r="PIJ51" s="24"/>
      <c r="PIK51" s="24"/>
      <c r="PIL51" s="24"/>
      <c r="PIM51" s="24"/>
      <c r="PIN51" s="24"/>
      <c r="PIO51" s="24"/>
      <c r="PIP51" s="24"/>
      <c r="PIQ51" s="24"/>
      <c r="PIR51" s="24"/>
      <c r="PIS51" s="24"/>
      <c r="PIT51" s="24"/>
      <c r="PIU51" s="24"/>
      <c r="PIV51" s="24"/>
      <c r="PIW51" s="24"/>
      <c r="PIX51" s="24"/>
      <c r="PIY51" s="24"/>
      <c r="PIZ51" s="24"/>
      <c r="PJA51" s="24"/>
      <c r="PJB51" s="24"/>
      <c r="PJC51" s="24"/>
      <c r="PJD51" s="24"/>
      <c r="PJE51" s="24"/>
      <c r="PJF51" s="24"/>
      <c r="PJG51" s="24"/>
      <c r="PJH51" s="24"/>
      <c r="PJI51" s="24"/>
      <c r="PJJ51" s="24"/>
      <c r="PJK51" s="24"/>
      <c r="PJL51" s="24"/>
      <c r="PJM51" s="24"/>
      <c r="PJN51" s="24"/>
      <c r="PJO51" s="24"/>
      <c r="PJP51" s="24"/>
      <c r="PJQ51" s="24"/>
      <c r="PJR51" s="24"/>
      <c r="PJS51" s="24"/>
      <c r="PJT51" s="24"/>
      <c r="PJU51" s="24"/>
      <c r="PJV51" s="24"/>
      <c r="PJW51" s="24"/>
      <c r="PJX51" s="24"/>
      <c r="PJY51" s="24"/>
      <c r="PJZ51" s="24"/>
      <c r="PKA51" s="24"/>
      <c r="PKB51" s="24"/>
      <c r="PKC51" s="24"/>
      <c r="PKD51" s="24"/>
      <c r="PKE51" s="24"/>
      <c r="PKF51" s="24"/>
      <c r="PKG51" s="24"/>
      <c r="PKH51" s="24"/>
      <c r="PKI51" s="24"/>
      <c r="PKJ51" s="24"/>
      <c r="PKK51" s="24"/>
      <c r="PKL51" s="24"/>
      <c r="PKM51" s="24"/>
      <c r="PKN51" s="24"/>
      <c r="PKO51" s="24"/>
      <c r="PKP51" s="24"/>
      <c r="PKQ51" s="24"/>
      <c r="PKR51" s="24"/>
      <c r="PKS51" s="24"/>
      <c r="PKT51" s="24"/>
      <c r="PKU51" s="24"/>
      <c r="PKV51" s="24"/>
      <c r="PKW51" s="24"/>
      <c r="PKX51" s="24"/>
      <c r="PKY51" s="24"/>
      <c r="PKZ51" s="24"/>
      <c r="PLA51" s="24"/>
      <c r="PLB51" s="24"/>
      <c r="PLC51" s="24"/>
      <c r="PLD51" s="24"/>
      <c r="PLE51" s="24"/>
      <c r="PLF51" s="24"/>
      <c r="PLG51" s="24"/>
      <c r="PLH51" s="24"/>
      <c r="PLI51" s="24"/>
      <c r="PLJ51" s="24"/>
      <c r="PLK51" s="24"/>
      <c r="PLL51" s="24"/>
      <c r="PLM51" s="24"/>
      <c r="PLN51" s="24"/>
      <c r="PLO51" s="24"/>
      <c r="PLP51" s="24"/>
      <c r="PLQ51" s="24"/>
      <c r="PLR51" s="24"/>
      <c r="PLS51" s="24"/>
      <c r="PLT51" s="24"/>
      <c r="PLU51" s="24"/>
      <c r="PLV51" s="24"/>
      <c r="PLW51" s="24"/>
      <c r="PLX51" s="24"/>
      <c r="PLY51" s="24"/>
      <c r="PLZ51" s="24"/>
      <c r="PMA51" s="24"/>
      <c r="PMB51" s="24"/>
      <c r="PMC51" s="24"/>
      <c r="PMD51" s="24"/>
      <c r="PME51" s="24"/>
      <c r="PMF51" s="24"/>
      <c r="PMG51" s="24"/>
      <c r="PMH51" s="24"/>
      <c r="PMI51" s="24"/>
      <c r="PMJ51" s="24"/>
      <c r="PMK51" s="24"/>
      <c r="PML51" s="24"/>
      <c r="PMM51" s="24"/>
      <c r="PMN51" s="24"/>
      <c r="PMO51" s="24"/>
      <c r="PMP51" s="24"/>
      <c r="PMQ51" s="24"/>
      <c r="PMR51" s="24"/>
      <c r="PMS51" s="24"/>
      <c r="PMT51" s="24"/>
      <c r="PMU51" s="24"/>
      <c r="PMV51" s="24"/>
      <c r="PMW51" s="24"/>
      <c r="PMX51" s="24"/>
      <c r="PMY51" s="24"/>
      <c r="PMZ51" s="24"/>
      <c r="PNA51" s="24"/>
      <c r="PNB51" s="24"/>
      <c r="PNC51" s="24"/>
      <c r="PND51" s="24"/>
      <c r="PNE51" s="24"/>
      <c r="PNF51" s="24"/>
      <c r="PNG51" s="24"/>
      <c r="PNH51" s="24"/>
      <c r="PNI51" s="24"/>
      <c r="PNJ51" s="24"/>
      <c r="PNK51" s="24"/>
      <c r="PNL51" s="24"/>
      <c r="PNM51" s="24"/>
      <c r="PNN51" s="24"/>
      <c r="PNO51" s="24"/>
      <c r="PNP51" s="24"/>
      <c r="PNQ51" s="24"/>
      <c r="PNR51" s="24"/>
      <c r="PNS51" s="24"/>
      <c r="PNT51" s="24"/>
      <c r="PNU51" s="24"/>
      <c r="PNV51" s="24"/>
      <c r="PNW51" s="24"/>
      <c r="PNX51" s="24"/>
      <c r="PNY51" s="24"/>
      <c r="PNZ51" s="24"/>
      <c r="POA51" s="24"/>
      <c r="POB51" s="24"/>
      <c r="POC51" s="24"/>
      <c r="POD51" s="24"/>
      <c r="POE51" s="24"/>
      <c r="POF51" s="24"/>
      <c r="POG51" s="24"/>
      <c r="POH51" s="24"/>
      <c r="POI51" s="24"/>
      <c r="POJ51" s="24"/>
      <c r="POK51" s="24"/>
      <c r="POL51" s="24"/>
      <c r="POM51" s="24"/>
      <c r="PON51" s="24"/>
      <c r="POO51" s="24"/>
      <c r="POP51" s="24"/>
      <c r="POQ51" s="24"/>
      <c r="POR51" s="24"/>
      <c r="POS51" s="24"/>
      <c r="POT51" s="24"/>
      <c r="POU51" s="24"/>
      <c r="POV51" s="24"/>
      <c r="POW51" s="24"/>
      <c r="POX51" s="24"/>
      <c r="POY51" s="24"/>
      <c r="POZ51" s="24"/>
      <c r="PPA51" s="24"/>
      <c r="PPB51" s="24"/>
      <c r="PPC51" s="24"/>
      <c r="PPD51" s="24"/>
      <c r="PPE51" s="24"/>
      <c r="PPF51" s="24"/>
      <c r="PPG51" s="24"/>
      <c r="PPH51" s="24"/>
      <c r="PPI51" s="24"/>
      <c r="PPJ51" s="24"/>
      <c r="PPK51" s="24"/>
      <c r="PPL51" s="24"/>
      <c r="PPM51" s="24"/>
      <c r="PPN51" s="24"/>
      <c r="PPO51" s="24"/>
      <c r="PPP51" s="24"/>
      <c r="PPQ51" s="24"/>
      <c r="PPR51" s="24"/>
      <c r="PPS51" s="24"/>
      <c r="PPT51" s="24"/>
      <c r="PPU51" s="24"/>
      <c r="PPV51" s="24"/>
      <c r="PPW51" s="24"/>
      <c r="PPX51" s="24"/>
      <c r="PPY51" s="24"/>
      <c r="PPZ51" s="24"/>
      <c r="PQA51" s="24"/>
      <c r="PQB51" s="24"/>
      <c r="PQC51" s="24"/>
      <c r="PQD51" s="24"/>
      <c r="PQE51" s="24"/>
      <c r="PQF51" s="24"/>
      <c r="PQG51" s="24"/>
      <c r="PQH51" s="24"/>
      <c r="PQI51" s="24"/>
      <c r="PQJ51" s="24"/>
      <c r="PQK51" s="24"/>
      <c r="PQL51" s="24"/>
      <c r="PQM51" s="24"/>
      <c r="PQN51" s="24"/>
      <c r="PQO51" s="24"/>
      <c r="PQP51" s="24"/>
      <c r="PQQ51" s="24"/>
      <c r="PQR51" s="24"/>
      <c r="PQS51" s="24"/>
      <c r="PQT51" s="24"/>
      <c r="PQU51" s="24"/>
      <c r="PQV51" s="24"/>
      <c r="PQW51" s="24"/>
      <c r="PQX51" s="24"/>
      <c r="PQY51" s="24"/>
      <c r="PQZ51" s="24"/>
      <c r="PRA51" s="24"/>
      <c r="PRB51" s="24"/>
      <c r="PRC51" s="24"/>
      <c r="PRD51" s="24"/>
      <c r="PRE51" s="24"/>
      <c r="PRF51" s="24"/>
      <c r="PRG51" s="24"/>
      <c r="PRH51" s="24"/>
      <c r="PRI51" s="24"/>
      <c r="PRJ51" s="24"/>
      <c r="PRK51" s="24"/>
      <c r="PRL51" s="24"/>
      <c r="PRM51" s="24"/>
      <c r="PRN51" s="24"/>
      <c r="PRO51" s="24"/>
      <c r="PRP51" s="24"/>
      <c r="PRQ51" s="24"/>
      <c r="PRR51" s="24"/>
      <c r="PRS51" s="24"/>
      <c r="PRT51" s="24"/>
      <c r="PRU51" s="24"/>
      <c r="PRV51" s="24"/>
      <c r="PRW51" s="24"/>
      <c r="PRX51" s="24"/>
      <c r="PRY51" s="24"/>
      <c r="PRZ51" s="24"/>
      <c r="PSA51" s="24"/>
      <c r="PSB51" s="24"/>
      <c r="PSC51" s="24"/>
      <c r="PSD51" s="24"/>
      <c r="PSE51" s="24"/>
      <c r="PSF51" s="24"/>
      <c r="PSG51" s="24"/>
      <c r="PSH51" s="24"/>
      <c r="PSI51" s="24"/>
      <c r="PSJ51" s="24"/>
      <c r="PSK51" s="24"/>
      <c r="PSL51" s="24"/>
      <c r="PSM51" s="24"/>
      <c r="PSN51" s="24"/>
      <c r="PSO51" s="24"/>
      <c r="PSP51" s="24"/>
      <c r="PSQ51" s="24"/>
      <c r="PSR51" s="24"/>
      <c r="PSS51" s="24"/>
      <c r="PST51" s="24"/>
      <c r="PSU51" s="24"/>
      <c r="PSV51" s="24"/>
      <c r="PSW51" s="24"/>
      <c r="PSX51" s="24"/>
      <c r="PSY51" s="24"/>
      <c r="PSZ51" s="24"/>
      <c r="PTA51" s="24"/>
      <c r="PTB51" s="24"/>
      <c r="PTC51" s="24"/>
      <c r="PTD51" s="24"/>
      <c r="PTE51" s="24"/>
      <c r="PTF51" s="24"/>
      <c r="PTG51" s="24"/>
      <c r="PTH51" s="24"/>
      <c r="PTI51" s="24"/>
      <c r="PTJ51" s="24"/>
      <c r="PTK51" s="24"/>
      <c r="PTL51" s="24"/>
      <c r="PTM51" s="24"/>
      <c r="PTN51" s="24"/>
      <c r="PTO51" s="24"/>
      <c r="PTP51" s="24"/>
      <c r="PTQ51" s="24"/>
      <c r="PTR51" s="24"/>
      <c r="PTS51" s="24"/>
      <c r="PTT51" s="24"/>
      <c r="PTU51" s="24"/>
      <c r="PTV51" s="24"/>
      <c r="PTW51" s="24"/>
      <c r="PTX51" s="24"/>
      <c r="PTY51" s="24"/>
      <c r="PTZ51" s="24"/>
      <c r="PUA51" s="24"/>
      <c r="PUB51" s="24"/>
      <c r="PUC51" s="24"/>
      <c r="PUD51" s="24"/>
      <c r="PUE51" s="24"/>
      <c r="PUF51" s="24"/>
      <c r="PUG51" s="24"/>
      <c r="PUH51" s="24"/>
      <c r="PUI51" s="24"/>
      <c r="PUJ51" s="24"/>
      <c r="PUK51" s="24"/>
      <c r="PUL51" s="24"/>
      <c r="PUM51" s="24"/>
      <c r="PUN51" s="24"/>
      <c r="PUO51" s="24"/>
      <c r="PUP51" s="24"/>
      <c r="PUQ51" s="24"/>
      <c r="PUR51" s="24"/>
      <c r="PUS51" s="24"/>
      <c r="PUT51" s="24"/>
      <c r="PUU51" s="24"/>
      <c r="PUV51" s="24"/>
      <c r="PUW51" s="24"/>
      <c r="PUX51" s="24"/>
      <c r="PUY51" s="24"/>
      <c r="PUZ51" s="24"/>
      <c r="PVA51" s="24"/>
      <c r="PVB51" s="24"/>
      <c r="PVC51" s="24"/>
      <c r="PVD51" s="24"/>
      <c r="PVE51" s="24"/>
      <c r="PVF51" s="24"/>
      <c r="PVG51" s="24"/>
      <c r="PVH51" s="24"/>
      <c r="PVI51" s="24"/>
      <c r="PVJ51" s="24"/>
      <c r="PVK51" s="24"/>
      <c r="PVL51" s="24"/>
      <c r="PVM51" s="24"/>
      <c r="PVN51" s="24"/>
      <c r="PVO51" s="24"/>
      <c r="PVP51" s="24"/>
      <c r="PVQ51" s="24"/>
      <c r="PVR51" s="24"/>
      <c r="PVS51" s="24"/>
      <c r="PVT51" s="24"/>
      <c r="PVU51" s="24"/>
      <c r="PVV51" s="24"/>
      <c r="PVW51" s="24"/>
      <c r="PVX51" s="24"/>
      <c r="PVY51" s="24"/>
      <c r="PVZ51" s="24"/>
      <c r="PWA51" s="24"/>
      <c r="PWB51" s="24"/>
      <c r="PWC51" s="24"/>
      <c r="PWD51" s="24"/>
      <c r="PWE51" s="24"/>
      <c r="PWF51" s="24"/>
      <c r="PWG51" s="24"/>
      <c r="PWH51" s="24"/>
      <c r="PWI51" s="24"/>
      <c r="PWJ51" s="24"/>
      <c r="PWK51" s="24"/>
      <c r="PWL51" s="24"/>
      <c r="PWM51" s="24"/>
      <c r="PWN51" s="24"/>
      <c r="PWO51" s="24"/>
      <c r="PWP51" s="24"/>
      <c r="PWQ51" s="24"/>
      <c r="PWR51" s="24"/>
      <c r="PWS51" s="24"/>
      <c r="PWT51" s="24"/>
      <c r="PWU51" s="24"/>
      <c r="PWV51" s="24"/>
      <c r="PWW51" s="24"/>
      <c r="PWX51" s="24"/>
      <c r="PWY51" s="24"/>
      <c r="PWZ51" s="24"/>
      <c r="PXA51" s="24"/>
      <c r="PXB51" s="24"/>
      <c r="PXC51" s="24"/>
      <c r="PXD51" s="24"/>
      <c r="PXE51" s="24"/>
      <c r="PXF51" s="24"/>
      <c r="PXG51" s="24"/>
      <c r="PXH51" s="24"/>
      <c r="PXI51" s="24"/>
      <c r="PXJ51" s="24"/>
      <c r="PXK51" s="24"/>
      <c r="PXL51" s="24"/>
      <c r="PXM51" s="24"/>
      <c r="PXN51" s="24"/>
      <c r="PXO51" s="24"/>
      <c r="PXP51" s="24"/>
      <c r="PXQ51" s="24"/>
      <c r="PXR51" s="24"/>
      <c r="PXS51" s="24"/>
      <c r="PXT51" s="24"/>
      <c r="PXU51" s="24"/>
      <c r="PXV51" s="24"/>
      <c r="PXW51" s="24"/>
      <c r="PXX51" s="24"/>
      <c r="PXY51" s="24"/>
      <c r="PXZ51" s="24"/>
      <c r="PYA51" s="24"/>
      <c r="PYB51" s="24"/>
      <c r="PYC51" s="24"/>
      <c r="PYD51" s="24"/>
      <c r="PYE51" s="24"/>
      <c r="PYF51" s="24"/>
      <c r="PYG51" s="24"/>
      <c r="PYH51" s="24"/>
      <c r="PYI51" s="24"/>
      <c r="PYJ51" s="24"/>
      <c r="PYK51" s="24"/>
      <c r="PYL51" s="24"/>
      <c r="PYM51" s="24"/>
      <c r="PYN51" s="24"/>
      <c r="PYO51" s="24"/>
      <c r="PYP51" s="24"/>
      <c r="PYQ51" s="24"/>
      <c r="PYR51" s="24"/>
      <c r="PYS51" s="24"/>
      <c r="PYT51" s="24"/>
      <c r="PYU51" s="24"/>
      <c r="PYV51" s="24"/>
      <c r="PYW51" s="24"/>
      <c r="PYX51" s="24"/>
      <c r="PYY51" s="24"/>
      <c r="PYZ51" s="24"/>
      <c r="PZA51" s="24"/>
      <c r="PZB51" s="24"/>
      <c r="PZC51" s="24"/>
      <c r="PZD51" s="24"/>
      <c r="PZE51" s="24"/>
      <c r="PZF51" s="24"/>
      <c r="PZG51" s="24"/>
      <c r="PZH51" s="24"/>
      <c r="PZI51" s="24"/>
      <c r="PZJ51" s="24"/>
      <c r="PZK51" s="24"/>
      <c r="PZL51" s="24"/>
      <c r="PZM51" s="24"/>
      <c r="PZN51" s="24"/>
      <c r="PZO51" s="24"/>
      <c r="PZP51" s="24"/>
      <c r="PZQ51" s="24"/>
      <c r="PZR51" s="24"/>
      <c r="PZS51" s="24"/>
      <c r="PZT51" s="24"/>
      <c r="PZU51" s="24"/>
      <c r="PZV51" s="24"/>
      <c r="PZW51" s="24"/>
      <c r="PZX51" s="24"/>
      <c r="PZY51" s="24"/>
      <c r="PZZ51" s="24"/>
      <c r="QAA51" s="24"/>
      <c r="QAB51" s="24"/>
      <c r="QAC51" s="24"/>
      <c r="QAD51" s="24"/>
      <c r="QAE51" s="24"/>
      <c r="QAF51" s="24"/>
      <c r="QAG51" s="24"/>
      <c r="QAH51" s="24"/>
      <c r="QAI51" s="24"/>
      <c r="QAJ51" s="24"/>
      <c r="QAK51" s="24"/>
      <c r="QAL51" s="24"/>
      <c r="QAM51" s="24"/>
      <c r="QAN51" s="24"/>
      <c r="QAO51" s="24"/>
      <c r="QAP51" s="24"/>
      <c r="QAQ51" s="24"/>
      <c r="QAR51" s="24"/>
      <c r="QAS51" s="24"/>
      <c r="QAT51" s="24"/>
      <c r="QAU51" s="24"/>
      <c r="QAV51" s="24"/>
      <c r="QAW51" s="24"/>
      <c r="QAX51" s="24"/>
      <c r="QAY51" s="24"/>
      <c r="QAZ51" s="24"/>
      <c r="QBA51" s="24"/>
      <c r="QBB51" s="24"/>
      <c r="QBC51" s="24"/>
      <c r="QBD51" s="24"/>
      <c r="QBE51" s="24"/>
      <c r="QBF51" s="24"/>
      <c r="QBG51" s="24"/>
      <c r="QBH51" s="24"/>
      <c r="QBI51" s="24"/>
      <c r="QBJ51" s="24"/>
      <c r="QBK51" s="24"/>
      <c r="QBL51" s="24"/>
      <c r="QBM51" s="24"/>
      <c r="QBN51" s="24"/>
      <c r="QBO51" s="24"/>
      <c r="QBP51" s="24"/>
      <c r="QBQ51" s="24"/>
      <c r="QBR51" s="24"/>
      <c r="QBS51" s="24"/>
      <c r="QBT51" s="24"/>
      <c r="QBU51" s="24"/>
      <c r="QBV51" s="24"/>
      <c r="QBW51" s="24"/>
      <c r="QBX51" s="24"/>
      <c r="QBY51" s="24"/>
      <c r="QBZ51" s="24"/>
      <c r="QCA51" s="24"/>
      <c r="QCB51" s="24"/>
      <c r="QCC51" s="24"/>
      <c r="QCD51" s="24"/>
      <c r="QCE51" s="24"/>
      <c r="QCF51" s="24"/>
      <c r="QCG51" s="24"/>
      <c r="QCH51" s="24"/>
      <c r="QCI51" s="24"/>
      <c r="QCJ51" s="24"/>
      <c r="QCK51" s="24"/>
      <c r="QCL51" s="24"/>
      <c r="QCM51" s="24"/>
      <c r="QCN51" s="24"/>
      <c r="QCO51" s="24"/>
      <c r="QCP51" s="24"/>
      <c r="QCQ51" s="24"/>
      <c r="QCR51" s="24"/>
      <c r="QCS51" s="24"/>
      <c r="QCT51" s="24"/>
      <c r="QCU51" s="24"/>
      <c r="QCV51" s="24"/>
      <c r="QCW51" s="24"/>
      <c r="QCX51" s="24"/>
      <c r="QCY51" s="24"/>
      <c r="QCZ51" s="24"/>
      <c r="QDA51" s="24"/>
      <c r="QDB51" s="24"/>
      <c r="QDC51" s="24"/>
      <c r="QDD51" s="24"/>
      <c r="QDE51" s="24"/>
      <c r="QDF51" s="24"/>
      <c r="QDG51" s="24"/>
      <c r="QDH51" s="24"/>
      <c r="QDI51" s="24"/>
      <c r="QDJ51" s="24"/>
      <c r="QDK51" s="24"/>
      <c r="QDL51" s="24"/>
      <c r="QDM51" s="24"/>
      <c r="QDN51" s="24"/>
      <c r="QDO51" s="24"/>
      <c r="QDP51" s="24"/>
      <c r="QDQ51" s="24"/>
      <c r="QDR51" s="24"/>
      <c r="QDS51" s="24"/>
      <c r="QDT51" s="24"/>
      <c r="QDU51" s="24"/>
      <c r="QDV51" s="24"/>
      <c r="QDW51" s="24"/>
      <c r="QDX51" s="24"/>
      <c r="QDY51" s="24"/>
      <c r="QDZ51" s="24"/>
      <c r="QEA51" s="24"/>
      <c r="QEB51" s="24"/>
      <c r="QEC51" s="24"/>
      <c r="QED51" s="24"/>
      <c r="QEE51" s="24"/>
      <c r="QEF51" s="24"/>
      <c r="QEG51" s="24"/>
      <c r="QEH51" s="24"/>
      <c r="QEI51" s="24"/>
      <c r="QEJ51" s="24"/>
      <c r="QEK51" s="24"/>
      <c r="QEL51" s="24"/>
      <c r="QEM51" s="24"/>
      <c r="QEN51" s="24"/>
      <c r="QEO51" s="24"/>
      <c r="QEP51" s="24"/>
      <c r="QEQ51" s="24"/>
      <c r="QER51" s="24"/>
      <c r="QES51" s="24"/>
      <c r="QET51" s="24"/>
      <c r="QEU51" s="24"/>
      <c r="QEV51" s="24"/>
      <c r="QEW51" s="24"/>
      <c r="QEX51" s="24"/>
      <c r="QEY51" s="24"/>
      <c r="QEZ51" s="24"/>
      <c r="QFA51" s="24"/>
      <c r="QFB51" s="24"/>
      <c r="QFC51" s="24"/>
      <c r="QFD51" s="24"/>
      <c r="QFE51" s="24"/>
      <c r="QFF51" s="24"/>
      <c r="QFG51" s="24"/>
      <c r="QFH51" s="24"/>
      <c r="QFI51" s="24"/>
      <c r="QFJ51" s="24"/>
      <c r="QFK51" s="24"/>
      <c r="QFL51" s="24"/>
      <c r="QFM51" s="24"/>
      <c r="QFN51" s="24"/>
      <c r="QFO51" s="24"/>
      <c r="QFP51" s="24"/>
      <c r="QFQ51" s="24"/>
      <c r="QFR51" s="24"/>
      <c r="QFS51" s="24"/>
      <c r="QFT51" s="24"/>
      <c r="QFU51" s="24"/>
      <c r="QFV51" s="24"/>
      <c r="QFW51" s="24"/>
      <c r="QFX51" s="24"/>
      <c r="QFY51" s="24"/>
      <c r="QFZ51" s="24"/>
      <c r="QGA51" s="24"/>
      <c r="QGB51" s="24"/>
      <c r="QGC51" s="24"/>
      <c r="QGD51" s="24"/>
      <c r="QGE51" s="24"/>
      <c r="QGF51" s="24"/>
      <c r="QGG51" s="24"/>
      <c r="QGH51" s="24"/>
      <c r="QGI51" s="24"/>
      <c r="QGJ51" s="24"/>
      <c r="QGK51" s="24"/>
      <c r="QGL51" s="24"/>
      <c r="QGM51" s="24"/>
      <c r="QGN51" s="24"/>
      <c r="QGO51" s="24"/>
      <c r="QGP51" s="24"/>
      <c r="QGQ51" s="24"/>
      <c r="QGR51" s="24"/>
      <c r="QGS51" s="24"/>
      <c r="QGT51" s="24"/>
      <c r="QGU51" s="24"/>
      <c r="QGV51" s="24"/>
      <c r="QGW51" s="24"/>
      <c r="QGX51" s="24"/>
      <c r="QGY51" s="24"/>
      <c r="QGZ51" s="24"/>
      <c r="QHA51" s="24"/>
      <c r="QHB51" s="24"/>
      <c r="QHC51" s="24"/>
      <c r="QHD51" s="24"/>
      <c r="QHE51" s="24"/>
      <c r="QHF51" s="24"/>
      <c r="QHG51" s="24"/>
      <c r="QHH51" s="24"/>
      <c r="QHI51" s="24"/>
      <c r="QHJ51" s="24"/>
      <c r="QHK51" s="24"/>
      <c r="QHL51" s="24"/>
      <c r="QHM51" s="24"/>
      <c r="QHN51" s="24"/>
      <c r="QHO51" s="24"/>
      <c r="QHP51" s="24"/>
      <c r="QHQ51" s="24"/>
      <c r="QHR51" s="24"/>
      <c r="QHS51" s="24"/>
      <c r="QHT51" s="24"/>
      <c r="QHU51" s="24"/>
      <c r="QHV51" s="24"/>
      <c r="QHW51" s="24"/>
      <c r="QHX51" s="24"/>
      <c r="QHY51" s="24"/>
      <c r="QHZ51" s="24"/>
      <c r="QIA51" s="24"/>
      <c r="QIB51" s="24"/>
      <c r="QIC51" s="24"/>
      <c r="QID51" s="24"/>
      <c r="QIE51" s="24"/>
      <c r="QIF51" s="24"/>
      <c r="QIG51" s="24"/>
      <c r="QIH51" s="24"/>
      <c r="QII51" s="24"/>
      <c r="QIJ51" s="24"/>
      <c r="QIK51" s="24"/>
      <c r="QIL51" s="24"/>
      <c r="QIM51" s="24"/>
      <c r="QIN51" s="24"/>
      <c r="QIO51" s="24"/>
      <c r="QIP51" s="24"/>
      <c r="QIQ51" s="24"/>
      <c r="QIR51" s="24"/>
      <c r="QIS51" s="24"/>
      <c r="QIT51" s="24"/>
      <c r="QIU51" s="24"/>
      <c r="QIV51" s="24"/>
      <c r="QIW51" s="24"/>
      <c r="QIX51" s="24"/>
      <c r="QIY51" s="24"/>
      <c r="QIZ51" s="24"/>
      <c r="QJA51" s="24"/>
      <c r="QJB51" s="24"/>
      <c r="QJC51" s="24"/>
      <c r="QJD51" s="24"/>
      <c r="QJE51" s="24"/>
      <c r="QJF51" s="24"/>
      <c r="QJG51" s="24"/>
      <c r="QJH51" s="24"/>
      <c r="QJI51" s="24"/>
      <c r="QJJ51" s="24"/>
      <c r="QJK51" s="24"/>
      <c r="QJL51" s="24"/>
      <c r="QJM51" s="24"/>
      <c r="QJN51" s="24"/>
      <c r="QJO51" s="24"/>
      <c r="QJP51" s="24"/>
      <c r="QJQ51" s="24"/>
      <c r="QJR51" s="24"/>
      <c r="QJS51" s="24"/>
      <c r="QJT51" s="24"/>
      <c r="QJU51" s="24"/>
      <c r="QJV51" s="24"/>
      <c r="QJW51" s="24"/>
      <c r="QJX51" s="24"/>
      <c r="QJY51" s="24"/>
      <c r="QJZ51" s="24"/>
      <c r="QKA51" s="24"/>
      <c r="QKB51" s="24"/>
      <c r="QKC51" s="24"/>
      <c r="QKD51" s="24"/>
      <c r="QKE51" s="24"/>
      <c r="QKF51" s="24"/>
      <c r="QKG51" s="24"/>
      <c r="QKH51" s="24"/>
      <c r="QKI51" s="24"/>
      <c r="QKJ51" s="24"/>
      <c r="QKK51" s="24"/>
      <c r="QKL51" s="24"/>
      <c r="QKM51" s="24"/>
      <c r="QKN51" s="24"/>
      <c r="QKO51" s="24"/>
      <c r="QKP51" s="24"/>
      <c r="QKQ51" s="24"/>
      <c r="QKR51" s="24"/>
      <c r="QKS51" s="24"/>
      <c r="QKT51" s="24"/>
      <c r="QKU51" s="24"/>
      <c r="QKV51" s="24"/>
      <c r="QKW51" s="24"/>
      <c r="QKX51" s="24"/>
      <c r="QKY51" s="24"/>
      <c r="QKZ51" s="24"/>
      <c r="QLA51" s="24"/>
      <c r="QLB51" s="24"/>
      <c r="QLC51" s="24"/>
      <c r="QLD51" s="24"/>
      <c r="QLE51" s="24"/>
      <c r="QLF51" s="24"/>
      <c r="QLG51" s="24"/>
      <c r="QLH51" s="24"/>
      <c r="QLI51" s="24"/>
      <c r="QLJ51" s="24"/>
      <c r="QLK51" s="24"/>
      <c r="QLL51" s="24"/>
      <c r="QLM51" s="24"/>
      <c r="QLN51" s="24"/>
      <c r="QLO51" s="24"/>
      <c r="QLP51" s="24"/>
      <c r="QLQ51" s="24"/>
      <c r="QLR51" s="24"/>
      <c r="QLS51" s="24"/>
      <c r="QLT51" s="24"/>
      <c r="QLU51" s="24"/>
      <c r="QLV51" s="24"/>
      <c r="QLW51" s="24"/>
      <c r="QLX51" s="24"/>
      <c r="QLY51" s="24"/>
      <c r="QLZ51" s="24"/>
      <c r="QMA51" s="24"/>
      <c r="QMB51" s="24"/>
      <c r="QMC51" s="24"/>
      <c r="QMD51" s="24"/>
      <c r="QME51" s="24"/>
      <c r="QMF51" s="24"/>
      <c r="QMG51" s="24"/>
      <c r="QMH51" s="24"/>
      <c r="QMI51" s="24"/>
      <c r="QMJ51" s="24"/>
      <c r="QMK51" s="24"/>
      <c r="QML51" s="24"/>
      <c r="QMM51" s="24"/>
      <c r="QMN51" s="24"/>
      <c r="QMO51" s="24"/>
      <c r="QMP51" s="24"/>
      <c r="QMQ51" s="24"/>
      <c r="QMR51" s="24"/>
      <c r="QMS51" s="24"/>
      <c r="QMT51" s="24"/>
      <c r="QMU51" s="24"/>
      <c r="QMV51" s="24"/>
      <c r="QMW51" s="24"/>
      <c r="QMX51" s="24"/>
      <c r="QMY51" s="24"/>
      <c r="QMZ51" s="24"/>
      <c r="QNA51" s="24"/>
      <c r="QNB51" s="24"/>
      <c r="QNC51" s="24"/>
      <c r="QND51" s="24"/>
      <c r="QNE51" s="24"/>
      <c r="QNF51" s="24"/>
      <c r="QNG51" s="24"/>
      <c r="QNH51" s="24"/>
      <c r="QNI51" s="24"/>
      <c r="QNJ51" s="24"/>
      <c r="QNK51" s="24"/>
      <c r="QNL51" s="24"/>
      <c r="QNM51" s="24"/>
      <c r="QNN51" s="24"/>
      <c r="QNO51" s="24"/>
      <c r="QNP51" s="24"/>
      <c r="QNQ51" s="24"/>
      <c r="QNR51" s="24"/>
      <c r="QNS51" s="24"/>
      <c r="QNT51" s="24"/>
      <c r="QNU51" s="24"/>
      <c r="QNV51" s="24"/>
      <c r="QNW51" s="24"/>
      <c r="QNX51" s="24"/>
      <c r="QNY51" s="24"/>
      <c r="QNZ51" s="24"/>
      <c r="QOA51" s="24"/>
      <c r="QOB51" s="24"/>
      <c r="QOC51" s="24"/>
      <c r="QOD51" s="24"/>
      <c r="QOE51" s="24"/>
      <c r="QOF51" s="24"/>
      <c r="QOG51" s="24"/>
      <c r="QOH51" s="24"/>
      <c r="QOI51" s="24"/>
      <c r="QOJ51" s="24"/>
      <c r="QOK51" s="24"/>
      <c r="QOL51" s="24"/>
      <c r="QOM51" s="24"/>
      <c r="QON51" s="24"/>
      <c r="QOO51" s="24"/>
      <c r="QOP51" s="24"/>
      <c r="QOQ51" s="24"/>
      <c r="QOR51" s="24"/>
      <c r="QOS51" s="24"/>
      <c r="QOT51" s="24"/>
      <c r="QOU51" s="24"/>
      <c r="QOV51" s="24"/>
      <c r="QOW51" s="24"/>
      <c r="QOX51" s="24"/>
      <c r="QOY51" s="24"/>
      <c r="QOZ51" s="24"/>
      <c r="QPA51" s="24"/>
      <c r="QPB51" s="24"/>
      <c r="QPC51" s="24"/>
      <c r="QPD51" s="24"/>
      <c r="QPE51" s="24"/>
      <c r="QPF51" s="24"/>
      <c r="QPG51" s="24"/>
      <c r="QPH51" s="24"/>
      <c r="QPI51" s="24"/>
      <c r="QPJ51" s="24"/>
      <c r="QPK51" s="24"/>
      <c r="QPL51" s="24"/>
      <c r="QPM51" s="24"/>
      <c r="QPN51" s="24"/>
      <c r="QPO51" s="24"/>
      <c r="QPP51" s="24"/>
      <c r="QPQ51" s="24"/>
      <c r="QPR51" s="24"/>
      <c r="QPS51" s="24"/>
      <c r="QPT51" s="24"/>
      <c r="QPU51" s="24"/>
      <c r="QPV51" s="24"/>
      <c r="QPW51" s="24"/>
      <c r="QPX51" s="24"/>
      <c r="QPY51" s="24"/>
      <c r="QPZ51" s="24"/>
      <c r="QQA51" s="24"/>
      <c r="QQB51" s="24"/>
      <c r="QQC51" s="24"/>
      <c r="QQD51" s="24"/>
      <c r="QQE51" s="24"/>
      <c r="QQF51" s="24"/>
      <c r="QQG51" s="24"/>
      <c r="QQH51" s="24"/>
      <c r="QQI51" s="24"/>
      <c r="QQJ51" s="24"/>
      <c r="QQK51" s="24"/>
      <c r="QQL51" s="24"/>
      <c r="QQM51" s="24"/>
      <c r="QQN51" s="24"/>
      <c r="QQO51" s="24"/>
      <c r="QQP51" s="24"/>
      <c r="QQQ51" s="24"/>
      <c r="QQR51" s="24"/>
      <c r="QQS51" s="24"/>
      <c r="QQT51" s="24"/>
      <c r="QQU51" s="24"/>
      <c r="QQV51" s="24"/>
      <c r="QQW51" s="24"/>
      <c r="QQX51" s="24"/>
      <c r="QQY51" s="24"/>
      <c r="QQZ51" s="24"/>
      <c r="QRA51" s="24"/>
      <c r="QRB51" s="24"/>
      <c r="QRC51" s="24"/>
      <c r="QRD51" s="24"/>
      <c r="QRE51" s="24"/>
      <c r="QRF51" s="24"/>
      <c r="QRG51" s="24"/>
      <c r="QRH51" s="24"/>
      <c r="QRI51" s="24"/>
      <c r="QRJ51" s="24"/>
      <c r="QRK51" s="24"/>
      <c r="QRL51" s="24"/>
      <c r="QRM51" s="24"/>
      <c r="QRN51" s="24"/>
      <c r="QRO51" s="24"/>
      <c r="QRP51" s="24"/>
      <c r="QRQ51" s="24"/>
      <c r="QRR51" s="24"/>
      <c r="QRS51" s="24"/>
      <c r="QRT51" s="24"/>
      <c r="QRU51" s="24"/>
      <c r="QRV51" s="24"/>
      <c r="QRW51" s="24"/>
      <c r="QRX51" s="24"/>
      <c r="QRY51" s="24"/>
      <c r="QRZ51" s="24"/>
      <c r="QSA51" s="24"/>
      <c r="QSB51" s="24"/>
      <c r="QSC51" s="24"/>
      <c r="QSD51" s="24"/>
      <c r="QSE51" s="24"/>
      <c r="QSF51" s="24"/>
      <c r="QSG51" s="24"/>
      <c r="QSH51" s="24"/>
      <c r="QSI51" s="24"/>
      <c r="QSJ51" s="24"/>
      <c r="QSK51" s="24"/>
      <c r="QSL51" s="24"/>
      <c r="QSM51" s="24"/>
      <c r="QSN51" s="24"/>
      <c r="QSO51" s="24"/>
      <c r="QSP51" s="24"/>
      <c r="QSQ51" s="24"/>
      <c r="QSR51" s="24"/>
      <c r="QSS51" s="24"/>
      <c r="QST51" s="24"/>
      <c r="QSU51" s="24"/>
      <c r="QSV51" s="24"/>
      <c r="QSW51" s="24"/>
      <c r="QSX51" s="24"/>
      <c r="QSY51" s="24"/>
      <c r="QSZ51" s="24"/>
      <c r="QTA51" s="24"/>
      <c r="QTB51" s="24"/>
      <c r="QTC51" s="24"/>
      <c r="QTD51" s="24"/>
      <c r="QTE51" s="24"/>
      <c r="QTF51" s="24"/>
      <c r="QTG51" s="24"/>
      <c r="QTH51" s="24"/>
      <c r="QTI51" s="24"/>
      <c r="QTJ51" s="24"/>
      <c r="QTK51" s="24"/>
      <c r="QTL51" s="24"/>
      <c r="QTM51" s="24"/>
      <c r="QTN51" s="24"/>
      <c r="QTO51" s="24"/>
      <c r="QTP51" s="24"/>
      <c r="QTQ51" s="24"/>
      <c r="QTR51" s="24"/>
      <c r="QTS51" s="24"/>
      <c r="QTT51" s="24"/>
      <c r="QTU51" s="24"/>
      <c r="QTV51" s="24"/>
      <c r="QTW51" s="24"/>
      <c r="QTX51" s="24"/>
      <c r="QTY51" s="24"/>
      <c r="QTZ51" s="24"/>
      <c r="QUA51" s="24"/>
      <c r="QUB51" s="24"/>
      <c r="QUC51" s="24"/>
      <c r="QUD51" s="24"/>
      <c r="QUE51" s="24"/>
      <c r="QUF51" s="24"/>
      <c r="QUG51" s="24"/>
      <c r="QUH51" s="24"/>
      <c r="QUI51" s="24"/>
      <c r="QUJ51" s="24"/>
      <c r="QUK51" s="24"/>
      <c r="QUL51" s="24"/>
      <c r="QUM51" s="24"/>
      <c r="QUN51" s="24"/>
      <c r="QUO51" s="24"/>
      <c r="QUP51" s="24"/>
      <c r="QUQ51" s="24"/>
      <c r="QUR51" s="24"/>
      <c r="QUS51" s="24"/>
      <c r="QUT51" s="24"/>
      <c r="QUU51" s="24"/>
      <c r="QUV51" s="24"/>
      <c r="QUW51" s="24"/>
      <c r="QUX51" s="24"/>
      <c r="QUY51" s="24"/>
      <c r="QUZ51" s="24"/>
      <c r="QVA51" s="24"/>
      <c r="QVB51" s="24"/>
      <c r="QVC51" s="24"/>
      <c r="QVD51" s="24"/>
      <c r="QVE51" s="24"/>
      <c r="QVF51" s="24"/>
      <c r="QVG51" s="24"/>
      <c r="QVH51" s="24"/>
      <c r="QVI51" s="24"/>
      <c r="QVJ51" s="24"/>
      <c r="QVK51" s="24"/>
      <c r="QVL51" s="24"/>
      <c r="QVM51" s="24"/>
      <c r="QVN51" s="24"/>
      <c r="QVO51" s="24"/>
      <c r="QVP51" s="24"/>
      <c r="QVQ51" s="24"/>
      <c r="QVR51" s="24"/>
      <c r="QVS51" s="24"/>
      <c r="QVT51" s="24"/>
      <c r="QVU51" s="24"/>
      <c r="QVV51" s="24"/>
      <c r="QVW51" s="24"/>
      <c r="QVX51" s="24"/>
      <c r="QVY51" s="24"/>
      <c r="QVZ51" s="24"/>
      <c r="QWA51" s="24"/>
      <c r="QWB51" s="24"/>
      <c r="QWC51" s="24"/>
      <c r="QWD51" s="24"/>
      <c r="QWE51" s="24"/>
      <c r="QWF51" s="24"/>
      <c r="QWG51" s="24"/>
      <c r="QWH51" s="24"/>
      <c r="QWI51" s="24"/>
      <c r="QWJ51" s="24"/>
      <c r="QWK51" s="24"/>
      <c r="QWL51" s="24"/>
      <c r="QWM51" s="24"/>
      <c r="QWN51" s="24"/>
      <c r="QWO51" s="24"/>
      <c r="QWP51" s="24"/>
      <c r="QWQ51" s="24"/>
      <c r="QWR51" s="24"/>
      <c r="QWS51" s="24"/>
      <c r="QWT51" s="24"/>
      <c r="QWU51" s="24"/>
      <c r="QWV51" s="24"/>
      <c r="QWW51" s="24"/>
      <c r="QWX51" s="24"/>
      <c r="QWY51" s="24"/>
      <c r="QWZ51" s="24"/>
      <c r="QXA51" s="24"/>
      <c r="QXB51" s="24"/>
      <c r="QXC51" s="24"/>
      <c r="QXD51" s="24"/>
      <c r="QXE51" s="24"/>
      <c r="QXF51" s="24"/>
      <c r="QXG51" s="24"/>
      <c r="QXH51" s="24"/>
      <c r="QXI51" s="24"/>
      <c r="QXJ51" s="24"/>
      <c r="QXK51" s="24"/>
      <c r="QXL51" s="24"/>
      <c r="QXM51" s="24"/>
      <c r="QXN51" s="24"/>
      <c r="QXO51" s="24"/>
      <c r="QXP51" s="24"/>
      <c r="QXQ51" s="24"/>
      <c r="QXR51" s="24"/>
      <c r="QXS51" s="24"/>
      <c r="QXT51" s="24"/>
      <c r="QXU51" s="24"/>
      <c r="QXV51" s="24"/>
      <c r="QXW51" s="24"/>
      <c r="QXX51" s="24"/>
      <c r="QXY51" s="24"/>
      <c r="QXZ51" s="24"/>
      <c r="QYA51" s="24"/>
      <c r="QYB51" s="24"/>
      <c r="QYC51" s="24"/>
      <c r="QYD51" s="24"/>
      <c r="QYE51" s="24"/>
      <c r="QYF51" s="24"/>
      <c r="QYG51" s="24"/>
      <c r="QYH51" s="24"/>
      <c r="QYI51" s="24"/>
      <c r="QYJ51" s="24"/>
      <c r="QYK51" s="24"/>
      <c r="QYL51" s="24"/>
      <c r="QYM51" s="24"/>
      <c r="QYN51" s="24"/>
      <c r="QYO51" s="24"/>
      <c r="QYP51" s="24"/>
      <c r="QYQ51" s="24"/>
      <c r="QYR51" s="24"/>
      <c r="QYS51" s="24"/>
      <c r="QYT51" s="24"/>
      <c r="QYU51" s="24"/>
      <c r="QYV51" s="24"/>
      <c r="QYW51" s="24"/>
      <c r="QYX51" s="24"/>
      <c r="QYY51" s="24"/>
      <c r="QYZ51" s="24"/>
      <c r="QZA51" s="24"/>
      <c r="QZB51" s="24"/>
      <c r="QZC51" s="24"/>
      <c r="QZD51" s="24"/>
      <c r="QZE51" s="24"/>
      <c r="QZF51" s="24"/>
      <c r="QZG51" s="24"/>
      <c r="QZH51" s="24"/>
      <c r="QZI51" s="24"/>
      <c r="QZJ51" s="24"/>
      <c r="QZK51" s="24"/>
      <c r="QZL51" s="24"/>
      <c r="QZM51" s="24"/>
      <c r="QZN51" s="24"/>
      <c r="QZO51" s="24"/>
      <c r="QZP51" s="24"/>
      <c r="QZQ51" s="24"/>
      <c r="QZR51" s="24"/>
      <c r="QZS51" s="24"/>
      <c r="QZT51" s="24"/>
      <c r="QZU51" s="24"/>
      <c r="QZV51" s="24"/>
      <c r="QZW51" s="24"/>
      <c r="QZX51" s="24"/>
      <c r="QZY51" s="24"/>
      <c r="QZZ51" s="24"/>
      <c r="RAA51" s="24"/>
      <c r="RAB51" s="24"/>
      <c r="RAC51" s="24"/>
      <c r="RAD51" s="24"/>
      <c r="RAE51" s="24"/>
      <c r="RAF51" s="24"/>
      <c r="RAG51" s="24"/>
      <c r="RAH51" s="24"/>
      <c r="RAI51" s="24"/>
      <c r="RAJ51" s="24"/>
      <c r="RAK51" s="24"/>
      <c r="RAL51" s="24"/>
      <c r="RAM51" s="24"/>
      <c r="RAN51" s="24"/>
      <c r="RAO51" s="24"/>
      <c r="RAP51" s="24"/>
      <c r="RAQ51" s="24"/>
      <c r="RAR51" s="24"/>
      <c r="RAS51" s="24"/>
      <c r="RAT51" s="24"/>
      <c r="RAU51" s="24"/>
      <c r="RAV51" s="24"/>
      <c r="RAW51" s="24"/>
      <c r="RAX51" s="24"/>
      <c r="RAY51" s="24"/>
      <c r="RAZ51" s="24"/>
      <c r="RBA51" s="24"/>
      <c r="RBB51" s="24"/>
      <c r="RBC51" s="24"/>
      <c r="RBD51" s="24"/>
      <c r="RBE51" s="24"/>
      <c r="RBF51" s="24"/>
      <c r="RBG51" s="24"/>
      <c r="RBH51" s="24"/>
      <c r="RBI51" s="24"/>
      <c r="RBJ51" s="24"/>
      <c r="RBK51" s="24"/>
      <c r="RBL51" s="24"/>
      <c r="RBM51" s="24"/>
      <c r="RBN51" s="24"/>
      <c r="RBO51" s="24"/>
      <c r="RBP51" s="24"/>
      <c r="RBQ51" s="24"/>
      <c r="RBR51" s="24"/>
      <c r="RBS51" s="24"/>
      <c r="RBT51" s="24"/>
      <c r="RBU51" s="24"/>
      <c r="RBV51" s="24"/>
      <c r="RBW51" s="24"/>
      <c r="RBX51" s="24"/>
      <c r="RBY51" s="24"/>
      <c r="RBZ51" s="24"/>
      <c r="RCA51" s="24"/>
      <c r="RCB51" s="24"/>
      <c r="RCC51" s="24"/>
      <c r="RCD51" s="24"/>
      <c r="RCE51" s="24"/>
      <c r="RCF51" s="24"/>
      <c r="RCG51" s="24"/>
      <c r="RCH51" s="24"/>
      <c r="RCI51" s="24"/>
      <c r="RCJ51" s="24"/>
      <c r="RCK51" s="24"/>
      <c r="RCL51" s="24"/>
      <c r="RCM51" s="24"/>
      <c r="RCN51" s="24"/>
      <c r="RCO51" s="24"/>
      <c r="RCP51" s="24"/>
      <c r="RCQ51" s="24"/>
      <c r="RCR51" s="24"/>
      <c r="RCS51" s="24"/>
      <c r="RCT51" s="24"/>
      <c r="RCU51" s="24"/>
      <c r="RCV51" s="24"/>
      <c r="RCW51" s="24"/>
      <c r="RCX51" s="24"/>
      <c r="RCY51" s="24"/>
      <c r="RCZ51" s="24"/>
      <c r="RDA51" s="24"/>
      <c r="RDB51" s="24"/>
      <c r="RDC51" s="24"/>
      <c r="RDD51" s="24"/>
      <c r="RDE51" s="24"/>
      <c r="RDF51" s="24"/>
      <c r="RDG51" s="24"/>
      <c r="RDH51" s="24"/>
      <c r="RDI51" s="24"/>
      <c r="RDJ51" s="24"/>
      <c r="RDK51" s="24"/>
      <c r="RDL51" s="24"/>
      <c r="RDM51" s="24"/>
      <c r="RDN51" s="24"/>
      <c r="RDO51" s="24"/>
      <c r="RDP51" s="24"/>
      <c r="RDQ51" s="24"/>
      <c r="RDR51" s="24"/>
      <c r="RDS51" s="24"/>
      <c r="RDT51" s="24"/>
      <c r="RDU51" s="24"/>
      <c r="RDV51" s="24"/>
      <c r="RDW51" s="24"/>
      <c r="RDX51" s="24"/>
      <c r="RDY51" s="24"/>
      <c r="RDZ51" s="24"/>
      <c r="REA51" s="24"/>
      <c r="REB51" s="24"/>
      <c r="REC51" s="24"/>
      <c r="RED51" s="24"/>
      <c r="REE51" s="24"/>
      <c r="REF51" s="24"/>
      <c r="REG51" s="24"/>
      <c r="REH51" s="24"/>
      <c r="REI51" s="24"/>
      <c r="REJ51" s="24"/>
      <c r="REK51" s="24"/>
      <c r="REL51" s="24"/>
      <c r="REM51" s="24"/>
      <c r="REN51" s="24"/>
      <c r="REO51" s="24"/>
      <c r="REP51" s="24"/>
      <c r="REQ51" s="24"/>
      <c r="RER51" s="24"/>
      <c r="RES51" s="24"/>
      <c r="RET51" s="24"/>
      <c r="REU51" s="24"/>
      <c r="REV51" s="24"/>
      <c r="REW51" s="24"/>
      <c r="REX51" s="24"/>
      <c r="REY51" s="24"/>
      <c r="REZ51" s="24"/>
      <c r="RFA51" s="24"/>
      <c r="RFB51" s="24"/>
      <c r="RFC51" s="24"/>
      <c r="RFD51" s="24"/>
      <c r="RFE51" s="24"/>
      <c r="RFF51" s="24"/>
      <c r="RFG51" s="24"/>
      <c r="RFH51" s="24"/>
      <c r="RFI51" s="24"/>
      <c r="RFJ51" s="24"/>
      <c r="RFK51" s="24"/>
      <c r="RFL51" s="24"/>
      <c r="RFM51" s="24"/>
      <c r="RFN51" s="24"/>
      <c r="RFO51" s="24"/>
      <c r="RFP51" s="24"/>
      <c r="RFQ51" s="24"/>
      <c r="RFR51" s="24"/>
      <c r="RFS51" s="24"/>
      <c r="RFT51" s="24"/>
      <c r="RFU51" s="24"/>
      <c r="RFV51" s="24"/>
      <c r="RFW51" s="24"/>
      <c r="RFX51" s="24"/>
      <c r="RFY51" s="24"/>
      <c r="RFZ51" s="24"/>
      <c r="RGA51" s="24"/>
      <c r="RGB51" s="24"/>
      <c r="RGC51" s="24"/>
      <c r="RGD51" s="24"/>
      <c r="RGE51" s="24"/>
      <c r="RGF51" s="24"/>
      <c r="RGG51" s="24"/>
      <c r="RGH51" s="24"/>
      <c r="RGI51" s="24"/>
      <c r="RGJ51" s="24"/>
      <c r="RGK51" s="24"/>
      <c r="RGL51" s="24"/>
      <c r="RGM51" s="24"/>
      <c r="RGN51" s="24"/>
      <c r="RGO51" s="24"/>
      <c r="RGP51" s="24"/>
      <c r="RGQ51" s="24"/>
      <c r="RGR51" s="24"/>
      <c r="RGS51" s="24"/>
      <c r="RGT51" s="24"/>
      <c r="RGU51" s="24"/>
      <c r="RGV51" s="24"/>
      <c r="RGW51" s="24"/>
      <c r="RGX51" s="24"/>
      <c r="RGY51" s="24"/>
      <c r="RGZ51" s="24"/>
      <c r="RHA51" s="24"/>
      <c r="RHB51" s="24"/>
      <c r="RHC51" s="24"/>
      <c r="RHD51" s="24"/>
      <c r="RHE51" s="24"/>
      <c r="RHF51" s="24"/>
      <c r="RHG51" s="24"/>
      <c r="RHH51" s="24"/>
      <c r="RHI51" s="24"/>
      <c r="RHJ51" s="24"/>
      <c r="RHK51" s="24"/>
      <c r="RHL51" s="24"/>
      <c r="RHM51" s="24"/>
      <c r="RHN51" s="24"/>
      <c r="RHO51" s="24"/>
      <c r="RHP51" s="24"/>
      <c r="RHQ51" s="24"/>
      <c r="RHR51" s="24"/>
      <c r="RHS51" s="24"/>
      <c r="RHT51" s="24"/>
      <c r="RHU51" s="24"/>
      <c r="RHV51" s="24"/>
      <c r="RHW51" s="24"/>
      <c r="RHX51" s="24"/>
      <c r="RHY51" s="24"/>
      <c r="RHZ51" s="24"/>
      <c r="RIA51" s="24"/>
      <c r="RIB51" s="24"/>
      <c r="RIC51" s="24"/>
      <c r="RID51" s="24"/>
      <c r="RIE51" s="24"/>
      <c r="RIF51" s="24"/>
      <c r="RIG51" s="24"/>
      <c r="RIH51" s="24"/>
      <c r="RII51" s="24"/>
      <c r="RIJ51" s="24"/>
      <c r="RIK51" s="24"/>
      <c r="RIL51" s="24"/>
      <c r="RIM51" s="24"/>
      <c r="RIN51" s="24"/>
      <c r="RIO51" s="24"/>
      <c r="RIP51" s="24"/>
      <c r="RIQ51" s="24"/>
      <c r="RIR51" s="24"/>
      <c r="RIS51" s="24"/>
      <c r="RIT51" s="24"/>
      <c r="RIU51" s="24"/>
      <c r="RIV51" s="24"/>
      <c r="RIW51" s="24"/>
      <c r="RIX51" s="24"/>
      <c r="RIY51" s="24"/>
      <c r="RIZ51" s="24"/>
      <c r="RJA51" s="24"/>
      <c r="RJB51" s="24"/>
      <c r="RJC51" s="24"/>
      <c r="RJD51" s="24"/>
      <c r="RJE51" s="24"/>
      <c r="RJF51" s="24"/>
      <c r="RJG51" s="24"/>
      <c r="RJH51" s="24"/>
      <c r="RJI51" s="24"/>
      <c r="RJJ51" s="24"/>
      <c r="RJK51" s="24"/>
      <c r="RJL51" s="24"/>
      <c r="RJM51" s="24"/>
      <c r="RJN51" s="24"/>
      <c r="RJO51" s="24"/>
      <c r="RJP51" s="24"/>
      <c r="RJQ51" s="24"/>
      <c r="RJR51" s="24"/>
      <c r="RJS51" s="24"/>
      <c r="RJT51" s="24"/>
      <c r="RJU51" s="24"/>
      <c r="RJV51" s="24"/>
      <c r="RJW51" s="24"/>
      <c r="RJX51" s="24"/>
      <c r="RJY51" s="24"/>
      <c r="RJZ51" s="24"/>
      <c r="RKA51" s="24"/>
      <c r="RKB51" s="24"/>
      <c r="RKC51" s="24"/>
      <c r="RKD51" s="24"/>
      <c r="RKE51" s="24"/>
      <c r="RKF51" s="24"/>
      <c r="RKG51" s="24"/>
      <c r="RKH51" s="24"/>
      <c r="RKI51" s="24"/>
      <c r="RKJ51" s="24"/>
      <c r="RKK51" s="24"/>
      <c r="RKL51" s="24"/>
      <c r="RKM51" s="24"/>
      <c r="RKN51" s="24"/>
      <c r="RKO51" s="24"/>
      <c r="RKP51" s="24"/>
      <c r="RKQ51" s="24"/>
      <c r="RKR51" s="24"/>
      <c r="RKS51" s="24"/>
      <c r="RKT51" s="24"/>
      <c r="RKU51" s="24"/>
      <c r="RKV51" s="24"/>
      <c r="RKW51" s="24"/>
      <c r="RKX51" s="24"/>
      <c r="RKY51" s="24"/>
      <c r="RKZ51" s="24"/>
      <c r="RLA51" s="24"/>
      <c r="RLB51" s="24"/>
      <c r="RLC51" s="24"/>
      <c r="RLD51" s="24"/>
      <c r="RLE51" s="24"/>
      <c r="RLF51" s="24"/>
      <c r="RLG51" s="24"/>
      <c r="RLH51" s="24"/>
      <c r="RLI51" s="24"/>
      <c r="RLJ51" s="24"/>
      <c r="RLK51" s="24"/>
      <c r="RLL51" s="24"/>
      <c r="RLM51" s="24"/>
      <c r="RLN51" s="24"/>
      <c r="RLO51" s="24"/>
      <c r="RLP51" s="24"/>
      <c r="RLQ51" s="24"/>
      <c r="RLR51" s="24"/>
      <c r="RLS51" s="24"/>
      <c r="RLT51" s="24"/>
      <c r="RLU51" s="24"/>
      <c r="RLV51" s="24"/>
      <c r="RLW51" s="24"/>
      <c r="RLX51" s="24"/>
      <c r="RLY51" s="24"/>
      <c r="RLZ51" s="24"/>
      <c r="RMA51" s="24"/>
      <c r="RMB51" s="24"/>
      <c r="RMC51" s="24"/>
      <c r="RMD51" s="24"/>
      <c r="RME51" s="24"/>
      <c r="RMF51" s="24"/>
      <c r="RMG51" s="24"/>
      <c r="RMH51" s="24"/>
      <c r="RMI51" s="24"/>
      <c r="RMJ51" s="24"/>
      <c r="RMK51" s="24"/>
      <c r="RML51" s="24"/>
      <c r="RMM51" s="24"/>
      <c r="RMN51" s="24"/>
      <c r="RMO51" s="24"/>
      <c r="RMP51" s="24"/>
      <c r="RMQ51" s="24"/>
      <c r="RMR51" s="24"/>
      <c r="RMS51" s="24"/>
      <c r="RMT51" s="24"/>
      <c r="RMU51" s="24"/>
      <c r="RMV51" s="24"/>
      <c r="RMW51" s="24"/>
      <c r="RMX51" s="24"/>
      <c r="RMY51" s="24"/>
      <c r="RMZ51" s="24"/>
      <c r="RNA51" s="24"/>
      <c r="RNB51" s="24"/>
      <c r="RNC51" s="24"/>
      <c r="RND51" s="24"/>
      <c r="RNE51" s="24"/>
      <c r="RNF51" s="24"/>
      <c r="RNG51" s="24"/>
      <c r="RNH51" s="24"/>
      <c r="RNI51" s="24"/>
      <c r="RNJ51" s="24"/>
      <c r="RNK51" s="24"/>
      <c r="RNL51" s="24"/>
      <c r="RNM51" s="24"/>
      <c r="RNN51" s="24"/>
      <c r="RNO51" s="24"/>
      <c r="RNP51" s="24"/>
      <c r="RNQ51" s="24"/>
      <c r="RNR51" s="24"/>
      <c r="RNS51" s="24"/>
      <c r="RNT51" s="24"/>
      <c r="RNU51" s="24"/>
      <c r="RNV51" s="24"/>
      <c r="RNW51" s="24"/>
      <c r="RNX51" s="24"/>
      <c r="RNY51" s="24"/>
      <c r="RNZ51" s="24"/>
      <c r="ROA51" s="24"/>
      <c r="ROB51" s="24"/>
      <c r="ROC51" s="24"/>
      <c r="ROD51" s="24"/>
      <c r="ROE51" s="24"/>
      <c r="ROF51" s="24"/>
      <c r="ROG51" s="24"/>
      <c r="ROH51" s="24"/>
      <c r="ROI51" s="24"/>
      <c r="ROJ51" s="24"/>
      <c r="ROK51" s="24"/>
      <c r="ROL51" s="24"/>
      <c r="ROM51" s="24"/>
      <c r="RON51" s="24"/>
      <c r="ROO51" s="24"/>
      <c r="ROP51" s="24"/>
      <c r="ROQ51" s="24"/>
      <c r="ROR51" s="24"/>
      <c r="ROS51" s="24"/>
      <c r="ROT51" s="24"/>
      <c r="ROU51" s="24"/>
      <c r="ROV51" s="24"/>
      <c r="ROW51" s="24"/>
      <c r="ROX51" s="24"/>
      <c r="ROY51" s="24"/>
      <c r="ROZ51" s="24"/>
      <c r="RPA51" s="24"/>
      <c r="RPB51" s="24"/>
      <c r="RPC51" s="24"/>
      <c r="RPD51" s="24"/>
      <c r="RPE51" s="24"/>
      <c r="RPF51" s="24"/>
      <c r="RPG51" s="24"/>
      <c r="RPH51" s="24"/>
      <c r="RPI51" s="24"/>
      <c r="RPJ51" s="24"/>
      <c r="RPK51" s="24"/>
      <c r="RPL51" s="24"/>
      <c r="RPM51" s="24"/>
      <c r="RPN51" s="24"/>
      <c r="RPO51" s="24"/>
      <c r="RPP51" s="24"/>
      <c r="RPQ51" s="24"/>
      <c r="RPR51" s="24"/>
      <c r="RPS51" s="24"/>
      <c r="RPT51" s="24"/>
      <c r="RPU51" s="24"/>
      <c r="RPV51" s="24"/>
      <c r="RPW51" s="24"/>
      <c r="RPX51" s="24"/>
      <c r="RPY51" s="24"/>
      <c r="RPZ51" s="24"/>
      <c r="RQA51" s="24"/>
      <c r="RQB51" s="24"/>
      <c r="RQC51" s="24"/>
      <c r="RQD51" s="24"/>
      <c r="RQE51" s="24"/>
      <c r="RQF51" s="24"/>
      <c r="RQG51" s="24"/>
      <c r="RQH51" s="24"/>
      <c r="RQI51" s="24"/>
      <c r="RQJ51" s="24"/>
      <c r="RQK51" s="24"/>
      <c r="RQL51" s="24"/>
      <c r="RQM51" s="24"/>
      <c r="RQN51" s="24"/>
      <c r="RQO51" s="24"/>
      <c r="RQP51" s="24"/>
      <c r="RQQ51" s="24"/>
      <c r="RQR51" s="24"/>
      <c r="RQS51" s="24"/>
      <c r="RQT51" s="24"/>
      <c r="RQU51" s="24"/>
      <c r="RQV51" s="24"/>
      <c r="RQW51" s="24"/>
      <c r="RQX51" s="24"/>
      <c r="RQY51" s="24"/>
      <c r="RQZ51" s="24"/>
      <c r="RRA51" s="24"/>
      <c r="RRB51" s="24"/>
      <c r="RRC51" s="24"/>
      <c r="RRD51" s="24"/>
      <c r="RRE51" s="24"/>
      <c r="RRF51" s="24"/>
      <c r="RRG51" s="24"/>
      <c r="RRH51" s="24"/>
      <c r="RRI51" s="24"/>
      <c r="RRJ51" s="24"/>
      <c r="RRK51" s="24"/>
      <c r="RRL51" s="24"/>
      <c r="RRM51" s="24"/>
      <c r="RRN51" s="24"/>
      <c r="RRO51" s="24"/>
      <c r="RRP51" s="24"/>
      <c r="RRQ51" s="24"/>
      <c r="RRR51" s="24"/>
      <c r="RRS51" s="24"/>
      <c r="RRT51" s="24"/>
      <c r="RRU51" s="24"/>
      <c r="RRV51" s="24"/>
      <c r="RRW51" s="24"/>
      <c r="RRX51" s="24"/>
      <c r="RRY51" s="24"/>
      <c r="RRZ51" s="24"/>
      <c r="RSA51" s="24"/>
      <c r="RSB51" s="24"/>
      <c r="RSC51" s="24"/>
      <c r="RSD51" s="24"/>
      <c r="RSE51" s="24"/>
      <c r="RSF51" s="24"/>
      <c r="RSG51" s="24"/>
      <c r="RSH51" s="24"/>
      <c r="RSI51" s="24"/>
      <c r="RSJ51" s="24"/>
      <c r="RSK51" s="24"/>
      <c r="RSL51" s="24"/>
      <c r="RSM51" s="24"/>
      <c r="RSN51" s="24"/>
      <c r="RSO51" s="24"/>
      <c r="RSP51" s="24"/>
      <c r="RSQ51" s="24"/>
      <c r="RSR51" s="24"/>
      <c r="RSS51" s="24"/>
      <c r="RST51" s="24"/>
      <c r="RSU51" s="24"/>
      <c r="RSV51" s="24"/>
      <c r="RSW51" s="24"/>
      <c r="RSX51" s="24"/>
      <c r="RSY51" s="24"/>
      <c r="RSZ51" s="24"/>
      <c r="RTA51" s="24"/>
      <c r="RTB51" s="24"/>
      <c r="RTC51" s="24"/>
      <c r="RTD51" s="24"/>
      <c r="RTE51" s="24"/>
      <c r="RTF51" s="24"/>
      <c r="RTG51" s="24"/>
      <c r="RTH51" s="24"/>
      <c r="RTI51" s="24"/>
      <c r="RTJ51" s="24"/>
      <c r="RTK51" s="24"/>
      <c r="RTL51" s="24"/>
      <c r="RTM51" s="24"/>
      <c r="RTN51" s="24"/>
      <c r="RTO51" s="24"/>
      <c r="RTP51" s="24"/>
      <c r="RTQ51" s="24"/>
      <c r="RTR51" s="24"/>
      <c r="RTS51" s="24"/>
      <c r="RTT51" s="24"/>
      <c r="RTU51" s="24"/>
      <c r="RTV51" s="24"/>
      <c r="RTW51" s="24"/>
      <c r="RTX51" s="24"/>
      <c r="RTY51" s="24"/>
      <c r="RTZ51" s="24"/>
      <c r="RUA51" s="24"/>
      <c r="RUB51" s="24"/>
      <c r="RUC51" s="24"/>
      <c r="RUD51" s="24"/>
      <c r="RUE51" s="24"/>
      <c r="RUF51" s="24"/>
      <c r="RUG51" s="24"/>
      <c r="RUH51" s="24"/>
      <c r="RUI51" s="24"/>
      <c r="RUJ51" s="24"/>
      <c r="RUK51" s="24"/>
      <c r="RUL51" s="24"/>
      <c r="RUM51" s="24"/>
      <c r="RUN51" s="24"/>
      <c r="RUO51" s="24"/>
      <c r="RUP51" s="24"/>
      <c r="RUQ51" s="24"/>
      <c r="RUR51" s="24"/>
      <c r="RUS51" s="24"/>
      <c r="RUT51" s="24"/>
      <c r="RUU51" s="24"/>
      <c r="RUV51" s="24"/>
      <c r="RUW51" s="24"/>
      <c r="RUX51" s="24"/>
      <c r="RUY51" s="24"/>
      <c r="RUZ51" s="24"/>
      <c r="RVA51" s="24"/>
      <c r="RVB51" s="24"/>
      <c r="RVC51" s="24"/>
      <c r="RVD51" s="24"/>
      <c r="RVE51" s="24"/>
      <c r="RVF51" s="24"/>
      <c r="RVG51" s="24"/>
      <c r="RVH51" s="24"/>
      <c r="RVI51" s="24"/>
      <c r="RVJ51" s="24"/>
      <c r="RVK51" s="24"/>
      <c r="RVL51" s="24"/>
      <c r="RVM51" s="24"/>
      <c r="RVN51" s="24"/>
      <c r="RVO51" s="24"/>
      <c r="RVP51" s="24"/>
      <c r="RVQ51" s="24"/>
      <c r="RVR51" s="24"/>
      <c r="RVS51" s="24"/>
      <c r="RVT51" s="24"/>
      <c r="RVU51" s="24"/>
      <c r="RVV51" s="24"/>
      <c r="RVW51" s="24"/>
      <c r="RVX51" s="24"/>
      <c r="RVY51" s="24"/>
      <c r="RVZ51" s="24"/>
      <c r="RWA51" s="24"/>
      <c r="RWB51" s="24"/>
      <c r="RWC51" s="24"/>
      <c r="RWD51" s="24"/>
      <c r="RWE51" s="24"/>
      <c r="RWF51" s="24"/>
      <c r="RWG51" s="24"/>
      <c r="RWH51" s="24"/>
      <c r="RWI51" s="24"/>
      <c r="RWJ51" s="24"/>
      <c r="RWK51" s="24"/>
      <c r="RWL51" s="24"/>
      <c r="RWM51" s="24"/>
      <c r="RWN51" s="24"/>
      <c r="RWO51" s="24"/>
      <c r="RWP51" s="24"/>
      <c r="RWQ51" s="24"/>
      <c r="RWR51" s="24"/>
      <c r="RWS51" s="24"/>
      <c r="RWT51" s="24"/>
      <c r="RWU51" s="24"/>
      <c r="RWV51" s="24"/>
      <c r="RWW51" s="24"/>
      <c r="RWX51" s="24"/>
      <c r="RWY51" s="24"/>
      <c r="RWZ51" s="24"/>
      <c r="RXA51" s="24"/>
      <c r="RXB51" s="24"/>
      <c r="RXC51" s="24"/>
      <c r="RXD51" s="24"/>
      <c r="RXE51" s="24"/>
      <c r="RXF51" s="24"/>
      <c r="RXG51" s="24"/>
      <c r="RXH51" s="24"/>
      <c r="RXI51" s="24"/>
      <c r="RXJ51" s="24"/>
      <c r="RXK51" s="24"/>
      <c r="RXL51" s="24"/>
      <c r="RXM51" s="24"/>
      <c r="RXN51" s="24"/>
      <c r="RXO51" s="24"/>
      <c r="RXP51" s="24"/>
      <c r="RXQ51" s="24"/>
      <c r="RXR51" s="24"/>
      <c r="RXS51" s="24"/>
      <c r="RXT51" s="24"/>
      <c r="RXU51" s="24"/>
      <c r="RXV51" s="24"/>
      <c r="RXW51" s="24"/>
      <c r="RXX51" s="24"/>
      <c r="RXY51" s="24"/>
      <c r="RXZ51" s="24"/>
      <c r="RYA51" s="24"/>
      <c r="RYB51" s="24"/>
      <c r="RYC51" s="24"/>
      <c r="RYD51" s="24"/>
      <c r="RYE51" s="24"/>
      <c r="RYF51" s="24"/>
      <c r="RYG51" s="24"/>
      <c r="RYH51" s="24"/>
      <c r="RYI51" s="24"/>
      <c r="RYJ51" s="24"/>
      <c r="RYK51" s="24"/>
      <c r="RYL51" s="24"/>
      <c r="RYM51" s="24"/>
      <c r="RYN51" s="24"/>
      <c r="RYO51" s="24"/>
      <c r="RYP51" s="24"/>
      <c r="RYQ51" s="24"/>
      <c r="RYR51" s="24"/>
      <c r="RYS51" s="24"/>
      <c r="RYT51" s="24"/>
      <c r="RYU51" s="24"/>
      <c r="RYV51" s="24"/>
      <c r="RYW51" s="24"/>
      <c r="RYX51" s="24"/>
      <c r="RYY51" s="24"/>
      <c r="RYZ51" s="24"/>
      <c r="RZA51" s="24"/>
      <c r="RZB51" s="24"/>
      <c r="RZC51" s="24"/>
      <c r="RZD51" s="24"/>
      <c r="RZE51" s="24"/>
      <c r="RZF51" s="24"/>
      <c r="RZG51" s="24"/>
      <c r="RZH51" s="24"/>
      <c r="RZI51" s="24"/>
      <c r="RZJ51" s="24"/>
      <c r="RZK51" s="24"/>
      <c r="RZL51" s="24"/>
      <c r="RZM51" s="24"/>
      <c r="RZN51" s="24"/>
      <c r="RZO51" s="24"/>
      <c r="RZP51" s="24"/>
      <c r="RZQ51" s="24"/>
      <c r="RZR51" s="24"/>
      <c r="RZS51" s="24"/>
      <c r="RZT51" s="24"/>
      <c r="RZU51" s="24"/>
      <c r="RZV51" s="24"/>
      <c r="RZW51" s="24"/>
      <c r="RZX51" s="24"/>
      <c r="RZY51" s="24"/>
      <c r="RZZ51" s="24"/>
      <c r="SAA51" s="24"/>
      <c r="SAB51" s="24"/>
      <c r="SAC51" s="24"/>
      <c r="SAD51" s="24"/>
      <c r="SAE51" s="24"/>
      <c r="SAF51" s="24"/>
      <c r="SAG51" s="24"/>
      <c r="SAH51" s="24"/>
      <c r="SAI51" s="24"/>
      <c r="SAJ51" s="24"/>
      <c r="SAK51" s="24"/>
      <c r="SAL51" s="24"/>
      <c r="SAM51" s="24"/>
      <c r="SAN51" s="24"/>
      <c r="SAO51" s="24"/>
      <c r="SAP51" s="24"/>
      <c r="SAQ51" s="24"/>
      <c r="SAR51" s="24"/>
      <c r="SAS51" s="24"/>
      <c r="SAT51" s="24"/>
      <c r="SAU51" s="24"/>
      <c r="SAV51" s="24"/>
      <c r="SAW51" s="24"/>
      <c r="SAX51" s="24"/>
      <c r="SAY51" s="24"/>
      <c r="SAZ51" s="24"/>
      <c r="SBA51" s="24"/>
      <c r="SBB51" s="24"/>
      <c r="SBC51" s="24"/>
      <c r="SBD51" s="24"/>
      <c r="SBE51" s="24"/>
      <c r="SBF51" s="24"/>
      <c r="SBG51" s="24"/>
      <c r="SBH51" s="24"/>
      <c r="SBI51" s="24"/>
      <c r="SBJ51" s="24"/>
      <c r="SBK51" s="24"/>
      <c r="SBL51" s="24"/>
      <c r="SBM51" s="24"/>
      <c r="SBN51" s="24"/>
      <c r="SBO51" s="24"/>
      <c r="SBP51" s="24"/>
      <c r="SBQ51" s="24"/>
      <c r="SBR51" s="24"/>
      <c r="SBS51" s="24"/>
      <c r="SBT51" s="24"/>
      <c r="SBU51" s="24"/>
      <c r="SBV51" s="24"/>
      <c r="SBW51" s="24"/>
      <c r="SBX51" s="24"/>
      <c r="SBY51" s="24"/>
      <c r="SBZ51" s="24"/>
      <c r="SCA51" s="24"/>
      <c r="SCB51" s="24"/>
      <c r="SCC51" s="24"/>
      <c r="SCD51" s="24"/>
      <c r="SCE51" s="24"/>
      <c r="SCF51" s="24"/>
      <c r="SCG51" s="24"/>
      <c r="SCH51" s="24"/>
      <c r="SCI51" s="24"/>
      <c r="SCJ51" s="24"/>
      <c r="SCK51" s="24"/>
      <c r="SCL51" s="24"/>
      <c r="SCM51" s="24"/>
      <c r="SCN51" s="24"/>
      <c r="SCO51" s="24"/>
      <c r="SCP51" s="24"/>
      <c r="SCQ51" s="24"/>
      <c r="SCR51" s="24"/>
      <c r="SCS51" s="24"/>
      <c r="SCT51" s="24"/>
      <c r="SCU51" s="24"/>
      <c r="SCV51" s="24"/>
      <c r="SCW51" s="24"/>
      <c r="SCX51" s="24"/>
      <c r="SCY51" s="24"/>
      <c r="SCZ51" s="24"/>
      <c r="SDA51" s="24"/>
      <c r="SDB51" s="24"/>
      <c r="SDC51" s="24"/>
      <c r="SDD51" s="24"/>
      <c r="SDE51" s="24"/>
      <c r="SDF51" s="24"/>
      <c r="SDG51" s="24"/>
      <c r="SDH51" s="24"/>
      <c r="SDI51" s="24"/>
      <c r="SDJ51" s="24"/>
      <c r="SDK51" s="24"/>
      <c r="SDL51" s="24"/>
      <c r="SDM51" s="24"/>
      <c r="SDN51" s="24"/>
      <c r="SDO51" s="24"/>
      <c r="SDP51" s="24"/>
      <c r="SDQ51" s="24"/>
      <c r="SDR51" s="24"/>
      <c r="SDS51" s="24"/>
      <c r="SDT51" s="24"/>
      <c r="SDU51" s="24"/>
      <c r="SDV51" s="24"/>
      <c r="SDW51" s="24"/>
      <c r="SDX51" s="24"/>
      <c r="SDY51" s="24"/>
      <c r="SDZ51" s="24"/>
      <c r="SEA51" s="24"/>
      <c r="SEB51" s="24"/>
      <c r="SEC51" s="24"/>
      <c r="SED51" s="24"/>
      <c r="SEE51" s="24"/>
      <c r="SEF51" s="24"/>
      <c r="SEG51" s="24"/>
      <c r="SEH51" s="24"/>
      <c r="SEI51" s="24"/>
      <c r="SEJ51" s="24"/>
      <c r="SEK51" s="24"/>
      <c r="SEL51" s="24"/>
      <c r="SEM51" s="24"/>
      <c r="SEN51" s="24"/>
      <c r="SEO51" s="24"/>
      <c r="SEP51" s="24"/>
      <c r="SEQ51" s="24"/>
      <c r="SER51" s="24"/>
      <c r="SES51" s="24"/>
      <c r="SET51" s="24"/>
      <c r="SEU51" s="24"/>
      <c r="SEV51" s="24"/>
      <c r="SEW51" s="24"/>
      <c r="SEX51" s="24"/>
      <c r="SEY51" s="24"/>
      <c r="SEZ51" s="24"/>
      <c r="SFA51" s="24"/>
      <c r="SFB51" s="24"/>
      <c r="SFC51" s="24"/>
      <c r="SFD51" s="24"/>
      <c r="SFE51" s="24"/>
      <c r="SFF51" s="24"/>
      <c r="SFG51" s="24"/>
      <c r="SFH51" s="24"/>
      <c r="SFI51" s="24"/>
      <c r="SFJ51" s="24"/>
      <c r="SFK51" s="24"/>
      <c r="SFL51" s="24"/>
      <c r="SFM51" s="24"/>
      <c r="SFN51" s="24"/>
      <c r="SFO51" s="24"/>
      <c r="SFP51" s="24"/>
      <c r="SFQ51" s="24"/>
      <c r="SFR51" s="24"/>
      <c r="SFS51" s="24"/>
      <c r="SFT51" s="24"/>
      <c r="SFU51" s="24"/>
      <c r="SFV51" s="24"/>
      <c r="SFW51" s="24"/>
      <c r="SFX51" s="24"/>
      <c r="SFY51" s="24"/>
      <c r="SFZ51" s="24"/>
      <c r="SGA51" s="24"/>
      <c r="SGB51" s="24"/>
      <c r="SGC51" s="24"/>
      <c r="SGD51" s="24"/>
      <c r="SGE51" s="24"/>
      <c r="SGF51" s="24"/>
      <c r="SGG51" s="24"/>
      <c r="SGH51" s="24"/>
      <c r="SGI51" s="24"/>
      <c r="SGJ51" s="24"/>
      <c r="SGK51" s="24"/>
      <c r="SGL51" s="24"/>
      <c r="SGM51" s="24"/>
      <c r="SGN51" s="24"/>
      <c r="SGO51" s="24"/>
      <c r="SGP51" s="24"/>
      <c r="SGQ51" s="24"/>
      <c r="SGR51" s="24"/>
      <c r="SGS51" s="24"/>
      <c r="SGT51" s="24"/>
      <c r="SGU51" s="24"/>
      <c r="SGV51" s="24"/>
      <c r="SGW51" s="24"/>
      <c r="SGX51" s="24"/>
      <c r="SGY51" s="24"/>
      <c r="SGZ51" s="24"/>
      <c r="SHA51" s="24"/>
      <c r="SHB51" s="24"/>
      <c r="SHC51" s="24"/>
      <c r="SHD51" s="24"/>
      <c r="SHE51" s="24"/>
      <c r="SHF51" s="24"/>
      <c r="SHG51" s="24"/>
      <c r="SHH51" s="24"/>
      <c r="SHI51" s="24"/>
      <c r="SHJ51" s="24"/>
      <c r="SHK51" s="24"/>
      <c r="SHL51" s="24"/>
      <c r="SHM51" s="24"/>
      <c r="SHN51" s="24"/>
      <c r="SHO51" s="24"/>
      <c r="SHP51" s="24"/>
      <c r="SHQ51" s="24"/>
      <c r="SHR51" s="24"/>
      <c r="SHS51" s="24"/>
      <c r="SHT51" s="24"/>
      <c r="SHU51" s="24"/>
      <c r="SHV51" s="24"/>
      <c r="SHW51" s="24"/>
      <c r="SHX51" s="24"/>
      <c r="SHY51" s="24"/>
      <c r="SHZ51" s="24"/>
      <c r="SIA51" s="24"/>
      <c r="SIB51" s="24"/>
      <c r="SIC51" s="24"/>
      <c r="SID51" s="24"/>
      <c r="SIE51" s="24"/>
      <c r="SIF51" s="24"/>
      <c r="SIG51" s="24"/>
      <c r="SIH51" s="24"/>
      <c r="SII51" s="24"/>
      <c r="SIJ51" s="24"/>
      <c r="SIK51" s="24"/>
      <c r="SIL51" s="24"/>
      <c r="SIM51" s="24"/>
      <c r="SIN51" s="24"/>
      <c r="SIO51" s="24"/>
      <c r="SIP51" s="24"/>
      <c r="SIQ51" s="24"/>
      <c r="SIR51" s="24"/>
      <c r="SIS51" s="24"/>
      <c r="SIT51" s="24"/>
      <c r="SIU51" s="24"/>
      <c r="SIV51" s="24"/>
      <c r="SIW51" s="24"/>
      <c r="SIX51" s="24"/>
      <c r="SIY51" s="24"/>
      <c r="SIZ51" s="24"/>
      <c r="SJA51" s="24"/>
      <c r="SJB51" s="24"/>
      <c r="SJC51" s="24"/>
      <c r="SJD51" s="24"/>
      <c r="SJE51" s="24"/>
      <c r="SJF51" s="24"/>
      <c r="SJG51" s="24"/>
      <c r="SJH51" s="24"/>
      <c r="SJI51" s="24"/>
      <c r="SJJ51" s="24"/>
      <c r="SJK51" s="24"/>
      <c r="SJL51" s="24"/>
      <c r="SJM51" s="24"/>
      <c r="SJN51" s="24"/>
      <c r="SJO51" s="24"/>
      <c r="SJP51" s="24"/>
      <c r="SJQ51" s="24"/>
      <c r="SJR51" s="24"/>
      <c r="SJS51" s="24"/>
      <c r="SJT51" s="24"/>
      <c r="SJU51" s="24"/>
      <c r="SJV51" s="24"/>
      <c r="SJW51" s="24"/>
      <c r="SJX51" s="24"/>
      <c r="SJY51" s="24"/>
      <c r="SJZ51" s="24"/>
      <c r="SKA51" s="24"/>
      <c r="SKB51" s="24"/>
      <c r="SKC51" s="24"/>
      <c r="SKD51" s="24"/>
      <c r="SKE51" s="24"/>
      <c r="SKF51" s="24"/>
      <c r="SKG51" s="24"/>
      <c r="SKH51" s="24"/>
      <c r="SKI51" s="24"/>
      <c r="SKJ51" s="24"/>
      <c r="SKK51" s="24"/>
      <c r="SKL51" s="24"/>
      <c r="SKM51" s="24"/>
      <c r="SKN51" s="24"/>
      <c r="SKO51" s="24"/>
      <c r="SKP51" s="24"/>
      <c r="SKQ51" s="24"/>
      <c r="SKR51" s="24"/>
      <c r="SKS51" s="24"/>
      <c r="SKT51" s="24"/>
      <c r="SKU51" s="24"/>
      <c r="SKV51" s="24"/>
      <c r="SKW51" s="24"/>
      <c r="SKX51" s="24"/>
      <c r="SKY51" s="24"/>
      <c r="SKZ51" s="24"/>
      <c r="SLA51" s="24"/>
      <c r="SLB51" s="24"/>
      <c r="SLC51" s="24"/>
      <c r="SLD51" s="24"/>
      <c r="SLE51" s="24"/>
      <c r="SLF51" s="24"/>
      <c r="SLG51" s="24"/>
      <c r="SLH51" s="24"/>
      <c r="SLI51" s="24"/>
      <c r="SLJ51" s="24"/>
      <c r="SLK51" s="24"/>
      <c r="SLL51" s="24"/>
      <c r="SLM51" s="24"/>
      <c r="SLN51" s="24"/>
      <c r="SLO51" s="24"/>
      <c r="SLP51" s="24"/>
      <c r="SLQ51" s="24"/>
      <c r="SLR51" s="24"/>
      <c r="SLS51" s="24"/>
      <c r="SLT51" s="24"/>
      <c r="SLU51" s="24"/>
      <c r="SLV51" s="24"/>
      <c r="SLW51" s="24"/>
      <c r="SLX51" s="24"/>
      <c r="SLY51" s="24"/>
      <c r="SLZ51" s="24"/>
      <c r="SMA51" s="24"/>
      <c r="SMB51" s="24"/>
      <c r="SMC51" s="24"/>
      <c r="SMD51" s="24"/>
      <c r="SME51" s="24"/>
      <c r="SMF51" s="24"/>
      <c r="SMG51" s="24"/>
      <c r="SMH51" s="24"/>
      <c r="SMI51" s="24"/>
      <c r="SMJ51" s="24"/>
      <c r="SMK51" s="24"/>
      <c r="SML51" s="24"/>
      <c r="SMM51" s="24"/>
      <c r="SMN51" s="24"/>
      <c r="SMO51" s="24"/>
      <c r="SMP51" s="24"/>
      <c r="SMQ51" s="24"/>
      <c r="SMR51" s="24"/>
      <c r="SMS51" s="24"/>
      <c r="SMT51" s="24"/>
      <c r="SMU51" s="24"/>
      <c r="SMV51" s="24"/>
      <c r="SMW51" s="24"/>
      <c r="SMX51" s="24"/>
      <c r="SMY51" s="24"/>
      <c r="SMZ51" s="24"/>
      <c r="SNA51" s="24"/>
      <c r="SNB51" s="24"/>
      <c r="SNC51" s="24"/>
      <c r="SND51" s="24"/>
      <c r="SNE51" s="24"/>
      <c r="SNF51" s="24"/>
      <c r="SNG51" s="24"/>
      <c r="SNH51" s="24"/>
      <c r="SNI51" s="24"/>
      <c r="SNJ51" s="24"/>
      <c r="SNK51" s="24"/>
      <c r="SNL51" s="24"/>
      <c r="SNM51" s="24"/>
      <c r="SNN51" s="24"/>
      <c r="SNO51" s="24"/>
      <c r="SNP51" s="24"/>
      <c r="SNQ51" s="24"/>
      <c r="SNR51" s="24"/>
      <c r="SNS51" s="24"/>
      <c r="SNT51" s="24"/>
      <c r="SNU51" s="24"/>
      <c r="SNV51" s="24"/>
      <c r="SNW51" s="24"/>
      <c r="SNX51" s="24"/>
      <c r="SNY51" s="24"/>
      <c r="SNZ51" s="24"/>
      <c r="SOA51" s="24"/>
      <c r="SOB51" s="24"/>
      <c r="SOC51" s="24"/>
      <c r="SOD51" s="24"/>
      <c r="SOE51" s="24"/>
      <c r="SOF51" s="24"/>
      <c r="SOG51" s="24"/>
      <c r="SOH51" s="24"/>
      <c r="SOI51" s="24"/>
      <c r="SOJ51" s="24"/>
      <c r="SOK51" s="24"/>
      <c r="SOL51" s="24"/>
      <c r="SOM51" s="24"/>
      <c r="SON51" s="24"/>
      <c r="SOO51" s="24"/>
      <c r="SOP51" s="24"/>
      <c r="SOQ51" s="24"/>
      <c r="SOR51" s="24"/>
      <c r="SOS51" s="24"/>
      <c r="SOT51" s="24"/>
      <c r="SOU51" s="24"/>
      <c r="SOV51" s="24"/>
      <c r="SOW51" s="24"/>
      <c r="SOX51" s="24"/>
      <c r="SOY51" s="24"/>
      <c r="SOZ51" s="24"/>
      <c r="SPA51" s="24"/>
      <c r="SPB51" s="24"/>
      <c r="SPC51" s="24"/>
      <c r="SPD51" s="24"/>
      <c r="SPE51" s="24"/>
      <c r="SPF51" s="24"/>
      <c r="SPG51" s="24"/>
      <c r="SPH51" s="24"/>
      <c r="SPI51" s="24"/>
      <c r="SPJ51" s="24"/>
      <c r="SPK51" s="24"/>
      <c r="SPL51" s="24"/>
      <c r="SPM51" s="24"/>
      <c r="SPN51" s="24"/>
      <c r="SPO51" s="24"/>
      <c r="SPP51" s="24"/>
      <c r="SPQ51" s="24"/>
      <c r="SPR51" s="24"/>
      <c r="SPS51" s="24"/>
      <c r="SPT51" s="24"/>
      <c r="SPU51" s="24"/>
      <c r="SPV51" s="24"/>
      <c r="SPW51" s="24"/>
      <c r="SPX51" s="24"/>
      <c r="SPY51" s="24"/>
      <c r="SPZ51" s="24"/>
      <c r="SQA51" s="24"/>
      <c r="SQB51" s="24"/>
      <c r="SQC51" s="24"/>
      <c r="SQD51" s="24"/>
      <c r="SQE51" s="24"/>
      <c r="SQF51" s="24"/>
      <c r="SQG51" s="24"/>
      <c r="SQH51" s="24"/>
      <c r="SQI51" s="24"/>
      <c r="SQJ51" s="24"/>
      <c r="SQK51" s="24"/>
      <c r="SQL51" s="24"/>
      <c r="SQM51" s="24"/>
      <c r="SQN51" s="24"/>
      <c r="SQO51" s="24"/>
      <c r="SQP51" s="24"/>
      <c r="SQQ51" s="24"/>
      <c r="SQR51" s="24"/>
      <c r="SQS51" s="24"/>
      <c r="SQT51" s="24"/>
      <c r="SQU51" s="24"/>
      <c r="SQV51" s="24"/>
      <c r="SQW51" s="24"/>
      <c r="SQX51" s="24"/>
      <c r="SQY51" s="24"/>
      <c r="SQZ51" s="24"/>
      <c r="SRA51" s="24"/>
      <c r="SRB51" s="24"/>
      <c r="SRC51" s="24"/>
      <c r="SRD51" s="24"/>
      <c r="SRE51" s="24"/>
      <c r="SRF51" s="24"/>
      <c r="SRG51" s="24"/>
      <c r="SRH51" s="24"/>
      <c r="SRI51" s="24"/>
      <c r="SRJ51" s="24"/>
      <c r="SRK51" s="24"/>
      <c r="SRL51" s="24"/>
      <c r="SRM51" s="24"/>
      <c r="SRN51" s="24"/>
      <c r="SRO51" s="24"/>
      <c r="SRP51" s="24"/>
      <c r="SRQ51" s="24"/>
      <c r="SRR51" s="24"/>
      <c r="SRS51" s="24"/>
      <c r="SRT51" s="24"/>
      <c r="SRU51" s="24"/>
      <c r="SRV51" s="24"/>
      <c r="SRW51" s="24"/>
      <c r="SRX51" s="24"/>
      <c r="SRY51" s="24"/>
      <c r="SRZ51" s="24"/>
      <c r="SSA51" s="24"/>
      <c r="SSB51" s="24"/>
      <c r="SSC51" s="24"/>
      <c r="SSD51" s="24"/>
      <c r="SSE51" s="24"/>
      <c r="SSF51" s="24"/>
      <c r="SSG51" s="24"/>
      <c r="SSH51" s="24"/>
      <c r="SSI51" s="24"/>
      <c r="SSJ51" s="24"/>
      <c r="SSK51" s="24"/>
      <c r="SSL51" s="24"/>
      <c r="SSM51" s="24"/>
      <c r="SSN51" s="24"/>
      <c r="SSO51" s="24"/>
      <c r="SSP51" s="24"/>
      <c r="SSQ51" s="24"/>
      <c r="SSR51" s="24"/>
      <c r="SSS51" s="24"/>
      <c r="SST51" s="24"/>
      <c r="SSU51" s="24"/>
      <c r="SSV51" s="24"/>
      <c r="SSW51" s="24"/>
      <c r="SSX51" s="24"/>
      <c r="SSY51" s="24"/>
      <c r="SSZ51" s="24"/>
      <c r="STA51" s="24"/>
      <c r="STB51" s="24"/>
      <c r="STC51" s="24"/>
      <c r="STD51" s="24"/>
      <c r="STE51" s="24"/>
      <c r="STF51" s="24"/>
      <c r="STG51" s="24"/>
      <c r="STH51" s="24"/>
      <c r="STI51" s="24"/>
      <c r="STJ51" s="24"/>
      <c r="STK51" s="24"/>
      <c r="STL51" s="24"/>
      <c r="STM51" s="24"/>
      <c r="STN51" s="24"/>
      <c r="STO51" s="24"/>
      <c r="STP51" s="24"/>
      <c r="STQ51" s="24"/>
      <c r="STR51" s="24"/>
      <c r="STS51" s="24"/>
      <c r="STT51" s="24"/>
      <c r="STU51" s="24"/>
      <c r="STV51" s="24"/>
      <c r="STW51" s="24"/>
      <c r="STX51" s="24"/>
      <c r="STY51" s="24"/>
      <c r="STZ51" s="24"/>
      <c r="SUA51" s="24"/>
      <c r="SUB51" s="24"/>
      <c r="SUC51" s="24"/>
      <c r="SUD51" s="24"/>
      <c r="SUE51" s="24"/>
      <c r="SUF51" s="24"/>
      <c r="SUG51" s="24"/>
      <c r="SUH51" s="24"/>
      <c r="SUI51" s="24"/>
      <c r="SUJ51" s="24"/>
      <c r="SUK51" s="24"/>
      <c r="SUL51" s="24"/>
      <c r="SUM51" s="24"/>
      <c r="SUN51" s="24"/>
      <c r="SUO51" s="24"/>
      <c r="SUP51" s="24"/>
      <c r="SUQ51" s="24"/>
      <c r="SUR51" s="24"/>
      <c r="SUS51" s="24"/>
      <c r="SUT51" s="24"/>
      <c r="SUU51" s="24"/>
      <c r="SUV51" s="24"/>
      <c r="SUW51" s="24"/>
      <c r="SUX51" s="24"/>
      <c r="SUY51" s="24"/>
      <c r="SUZ51" s="24"/>
      <c r="SVA51" s="24"/>
      <c r="SVB51" s="24"/>
      <c r="SVC51" s="24"/>
      <c r="SVD51" s="24"/>
      <c r="SVE51" s="24"/>
      <c r="SVF51" s="24"/>
      <c r="SVG51" s="24"/>
      <c r="SVH51" s="24"/>
      <c r="SVI51" s="24"/>
      <c r="SVJ51" s="24"/>
      <c r="SVK51" s="24"/>
      <c r="SVL51" s="24"/>
      <c r="SVM51" s="24"/>
      <c r="SVN51" s="24"/>
      <c r="SVO51" s="24"/>
      <c r="SVP51" s="24"/>
      <c r="SVQ51" s="24"/>
      <c r="SVR51" s="24"/>
      <c r="SVS51" s="24"/>
      <c r="SVT51" s="24"/>
      <c r="SVU51" s="24"/>
      <c r="SVV51" s="24"/>
      <c r="SVW51" s="24"/>
      <c r="SVX51" s="24"/>
      <c r="SVY51" s="24"/>
      <c r="SVZ51" s="24"/>
      <c r="SWA51" s="24"/>
      <c r="SWB51" s="24"/>
      <c r="SWC51" s="24"/>
      <c r="SWD51" s="24"/>
      <c r="SWE51" s="24"/>
      <c r="SWF51" s="24"/>
      <c r="SWG51" s="24"/>
      <c r="SWH51" s="24"/>
      <c r="SWI51" s="24"/>
      <c r="SWJ51" s="24"/>
      <c r="SWK51" s="24"/>
      <c r="SWL51" s="24"/>
      <c r="SWM51" s="24"/>
      <c r="SWN51" s="24"/>
      <c r="SWO51" s="24"/>
      <c r="SWP51" s="24"/>
      <c r="SWQ51" s="24"/>
      <c r="SWR51" s="24"/>
      <c r="SWS51" s="24"/>
      <c r="SWT51" s="24"/>
      <c r="SWU51" s="24"/>
      <c r="SWV51" s="24"/>
      <c r="SWW51" s="24"/>
      <c r="SWX51" s="24"/>
      <c r="SWY51" s="24"/>
      <c r="SWZ51" s="24"/>
      <c r="SXA51" s="24"/>
      <c r="SXB51" s="24"/>
      <c r="SXC51" s="24"/>
      <c r="SXD51" s="24"/>
      <c r="SXE51" s="24"/>
      <c r="SXF51" s="24"/>
      <c r="SXG51" s="24"/>
      <c r="SXH51" s="24"/>
      <c r="SXI51" s="24"/>
      <c r="SXJ51" s="24"/>
      <c r="SXK51" s="24"/>
      <c r="SXL51" s="24"/>
      <c r="SXM51" s="24"/>
      <c r="SXN51" s="24"/>
      <c r="SXO51" s="24"/>
      <c r="SXP51" s="24"/>
      <c r="SXQ51" s="24"/>
      <c r="SXR51" s="24"/>
      <c r="SXS51" s="24"/>
      <c r="SXT51" s="24"/>
      <c r="SXU51" s="24"/>
      <c r="SXV51" s="24"/>
      <c r="SXW51" s="24"/>
      <c r="SXX51" s="24"/>
      <c r="SXY51" s="24"/>
      <c r="SXZ51" s="24"/>
      <c r="SYA51" s="24"/>
      <c r="SYB51" s="24"/>
      <c r="SYC51" s="24"/>
      <c r="SYD51" s="24"/>
      <c r="SYE51" s="24"/>
      <c r="SYF51" s="24"/>
      <c r="SYG51" s="24"/>
      <c r="SYH51" s="24"/>
      <c r="SYI51" s="24"/>
      <c r="SYJ51" s="24"/>
      <c r="SYK51" s="24"/>
      <c r="SYL51" s="24"/>
      <c r="SYM51" s="24"/>
      <c r="SYN51" s="24"/>
      <c r="SYO51" s="24"/>
      <c r="SYP51" s="24"/>
      <c r="SYQ51" s="24"/>
      <c r="SYR51" s="24"/>
      <c r="SYS51" s="24"/>
      <c r="SYT51" s="24"/>
      <c r="SYU51" s="24"/>
      <c r="SYV51" s="24"/>
      <c r="SYW51" s="24"/>
      <c r="SYX51" s="24"/>
      <c r="SYY51" s="24"/>
      <c r="SYZ51" s="24"/>
      <c r="SZA51" s="24"/>
      <c r="SZB51" s="24"/>
      <c r="SZC51" s="24"/>
      <c r="SZD51" s="24"/>
      <c r="SZE51" s="24"/>
      <c r="SZF51" s="24"/>
      <c r="SZG51" s="24"/>
      <c r="SZH51" s="24"/>
      <c r="SZI51" s="24"/>
      <c r="SZJ51" s="24"/>
      <c r="SZK51" s="24"/>
      <c r="SZL51" s="24"/>
      <c r="SZM51" s="24"/>
      <c r="SZN51" s="24"/>
      <c r="SZO51" s="24"/>
      <c r="SZP51" s="24"/>
      <c r="SZQ51" s="24"/>
      <c r="SZR51" s="24"/>
      <c r="SZS51" s="24"/>
      <c r="SZT51" s="24"/>
      <c r="SZU51" s="24"/>
      <c r="SZV51" s="24"/>
      <c r="SZW51" s="24"/>
      <c r="SZX51" s="24"/>
      <c r="SZY51" s="24"/>
      <c r="SZZ51" s="24"/>
      <c r="TAA51" s="24"/>
      <c r="TAB51" s="24"/>
      <c r="TAC51" s="24"/>
      <c r="TAD51" s="24"/>
      <c r="TAE51" s="24"/>
      <c r="TAF51" s="24"/>
      <c r="TAG51" s="24"/>
      <c r="TAH51" s="24"/>
      <c r="TAI51" s="24"/>
      <c r="TAJ51" s="24"/>
      <c r="TAK51" s="24"/>
      <c r="TAL51" s="24"/>
      <c r="TAM51" s="24"/>
      <c r="TAN51" s="24"/>
      <c r="TAO51" s="24"/>
      <c r="TAP51" s="24"/>
      <c r="TAQ51" s="24"/>
      <c r="TAR51" s="24"/>
      <c r="TAS51" s="24"/>
      <c r="TAT51" s="24"/>
      <c r="TAU51" s="24"/>
      <c r="TAV51" s="24"/>
      <c r="TAW51" s="24"/>
      <c r="TAX51" s="24"/>
      <c r="TAY51" s="24"/>
      <c r="TAZ51" s="24"/>
      <c r="TBA51" s="24"/>
      <c r="TBB51" s="24"/>
      <c r="TBC51" s="24"/>
      <c r="TBD51" s="24"/>
      <c r="TBE51" s="24"/>
      <c r="TBF51" s="24"/>
      <c r="TBG51" s="24"/>
      <c r="TBH51" s="24"/>
      <c r="TBI51" s="24"/>
      <c r="TBJ51" s="24"/>
      <c r="TBK51" s="24"/>
      <c r="TBL51" s="24"/>
      <c r="TBM51" s="24"/>
      <c r="TBN51" s="24"/>
      <c r="TBO51" s="24"/>
      <c r="TBP51" s="24"/>
      <c r="TBQ51" s="24"/>
      <c r="TBR51" s="24"/>
      <c r="TBS51" s="24"/>
      <c r="TBT51" s="24"/>
      <c r="TBU51" s="24"/>
      <c r="TBV51" s="24"/>
      <c r="TBW51" s="24"/>
      <c r="TBX51" s="24"/>
      <c r="TBY51" s="24"/>
      <c r="TBZ51" s="24"/>
      <c r="TCA51" s="24"/>
      <c r="TCB51" s="24"/>
      <c r="TCC51" s="24"/>
      <c r="TCD51" s="24"/>
      <c r="TCE51" s="24"/>
      <c r="TCF51" s="24"/>
      <c r="TCG51" s="24"/>
      <c r="TCH51" s="24"/>
      <c r="TCI51" s="24"/>
      <c r="TCJ51" s="24"/>
      <c r="TCK51" s="24"/>
      <c r="TCL51" s="24"/>
      <c r="TCM51" s="24"/>
      <c r="TCN51" s="24"/>
      <c r="TCO51" s="24"/>
      <c r="TCP51" s="24"/>
      <c r="TCQ51" s="24"/>
      <c r="TCR51" s="24"/>
      <c r="TCS51" s="24"/>
      <c r="TCT51" s="24"/>
      <c r="TCU51" s="24"/>
      <c r="TCV51" s="24"/>
      <c r="TCW51" s="24"/>
      <c r="TCX51" s="24"/>
      <c r="TCY51" s="24"/>
      <c r="TCZ51" s="24"/>
      <c r="TDA51" s="24"/>
      <c r="TDB51" s="24"/>
      <c r="TDC51" s="24"/>
      <c r="TDD51" s="24"/>
      <c r="TDE51" s="24"/>
      <c r="TDF51" s="24"/>
      <c r="TDG51" s="24"/>
      <c r="TDH51" s="24"/>
      <c r="TDI51" s="24"/>
      <c r="TDJ51" s="24"/>
      <c r="TDK51" s="24"/>
      <c r="TDL51" s="24"/>
      <c r="TDM51" s="24"/>
      <c r="TDN51" s="24"/>
      <c r="TDO51" s="24"/>
      <c r="TDP51" s="24"/>
      <c r="TDQ51" s="24"/>
      <c r="TDR51" s="24"/>
      <c r="TDS51" s="24"/>
      <c r="TDT51" s="24"/>
      <c r="TDU51" s="24"/>
      <c r="TDV51" s="24"/>
      <c r="TDW51" s="24"/>
      <c r="TDX51" s="24"/>
      <c r="TDY51" s="24"/>
      <c r="TDZ51" s="24"/>
      <c r="TEA51" s="24"/>
      <c r="TEB51" s="24"/>
      <c r="TEC51" s="24"/>
      <c r="TED51" s="24"/>
      <c r="TEE51" s="24"/>
      <c r="TEF51" s="24"/>
      <c r="TEG51" s="24"/>
      <c r="TEH51" s="24"/>
      <c r="TEI51" s="24"/>
      <c r="TEJ51" s="24"/>
      <c r="TEK51" s="24"/>
      <c r="TEL51" s="24"/>
      <c r="TEM51" s="24"/>
      <c r="TEN51" s="24"/>
      <c r="TEO51" s="24"/>
      <c r="TEP51" s="24"/>
      <c r="TEQ51" s="24"/>
      <c r="TER51" s="24"/>
      <c r="TES51" s="24"/>
      <c r="TET51" s="24"/>
      <c r="TEU51" s="24"/>
      <c r="TEV51" s="24"/>
      <c r="TEW51" s="24"/>
      <c r="TEX51" s="24"/>
      <c r="TEY51" s="24"/>
      <c r="TEZ51" s="24"/>
      <c r="TFA51" s="24"/>
      <c r="TFB51" s="24"/>
      <c r="TFC51" s="24"/>
      <c r="TFD51" s="24"/>
      <c r="TFE51" s="24"/>
      <c r="TFF51" s="24"/>
      <c r="TFG51" s="24"/>
      <c r="TFH51" s="24"/>
      <c r="TFI51" s="24"/>
      <c r="TFJ51" s="24"/>
      <c r="TFK51" s="24"/>
      <c r="TFL51" s="24"/>
      <c r="TFM51" s="24"/>
      <c r="TFN51" s="24"/>
      <c r="TFO51" s="24"/>
      <c r="TFP51" s="24"/>
      <c r="TFQ51" s="24"/>
      <c r="TFR51" s="24"/>
      <c r="TFS51" s="24"/>
      <c r="TFT51" s="24"/>
      <c r="TFU51" s="24"/>
      <c r="TFV51" s="24"/>
      <c r="TFW51" s="24"/>
      <c r="TFX51" s="24"/>
      <c r="TFY51" s="24"/>
      <c r="TFZ51" s="24"/>
      <c r="TGA51" s="24"/>
      <c r="TGB51" s="24"/>
      <c r="TGC51" s="24"/>
      <c r="TGD51" s="24"/>
      <c r="TGE51" s="24"/>
      <c r="TGF51" s="24"/>
      <c r="TGG51" s="24"/>
      <c r="TGH51" s="24"/>
      <c r="TGI51" s="24"/>
      <c r="TGJ51" s="24"/>
      <c r="TGK51" s="24"/>
      <c r="TGL51" s="24"/>
      <c r="TGM51" s="24"/>
      <c r="TGN51" s="24"/>
      <c r="TGO51" s="24"/>
      <c r="TGP51" s="24"/>
      <c r="TGQ51" s="24"/>
      <c r="TGR51" s="24"/>
      <c r="TGS51" s="24"/>
      <c r="TGT51" s="24"/>
      <c r="TGU51" s="24"/>
      <c r="TGV51" s="24"/>
      <c r="TGW51" s="24"/>
      <c r="TGX51" s="24"/>
      <c r="TGY51" s="24"/>
      <c r="TGZ51" s="24"/>
      <c r="THA51" s="24"/>
      <c r="THB51" s="24"/>
      <c r="THC51" s="24"/>
      <c r="THD51" s="24"/>
      <c r="THE51" s="24"/>
      <c r="THF51" s="24"/>
      <c r="THG51" s="24"/>
      <c r="THH51" s="24"/>
      <c r="THI51" s="24"/>
      <c r="THJ51" s="24"/>
      <c r="THK51" s="24"/>
      <c r="THL51" s="24"/>
      <c r="THM51" s="24"/>
      <c r="THN51" s="24"/>
      <c r="THO51" s="24"/>
      <c r="THP51" s="24"/>
      <c r="THQ51" s="24"/>
      <c r="THR51" s="24"/>
      <c r="THS51" s="24"/>
      <c r="THT51" s="24"/>
      <c r="THU51" s="24"/>
      <c r="THV51" s="24"/>
      <c r="THW51" s="24"/>
      <c r="THX51" s="24"/>
      <c r="THY51" s="24"/>
      <c r="THZ51" s="24"/>
      <c r="TIA51" s="24"/>
      <c r="TIB51" s="24"/>
      <c r="TIC51" s="24"/>
      <c r="TID51" s="24"/>
      <c r="TIE51" s="24"/>
      <c r="TIF51" s="24"/>
      <c r="TIG51" s="24"/>
      <c r="TIH51" s="24"/>
      <c r="TII51" s="24"/>
      <c r="TIJ51" s="24"/>
      <c r="TIK51" s="24"/>
      <c r="TIL51" s="24"/>
      <c r="TIM51" s="24"/>
      <c r="TIN51" s="24"/>
      <c r="TIO51" s="24"/>
      <c r="TIP51" s="24"/>
      <c r="TIQ51" s="24"/>
      <c r="TIR51" s="24"/>
      <c r="TIS51" s="24"/>
      <c r="TIT51" s="24"/>
      <c r="TIU51" s="24"/>
      <c r="TIV51" s="24"/>
      <c r="TIW51" s="24"/>
      <c r="TIX51" s="24"/>
      <c r="TIY51" s="24"/>
      <c r="TIZ51" s="24"/>
      <c r="TJA51" s="24"/>
      <c r="TJB51" s="24"/>
      <c r="TJC51" s="24"/>
      <c r="TJD51" s="24"/>
      <c r="TJE51" s="24"/>
      <c r="TJF51" s="24"/>
      <c r="TJG51" s="24"/>
      <c r="TJH51" s="24"/>
      <c r="TJI51" s="24"/>
      <c r="TJJ51" s="24"/>
      <c r="TJK51" s="24"/>
      <c r="TJL51" s="24"/>
      <c r="TJM51" s="24"/>
      <c r="TJN51" s="24"/>
      <c r="TJO51" s="24"/>
      <c r="TJP51" s="24"/>
      <c r="TJQ51" s="24"/>
      <c r="TJR51" s="24"/>
      <c r="TJS51" s="24"/>
      <c r="TJT51" s="24"/>
      <c r="TJU51" s="24"/>
      <c r="TJV51" s="24"/>
      <c r="TJW51" s="24"/>
      <c r="TJX51" s="24"/>
      <c r="TJY51" s="24"/>
      <c r="TJZ51" s="24"/>
      <c r="TKA51" s="24"/>
      <c r="TKB51" s="24"/>
      <c r="TKC51" s="24"/>
      <c r="TKD51" s="24"/>
      <c r="TKE51" s="24"/>
      <c r="TKF51" s="24"/>
      <c r="TKG51" s="24"/>
      <c r="TKH51" s="24"/>
      <c r="TKI51" s="24"/>
      <c r="TKJ51" s="24"/>
      <c r="TKK51" s="24"/>
      <c r="TKL51" s="24"/>
      <c r="TKM51" s="24"/>
      <c r="TKN51" s="24"/>
      <c r="TKO51" s="24"/>
      <c r="TKP51" s="24"/>
      <c r="TKQ51" s="24"/>
      <c r="TKR51" s="24"/>
      <c r="TKS51" s="24"/>
      <c r="TKT51" s="24"/>
      <c r="TKU51" s="24"/>
      <c r="TKV51" s="24"/>
      <c r="TKW51" s="24"/>
      <c r="TKX51" s="24"/>
      <c r="TKY51" s="24"/>
      <c r="TKZ51" s="24"/>
      <c r="TLA51" s="24"/>
      <c r="TLB51" s="24"/>
      <c r="TLC51" s="24"/>
      <c r="TLD51" s="24"/>
      <c r="TLE51" s="24"/>
      <c r="TLF51" s="24"/>
      <c r="TLG51" s="24"/>
      <c r="TLH51" s="24"/>
      <c r="TLI51" s="24"/>
      <c r="TLJ51" s="24"/>
      <c r="TLK51" s="24"/>
      <c r="TLL51" s="24"/>
      <c r="TLM51" s="24"/>
      <c r="TLN51" s="24"/>
      <c r="TLO51" s="24"/>
      <c r="TLP51" s="24"/>
      <c r="TLQ51" s="24"/>
      <c r="TLR51" s="24"/>
      <c r="TLS51" s="24"/>
      <c r="TLT51" s="24"/>
      <c r="TLU51" s="24"/>
      <c r="TLV51" s="24"/>
      <c r="TLW51" s="24"/>
      <c r="TLX51" s="24"/>
      <c r="TLY51" s="24"/>
      <c r="TLZ51" s="24"/>
      <c r="TMA51" s="24"/>
      <c r="TMB51" s="24"/>
      <c r="TMC51" s="24"/>
      <c r="TMD51" s="24"/>
      <c r="TME51" s="24"/>
      <c r="TMF51" s="24"/>
      <c r="TMG51" s="24"/>
      <c r="TMH51" s="24"/>
      <c r="TMI51" s="24"/>
      <c r="TMJ51" s="24"/>
      <c r="TMK51" s="24"/>
      <c r="TML51" s="24"/>
      <c r="TMM51" s="24"/>
      <c r="TMN51" s="24"/>
      <c r="TMO51" s="24"/>
      <c r="TMP51" s="24"/>
      <c r="TMQ51" s="24"/>
      <c r="TMR51" s="24"/>
      <c r="TMS51" s="24"/>
      <c r="TMT51" s="24"/>
      <c r="TMU51" s="24"/>
      <c r="TMV51" s="24"/>
      <c r="TMW51" s="24"/>
      <c r="TMX51" s="24"/>
      <c r="TMY51" s="24"/>
      <c r="TMZ51" s="24"/>
      <c r="TNA51" s="24"/>
      <c r="TNB51" s="24"/>
      <c r="TNC51" s="24"/>
      <c r="TND51" s="24"/>
      <c r="TNE51" s="24"/>
      <c r="TNF51" s="24"/>
      <c r="TNG51" s="24"/>
      <c r="TNH51" s="24"/>
      <c r="TNI51" s="24"/>
      <c r="TNJ51" s="24"/>
      <c r="TNK51" s="24"/>
      <c r="TNL51" s="24"/>
      <c r="TNM51" s="24"/>
      <c r="TNN51" s="24"/>
      <c r="TNO51" s="24"/>
      <c r="TNP51" s="24"/>
      <c r="TNQ51" s="24"/>
      <c r="TNR51" s="24"/>
      <c r="TNS51" s="24"/>
      <c r="TNT51" s="24"/>
      <c r="TNU51" s="24"/>
      <c r="TNV51" s="24"/>
      <c r="TNW51" s="24"/>
      <c r="TNX51" s="24"/>
      <c r="TNY51" s="24"/>
      <c r="TNZ51" s="24"/>
      <c r="TOA51" s="24"/>
      <c r="TOB51" s="24"/>
      <c r="TOC51" s="24"/>
      <c r="TOD51" s="24"/>
      <c r="TOE51" s="24"/>
      <c r="TOF51" s="24"/>
      <c r="TOG51" s="24"/>
      <c r="TOH51" s="24"/>
      <c r="TOI51" s="24"/>
      <c r="TOJ51" s="24"/>
      <c r="TOK51" s="24"/>
      <c r="TOL51" s="24"/>
      <c r="TOM51" s="24"/>
      <c r="TON51" s="24"/>
      <c r="TOO51" s="24"/>
      <c r="TOP51" s="24"/>
      <c r="TOQ51" s="24"/>
      <c r="TOR51" s="24"/>
      <c r="TOS51" s="24"/>
      <c r="TOT51" s="24"/>
      <c r="TOU51" s="24"/>
      <c r="TOV51" s="24"/>
      <c r="TOW51" s="24"/>
      <c r="TOX51" s="24"/>
      <c r="TOY51" s="24"/>
      <c r="TOZ51" s="24"/>
      <c r="TPA51" s="24"/>
      <c r="TPB51" s="24"/>
      <c r="TPC51" s="24"/>
      <c r="TPD51" s="24"/>
      <c r="TPE51" s="24"/>
      <c r="TPF51" s="24"/>
      <c r="TPG51" s="24"/>
      <c r="TPH51" s="24"/>
      <c r="TPI51" s="24"/>
      <c r="TPJ51" s="24"/>
      <c r="TPK51" s="24"/>
      <c r="TPL51" s="24"/>
      <c r="TPM51" s="24"/>
      <c r="TPN51" s="24"/>
      <c r="TPO51" s="24"/>
      <c r="TPP51" s="24"/>
      <c r="TPQ51" s="24"/>
      <c r="TPR51" s="24"/>
      <c r="TPS51" s="24"/>
      <c r="TPT51" s="24"/>
      <c r="TPU51" s="24"/>
      <c r="TPV51" s="24"/>
      <c r="TPW51" s="24"/>
      <c r="TPX51" s="24"/>
      <c r="TPY51" s="24"/>
      <c r="TPZ51" s="24"/>
      <c r="TQA51" s="24"/>
      <c r="TQB51" s="24"/>
      <c r="TQC51" s="24"/>
      <c r="TQD51" s="24"/>
      <c r="TQE51" s="24"/>
      <c r="TQF51" s="24"/>
      <c r="TQG51" s="24"/>
      <c r="TQH51" s="24"/>
      <c r="TQI51" s="24"/>
      <c r="TQJ51" s="24"/>
      <c r="TQK51" s="24"/>
      <c r="TQL51" s="24"/>
      <c r="TQM51" s="24"/>
      <c r="TQN51" s="24"/>
      <c r="TQO51" s="24"/>
      <c r="TQP51" s="24"/>
      <c r="TQQ51" s="24"/>
      <c r="TQR51" s="24"/>
      <c r="TQS51" s="24"/>
      <c r="TQT51" s="24"/>
      <c r="TQU51" s="24"/>
      <c r="TQV51" s="24"/>
      <c r="TQW51" s="24"/>
      <c r="TQX51" s="24"/>
      <c r="TQY51" s="24"/>
      <c r="TQZ51" s="24"/>
      <c r="TRA51" s="24"/>
      <c r="TRB51" s="24"/>
      <c r="TRC51" s="24"/>
      <c r="TRD51" s="24"/>
      <c r="TRE51" s="24"/>
      <c r="TRF51" s="24"/>
      <c r="TRG51" s="24"/>
      <c r="TRH51" s="24"/>
      <c r="TRI51" s="24"/>
      <c r="TRJ51" s="24"/>
      <c r="TRK51" s="24"/>
      <c r="TRL51" s="24"/>
      <c r="TRM51" s="24"/>
      <c r="TRN51" s="24"/>
      <c r="TRO51" s="24"/>
      <c r="TRP51" s="24"/>
      <c r="TRQ51" s="24"/>
      <c r="TRR51" s="24"/>
      <c r="TRS51" s="24"/>
      <c r="TRT51" s="24"/>
      <c r="TRU51" s="24"/>
      <c r="TRV51" s="24"/>
      <c r="TRW51" s="24"/>
      <c r="TRX51" s="24"/>
      <c r="TRY51" s="24"/>
      <c r="TRZ51" s="24"/>
      <c r="TSA51" s="24"/>
      <c r="TSB51" s="24"/>
      <c r="TSC51" s="24"/>
      <c r="TSD51" s="24"/>
      <c r="TSE51" s="24"/>
      <c r="TSF51" s="24"/>
      <c r="TSG51" s="24"/>
      <c r="TSH51" s="24"/>
      <c r="TSI51" s="24"/>
      <c r="TSJ51" s="24"/>
      <c r="TSK51" s="24"/>
      <c r="TSL51" s="24"/>
      <c r="TSM51" s="24"/>
      <c r="TSN51" s="24"/>
      <c r="TSO51" s="24"/>
      <c r="TSP51" s="24"/>
      <c r="TSQ51" s="24"/>
      <c r="TSR51" s="24"/>
      <c r="TSS51" s="24"/>
      <c r="TST51" s="24"/>
      <c r="TSU51" s="24"/>
      <c r="TSV51" s="24"/>
      <c r="TSW51" s="24"/>
      <c r="TSX51" s="24"/>
      <c r="TSY51" s="24"/>
      <c r="TSZ51" s="24"/>
      <c r="TTA51" s="24"/>
      <c r="TTB51" s="24"/>
      <c r="TTC51" s="24"/>
      <c r="TTD51" s="24"/>
      <c r="TTE51" s="24"/>
      <c r="TTF51" s="24"/>
      <c r="TTG51" s="24"/>
      <c r="TTH51" s="24"/>
      <c r="TTI51" s="24"/>
      <c r="TTJ51" s="24"/>
      <c r="TTK51" s="24"/>
      <c r="TTL51" s="24"/>
      <c r="TTM51" s="24"/>
      <c r="TTN51" s="24"/>
      <c r="TTO51" s="24"/>
      <c r="TTP51" s="24"/>
      <c r="TTQ51" s="24"/>
      <c r="TTR51" s="24"/>
      <c r="TTS51" s="24"/>
      <c r="TTT51" s="24"/>
      <c r="TTU51" s="24"/>
      <c r="TTV51" s="24"/>
      <c r="TTW51" s="24"/>
      <c r="TTX51" s="24"/>
      <c r="TTY51" s="24"/>
      <c r="TTZ51" s="24"/>
      <c r="TUA51" s="24"/>
      <c r="TUB51" s="24"/>
      <c r="TUC51" s="24"/>
      <c r="TUD51" s="24"/>
      <c r="TUE51" s="24"/>
      <c r="TUF51" s="24"/>
      <c r="TUG51" s="24"/>
      <c r="TUH51" s="24"/>
      <c r="TUI51" s="24"/>
      <c r="TUJ51" s="24"/>
      <c r="TUK51" s="24"/>
      <c r="TUL51" s="24"/>
      <c r="TUM51" s="24"/>
      <c r="TUN51" s="24"/>
      <c r="TUO51" s="24"/>
      <c r="TUP51" s="24"/>
      <c r="TUQ51" s="24"/>
      <c r="TUR51" s="24"/>
      <c r="TUS51" s="24"/>
      <c r="TUT51" s="24"/>
      <c r="TUU51" s="24"/>
      <c r="TUV51" s="24"/>
      <c r="TUW51" s="24"/>
      <c r="TUX51" s="24"/>
      <c r="TUY51" s="24"/>
      <c r="TUZ51" s="24"/>
      <c r="TVA51" s="24"/>
      <c r="TVB51" s="24"/>
      <c r="TVC51" s="24"/>
      <c r="TVD51" s="24"/>
      <c r="TVE51" s="24"/>
      <c r="TVF51" s="24"/>
      <c r="TVG51" s="24"/>
      <c r="TVH51" s="24"/>
      <c r="TVI51" s="24"/>
      <c r="TVJ51" s="24"/>
      <c r="TVK51" s="24"/>
      <c r="TVL51" s="24"/>
      <c r="TVM51" s="24"/>
      <c r="TVN51" s="24"/>
      <c r="TVO51" s="24"/>
      <c r="TVP51" s="24"/>
      <c r="TVQ51" s="24"/>
      <c r="TVR51" s="24"/>
      <c r="TVS51" s="24"/>
      <c r="TVT51" s="24"/>
      <c r="TVU51" s="24"/>
      <c r="TVV51" s="24"/>
      <c r="TVW51" s="24"/>
      <c r="TVX51" s="24"/>
      <c r="TVY51" s="24"/>
      <c r="TVZ51" s="24"/>
      <c r="TWA51" s="24"/>
      <c r="TWB51" s="24"/>
      <c r="TWC51" s="24"/>
      <c r="TWD51" s="24"/>
      <c r="TWE51" s="24"/>
      <c r="TWF51" s="24"/>
      <c r="TWG51" s="24"/>
      <c r="TWH51" s="24"/>
      <c r="TWI51" s="24"/>
      <c r="TWJ51" s="24"/>
      <c r="TWK51" s="24"/>
      <c r="TWL51" s="24"/>
      <c r="TWM51" s="24"/>
      <c r="TWN51" s="24"/>
      <c r="TWO51" s="24"/>
      <c r="TWP51" s="24"/>
      <c r="TWQ51" s="24"/>
      <c r="TWR51" s="24"/>
      <c r="TWS51" s="24"/>
      <c r="TWT51" s="24"/>
      <c r="TWU51" s="24"/>
      <c r="TWV51" s="24"/>
      <c r="TWW51" s="24"/>
      <c r="TWX51" s="24"/>
      <c r="TWY51" s="24"/>
      <c r="TWZ51" s="24"/>
      <c r="TXA51" s="24"/>
      <c r="TXB51" s="24"/>
      <c r="TXC51" s="24"/>
      <c r="TXD51" s="24"/>
      <c r="TXE51" s="24"/>
      <c r="TXF51" s="24"/>
      <c r="TXG51" s="24"/>
      <c r="TXH51" s="24"/>
      <c r="TXI51" s="24"/>
      <c r="TXJ51" s="24"/>
      <c r="TXK51" s="24"/>
      <c r="TXL51" s="24"/>
      <c r="TXM51" s="24"/>
      <c r="TXN51" s="24"/>
      <c r="TXO51" s="24"/>
      <c r="TXP51" s="24"/>
      <c r="TXQ51" s="24"/>
      <c r="TXR51" s="24"/>
      <c r="TXS51" s="24"/>
      <c r="TXT51" s="24"/>
      <c r="TXU51" s="24"/>
      <c r="TXV51" s="24"/>
      <c r="TXW51" s="24"/>
      <c r="TXX51" s="24"/>
      <c r="TXY51" s="24"/>
      <c r="TXZ51" s="24"/>
      <c r="TYA51" s="24"/>
      <c r="TYB51" s="24"/>
      <c r="TYC51" s="24"/>
      <c r="TYD51" s="24"/>
      <c r="TYE51" s="24"/>
      <c r="TYF51" s="24"/>
      <c r="TYG51" s="24"/>
      <c r="TYH51" s="24"/>
      <c r="TYI51" s="24"/>
      <c r="TYJ51" s="24"/>
      <c r="TYK51" s="24"/>
      <c r="TYL51" s="24"/>
      <c r="TYM51" s="24"/>
      <c r="TYN51" s="24"/>
      <c r="TYO51" s="24"/>
      <c r="TYP51" s="24"/>
      <c r="TYQ51" s="24"/>
      <c r="TYR51" s="24"/>
      <c r="TYS51" s="24"/>
      <c r="TYT51" s="24"/>
      <c r="TYU51" s="24"/>
      <c r="TYV51" s="24"/>
      <c r="TYW51" s="24"/>
      <c r="TYX51" s="24"/>
      <c r="TYY51" s="24"/>
      <c r="TYZ51" s="24"/>
      <c r="TZA51" s="24"/>
      <c r="TZB51" s="24"/>
      <c r="TZC51" s="24"/>
      <c r="TZD51" s="24"/>
      <c r="TZE51" s="24"/>
      <c r="TZF51" s="24"/>
      <c r="TZG51" s="24"/>
      <c r="TZH51" s="24"/>
      <c r="TZI51" s="24"/>
      <c r="TZJ51" s="24"/>
      <c r="TZK51" s="24"/>
      <c r="TZL51" s="24"/>
      <c r="TZM51" s="24"/>
      <c r="TZN51" s="24"/>
      <c r="TZO51" s="24"/>
      <c r="TZP51" s="24"/>
      <c r="TZQ51" s="24"/>
      <c r="TZR51" s="24"/>
      <c r="TZS51" s="24"/>
      <c r="TZT51" s="24"/>
      <c r="TZU51" s="24"/>
      <c r="TZV51" s="24"/>
      <c r="TZW51" s="24"/>
      <c r="TZX51" s="24"/>
      <c r="TZY51" s="24"/>
      <c r="TZZ51" s="24"/>
      <c r="UAA51" s="24"/>
      <c r="UAB51" s="24"/>
      <c r="UAC51" s="24"/>
      <c r="UAD51" s="24"/>
      <c r="UAE51" s="24"/>
      <c r="UAF51" s="24"/>
      <c r="UAG51" s="24"/>
      <c r="UAH51" s="24"/>
      <c r="UAI51" s="24"/>
      <c r="UAJ51" s="24"/>
      <c r="UAK51" s="24"/>
      <c r="UAL51" s="24"/>
      <c r="UAM51" s="24"/>
      <c r="UAN51" s="24"/>
      <c r="UAO51" s="24"/>
      <c r="UAP51" s="24"/>
      <c r="UAQ51" s="24"/>
      <c r="UAR51" s="24"/>
      <c r="UAS51" s="24"/>
      <c r="UAT51" s="24"/>
      <c r="UAU51" s="24"/>
      <c r="UAV51" s="24"/>
      <c r="UAW51" s="24"/>
      <c r="UAX51" s="24"/>
      <c r="UAY51" s="24"/>
      <c r="UAZ51" s="24"/>
      <c r="UBA51" s="24"/>
      <c r="UBB51" s="24"/>
      <c r="UBC51" s="24"/>
      <c r="UBD51" s="24"/>
      <c r="UBE51" s="24"/>
      <c r="UBF51" s="24"/>
      <c r="UBG51" s="24"/>
      <c r="UBH51" s="24"/>
      <c r="UBI51" s="24"/>
      <c r="UBJ51" s="24"/>
      <c r="UBK51" s="24"/>
      <c r="UBL51" s="24"/>
      <c r="UBM51" s="24"/>
      <c r="UBN51" s="24"/>
      <c r="UBO51" s="24"/>
      <c r="UBP51" s="24"/>
      <c r="UBQ51" s="24"/>
      <c r="UBR51" s="24"/>
      <c r="UBS51" s="24"/>
      <c r="UBT51" s="24"/>
      <c r="UBU51" s="24"/>
      <c r="UBV51" s="24"/>
      <c r="UBW51" s="24"/>
      <c r="UBX51" s="24"/>
      <c r="UBY51" s="24"/>
      <c r="UBZ51" s="24"/>
      <c r="UCA51" s="24"/>
      <c r="UCB51" s="24"/>
      <c r="UCC51" s="24"/>
      <c r="UCD51" s="24"/>
      <c r="UCE51" s="24"/>
      <c r="UCF51" s="24"/>
      <c r="UCG51" s="24"/>
      <c r="UCH51" s="24"/>
      <c r="UCI51" s="24"/>
      <c r="UCJ51" s="24"/>
      <c r="UCK51" s="24"/>
      <c r="UCL51" s="24"/>
      <c r="UCM51" s="24"/>
      <c r="UCN51" s="24"/>
      <c r="UCO51" s="24"/>
      <c r="UCP51" s="24"/>
      <c r="UCQ51" s="24"/>
      <c r="UCR51" s="24"/>
      <c r="UCS51" s="24"/>
      <c r="UCT51" s="24"/>
      <c r="UCU51" s="24"/>
      <c r="UCV51" s="24"/>
      <c r="UCW51" s="24"/>
      <c r="UCX51" s="24"/>
      <c r="UCY51" s="24"/>
      <c r="UCZ51" s="24"/>
      <c r="UDA51" s="24"/>
      <c r="UDB51" s="24"/>
      <c r="UDC51" s="24"/>
      <c r="UDD51" s="24"/>
      <c r="UDE51" s="24"/>
      <c r="UDF51" s="24"/>
      <c r="UDG51" s="24"/>
      <c r="UDH51" s="24"/>
      <c r="UDI51" s="24"/>
      <c r="UDJ51" s="24"/>
      <c r="UDK51" s="24"/>
      <c r="UDL51" s="24"/>
      <c r="UDM51" s="24"/>
      <c r="UDN51" s="24"/>
      <c r="UDO51" s="24"/>
      <c r="UDP51" s="24"/>
      <c r="UDQ51" s="24"/>
      <c r="UDR51" s="24"/>
      <c r="UDS51" s="24"/>
      <c r="UDT51" s="24"/>
      <c r="UDU51" s="24"/>
      <c r="UDV51" s="24"/>
      <c r="UDW51" s="24"/>
      <c r="UDX51" s="24"/>
      <c r="UDY51" s="24"/>
      <c r="UDZ51" s="24"/>
      <c r="UEA51" s="24"/>
      <c r="UEB51" s="24"/>
      <c r="UEC51" s="24"/>
      <c r="UED51" s="24"/>
      <c r="UEE51" s="24"/>
      <c r="UEF51" s="24"/>
      <c r="UEG51" s="24"/>
      <c r="UEH51" s="24"/>
      <c r="UEI51" s="24"/>
      <c r="UEJ51" s="24"/>
      <c r="UEK51" s="24"/>
      <c r="UEL51" s="24"/>
      <c r="UEM51" s="24"/>
      <c r="UEN51" s="24"/>
      <c r="UEO51" s="24"/>
      <c r="UEP51" s="24"/>
      <c r="UEQ51" s="24"/>
      <c r="UER51" s="24"/>
      <c r="UES51" s="24"/>
      <c r="UET51" s="24"/>
      <c r="UEU51" s="24"/>
      <c r="UEV51" s="24"/>
      <c r="UEW51" s="24"/>
      <c r="UEX51" s="24"/>
      <c r="UEY51" s="24"/>
      <c r="UEZ51" s="24"/>
      <c r="UFA51" s="24"/>
      <c r="UFB51" s="24"/>
      <c r="UFC51" s="24"/>
      <c r="UFD51" s="24"/>
      <c r="UFE51" s="24"/>
      <c r="UFF51" s="24"/>
      <c r="UFG51" s="24"/>
      <c r="UFH51" s="24"/>
      <c r="UFI51" s="24"/>
      <c r="UFJ51" s="24"/>
      <c r="UFK51" s="24"/>
      <c r="UFL51" s="24"/>
      <c r="UFM51" s="24"/>
      <c r="UFN51" s="24"/>
      <c r="UFO51" s="24"/>
      <c r="UFP51" s="24"/>
      <c r="UFQ51" s="24"/>
      <c r="UFR51" s="24"/>
      <c r="UFS51" s="24"/>
      <c r="UFT51" s="24"/>
      <c r="UFU51" s="24"/>
      <c r="UFV51" s="24"/>
      <c r="UFW51" s="24"/>
      <c r="UFX51" s="24"/>
      <c r="UFY51" s="24"/>
      <c r="UFZ51" s="24"/>
      <c r="UGA51" s="24"/>
      <c r="UGB51" s="24"/>
      <c r="UGC51" s="24"/>
      <c r="UGD51" s="24"/>
      <c r="UGE51" s="24"/>
      <c r="UGF51" s="24"/>
      <c r="UGG51" s="24"/>
      <c r="UGH51" s="24"/>
      <c r="UGI51" s="24"/>
      <c r="UGJ51" s="24"/>
      <c r="UGK51" s="24"/>
      <c r="UGL51" s="24"/>
      <c r="UGM51" s="24"/>
      <c r="UGN51" s="24"/>
      <c r="UGO51" s="24"/>
      <c r="UGP51" s="24"/>
      <c r="UGQ51" s="24"/>
      <c r="UGR51" s="24"/>
      <c r="UGS51" s="24"/>
      <c r="UGT51" s="24"/>
      <c r="UGU51" s="24"/>
      <c r="UGV51" s="24"/>
      <c r="UGW51" s="24"/>
      <c r="UGX51" s="24"/>
      <c r="UGY51" s="24"/>
      <c r="UGZ51" s="24"/>
      <c r="UHA51" s="24"/>
      <c r="UHB51" s="24"/>
      <c r="UHC51" s="24"/>
      <c r="UHD51" s="24"/>
      <c r="UHE51" s="24"/>
      <c r="UHF51" s="24"/>
      <c r="UHG51" s="24"/>
      <c r="UHH51" s="24"/>
      <c r="UHI51" s="24"/>
      <c r="UHJ51" s="24"/>
      <c r="UHK51" s="24"/>
      <c r="UHL51" s="24"/>
      <c r="UHM51" s="24"/>
      <c r="UHN51" s="24"/>
      <c r="UHO51" s="24"/>
      <c r="UHP51" s="24"/>
      <c r="UHQ51" s="24"/>
      <c r="UHR51" s="24"/>
      <c r="UHS51" s="24"/>
      <c r="UHT51" s="24"/>
      <c r="UHU51" s="24"/>
      <c r="UHV51" s="24"/>
      <c r="UHW51" s="24"/>
      <c r="UHX51" s="24"/>
      <c r="UHY51" s="24"/>
      <c r="UHZ51" s="24"/>
      <c r="UIA51" s="24"/>
      <c r="UIB51" s="24"/>
      <c r="UIC51" s="24"/>
      <c r="UID51" s="24"/>
      <c r="UIE51" s="24"/>
      <c r="UIF51" s="24"/>
      <c r="UIG51" s="24"/>
      <c r="UIH51" s="24"/>
      <c r="UII51" s="24"/>
      <c r="UIJ51" s="24"/>
      <c r="UIK51" s="24"/>
      <c r="UIL51" s="24"/>
      <c r="UIM51" s="24"/>
      <c r="UIN51" s="24"/>
      <c r="UIO51" s="24"/>
      <c r="UIP51" s="24"/>
      <c r="UIQ51" s="24"/>
      <c r="UIR51" s="24"/>
      <c r="UIS51" s="24"/>
      <c r="UIT51" s="24"/>
      <c r="UIU51" s="24"/>
      <c r="UIV51" s="24"/>
      <c r="UIW51" s="24"/>
      <c r="UIX51" s="24"/>
      <c r="UIY51" s="24"/>
      <c r="UIZ51" s="24"/>
      <c r="UJA51" s="24"/>
      <c r="UJB51" s="24"/>
      <c r="UJC51" s="24"/>
      <c r="UJD51" s="24"/>
      <c r="UJE51" s="24"/>
      <c r="UJF51" s="24"/>
      <c r="UJG51" s="24"/>
      <c r="UJH51" s="24"/>
      <c r="UJI51" s="24"/>
      <c r="UJJ51" s="24"/>
      <c r="UJK51" s="24"/>
      <c r="UJL51" s="24"/>
      <c r="UJM51" s="24"/>
      <c r="UJN51" s="24"/>
      <c r="UJO51" s="24"/>
      <c r="UJP51" s="24"/>
      <c r="UJQ51" s="24"/>
      <c r="UJR51" s="24"/>
      <c r="UJS51" s="24"/>
      <c r="UJT51" s="24"/>
      <c r="UJU51" s="24"/>
      <c r="UJV51" s="24"/>
      <c r="UJW51" s="24"/>
      <c r="UJX51" s="24"/>
      <c r="UJY51" s="24"/>
      <c r="UJZ51" s="24"/>
      <c r="UKA51" s="24"/>
      <c r="UKB51" s="24"/>
      <c r="UKC51" s="24"/>
      <c r="UKD51" s="24"/>
      <c r="UKE51" s="24"/>
      <c r="UKF51" s="24"/>
      <c r="UKG51" s="24"/>
      <c r="UKH51" s="24"/>
      <c r="UKI51" s="24"/>
      <c r="UKJ51" s="24"/>
      <c r="UKK51" s="24"/>
      <c r="UKL51" s="24"/>
      <c r="UKM51" s="24"/>
      <c r="UKN51" s="24"/>
      <c r="UKO51" s="24"/>
      <c r="UKP51" s="24"/>
      <c r="UKQ51" s="24"/>
      <c r="UKR51" s="24"/>
      <c r="UKS51" s="24"/>
      <c r="UKT51" s="24"/>
      <c r="UKU51" s="24"/>
      <c r="UKV51" s="24"/>
      <c r="UKW51" s="24"/>
      <c r="UKX51" s="24"/>
      <c r="UKY51" s="24"/>
      <c r="UKZ51" s="24"/>
      <c r="ULA51" s="24"/>
      <c r="ULB51" s="24"/>
      <c r="ULC51" s="24"/>
      <c r="ULD51" s="24"/>
      <c r="ULE51" s="24"/>
      <c r="ULF51" s="24"/>
      <c r="ULG51" s="24"/>
      <c r="ULH51" s="24"/>
      <c r="ULI51" s="24"/>
      <c r="ULJ51" s="24"/>
      <c r="ULK51" s="24"/>
      <c r="ULL51" s="24"/>
      <c r="ULM51" s="24"/>
      <c r="ULN51" s="24"/>
      <c r="ULO51" s="24"/>
      <c r="ULP51" s="24"/>
      <c r="ULQ51" s="24"/>
      <c r="ULR51" s="24"/>
      <c r="ULS51" s="24"/>
      <c r="ULT51" s="24"/>
      <c r="ULU51" s="24"/>
      <c r="ULV51" s="24"/>
      <c r="ULW51" s="24"/>
      <c r="ULX51" s="24"/>
      <c r="ULY51" s="24"/>
      <c r="ULZ51" s="24"/>
      <c r="UMA51" s="24"/>
      <c r="UMB51" s="24"/>
      <c r="UMC51" s="24"/>
      <c r="UMD51" s="24"/>
      <c r="UME51" s="24"/>
      <c r="UMF51" s="24"/>
      <c r="UMG51" s="24"/>
      <c r="UMH51" s="24"/>
      <c r="UMI51" s="24"/>
      <c r="UMJ51" s="24"/>
      <c r="UMK51" s="24"/>
      <c r="UML51" s="24"/>
      <c r="UMM51" s="24"/>
      <c r="UMN51" s="24"/>
      <c r="UMO51" s="24"/>
      <c r="UMP51" s="24"/>
      <c r="UMQ51" s="24"/>
      <c r="UMR51" s="24"/>
      <c r="UMS51" s="24"/>
      <c r="UMT51" s="24"/>
      <c r="UMU51" s="24"/>
      <c r="UMV51" s="24"/>
      <c r="UMW51" s="24"/>
      <c r="UMX51" s="24"/>
      <c r="UMY51" s="24"/>
      <c r="UMZ51" s="24"/>
      <c r="UNA51" s="24"/>
      <c r="UNB51" s="24"/>
      <c r="UNC51" s="24"/>
      <c r="UND51" s="24"/>
      <c r="UNE51" s="24"/>
      <c r="UNF51" s="24"/>
      <c r="UNG51" s="24"/>
      <c r="UNH51" s="24"/>
      <c r="UNI51" s="24"/>
      <c r="UNJ51" s="24"/>
      <c r="UNK51" s="24"/>
      <c r="UNL51" s="24"/>
      <c r="UNM51" s="24"/>
      <c r="UNN51" s="24"/>
      <c r="UNO51" s="24"/>
      <c r="UNP51" s="24"/>
      <c r="UNQ51" s="24"/>
      <c r="UNR51" s="24"/>
      <c r="UNS51" s="24"/>
      <c r="UNT51" s="24"/>
      <c r="UNU51" s="24"/>
      <c r="UNV51" s="24"/>
      <c r="UNW51" s="24"/>
      <c r="UNX51" s="24"/>
      <c r="UNY51" s="24"/>
      <c r="UNZ51" s="24"/>
      <c r="UOA51" s="24"/>
      <c r="UOB51" s="24"/>
      <c r="UOC51" s="24"/>
      <c r="UOD51" s="24"/>
      <c r="UOE51" s="24"/>
      <c r="UOF51" s="24"/>
      <c r="UOG51" s="24"/>
      <c r="UOH51" s="24"/>
      <c r="UOI51" s="24"/>
      <c r="UOJ51" s="24"/>
      <c r="UOK51" s="24"/>
      <c r="UOL51" s="24"/>
      <c r="UOM51" s="24"/>
      <c r="UON51" s="24"/>
      <c r="UOO51" s="24"/>
      <c r="UOP51" s="24"/>
      <c r="UOQ51" s="24"/>
      <c r="UOR51" s="24"/>
      <c r="UOS51" s="24"/>
      <c r="UOT51" s="24"/>
      <c r="UOU51" s="24"/>
      <c r="UOV51" s="24"/>
      <c r="UOW51" s="24"/>
      <c r="UOX51" s="24"/>
      <c r="UOY51" s="24"/>
      <c r="UOZ51" s="24"/>
      <c r="UPA51" s="24"/>
      <c r="UPB51" s="24"/>
      <c r="UPC51" s="24"/>
      <c r="UPD51" s="24"/>
      <c r="UPE51" s="24"/>
      <c r="UPF51" s="24"/>
      <c r="UPG51" s="24"/>
      <c r="UPH51" s="24"/>
      <c r="UPI51" s="24"/>
      <c r="UPJ51" s="24"/>
      <c r="UPK51" s="24"/>
      <c r="UPL51" s="24"/>
      <c r="UPM51" s="24"/>
      <c r="UPN51" s="24"/>
      <c r="UPO51" s="24"/>
      <c r="UPP51" s="24"/>
      <c r="UPQ51" s="24"/>
      <c r="UPR51" s="24"/>
      <c r="UPS51" s="24"/>
      <c r="UPT51" s="24"/>
      <c r="UPU51" s="24"/>
      <c r="UPV51" s="24"/>
      <c r="UPW51" s="24"/>
      <c r="UPX51" s="24"/>
      <c r="UPY51" s="24"/>
      <c r="UPZ51" s="24"/>
      <c r="UQA51" s="24"/>
      <c r="UQB51" s="24"/>
      <c r="UQC51" s="24"/>
      <c r="UQD51" s="24"/>
      <c r="UQE51" s="24"/>
      <c r="UQF51" s="24"/>
      <c r="UQG51" s="24"/>
      <c r="UQH51" s="24"/>
      <c r="UQI51" s="24"/>
      <c r="UQJ51" s="24"/>
      <c r="UQK51" s="24"/>
      <c r="UQL51" s="24"/>
      <c r="UQM51" s="24"/>
      <c r="UQN51" s="24"/>
      <c r="UQO51" s="24"/>
      <c r="UQP51" s="24"/>
      <c r="UQQ51" s="24"/>
      <c r="UQR51" s="24"/>
      <c r="UQS51" s="24"/>
      <c r="UQT51" s="24"/>
      <c r="UQU51" s="24"/>
      <c r="UQV51" s="24"/>
      <c r="UQW51" s="24"/>
      <c r="UQX51" s="24"/>
      <c r="UQY51" s="24"/>
      <c r="UQZ51" s="24"/>
      <c r="URA51" s="24"/>
      <c r="URB51" s="24"/>
      <c r="URC51" s="24"/>
      <c r="URD51" s="24"/>
      <c r="URE51" s="24"/>
      <c r="URF51" s="24"/>
      <c r="URG51" s="24"/>
      <c r="URH51" s="24"/>
      <c r="URI51" s="24"/>
      <c r="URJ51" s="24"/>
      <c r="URK51" s="24"/>
      <c r="URL51" s="24"/>
      <c r="URM51" s="24"/>
      <c r="URN51" s="24"/>
      <c r="URO51" s="24"/>
      <c r="URP51" s="24"/>
      <c r="URQ51" s="24"/>
      <c r="URR51" s="24"/>
      <c r="URS51" s="24"/>
      <c r="URT51" s="24"/>
      <c r="URU51" s="24"/>
      <c r="URV51" s="24"/>
      <c r="URW51" s="24"/>
      <c r="URX51" s="24"/>
      <c r="URY51" s="24"/>
      <c r="URZ51" s="24"/>
      <c r="USA51" s="24"/>
      <c r="USB51" s="24"/>
      <c r="USC51" s="24"/>
      <c r="USD51" s="24"/>
      <c r="USE51" s="24"/>
      <c r="USF51" s="24"/>
      <c r="USG51" s="24"/>
      <c r="USH51" s="24"/>
      <c r="USI51" s="24"/>
      <c r="USJ51" s="24"/>
      <c r="USK51" s="24"/>
      <c r="USL51" s="24"/>
      <c r="USM51" s="24"/>
      <c r="USN51" s="24"/>
      <c r="USO51" s="24"/>
      <c r="USP51" s="24"/>
      <c r="USQ51" s="24"/>
      <c r="USR51" s="24"/>
      <c r="USS51" s="24"/>
      <c r="UST51" s="24"/>
      <c r="USU51" s="24"/>
      <c r="USV51" s="24"/>
      <c r="USW51" s="24"/>
      <c r="USX51" s="24"/>
      <c r="USY51" s="24"/>
      <c r="USZ51" s="24"/>
      <c r="UTA51" s="24"/>
      <c r="UTB51" s="24"/>
      <c r="UTC51" s="24"/>
      <c r="UTD51" s="24"/>
      <c r="UTE51" s="24"/>
      <c r="UTF51" s="24"/>
      <c r="UTG51" s="24"/>
      <c r="UTH51" s="24"/>
      <c r="UTI51" s="24"/>
      <c r="UTJ51" s="24"/>
      <c r="UTK51" s="24"/>
      <c r="UTL51" s="24"/>
      <c r="UTM51" s="24"/>
      <c r="UTN51" s="24"/>
      <c r="UTO51" s="24"/>
      <c r="UTP51" s="24"/>
      <c r="UTQ51" s="24"/>
      <c r="UTR51" s="24"/>
      <c r="UTS51" s="24"/>
      <c r="UTT51" s="24"/>
      <c r="UTU51" s="24"/>
      <c r="UTV51" s="24"/>
      <c r="UTW51" s="24"/>
      <c r="UTX51" s="24"/>
      <c r="UTY51" s="24"/>
      <c r="UTZ51" s="24"/>
      <c r="UUA51" s="24"/>
      <c r="UUB51" s="24"/>
      <c r="UUC51" s="24"/>
      <c r="UUD51" s="24"/>
      <c r="UUE51" s="24"/>
      <c r="UUF51" s="24"/>
      <c r="UUG51" s="24"/>
      <c r="UUH51" s="24"/>
      <c r="UUI51" s="24"/>
      <c r="UUJ51" s="24"/>
      <c r="UUK51" s="24"/>
      <c r="UUL51" s="24"/>
      <c r="UUM51" s="24"/>
      <c r="UUN51" s="24"/>
      <c r="UUO51" s="24"/>
      <c r="UUP51" s="24"/>
      <c r="UUQ51" s="24"/>
      <c r="UUR51" s="24"/>
      <c r="UUS51" s="24"/>
      <c r="UUT51" s="24"/>
      <c r="UUU51" s="24"/>
      <c r="UUV51" s="24"/>
      <c r="UUW51" s="24"/>
      <c r="UUX51" s="24"/>
      <c r="UUY51" s="24"/>
      <c r="UUZ51" s="24"/>
      <c r="UVA51" s="24"/>
      <c r="UVB51" s="24"/>
      <c r="UVC51" s="24"/>
      <c r="UVD51" s="24"/>
      <c r="UVE51" s="24"/>
      <c r="UVF51" s="24"/>
      <c r="UVG51" s="24"/>
      <c r="UVH51" s="24"/>
      <c r="UVI51" s="24"/>
      <c r="UVJ51" s="24"/>
      <c r="UVK51" s="24"/>
      <c r="UVL51" s="24"/>
      <c r="UVM51" s="24"/>
      <c r="UVN51" s="24"/>
      <c r="UVO51" s="24"/>
      <c r="UVP51" s="24"/>
      <c r="UVQ51" s="24"/>
      <c r="UVR51" s="24"/>
      <c r="UVS51" s="24"/>
      <c r="UVT51" s="24"/>
      <c r="UVU51" s="24"/>
      <c r="UVV51" s="24"/>
      <c r="UVW51" s="24"/>
      <c r="UVX51" s="24"/>
      <c r="UVY51" s="24"/>
      <c r="UVZ51" s="24"/>
      <c r="UWA51" s="24"/>
      <c r="UWB51" s="24"/>
      <c r="UWC51" s="24"/>
      <c r="UWD51" s="24"/>
      <c r="UWE51" s="24"/>
      <c r="UWF51" s="24"/>
      <c r="UWG51" s="24"/>
      <c r="UWH51" s="24"/>
      <c r="UWI51" s="24"/>
      <c r="UWJ51" s="24"/>
      <c r="UWK51" s="24"/>
      <c r="UWL51" s="24"/>
      <c r="UWM51" s="24"/>
      <c r="UWN51" s="24"/>
      <c r="UWO51" s="24"/>
      <c r="UWP51" s="24"/>
      <c r="UWQ51" s="24"/>
      <c r="UWR51" s="24"/>
      <c r="UWS51" s="24"/>
      <c r="UWT51" s="24"/>
      <c r="UWU51" s="24"/>
      <c r="UWV51" s="24"/>
      <c r="UWW51" s="24"/>
      <c r="UWX51" s="24"/>
      <c r="UWY51" s="24"/>
      <c r="UWZ51" s="24"/>
      <c r="UXA51" s="24"/>
      <c r="UXB51" s="24"/>
      <c r="UXC51" s="24"/>
      <c r="UXD51" s="24"/>
      <c r="UXE51" s="24"/>
      <c r="UXF51" s="24"/>
      <c r="UXG51" s="24"/>
      <c r="UXH51" s="24"/>
      <c r="UXI51" s="24"/>
      <c r="UXJ51" s="24"/>
      <c r="UXK51" s="24"/>
      <c r="UXL51" s="24"/>
      <c r="UXM51" s="24"/>
      <c r="UXN51" s="24"/>
      <c r="UXO51" s="24"/>
      <c r="UXP51" s="24"/>
      <c r="UXQ51" s="24"/>
      <c r="UXR51" s="24"/>
      <c r="UXS51" s="24"/>
      <c r="UXT51" s="24"/>
      <c r="UXU51" s="24"/>
      <c r="UXV51" s="24"/>
      <c r="UXW51" s="24"/>
      <c r="UXX51" s="24"/>
      <c r="UXY51" s="24"/>
      <c r="UXZ51" s="24"/>
      <c r="UYA51" s="24"/>
      <c r="UYB51" s="24"/>
      <c r="UYC51" s="24"/>
      <c r="UYD51" s="24"/>
      <c r="UYE51" s="24"/>
      <c r="UYF51" s="24"/>
      <c r="UYG51" s="24"/>
      <c r="UYH51" s="24"/>
      <c r="UYI51" s="24"/>
      <c r="UYJ51" s="24"/>
      <c r="UYK51" s="24"/>
      <c r="UYL51" s="24"/>
      <c r="UYM51" s="24"/>
      <c r="UYN51" s="24"/>
      <c r="UYO51" s="24"/>
      <c r="UYP51" s="24"/>
      <c r="UYQ51" s="24"/>
      <c r="UYR51" s="24"/>
      <c r="UYS51" s="24"/>
      <c r="UYT51" s="24"/>
      <c r="UYU51" s="24"/>
      <c r="UYV51" s="24"/>
      <c r="UYW51" s="24"/>
      <c r="UYX51" s="24"/>
      <c r="UYY51" s="24"/>
      <c r="UYZ51" s="24"/>
      <c r="UZA51" s="24"/>
      <c r="UZB51" s="24"/>
      <c r="UZC51" s="24"/>
      <c r="UZD51" s="24"/>
      <c r="UZE51" s="24"/>
      <c r="UZF51" s="24"/>
      <c r="UZG51" s="24"/>
      <c r="UZH51" s="24"/>
      <c r="UZI51" s="24"/>
      <c r="UZJ51" s="24"/>
      <c r="UZK51" s="24"/>
      <c r="UZL51" s="24"/>
      <c r="UZM51" s="24"/>
      <c r="UZN51" s="24"/>
      <c r="UZO51" s="24"/>
      <c r="UZP51" s="24"/>
      <c r="UZQ51" s="24"/>
      <c r="UZR51" s="24"/>
      <c r="UZS51" s="24"/>
      <c r="UZT51" s="24"/>
      <c r="UZU51" s="24"/>
      <c r="UZV51" s="24"/>
      <c r="UZW51" s="24"/>
      <c r="UZX51" s="24"/>
      <c r="UZY51" s="24"/>
      <c r="UZZ51" s="24"/>
      <c r="VAA51" s="24"/>
      <c r="VAB51" s="24"/>
      <c r="VAC51" s="24"/>
      <c r="VAD51" s="24"/>
      <c r="VAE51" s="24"/>
      <c r="VAF51" s="24"/>
      <c r="VAG51" s="24"/>
      <c r="VAH51" s="24"/>
      <c r="VAI51" s="24"/>
      <c r="VAJ51" s="24"/>
      <c r="VAK51" s="24"/>
      <c r="VAL51" s="24"/>
      <c r="VAM51" s="24"/>
      <c r="VAN51" s="24"/>
      <c r="VAO51" s="24"/>
      <c r="VAP51" s="24"/>
      <c r="VAQ51" s="24"/>
      <c r="VAR51" s="24"/>
      <c r="VAS51" s="24"/>
      <c r="VAT51" s="24"/>
      <c r="VAU51" s="24"/>
      <c r="VAV51" s="24"/>
      <c r="VAW51" s="24"/>
      <c r="VAX51" s="24"/>
      <c r="VAY51" s="24"/>
      <c r="VAZ51" s="24"/>
      <c r="VBA51" s="24"/>
      <c r="VBB51" s="24"/>
      <c r="VBC51" s="24"/>
      <c r="VBD51" s="24"/>
      <c r="VBE51" s="24"/>
      <c r="VBF51" s="24"/>
      <c r="VBG51" s="24"/>
      <c r="VBH51" s="24"/>
      <c r="VBI51" s="24"/>
      <c r="VBJ51" s="24"/>
      <c r="VBK51" s="24"/>
      <c r="VBL51" s="24"/>
      <c r="VBM51" s="24"/>
      <c r="VBN51" s="24"/>
      <c r="VBO51" s="24"/>
      <c r="VBP51" s="24"/>
      <c r="VBQ51" s="24"/>
      <c r="VBR51" s="24"/>
      <c r="VBS51" s="24"/>
      <c r="VBT51" s="24"/>
      <c r="VBU51" s="24"/>
      <c r="VBV51" s="24"/>
      <c r="VBW51" s="24"/>
      <c r="VBX51" s="24"/>
      <c r="VBY51" s="24"/>
      <c r="VBZ51" s="24"/>
      <c r="VCA51" s="24"/>
      <c r="VCB51" s="24"/>
      <c r="VCC51" s="24"/>
      <c r="VCD51" s="24"/>
      <c r="VCE51" s="24"/>
      <c r="VCF51" s="24"/>
      <c r="VCG51" s="24"/>
      <c r="VCH51" s="24"/>
      <c r="VCI51" s="24"/>
      <c r="VCJ51" s="24"/>
      <c r="VCK51" s="24"/>
      <c r="VCL51" s="24"/>
      <c r="VCM51" s="24"/>
      <c r="VCN51" s="24"/>
      <c r="VCO51" s="24"/>
      <c r="VCP51" s="24"/>
      <c r="VCQ51" s="24"/>
      <c r="VCR51" s="24"/>
      <c r="VCS51" s="24"/>
      <c r="VCT51" s="24"/>
      <c r="VCU51" s="24"/>
      <c r="VCV51" s="24"/>
      <c r="VCW51" s="24"/>
      <c r="VCX51" s="24"/>
      <c r="VCY51" s="24"/>
      <c r="VCZ51" s="24"/>
      <c r="VDA51" s="24"/>
      <c r="VDB51" s="24"/>
      <c r="VDC51" s="24"/>
      <c r="VDD51" s="24"/>
      <c r="VDE51" s="24"/>
      <c r="VDF51" s="24"/>
      <c r="VDG51" s="24"/>
      <c r="VDH51" s="24"/>
      <c r="VDI51" s="24"/>
      <c r="VDJ51" s="24"/>
      <c r="VDK51" s="24"/>
      <c r="VDL51" s="24"/>
      <c r="VDM51" s="24"/>
      <c r="VDN51" s="24"/>
      <c r="VDO51" s="24"/>
      <c r="VDP51" s="24"/>
      <c r="VDQ51" s="24"/>
      <c r="VDR51" s="24"/>
      <c r="VDS51" s="24"/>
      <c r="VDT51" s="24"/>
      <c r="VDU51" s="24"/>
      <c r="VDV51" s="24"/>
      <c r="VDW51" s="24"/>
      <c r="VDX51" s="24"/>
      <c r="VDY51" s="24"/>
      <c r="VDZ51" s="24"/>
      <c r="VEA51" s="24"/>
      <c r="VEB51" s="24"/>
      <c r="VEC51" s="24"/>
      <c r="VED51" s="24"/>
      <c r="VEE51" s="24"/>
      <c r="VEF51" s="24"/>
      <c r="VEG51" s="24"/>
      <c r="VEH51" s="24"/>
      <c r="VEI51" s="24"/>
      <c r="VEJ51" s="24"/>
      <c r="VEK51" s="24"/>
      <c r="VEL51" s="24"/>
      <c r="VEM51" s="24"/>
      <c r="VEN51" s="24"/>
      <c r="VEO51" s="24"/>
      <c r="VEP51" s="24"/>
      <c r="VEQ51" s="24"/>
      <c r="VER51" s="24"/>
      <c r="VES51" s="24"/>
      <c r="VET51" s="24"/>
      <c r="VEU51" s="24"/>
      <c r="VEV51" s="24"/>
      <c r="VEW51" s="24"/>
      <c r="VEX51" s="24"/>
      <c r="VEY51" s="24"/>
      <c r="VEZ51" s="24"/>
      <c r="VFA51" s="24"/>
      <c r="VFB51" s="24"/>
      <c r="VFC51" s="24"/>
      <c r="VFD51" s="24"/>
      <c r="VFE51" s="24"/>
      <c r="VFF51" s="24"/>
      <c r="VFG51" s="24"/>
      <c r="VFH51" s="24"/>
      <c r="VFI51" s="24"/>
      <c r="VFJ51" s="24"/>
      <c r="VFK51" s="24"/>
      <c r="VFL51" s="24"/>
      <c r="VFM51" s="24"/>
      <c r="VFN51" s="24"/>
      <c r="VFO51" s="24"/>
      <c r="VFP51" s="24"/>
      <c r="VFQ51" s="24"/>
      <c r="VFR51" s="24"/>
      <c r="VFS51" s="24"/>
      <c r="VFT51" s="24"/>
      <c r="VFU51" s="24"/>
      <c r="VFV51" s="24"/>
      <c r="VFW51" s="24"/>
      <c r="VFX51" s="24"/>
      <c r="VFY51" s="24"/>
      <c r="VFZ51" s="24"/>
      <c r="VGA51" s="24"/>
      <c r="VGB51" s="24"/>
      <c r="VGC51" s="24"/>
      <c r="VGD51" s="24"/>
      <c r="VGE51" s="24"/>
      <c r="VGF51" s="24"/>
      <c r="VGG51" s="24"/>
      <c r="VGH51" s="24"/>
      <c r="VGI51" s="24"/>
      <c r="VGJ51" s="24"/>
      <c r="VGK51" s="24"/>
      <c r="VGL51" s="24"/>
      <c r="VGM51" s="24"/>
      <c r="VGN51" s="24"/>
      <c r="VGO51" s="24"/>
      <c r="VGP51" s="24"/>
      <c r="VGQ51" s="24"/>
      <c r="VGR51" s="24"/>
      <c r="VGS51" s="24"/>
      <c r="VGT51" s="24"/>
      <c r="VGU51" s="24"/>
      <c r="VGV51" s="24"/>
      <c r="VGW51" s="24"/>
      <c r="VGX51" s="24"/>
      <c r="VGY51" s="24"/>
      <c r="VGZ51" s="24"/>
      <c r="VHA51" s="24"/>
      <c r="VHB51" s="24"/>
      <c r="VHC51" s="24"/>
      <c r="VHD51" s="24"/>
      <c r="VHE51" s="24"/>
      <c r="VHF51" s="24"/>
      <c r="VHG51" s="24"/>
      <c r="VHH51" s="24"/>
      <c r="VHI51" s="24"/>
      <c r="VHJ51" s="24"/>
      <c r="VHK51" s="24"/>
      <c r="VHL51" s="24"/>
      <c r="VHM51" s="24"/>
      <c r="VHN51" s="24"/>
      <c r="VHO51" s="24"/>
      <c r="VHP51" s="24"/>
      <c r="VHQ51" s="24"/>
      <c r="VHR51" s="24"/>
      <c r="VHS51" s="24"/>
      <c r="VHT51" s="24"/>
      <c r="VHU51" s="24"/>
      <c r="VHV51" s="24"/>
      <c r="VHW51" s="24"/>
      <c r="VHX51" s="24"/>
      <c r="VHY51" s="24"/>
      <c r="VHZ51" s="24"/>
      <c r="VIA51" s="24"/>
      <c r="VIB51" s="24"/>
      <c r="VIC51" s="24"/>
      <c r="VID51" s="24"/>
      <c r="VIE51" s="24"/>
      <c r="VIF51" s="24"/>
      <c r="VIG51" s="24"/>
      <c r="VIH51" s="24"/>
      <c r="VII51" s="24"/>
      <c r="VIJ51" s="24"/>
      <c r="VIK51" s="24"/>
      <c r="VIL51" s="24"/>
      <c r="VIM51" s="24"/>
      <c r="VIN51" s="24"/>
      <c r="VIO51" s="24"/>
      <c r="VIP51" s="24"/>
      <c r="VIQ51" s="24"/>
      <c r="VIR51" s="24"/>
      <c r="VIS51" s="24"/>
      <c r="VIT51" s="24"/>
      <c r="VIU51" s="24"/>
      <c r="VIV51" s="24"/>
      <c r="VIW51" s="24"/>
      <c r="VIX51" s="24"/>
      <c r="VIY51" s="24"/>
      <c r="VIZ51" s="24"/>
      <c r="VJA51" s="24"/>
      <c r="VJB51" s="24"/>
      <c r="VJC51" s="24"/>
      <c r="VJD51" s="24"/>
      <c r="VJE51" s="24"/>
      <c r="VJF51" s="24"/>
      <c r="VJG51" s="24"/>
      <c r="VJH51" s="24"/>
      <c r="VJI51" s="24"/>
      <c r="VJJ51" s="24"/>
      <c r="VJK51" s="24"/>
      <c r="VJL51" s="24"/>
      <c r="VJM51" s="24"/>
      <c r="VJN51" s="24"/>
      <c r="VJO51" s="24"/>
      <c r="VJP51" s="24"/>
      <c r="VJQ51" s="24"/>
      <c r="VJR51" s="24"/>
      <c r="VJS51" s="24"/>
      <c r="VJT51" s="24"/>
      <c r="VJU51" s="24"/>
      <c r="VJV51" s="24"/>
      <c r="VJW51" s="24"/>
      <c r="VJX51" s="24"/>
      <c r="VJY51" s="24"/>
      <c r="VJZ51" s="24"/>
      <c r="VKA51" s="24"/>
      <c r="VKB51" s="24"/>
      <c r="VKC51" s="24"/>
      <c r="VKD51" s="24"/>
      <c r="VKE51" s="24"/>
      <c r="VKF51" s="24"/>
      <c r="VKG51" s="24"/>
      <c r="VKH51" s="24"/>
      <c r="VKI51" s="24"/>
      <c r="VKJ51" s="24"/>
      <c r="VKK51" s="24"/>
      <c r="VKL51" s="24"/>
      <c r="VKM51" s="24"/>
      <c r="VKN51" s="24"/>
      <c r="VKO51" s="24"/>
      <c r="VKP51" s="24"/>
      <c r="VKQ51" s="24"/>
      <c r="VKR51" s="24"/>
      <c r="VKS51" s="24"/>
      <c r="VKT51" s="24"/>
      <c r="VKU51" s="24"/>
      <c r="VKV51" s="24"/>
      <c r="VKW51" s="24"/>
      <c r="VKX51" s="24"/>
      <c r="VKY51" s="24"/>
      <c r="VKZ51" s="24"/>
      <c r="VLA51" s="24"/>
      <c r="VLB51" s="24"/>
      <c r="VLC51" s="24"/>
      <c r="VLD51" s="24"/>
      <c r="VLE51" s="24"/>
      <c r="VLF51" s="24"/>
      <c r="VLG51" s="24"/>
      <c r="VLH51" s="24"/>
      <c r="VLI51" s="24"/>
      <c r="VLJ51" s="24"/>
      <c r="VLK51" s="24"/>
      <c r="VLL51" s="24"/>
      <c r="VLM51" s="24"/>
      <c r="VLN51" s="24"/>
      <c r="VLO51" s="24"/>
      <c r="VLP51" s="24"/>
      <c r="VLQ51" s="24"/>
      <c r="VLR51" s="24"/>
      <c r="VLS51" s="24"/>
      <c r="VLT51" s="24"/>
      <c r="VLU51" s="24"/>
      <c r="VLV51" s="24"/>
      <c r="VLW51" s="24"/>
      <c r="VLX51" s="24"/>
      <c r="VLY51" s="24"/>
      <c r="VLZ51" s="24"/>
      <c r="VMA51" s="24"/>
      <c r="VMB51" s="24"/>
      <c r="VMC51" s="24"/>
      <c r="VMD51" s="24"/>
      <c r="VME51" s="24"/>
      <c r="VMF51" s="24"/>
      <c r="VMG51" s="24"/>
      <c r="VMH51" s="24"/>
      <c r="VMI51" s="24"/>
      <c r="VMJ51" s="24"/>
      <c r="VMK51" s="24"/>
      <c r="VML51" s="24"/>
      <c r="VMM51" s="24"/>
      <c r="VMN51" s="24"/>
      <c r="VMO51" s="24"/>
      <c r="VMP51" s="24"/>
      <c r="VMQ51" s="24"/>
      <c r="VMR51" s="24"/>
      <c r="VMS51" s="24"/>
      <c r="VMT51" s="24"/>
      <c r="VMU51" s="24"/>
      <c r="VMV51" s="24"/>
      <c r="VMW51" s="24"/>
      <c r="VMX51" s="24"/>
      <c r="VMY51" s="24"/>
      <c r="VMZ51" s="24"/>
      <c r="VNA51" s="24"/>
      <c r="VNB51" s="24"/>
      <c r="VNC51" s="24"/>
      <c r="VND51" s="24"/>
      <c r="VNE51" s="24"/>
      <c r="VNF51" s="24"/>
      <c r="VNG51" s="24"/>
      <c r="VNH51" s="24"/>
      <c r="VNI51" s="24"/>
      <c r="VNJ51" s="24"/>
      <c r="VNK51" s="24"/>
      <c r="VNL51" s="24"/>
      <c r="VNM51" s="24"/>
      <c r="VNN51" s="24"/>
      <c r="VNO51" s="24"/>
      <c r="VNP51" s="24"/>
      <c r="VNQ51" s="24"/>
      <c r="VNR51" s="24"/>
      <c r="VNS51" s="24"/>
      <c r="VNT51" s="24"/>
      <c r="VNU51" s="24"/>
      <c r="VNV51" s="24"/>
      <c r="VNW51" s="24"/>
      <c r="VNX51" s="24"/>
      <c r="VNY51" s="24"/>
      <c r="VNZ51" s="24"/>
      <c r="VOA51" s="24"/>
      <c r="VOB51" s="24"/>
      <c r="VOC51" s="24"/>
      <c r="VOD51" s="24"/>
      <c r="VOE51" s="24"/>
      <c r="VOF51" s="24"/>
      <c r="VOG51" s="24"/>
      <c r="VOH51" s="24"/>
      <c r="VOI51" s="24"/>
      <c r="VOJ51" s="24"/>
      <c r="VOK51" s="24"/>
      <c r="VOL51" s="24"/>
      <c r="VOM51" s="24"/>
      <c r="VON51" s="24"/>
      <c r="VOO51" s="24"/>
      <c r="VOP51" s="24"/>
      <c r="VOQ51" s="24"/>
      <c r="VOR51" s="24"/>
      <c r="VOS51" s="24"/>
      <c r="VOT51" s="24"/>
      <c r="VOU51" s="24"/>
      <c r="VOV51" s="24"/>
      <c r="VOW51" s="24"/>
      <c r="VOX51" s="24"/>
      <c r="VOY51" s="24"/>
      <c r="VOZ51" s="24"/>
      <c r="VPA51" s="24"/>
      <c r="VPB51" s="24"/>
      <c r="VPC51" s="24"/>
      <c r="VPD51" s="24"/>
      <c r="VPE51" s="24"/>
      <c r="VPF51" s="24"/>
      <c r="VPG51" s="24"/>
      <c r="VPH51" s="24"/>
      <c r="VPI51" s="24"/>
      <c r="VPJ51" s="24"/>
      <c r="VPK51" s="24"/>
      <c r="VPL51" s="24"/>
      <c r="VPM51" s="24"/>
      <c r="VPN51" s="24"/>
      <c r="VPO51" s="24"/>
      <c r="VPP51" s="24"/>
      <c r="VPQ51" s="24"/>
      <c r="VPR51" s="24"/>
      <c r="VPS51" s="24"/>
      <c r="VPT51" s="24"/>
      <c r="VPU51" s="24"/>
      <c r="VPV51" s="24"/>
      <c r="VPW51" s="24"/>
      <c r="VPX51" s="24"/>
      <c r="VPY51" s="24"/>
      <c r="VPZ51" s="24"/>
      <c r="VQA51" s="24"/>
      <c r="VQB51" s="24"/>
      <c r="VQC51" s="24"/>
      <c r="VQD51" s="24"/>
      <c r="VQE51" s="24"/>
      <c r="VQF51" s="24"/>
      <c r="VQG51" s="24"/>
      <c r="VQH51" s="24"/>
      <c r="VQI51" s="24"/>
      <c r="VQJ51" s="24"/>
      <c r="VQK51" s="24"/>
      <c r="VQL51" s="24"/>
      <c r="VQM51" s="24"/>
      <c r="VQN51" s="24"/>
      <c r="VQO51" s="24"/>
      <c r="VQP51" s="24"/>
      <c r="VQQ51" s="24"/>
      <c r="VQR51" s="24"/>
      <c r="VQS51" s="24"/>
      <c r="VQT51" s="24"/>
      <c r="VQU51" s="24"/>
      <c r="VQV51" s="24"/>
      <c r="VQW51" s="24"/>
      <c r="VQX51" s="24"/>
      <c r="VQY51" s="24"/>
      <c r="VQZ51" s="24"/>
      <c r="VRA51" s="24"/>
      <c r="VRB51" s="24"/>
      <c r="VRC51" s="24"/>
      <c r="VRD51" s="24"/>
      <c r="VRE51" s="24"/>
      <c r="VRF51" s="24"/>
      <c r="VRG51" s="24"/>
      <c r="VRH51" s="24"/>
      <c r="VRI51" s="24"/>
      <c r="VRJ51" s="24"/>
      <c r="VRK51" s="24"/>
      <c r="VRL51" s="24"/>
      <c r="VRM51" s="24"/>
      <c r="VRN51" s="24"/>
      <c r="VRO51" s="24"/>
      <c r="VRP51" s="24"/>
      <c r="VRQ51" s="24"/>
      <c r="VRR51" s="24"/>
      <c r="VRS51" s="24"/>
      <c r="VRT51" s="24"/>
      <c r="VRU51" s="24"/>
      <c r="VRV51" s="24"/>
      <c r="VRW51" s="24"/>
      <c r="VRX51" s="24"/>
      <c r="VRY51" s="24"/>
      <c r="VRZ51" s="24"/>
      <c r="VSA51" s="24"/>
      <c r="VSB51" s="24"/>
      <c r="VSC51" s="24"/>
      <c r="VSD51" s="24"/>
      <c r="VSE51" s="24"/>
      <c r="VSF51" s="24"/>
      <c r="VSG51" s="24"/>
      <c r="VSH51" s="24"/>
      <c r="VSI51" s="24"/>
      <c r="VSJ51" s="24"/>
      <c r="VSK51" s="24"/>
      <c r="VSL51" s="24"/>
      <c r="VSM51" s="24"/>
      <c r="VSN51" s="24"/>
      <c r="VSO51" s="24"/>
      <c r="VSP51" s="24"/>
      <c r="VSQ51" s="24"/>
      <c r="VSR51" s="24"/>
      <c r="VSS51" s="24"/>
      <c r="VST51" s="24"/>
      <c r="VSU51" s="24"/>
      <c r="VSV51" s="24"/>
      <c r="VSW51" s="24"/>
      <c r="VSX51" s="24"/>
      <c r="VSY51" s="24"/>
      <c r="VSZ51" s="24"/>
      <c r="VTA51" s="24"/>
      <c r="VTB51" s="24"/>
      <c r="VTC51" s="24"/>
      <c r="VTD51" s="24"/>
      <c r="VTE51" s="24"/>
      <c r="VTF51" s="24"/>
      <c r="VTG51" s="24"/>
      <c r="VTH51" s="24"/>
      <c r="VTI51" s="24"/>
      <c r="VTJ51" s="24"/>
      <c r="VTK51" s="24"/>
      <c r="VTL51" s="24"/>
      <c r="VTM51" s="24"/>
      <c r="VTN51" s="24"/>
      <c r="VTO51" s="24"/>
      <c r="VTP51" s="24"/>
      <c r="VTQ51" s="24"/>
      <c r="VTR51" s="24"/>
      <c r="VTS51" s="24"/>
      <c r="VTT51" s="24"/>
      <c r="VTU51" s="24"/>
      <c r="VTV51" s="24"/>
      <c r="VTW51" s="24"/>
      <c r="VTX51" s="24"/>
      <c r="VTY51" s="24"/>
      <c r="VTZ51" s="24"/>
      <c r="VUA51" s="24"/>
      <c r="VUB51" s="24"/>
      <c r="VUC51" s="24"/>
      <c r="VUD51" s="24"/>
      <c r="VUE51" s="24"/>
      <c r="VUF51" s="24"/>
      <c r="VUG51" s="24"/>
      <c r="VUH51" s="24"/>
      <c r="VUI51" s="24"/>
      <c r="VUJ51" s="24"/>
      <c r="VUK51" s="24"/>
      <c r="VUL51" s="24"/>
      <c r="VUM51" s="24"/>
      <c r="VUN51" s="24"/>
      <c r="VUO51" s="24"/>
      <c r="VUP51" s="24"/>
      <c r="VUQ51" s="24"/>
      <c r="VUR51" s="24"/>
      <c r="VUS51" s="24"/>
      <c r="VUT51" s="24"/>
      <c r="VUU51" s="24"/>
      <c r="VUV51" s="24"/>
      <c r="VUW51" s="24"/>
      <c r="VUX51" s="24"/>
      <c r="VUY51" s="24"/>
      <c r="VUZ51" s="24"/>
      <c r="VVA51" s="24"/>
      <c r="VVB51" s="24"/>
      <c r="VVC51" s="24"/>
      <c r="VVD51" s="24"/>
      <c r="VVE51" s="24"/>
      <c r="VVF51" s="24"/>
      <c r="VVG51" s="24"/>
      <c r="VVH51" s="24"/>
      <c r="VVI51" s="24"/>
      <c r="VVJ51" s="24"/>
      <c r="VVK51" s="24"/>
      <c r="VVL51" s="24"/>
      <c r="VVM51" s="24"/>
      <c r="VVN51" s="24"/>
      <c r="VVO51" s="24"/>
      <c r="VVP51" s="24"/>
      <c r="VVQ51" s="24"/>
      <c r="VVR51" s="24"/>
      <c r="VVS51" s="24"/>
      <c r="VVT51" s="24"/>
      <c r="VVU51" s="24"/>
      <c r="VVV51" s="24"/>
      <c r="VVW51" s="24"/>
      <c r="VVX51" s="24"/>
      <c r="VVY51" s="24"/>
      <c r="VVZ51" s="24"/>
      <c r="VWA51" s="24"/>
      <c r="VWB51" s="24"/>
      <c r="VWC51" s="24"/>
      <c r="VWD51" s="24"/>
      <c r="VWE51" s="24"/>
      <c r="VWF51" s="24"/>
      <c r="VWG51" s="24"/>
      <c r="VWH51" s="24"/>
      <c r="VWI51" s="24"/>
      <c r="VWJ51" s="24"/>
      <c r="VWK51" s="24"/>
      <c r="VWL51" s="24"/>
      <c r="VWM51" s="24"/>
      <c r="VWN51" s="24"/>
      <c r="VWO51" s="24"/>
      <c r="VWP51" s="24"/>
      <c r="VWQ51" s="24"/>
      <c r="VWR51" s="24"/>
      <c r="VWS51" s="24"/>
      <c r="VWT51" s="24"/>
      <c r="VWU51" s="24"/>
      <c r="VWV51" s="24"/>
      <c r="VWW51" s="24"/>
      <c r="VWX51" s="24"/>
      <c r="VWY51" s="24"/>
      <c r="VWZ51" s="24"/>
      <c r="VXA51" s="24"/>
      <c r="VXB51" s="24"/>
      <c r="VXC51" s="24"/>
      <c r="VXD51" s="24"/>
      <c r="VXE51" s="24"/>
      <c r="VXF51" s="24"/>
      <c r="VXG51" s="24"/>
      <c r="VXH51" s="24"/>
      <c r="VXI51" s="24"/>
      <c r="VXJ51" s="24"/>
      <c r="VXK51" s="24"/>
      <c r="VXL51" s="24"/>
      <c r="VXM51" s="24"/>
      <c r="VXN51" s="24"/>
      <c r="VXO51" s="24"/>
      <c r="VXP51" s="24"/>
      <c r="VXQ51" s="24"/>
      <c r="VXR51" s="24"/>
      <c r="VXS51" s="24"/>
      <c r="VXT51" s="24"/>
      <c r="VXU51" s="24"/>
      <c r="VXV51" s="24"/>
      <c r="VXW51" s="24"/>
      <c r="VXX51" s="24"/>
      <c r="VXY51" s="24"/>
      <c r="VXZ51" s="24"/>
      <c r="VYA51" s="24"/>
      <c r="VYB51" s="24"/>
      <c r="VYC51" s="24"/>
      <c r="VYD51" s="24"/>
      <c r="VYE51" s="24"/>
      <c r="VYF51" s="24"/>
      <c r="VYG51" s="24"/>
      <c r="VYH51" s="24"/>
      <c r="VYI51" s="24"/>
      <c r="VYJ51" s="24"/>
      <c r="VYK51" s="24"/>
      <c r="VYL51" s="24"/>
      <c r="VYM51" s="24"/>
      <c r="VYN51" s="24"/>
      <c r="VYO51" s="24"/>
      <c r="VYP51" s="24"/>
      <c r="VYQ51" s="24"/>
      <c r="VYR51" s="24"/>
      <c r="VYS51" s="24"/>
      <c r="VYT51" s="24"/>
      <c r="VYU51" s="24"/>
      <c r="VYV51" s="24"/>
      <c r="VYW51" s="24"/>
      <c r="VYX51" s="24"/>
      <c r="VYY51" s="24"/>
      <c r="VYZ51" s="24"/>
      <c r="VZA51" s="24"/>
      <c r="VZB51" s="24"/>
      <c r="VZC51" s="24"/>
      <c r="VZD51" s="24"/>
      <c r="VZE51" s="24"/>
      <c r="VZF51" s="24"/>
      <c r="VZG51" s="24"/>
      <c r="VZH51" s="24"/>
      <c r="VZI51" s="24"/>
      <c r="VZJ51" s="24"/>
      <c r="VZK51" s="24"/>
      <c r="VZL51" s="24"/>
      <c r="VZM51" s="24"/>
      <c r="VZN51" s="24"/>
      <c r="VZO51" s="24"/>
      <c r="VZP51" s="24"/>
      <c r="VZQ51" s="24"/>
      <c r="VZR51" s="24"/>
      <c r="VZS51" s="24"/>
      <c r="VZT51" s="24"/>
      <c r="VZU51" s="24"/>
      <c r="VZV51" s="24"/>
      <c r="VZW51" s="24"/>
      <c r="VZX51" s="24"/>
      <c r="VZY51" s="24"/>
      <c r="VZZ51" s="24"/>
      <c r="WAA51" s="24"/>
      <c r="WAB51" s="24"/>
      <c r="WAC51" s="24"/>
      <c r="WAD51" s="24"/>
      <c r="WAE51" s="24"/>
      <c r="WAF51" s="24"/>
      <c r="WAG51" s="24"/>
      <c r="WAH51" s="24"/>
      <c r="WAI51" s="24"/>
      <c r="WAJ51" s="24"/>
      <c r="WAK51" s="24"/>
      <c r="WAL51" s="24"/>
      <c r="WAM51" s="24"/>
      <c r="WAN51" s="24"/>
      <c r="WAO51" s="24"/>
      <c r="WAP51" s="24"/>
      <c r="WAQ51" s="24"/>
      <c r="WAR51" s="24"/>
      <c r="WAS51" s="24"/>
      <c r="WAT51" s="24"/>
      <c r="WAU51" s="24"/>
      <c r="WAV51" s="24"/>
      <c r="WAW51" s="24"/>
      <c r="WAX51" s="24"/>
      <c r="WAY51" s="24"/>
      <c r="WAZ51" s="24"/>
      <c r="WBA51" s="24"/>
      <c r="WBB51" s="24"/>
      <c r="WBC51" s="24"/>
      <c r="WBD51" s="24"/>
      <c r="WBE51" s="24"/>
      <c r="WBF51" s="24"/>
      <c r="WBG51" s="24"/>
      <c r="WBH51" s="24"/>
      <c r="WBI51" s="24"/>
      <c r="WBJ51" s="24"/>
      <c r="WBK51" s="24"/>
      <c r="WBL51" s="24"/>
      <c r="WBM51" s="24"/>
      <c r="WBN51" s="24"/>
      <c r="WBO51" s="24"/>
      <c r="WBP51" s="24"/>
      <c r="WBQ51" s="24"/>
      <c r="WBR51" s="24"/>
      <c r="WBS51" s="24"/>
      <c r="WBT51" s="24"/>
      <c r="WBU51" s="24"/>
      <c r="WBV51" s="24"/>
      <c r="WBW51" s="24"/>
      <c r="WBX51" s="24"/>
      <c r="WBY51" s="24"/>
      <c r="WBZ51" s="24"/>
      <c r="WCA51" s="24"/>
      <c r="WCB51" s="24"/>
      <c r="WCC51" s="24"/>
      <c r="WCD51" s="24"/>
      <c r="WCE51" s="24"/>
      <c r="WCF51" s="24"/>
      <c r="WCG51" s="24"/>
      <c r="WCH51" s="24"/>
      <c r="WCI51" s="24"/>
      <c r="WCJ51" s="24"/>
      <c r="WCK51" s="24"/>
      <c r="WCL51" s="24"/>
      <c r="WCM51" s="24"/>
      <c r="WCN51" s="24"/>
      <c r="WCO51" s="24"/>
      <c r="WCP51" s="24"/>
      <c r="WCQ51" s="24"/>
      <c r="WCR51" s="24"/>
      <c r="WCS51" s="24"/>
      <c r="WCT51" s="24"/>
      <c r="WCU51" s="24"/>
      <c r="WCV51" s="24"/>
      <c r="WCW51" s="24"/>
      <c r="WCX51" s="24"/>
      <c r="WCY51" s="24"/>
      <c r="WCZ51" s="24"/>
      <c r="WDA51" s="24"/>
      <c r="WDB51" s="24"/>
      <c r="WDC51" s="24"/>
      <c r="WDD51" s="24"/>
      <c r="WDE51" s="24"/>
      <c r="WDF51" s="24"/>
      <c r="WDG51" s="24"/>
      <c r="WDH51" s="24"/>
      <c r="WDI51" s="24"/>
      <c r="WDJ51" s="24"/>
      <c r="WDK51" s="24"/>
      <c r="WDL51" s="24"/>
      <c r="WDM51" s="24"/>
      <c r="WDN51" s="24"/>
      <c r="WDO51" s="24"/>
      <c r="WDP51" s="24"/>
      <c r="WDQ51" s="24"/>
      <c r="WDR51" s="24"/>
      <c r="WDS51" s="24"/>
      <c r="WDT51" s="24"/>
      <c r="WDU51" s="24"/>
      <c r="WDV51" s="24"/>
      <c r="WDW51" s="24"/>
      <c r="WDX51" s="24"/>
      <c r="WDY51" s="24"/>
      <c r="WDZ51" s="24"/>
      <c r="WEA51" s="24"/>
      <c r="WEB51" s="24"/>
      <c r="WEC51" s="24"/>
      <c r="WED51" s="24"/>
      <c r="WEE51" s="24"/>
      <c r="WEF51" s="24"/>
      <c r="WEG51" s="24"/>
      <c r="WEH51" s="24"/>
      <c r="WEI51" s="24"/>
      <c r="WEJ51" s="24"/>
      <c r="WEK51" s="24"/>
      <c r="WEL51" s="24"/>
      <c r="WEM51" s="24"/>
      <c r="WEN51" s="24"/>
      <c r="WEO51" s="24"/>
      <c r="WEP51" s="24"/>
      <c r="WEQ51" s="24"/>
      <c r="WER51" s="24"/>
      <c r="WES51" s="24"/>
      <c r="WET51" s="24"/>
      <c r="WEU51" s="24"/>
      <c r="WEV51" s="24"/>
      <c r="WEW51" s="24"/>
      <c r="WEX51" s="24"/>
      <c r="WEY51" s="24"/>
      <c r="WEZ51" s="24"/>
      <c r="WFA51" s="24"/>
      <c r="WFB51" s="24"/>
      <c r="WFC51" s="24"/>
      <c r="WFD51" s="24"/>
      <c r="WFE51" s="24"/>
      <c r="WFF51" s="24"/>
      <c r="WFG51" s="24"/>
      <c r="WFH51" s="24"/>
      <c r="WFI51" s="24"/>
      <c r="WFJ51" s="24"/>
      <c r="WFK51" s="24"/>
      <c r="WFL51" s="24"/>
      <c r="WFM51" s="24"/>
      <c r="WFN51" s="24"/>
      <c r="WFO51" s="24"/>
      <c r="WFP51" s="24"/>
      <c r="WFQ51" s="24"/>
      <c r="WFR51" s="24"/>
      <c r="WFS51" s="24"/>
      <c r="WFT51" s="24"/>
      <c r="WFU51" s="24"/>
      <c r="WFV51" s="24"/>
      <c r="WFW51" s="24"/>
      <c r="WFX51" s="24"/>
      <c r="WFY51" s="24"/>
      <c r="WFZ51" s="24"/>
      <c r="WGA51" s="24"/>
      <c r="WGB51" s="24"/>
      <c r="WGC51" s="24"/>
      <c r="WGD51" s="24"/>
      <c r="WGE51" s="24"/>
      <c r="WGF51" s="24"/>
      <c r="WGG51" s="24"/>
      <c r="WGH51" s="24"/>
      <c r="WGI51" s="24"/>
      <c r="WGJ51" s="24"/>
      <c r="WGK51" s="24"/>
      <c r="WGL51" s="24"/>
      <c r="WGM51" s="24"/>
      <c r="WGN51" s="24"/>
      <c r="WGO51" s="24"/>
      <c r="WGP51" s="24"/>
      <c r="WGQ51" s="24"/>
      <c r="WGR51" s="24"/>
      <c r="WGS51" s="24"/>
      <c r="WGT51" s="24"/>
      <c r="WGU51" s="24"/>
      <c r="WGV51" s="24"/>
      <c r="WGW51" s="24"/>
      <c r="WGX51" s="24"/>
      <c r="WGY51" s="24"/>
      <c r="WGZ51" s="24"/>
      <c r="WHA51" s="24"/>
      <c r="WHB51" s="24"/>
      <c r="WHC51" s="24"/>
      <c r="WHD51" s="24"/>
      <c r="WHE51" s="24"/>
      <c r="WHF51" s="24"/>
      <c r="WHG51" s="24"/>
      <c r="WHH51" s="24"/>
      <c r="WHI51" s="24"/>
      <c r="WHJ51" s="24"/>
      <c r="WHK51" s="24"/>
      <c r="WHL51" s="24"/>
      <c r="WHM51" s="24"/>
      <c r="WHN51" s="24"/>
      <c r="WHO51" s="24"/>
      <c r="WHP51" s="24"/>
      <c r="WHQ51" s="24"/>
      <c r="WHR51" s="24"/>
      <c r="WHS51" s="24"/>
      <c r="WHT51" s="24"/>
      <c r="WHU51" s="24"/>
      <c r="WHV51" s="24"/>
      <c r="WHW51" s="24"/>
      <c r="WHX51" s="24"/>
      <c r="WHY51" s="24"/>
      <c r="WHZ51" s="24"/>
      <c r="WIA51" s="24"/>
      <c r="WIB51" s="24"/>
      <c r="WIC51" s="24"/>
      <c r="WID51" s="24"/>
      <c r="WIE51" s="24"/>
      <c r="WIF51" s="24"/>
      <c r="WIG51" s="24"/>
      <c r="WIH51" s="24"/>
      <c r="WII51" s="24"/>
      <c r="WIJ51" s="24"/>
      <c r="WIK51" s="24"/>
      <c r="WIL51" s="24"/>
      <c r="WIM51" s="24"/>
      <c r="WIN51" s="24"/>
      <c r="WIO51" s="24"/>
      <c r="WIP51" s="24"/>
      <c r="WIQ51" s="24"/>
      <c r="WIR51" s="24"/>
      <c r="WIS51" s="24"/>
      <c r="WIT51" s="24"/>
      <c r="WIU51" s="24"/>
      <c r="WIV51" s="24"/>
      <c r="WIW51" s="24"/>
      <c r="WIX51" s="24"/>
      <c r="WIY51" s="24"/>
      <c r="WIZ51" s="24"/>
      <c r="WJA51" s="24"/>
      <c r="WJB51" s="24"/>
      <c r="WJC51" s="24"/>
      <c r="WJD51" s="24"/>
      <c r="WJE51" s="24"/>
      <c r="WJF51" s="24"/>
      <c r="WJG51" s="24"/>
      <c r="WJH51" s="24"/>
      <c r="WJI51" s="24"/>
      <c r="WJJ51" s="24"/>
      <c r="WJK51" s="24"/>
      <c r="WJL51" s="24"/>
      <c r="WJM51" s="24"/>
      <c r="WJN51" s="24"/>
      <c r="WJO51" s="24"/>
      <c r="WJP51" s="24"/>
      <c r="WJQ51" s="24"/>
      <c r="WJR51" s="24"/>
      <c r="WJS51" s="24"/>
      <c r="WJT51" s="24"/>
      <c r="WJU51" s="24"/>
      <c r="WJV51" s="24"/>
      <c r="WJW51" s="24"/>
      <c r="WJX51" s="24"/>
      <c r="WJY51" s="24"/>
      <c r="WJZ51" s="24"/>
      <c r="WKA51" s="24"/>
      <c r="WKB51" s="24"/>
      <c r="WKC51" s="24"/>
      <c r="WKD51" s="24"/>
      <c r="WKE51" s="24"/>
      <c r="WKF51" s="24"/>
      <c r="WKG51" s="24"/>
      <c r="WKH51" s="24"/>
      <c r="WKI51" s="24"/>
      <c r="WKJ51" s="24"/>
      <c r="WKK51" s="24"/>
      <c r="WKL51" s="24"/>
      <c r="WKM51" s="24"/>
      <c r="WKN51" s="24"/>
      <c r="WKO51" s="24"/>
      <c r="WKP51" s="24"/>
      <c r="WKQ51" s="24"/>
      <c r="WKR51" s="24"/>
      <c r="WKS51" s="24"/>
      <c r="WKT51" s="24"/>
      <c r="WKU51" s="24"/>
      <c r="WKV51" s="24"/>
      <c r="WKW51" s="24"/>
      <c r="WKX51" s="24"/>
      <c r="WKY51" s="24"/>
      <c r="WKZ51" s="24"/>
      <c r="WLA51" s="24"/>
      <c r="WLB51" s="24"/>
      <c r="WLC51" s="24"/>
      <c r="WLD51" s="24"/>
      <c r="WLE51" s="24"/>
      <c r="WLF51" s="24"/>
      <c r="WLG51" s="24"/>
      <c r="WLH51" s="24"/>
      <c r="WLI51" s="24"/>
      <c r="WLJ51" s="24"/>
      <c r="WLK51" s="24"/>
      <c r="WLL51" s="24"/>
      <c r="WLM51" s="24"/>
      <c r="WLN51" s="24"/>
      <c r="WLO51" s="24"/>
      <c r="WLP51" s="24"/>
      <c r="WLQ51" s="24"/>
      <c r="WLR51" s="24"/>
      <c r="WLS51" s="24"/>
      <c r="WLT51" s="24"/>
      <c r="WLU51" s="24"/>
      <c r="WLV51" s="24"/>
      <c r="WLW51" s="24"/>
      <c r="WLX51" s="24"/>
      <c r="WLY51" s="24"/>
      <c r="WLZ51" s="24"/>
      <c r="WMA51" s="24"/>
      <c r="WMB51" s="24"/>
      <c r="WMC51" s="24"/>
      <c r="WMD51" s="24"/>
      <c r="WME51" s="24"/>
      <c r="WMF51" s="24"/>
      <c r="WMG51" s="24"/>
      <c r="WMH51" s="24"/>
      <c r="WMI51" s="24"/>
      <c r="WMJ51" s="24"/>
      <c r="WMK51" s="24"/>
      <c r="WML51" s="24"/>
      <c r="WMM51" s="24"/>
      <c r="WMN51" s="24"/>
      <c r="WMO51" s="24"/>
      <c r="WMP51" s="24"/>
      <c r="WMQ51" s="24"/>
      <c r="WMR51" s="24"/>
      <c r="WMS51" s="24"/>
      <c r="WMT51" s="24"/>
      <c r="WMU51" s="24"/>
      <c r="WMV51" s="24"/>
      <c r="WMW51" s="24"/>
      <c r="WMX51" s="24"/>
      <c r="WMY51" s="24"/>
      <c r="WMZ51" s="24"/>
      <c r="WNA51" s="24"/>
      <c r="WNB51" s="24"/>
      <c r="WNC51" s="24"/>
      <c r="WND51" s="24"/>
      <c r="WNE51" s="24"/>
      <c r="WNF51" s="24"/>
      <c r="WNG51" s="24"/>
      <c r="WNH51" s="24"/>
      <c r="WNI51" s="24"/>
      <c r="WNJ51" s="24"/>
      <c r="WNK51" s="24"/>
      <c r="WNL51" s="24"/>
      <c r="WNM51" s="24"/>
      <c r="WNN51" s="24"/>
      <c r="WNO51" s="24"/>
      <c r="WNP51" s="24"/>
      <c r="WNQ51" s="24"/>
      <c r="WNR51" s="24"/>
      <c r="WNS51" s="24"/>
      <c r="WNT51" s="24"/>
      <c r="WNU51" s="24"/>
      <c r="WNV51" s="24"/>
      <c r="WNW51" s="24"/>
      <c r="WNX51" s="24"/>
      <c r="WNY51" s="24"/>
      <c r="WNZ51" s="24"/>
      <c r="WOA51" s="24"/>
      <c r="WOB51" s="24"/>
      <c r="WOC51" s="24"/>
      <c r="WOD51" s="24"/>
      <c r="WOE51" s="24"/>
      <c r="WOF51" s="24"/>
      <c r="WOG51" s="24"/>
      <c r="WOH51" s="24"/>
      <c r="WOI51" s="24"/>
      <c r="WOJ51" s="24"/>
      <c r="WOK51" s="24"/>
      <c r="WOL51" s="24"/>
      <c r="WOM51" s="24"/>
      <c r="WON51" s="24"/>
      <c r="WOO51" s="24"/>
      <c r="WOP51" s="24"/>
      <c r="WOQ51" s="24"/>
      <c r="WOR51" s="24"/>
      <c r="WOS51" s="24"/>
      <c r="WOT51" s="24"/>
      <c r="WOU51" s="24"/>
      <c r="WOV51" s="24"/>
      <c r="WOW51" s="24"/>
      <c r="WOX51" s="24"/>
      <c r="WOY51" s="24"/>
      <c r="WOZ51" s="24"/>
      <c r="WPA51" s="24"/>
      <c r="WPB51" s="24"/>
      <c r="WPC51" s="24"/>
      <c r="WPD51" s="24"/>
      <c r="WPE51" s="24"/>
      <c r="WPF51" s="24"/>
      <c r="WPG51" s="24"/>
      <c r="WPH51" s="24"/>
      <c r="WPI51" s="24"/>
      <c r="WPJ51" s="24"/>
      <c r="WPK51" s="24"/>
      <c r="WPL51" s="24"/>
      <c r="WPM51" s="24"/>
      <c r="WPN51" s="24"/>
      <c r="WPO51" s="24"/>
      <c r="WPP51" s="24"/>
      <c r="WPQ51" s="24"/>
      <c r="WPR51" s="24"/>
      <c r="WPS51" s="24"/>
      <c r="WPT51" s="24"/>
      <c r="WPU51" s="24"/>
      <c r="WPV51" s="24"/>
      <c r="WPW51" s="24"/>
      <c r="WPX51" s="24"/>
      <c r="WPY51" s="24"/>
      <c r="WPZ51" s="24"/>
      <c r="WQA51" s="24"/>
      <c r="WQB51" s="24"/>
      <c r="WQC51" s="24"/>
      <c r="WQD51" s="24"/>
      <c r="WQE51" s="24"/>
      <c r="WQF51" s="24"/>
      <c r="WQG51" s="24"/>
      <c r="WQH51" s="24"/>
      <c r="WQI51" s="24"/>
      <c r="WQJ51" s="24"/>
      <c r="WQK51" s="24"/>
      <c r="WQL51" s="24"/>
      <c r="WQM51" s="24"/>
      <c r="WQN51" s="24"/>
      <c r="WQO51" s="24"/>
      <c r="WQP51" s="24"/>
      <c r="WQQ51" s="24"/>
      <c r="WQR51" s="24"/>
      <c r="WQS51" s="24"/>
      <c r="WQT51" s="24"/>
      <c r="WQU51" s="24"/>
      <c r="WQV51" s="24"/>
      <c r="WQW51" s="24"/>
      <c r="WQX51" s="24"/>
      <c r="WQY51" s="24"/>
      <c r="WQZ51" s="24"/>
      <c r="WRA51" s="24"/>
      <c r="WRB51" s="24"/>
      <c r="WRC51" s="24"/>
      <c r="WRD51" s="24"/>
      <c r="WRE51" s="24"/>
      <c r="WRF51" s="24"/>
      <c r="WRG51" s="24"/>
      <c r="WRH51" s="24"/>
      <c r="WRI51" s="24"/>
      <c r="WRJ51" s="24"/>
      <c r="WRK51" s="24"/>
      <c r="WRL51" s="24"/>
      <c r="WRM51" s="24"/>
      <c r="WRN51" s="24"/>
      <c r="WRO51" s="24"/>
      <c r="WRP51" s="24"/>
      <c r="WRQ51" s="24"/>
      <c r="WRR51" s="24"/>
      <c r="WRS51" s="24"/>
      <c r="WRT51" s="24"/>
      <c r="WRU51" s="24"/>
      <c r="WRV51" s="24"/>
      <c r="WRW51" s="24"/>
      <c r="WRX51" s="24"/>
      <c r="WRY51" s="24"/>
      <c r="WRZ51" s="24"/>
      <c r="WSA51" s="24"/>
      <c r="WSB51" s="24"/>
      <c r="WSC51" s="24"/>
      <c r="WSD51" s="24"/>
      <c r="WSE51" s="24"/>
      <c r="WSF51" s="24"/>
      <c r="WSG51" s="24"/>
      <c r="WSH51" s="24"/>
      <c r="WSI51" s="24"/>
      <c r="WSJ51" s="24"/>
      <c r="WSK51" s="24"/>
      <c r="WSL51" s="24"/>
      <c r="WSM51" s="24"/>
      <c r="WSN51" s="24"/>
      <c r="WSO51" s="24"/>
      <c r="WSP51" s="24"/>
      <c r="WSQ51" s="24"/>
      <c r="WSR51" s="24"/>
      <c r="WSS51" s="24"/>
      <c r="WST51" s="24"/>
      <c r="WSU51" s="24"/>
      <c r="WSV51" s="24"/>
      <c r="WSW51" s="24"/>
      <c r="WSX51" s="24"/>
      <c r="WSY51" s="24"/>
      <c r="WSZ51" s="24"/>
      <c r="WTA51" s="24"/>
      <c r="WTB51" s="24"/>
      <c r="WTC51" s="24"/>
      <c r="WTD51" s="24"/>
      <c r="WTE51" s="24"/>
      <c r="WTF51" s="24"/>
      <c r="WTG51" s="24"/>
      <c r="WTH51" s="24"/>
      <c r="WTI51" s="24"/>
      <c r="WTJ51" s="24"/>
      <c r="WTK51" s="24"/>
      <c r="WTL51" s="24"/>
      <c r="WTM51" s="24"/>
      <c r="WTN51" s="24"/>
      <c r="WTO51" s="24"/>
      <c r="WTP51" s="24"/>
      <c r="WTQ51" s="24"/>
      <c r="WTR51" s="24"/>
      <c r="WTS51" s="24"/>
      <c r="WTT51" s="24"/>
      <c r="WTU51" s="24"/>
      <c r="WTV51" s="24"/>
      <c r="WTW51" s="24"/>
      <c r="WTX51" s="24"/>
      <c r="WTY51" s="24"/>
      <c r="WTZ51" s="24"/>
      <c r="WUA51" s="24"/>
      <c r="WUB51" s="24"/>
      <c r="WUC51" s="24"/>
      <c r="WUD51" s="24"/>
      <c r="WUE51" s="24"/>
      <c r="WUF51" s="24"/>
      <c r="WUG51" s="24"/>
      <c r="WUH51" s="24"/>
      <c r="WUI51" s="24"/>
      <c r="WUJ51" s="24"/>
      <c r="WUK51" s="24"/>
      <c r="WUL51" s="24"/>
      <c r="WUM51" s="24"/>
      <c r="WUN51" s="24"/>
      <c r="WUO51" s="24"/>
      <c r="WUP51" s="24"/>
      <c r="WUQ51" s="24"/>
      <c r="WUR51" s="24"/>
      <c r="WUS51" s="24"/>
      <c r="WUT51" s="24"/>
      <c r="WUU51" s="24"/>
      <c r="WUV51" s="24"/>
      <c r="WUW51" s="24"/>
      <c r="WUX51" s="24"/>
      <c r="WUY51" s="24"/>
      <c r="WUZ51" s="24"/>
      <c r="WVA51" s="24"/>
      <c r="WVB51" s="24"/>
      <c r="WVC51" s="24"/>
      <c r="WVD51" s="24"/>
      <c r="WVE51" s="24"/>
      <c r="WVF51" s="24"/>
      <c r="WVG51" s="24"/>
      <c r="WVH51" s="24"/>
      <c r="WVI51" s="24"/>
      <c r="WVJ51" s="24"/>
      <c r="WVK51" s="24"/>
      <c r="WVL51" s="24"/>
      <c r="WVM51" s="24"/>
      <c r="WVN51" s="24"/>
      <c r="WVO51" s="24"/>
      <c r="WVP51" s="24"/>
      <c r="WVQ51" s="24"/>
      <c r="WVR51" s="24"/>
      <c r="WVS51" s="24"/>
      <c r="WVT51" s="24"/>
      <c r="WVU51" s="24"/>
      <c r="WVV51" s="24"/>
      <c r="WVW51" s="24"/>
      <c r="WVX51" s="24"/>
      <c r="WVY51" s="24"/>
      <c r="WVZ51" s="24"/>
      <c r="WWA51" s="24"/>
      <c r="WWB51" s="24"/>
      <c r="WWC51" s="24"/>
      <c r="WWD51" s="24"/>
      <c r="WWE51" s="24"/>
      <c r="WWF51" s="24"/>
      <c r="WWG51" s="24"/>
      <c r="WWH51" s="24"/>
      <c r="WWI51" s="24"/>
      <c r="WWJ51" s="24"/>
      <c r="WWK51" s="24"/>
      <c r="WWL51" s="24"/>
      <c r="WWM51" s="24"/>
      <c r="WWN51" s="24"/>
      <c r="WWO51" s="24"/>
      <c r="WWP51" s="24"/>
      <c r="WWQ51" s="24"/>
      <c r="WWR51" s="24"/>
      <c r="WWS51" s="24"/>
      <c r="WWT51" s="24"/>
      <c r="WWU51" s="24"/>
      <c r="WWV51" s="24"/>
      <c r="WWW51" s="24"/>
      <c r="WWX51" s="24"/>
      <c r="WWY51" s="24"/>
      <c r="WWZ51" s="24"/>
      <c r="WXA51" s="24"/>
      <c r="WXB51" s="24"/>
      <c r="WXC51" s="24"/>
      <c r="WXD51" s="24"/>
      <c r="WXE51" s="24"/>
      <c r="WXF51" s="24"/>
      <c r="WXG51" s="24"/>
      <c r="WXH51" s="24"/>
      <c r="WXI51" s="24"/>
      <c r="WXJ51" s="24"/>
      <c r="WXK51" s="24"/>
      <c r="WXL51" s="24"/>
      <c r="WXM51" s="24"/>
      <c r="WXN51" s="24"/>
      <c r="WXO51" s="24"/>
      <c r="WXP51" s="24"/>
      <c r="WXQ51" s="24"/>
      <c r="WXR51" s="24"/>
      <c r="WXS51" s="24"/>
      <c r="WXT51" s="24"/>
      <c r="WXU51" s="24"/>
      <c r="WXV51" s="24"/>
      <c r="WXW51" s="24"/>
      <c r="WXX51" s="24"/>
      <c r="WXY51" s="24"/>
      <c r="WXZ51" s="24"/>
      <c r="WYA51" s="24"/>
      <c r="WYB51" s="24"/>
      <c r="WYC51" s="24"/>
      <c r="WYD51" s="24"/>
      <c r="WYE51" s="24"/>
      <c r="WYF51" s="24"/>
      <c r="WYG51" s="24"/>
      <c r="WYH51" s="24"/>
      <c r="WYI51" s="24"/>
      <c r="WYJ51" s="24"/>
      <c r="WYK51" s="24"/>
      <c r="WYL51" s="24"/>
      <c r="WYM51" s="24"/>
      <c r="WYN51" s="24"/>
      <c r="WYO51" s="24"/>
      <c r="WYP51" s="24"/>
      <c r="WYQ51" s="24"/>
      <c r="WYR51" s="24"/>
      <c r="WYS51" s="24"/>
      <c r="WYT51" s="24"/>
      <c r="WYU51" s="24"/>
      <c r="WYV51" s="24"/>
      <c r="WYW51" s="24"/>
      <c r="WYX51" s="24"/>
      <c r="WYY51" s="24"/>
      <c r="WYZ51" s="24"/>
      <c r="WZA51" s="24"/>
      <c r="WZB51" s="24"/>
      <c r="WZC51" s="24"/>
      <c r="WZD51" s="24"/>
      <c r="WZE51" s="24"/>
      <c r="WZF51" s="24"/>
      <c r="WZG51" s="24"/>
      <c r="WZH51" s="24"/>
      <c r="WZI51" s="24"/>
      <c r="WZJ51" s="24"/>
      <c r="WZK51" s="24"/>
      <c r="WZL51" s="24"/>
      <c r="WZM51" s="24"/>
      <c r="WZN51" s="24"/>
      <c r="WZO51" s="24"/>
      <c r="WZP51" s="24"/>
      <c r="WZQ51" s="24"/>
      <c r="WZR51" s="24"/>
      <c r="WZS51" s="24"/>
      <c r="WZT51" s="24"/>
      <c r="WZU51" s="24"/>
      <c r="WZV51" s="24"/>
      <c r="WZW51" s="24"/>
      <c r="WZX51" s="24"/>
      <c r="WZY51" s="24"/>
      <c r="WZZ51" s="24"/>
      <c r="XAA51" s="24"/>
      <c r="XAB51" s="24"/>
      <c r="XAC51" s="24"/>
      <c r="XAD51" s="24"/>
      <c r="XAE51" s="24"/>
      <c r="XAF51" s="24"/>
      <c r="XAG51" s="24"/>
      <c r="XAH51" s="24"/>
      <c r="XAI51" s="24"/>
      <c r="XAJ51" s="24"/>
      <c r="XAK51" s="24"/>
      <c r="XAL51" s="24"/>
      <c r="XAM51" s="24"/>
      <c r="XAN51" s="24"/>
      <c r="XAO51" s="24"/>
      <c r="XAP51" s="24"/>
      <c r="XAQ51" s="24"/>
      <c r="XAR51" s="24"/>
      <c r="XAS51" s="24"/>
      <c r="XAT51" s="24"/>
      <c r="XAU51" s="24"/>
      <c r="XAV51" s="24"/>
      <c r="XAW51" s="24"/>
      <c r="XAX51" s="24"/>
      <c r="XAY51" s="24"/>
      <c r="XAZ51" s="24"/>
      <c r="XBA51" s="24"/>
      <c r="XBB51" s="24"/>
      <c r="XBC51" s="24"/>
      <c r="XBD51" s="24"/>
      <c r="XBE51" s="24"/>
      <c r="XBF51" s="24"/>
      <c r="XBG51" s="24"/>
      <c r="XBH51" s="24"/>
      <c r="XBI51" s="24"/>
      <c r="XBJ51" s="24"/>
      <c r="XBK51" s="24"/>
      <c r="XBL51" s="24"/>
      <c r="XBM51" s="24"/>
      <c r="XBN51" s="24"/>
      <c r="XBO51" s="24"/>
      <c r="XBP51" s="24"/>
      <c r="XBQ51" s="24"/>
      <c r="XBR51" s="24"/>
      <c r="XBS51" s="24"/>
      <c r="XBT51" s="24"/>
      <c r="XBU51" s="24"/>
      <c r="XBV51" s="24"/>
      <c r="XBW51" s="24"/>
      <c r="XBX51" s="24"/>
      <c r="XBY51" s="24"/>
      <c r="XBZ51" s="24"/>
      <c r="XCA51" s="24"/>
      <c r="XCB51" s="24"/>
      <c r="XCC51" s="24"/>
      <c r="XCD51" s="24"/>
      <c r="XCE51" s="24"/>
      <c r="XCF51" s="24"/>
      <c r="XCG51" s="24"/>
      <c r="XCH51" s="24"/>
      <c r="XCI51" s="24"/>
      <c r="XCJ51" s="24"/>
      <c r="XCK51" s="24"/>
      <c r="XCL51" s="24"/>
      <c r="XCM51" s="24"/>
      <c r="XCN51" s="24"/>
      <c r="XCO51" s="24"/>
      <c r="XCP51" s="24"/>
      <c r="XCQ51" s="24"/>
      <c r="XCR51" s="24"/>
      <c r="XCS51" s="24"/>
      <c r="XCT51" s="24"/>
      <c r="XCU51" s="24"/>
      <c r="XCV51" s="24"/>
      <c r="XCW51" s="24"/>
      <c r="XCX51" s="24"/>
      <c r="XCY51" s="24"/>
      <c r="XCZ51" s="24"/>
      <c r="XDA51" s="24"/>
      <c r="XDB51" s="24"/>
      <c r="XDC51" s="24"/>
      <c r="XDD51" s="24"/>
      <c r="XDE51" s="24"/>
      <c r="XDF51" s="24"/>
      <c r="XDG51" s="24"/>
      <c r="XDH51" s="24"/>
      <c r="XDI51" s="24"/>
      <c r="XDJ51" s="24"/>
      <c r="XDK51" s="24"/>
      <c r="XDL51" s="24"/>
      <c r="XDM51" s="24"/>
      <c r="XDN51" s="24"/>
      <c r="XDO51" s="24"/>
      <c r="XDP51" s="24"/>
      <c r="XDQ51" s="24"/>
      <c r="XDR51" s="24"/>
      <c r="XDS51" s="24"/>
      <c r="XDT51" s="24"/>
      <c r="XDU51" s="24"/>
      <c r="XDV51" s="24"/>
      <c r="XDW51" s="24"/>
      <c r="XDX51" s="24"/>
      <c r="XDY51" s="24"/>
      <c r="XDZ51" s="24"/>
      <c r="XEA51" s="24"/>
      <c r="XEB51" s="24"/>
      <c r="XEC51" s="24"/>
      <c r="XED51" s="24"/>
      <c r="XEE51" s="24"/>
      <c r="XEF51" s="24"/>
      <c r="XEG51" s="24"/>
      <c r="XEH51" s="24"/>
      <c r="XEI51" s="24"/>
      <c r="XEJ51" s="24"/>
      <c r="XEK51" s="24"/>
      <c r="XEL51" s="24"/>
      <c r="XEM51" s="24"/>
      <c r="XEN51" s="24"/>
      <c r="XEO51" s="24"/>
      <c r="XEP51" s="24"/>
      <c r="XEQ51" s="24"/>
      <c r="XER51" s="24"/>
      <c r="XES51" s="24"/>
      <c r="XET51" s="24"/>
      <c r="XEU51" s="24"/>
      <c r="XEV51" s="24"/>
      <c r="XEW51" s="24"/>
      <c r="XEX51" s="24"/>
      <c r="XEY51" s="24"/>
      <c r="XEZ51" s="24"/>
      <c r="XFA51" s="24"/>
      <c r="XFB51" s="24"/>
      <c r="XFC51" s="24"/>
      <c r="XFD51" s="24"/>
    </row>
    <row r="53" spans="1:16384">
      <c r="D53" s="155"/>
      <c r="F53" s="155"/>
    </row>
    <row r="54" spans="1:16384">
      <c r="D54" s="153"/>
      <c r="F54" s="155"/>
    </row>
    <row r="55" spans="1:16384">
      <c r="D55" s="155"/>
      <c r="F55" s="155"/>
    </row>
    <row r="56" spans="1:16384">
      <c r="D56" s="155"/>
      <c r="F56" s="155"/>
    </row>
    <row r="57" spans="1:16384">
      <c r="D57" s="155"/>
      <c r="F57" s="155"/>
    </row>
    <row r="58" spans="1:16384">
      <c r="F58" s="155"/>
    </row>
    <row r="59" spans="1:16384">
      <c r="F59" s="155"/>
    </row>
    <row r="60" spans="1:16384">
      <c r="F60" s="155"/>
    </row>
    <row r="61" spans="1:16384">
      <c r="F61" s="155"/>
    </row>
    <row r="62" spans="1:16384">
      <c r="F62" s="155"/>
    </row>
  </sheetData>
  <mergeCells count="2">
    <mergeCell ref="D20:E20"/>
    <mergeCell ref="F20:G20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U34"/>
  <sheetViews>
    <sheetView zoomScale="43" workbookViewId="0">
      <selection activeCell="L6" sqref="L6"/>
    </sheetView>
  </sheetViews>
  <sheetFormatPr defaultColWidth="8.90625" defaultRowHeight="14.5"/>
  <cols>
    <col min="1" max="1" width="4.90625" style="6" customWidth="1"/>
    <col min="2" max="2" width="19.453125" style="6" customWidth="1"/>
    <col min="3" max="3" width="8.1796875" style="6" bestFit="1" customWidth="1"/>
    <col min="4" max="4" width="11.453125" style="6" bestFit="1" customWidth="1"/>
    <col min="5" max="5" width="3.1796875" style="6" bestFit="1" customWidth="1"/>
    <col min="6" max="6" width="6.08984375" style="6" bestFit="1" customWidth="1"/>
    <col min="7" max="7" width="8.36328125" style="6" bestFit="1" customWidth="1"/>
    <col min="8" max="8" width="3.36328125" style="6" customWidth="1"/>
    <col min="9" max="9" width="5.54296875" style="6" bestFit="1" customWidth="1"/>
    <col min="10" max="10" width="17.81640625" style="6" bestFit="1" customWidth="1"/>
    <col min="11" max="11" width="8.90625" style="6"/>
    <col min="12" max="12" width="11.453125" style="6" bestFit="1" customWidth="1"/>
    <col min="13" max="13" width="3.36328125" style="6" bestFit="1" customWidth="1"/>
    <col min="14" max="14" width="4.81640625" style="6" customWidth="1"/>
    <col min="15" max="15" width="9.08984375" style="6" bestFit="1" customWidth="1"/>
    <col min="16" max="16" width="10" style="6" customWidth="1"/>
    <col min="17" max="17" width="5.54296875" style="6" bestFit="1" customWidth="1"/>
    <col min="18" max="18" width="17.81640625" style="6" bestFit="1" customWidth="1"/>
    <col min="19" max="19" width="8.90625" style="6"/>
    <col min="20" max="20" width="11.453125" style="6" bestFit="1" customWidth="1"/>
    <col min="21" max="22" width="8.90625" style="6"/>
    <col min="23" max="23" width="10" style="6" bestFit="1" customWidth="1"/>
    <col min="24" max="26" width="8.90625" style="6"/>
    <col min="27" max="27" width="7.453125" style="6" customWidth="1"/>
    <col min="28" max="28" width="8.90625" style="6"/>
    <col min="29" max="29" width="13" style="6" customWidth="1"/>
    <col min="30" max="16384" width="8.90625" style="6"/>
  </cols>
  <sheetData>
    <row r="1" spans="1:21" ht="15" thickBot="1">
      <c r="A1" s="412" t="s">
        <v>160</v>
      </c>
      <c r="B1" s="413"/>
      <c r="C1" s="413"/>
      <c r="D1" s="413"/>
      <c r="E1" s="413"/>
      <c r="F1" s="413"/>
      <c r="G1" s="414"/>
      <c r="I1" s="412" t="s">
        <v>202</v>
      </c>
      <c r="J1" s="413"/>
      <c r="K1" s="413"/>
      <c r="L1" s="413"/>
      <c r="M1" s="413"/>
      <c r="N1" s="413"/>
      <c r="O1" s="414"/>
      <c r="T1" s="415" t="str">
        <f>A1</f>
        <v>SoBra 700MWs</v>
      </c>
      <c r="U1" s="417" t="str">
        <f>I1</f>
        <v>Clean Energy Connection 750 MWs</v>
      </c>
    </row>
    <row r="2" spans="1:21" ht="15" thickBot="1">
      <c r="A2" s="162" t="s">
        <v>25</v>
      </c>
      <c r="B2" s="163" t="s">
        <v>164</v>
      </c>
      <c r="C2" s="164" t="s">
        <v>165</v>
      </c>
      <c r="D2" s="162" t="s">
        <v>166</v>
      </c>
      <c r="E2" s="163" t="s">
        <v>167</v>
      </c>
      <c r="F2" s="163" t="s">
        <v>168</v>
      </c>
      <c r="G2" s="165" t="s">
        <v>169</v>
      </c>
      <c r="I2" s="162" t="s">
        <v>25</v>
      </c>
      <c r="J2" s="163" t="s">
        <v>164</v>
      </c>
      <c r="K2" s="164" t="s">
        <v>165</v>
      </c>
      <c r="L2" s="162" t="s">
        <v>166</v>
      </c>
      <c r="M2" s="162" t="s">
        <v>167</v>
      </c>
      <c r="N2" s="163" t="s">
        <v>168</v>
      </c>
      <c r="O2" s="165" t="s">
        <v>169</v>
      </c>
      <c r="T2" s="416"/>
      <c r="U2" s="418"/>
    </row>
    <row r="3" spans="1:21" ht="15" thickBot="1">
      <c r="A3" s="166">
        <v>2024</v>
      </c>
      <c r="B3" s="39"/>
      <c r="C3" s="167"/>
      <c r="D3" s="168"/>
      <c r="E3" s="39"/>
      <c r="F3" s="39"/>
      <c r="G3" s="169">
        <f>C3</f>
        <v>0</v>
      </c>
      <c r="I3" s="166">
        <v>2024</v>
      </c>
      <c r="J3" s="39"/>
      <c r="K3" s="167"/>
      <c r="L3" s="168"/>
      <c r="M3" s="39"/>
      <c r="N3" s="39"/>
      <c r="O3" s="169">
        <f>K3</f>
        <v>0</v>
      </c>
      <c r="Q3" s="166" t="s">
        <v>167</v>
      </c>
      <c r="R3" s="170">
        <v>225.8</v>
      </c>
      <c r="S3" s="171">
        <f>A6</f>
        <v>2027</v>
      </c>
      <c r="T3" s="172">
        <f>E6</f>
        <v>2</v>
      </c>
      <c r="U3" s="171">
        <f>M6</f>
        <v>1</v>
      </c>
    </row>
    <row r="4" spans="1:21" ht="15" thickBot="1">
      <c r="A4" s="42">
        <v>2025</v>
      </c>
      <c r="B4" s="50"/>
      <c r="C4" s="173"/>
      <c r="D4" s="174"/>
      <c r="E4" s="50"/>
      <c r="F4" s="50"/>
      <c r="G4" s="58">
        <f t="shared" ref="G4:G32" si="0">C4+G3</f>
        <v>0</v>
      </c>
      <c r="I4" s="42">
        <v>2025</v>
      </c>
      <c r="J4" s="50"/>
      <c r="K4" s="173"/>
      <c r="L4" s="174"/>
      <c r="M4" s="50"/>
      <c r="N4" s="50"/>
      <c r="O4" s="58">
        <f t="shared" ref="O4:O14" si="1">K4+O3</f>
        <v>0</v>
      </c>
      <c r="Q4" s="44" t="s">
        <v>168</v>
      </c>
      <c r="R4" s="175">
        <v>1277.0999999999999</v>
      </c>
      <c r="S4" s="171">
        <f>S3+1</f>
        <v>2028</v>
      </c>
      <c r="T4" s="172">
        <f t="shared" ref="T4:T9" si="2">E7+T3</f>
        <v>3</v>
      </c>
      <c r="U4" s="172">
        <f>M7+U3</f>
        <v>1</v>
      </c>
    </row>
    <row r="5" spans="1:21" ht="15" thickBot="1">
      <c r="A5" s="47">
        <v>2026</v>
      </c>
      <c r="B5" s="48"/>
      <c r="C5" s="85"/>
      <c r="D5" s="84"/>
      <c r="E5" s="48"/>
      <c r="F5" s="48"/>
      <c r="G5" s="58">
        <f t="shared" si="0"/>
        <v>0</v>
      </c>
      <c r="I5" s="47">
        <v>2026</v>
      </c>
      <c r="J5" s="48"/>
      <c r="K5" s="85"/>
      <c r="L5" s="84"/>
      <c r="M5" s="48"/>
      <c r="N5" s="48"/>
      <c r="O5" s="58">
        <f t="shared" si="1"/>
        <v>0</v>
      </c>
      <c r="S5" s="171">
        <f t="shared" ref="S5:S21" si="3">S4+1</f>
        <v>2029</v>
      </c>
      <c r="T5" s="172">
        <f t="shared" si="2"/>
        <v>3</v>
      </c>
      <c r="U5" s="172">
        <f t="shared" ref="U5:U9" si="4">M8+U4</f>
        <v>2</v>
      </c>
    </row>
    <row r="6" spans="1:21" ht="15" thickBot="1">
      <c r="A6" s="166">
        <v>2027</v>
      </c>
      <c r="B6" s="39" t="s">
        <v>170</v>
      </c>
      <c r="C6" s="176">
        <v>451.6</v>
      </c>
      <c r="D6" s="177">
        <v>305.72800000000001</v>
      </c>
      <c r="E6" s="39">
        <f t="shared" ref="E6:E14" si="5">C6/$R$3</f>
        <v>2</v>
      </c>
      <c r="F6" s="39">
        <v>0</v>
      </c>
      <c r="G6" s="58">
        <f t="shared" si="0"/>
        <v>451.6</v>
      </c>
      <c r="I6" s="166">
        <v>2027</v>
      </c>
      <c r="J6" s="39" t="s">
        <v>170</v>
      </c>
      <c r="K6" s="176">
        <v>225.8</v>
      </c>
      <c r="L6" s="177">
        <v>152.864</v>
      </c>
      <c r="M6" s="39">
        <f t="shared" ref="M6:M14" si="6">K6/$R$3</f>
        <v>1</v>
      </c>
      <c r="N6" s="39">
        <v>0</v>
      </c>
      <c r="O6" s="58">
        <f t="shared" si="1"/>
        <v>225.8</v>
      </c>
      <c r="S6" s="171">
        <f t="shared" si="3"/>
        <v>2030</v>
      </c>
      <c r="T6" s="172">
        <f t="shared" si="2"/>
        <v>4</v>
      </c>
      <c r="U6" s="171">
        <f t="shared" si="4"/>
        <v>2</v>
      </c>
    </row>
    <row r="7" spans="1:21" ht="15" thickBot="1">
      <c r="A7" s="166">
        <v>2028</v>
      </c>
      <c r="B7" s="166" t="s">
        <v>170</v>
      </c>
      <c r="C7" s="176">
        <v>225.8</v>
      </c>
      <c r="D7" s="178">
        <v>154.96299999999999</v>
      </c>
      <c r="E7" s="39">
        <f t="shared" si="5"/>
        <v>1</v>
      </c>
      <c r="F7" s="39">
        <v>0</v>
      </c>
      <c r="G7" s="41">
        <f t="shared" si="0"/>
        <v>677.40000000000009</v>
      </c>
      <c r="I7" s="42">
        <v>2028</v>
      </c>
      <c r="J7" s="50"/>
      <c r="K7" s="179"/>
      <c r="L7" s="180"/>
      <c r="M7" s="50">
        <f t="shared" si="6"/>
        <v>0</v>
      </c>
      <c r="N7" s="50">
        <v>0</v>
      </c>
      <c r="O7" s="58">
        <f t="shared" si="1"/>
        <v>225.8</v>
      </c>
      <c r="S7" s="171">
        <f t="shared" si="3"/>
        <v>2031</v>
      </c>
      <c r="T7" s="172">
        <f t="shared" si="2"/>
        <v>4</v>
      </c>
      <c r="U7" s="171">
        <f t="shared" si="4"/>
        <v>3</v>
      </c>
    </row>
    <row r="8" spans="1:21" ht="15" thickBot="1">
      <c r="A8" s="42">
        <v>2029</v>
      </c>
      <c r="B8" s="42"/>
      <c r="C8" s="179"/>
      <c r="D8" s="180"/>
      <c r="E8" s="39">
        <f t="shared" si="5"/>
        <v>0</v>
      </c>
      <c r="F8" s="39">
        <v>0</v>
      </c>
      <c r="G8" s="43">
        <f t="shared" si="0"/>
        <v>677.40000000000009</v>
      </c>
      <c r="I8" s="42">
        <v>2029</v>
      </c>
      <c r="J8" s="50" t="s">
        <v>170</v>
      </c>
      <c r="K8" s="179">
        <v>225.8</v>
      </c>
      <c r="L8" s="180">
        <v>157.09100000000001</v>
      </c>
      <c r="M8" s="45">
        <f t="shared" si="6"/>
        <v>1</v>
      </c>
      <c r="N8" s="45">
        <v>0</v>
      </c>
      <c r="O8" s="46">
        <f t="shared" si="1"/>
        <v>451.6</v>
      </c>
      <c r="S8" s="171">
        <f t="shared" si="3"/>
        <v>2032</v>
      </c>
      <c r="T8" s="172">
        <f t="shared" si="2"/>
        <v>5</v>
      </c>
      <c r="U8" s="171">
        <f t="shared" si="4"/>
        <v>3</v>
      </c>
    </row>
    <row r="9" spans="1:21" ht="15" thickBot="1">
      <c r="A9" s="44">
        <v>2030</v>
      </c>
      <c r="B9" s="45" t="s">
        <v>170</v>
      </c>
      <c r="C9" s="149">
        <f>225.8*1</f>
        <v>225.8</v>
      </c>
      <c r="D9" s="181">
        <f>159.247*1</f>
        <v>159.24700000000001</v>
      </c>
      <c r="E9" s="39">
        <f t="shared" si="5"/>
        <v>1</v>
      </c>
      <c r="F9" s="39">
        <v>0</v>
      </c>
      <c r="G9" s="54">
        <f t="shared" si="0"/>
        <v>903.2</v>
      </c>
      <c r="I9" s="42">
        <v>2030</v>
      </c>
      <c r="J9" s="50"/>
      <c r="K9" s="179"/>
      <c r="L9" s="181"/>
      <c r="M9" s="50">
        <f t="shared" si="6"/>
        <v>0</v>
      </c>
      <c r="N9" s="50">
        <v>0</v>
      </c>
      <c r="O9" s="58">
        <f t="shared" si="1"/>
        <v>451.6</v>
      </c>
      <c r="P9" s="182">
        <v>1.0137311597236758</v>
      </c>
      <c r="S9" s="171">
        <f t="shared" si="3"/>
        <v>2033</v>
      </c>
      <c r="T9" s="172">
        <f t="shared" si="2"/>
        <v>5</v>
      </c>
      <c r="U9" s="172">
        <f t="shared" si="4"/>
        <v>4</v>
      </c>
    </row>
    <row r="10" spans="1:21" ht="15" thickBot="1">
      <c r="A10" s="47">
        <v>2031</v>
      </c>
      <c r="B10" s="48"/>
      <c r="C10" s="85"/>
      <c r="D10" s="53"/>
      <c r="E10" s="39">
        <f t="shared" si="5"/>
        <v>0</v>
      </c>
      <c r="F10" s="39">
        <v>0</v>
      </c>
      <c r="G10" s="169">
        <f t="shared" si="0"/>
        <v>903.2</v>
      </c>
      <c r="I10" s="47">
        <v>2031</v>
      </c>
      <c r="J10" s="50" t="s">
        <v>170</v>
      </c>
      <c r="K10" s="179">
        <v>225.8</v>
      </c>
      <c r="L10" s="181">
        <v>161.434</v>
      </c>
      <c r="M10" s="50">
        <f t="shared" si="6"/>
        <v>1</v>
      </c>
      <c r="N10" s="50">
        <v>0</v>
      </c>
      <c r="O10" s="54">
        <f t="shared" si="1"/>
        <v>677.40000000000009</v>
      </c>
      <c r="S10" s="171">
        <f t="shared" si="3"/>
        <v>2034</v>
      </c>
      <c r="T10" s="172">
        <f>E13+E14+T9</f>
        <v>9</v>
      </c>
      <c r="U10" s="172">
        <f>M13+U9+M14</f>
        <v>7</v>
      </c>
    </row>
    <row r="11" spans="1:21" ht="15" thickBot="1">
      <c r="A11" s="42">
        <v>2032</v>
      </c>
      <c r="B11" s="50" t="s">
        <v>170</v>
      </c>
      <c r="C11" s="173">
        <v>225.8</v>
      </c>
      <c r="D11" s="183">
        <v>163.65</v>
      </c>
      <c r="E11" s="184">
        <f t="shared" si="5"/>
        <v>1</v>
      </c>
      <c r="F11" s="50">
        <v>0</v>
      </c>
      <c r="G11" s="58">
        <f t="shared" si="0"/>
        <v>1129</v>
      </c>
      <c r="I11" s="42">
        <v>2032</v>
      </c>
      <c r="J11" s="50"/>
      <c r="K11" s="179"/>
      <c r="L11" s="181"/>
      <c r="M11" s="45"/>
      <c r="N11" s="45">
        <v>0</v>
      </c>
      <c r="O11" s="58">
        <f t="shared" si="1"/>
        <v>677.40000000000009</v>
      </c>
      <c r="S11" s="171">
        <f t="shared" si="3"/>
        <v>2035</v>
      </c>
      <c r="T11" s="172">
        <f t="shared" ref="T11:T17" si="7">E18+T10</f>
        <v>9</v>
      </c>
      <c r="U11" s="171">
        <f>M18+U10</f>
        <v>7</v>
      </c>
    </row>
    <row r="12" spans="1:21" ht="15" thickBot="1">
      <c r="A12" s="42">
        <v>2033</v>
      </c>
      <c r="B12" s="42"/>
      <c r="C12" s="173"/>
      <c r="D12" s="183"/>
      <c r="E12" s="50">
        <f t="shared" si="5"/>
        <v>0</v>
      </c>
      <c r="F12" s="50">
        <v>0</v>
      </c>
      <c r="G12" s="58">
        <f t="shared" si="0"/>
        <v>1129</v>
      </c>
      <c r="I12" s="42">
        <v>2033</v>
      </c>
      <c r="J12" s="42" t="s">
        <v>170</v>
      </c>
      <c r="K12" s="179">
        <v>225.8</v>
      </c>
      <c r="L12" s="183">
        <v>165.89699999999999</v>
      </c>
      <c r="M12" s="45">
        <f t="shared" si="6"/>
        <v>1</v>
      </c>
      <c r="N12" s="45">
        <v>0</v>
      </c>
      <c r="O12" s="58">
        <f t="shared" si="1"/>
        <v>903.2</v>
      </c>
      <c r="S12" s="171">
        <f t="shared" si="3"/>
        <v>2036</v>
      </c>
      <c r="T12" s="172">
        <f t="shared" si="7"/>
        <v>9</v>
      </c>
      <c r="U12" s="171">
        <f t="shared" ref="U12:U17" si="8">M19+U11</f>
        <v>8</v>
      </c>
    </row>
    <row r="13" spans="1:21">
      <c r="A13" s="48">
        <v>2034</v>
      </c>
      <c r="B13" s="36" t="s">
        <v>170</v>
      </c>
      <c r="C13" s="185">
        <f>451.6/2</f>
        <v>225.8</v>
      </c>
      <c r="D13" s="186">
        <f>336.35/2</f>
        <v>168.17500000000001</v>
      </c>
      <c r="E13" s="48">
        <f t="shared" si="5"/>
        <v>1</v>
      </c>
      <c r="F13" s="48">
        <v>0</v>
      </c>
      <c r="G13" s="49">
        <f t="shared" si="0"/>
        <v>1354.8</v>
      </c>
      <c r="I13" s="48">
        <v>2034</v>
      </c>
      <c r="J13" s="36" t="s">
        <v>170</v>
      </c>
      <c r="K13" s="185">
        <v>451.6</v>
      </c>
      <c r="L13" s="186">
        <v>336.35</v>
      </c>
      <c r="M13" s="48">
        <f t="shared" si="6"/>
        <v>2</v>
      </c>
      <c r="N13" s="48">
        <v>0</v>
      </c>
      <c r="O13" s="49">
        <f t="shared" si="1"/>
        <v>1354.8000000000002</v>
      </c>
      <c r="S13" s="171">
        <f t="shared" si="3"/>
        <v>2037</v>
      </c>
      <c r="T13" s="172">
        <f t="shared" si="7"/>
        <v>9</v>
      </c>
      <c r="U13" s="171">
        <f t="shared" si="8"/>
        <v>8</v>
      </c>
    </row>
    <row r="14" spans="1:21">
      <c r="A14" s="48">
        <v>2034</v>
      </c>
      <c r="B14" s="36" t="s">
        <v>171</v>
      </c>
      <c r="C14" s="185">
        <f>225.8*3</f>
        <v>677.40000000000009</v>
      </c>
      <c r="D14" s="186">
        <f>191.303*3</f>
        <v>573.90899999999999</v>
      </c>
      <c r="E14" s="48">
        <f t="shared" si="5"/>
        <v>3.0000000000000004</v>
      </c>
      <c r="F14" s="48">
        <v>0</v>
      </c>
      <c r="G14" s="49">
        <f t="shared" si="0"/>
        <v>2032.2</v>
      </c>
      <c r="I14" s="48">
        <v>2034</v>
      </c>
      <c r="J14" s="36" t="s">
        <v>171</v>
      </c>
      <c r="K14" s="185">
        <v>225.8</v>
      </c>
      <c r="L14" s="186">
        <v>191.303</v>
      </c>
      <c r="M14" s="48">
        <f t="shared" si="6"/>
        <v>1</v>
      </c>
      <c r="N14" s="48">
        <v>0</v>
      </c>
      <c r="O14" s="49">
        <f t="shared" si="1"/>
        <v>1580.6000000000001</v>
      </c>
      <c r="S14" s="171">
        <f t="shared" si="3"/>
        <v>2038</v>
      </c>
      <c r="T14" s="172">
        <f t="shared" si="7"/>
        <v>12</v>
      </c>
      <c r="U14" s="171">
        <f t="shared" si="8"/>
        <v>10</v>
      </c>
    </row>
    <row r="15" spans="1:21">
      <c r="A15" s="48">
        <v>2034</v>
      </c>
      <c r="B15" s="36" t="s">
        <v>172</v>
      </c>
      <c r="C15" s="187">
        <f>-712-710</f>
        <v>-1422</v>
      </c>
      <c r="D15" s="186"/>
      <c r="E15" s="48"/>
      <c r="F15" s="48"/>
      <c r="G15" s="54">
        <f t="shared" si="0"/>
        <v>610.20000000000005</v>
      </c>
      <c r="I15" s="48">
        <v>2034</v>
      </c>
      <c r="J15" s="36" t="s">
        <v>172</v>
      </c>
      <c r="K15" s="187">
        <f>-712-710</f>
        <v>-1422</v>
      </c>
      <c r="L15" s="186"/>
      <c r="M15" s="48"/>
      <c r="N15" s="48"/>
      <c r="O15" s="54">
        <f>K15+O13</f>
        <v>-67.199999999999818</v>
      </c>
      <c r="S15" s="171">
        <f t="shared" si="3"/>
        <v>2039</v>
      </c>
      <c r="T15" s="172">
        <f t="shared" si="7"/>
        <v>12</v>
      </c>
      <c r="U15" s="171">
        <f t="shared" si="8"/>
        <v>10</v>
      </c>
    </row>
    <row r="16" spans="1:21">
      <c r="A16" s="48">
        <v>2034</v>
      </c>
      <c r="B16" s="36" t="s">
        <v>173</v>
      </c>
      <c r="C16" s="188">
        <v>1059.5</v>
      </c>
      <c r="D16" s="53">
        <v>1385.223</v>
      </c>
      <c r="E16" s="48">
        <v>0</v>
      </c>
      <c r="F16" s="48">
        <v>1</v>
      </c>
      <c r="G16" s="54">
        <f t="shared" si="0"/>
        <v>1669.7</v>
      </c>
      <c r="I16" s="48">
        <v>2034</v>
      </c>
      <c r="J16" s="36" t="s">
        <v>173</v>
      </c>
      <c r="K16" s="188">
        <v>1059.5</v>
      </c>
      <c r="L16" s="53">
        <v>1385.223</v>
      </c>
      <c r="M16" s="48">
        <v>0</v>
      </c>
      <c r="N16" s="48">
        <v>1</v>
      </c>
      <c r="O16" s="54">
        <f t="shared" ref="O16:O32" si="9">K16+O15</f>
        <v>992.30000000000018</v>
      </c>
      <c r="S16" s="171">
        <f t="shared" si="3"/>
        <v>2040</v>
      </c>
      <c r="T16" s="172">
        <f t="shared" si="7"/>
        <v>13</v>
      </c>
      <c r="U16" s="171">
        <f t="shared" si="8"/>
        <v>11</v>
      </c>
    </row>
    <row r="17" spans="1:21" ht="15" thickBot="1">
      <c r="A17" s="45">
        <v>2034</v>
      </c>
      <c r="B17" s="175" t="s">
        <v>174</v>
      </c>
      <c r="C17" s="189">
        <v>217.6</v>
      </c>
      <c r="D17" s="181">
        <v>284.49700000000001</v>
      </c>
      <c r="E17" s="45">
        <v>0</v>
      </c>
      <c r="F17" s="45">
        <v>0</v>
      </c>
      <c r="G17" s="190">
        <f t="shared" si="0"/>
        <v>1887.3</v>
      </c>
      <c r="I17" s="45">
        <v>2034</v>
      </c>
      <c r="J17" s="175" t="s">
        <v>174</v>
      </c>
      <c r="K17" s="189">
        <v>217.6</v>
      </c>
      <c r="L17" s="181">
        <v>284.49700000000001</v>
      </c>
      <c r="M17" s="45">
        <v>0</v>
      </c>
      <c r="N17" s="45">
        <v>0</v>
      </c>
      <c r="O17" s="190">
        <f t="shared" si="9"/>
        <v>1209.9000000000001</v>
      </c>
      <c r="S17" s="171">
        <f t="shared" si="3"/>
        <v>2041</v>
      </c>
      <c r="T17" s="172">
        <f t="shared" si="7"/>
        <v>13</v>
      </c>
      <c r="U17" s="172">
        <f t="shared" si="8"/>
        <v>11</v>
      </c>
    </row>
    <row r="18" spans="1:21" ht="15" thickBot="1">
      <c r="A18" s="42">
        <v>2035</v>
      </c>
      <c r="B18" s="55"/>
      <c r="C18" s="56"/>
      <c r="D18" s="57"/>
      <c r="E18" s="39">
        <f t="shared" ref="E18:E24" si="10">C18/$R$3</f>
        <v>0</v>
      </c>
      <c r="F18" s="39">
        <v>0</v>
      </c>
      <c r="G18" s="58">
        <f t="shared" si="0"/>
        <v>1887.3</v>
      </c>
      <c r="I18" s="50">
        <v>2035</v>
      </c>
      <c r="J18" s="55"/>
      <c r="K18" s="179"/>
      <c r="L18" s="57"/>
      <c r="M18" s="45">
        <f t="shared" ref="M18:M24" si="11">K18/$R$3</f>
        <v>0</v>
      </c>
      <c r="N18" s="45">
        <v>0</v>
      </c>
      <c r="O18" s="43">
        <f t="shared" si="9"/>
        <v>1209.9000000000001</v>
      </c>
      <c r="S18" s="171">
        <f t="shared" si="3"/>
        <v>2042</v>
      </c>
      <c r="T18" s="172">
        <f>E26+T17</f>
        <v>13</v>
      </c>
      <c r="U18" s="172">
        <f>M26+U17</f>
        <v>11</v>
      </c>
    </row>
    <row r="19" spans="1:21" ht="15" thickBot="1">
      <c r="A19" s="42">
        <v>2036</v>
      </c>
      <c r="B19" s="55"/>
      <c r="C19" s="56"/>
      <c r="D19" s="57"/>
      <c r="E19" s="39">
        <f t="shared" si="10"/>
        <v>0</v>
      </c>
      <c r="F19" s="39">
        <v>0</v>
      </c>
      <c r="G19" s="58">
        <f t="shared" si="0"/>
        <v>1887.3</v>
      </c>
      <c r="I19" s="45">
        <v>2036</v>
      </c>
      <c r="J19" s="36" t="s">
        <v>171</v>
      </c>
      <c r="K19" s="191">
        <v>225.8</v>
      </c>
      <c r="L19" s="57">
        <v>196.59200000000001</v>
      </c>
      <c r="M19" s="45">
        <f t="shared" si="11"/>
        <v>1</v>
      </c>
      <c r="N19" s="45">
        <v>0</v>
      </c>
      <c r="O19" s="43">
        <f t="shared" si="9"/>
        <v>1435.7</v>
      </c>
      <c r="S19" s="171">
        <f t="shared" si="3"/>
        <v>2043</v>
      </c>
      <c r="T19" s="172">
        <f t="shared" ref="T19:T22" si="12">E29+T18</f>
        <v>13</v>
      </c>
      <c r="U19" s="172">
        <f t="shared" ref="U19:U22" si="13">M29+U18</f>
        <v>11</v>
      </c>
    </row>
    <row r="20" spans="1:21" ht="15" thickBot="1">
      <c r="A20" s="42">
        <v>2037</v>
      </c>
      <c r="B20" s="55"/>
      <c r="C20" s="56"/>
      <c r="D20" s="57"/>
      <c r="E20" s="50">
        <f t="shared" si="10"/>
        <v>0</v>
      </c>
      <c r="F20" s="50">
        <v>0</v>
      </c>
      <c r="G20" s="58">
        <f t="shared" si="0"/>
        <v>1887.3</v>
      </c>
      <c r="I20" s="42">
        <v>2037</v>
      </c>
      <c r="J20" s="55"/>
      <c r="K20" s="179"/>
      <c r="L20" s="57"/>
      <c r="M20" s="50">
        <f t="shared" si="11"/>
        <v>0</v>
      </c>
      <c r="N20" s="50">
        <v>0</v>
      </c>
      <c r="O20" s="43">
        <f t="shared" si="9"/>
        <v>1435.7</v>
      </c>
      <c r="S20" s="171">
        <f t="shared" si="3"/>
        <v>2044</v>
      </c>
      <c r="T20" s="172">
        <f t="shared" si="12"/>
        <v>15</v>
      </c>
      <c r="U20" s="171">
        <f t="shared" si="13"/>
        <v>13</v>
      </c>
    </row>
    <row r="21" spans="1:21" ht="15" thickBot="1">
      <c r="A21" s="42">
        <v>2038</v>
      </c>
      <c r="B21" s="55" t="s">
        <v>171</v>
      </c>
      <c r="C21" s="56">
        <v>677.40000000000009</v>
      </c>
      <c r="D21" s="57">
        <f>404.056/2*3</f>
        <v>606.08399999999995</v>
      </c>
      <c r="E21" s="50">
        <f t="shared" si="10"/>
        <v>3.0000000000000004</v>
      </c>
      <c r="F21" s="50">
        <v>0</v>
      </c>
      <c r="G21" s="58">
        <f t="shared" si="0"/>
        <v>2564.6999999999998</v>
      </c>
      <c r="I21" s="42">
        <v>2038</v>
      </c>
      <c r="J21" s="55" t="s">
        <v>171</v>
      </c>
      <c r="K21" s="56">
        <f>451.6</f>
        <v>451.6</v>
      </c>
      <c r="L21" s="57">
        <f>404.056</f>
        <v>404.05599999999998</v>
      </c>
      <c r="M21" s="50">
        <f t="shared" si="11"/>
        <v>2</v>
      </c>
      <c r="N21" s="50">
        <v>0</v>
      </c>
      <c r="O21" s="43">
        <f t="shared" si="9"/>
        <v>1887.3000000000002</v>
      </c>
      <c r="S21" s="171">
        <f t="shared" si="3"/>
        <v>2045</v>
      </c>
      <c r="T21" s="172">
        <f t="shared" si="12"/>
        <v>16</v>
      </c>
      <c r="U21" s="171">
        <f t="shared" si="13"/>
        <v>14</v>
      </c>
    </row>
    <row r="22" spans="1:21" ht="15" thickBot="1">
      <c r="A22" s="47">
        <v>2039</v>
      </c>
      <c r="B22" s="192"/>
      <c r="C22" s="193"/>
      <c r="D22" s="194"/>
      <c r="E22" s="39">
        <f t="shared" si="10"/>
        <v>0</v>
      </c>
      <c r="F22" s="39">
        <v>0</v>
      </c>
      <c r="G22" s="58">
        <f t="shared" si="0"/>
        <v>2564.6999999999998</v>
      </c>
      <c r="I22" s="42">
        <v>2039</v>
      </c>
      <c r="J22" s="55"/>
      <c r="K22" s="195"/>
      <c r="L22" s="196"/>
      <c r="M22" s="45">
        <f t="shared" si="11"/>
        <v>0</v>
      </c>
      <c r="N22" s="45">
        <v>0</v>
      </c>
      <c r="O22" s="58">
        <f t="shared" si="9"/>
        <v>1887.3000000000002</v>
      </c>
      <c r="S22" s="171">
        <v>2046</v>
      </c>
      <c r="T22" s="172">
        <f t="shared" si="12"/>
        <v>16</v>
      </c>
      <c r="U22" s="171">
        <f t="shared" si="13"/>
        <v>15</v>
      </c>
    </row>
    <row r="23" spans="1:21" ht="15" thickBot="1">
      <c r="A23" s="42">
        <v>2040</v>
      </c>
      <c r="B23" s="55" t="s">
        <v>171</v>
      </c>
      <c r="C23" s="56">
        <v>225.8</v>
      </c>
      <c r="D23" s="196">
        <v>207.614</v>
      </c>
      <c r="E23" s="50">
        <f t="shared" si="10"/>
        <v>1</v>
      </c>
      <c r="F23" s="50">
        <v>0</v>
      </c>
      <c r="G23" s="58">
        <f t="shared" si="0"/>
        <v>2790.5</v>
      </c>
      <c r="I23" s="47">
        <v>2040</v>
      </c>
      <c r="J23" s="55" t="s">
        <v>171</v>
      </c>
      <c r="K23" s="195">
        <v>225.8</v>
      </c>
      <c r="L23" s="196">
        <v>207.614</v>
      </c>
      <c r="M23" s="45">
        <f t="shared" si="11"/>
        <v>1</v>
      </c>
      <c r="N23" s="45">
        <v>0</v>
      </c>
      <c r="O23" s="190">
        <f t="shared" si="9"/>
        <v>2113.1000000000004</v>
      </c>
    </row>
    <row r="24" spans="1:21" ht="15" thickBot="1">
      <c r="A24" s="42">
        <v>2041</v>
      </c>
      <c r="B24" s="50"/>
      <c r="C24" s="173"/>
      <c r="D24" s="183"/>
      <c r="E24" s="50">
        <f t="shared" si="10"/>
        <v>0</v>
      </c>
      <c r="F24" s="50">
        <v>0</v>
      </c>
      <c r="G24" s="58">
        <f t="shared" si="0"/>
        <v>2790.5</v>
      </c>
      <c r="I24" s="42">
        <v>2041</v>
      </c>
      <c r="J24" s="55"/>
      <c r="K24" s="195"/>
      <c r="L24" s="194"/>
      <c r="M24" s="45">
        <f t="shared" si="11"/>
        <v>0</v>
      </c>
      <c r="N24" s="45">
        <v>0</v>
      </c>
      <c r="O24" s="58">
        <f t="shared" si="9"/>
        <v>2113.1000000000004</v>
      </c>
    </row>
    <row r="25" spans="1:21">
      <c r="A25" s="51">
        <v>2042</v>
      </c>
      <c r="B25" s="48" t="s">
        <v>175</v>
      </c>
      <c r="C25" s="84">
        <f>-498-505</f>
        <v>-1003</v>
      </c>
      <c r="D25" s="53"/>
      <c r="E25" s="48"/>
      <c r="F25" s="48"/>
      <c r="G25" s="54">
        <f t="shared" si="0"/>
        <v>1787.5</v>
      </c>
      <c r="I25" s="197">
        <v>2042</v>
      </c>
      <c r="J25" s="39" t="s">
        <v>175</v>
      </c>
      <c r="K25" s="168">
        <f>-498-505</f>
        <v>-1003</v>
      </c>
      <c r="L25" s="177"/>
      <c r="M25" s="48"/>
      <c r="N25" s="48"/>
      <c r="O25" s="54">
        <f t="shared" si="9"/>
        <v>1110.1000000000004</v>
      </c>
    </row>
    <row r="26" spans="1:21">
      <c r="A26" s="51">
        <v>2042</v>
      </c>
      <c r="B26" s="48"/>
      <c r="C26" s="52"/>
      <c r="D26" s="53"/>
      <c r="E26" s="198"/>
      <c r="F26" s="48"/>
      <c r="G26" s="54">
        <f t="shared" si="0"/>
        <v>1787.5</v>
      </c>
      <c r="I26" s="51">
        <v>2042</v>
      </c>
      <c r="J26" s="48"/>
      <c r="K26" s="52"/>
      <c r="L26" s="53"/>
      <c r="M26" s="48">
        <f>K26/$R$3</f>
        <v>0</v>
      </c>
      <c r="N26" s="48">
        <v>0</v>
      </c>
      <c r="O26" s="54">
        <f t="shared" si="9"/>
        <v>1110.1000000000004</v>
      </c>
    </row>
    <row r="27" spans="1:21">
      <c r="A27" s="51">
        <v>2042</v>
      </c>
      <c r="B27" s="48" t="s">
        <v>176</v>
      </c>
      <c r="C27" s="199">
        <v>1059.5</v>
      </c>
      <c r="D27" s="186">
        <v>1519.9549999999999</v>
      </c>
      <c r="E27" s="48"/>
      <c r="F27" s="48">
        <v>1</v>
      </c>
      <c r="G27" s="54">
        <f t="shared" si="0"/>
        <v>2847</v>
      </c>
      <c r="I27" s="51">
        <v>2042</v>
      </c>
      <c r="J27" s="48" t="s">
        <v>176</v>
      </c>
      <c r="K27" s="199">
        <v>1059.5</v>
      </c>
      <c r="L27" s="186">
        <v>1519.9549999999999</v>
      </c>
      <c r="M27" s="48"/>
      <c r="N27" s="48">
        <v>1</v>
      </c>
      <c r="O27" s="54">
        <f t="shared" si="9"/>
        <v>2169.6000000000004</v>
      </c>
    </row>
    <row r="28" spans="1:21" ht="15" thickBot="1">
      <c r="A28" s="59">
        <v>2042</v>
      </c>
      <c r="B28" s="45" t="s">
        <v>177</v>
      </c>
      <c r="C28" s="199">
        <v>217.6</v>
      </c>
      <c r="D28" s="186">
        <v>312.16800000000001</v>
      </c>
      <c r="E28" s="45"/>
      <c r="F28" s="45"/>
      <c r="G28" s="54">
        <f t="shared" si="0"/>
        <v>3064.6</v>
      </c>
      <c r="I28" s="59">
        <v>2042</v>
      </c>
      <c r="J28" s="45" t="s">
        <v>177</v>
      </c>
      <c r="K28" s="199">
        <v>217.6</v>
      </c>
      <c r="L28" s="186">
        <v>312.16800000000001</v>
      </c>
      <c r="M28" s="45"/>
      <c r="N28" s="45"/>
      <c r="O28" s="54">
        <f t="shared" si="9"/>
        <v>2387.2000000000003</v>
      </c>
    </row>
    <row r="29" spans="1:21" ht="15" thickBot="1">
      <c r="A29" s="42">
        <v>2043</v>
      </c>
      <c r="B29" s="55"/>
      <c r="C29" s="56"/>
      <c r="D29" s="57"/>
      <c r="E29" s="50">
        <f t="shared" ref="E29:E32" si="14">C29/$R$3</f>
        <v>0</v>
      </c>
      <c r="F29" s="50">
        <v>0</v>
      </c>
      <c r="G29" s="58">
        <f t="shared" si="0"/>
        <v>3064.6</v>
      </c>
      <c r="I29" s="42">
        <v>2043</v>
      </c>
      <c r="J29" s="55"/>
      <c r="K29" s="56"/>
      <c r="L29" s="57"/>
      <c r="M29" s="50">
        <f t="shared" ref="M29:M32" si="15">K29/$R$3</f>
        <v>0</v>
      </c>
      <c r="N29" s="50">
        <v>0</v>
      </c>
      <c r="O29" s="58">
        <f t="shared" si="9"/>
        <v>2387.2000000000003</v>
      </c>
    </row>
    <row r="30" spans="1:21" ht="15" thickBot="1">
      <c r="A30" s="42">
        <v>2044</v>
      </c>
      <c r="B30" s="55" t="s">
        <v>171</v>
      </c>
      <c r="C30" s="56">
        <v>451.6</v>
      </c>
      <c r="D30" s="57">
        <v>438.50599999999997</v>
      </c>
      <c r="E30" s="50">
        <f t="shared" si="14"/>
        <v>2</v>
      </c>
      <c r="F30" s="50">
        <v>0</v>
      </c>
      <c r="G30" s="58">
        <f t="shared" si="0"/>
        <v>3516.2</v>
      </c>
      <c r="I30" s="42">
        <v>2044</v>
      </c>
      <c r="J30" s="55" t="s">
        <v>171</v>
      </c>
      <c r="K30" s="56">
        <v>451.6</v>
      </c>
      <c r="L30" s="57">
        <v>438.50599999999997</v>
      </c>
      <c r="M30" s="50">
        <f t="shared" si="15"/>
        <v>2</v>
      </c>
      <c r="N30" s="50">
        <v>0</v>
      </c>
      <c r="O30" s="58">
        <f t="shared" si="9"/>
        <v>2838.8</v>
      </c>
    </row>
    <row r="31" spans="1:21" ht="15" thickBot="1">
      <c r="A31" s="59">
        <v>2045</v>
      </c>
      <c r="B31" s="55" t="s">
        <v>171</v>
      </c>
      <c r="C31" s="56">
        <v>225.8</v>
      </c>
      <c r="D31" s="57">
        <v>222.26300000000001</v>
      </c>
      <c r="E31" s="50">
        <f t="shared" si="14"/>
        <v>1</v>
      </c>
      <c r="F31" s="50">
        <v>0</v>
      </c>
      <c r="G31" s="58">
        <f t="shared" si="0"/>
        <v>3742</v>
      </c>
      <c r="I31" s="59">
        <v>2045</v>
      </c>
      <c r="J31" s="55" t="s">
        <v>171</v>
      </c>
      <c r="K31" s="56">
        <v>225.8</v>
      </c>
      <c r="L31" s="57">
        <v>222.26300000000001</v>
      </c>
      <c r="M31" s="50">
        <f t="shared" si="15"/>
        <v>1</v>
      </c>
      <c r="N31" s="50">
        <v>0</v>
      </c>
      <c r="O31" s="58">
        <f t="shared" si="9"/>
        <v>3064.6000000000004</v>
      </c>
    </row>
    <row r="32" spans="1:21" ht="15" thickBot="1">
      <c r="A32" s="59">
        <v>2046</v>
      </c>
      <c r="B32" s="60"/>
      <c r="C32" s="61"/>
      <c r="D32" s="57"/>
      <c r="E32" s="39">
        <f t="shared" si="14"/>
        <v>0</v>
      </c>
      <c r="F32" s="39">
        <v>0</v>
      </c>
      <c r="G32" s="58">
        <f t="shared" si="0"/>
        <v>3742</v>
      </c>
      <c r="I32" s="59">
        <v>2046</v>
      </c>
      <c r="J32" s="55" t="s">
        <v>171</v>
      </c>
      <c r="K32" s="56">
        <f>677.4/3</f>
        <v>225.79999999999998</v>
      </c>
      <c r="L32" s="57">
        <v>225.315</v>
      </c>
      <c r="M32" s="45">
        <f t="shared" si="15"/>
        <v>0.99999999999999989</v>
      </c>
      <c r="N32" s="45">
        <v>0</v>
      </c>
      <c r="O32" s="58">
        <f t="shared" si="9"/>
        <v>3290.4000000000005</v>
      </c>
      <c r="P32" s="23"/>
    </row>
    <row r="33" spans="1:15" ht="15" thickBot="1">
      <c r="A33" s="42"/>
      <c r="B33" s="45"/>
      <c r="C33" s="174">
        <f>SUM(C3:C32)</f>
        <v>3742</v>
      </c>
      <c r="D33" s="174"/>
      <c r="E33" s="50">
        <f>SUM(E6:E32)</f>
        <v>16</v>
      </c>
      <c r="F33" s="50">
        <f>SUM(F6:F31)</f>
        <v>2</v>
      </c>
      <c r="G33" s="200"/>
      <c r="I33" s="42"/>
      <c r="J33" s="45"/>
      <c r="K33" s="174">
        <f>SUM(K3:K32)</f>
        <v>3516.2000000000003</v>
      </c>
      <c r="L33" s="174"/>
      <c r="M33" s="50">
        <f>SUM(M6:M32)</f>
        <v>15</v>
      </c>
      <c r="N33" s="50">
        <f>SUM(N6:N31)</f>
        <v>2</v>
      </c>
      <c r="O33" s="200"/>
    </row>
    <row r="34" spans="1:15">
      <c r="C34" s="16">
        <f>C33-C25-C15</f>
        <v>6167</v>
      </c>
      <c r="G34" s="201"/>
      <c r="K34" s="16">
        <f>K33-K25-K15</f>
        <v>5941.2000000000007</v>
      </c>
      <c r="O34" s="201"/>
    </row>
  </sheetData>
  <mergeCells count="4">
    <mergeCell ref="A1:G1"/>
    <mergeCell ref="I1:O1"/>
    <mergeCell ref="T1:T2"/>
    <mergeCell ref="U1:U2"/>
  </mergeCells>
  <pageMargins left="0.7" right="0.7" top="0.75" bottom="0.75" header="0.3" footer="0.3"/>
  <pageSetup paperSize="5" scale="67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L124"/>
  <sheetViews>
    <sheetView topLeftCell="T100" workbookViewId="0">
      <selection activeCell="Z112" sqref="Z112"/>
    </sheetView>
  </sheetViews>
  <sheetFormatPr defaultColWidth="8.90625" defaultRowHeight="14.5"/>
  <cols>
    <col min="1" max="1" width="27.1796875" style="6" bestFit="1" customWidth="1"/>
    <col min="2" max="7" width="7.1796875" style="6" bestFit="1" customWidth="1"/>
    <col min="8" max="33" width="8.36328125" style="6" bestFit="1" customWidth="1"/>
    <col min="34" max="34" width="8.36328125" style="6" customWidth="1"/>
    <col min="35" max="36" width="8.36328125" style="6" bestFit="1" customWidth="1"/>
    <col min="37" max="37" width="23.453125" style="6" bestFit="1" customWidth="1"/>
    <col min="38" max="16384" width="8.90625" style="6"/>
  </cols>
  <sheetData>
    <row r="1" spans="1:36" s="152" customFormat="1">
      <c r="A1" s="152" t="s">
        <v>160</v>
      </c>
      <c r="B1" s="152">
        <v>2020</v>
      </c>
      <c r="C1" s="152">
        <f t="shared" ref="C1:AI1" si="0">B1+1</f>
        <v>2021</v>
      </c>
      <c r="D1" s="152">
        <f t="shared" si="0"/>
        <v>2022</v>
      </c>
      <c r="E1" s="152">
        <f t="shared" si="0"/>
        <v>2023</v>
      </c>
      <c r="F1" s="152">
        <f t="shared" si="0"/>
        <v>2024</v>
      </c>
      <c r="G1" s="152">
        <f t="shared" si="0"/>
        <v>2025</v>
      </c>
      <c r="H1" s="152">
        <f t="shared" si="0"/>
        <v>2026</v>
      </c>
      <c r="I1" s="152">
        <f t="shared" si="0"/>
        <v>2027</v>
      </c>
      <c r="J1" s="152">
        <f t="shared" si="0"/>
        <v>2028</v>
      </c>
      <c r="K1" s="152">
        <f t="shared" si="0"/>
        <v>2029</v>
      </c>
      <c r="L1" s="152">
        <f t="shared" si="0"/>
        <v>2030</v>
      </c>
      <c r="M1" s="152">
        <f t="shared" si="0"/>
        <v>2031</v>
      </c>
      <c r="N1" s="152">
        <f t="shared" si="0"/>
        <v>2032</v>
      </c>
      <c r="O1" s="152">
        <f t="shared" si="0"/>
        <v>2033</v>
      </c>
      <c r="P1" s="152">
        <f t="shared" si="0"/>
        <v>2034</v>
      </c>
      <c r="Q1" s="152">
        <f t="shared" si="0"/>
        <v>2035</v>
      </c>
      <c r="R1" s="152">
        <f t="shared" si="0"/>
        <v>2036</v>
      </c>
      <c r="S1" s="152">
        <f t="shared" si="0"/>
        <v>2037</v>
      </c>
      <c r="T1" s="152">
        <f t="shared" si="0"/>
        <v>2038</v>
      </c>
      <c r="U1" s="152">
        <f t="shared" si="0"/>
        <v>2039</v>
      </c>
      <c r="V1" s="152">
        <f t="shared" si="0"/>
        <v>2040</v>
      </c>
      <c r="W1" s="152">
        <f t="shared" si="0"/>
        <v>2041</v>
      </c>
      <c r="X1" s="152">
        <f t="shared" si="0"/>
        <v>2042</v>
      </c>
      <c r="Y1" s="152">
        <f t="shared" si="0"/>
        <v>2043</v>
      </c>
      <c r="Z1" s="152">
        <f t="shared" si="0"/>
        <v>2044</v>
      </c>
      <c r="AA1" s="152">
        <f t="shared" si="0"/>
        <v>2045</v>
      </c>
      <c r="AB1" s="152">
        <f t="shared" si="0"/>
        <v>2046</v>
      </c>
      <c r="AC1" s="209">
        <f t="shared" si="0"/>
        <v>2047</v>
      </c>
      <c r="AD1" s="210">
        <f t="shared" si="0"/>
        <v>2048</v>
      </c>
      <c r="AE1" s="152">
        <f t="shared" si="0"/>
        <v>2049</v>
      </c>
      <c r="AF1" s="152">
        <f t="shared" si="0"/>
        <v>2050</v>
      </c>
      <c r="AG1" s="152">
        <f t="shared" si="0"/>
        <v>2051</v>
      </c>
      <c r="AH1" s="152">
        <f t="shared" si="0"/>
        <v>2052</v>
      </c>
      <c r="AI1" s="152">
        <f t="shared" si="0"/>
        <v>2053</v>
      </c>
    </row>
    <row r="2" spans="1:36">
      <c r="A2" s="6" t="s">
        <v>134</v>
      </c>
      <c r="B2" s="16">
        <f>Hamilton!E$10/1000+Columbia!E$10/1000+Lake_Placid!E$10/1000+Trenton!E$10/1000+Debary!E$10/1000+Santa_Fe!E$10/1000+Twin_Rivers!E$10/1000+Duette!E$10/1000+Charlie_Creek!E$10/1000+Archer!E$10/1000</f>
        <v>65.260450182206341</v>
      </c>
      <c r="C2" s="16">
        <f>Hamilton!F$10/1000+Columbia!F$10/1000+Lake_Placid!F$10/1000+Trenton!F$10/1000+Debary!F$10/1000+Santa_Fe!F$10/1000+Twin_Rivers!F$10/1000+Duette!F$10/1000+Charlie_Creek!F$10/1000+Archer!F$10/1000</f>
        <v>102.08062069466152</v>
      </c>
      <c r="D2" s="16">
        <f>Hamilton!G$10/1000+Columbia!G$10/1000+Lake_Placid!G$10/1000+Trenton!G$10/1000+Debary!G$10/1000+Santa_Fe!G$10/1000+Twin_Rivers!G$10/1000+Duette!G$10/1000+Charlie_Creek!G$10/1000+Archer!G$10/1000</f>
        <v>140.1396490741636</v>
      </c>
      <c r="E2" s="16">
        <f>Hamilton!H$10/1000+Columbia!H$10/1000+Lake_Placid!H$10/1000+Trenton!H$10/1000+Debary!H$10/1000+Santa_Fe!H$10/1000+Twin_Rivers!H$10/1000+Duette!H$10/1000+Charlie_Creek!H$10/1000+Archer!H$10/1000</f>
        <v>134.04030278914058</v>
      </c>
      <c r="F2" s="16">
        <f>Hamilton!I$10/1000+Columbia!I$10/1000+Lake_Placid!I$10/1000+Trenton!I$10/1000+Debary!I$10/1000+Santa_Fe!I$10/1000+Twin_Rivers!I$10/1000+Duette!I$10/1000+Charlie_Creek!I$10/1000+Archer!I$10/1000</f>
        <v>128.64619422858411</v>
      </c>
      <c r="G2" s="16">
        <f>Hamilton!J$10/1000+Columbia!J$10/1000+Lake_Placid!J$10/1000+Trenton!J$10/1000+Debary!J$10/1000+Santa_Fe!J$10/1000+Twin_Rivers!J$10/1000+Duette!J$10/1000+Charlie_Creek!J$10/1000+Archer!J$10/1000</f>
        <v>120.64800562725537</v>
      </c>
      <c r="H2" s="16">
        <f>Hamilton!K$10/1000+Columbia!K$10/1000+Lake_Placid!K$10/1000+Trenton!K$10/1000+Debary!K$10/1000+Santa_Fe!K$10/1000+Twin_Rivers!K$10/1000+Duette!K$10/1000+Charlie_Creek!K$10/1000+Archer!K$10/1000</f>
        <v>106.55728151377239</v>
      </c>
      <c r="I2" s="16">
        <f>Hamilton!L$10/1000+Columbia!L$10/1000+Lake_Placid!L$10/1000+Trenton!L$10/1000+Debary!L$10/1000+Santa_Fe!L$10/1000+Twin_Rivers!L$10/1000+Duette!L$10/1000+Charlie_Creek!L$10/1000+Archer!L$10/1000</f>
        <v>103.56659689744981</v>
      </c>
      <c r="J2" s="16">
        <f>Hamilton!M$10/1000+Columbia!M$10/1000+Lake_Placid!M$10/1000+Trenton!M$10/1000+Debary!M$10/1000+Santa_Fe!M$10/1000+Twin_Rivers!M$10/1000+Duette!M$10/1000+Charlie_Creek!M$10/1000+Archer!M$10/1000</f>
        <v>100.82687797199034</v>
      </c>
      <c r="K2" s="16">
        <f>Hamilton!N$10/1000+Columbia!N$10/1000+Lake_Placid!N$10/1000+Trenton!N$10/1000+Debary!N$10/1000+Santa_Fe!N$10/1000+Twin_Rivers!N$10/1000+Duette!N$10/1000+Charlie_Creek!N$10/1000+Archer!N$10/1000</f>
        <v>98.309899435961768</v>
      </c>
      <c r="L2" s="16">
        <f>Hamilton!O$10/1000+Columbia!O$10/1000+Lake_Placid!O$10/1000+Trenton!O$10/1000+Debary!O$10/1000+Santa_Fe!O$10/1000+Twin_Rivers!O$10/1000+Duette!O$10/1000+Charlie_Creek!O$10/1000+Archer!O$10/1000</f>
        <v>95.755033583931194</v>
      </c>
      <c r="M2" s="16">
        <f>Hamilton!P$10/1000+Columbia!P$10/1000+Lake_Placid!P$10/1000+Trenton!P$10/1000+Debary!P$10/1000+Santa_Fe!P$10/1000+Twin_Rivers!P$10/1000+Duette!P$10/1000+Charlie_Creek!P$10/1000+Archer!P$10/1000</f>
        <v>93.237225357173344</v>
      </c>
      <c r="N2" s="16">
        <f>Hamilton!Q$10/1000+Columbia!Q$10/1000+Lake_Placid!Q$10/1000+Trenton!Q$10/1000+Debary!Q$10/1000+Santa_Fe!Q$10/1000+Twin_Rivers!Q$10/1000+Duette!Q$10/1000+Charlie_Creek!Q$10/1000+Archer!Q$10/1000</f>
        <v>90.726054168103147</v>
      </c>
      <c r="O2" s="16">
        <f>Hamilton!R$10/1000+Columbia!R$10/1000+Lake_Placid!R$10/1000+Trenton!R$10/1000+Debary!R$10/1000+Santa_Fe!R$10/1000+Twin_Rivers!R$10/1000+Duette!R$10/1000+Charlie_Creek!R$10/1000+Archer!R$10/1000</f>
        <v>88.301601526088845</v>
      </c>
      <c r="P2" s="16">
        <f>Hamilton!S$10/1000+Columbia!S$10/1000+Lake_Placid!S$10/1000+Trenton!S$10/1000+Debary!S$10/1000+Santa_Fe!S$10/1000+Twin_Rivers!S$10/1000+Duette!S$10/1000+Charlie_Creek!S$10/1000+Archer!S$10/1000</f>
        <v>85.76397260337508</v>
      </c>
      <c r="Q2" s="16">
        <f>Hamilton!T$10/1000+Columbia!T$10/1000+Lake_Placid!T$10/1000+Trenton!T$10/1000+Debary!T$10/1000+Santa_Fe!T$10/1000+Twin_Rivers!T$10/1000+Duette!T$10/1000+Charlie_Creek!T$10/1000+Archer!T$10/1000</f>
        <v>83.238224479776378</v>
      </c>
      <c r="R2" s="16">
        <f>Hamilton!U$10/1000+Columbia!U$10/1000+Lake_Placid!U$10/1000+Trenton!U$10/1000+Debary!U$10/1000+Santa_Fe!U$10/1000+Twin_Rivers!U$10/1000+Duette!U$10/1000+Charlie_Creek!U$10/1000+Archer!U$10/1000</f>
        <v>80.598791337134827</v>
      </c>
      <c r="S2" s="16">
        <f>Hamilton!V$10/1000+Columbia!V$10/1000+Lake_Placid!V$10/1000+Trenton!V$10/1000+Debary!V$10/1000+Santa_Fe!V$10/1000+Twin_Rivers!V$10/1000+Duette!V$10/1000+Charlie_Creek!V$10/1000+Archer!V$10/1000</f>
        <v>78.071339778696768</v>
      </c>
      <c r="T2" s="16">
        <f>Hamilton!W$10/1000+Columbia!W$10/1000+Lake_Placid!W$10/1000+Trenton!W$10/1000+Debary!W$10/1000+Santa_Fe!W$10/1000+Twin_Rivers!W$10/1000+Duette!W$10/1000+Charlie_Creek!W$10/1000+Archer!W$10/1000</f>
        <v>78.09258300930594</v>
      </c>
      <c r="U2" s="16">
        <f>Hamilton!X$10/1000+Columbia!X$10/1000+Lake_Placid!X$10/1000+Trenton!X$10/1000+Debary!X$10/1000+Santa_Fe!X$10/1000+Twin_Rivers!X$10/1000+Duette!X$10/1000+Charlie_Creek!X$10/1000+Archer!X$10/1000</f>
        <v>77.049132064444734</v>
      </c>
      <c r="V2" s="16">
        <f>Hamilton!Y$10/1000+Columbia!Y$10/1000+Lake_Placid!Y$10/1000+Trenton!Y$10/1000+Debary!Y$10/1000+Santa_Fe!Y$10/1000+Twin_Rivers!Y$10/1000+Duette!Y$10/1000+Charlie_Creek!Y$10/1000+Archer!Y$10/1000</f>
        <v>74.343785062889211</v>
      </c>
      <c r="W2" s="16">
        <f>Hamilton!Z$10/1000+Columbia!Z$10/1000+Lake_Placid!Z$10/1000+Trenton!Z$10/1000+Debary!Z$10/1000+Santa_Fe!Z$10/1000+Twin_Rivers!Z$10/1000+Duette!Z$10/1000+Charlie_Creek!Z$10/1000+Archer!Z$10/1000</f>
        <v>71.700748538238017</v>
      </c>
      <c r="X2" s="16">
        <f>Hamilton!AA$10/1000+Columbia!AA$10/1000+Lake_Placid!AA$10/1000+Trenton!AA$10/1000+Debary!AA$10/1000+Santa_Fe!AA$10/1000+Twin_Rivers!AA$10/1000+Duette!AA$10/1000+Charlie_Creek!AA$10/1000+Archer!AA$10/1000</f>
        <v>69.274426053501713</v>
      </c>
      <c r="Y2" s="16">
        <f>Hamilton!AB$10/1000+Columbia!AB$10/1000+Lake_Placid!AB$10/1000+Trenton!AB$10/1000+Debary!AB$10/1000+Santa_Fe!AB$10/1000+Twin_Rivers!AB$10/1000+Duette!AB$10/1000+Charlie_Creek!AB$10/1000+Archer!AB$10/1000</f>
        <v>66.777509599182792</v>
      </c>
      <c r="Z2" s="16">
        <f>Hamilton!AC$10/1000+Columbia!AC$10/1000+Lake_Placid!AC$10/1000+Trenton!AC$10/1000+Debary!AC$10/1000+Santa_Fe!AC$10/1000+Twin_Rivers!AC$10/1000+Duette!AC$10/1000+Charlie_Creek!AC$10/1000+Archer!AC$10/1000</f>
        <v>64.511486072982294</v>
      </c>
      <c r="AA2" s="16">
        <f>Hamilton!AD$10/1000+Columbia!AD$10/1000+Lake_Placid!AD$10/1000+Trenton!AD$10/1000+Debary!AD$10/1000+Santa_Fe!AD$10/1000+Twin_Rivers!AD$10/1000+Duette!AD$10/1000+Charlie_Creek!AD$10/1000+Archer!AD$10/1000</f>
        <v>62.123479086747679</v>
      </c>
      <c r="AB2" s="16">
        <f>Hamilton!AE$10/1000+Columbia!AE$10/1000+Lake_Placid!AE$10/1000+Trenton!AE$10/1000+Debary!AE$10/1000+Santa_Fe!AE$10/1000+Twin_Rivers!AE$10/1000+Duette!AE$10/1000+Charlie_Creek!AE$10/1000+Archer!AE$10/1000</f>
        <v>59.912845166921755</v>
      </c>
      <c r="AC2" s="16">
        <f>Hamilton!AF$10/1000+Columbia!AF$10/1000+Lake_Placid!AF$10/1000+Trenton!AF$10/1000+Debary!AF$10/1000+Santa_Fe!AF$10/1000+Twin_Rivers!AF$10/1000+Duette!AF$10/1000+Charlie_Creek!AF$10/1000+Archer!AF$10/1000</f>
        <v>57.650395769136487</v>
      </c>
      <c r="AD2" s="16">
        <f>Hamilton!AG$10/1000+Columbia!AG$10/1000+Lake_Placid!AG$10/1000+Trenton!AG$10/1000+Debary!AG$10/1000+Santa_Fe!AG$10/1000+Twin_Rivers!AG$10/1000+Duette!AG$10/1000+Charlie_Creek!AG$10/1000+Archer!AG$10/1000</f>
        <v>57.703514450685773</v>
      </c>
      <c r="AE2" s="16">
        <f>Hamilton!AH$10/1000+Columbia!AH$10/1000+Lake_Placid!AH$10/1000+Trenton!AH$10/1000+Debary!AH$10/1000+Santa_Fe!AH$10/1000+Twin_Rivers!AH$10/1000+Duette!AH$10/1000+Charlie_Creek!AH$10/1000+Archer!AH$10/1000</f>
        <v>52.145094362648948</v>
      </c>
      <c r="AF2" s="16">
        <f>Hamilton!AI$10/1000+Columbia!AI$10/1000+Lake_Placid!AI$10/1000+Trenton!AI$10/1000+Debary!AI$10/1000+Santa_Fe!AI$10/1000+Twin_Rivers!AI$10/1000+Duette!AI$10/1000+Charlie_Creek!AI$10/1000+Archer!AI$10/1000</f>
        <v>37.078414464395848</v>
      </c>
      <c r="AG2" s="16">
        <f>Hamilton!AJ$10/1000+Columbia!AJ$10/1000+Lake_Placid!AJ$10/1000+Trenton!AJ$10/1000+Debary!AJ$10/1000+Santa_Fe!AJ$10/1000+Twin_Rivers!AJ$10/1000+Duette!AJ$10/1000+Charlie_Creek!AJ$10/1000+Archer!AJ$10/1000</f>
        <v>21.622436034797943</v>
      </c>
      <c r="AH2" s="16">
        <f>Hamilton!AK$10/1000+Columbia!AK$10/1000+Lake_Placid!AK$10/1000+Trenton!AK$10/1000+Debary!AK$10/1000+Santa_Fe!AK$10/1000+Twin_Rivers!AK$10/1000+Duette!AK$10/1000+Charlie_Creek!AK$10/1000+Archer!AK$10/1000</f>
        <v>3.3113138854625253</v>
      </c>
      <c r="AI2" s="16">
        <f>Hamilton!AL$10/1000+Columbia!AL$10/1000+Lake_Placid!AL$10/1000+Trenton!AL$10/1000+Debary!AL$10/1000+Santa_Fe!AL$10/1000+Twin_Rivers!AL$10/1000+Duette!AL$10/1000+Charlie_Creek!AL$10/1000+Archer!AL$10/1000</f>
        <v>3.1867270656465223</v>
      </c>
      <c r="AJ2" s="16"/>
    </row>
    <row r="3" spans="1:36">
      <c r="A3" s="6" t="s">
        <v>135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19"/>
      <c r="AD3" s="211"/>
      <c r="AE3" s="16"/>
      <c r="AF3" s="16"/>
      <c r="AG3" s="16"/>
      <c r="AH3" s="16"/>
      <c r="AI3" s="16"/>
      <c r="AJ3" s="16"/>
    </row>
    <row r="4" spans="1:36">
      <c r="A4" s="6" t="s">
        <v>60</v>
      </c>
      <c r="B4" s="16">
        <f>('[9]2019Fall_SoB700_GENCAP_2048'!F$18+'[9]2019Fall_SoB700_TRANSCAP_2048'!F$18)/1000</f>
        <v>0</v>
      </c>
      <c r="C4" s="16">
        <f>('[9]2019Fall_SoB700_GENCAP_2048'!G$18+'[9]2019Fall_SoB700_TRANSCAP_2048'!G$18)/1000</f>
        <v>0</v>
      </c>
      <c r="D4" s="16">
        <f>('[9]2019Fall_SoB700_GENCAP_2048'!H$18+'[9]2019Fall_SoB700_TRANSCAP_2048'!H$18)/1000</f>
        <v>0</v>
      </c>
      <c r="E4" s="16">
        <f>('[9]2019Fall_SoB700_GENCAP_2048'!I$18+'[9]2019Fall_SoB700_TRANSCAP_2048'!I$18)/1000</f>
        <v>0</v>
      </c>
      <c r="F4" s="16">
        <f>('[9]2019Fall_SoB700_GENCAP_2048'!J$18+'[9]2019Fall_SoB700_TRANSCAP_2048'!J$18)/1000</f>
        <v>0</v>
      </c>
      <c r="G4" s="16">
        <f>('[9]2019Fall_SoB700_GENCAP_2048'!K$18+'[9]2019Fall_SoB700_TRANSCAP_2048'!K$18)/1000</f>
        <v>0</v>
      </c>
      <c r="H4" s="16">
        <f>('[9]2019Fall_SoB700_GENCAP_2048'!L$18+'[9]2019Fall_SoB700_TRANSCAP_2048'!L$18)/1000</f>
        <v>0</v>
      </c>
      <c r="I4" s="16">
        <f>('[9]2019Fall_SoB700_GENCAP_2048'!M$18+'[9]2019Fall_SoB700_TRANSCAP_2048'!M$18)/1000</f>
        <v>21.434177450472909</v>
      </c>
      <c r="J4" s="16">
        <f>('[9]2019Fall_SoB700_GENCAP_2048'!N$18+'[9]2019Fall_SoB700_TRANSCAP_2048'!N$18)/1000</f>
        <v>46.783275595120465</v>
      </c>
      <c r="K4" s="16">
        <f>('[9]2019Fall_SoB700_GENCAP_2048'!O$18+'[9]2019Fall_SoB700_TRANSCAP_2048'!O$18)/1000</f>
        <v>53.031853500100247</v>
      </c>
      <c r="L4" s="16">
        <f>('[9]2019Fall_SoB700_GENCAP_2048'!P$18+'[9]2019Fall_SoB700_TRANSCAP_2048'!P$18)/1000</f>
        <v>62.602768641587524</v>
      </c>
      <c r="M4" s="16">
        <f>('[9]2019Fall_SoB700_GENCAP_2048'!Q$18+'[9]2019Fall_SoB700_TRANSCAP_2048'!Q$18)/1000</f>
        <v>68.630002208999557</v>
      </c>
      <c r="N4" s="16">
        <f>('[9]2019Fall_SoB700_GENCAP_2048'!R$18+'[9]2019Fall_SoB700_TRANSCAP_2048'!R$18)/1000</f>
        <v>78.084648561876662</v>
      </c>
      <c r="O4" s="16">
        <f>('[9]2019Fall_SoB700_GENCAP_2048'!S$18+'[9]2019Fall_SoB700_TRANSCAP_2048'!S$18)/1000</f>
        <v>83.90167833980307</v>
      </c>
      <c r="P4" s="16">
        <f>('[9]2019Fall_SoB700_GENCAP_2048'!T$18+'[9]2019Fall_SoB700_TRANSCAP_2048'!T$18)/1000</f>
        <v>248.27907354502517</v>
      </c>
      <c r="Q4" s="16">
        <f>('[9]2019Fall_SoB700_GENCAP_2048'!U$18+'[9]2019Fall_SoB700_TRANSCAP_2048'!U$18)/1000</f>
        <v>632.97020285773101</v>
      </c>
      <c r="R4" s="16">
        <f>('[9]2019Fall_SoB700_GENCAP_2048'!V$18+'[9]2019Fall_SoB700_TRANSCAP_2048'!V$18)/1000</f>
        <v>615.72601174634895</v>
      </c>
      <c r="S4" s="16">
        <f>('[9]2019Fall_SoB700_GENCAP_2048'!W$18+'[9]2019Fall_SoB700_TRANSCAP_2048'!W$18)/1000</f>
        <v>598.82111580229616</v>
      </c>
      <c r="T4" s="16">
        <f>('[9]2019Fall_SoB700_GENCAP_2048'!X$18+'[9]2019Fall_SoB700_TRANSCAP_2048'!X$18)/1000</f>
        <v>624.69098127424638</v>
      </c>
      <c r="U4" s="16">
        <f>('[9]2019Fall_SoB700_GENCAP_2048'!Y$18+'[9]2019Fall_SoB700_TRANSCAP_2048'!Y$18)/1000</f>
        <v>637.06084355861947</v>
      </c>
      <c r="V4" s="16">
        <f>('[9]2019Fall_SoB700_GENCAP_2048'!Z$18+'[9]2019Fall_SoB700_TRANSCAP_2048'!Z$18)/1000</f>
        <v>633.33267355328871</v>
      </c>
      <c r="W4" s="16">
        <f>('[9]2019Fall_SoB700_GENCAP_2048'!AA$18+'[9]2019Fall_SoB700_TRANSCAP_2048'!AA$18)/1000</f>
        <v>625.15877162656579</v>
      </c>
      <c r="X4" s="16">
        <f>('[9]2019Fall_SoB700_GENCAP_2048'!AB$18+'[9]2019Fall_SoB700_TRANSCAP_2048'!AB$18)/1000</f>
        <v>732.67837413507004</v>
      </c>
      <c r="Y4" s="16">
        <f>('[9]2019Fall_SoB700_GENCAP_2048'!AC$18+'[9]2019Fall_SoB700_TRANSCAP_2048'!AC$18)/1000</f>
        <v>1100.7216882743105</v>
      </c>
      <c r="Z4" s="16">
        <f>('[9]2019Fall_SoB700_GENCAP_2048'!AD$18+'[9]2019Fall_SoB700_TRANSCAP_2048'!AD$18)/1000</f>
        <v>1100.1367299120557</v>
      </c>
      <c r="AA4" s="16">
        <f>('[9]2019Fall_SoB700_GENCAP_2048'!AE$18+'[9]2019Fall_SoB700_TRANSCAP_2048'!AE$18)/1000</f>
        <v>1105.5048609957257</v>
      </c>
      <c r="AB4" s="16">
        <f>('[9]2019Fall_SoB700_GENCAP_2048'!AF$18+'[9]2019Fall_SoB700_TRANSCAP_2048'!AF$18)/1000</f>
        <v>1083.7882489875949</v>
      </c>
      <c r="AC4" s="119">
        <f>('[9]2019Fall_SoB700_GENCAP_2048'!AG$18+'[9]2019Fall_SoB700_TRANSCAP_2048'!AG$18)/1000</f>
        <v>1051.106887865913</v>
      </c>
      <c r="AD4" s="211">
        <f>('[9]2019Fall_SoB700_GENCAP_2048'!AH$18+'[9]2019Fall_SoB700_TRANSCAP_2048'!AH$18)/1000</f>
        <v>1018.8083174654716</v>
      </c>
      <c r="AE4" s="16">
        <f>('[9]2019Fall_SoB700_GENCAP_2048'!AI$18+'[9]2019Fall_SoB700_TRANSCAP_2048'!AI$18)/1000</f>
        <v>987.0132304095896</v>
      </c>
      <c r="AF4" s="16">
        <f>('[9]2019Fall_SoB700_GENCAP_2048'!AJ$18+'[9]2019Fall_SoB700_TRANSCAP_2048'!AJ$18)/1000</f>
        <v>955.77733501619127</v>
      </c>
      <c r="AG4" s="16">
        <f>('[9]2019Fall_SoB700_GENCAP_2048'!AK$18+'[9]2019Fall_SoB700_TRANSCAP_2048'!AK$18)/1000</f>
        <v>924.80624485719784</v>
      </c>
      <c r="AH4" s="16">
        <f>('[9]2019Fall_SoB700_GENCAP_2048'!AL$18+'[9]2019Fall_SoB700_TRANSCAP_2048'!AL$18)/1000</f>
        <v>893.86948255701031</v>
      </c>
      <c r="AI4" s="16">
        <f>('[9]2019Fall_SoB700_GENCAP_2048'!AM$18+'[9]2019Fall_SoB700_TRANSCAP_2048'!AM$18)/1000</f>
        <v>863.11299395514084</v>
      </c>
      <c r="AJ4" s="23"/>
    </row>
    <row r="5" spans="1:36">
      <c r="A5" s="6" t="s">
        <v>68</v>
      </c>
      <c r="B5" s="16">
        <f>'[10]FOM Cost'!C$150/1000</f>
        <v>445.38108</v>
      </c>
      <c r="C5" s="16">
        <f>'[10]FOM Cost'!D$150/1000</f>
        <v>433.15770000000009</v>
      </c>
      <c r="D5" s="16">
        <f>'[10]FOM Cost'!E$150/1000</f>
        <v>436.09264999999999</v>
      </c>
      <c r="E5" s="16">
        <f>'[10]FOM Cost'!F$150/1000</f>
        <v>456.05954000000003</v>
      </c>
      <c r="F5" s="16">
        <f>'[10]FOM Cost'!G$150/1000</f>
        <v>300.44051999999999</v>
      </c>
      <c r="G5" s="16">
        <f>'[10]FOM Cost'!H$150/1000</f>
        <v>147.85322000000002</v>
      </c>
      <c r="H5" s="16">
        <f>'[10]FOM Cost'!I$150/1000</f>
        <v>57.67533000000001</v>
      </c>
      <c r="I5" s="16">
        <f>'[10]FOM Cost'!J$150/1000</f>
        <v>32.805870000000006</v>
      </c>
      <c r="J5" s="16">
        <f>'[10]FOM Cost'!K$150/1000</f>
        <v>21.746859999999998</v>
      </c>
      <c r="K5" s="16">
        <f>'[10]FOM Cost'!L$150/1000</f>
        <v>22.249190000000002</v>
      </c>
      <c r="L5" s="16">
        <f>'[10]FOM Cost'!M$150/1000</f>
        <v>22.85896</v>
      </c>
      <c r="M5" s="16">
        <f>'[10]FOM Cost'!N$150/1000</f>
        <v>23.44145</v>
      </c>
      <c r="N5" s="16">
        <f>'[10]FOM Cost'!O$150/1000</f>
        <v>24.103559999999998</v>
      </c>
      <c r="O5" s="16">
        <f>'[10]FOM Cost'!P$150/1000</f>
        <v>24.687150000000003</v>
      </c>
      <c r="P5" s="16">
        <f>'[10]FOM Cost'!Q$150/1000</f>
        <v>31.993279999999995</v>
      </c>
      <c r="Q5" s="16">
        <f>'[10]FOM Cost'!R$150/1000</f>
        <v>37.711539999999999</v>
      </c>
      <c r="R5" s="16">
        <f>'[10]FOM Cost'!S$150/1000</f>
        <v>38.342299999999994</v>
      </c>
      <c r="S5" s="16">
        <f>'[10]FOM Cost'!T$150/1000</f>
        <v>39.068809999999999</v>
      </c>
      <c r="T5" s="16">
        <f>'[10]FOM Cost'!U$150/1000</f>
        <v>41.958259999999996</v>
      </c>
      <c r="U5" s="16">
        <f>'[10]FOM Cost'!V$150/1000</f>
        <v>44.362510000000007</v>
      </c>
      <c r="V5" s="16">
        <f>'[10]FOM Cost'!W$150/1000</f>
        <v>46.055909999999997</v>
      </c>
      <c r="W5" s="16">
        <f>'[10]FOM Cost'!X$150/1000</f>
        <v>47.500499999999995</v>
      </c>
      <c r="X5" s="16">
        <f>'[10]FOM Cost'!Y$150/1000</f>
        <v>54.107329999999997</v>
      </c>
      <c r="Y5" s="16">
        <f>'[10]FOM Cost'!Z$150/1000</f>
        <v>59.410680000000006</v>
      </c>
      <c r="Z5" s="16">
        <f>'[10]FOM Cost'!AA$150/1000</f>
        <v>62.365270000000017</v>
      </c>
      <c r="AA5" s="16">
        <f>'[10]FOM Cost'!AB$150/1000</f>
        <v>65.325920000000011</v>
      </c>
      <c r="AB5" s="16">
        <f>'[10]FOM Cost'!AC$150/1000</f>
        <v>66.539740000000009</v>
      </c>
      <c r="AC5" s="119">
        <f>'[10]FOM Cost'!AD$150/1000</f>
        <v>67.969149999999999</v>
      </c>
      <c r="AD5" s="211">
        <f>'[10]FOM Cost'!AE$150/1000</f>
        <v>69.480310000000003</v>
      </c>
      <c r="AE5" s="16">
        <f>'[10]FOM Cost'!AF$150/1000</f>
        <v>68.531019999999998</v>
      </c>
      <c r="AF5" s="16">
        <f>'[10]FOM Cost'!AG$150/1000</f>
        <v>64.426320000000004</v>
      </c>
      <c r="AG5" s="16">
        <f>'[10]FOM Cost'!AH$150/1000</f>
        <v>60.653360000000006</v>
      </c>
      <c r="AH5" s="16">
        <f>'[10]FOM Cost'!AI$150/1000</f>
        <v>58.473479999999995</v>
      </c>
      <c r="AI5" s="16">
        <f>'[10]FOM Cost'!AJ$150/1000</f>
        <v>59.704849999999993</v>
      </c>
      <c r="AJ5" s="16"/>
    </row>
    <row r="6" spans="1:36">
      <c r="A6" s="6" t="s">
        <v>67</v>
      </c>
      <c r="B6" s="16">
        <f>[10]System!B$13/1000</f>
        <v>390.67815999999999</v>
      </c>
      <c r="C6" s="16">
        <f>[10]System!C$13/1000</f>
        <v>384.87225999999998</v>
      </c>
      <c r="D6" s="16">
        <f>[10]System!D$13/1000</f>
        <v>381.80252000000002</v>
      </c>
      <c r="E6" s="16">
        <f>[10]System!E$13/1000</f>
        <v>381.80252000000002</v>
      </c>
      <c r="F6" s="16">
        <f>[10]System!F$13/1000</f>
        <v>382.80076000000003</v>
      </c>
      <c r="G6" s="16">
        <f>[10]System!G$13/1000</f>
        <v>381.80250999999998</v>
      </c>
      <c r="H6" s="16">
        <f>[10]System!H$13/1000</f>
        <v>381.80252000000002</v>
      </c>
      <c r="I6" s="16">
        <f>[10]System!I$13/1000</f>
        <v>381.80250999999998</v>
      </c>
      <c r="J6" s="16">
        <f>[10]System!J$13/1000</f>
        <v>382.80076000000003</v>
      </c>
      <c r="K6" s="16">
        <f>[10]System!K$13/1000</f>
        <v>381.80252000000002</v>
      </c>
      <c r="L6" s="16">
        <f>[10]System!L$13/1000</f>
        <v>381.80252000000002</v>
      </c>
      <c r="M6" s="16">
        <f>[10]System!M$13/1000</f>
        <v>381.80250999999998</v>
      </c>
      <c r="N6" s="16">
        <f>[10]System!N$13/1000</f>
        <v>382.80076000000003</v>
      </c>
      <c r="O6" s="16">
        <f>[10]System!O$13/1000</f>
        <v>381.80252000000002</v>
      </c>
      <c r="P6" s="16">
        <f>[10]System!P$13/1000</f>
        <v>488.03607999999997</v>
      </c>
      <c r="Q6" s="16">
        <f>[10]System!Q$13/1000</f>
        <v>565.75178000000005</v>
      </c>
      <c r="R6" s="16">
        <f>[10]System!R$13/1000</f>
        <v>565.75178000000005</v>
      </c>
      <c r="S6" s="16">
        <f>[10]System!S$13/1000</f>
        <v>565.75178000000005</v>
      </c>
      <c r="T6" s="16">
        <f>[10]System!T$13/1000</f>
        <v>608.46997999999996</v>
      </c>
      <c r="U6" s="16">
        <f>[10]System!U$13/1000</f>
        <v>638.98298999999997</v>
      </c>
      <c r="V6" s="16">
        <f>[10]System!V$13/1000</f>
        <v>653.94328000000007</v>
      </c>
      <c r="W6" s="16">
        <f>[10]System!W$13/1000</f>
        <v>664.62914999999998</v>
      </c>
      <c r="X6" s="16">
        <f>[10]System!X$13/1000</f>
        <v>742.0158100000001</v>
      </c>
      <c r="Y6" s="16">
        <f>[10]System!Y$13/1000</f>
        <v>797.36162999999999</v>
      </c>
      <c r="Z6" s="16">
        <f>[10]System!Z$13/1000</f>
        <v>830.38836000000003</v>
      </c>
      <c r="AA6" s="16">
        <f>[10]System!AA$13/1000</f>
        <v>870.90499999999997</v>
      </c>
      <c r="AB6" s="16">
        <f>[10]System!AB$13/1000</f>
        <v>882.99510999999995</v>
      </c>
      <c r="AC6" s="119">
        <f>[10]System!AC$13/1000</f>
        <v>882.99513000000002</v>
      </c>
      <c r="AD6" s="211">
        <f>[10]System!AD$13/1000</f>
        <v>882.99513000000002</v>
      </c>
      <c r="AE6" s="16">
        <f>[10]System!AE$13/1000</f>
        <v>882.99513000000002</v>
      </c>
      <c r="AF6" s="16">
        <f>[10]System!AF$13/1000</f>
        <v>882.99513000000002</v>
      </c>
      <c r="AG6" s="16">
        <f>[10]System!AG$13/1000</f>
        <v>882.99513000000002</v>
      </c>
      <c r="AH6" s="16">
        <f>[10]System!AH$13/1000</f>
        <v>882.99513000000002</v>
      </c>
      <c r="AI6" s="16">
        <f>[10]System!AI$13/1000</f>
        <v>882.99513000000002</v>
      </c>
      <c r="AJ6" s="16"/>
    </row>
    <row r="7" spans="1:36">
      <c r="A7" s="6" t="s">
        <v>383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19"/>
      <c r="AD7" s="211"/>
      <c r="AE7" s="16"/>
      <c r="AF7" s="16"/>
      <c r="AG7" s="16"/>
      <c r="AH7" s="16"/>
      <c r="AI7" s="16"/>
      <c r="AJ7" s="16"/>
    </row>
    <row r="8" spans="1:36">
      <c r="A8" s="6" t="s">
        <v>65</v>
      </c>
      <c r="B8" s="16">
        <f>'[10]Fuel Cost'!C$150/1000</f>
        <v>849.84470000000033</v>
      </c>
      <c r="C8" s="16">
        <f>'[10]Fuel Cost'!D$150/1000</f>
        <v>858.9478899999998</v>
      </c>
      <c r="D8" s="16">
        <f>'[10]Fuel Cost'!E$150/1000</f>
        <v>883.70543000000009</v>
      </c>
      <c r="E8" s="16">
        <f>'[10]Fuel Cost'!F$150/1000</f>
        <v>901.69484999999963</v>
      </c>
      <c r="F8" s="16">
        <f>'[10]Fuel Cost'!G$150/1000</f>
        <v>912.93234999999993</v>
      </c>
      <c r="G8" s="16">
        <f>'[10]Fuel Cost'!H$150/1000</f>
        <v>967.91525999999999</v>
      </c>
      <c r="H8" s="16">
        <f>'[10]Fuel Cost'!I$150/1000</f>
        <v>1050.0423999999998</v>
      </c>
      <c r="I8" s="16">
        <f>'[10]Fuel Cost'!J$150/1000</f>
        <v>1177.3312400000002</v>
      </c>
      <c r="J8" s="16">
        <f>'[10]Fuel Cost'!K$150/1000</f>
        <v>1345.5862099999995</v>
      </c>
      <c r="K8" s="16">
        <f>'[10]Fuel Cost'!L$150/1000</f>
        <v>1457.7473499999999</v>
      </c>
      <c r="L8" s="16">
        <f>'[10]Fuel Cost'!M$150/1000</f>
        <v>1543.6189199999997</v>
      </c>
      <c r="M8" s="16">
        <f>'[10]Fuel Cost'!N$150/1000</f>
        <v>1620.7732500000002</v>
      </c>
      <c r="N8" s="16">
        <f>'[10]Fuel Cost'!O$150/1000</f>
        <v>1718.8560700000003</v>
      </c>
      <c r="O8" s="16">
        <f>'[10]Fuel Cost'!P$150/1000</f>
        <v>1731.6178199999997</v>
      </c>
      <c r="P8" s="16">
        <f>'[10]Fuel Cost'!Q$150/1000</f>
        <v>1804.4718699999996</v>
      </c>
      <c r="Q8" s="16">
        <f>'[10]Fuel Cost'!R$150/1000</f>
        <v>1869.9439100000004</v>
      </c>
      <c r="R8" s="16">
        <f>'[10]Fuel Cost'!S$150/1000</f>
        <v>1925.5443899999998</v>
      </c>
      <c r="S8" s="16">
        <f>'[10]Fuel Cost'!T$150/1000</f>
        <v>2084.9774299999999</v>
      </c>
      <c r="T8" s="16">
        <f>'[10]Fuel Cost'!U$150/1000</f>
        <v>2202.989599999999</v>
      </c>
      <c r="U8" s="16">
        <f>'[10]Fuel Cost'!V$150/1000</f>
        <v>2284.3213100000003</v>
      </c>
      <c r="V8" s="16">
        <f>'[10]Fuel Cost'!W$150/1000</f>
        <v>2403.4575399999999</v>
      </c>
      <c r="W8" s="16">
        <f>'[10]Fuel Cost'!X$150/1000</f>
        <v>2520.7642500000002</v>
      </c>
      <c r="X8" s="16">
        <f>'[10]Fuel Cost'!Y$150/1000</f>
        <v>2567.1621</v>
      </c>
      <c r="Y8" s="16">
        <f>'[10]Fuel Cost'!Z$150/1000</f>
        <v>2623.5733200000004</v>
      </c>
      <c r="Z8" s="16">
        <f>'[10]Fuel Cost'!AA$150/1000</f>
        <v>2763.1587999999992</v>
      </c>
      <c r="AA8" s="16">
        <f>'[10]Fuel Cost'!AB$150/1000</f>
        <v>2937.80312</v>
      </c>
      <c r="AB8" s="16">
        <f>'[10]Fuel Cost'!AC$150/1000</f>
        <v>3086.3825000000011</v>
      </c>
      <c r="AC8" s="119">
        <f>'[10]Fuel Cost'!AD$150/1000</f>
        <v>3127.319</v>
      </c>
      <c r="AD8" s="211">
        <f>'[10]Fuel Cost'!AE$150/1000</f>
        <v>3258.913070000001</v>
      </c>
      <c r="AE8" s="16">
        <f>'[10]Fuel Cost'!AF$150/1000</f>
        <v>3300.4400900000005</v>
      </c>
      <c r="AF8" s="16">
        <f>'[10]Fuel Cost'!AG$150/1000</f>
        <v>3379.2351500000009</v>
      </c>
      <c r="AG8" s="16">
        <f>'[10]Fuel Cost'!AH$150/1000</f>
        <v>3495.8391799999995</v>
      </c>
      <c r="AH8" s="16">
        <f>'[10]Fuel Cost'!AI$150/1000</f>
        <v>3614.2685600000004</v>
      </c>
      <c r="AI8" s="16">
        <f>'[10]Fuel Cost'!AJ$150/1000</f>
        <v>3682.6137100000005</v>
      </c>
      <c r="AJ8" s="16"/>
    </row>
    <row r="9" spans="1:36">
      <c r="A9" s="6" t="s">
        <v>52</v>
      </c>
      <c r="B9" s="16">
        <f>('[10]Start Cost'!C$150+'[10]VOM Cost'!C$150)/1000+([10]System!B$7+[10]System!B$9)/1000</f>
        <v>86.065810000000013</v>
      </c>
      <c r="C9" s="16">
        <f>('[10]Start Cost'!D$150+'[10]VOM Cost'!D$150)/1000+([10]System!C$7+[10]System!C$9)/1000</f>
        <v>91.133150000000001</v>
      </c>
      <c r="D9" s="16">
        <f>('[10]Start Cost'!E$150+'[10]VOM Cost'!E$150)/1000+([10]System!D$7+[10]System!D$9)/1000</f>
        <v>99.022519999999972</v>
      </c>
      <c r="E9" s="16">
        <f>('[10]Start Cost'!F$150+'[10]VOM Cost'!F$150)/1000+([10]System!E$7+[10]System!E$9)/1000</f>
        <v>106.55790999999998</v>
      </c>
      <c r="F9" s="16">
        <f>('[10]Start Cost'!G$150+'[10]VOM Cost'!G$150)/1000+([10]System!F$7+[10]System!F$9)/1000</f>
        <v>116.85017000000002</v>
      </c>
      <c r="G9" s="16">
        <f>('[10]Start Cost'!H$150+'[10]VOM Cost'!H$150)/1000+([10]System!G$7+[10]System!G$9)/1000</f>
        <v>129.79286999999999</v>
      </c>
      <c r="H9" s="16">
        <f>('[10]Start Cost'!I$150+'[10]VOM Cost'!I$150)/1000+([10]System!H$7+[10]System!H$9)/1000</f>
        <v>149.33257</v>
      </c>
      <c r="I9" s="16">
        <f>('[10]Start Cost'!J$150+'[10]VOM Cost'!J$150)/1000+([10]System!I$7+[10]System!I$9)/1000</f>
        <v>168.89700000000002</v>
      </c>
      <c r="J9" s="16">
        <f>('[10]Start Cost'!K$150+'[10]VOM Cost'!K$150)/1000+([10]System!J$7+[10]System!J$9)/1000</f>
        <v>192.17519000000001</v>
      </c>
      <c r="K9" s="16">
        <f>('[10]Start Cost'!L$150+'[10]VOM Cost'!L$150)/1000+([10]System!K$7+[10]System!K$9)/1000</f>
        <v>203.17302000000004</v>
      </c>
      <c r="L9" s="16">
        <f>('[10]Start Cost'!M$150+'[10]VOM Cost'!M$150)/1000+([10]System!L$7+[10]System!L$9)/1000</f>
        <v>225.53263000000004</v>
      </c>
      <c r="M9" s="16">
        <f>('[10]Start Cost'!N$150+'[10]VOM Cost'!N$150)/1000+([10]System!M$7+[10]System!M$9)/1000</f>
        <v>246.60457999999997</v>
      </c>
      <c r="N9" s="16">
        <f>('[10]Start Cost'!O$150+'[10]VOM Cost'!O$150)/1000+([10]System!N$7+[10]System!N$9)/1000</f>
        <v>259.31490000000002</v>
      </c>
      <c r="O9" s="16">
        <f>('[10]Start Cost'!P$150+'[10]VOM Cost'!P$150)/1000+([10]System!O$7+[10]System!O$9)/1000</f>
        <v>277.47644000000003</v>
      </c>
      <c r="P9" s="16">
        <f>('[10]Start Cost'!Q$150+'[10]VOM Cost'!Q$150)/1000+([10]System!P$7+[10]System!P$9)/1000</f>
        <v>283.76216000000005</v>
      </c>
      <c r="Q9" s="16">
        <f>('[10]Start Cost'!R$150+'[10]VOM Cost'!R$150)/1000+([10]System!Q$7+[10]System!Q$9)/1000</f>
        <v>301.80946999999998</v>
      </c>
      <c r="R9" s="16">
        <f>('[10]Start Cost'!S$150+'[10]VOM Cost'!S$150)/1000+([10]System!R$7+[10]System!R$9)/1000</f>
        <v>319.28766000000002</v>
      </c>
      <c r="S9" s="16">
        <f>('[10]Start Cost'!T$150+'[10]VOM Cost'!T$150)/1000+([10]System!S$7+[10]System!S$9)/1000</f>
        <v>356.00170999999995</v>
      </c>
      <c r="T9" s="16">
        <f>('[10]Start Cost'!U$150+'[10]VOM Cost'!U$150)/1000+([10]System!T$7+[10]System!T$9)/1000</f>
        <v>378.40030000000002</v>
      </c>
      <c r="U9" s="16">
        <f>('[10]Start Cost'!V$150+'[10]VOM Cost'!V$150)/1000+([10]System!U$7+[10]System!U$9)/1000</f>
        <v>416.83168000000001</v>
      </c>
      <c r="V9" s="16">
        <f>('[10]Start Cost'!W$150+'[10]VOM Cost'!W$150)/1000+([10]System!V$7+[10]System!V$9)/1000</f>
        <v>425.53037999999998</v>
      </c>
      <c r="W9" s="16">
        <f>('[10]Start Cost'!X$150+'[10]VOM Cost'!X$150)/1000+([10]System!W$7+[10]System!W$9)/1000</f>
        <v>450.30260000000004</v>
      </c>
      <c r="X9" s="16">
        <f>('[10]Start Cost'!Y$150+'[10]VOM Cost'!Y$150)/1000+([10]System!X$7+[10]System!X$9)/1000</f>
        <v>460.76823999999999</v>
      </c>
      <c r="Y9" s="16">
        <f>('[10]Start Cost'!Z$150+'[10]VOM Cost'!Z$150)/1000+([10]System!Y$7+[10]System!Y$9)/1000</f>
        <v>483.12847000000005</v>
      </c>
      <c r="Z9" s="16">
        <f>('[10]Start Cost'!AA$150+'[10]VOM Cost'!AA$150)/1000+([10]System!Z$7+[10]System!Z$9)/1000</f>
        <v>496.07663999999994</v>
      </c>
      <c r="AA9" s="16">
        <f>('[10]Start Cost'!AB$150+'[10]VOM Cost'!AB$150)/1000+([10]System!AA$7+[10]System!AA$9)/1000</f>
        <v>527.09429</v>
      </c>
      <c r="AB9" s="16">
        <f>('[10]Start Cost'!AC$150+'[10]VOM Cost'!AC$150)/1000+([10]System!AB$7+[10]System!AB$9)/1000</f>
        <v>544.12684000000002</v>
      </c>
      <c r="AC9" s="119">
        <f>('[10]Start Cost'!AD$150+'[10]VOM Cost'!AD$150)/1000+([10]System!AC$7+[10]System!AC$9)/1000</f>
        <v>569.32802000000004</v>
      </c>
      <c r="AD9" s="211">
        <f>('[10]Start Cost'!AE$150+'[10]VOM Cost'!AE$150)/1000+([10]System!AD$7+[10]System!AD$9)/1000</f>
        <v>589.68025</v>
      </c>
      <c r="AE9" s="16">
        <f>('[10]Start Cost'!AF$150+'[10]VOM Cost'!AF$150)/1000+([10]System!AE$7+[10]System!AE$9)/1000</f>
        <v>611.99342000000001</v>
      </c>
      <c r="AF9" s="16">
        <f>('[10]Start Cost'!AG$150+'[10]VOM Cost'!AG$150)/1000+([10]System!AF$7+[10]System!AF$9)/1000</f>
        <v>631.57410999999991</v>
      </c>
      <c r="AG9" s="16">
        <f>('[10]Start Cost'!AH$150+'[10]VOM Cost'!AH$150)/1000+([10]System!AG$7+[10]System!AG$9)/1000</f>
        <v>662.43349000000001</v>
      </c>
      <c r="AH9" s="16">
        <f>('[10]Start Cost'!AI$150+'[10]VOM Cost'!AI$150)/1000+([10]System!AH$7+[10]System!AH$9)/1000</f>
        <v>676.68458999999996</v>
      </c>
      <c r="AI9" s="16">
        <f>('[10]Start Cost'!AJ$150+'[10]VOM Cost'!AJ$150)/1000+([10]System!AI$7+[10]System!AI$9)/1000</f>
        <v>706.97163</v>
      </c>
      <c r="AJ9" s="16"/>
    </row>
    <row r="10" spans="1:36">
      <c r="A10" s="36" t="s">
        <v>66</v>
      </c>
      <c r="B10" s="119">
        <f>('[10]Reagent Cost'!C$150+'[10]SO2 Cost'!C$150+'[10]NOx Cost'!C$150+'[10]Lime Cost'!C$150)/1000</f>
        <v>6.2319722000000004</v>
      </c>
      <c r="C10" s="119">
        <f>('[10]Reagent Cost'!D$150+'[10]SO2 Cost'!D$150+'[10]NOx Cost'!D$150+'[10]Lime Cost'!D$150)/1000</f>
        <v>6.4714661999999992</v>
      </c>
      <c r="D10" s="119">
        <f>('[10]Reagent Cost'!E$150+'[10]SO2 Cost'!E$150+'[10]NOx Cost'!E$150+'[10]Lime Cost'!E$150)/1000</f>
        <v>6.3726694999999998</v>
      </c>
      <c r="E10" s="119">
        <f>('[10]Reagent Cost'!F$150+'[10]SO2 Cost'!F$150+'[10]NOx Cost'!F$150+'[10]Lime Cost'!F$150)/1000</f>
        <v>5.7776034000000003</v>
      </c>
      <c r="F10" s="119">
        <f>('[10]Reagent Cost'!G$150+'[10]SO2 Cost'!G$150+'[10]NOx Cost'!G$150+'[10]Lime Cost'!G$150)/1000</f>
        <v>5.7882728999999982</v>
      </c>
      <c r="G10" s="119">
        <f>('[10]Reagent Cost'!H$150+'[10]SO2 Cost'!H$150+'[10]NOx Cost'!H$150+'[10]Lime Cost'!H$150)/1000</f>
        <v>6.8021891000000023</v>
      </c>
      <c r="H10" s="119">
        <f>('[10]Reagent Cost'!I$150+'[10]SO2 Cost'!I$150+'[10]NOx Cost'!I$150+'[10]Lime Cost'!I$150)/1000</f>
        <v>7.3489772999999996</v>
      </c>
      <c r="I10" s="119">
        <f>('[10]Reagent Cost'!J$150+'[10]SO2 Cost'!J$150+'[10]NOx Cost'!J$150+'[10]Lime Cost'!J$150)/1000</f>
        <v>7.9519143999999988</v>
      </c>
      <c r="J10" s="119">
        <f>('[10]Reagent Cost'!K$150+'[10]SO2 Cost'!K$150+'[10]NOx Cost'!K$150+'[10]Lime Cost'!K$150)/1000</f>
        <v>9.7406096999999985</v>
      </c>
      <c r="K10" s="119">
        <f>('[10]Reagent Cost'!L$150+'[10]SO2 Cost'!L$150+'[10]NOx Cost'!L$150+'[10]Lime Cost'!L$150)/1000</f>
        <v>12.283112900000004</v>
      </c>
      <c r="L10" s="119">
        <f>('[10]Reagent Cost'!M$150+'[10]SO2 Cost'!M$150+'[10]NOx Cost'!M$150+'[10]Lime Cost'!M$150)/1000</f>
        <v>12.910808799999996</v>
      </c>
      <c r="M10" s="119">
        <f>('[10]Reagent Cost'!N$150+'[10]SO2 Cost'!N$150+'[10]NOx Cost'!N$150+'[10]Lime Cost'!N$150)/1000</f>
        <v>11.924005600000001</v>
      </c>
      <c r="N10" s="119">
        <f>('[10]Reagent Cost'!O$150+'[10]SO2 Cost'!O$150+'[10]NOx Cost'!O$150+'[10]Lime Cost'!O$150)/1000</f>
        <v>12.148103400000002</v>
      </c>
      <c r="O10" s="119">
        <f>('[10]Reagent Cost'!P$150+'[10]SO2 Cost'!P$150+'[10]NOx Cost'!P$150+'[10]Lime Cost'!P$150)/1000</f>
        <v>11.186632399999999</v>
      </c>
      <c r="P10" s="119">
        <f>('[10]Reagent Cost'!Q$150+'[10]SO2 Cost'!Q$150+'[10]NOx Cost'!Q$150+'[10]Lime Cost'!Q$150)/1000</f>
        <v>4.826732100000001</v>
      </c>
      <c r="Q10" s="119">
        <f>('[10]Reagent Cost'!R$150+'[10]SO2 Cost'!R$150+'[10]NOx Cost'!R$150+'[10]Lime Cost'!R$150)/1000</f>
        <v>1.7413699999999999</v>
      </c>
      <c r="R10" s="119">
        <f>('[10]Reagent Cost'!S$150+'[10]SO2 Cost'!S$150+'[10]NOx Cost'!S$150+'[10]Lime Cost'!S$150)/1000</f>
        <v>1.7612200000000002</v>
      </c>
      <c r="S10" s="119">
        <f>('[10]Reagent Cost'!T$150+'[10]SO2 Cost'!T$150+'[10]NOx Cost'!T$150+'[10]Lime Cost'!T$150)/1000</f>
        <v>1.7841500000000003</v>
      </c>
      <c r="T10" s="119">
        <f>('[10]Reagent Cost'!U$150+'[10]SO2 Cost'!U$150+'[10]NOx Cost'!U$150+'[10]Lime Cost'!U$150)/1000</f>
        <v>1.8008700000000002</v>
      </c>
      <c r="U10" s="119">
        <f>('[10]Reagent Cost'!V$150+'[10]SO2 Cost'!V$150+'[10]NOx Cost'!V$150+'[10]Lime Cost'!V$150)/1000</f>
        <v>1.8117700000000001</v>
      </c>
      <c r="V10" s="119">
        <f>('[10]Reagent Cost'!W$150+'[10]SO2 Cost'!W$150+'[10]NOx Cost'!W$150+'[10]Lime Cost'!W$150)/1000</f>
        <v>1.8492699999999997</v>
      </c>
      <c r="W10" s="119">
        <f>('[10]Reagent Cost'!X$150+'[10]SO2 Cost'!X$150+'[10]NOx Cost'!X$150+'[10]Lime Cost'!X$150)/1000</f>
        <v>1.8621000000000001</v>
      </c>
      <c r="X10" s="119">
        <f>('[10]Reagent Cost'!Y$150+'[10]SO2 Cost'!Y$150+'[10]NOx Cost'!Y$150+'[10]Lime Cost'!Y$150)/1000</f>
        <v>1.86795</v>
      </c>
      <c r="Y10" s="119">
        <f>('[10]Reagent Cost'!Z$150+'[10]SO2 Cost'!Z$150+'[10]NOx Cost'!Z$150+'[10]Lime Cost'!Z$150)/1000</f>
        <v>1.8873800000000001</v>
      </c>
      <c r="Z10" s="119">
        <f>('[10]Reagent Cost'!AA$150+'[10]SO2 Cost'!AA$150+'[10]NOx Cost'!AA$150+'[10]Lime Cost'!AA$150)/1000</f>
        <v>1.9141300000000003</v>
      </c>
      <c r="AA10" s="119">
        <f>('[10]Reagent Cost'!AB$150+'[10]SO2 Cost'!AB$150+'[10]NOx Cost'!AB$150+'[10]Lime Cost'!AB$150)/1000</f>
        <v>1.9282299999999999</v>
      </c>
      <c r="AB10" s="119">
        <f>('[10]Reagent Cost'!AC$150+'[10]SO2 Cost'!AC$150+'[10]NOx Cost'!AC$150+'[10]Lime Cost'!AC$150)/1000</f>
        <v>1.9630799999999999</v>
      </c>
      <c r="AC10" s="119">
        <f>('[10]Reagent Cost'!AD$150+'[10]SO2 Cost'!AD$150+'[10]NOx Cost'!AD$150+'[10]Lime Cost'!AD$150)/1000</f>
        <v>1.9601399999999998</v>
      </c>
      <c r="AD10" s="211">
        <f>('[10]Reagent Cost'!AE$150+'[10]SO2 Cost'!AE$150+'[10]NOx Cost'!AE$150+'[10]Lime Cost'!AE$150)/1000</f>
        <v>1.9713799999999999</v>
      </c>
      <c r="AE10" s="119">
        <f>('[10]Reagent Cost'!AF$150+'[10]SO2 Cost'!AF$150+'[10]NOx Cost'!AF$150+'[10]Lime Cost'!AF$150)/1000</f>
        <v>1.9763599999999999</v>
      </c>
      <c r="AF10" s="119">
        <f>('[10]Reagent Cost'!AG$150+'[10]SO2 Cost'!AG$150+'[10]NOx Cost'!AG$150+'[10]Lime Cost'!AG$150)/1000</f>
        <v>2.0074099999999997</v>
      </c>
      <c r="AG10" s="119">
        <f>('[10]Reagent Cost'!AH$150+'[10]SO2 Cost'!AH$150+'[10]NOx Cost'!AH$150+'[10]Lime Cost'!AH$150)/1000</f>
        <v>2.0246299999999997</v>
      </c>
      <c r="AH10" s="119">
        <f>('[10]Reagent Cost'!AI$150+'[10]SO2 Cost'!AI$150+'[10]NOx Cost'!AI$150+'[10]Lime Cost'!AI$150)/1000</f>
        <v>2.0581999999999998</v>
      </c>
      <c r="AI10" s="119">
        <f>('[10]Reagent Cost'!AJ$150+'[10]SO2 Cost'!AJ$150+'[10]NOx Cost'!AJ$150+'[10]Lime Cost'!AJ$150)/1000</f>
        <v>2.0606299999999997</v>
      </c>
      <c r="AJ10" s="119"/>
    </row>
    <row r="11" spans="1:36">
      <c r="A11" s="12" t="s">
        <v>69</v>
      </c>
      <c r="B11" s="212">
        <f>+'[10]CO2 Cost'!C$150/1000</f>
        <v>0</v>
      </c>
      <c r="C11" s="212">
        <f>+'[10]CO2 Cost'!D$150/1000</f>
        <v>0</v>
      </c>
      <c r="D11" s="212">
        <f>+'[10]CO2 Cost'!E$150/1000</f>
        <v>0</v>
      </c>
      <c r="E11" s="212">
        <f>+'[10]CO2 Cost'!F$150/1000</f>
        <v>0</v>
      </c>
      <c r="F11" s="212">
        <f>+'[10]CO2 Cost'!G$150/1000</f>
        <v>0</v>
      </c>
      <c r="G11" s="212">
        <f>+'[10]CO2 Cost'!H$150/1000</f>
        <v>0</v>
      </c>
      <c r="H11" s="212">
        <f>+'[10]CO2 Cost'!I$150/1000</f>
        <v>0</v>
      </c>
      <c r="I11" s="212">
        <f>+'[10]CO2 Cost'!J$150/1000</f>
        <v>0</v>
      </c>
      <c r="J11" s="212">
        <f>+'[10]CO2 Cost'!K$150/1000</f>
        <v>0</v>
      </c>
      <c r="K11" s="212">
        <f>+'[10]CO2 Cost'!L$150/1000</f>
        <v>0</v>
      </c>
      <c r="L11" s="212">
        <f>+'[10]CO2 Cost'!M$150/1000</f>
        <v>0</v>
      </c>
      <c r="M11" s="212">
        <f>+'[10]CO2 Cost'!N$150/1000</f>
        <v>0</v>
      </c>
      <c r="N11" s="212">
        <f>+'[10]CO2 Cost'!O$150/1000</f>
        <v>0</v>
      </c>
      <c r="O11" s="212">
        <f>+'[10]CO2 Cost'!P$150/1000</f>
        <v>0</v>
      </c>
      <c r="P11" s="212">
        <f>+'[10]CO2 Cost'!Q$150/1000</f>
        <v>0</v>
      </c>
      <c r="Q11" s="212">
        <f>+'[10]CO2 Cost'!R$150/1000</f>
        <v>0</v>
      </c>
      <c r="R11" s="212">
        <f>+'[10]CO2 Cost'!S$150/1000</f>
        <v>0</v>
      </c>
      <c r="S11" s="212">
        <f>+'[10]CO2 Cost'!T$150/1000</f>
        <v>0</v>
      </c>
      <c r="T11" s="212">
        <f>+'[10]CO2 Cost'!U$150/1000</f>
        <v>0</v>
      </c>
      <c r="U11" s="212">
        <f>+'[10]CO2 Cost'!V$150/1000</f>
        <v>0</v>
      </c>
      <c r="V11" s="212">
        <f>+'[10]CO2 Cost'!W$150/1000</f>
        <v>0</v>
      </c>
      <c r="W11" s="212">
        <f>+'[10]CO2 Cost'!X$150/1000</f>
        <v>0</v>
      </c>
      <c r="X11" s="212">
        <f>+'[10]CO2 Cost'!Y$150/1000</f>
        <v>0</v>
      </c>
      <c r="Y11" s="212">
        <f>+'[10]CO2 Cost'!Z$150/1000</f>
        <v>0</v>
      </c>
      <c r="Z11" s="212">
        <f>+'[10]CO2 Cost'!AA$150/1000</f>
        <v>0</v>
      </c>
      <c r="AA11" s="212">
        <f>+'[10]CO2 Cost'!AB$150/1000</f>
        <v>0</v>
      </c>
      <c r="AB11" s="212">
        <f>+'[10]CO2 Cost'!AC$150/1000</f>
        <v>0</v>
      </c>
      <c r="AC11" s="212">
        <f>+'[10]CO2 Cost'!AD$150/1000</f>
        <v>0</v>
      </c>
      <c r="AD11" s="213">
        <f>+'[10]CO2 Cost'!AE$150/1000</f>
        <v>0</v>
      </c>
      <c r="AE11" s="212">
        <f>+'[10]CO2 Cost'!AF$150/1000</f>
        <v>0</v>
      </c>
      <c r="AF11" s="212">
        <f>+'[10]CO2 Cost'!AG$150/1000</f>
        <v>0</v>
      </c>
      <c r="AG11" s="212">
        <f>+'[10]CO2 Cost'!AH$150/1000</f>
        <v>0</v>
      </c>
      <c r="AH11" s="212">
        <f>+'[10]CO2 Cost'!AI$150/1000</f>
        <v>0</v>
      </c>
      <c r="AI11" s="212">
        <f>+'[10]CO2 Cost'!AJ$150/1000</f>
        <v>0</v>
      </c>
      <c r="AJ11" s="212"/>
    </row>
    <row r="12" spans="1:36">
      <c r="A12" s="6" t="s">
        <v>61</v>
      </c>
      <c r="B12" s="15">
        <f t="shared" ref="B12:AG12" si="1">SUM(B2:B11)</f>
        <v>1843.4621723822067</v>
      </c>
      <c r="C12" s="15">
        <f t="shared" si="1"/>
        <v>1876.6630868946615</v>
      </c>
      <c r="D12" s="15">
        <f t="shared" si="1"/>
        <v>1947.1354385741638</v>
      </c>
      <c r="E12" s="15">
        <f t="shared" si="1"/>
        <v>1985.9327261891403</v>
      </c>
      <c r="F12" s="15">
        <f t="shared" si="1"/>
        <v>1847.4582671285839</v>
      </c>
      <c r="G12" s="15">
        <f t="shared" si="1"/>
        <v>1754.8140547272556</v>
      </c>
      <c r="H12" s="15">
        <f t="shared" si="1"/>
        <v>1752.759078813772</v>
      </c>
      <c r="I12" s="15">
        <f t="shared" si="1"/>
        <v>1893.7893087479229</v>
      </c>
      <c r="J12" s="15">
        <f t="shared" si="1"/>
        <v>2099.65978326711</v>
      </c>
      <c r="K12" s="15">
        <f t="shared" si="1"/>
        <v>2228.5969458360623</v>
      </c>
      <c r="L12" s="15">
        <f t="shared" si="1"/>
        <v>2345.0816410255184</v>
      </c>
      <c r="M12" s="15">
        <f t="shared" si="1"/>
        <v>2446.4130231661729</v>
      </c>
      <c r="N12" s="15">
        <f t="shared" si="1"/>
        <v>2566.0340961299798</v>
      </c>
      <c r="O12" s="15">
        <f t="shared" si="1"/>
        <v>2598.9738422658911</v>
      </c>
      <c r="P12" s="15">
        <f t="shared" si="1"/>
        <v>2947.1331682484001</v>
      </c>
      <c r="Q12" s="15">
        <f t="shared" si="1"/>
        <v>3493.1664973375082</v>
      </c>
      <c r="R12" s="15">
        <f t="shared" si="1"/>
        <v>3547.0121530834836</v>
      </c>
      <c r="S12" s="15">
        <f t="shared" si="1"/>
        <v>3724.4763355809928</v>
      </c>
      <c r="T12" s="15">
        <f t="shared" si="1"/>
        <v>3936.4025742835511</v>
      </c>
      <c r="U12" s="15">
        <f t="shared" si="1"/>
        <v>4100.4202356230644</v>
      </c>
      <c r="V12" s="15">
        <f t="shared" si="1"/>
        <v>4238.5128386161778</v>
      </c>
      <c r="W12" s="15">
        <f t="shared" si="1"/>
        <v>4381.9181201648043</v>
      </c>
      <c r="X12" s="15">
        <f t="shared" si="1"/>
        <v>4627.8742301885723</v>
      </c>
      <c r="Y12" s="15">
        <f t="shared" si="1"/>
        <v>5132.8606778734938</v>
      </c>
      <c r="Z12" s="15">
        <f t="shared" si="1"/>
        <v>5318.5514159850372</v>
      </c>
      <c r="AA12" s="15">
        <f t="shared" si="1"/>
        <v>5570.6849000824732</v>
      </c>
      <c r="AB12" s="15">
        <f t="shared" si="1"/>
        <v>5725.7083641545178</v>
      </c>
      <c r="AC12" s="52">
        <f t="shared" si="1"/>
        <v>5758.3287236350498</v>
      </c>
      <c r="AD12" s="214">
        <f t="shared" si="1"/>
        <v>5879.5519719161584</v>
      </c>
      <c r="AE12" s="15">
        <f t="shared" si="1"/>
        <v>5905.0943447722384</v>
      </c>
      <c r="AF12" s="15">
        <f t="shared" si="1"/>
        <v>5953.0938694805882</v>
      </c>
      <c r="AG12" s="15">
        <f t="shared" si="1"/>
        <v>6050.3744708919958</v>
      </c>
      <c r="AH12" s="15">
        <f t="shared" ref="AH12:AI12" si="2">SUM(AH2:AH11)</f>
        <v>6131.6607564424739</v>
      </c>
      <c r="AI12" s="15">
        <f t="shared" si="2"/>
        <v>6200.6456710207876</v>
      </c>
      <c r="AJ12" s="15"/>
    </row>
    <row r="13" spans="1:36">
      <c r="AC13" s="36"/>
      <c r="AD13" s="215"/>
    </row>
    <row r="14" spans="1:36" s="152" customFormat="1">
      <c r="A14" s="152" t="s">
        <v>201</v>
      </c>
      <c r="B14" s="152">
        <f>$B$1</f>
        <v>2020</v>
      </c>
      <c r="C14" s="152">
        <f t="shared" ref="C14:AI14" si="3">B14+1</f>
        <v>2021</v>
      </c>
      <c r="D14" s="152">
        <f t="shared" si="3"/>
        <v>2022</v>
      </c>
      <c r="E14" s="152">
        <f t="shared" si="3"/>
        <v>2023</v>
      </c>
      <c r="F14" s="152">
        <f t="shared" si="3"/>
        <v>2024</v>
      </c>
      <c r="G14" s="152">
        <f t="shared" si="3"/>
        <v>2025</v>
      </c>
      <c r="H14" s="152">
        <f t="shared" si="3"/>
        <v>2026</v>
      </c>
      <c r="I14" s="152">
        <f t="shared" si="3"/>
        <v>2027</v>
      </c>
      <c r="J14" s="152">
        <f t="shared" si="3"/>
        <v>2028</v>
      </c>
      <c r="K14" s="152">
        <f t="shared" si="3"/>
        <v>2029</v>
      </c>
      <c r="L14" s="152">
        <f t="shared" si="3"/>
        <v>2030</v>
      </c>
      <c r="M14" s="152">
        <f t="shared" si="3"/>
        <v>2031</v>
      </c>
      <c r="N14" s="152">
        <f t="shared" si="3"/>
        <v>2032</v>
      </c>
      <c r="O14" s="152">
        <f t="shared" si="3"/>
        <v>2033</v>
      </c>
      <c r="P14" s="152">
        <f t="shared" si="3"/>
        <v>2034</v>
      </c>
      <c r="Q14" s="152">
        <f t="shared" si="3"/>
        <v>2035</v>
      </c>
      <c r="R14" s="152">
        <f t="shared" si="3"/>
        <v>2036</v>
      </c>
      <c r="S14" s="152">
        <f t="shared" si="3"/>
        <v>2037</v>
      </c>
      <c r="T14" s="152">
        <f t="shared" si="3"/>
        <v>2038</v>
      </c>
      <c r="U14" s="152">
        <f t="shared" si="3"/>
        <v>2039</v>
      </c>
      <c r="V14" s="152">
        <f t="shared" si="3"/>
        <v>2040</v>
      </c>
      <c r="W14" s="152">
        <f t="shared" si="3"/>
        <v>2041</v>
      </c>
      <c r="X14" s="152">
        <f t="shared" si="3"/>
        <v>2042</v>
      </c>
      <c r="Y14" s="152">
        <f t="shared" si="3"/>
        <v>2043</v>
      </c>
      <c r="Z14" s="152">
        <f t="shared" si="3"/>
        <v>2044</v>
      </c>
      <c r="AA14" s="152">
        <f t="shared" si="3"/>
        <v>2045</v>
      </c>
      <c r="AB14" s="152">
        <f t="shared" si="3"/>
        <v>2046</v>
      </c>
      <c r="AC14" s="209">
        <f t="shared" si="3"/>
        <v>2047</v>
      </c>
      <c r="AD14" s="210">
        <f t="shared" si="3"/>
        <v>2048</v>
      </c>
      <c r="AE14" s="152">
        <f t="shared" si="3"/>
        <v>2049</v>
      </c>
      <c r="AF14" s="152">
        <f t="shared" si="3"/>
        <v>2050</v>
      </c>
      <c r="AG14" s="152">
        <f t="shared" si="3"/>
        <v>2051</v>
      </c>
      <c r="AH14" s="152">
        <f t="shared" si="3"/>
        <v>2052</v>
      </c>
      <c r="AI14" s="152">
        <f t="shared" si="3"/>
        <v>2053</v>
      </c>
    </row>
    <row r="15" spans="1:36">
      <c r="A15" s="6" t="s">
        <v>134</v>
      </c>
      <c r="B15" s="16">
        <f>Hamilton!E$10/1000+Columbia!E$10/1000+Lake_Placid!E$10/1000+Trenton!E$10/1000+Debary!E$10/1000+Santa_Fe!E$10/1000+Twin_Rivers!E$10/1000+Duette!E$10/1000+Charlie_Creek!E$10/1000+Archer!E$10/1000</f>
        <v>65.260450182206341</v>
      </c>
      <c r="C15" s="16">
        <f>Hamilton!F$10/1000+Columbia!F$10/1000+Lake_Placid!F$10/1000+Trenton!F$10/1000+Debary!F$10/1000+Santa_Fe!F$10/1000+Twin_Rivers!F$10/1000+Duette!F$10/1000+Charlie_Creek!F$10/1000+Archer!F$10/1000</f>
        <v>102.08062069466152</v>
      </c>
      <c r="D15" s="16">
        <f>Hamilton!G$10/1000+Columbia!G$10/1000+Lake_Placid!G$10/1000+Trenton!G$10/1000+Debary!G$10/1000+Santa_Fe!G$10/1000+Twin_Rivers!G$10/1000+Duette!G$10/1000+Charlie_Creek!G$10/1000+Archer!G$10/1000</f>
        <v>140.1396490741636</v>
      </c>
      <c r="E15" s="16">
        <f>Hamilton!H$10/1000+Columbia!H$10/1000+Lake_Placid!H$10/1000+Trenton!H$10/1000+Debary!H$10/1000+Santa_Fe!H$10/1000+Twin_Rivers!H$10/1000+Duette!H$10/1000+Charlie_Creek!H$10/1000+Archer!H$10/1000</f>
        <v>134.04030278914058</v>
      </c>
      <c r="F15" s="16">
        <f>Hamilton!I$10/1000+Columbia!I$10/1000+Lake_Placid!I$10/1000+Trenton!I$10/1000+Debary!I$10/1000+Santa_Fe!I$10/1000+Twin_Rivers!I$10/1000+Duette!I$10/1000+Charlie_Creek!I$10/1000+Archer!I$10/1000</f>
        <v>128.64619422858411</v>
      </c>
      <c r="G15" s="16">
        <f>Hamilton!J$10/1000+Columbia!J$10/1000+Lake_Placid!J$10/1000+Trenton!J$10/1000+Debary!J$10/1000+Santa_Fe!J$10/1000+Twin_Rivers!J$10/1000+Duette!J$10/1000+Charlie_Creek!J$10/1000+Archer!J$10/1000</f>
        <v>120.64800562725537</v>
      </c>
      <c r="H15" s="16">
        <f>Hamilton!K$10/1000+Columbia!K$10/1000+Lake_Placid!K$10/1000+Trenton!K$10/1000+Debary!K$10/1000+Santa_Fe!K$10/1000+Twin_Rivers!K$10/1000+Duette!K$10/1000+Charlie_Creek!K$10/1000+Archer!K$10/1000</f>
        <v>106.55728151377239</v>
      </c>
      <c r="I15" s="16">
        <f>Hamilton!L$10/1000+Columbia!L$10/1000+Lake_Placid!L$10/1000+Trenton!L$10/1000+Debary!L$10/1000+Santa_Fe!L$10/1000+Twin_Rivers!L$10/1000+Duette!L$10/1000+Charlie_Creek!L$10/1000+Archer!L$10/1000</f>
        <v>103.56659689744981</v>
      </c>
      <c r="J15" s="16">
        <f>Hamilton!M$10/1000+Columbia!M$10/1000+Lake_Placid!M$10/1000+Trenton!M$10/1000+Debary!M$10/1000+Santa_Fe!M$10/1000+Twin_Rivers!M$10/1000+Duette!M$10/1000+Charlie_Creek!M$10/1000+Archer!M$10/1000</f>
        <v>100.82687797199034</v>
      </c>
      <c r="K15" s="16">
        <f>Hamilton!N$10/1000+Columbia!N$10/1000+Lake_Placid!N$10/1000+Trenton!N$10/1000+Debary!N$10/1000+Santa_Fe!N$10/1000+Twin_Rivers!N$10/1000+Duette!N$10/1000+Charlie_Creek!N$10/1000+Archer!N$10/1000</f>
        <v>98.309899435961768</v>
      </c>
      <c r="L15" s="16">
        <f>Hamilton!O$10/1000+Columbia!O$10/1000+Lake_Placid!O$10/1000+Trenton!O$10/1000+Debary!O$10/1000+Santa_Fe!O$10/1000+Twin_Rivers!O$10/1000+Duette!O$10/1000+Charlie_Creek!O$10/1000+Archer!O$10/1000</f>
        <v>95.755033583931194</v>
      </c>
      <c r="M15" s="16">
        <f>Hamilton!P$10/1000+Columbia!P$10/1000+Lake_Placid!P$10/1000+Trenton!P$10/1000+Debary!P$10/1000+Santa_Fe!P$10/1000+Twin_Rivers!P$10/1000+Duette!P$10/1000+Charlie_Creek!P$10/1000+Archer!P$10/1000</f>
        <v>93.237225357173344</v>
      </c>
      <c r="N15" s="16">
        <f>Hamilton!Q$10/1000+Columbia!Q$10/1000+Lake_Placid!Q$10/1000+Trenton!Q$10/1000+Debary!Q$10/1000+Santa_Fe!Q$10/1000+Twin_Rivers!Q$10/1000+Duette!Q$10/1000+Charlie_Creek!Q$10/1000+Archer!Q$10/1000</f>
        <v>90.726054168103147</v>
      </c>
      <c r="O15" s="16">
        <f>Hamilton!R$10/1000+Columbia!R$10/1000+Lake_Placid!R$10/1000+Trenton!R$10/1000+Debary!R$10/1000+Santa_Fe!R$10/1000+Twin_Rivers!R$10/1000+Duette!R$10/1000+Charlie_Creek!R$10/1000+Archer!R$10/1000</f>
        <v>88.301601526088845</v>
      </c>
      <c r="P15" s="16">
        <f>Hamilton!S$10/1000+Columbia!S$10/1000+Lake_Placid!S$10/1000+Trenton!S$10/1000+Debary!S$10/1000+Santa_Fe!S$10/1000+Twin_Rivers!S$10/1000+Duette!S$10/1000+Charlie_Creek!S$10/1000+Archer!S$10/1000</f>
        <v>85.76397260337508</v>
      </c>
      <c r="Q15" s="16">
        <f>Hamilton!T$10/1000+Columbia!T$10/1000+Lake_Placid!T$10/1000+Trenton!T$10/1000+Debary!T$10/1000+Santa_Fe!T$10/1000+Twin_Rivers!T$10/1000+Duette!T$10/1000+Charlie_Creek!T$10/1000+Archer!T$10/1000</f>
        <v>83.238224479776378</v>
      </c>
      <c r="R15" s="16">
        <f>Hamilton!U$10/1000+Columbia!U$10/1000+Lake_Placid!U$10/1000+Trenton!U$10/1000+Debary!U$10/1000+Santa_Fe!U$10/1000+Twin_Rivers!U$10/1000+Duette!U$10/1000+Charlie_Creek!U$10/1000+Archer!U$10/1000</f>
        <v>80.598791337134827</v>
      </c>
      <c r="S15" s="16">
        <f>Hamilton!V$10/1000+Columbia!V$10/1000+Lake_Placid!V$10/1000+Trenton!V$10/1000+Debary!V$10/1000+Santa_Fe!V$10/1000+Twin_Rivers!V$10/1000+Duette!V$10/1000+Charlie_Creek!V$10/1000+Archer!V$10/1000</f>
        <v>78.071339778696768</v>
      </c>
      <c r="T15" s="16">
        <f>Hamilton!W$10/1000+Columbia!W$10/1000+Lake_Placid!W$10/1000+Trenton!W$10/1000+Debary!W$10/1000+Santa_Fe!W$10/1000+Twin_Rivers!W$10/1000+Duette!W$10/1000+Charlie_Creek!W$10/1000+Archer!W$10/1000</f>
        <v>78.09258300930594</v>
      </c>
      <c r="U15" s="16">
        <f>Hamilton!X$10/1000+Columbia!X$10/1000+Lake_Placid!X$10/1000+Trenton!X$10/1000+Debary!X$10/1000+Santa_Fe!X$10/1000+Twin_Rivers!X$10/1000+Duette!X$10/1000+Charlie_Creek!X$10/1000+Archer!X$10/1000</f>
        <v>77.049132064444734</v>
      </c>
      <c r="V15" s="16">
        <f>Hamilton!Y$10/1000+Columbia!Y$10/1000+Lake_Placid!Y$10/1000+Trenton!Y$10/1000+Debary!Y$10/1000+Santa_Fe!Y$10/1000+Twin_Rivers!Y$10/1000+Duette!Y$10/1000+Charlie_Creek!Y$10/1000+Archer!Y$10/1000</f>
        <v>74.343785062889211</v>
      </c>
      <c r="W15" s="16">
        <f>Hamilton!Z$10/1000+Columbia!Z$10/1000+Lake_Placid!Z$10/1000+Trenton!Z$10/1000+Debary!Z$10/1000+Santa_Fe!Z$10/1000+Twin_Rivers!Z$10/1000+Duette!Z$10/1000+Charlie_Creek!Z$10/1000+Archer!Z$10/1000</f>
        <v>71.700748538238017</v>
      </c>
      <c r="X15" s="16">
        <f>Hamilton!AA$10/1000+Columbia!AA$10/1000+Lake_Placid!AA$10/1000+Trenton!AA$10/1000+Debary!AA$10/1000+Santa_Fe!AA$10/1000+Twin_Rivers!AA$10/1000+Duette!AA$10/1000+Charlie_Creek!AA$10/1000+Archer!AA$10/1000</f>
        <v>69.274426053501713</v>
      </c>
      <c r="Y15" s="16">
        <f>Hamilton!AB$10/1000+Columbia!AB$10/1000+Lake_Placid!AB$10/1000+Trenton!AB$10/1000+Debary!AB$10/1000+Santa_Fe!AB$10/1000+Twin_Rivers!AB$10/1000+Duette!AB$10/1000+Charlie_Creek!AB$10/1000+Archer!AB$10/1000</f>
        <v>66.777509599182792</v>
      </c>
      <c r="Z15" s="16">
        <f>Hamilton!AC$10/1000+Columbia!AC$10/1000+Lake_Placid!AC$10/1000+Trenton!AC$10/1000+Debary!AC$10/1000+Santa_Fe!AC$10/1000+Twin_Rivers!AC$10/1000+Duette!AC$10/1000+Charlie_Creek!AC$10/1000+Archer!AC$10/1000</f>
        <v>64.511486072982294</v>
      </c>
      <c r="AA15" s="16">
        <f>Hamilton!AD$10/1000+Columbia!AD$10/1000+Lake_Placid!AD$10/1000+Trenton!AD$10/1000+Debary!AD$10/1000+Santa_Fe!AD$10/1000+Twin_Rivers!AD$10/1000+Duette!AD$10/1000+Charlie_Creek!AD$10/1000+Archer!AD$10/1000</f>
        <v>62.123479086747679</v>
      </c>
      <c r="AB15" s="16">
        <f>Hamilton!AE$10/1000+Columbia!AE$10/1000+Lake_Placid!AE$10/1000+Trenton!AE$10/1000+Debary!AE$10/1000+Santa_Fe!AE$10/1000+Twin_Rivers!AE$10/1000+Duette!AE$10/1000+Charlie_Creek!AE$10/1000+Archer!AE$10/1000</f>
        <v>59.912845166921755</v>
      </c>
      <c r="AC15" s="16">
        <f>Hamilton!AF$10/1000+Columbia!AF$10/1000+Lake_Placid!AF$10/1000+Trenton!AF$10/1000+Debary!AF$10/1000+Santa_Fe!AF$10/1000+Twin_Rivers!AF$10/1000+Duette!AF$10/1000+Charlie_Creek!AF$10/1000+Archer!AF$10/1000</f>
        <v>57.650395769136487</v>
      </c>
      <c r="AD15" s="16">
        <f>Hamilton!AG$10/1000+Columbia!AG$10/1000+Lake_Placid!AG$10/1000+Trenton!AG$10/1000+Debary!AG$10/1000+Santa_Fe!AG$10/1000+Twin_Rivers!AG$10/1000+Duette!AG$10/1000+Charlie_Creek!AG$10/1000+Archer!AG$10/1000</f>
        <v>57.703514450685773</v>
      </c>
      <c r="AE15" s="16">
        <f>Hamilton!AH$10/1000+Columbia!AH$10/1000+Lake_Placid!AH$10/1000+Trenton!AH$10/1000+Debary!AH$10/1000+Santa_Fe!AH$10/1000+Twin_Rivers!AH$10/1000+Duette!AH$10/1000+Charlie_Creek!AH$10/1000+Archer!AH$10/1000</f>
        <v>52.145094362648948</v>
      </c>
      <c r="AF15" s="16">
        <f>Hamilton!AI$10/1000+Columbia!AI$10/1000+Lake_Placid!AI$10/1000+Trenton!AI$10/1000+Debary!AI$10/1000+Santa_Fe!AI$10/1000+Twin_Rivers!AI$10/1000+Duette!AI$10/1000+Charlie_Creek!AI$10/1000+Archer!AI$10/1000</f>
        <v>37.078414464395848</v>
      </c>
      <c r="AG15" s="16">
        <f>Hamilton!AJ$10/1000+Columbia!AJ$10/1000+Lake_Placid!AJ$10/1000+Trenton!AJ$10/1000+Debary!AJ$10/1000+Santa_Fe!AJ$10/1000+Twin_Rivers!AJ$10/1000+Duette!AJ$10/1000+Charlie_Creek!AJ$10/1000+Archer!AJ$10/1000</f>
        <v>21.622436034797943</v>
      </c>
      <c r="AH15" s="16">
        <f>Hamilton!AK$10/1000+Columbia!AK$10/1000+Lake_Placid!AK$10/1000+Trenton!AK$10/1000+Debary!AK$10/1000+Santa_Fe!AK$10/1000+Twin_Rivers!AK$10/1000+Duette!AK$10/1000+Charlie_Creek!AK$10/1000+Archer!AK$10/1000</f>
        <v>3.3113138854625253</v>
      </c>
      <c r="AI15" s="16">
        <f>Hamilton!AL$10/1000+Columbia!AL$10/1000+Lake_Placid!AL$10/1000+Trenton!AL$10/1000+Debary!AL$10/1000+Santa_Fe!AL$10/1000+Twin_Rivers!AL$10/1000+Duette!AL$10/1000+Charlie_Creek!AL$10/1000+Archer!AL$10/1000</f>
        <v>3.1867270656465223</v>
      </c>
      <c r="AJ15" s="16"/>
    </row>
    <row r="16" spans="1:36">
      <c r="A16" s="6" t="s">
        <v>135</v>
      </c>
      <c r="B16" s="16">
        <f>CEC_2022!E$10/1000+CEC_2023!E$10/1000+CEC_2024!E$10/1000</f>
        <v>0</v>
      </c>
      <c r="C16" s="16">
        <f>CEC_2022!F$10/1000+CEC_2023!F$10/1000+CEC_2024!F$10/1000</f>
        <v>0</v>
      </c>
      <c r="D16" s="16">
        <f>CEC_2022!G$10/1000+CEC_2023!G$10/1000+CEC_2024!G$10/1000</f>
        <v>30.858064131033437</v>
      </c>
      <c r="E16" s="16">
        <f>CEC_2022!H$10/1000+CEC_2023!H$10/1000+CEC_2024!H$10/1000</f>
        <v>87.07123900568844</v>
      </c>
      <c r="F16" s="16">
        <f>CEC_2022!I$10/1000+CEC_2023!I$10/1000+CEC_2024!I$10/1000</f>
        <v>138.32148483336081</v>
      </c>
      <c r="G16" s="16">
        <f>CEC_2022!J$10/1000+CEC_2023!J$10/1000+CEC_2024!J$10/1000</f>
        <v>131.34102763355375</v>
      </c>
      <c r="H16" s="16">
        <f>CEC_2022!K$10/1000+CEC_2023!K$10/1000+CEC_2024!K$10/1000</f>
        <v>125.32829334309196</v>
      </c>
      <c r="I16" s="16">
        <f>CEC_2022!L$10/1000+CEC_2023!L$10/1000+CEC_2024!L$10/1000</f>
        <v>112.37313136938053</v>
      </c>
      <c r="J16" s="16">
        <f>CEC_2022!M$10/1000+CEC_2023!M$10/1000+CEC_2024!M$10/1000</f>
        <v>108.5565089486837</v>
      </c>
      <c r="K16" s="16">
        <f>CEC_2022!N$10/1000+CEC_2023!N$10/1000+CEC_2024!N$10/1000</f>
        <v>105.48973259473424</v>
      </c>
      <c r="L16" s="16">
        <f>CEC_2022!O$10/1000+CEC_2023!O$10/1000+CEC_2024!O$10/1000</f>
        <v>102.87656792502673</v>
      </c>
      <c r="M16" s="16">
        <f>CEC_2022!P$10/1000+CEC_2023!P$10/1000+CEC_2024!P$10/1000</f>
        <v>100.51289638557827</v>
      </c>
      <c r="N16" s="16">
        <f>CEC_2022!Q$10/1000+CEC_2023!Q$10/1000+CEC_2024!Q$10/1000</f>
        <v>98.179378177042935</v>
      </c>
      <c r="O16" s="16">
        <f>CEC_2022!R$10/1000+CEC_2023!R$10/1000+CEC_2024!R$10/1000</f>
        <v>95.847943420614058</v>
      </c>
      <c r="P16" s="16">
        <f>CEC_2022!S$10/1000+CEC_2023!S$10/1000+CEC_2024!S$10/1000</f>
        <v>93.474328160646081</v>
      </c>
      <c r="Q16" s="16">
        <f>CEC_2022!T$10/1000+CEC_2023!T$10/1000+CEC_2024!T$10/1000</f>
        <v>91.186331074785173</v>
      </c>
      <c r="R16" s="16">
        <f>CEC_2022!U$10/1000+CEC_2023!U$10/1000+CEC_2024!U$10/1000</f>
        <v>88.936995255073953</v>
      </c>
      <c r="S16" s="16">
        <f>CEC_2022!V$10/1000+CEC_2023!V$10/1000+CEC_2024!V$10/1000</f>
        <v>86.647567246409736</v>
      </c>
      <c r="T16" s="16">
        <f>CEC_2022!W$10/1000+CEC_2023!W$10/1000+CEC_2024!W$10/1000</f>
        <v>90.572619755463975</v>
      </c>
      <c r="U16" s="16">
        <f>CEC_2022!X$10/1000+CEC_2023!X$10/1000+CEC_2024!X$10/1000</f>
        <v>87.77172842682694</v>
      </c>
      <c r="V16" s="16">
        <f>CEC_2022!Y$10/1000+CEC_2023!Y$10/1000+CEC_2024!Y$10/1000</f>
        <v>84.961956356760751</v>
      </c>
      <c r="W16" s="16">
        <f>CEC_2022!Z$10/1000+CEC_2023!Z$10/1000+CEC_2024!Z$10/1000</f>
        <v>82.175389106315691</v>
      </c>
      <c r="X16" s="16">
        <f>CEC_2022!AA$10/1000+CEC_2023!AA$10/1000+CEC_2024!AA$10/1000</f>
        <v>79.628352339490078</v>
      </c>
      <c r="Y16" s="16">
        <f>CEC_2022!AB$10/1000+CEC_2023!AB$10/1000+CEC_2024!AB$10/1000</f>
        <v>77.276014548631224</v>
      </c>
      <c r="Z16" s="16">
        <f>CEC_2022!AC$10/1000+CEC_2023!AC$10/1000+CEC_2024!AC$10/1000</f>
        <v>75.020683560031301</v>
      </c>
      <c r="AA16" s="16">
        <f>CEC_2022!AD$10/1000+CEC_2023!AD$10/1000+CEC_2024!AD$10/1000</f>
        <v>72.691083602545405</v>
      </c>
      <c r="AB16" s="16">
        <f>CEC_2022!AE$10/1000+CEC_2023!AE$10/1000+CEC_2024!AE$10/1000</f>
        <v>70.559218554413519</v>
      </c>
      <c r="AC16" s="119">
        <f>CEC_2022!AF$10/1000+CEC_2023!AF$10/1000+CEC_2024!AF$10/1000</f>
        <v>68.396619754674475</v>
      </c>
      <c r="AD16" s="211">
        <f>CEC_2022!AG$10/1000+CEC_2023!AG$10/1000+CEC_2024!AG$10/1000</f>
        <v>66.331776922346066</v>
      </c>
      <c r="AE16" s="16">
        <f>CEC_2022!AH$10/1000+CEC_2023!AH$10/1000+CEC_2024!AH$10/1000</f>
        <v>64.19727863392194</v>
      </c>
      <c r="AF16" s="16">
        <f>CEC_2022!AI$10/1000+CEC_2023!AI$10/1000+CEC_2024!AI$10/1000</f>
        <v>62.201468047298263</v>
      </c>
      <c r="AG16" s="16">
        <f>CEC_2022!AJ$10/1000+CEC_2023!AJ$10/1000+CEC_2024!AJ$10/1000</f>
        <v>63.884043803646705</v>
      </c>
      <c r="AH16" s="16">
        <f>CEC_2022!AK$10/1000+CEC_2023!AK$10/1000+CEC_2024!AK$10/1000</f>
        <v>54.391358551299618</v>
      </c>
      <c r="AI16" s="16">
        <f>CEC_2022!AL$10/1000+CEC_2023!AL$10/1000+CEC_2024!AL$10/1000</f>
        <v>31.274000020948147</v>
      </c>
      <c r="AJ16" s="16"/>
    </row>
    <row r="17" spans="1:36">
      <c r="A17" s="6" t="s">
        <v>60</v>
      </c>
      <c r="B17" s="16">
        <f>('[9]2019Fall_GenCap_CEC'!F$18+'[9]2019Fall_TrCap_CEC'!F$18)/1000</f>
        <v>0</v>
      </c>
      <c r="C17" s="16">
        <f>('[9]2019Fall_GenCap_CEC'!G$18+'[9]2019Fall_TrCap_CEC'!G$18)/1000</f>
        <v>0</v>
      </c>
      <c r="D17" s="16">
        <f>('[9]2019Fall_GenCap_CEC'!H$18+'[9]2019Fall_TrCap_CEC'!H$18)/1000</f>
        <v>0</v>
      </c>
      <c r="E17" s="16">
        <f>('[9]2019Fall_GenCap_CEC'!I$18+'[9]2019Fall_TrCap_CEC'!I$18)/1000</f>
        <v>0</v>
      </c>
      <c r="F17" s="16">
        <f>('[9]2019Fall_GenCap_CEC'!J$18+'[9]2019Fall_TrCap_CEC'!J$18)/1000</f>
        <v>0</v>
      </c>
      <c r="G17" s="16">
        <f>('[9]2019Fall_GenCap_CEC'!K$18+'[9]2019Fall_TrCap_CEC'!K$18)/1000</f>
        <v>0</v>
      </c>
      <c r="H17" s="16">
        <f>('[9]2019Fall_GenCap_CEC'!L$18+'[9]2019Fall_TrCap_CEC'!L$18)/1000</f>
        <v>0</v>
      </c>
      <c r="I17" s="16">
        <f>('[9]2019Fall_GenCap_CEC'!M$18+'[9]2019Fall_TrCap_CEC'!M$18)/1000</f>
        <v>10.717088725236454</v>
      </c>
      <c r="J17" s="16">
        <f>('[9]2019Fall_GenCap_CEC'!N$18+'[9]2019Fall_TrCap_CEC'!N$18)/1000</f>
        <v>17.959547413565073</v>
      </c>
      <c r="K17" s="16">
        <f>('[9]2019Fall_GenCap_CEC'!O$18+'[9]2019Fall_TrCap_CEC'!O$18)/1000</f>
        <v>28.426197298172987</v>
      </c>
      <c r="L17" s="16">
        <f>('[9]2019Fall_GenCap_CEC'!P$18+'[9]2019Fall_TrCap_CEC'!P$18)/1000</f>
        <v>35.349131023784736</v>
      </c>
      <c r="M17" s="16">
        <f>('[9]2019Fall_GenCap_CEC'!Q$18+'[9]2019Fall_TrCap_CEC'!Q$18)/1000</f>
        <v>45.609703397646946</v>
      </c>
      <c r="N17" s="16">
        <f>('[9]2019Fall_GenCap_CEC'!R$18+'[9]2019Fall_TrCap_CEC'!R$18)/1000</f>
        <v>52.25059957758593</v>
      </c>
      <c r="O17" s="16">
        <f>('[9]2019Fall_GenCap_CEC'!S$18+'[9]2019Fall_TrCap_CEC'!S$18)/1000</f>
        <v>62.337251153803344</v>
      </c>
      <c r="P17" s="16">
        <f>('[9]2019Fall_GenCap_CEC'!T$18+'[9]2019Fall_TrCap_CEC'!T$18)/1000</f>
        <v>220.53245388590415</v>
      </c>
      <c r="Q17" s="16">
        <f>('[9]2019Fall_GenCap_CEC'!U$18+'[9]2019Fall_TrCap_CEC'!U$18)/1000</f>
        <v>595.43948985906695</v>
      </c>
      <c r="R17" s="16">
        <f>('[9]2019Fall_GenCap_CEC'!V$18+'[9]2019Fall_TrCap_CEC'!V$18)/1000</f>
        <v>593.12059107695052</v>
      </c>
      <c r="S17" s="16">
        <f>('[9]2019Fall_GenCap_CEC'!W$18+'[9]2019Fall_TrCap_CEC'!W$18)/1000</f>
        <v>586.65164650587258</v>
      </c>
      <c r="T17" s="16">
        <f>('[9]2019Fall_GenCap_CEC'!X$18+'[9]2019Fall_TrCap_CEC'!X$18)/1000</f>
        <v>598.76565343349125</v>
      </c>
      <c r="U17" s="16">
        <f>('[9]2019Fall_GenCap_CEC'!Y$18+'[9]2019Fall_TrCap_CEC'!Y$18)/1000</f>
        <v>601.98359496079456</v>
      </c>
      <c r="V17" s="16">
        <f>('[9]2019Fall_GenCap_CEC'!Z$18+'[9]2019Fall_TrCap_CEC'!Z$18)/1000</f>
        <v>599.40726094203774</v>
      </c>
      <c r="W17" s="16">
        <f>('[9]2019Fall_GenCap_CEC'!AA$18+'[9]2019Fall_TrCap_CEC'!AA$18)/1000</f>
        <v>592.36935434195368</v>
      </c>
      <c r="X17" s="16">
        <f>('[9]2019Fall_GenCap_CEC'!AB$18+'[9]2019Fall_TrCap_CEC'!AB$18)/1000</f>
        <v>700.97138623819478</v>
      </c>
      <c r="Y17" s="16">
        <f>('[9]2019Fall_GenCap_CEC'!AC$18+'[9]2019Fall_TrCap_CEC'!AC$18)/1000</f>
        <v>1069.9554472113034</v>
      </c>
      <c r="Z17" s="16">
        <f>('[9]2019Fall_GenCap_CEC'!AD$18+'[9]2019Fall_TrCap_CEC'!AD$18)/1000</f>
        <v>1070.2115206873427</v>
      </c>
      <c r="AA17" s="16">
        <f>('[9]2019Fall_GenCap_CEC'!AE$18+'[9]2019Fall_TrCap_CEC'!AE$18)/1000</f>
        <v>1076.4119586696049</v>
      </c>
      <c r="AB17" s="16">
        <f>('[9]2019Fall_GenCap_CEC'!AF$18+'[9]2019Fall_TrCap_CEC'!AF$18)/1000</f>
        <v>1071.3146354060393</v>
      </c>
      <c r="AC17" s="119">
        <f>('[9]2019Fall_GenCap_CEC'!AG$18+'[9]2019Fall_TrCap_CEC'!AG$18)/1000</f>
        <v>1050.1288810293786</v>
      </c>
      <c r="AD17" s="211">
        <f>('[9]2019Fall_GenCap_CEC'!AH$18+'[9]2019Fall_TrCap_CEC'!AH$18)/1000</f>
        <v>1017.8352062078461</v>
      </c>
      <c r="AE17" s="16">
        <f>('[9]2019Fall_GenCap_CEC'!AI$18+'[9]2019Fall_TrCap_CEC'!AI$18)/1000</f>
        <v>986.0632405886804</v>
      </c>
      <c r="AF17" s="16">
        <f>('[9]2019Fall_GenCap_CEC'!AJ$18+'[9]2019Fall_TrCap_CEC'!AJ$18)/1000</f>
        <v>954.82001763246592</v>
      </c>
      <c r="AG17" s="16">
        <f>('[9]2019Fall_GenCap_CEC'!AK$18+'[9]2019Fall_TrCap_CEC'!AK$18)/1000</f>
        <v>923.86918947753918</v>
      </c>
      <c r="AH17" s="16">
        <f>('[9]2019Fall_GenCap_CEC'!AL$18+'[9]2019Fall_TrCap_CEC'!AL$18)/1000</f>
        <v>893.07617967486317</v>
      </c>
      <c r="AI17" s="16">
        <f>('[9]2019Fall_GenCap_CEC'!AM$18+'[9]2019Fall_TrCap_CEC'!AM$18)/1000</f>
        <v>862.47077369399312</v>
      </c>
      <c r="AJ17" s="23"/>
    </row>
    <row r="18" spans="1:36">
      <c r="A18" s="6" t="s">
        <v>68</v>
      </c>
      <c r="B18" s="16">
        <f>'[11]FOM Cost'!C$150/1000-SUM('[11]FOM Cost'!C$132:C$136)/1000</f>
        <v>445.38108</v>
      </c>
      <c r="C18" s="16">
        <f>'[11]FOM Cost'!D$150/1000-SUM('[11]FOM Cost'!D$132:D$136)/1000</f>
        <v>433.15770000000009</v>
      </c>
      <c r="D18" s="16">
        <f>'[11]FOM Cost'!E$150/1000-SUM('[11]FOM Cost'!E$132:E$136)/1000</f>
        <v>436.09264999999999</v>
      </c>
      <c r="E18" s="16">
        <f>'[11]FOM Cost'!F$150/1000-SUM('[11]FOM Cost'!F$132:F$136)/1000</f>
        <v>456.05954000000003</v>
      </c>
      <c r="F18" s="16">
        <f>'[11]FOM Cost'!G$150/1000-SUM('[11]FOM Cost'!G$132:G$136)/1000</f>
        <v>300.44051999999994</v>
      </c>
      <c r="G18" s="16">
        <f>'[11]FOM Cost'!H$150/1000-SUM('[11]FOM Cost'!H$132:H$136)/1000</f>
        <v>147.85321999999999</v>
      </c>
      <c r="H18" s="16">
        <f>'[11]FOM Cost'!I$150/1000-SUM('[11]FOM Cost'!I$132:I$136)/1000</f>
        <v>57.67533000000001</v>
      </c>
      <c r="I18" s="16">
        <f>'[11]FOM Cost'!J$150/1000-SUM('[11]FOM Cost'!J$132:J$136)/1000</f>
        <v>32.548740000000002</v>
      </c>
      <c r="J18" s="16">
        <f>'[11]FOM Cost'!K$150/1000-SUM('[11]FOM Cost'!K$132:K$136)/1000</f>
        <v>21.031479999999995</v>
      </c>
      <c r="K18" s="16">
        <f>'[11]FOM Cost'!L$150/1000-SUM('[11]FOM Cost'!L$132:L$136)/1000</f>
        <v>21.5931</v>
      </c>
      <c r="L18" s="16">
        <f>'[11]FOM Cost'!M$150/1000-SUM('[11]FOM Cost'!M$132:M$136)/1000</f>
        <v>22.107350000000007</v>
      </c>
      <c r="M18" s="16">
        <f>'[11]FOM Cost'!N$150/1000-SUM('[11]FOM Cost'!N$132:N$136)/1000</f>
        <v>22.752160000000003</v>
      </c>
      <c r="N18" s="16">
        <f>'[11]FOM Cost'!O$150/1000-SUM('[11]FOM Cost'!O$132:O$136)/1000</f>
        <v>23.31391</v>
      </c>
      <c r="O18" s="16">
        <f>'[11]FOM Cost'!P$150/1000-SUM('[11]FOM Cost'!P$132:P$136)/1000</f>
        <v>23.962970000000002</v>
      </c>
      <c r="P18" s="16">
        <f>'[11]FOM Cost'!Q$150/1000-SUM('[11]FOM Cost'!Q$132:Q$136)/1000</f>
        <v>30.484359999999999</v>
      </c>
      <c r="Q18" s="16">
        <f>'[11]FOM Cost'!R$150/1000-SUM('[11]FOM Cost'!R$132:R$136)/1000</f>
        <v>35.443780000000004</v>
      </c>
      <c r="R18" s="16">
        <f>'[11]FOM Cost'!S$150/1000-SUM('[11]FOM Cost'!S$132:S$136)/1000</f>
        <v>36.695809999999994</v>
      </c>
      <c r="S18" s="16">
        <f>'[11]FOM Cost'!T$150/1000-SUM('[11]FOM Cost'!T$132:T$136)/1000</f>
        <v>37.877529999999993</v>
      </c>
      <c r="T18" s="16">
        <f>'[11]FOM Cost'!U$150/1000-SUM('[11]FOM Cost'!U$132:U$136)/1000</f>
        <v>40.024909999999991</v>
      </c>
      <c r="U18" s="16">
        <f>'[11]FOM Cost'!V$150/1000-SUM('[11]FOM Cost'!V$132:V$136)/1000</f>
        <v>41.85933</v>
      </c>
      <c r="V18" s="16">
        <f>'[11]FOM Cost'!W$150/1000-SUM('[11]FOM Cost'!W$132:W$136)/1000</f>
        <v>43.490149999999993</v>
      </c>
      <c r="W18" s="16">
        <f>'[11]FOM Cost'!X$150/1000-SUM('[11]FOM Cost'!X$132:X$136)/1000</f>
        <v>44.870599999999996</v>
      </c>
      <c r="X18" s="16">
        <f>'[11]FOM Cost'!Y$150/1000-SUM('[11]FOM Cost'!Y$132:Y$136)/1000</f>
        <v>51.411669999999987</v>
      </c>
      <c r="Y18" s="16">
        <f>'[11]FOM Cost'!Z$150/1000-SUM('[11]FOM Cost'!Z$132:Z$136)/1000</f>
        <v>56.647639999999996</v>
      </c>
      <c r="Z18" s="16">
        <f>'[11]FOM Cost'!AA$150/1000-SUM('[11]FOM Cost'!AA$132:AA$136)/1000</f>
        <v>59.53315000000002</v>
      </c>
      <c r="AA18" s="16">
        <f>'[11]FOM Cost'!AB$150/1000-SUM('[11]FOM Cost'!AB$132:AB$136)/1000</f>
        <v>62.423000000000002</v>
      </c>
      <c r="AB18" s="16">
        <f>'[11]FOM Cost'!AC$150/1000-SUM('[11]FOM Cost'!AC$132:AC$136)/1000</f>
        <v>64.432090000000002</v>
      </c>
      <c r="AC18" s="16">
        <f>'[11]FOM Cost'!AD$150/1000-SUM('[11]FOM Cost'!AD$132:AD$136)/1000</f>
        <v>66.444210000000012</v>
      </c>
      <c r="AD18" s="16">
        <f>'[11]FOM Cost'!AE$150/1000-SUM('[11]FOM Cost'!AE$132:AE$136)/1000</f>
        <v>67.917249999999996</v>
      </c>
      <c r="AE18" s="16">
        <f>'[11]FOM Cost'!AF$150/1000-SUM('[11]FOM Cost'!AF$132:AF$136)/1000</f>
        <v>66.928879999999992</v>
      </c>
      <c r="AF18" s="16">
        <f>'[11]FOM Cost'!AG$150/1000-SUM('[11]FOM Cost'!AG$132:AG$136)/1000</f>
        <v>62.784119999999987</v>
      </c>
      <c r="AG18" s="16">
        <f>'[11]FOM Cost'!AH$150/1000-SUM('[11]FOM Cost'!AH$132:AH$136)/1000</f>
        <v>58.970110000000005</v>
      </c>
      <c r="AH18" s="16">
        <f>'[11]FOM Cost'!AI$150/1000-SUM('[11]FOM Cost'!AI$132:AI$136)/1000</f>
        <v>56.748150000000003</v>
      </c>
      <c r="AI18" s="16">
        <f>'[11]FOM Cost'!AJ$150/1000-SUM('[11]FOM Cost'!AJ$132:AJ$136)/1000</f>
        <v>57.936389999999996</v>
      </c>
      <c r="AJ18" s="16"/>
    </row>
    <row r="19" spans="1:36">
      <c r="A19" s="6" t="s">
        <v>67</v>
      </c>
      <c r="B19" s="16">
        <f>[11]System!B$13/1000</f>
        <v>390.67815999999999</v>
      </c>
      <c r="C19" s="16">
        <f>[11]System!C$13/1000</f>
        <v>384.87225999999998</v>
      </c>
      <c r="D19" s="16">
        <f>[11]System!D$13/1000</f>
        <v>381.80252000000002</v>
      </c>
      <c r="E19" s="16">
        <f>[11]System!E$13/1000</f>
        <v>381.80252000000002</v>
      </c>
      <c r="F19" s="16">
        <f>[11]System!F$13/1000</f>
        <v>382.80076000000003</v>
      </c>
      <c r="G19" s="16">
        <f>[11]System!G$13/1000</f>
        <v>381.80250999999998</v>
      </c>
      <c r="H19" s="16">
        <f>[11]System!H$13/1000</f>
        <v>381.80252000000002</v>
      </c>
      <c r="I19" s="16">
        <f>[11]System!I$13/1000</f>
        <v>381.80250999999998</v>
      </c>
      <c r="J19" s="16">
        <f>[11]System!J$13/1000</f>
        <v>382.80076000000003</v>
      </c>
      <c r="K19" s="16">
        <f>[11]System!K$13/1000</f>
        <v>381.80252000000002</v>
      </c>
      <c r="L19" s="16">
        <f>[11]System!L$13/1000</f>
        <v>381.80252000000002</v>
      </c>
      <c r="M19" s="16">
        <f>[11]System!M$13/1000</f>
        <v>381.80250999999998</v>
      </c>
      <c r="N19" s="16">
        <f>[11]System!N$13/1000</f>
        <v>382.80076000000003</v>
      </c>
      <c r="O19" s="16">
        <f>[11]System!O$13/1000</f>
        <v>381.80252000000002</v>
      </c>
      <c r="P19" s="16">
        <f>[11]System!P$13/1000</f>
        <v>462.23569000000003</v>
      </c>
      <c r="Q19" s="16">
        <f>[11]System!Q$13/1000</f>
        <v>521.52251999999999</v>
      </c>
      <c r="R19" s="16">
        <f>[11]System!R$13/1000</f>
        <v>535.07578999999998</v>
      </c>
      <c r="S19" s="16">
        <f>[11]System!S$13/1000</f>
        <v>544.75669999999991</v>
      </c>
      <c r="T19" s="16">
        <f>[11]System!T$13/1000</f>
        <v>573.23550999999998</v>
      </c>
      <c r="U19" s="16">
        <f>[11]System!U$13/1000</f>
        <v>593.57750999999996</v>
      </c>
      <c r="V19" s="16">
        <f>[11]System!V$13/1000</f>
        <v>608.53778</v>
      </c>
      <c r="W19" s="16">
        <f>[11]System!W$13/1000</f>
        <v>619.22370000000001</v>
      </c>
      <c r="X19" s="16">
        <f>[11]System!X$13/1000</f>
        <v>696.61036000000001</v>
      </c>
      <c r="Y19" s="16">
        <f>[11]System!Y$13/1000</f>
        <v>751.95618000000002</v>
      </c>
      <c r="Z19" s="16">
        <f>[11]System!Z$13/1000</f>
        <v>784.98285999999996</v>
      </c>
      <c r="AA19" s="16">
        <f>[11]System!AA$13/1000</f>
        <v>825.49950000000001</v>
      </c>
      <c r="AB19" s="16">
        <f>[11]System!AB$13/1000</f>
        <v>854.93898999999999</v>
      </c>
      <c r="AC19" s="119">
        <f>[11]System!AC$13/1000</f>
        <v>867.33136000000002</v>
      </c>
      <c r="AD19" s="211">
        <f>[11]System!AD$13/1000</f>
        <v>867.33136000000002</v>
      </c>
      <c r="AE19" s="16">
        <f>[11]System!AE$13/1000</f>
        <v>867.33136000000002</v>
      </c>
      <c r="AF19" s="16">
        <f>[11]System!AF$13/1000</f>
        <v>867.33136000000002</v>
      </c>
      <c r="AG19" s="16">
        <f>[11]System!AG$13/1000</f>
        <v>867.33136000000002</v>
      </c>
      <c r="AH19" s="16">
        <f>[11]System!AH$13/1000</f>
        <v>867.33136000000002</v>
      </c>
      <c r="AI19" s="16">
        <f>[11]System!AI$13/1000</f>
        <v>867.33136000000002</v>
      </c>
      <c r="AJ19" s="16"/>
    </row>
    <row r="20" spans="1:36">
      <c r="A20" s="6" t="s">
        <v>383</v>
      </c>
      <c r="B20" s="16">
        <f>'Program Admin Budget'!C105/1000000</f>
        <v>0</v>
      </c>
      <c r="C20" s="16">
        <f>'Program Admin Budget'!D105/1000000</f>
        <v>1.0200790961866668</v>
      </c>
      <c r="D20" s="16">
        <f>'Program Admin Budget'!E105/1000000</f>
        <v>0.6275365374466666</v>
      </c>
      <c r="E20" s="16">
        <f>'Program Admin Budget'!F105/1000000</f>
        <v>0.68307619099066674</v>
      </c>
      <c r="F20" s="16">
        <f>'Program Admin Budget'!G105/1000000</f>
        <v>0.67471288001039997</v>
      </c>
      <c r="G20" s="16">
        <f>'Program Admin Budget'!H105/1000000</f>
        <v>0.65619743327906666</v>
      </c>
      <c r="H20" s="16">
        <f>'Program Admin Budget'!I105/1000000</f>
        <v>0.51050195073344673</v>
      </c>
      <c r="I20" s="16">
        <f>'Program Admin Budget'!J105/1000000</f>
        <v>0.56509226722358352</v>
      </c>
      <c r="J20" s="16">
        <f>'Program Admin Budget'!K105/1000000</f>
        <v>0.52413609409135764</v>
      </c>
      <c r="K20" s="16">
        <f>'Program Admin Budget'!L105/1000000</f>
        <v>0.54544233186889834</v>
      </c>
      <c r="L20" s="16">
        <f>'Program Admin Budget'!M105/1000000</f>
        <v>0.58902085979309859</v>
      </c>
      <c r="M20" s="16">
        <f>'Program Admin Budget'!N105/1000000</f>
        <v>0.37240217849023277</v>
      </c>
      <c r="N20" s="16">
        <f>'Program Admin Budget'!O105/1000000</f>
        <v>0.3688563987997398</v>
      </c>
      <c r="O20" s="16">
        <f>'Program Admin Budget'!P105/1000000</f>
        <v>0.42743734873186529</v>
      </c>
      <c r="P20" s="16">
        <f>'Program Admin Budget'!Q105/1000000</f>
        <v>0.38235152804488787</v>
      </c>
      <c r="Q20" s="16">
        <f>'Program Admin Budget'!R105/1000000</f>
        <v>0.3994042288410346</v>
      </c>
      <c r="R20" s="16">
        <f>'Program Admin Budget'!S105/1000000</f>
        <v>0.43860161367439893</v>
      </c>
      <c r="S20" s="16">
        <f>'Program Admin Budget'!T105/1000000</f>
        <v>0.4141507209356976</v>
      </c>
      <c r="T20" s="16">
        <f>'Program Admin Budget'!U105/1000000</f>
        <v>0.41185739751856848</v>
      </c>
      <c r="U20" s="16">
        <f>'Program Admin Budget'!V105/1000000</f>
        <v>0.47172837741225887</v>
      </c>
      <c r="V20" s="16">
        <f>'Program Admin Budget'!W105/1000000</f>
        <v>0.42797128758569336</v>
      </c>
      <c r="W20" s="16">
        <f>'Program Admin Budget'!X105/1000000</f>
        <v>0.44639258116806418</v>
      </c>
      <c r="X20" s="16">
        <f>'Program Admin Budget'!Y105/1000000</f>
        <v>0.48699961657123941</v>
      </c>
      <c r="Y20" s="16">
        <f>'Program Admin Budget'!Z105/1000000</f>
        <v>0.46400066391944333</v>
      </c>
      <c r="Z20" s="16">
        <f>'Program Admin Budget'!AA105/1000000</f>
        <v>0.46320283879182667</v>
      </c>
      <c r="AA20" s="16">
        <f>'Program Admin Budget'!AB105/1000000</f>
        <v>0.52461418192371467</v>
      </c>
      <c r="AB20" s="16">
        <f>'Program Admin Budget'!AC105/1000000</f>
        <v>0.44572711472582627</v>
      </c>
      <c r="AC20" s="16">
        <f>'Program Admin Budget'!AD105/1000000</f>
        <v>0.48078257966760096</v>
      </c>
      <c r="AD20" s="16">
        <f>'Program Admin Budget'!AE105/1000000</f>
        <v>0.4661397085576291</v>
      </c>
      <c r="AE20" s="16">
        <f>'Program Admin Budget'!AF105/1000000</f>
        <v>0.49780755131435794</v>
      </c>
      <c r="AF20" s="16">
        <f>'Program Admin Budget'!AG105/1000000</f>
        <v>0.48779542935378872</v>
      </c>
      <c r="AG20" s="16">
        <f>'Program Admin Budget'!AH105/1000000</f>
        <v>0.52411294373440231</v>
      </c>
      <c r="AH20" s="16">
        <f>'Program Admin Budget'!AI105/1000000</f>
        <v>0.49316099354643445</v>
      </c>
      <c r="AI20" s="16">
        <f>'Program Admin Budget'!AJ105/1000000</f>
        <v>0.49494976455282746</v>
      </c>
      <c r="AJ20" s="16"/>
    </row>
    <row r="21" spans="1:36">
      <c r="A21" s="6" t="s">
        <v>65</v>
      </c>
      <c r="B21" s="16">
        <f>'[11]Fuel Cost'!C$150/1000</f>
        <v>849.84470000000033</v>
      </c>
      <c r="C21" s="16">
        <f>'[11]Fuel Cost'!D$150/1000</f>
        <v>858.9478899999998</v>
      </c>
      <c r="D21" s="16">
        <f>'[11]Fuel Cost'!E$150/1000</f>
        <v>875.38603999999964</v>
      </c>
      <c r="E21" s="16">
        <f>'[11]Fuel Cost'!F$150/1000</f>
        <v>877.50779999999975</v>
      </c>
      <c r="F21" s="16">
        <f>'[11]Fuel Cost'!G$150/1000</f>
        <v>864.54453999999998</v>
      </c>
      <c r="G21" s="16">
        <f>'[11]Fuel Cost'!H$150/1000</f>
        <v>919.29379000000006</v>
      </c>
      <c r="H21" s="16">
        <f>'[11]Fuel Cost'!I$150/1000</f>
        <v>998.77789000000064</v>
      </c>
      <c r="I21" s="16">
        <f>'[11]Fuel Cost'!J$150/1000</f>
        <v>1120.8495800000003</v>
      </c>
      <c r="J21" s="16">
        <f>'[11]Fuel Cost'!K$150/1000</f>
        <v>1289.6431699999998</v>
      </c>
      <c r="K21" s="16">
        <f>'[11]Fuel Cost'!L$150/1000</f>
        <v>1392.3045699999998</v>
      </c>
      <c r="L21" s="16">
        <f>'[11]Fuel Cost'!M$150/1000</f>
        <v>1483.1671000000003</v>
      </c>
      <c r="M21" s="16">
        <f>'[11]Fuel Cost'!N$150/1000</f>
        <v>1548.1317899999999</v>
      </c>
      <c r="N21" s="16">
        <f>'[11]Fuel Cost'!O$150/1000</f>
        <v>1648.6582099999998</v>
      </c>
      <c r="O21" s="16">
        <f>'[11]Fuel Cost'!P$150/1000</f>
        <v>1660.91975</v>
      </c>
      <c r="P21" s="16">
        <f>'[11]Fuel Cost'!Q$150/1000</f>
        <v>1725.9567300000003</v>
      </c>
      <c r="Q21" s="16">
        <f>'[11]Fuel Cost'!R$150/1000</f>
        <v>1791.3535500000003</v>
      </c>
      <c r="R21" s="16">
        <f>'[11]Fuel Cost'!S$150/1000</f>
        <v>1845.56195</v>
      </c>
      <c r="S21" s="16">
        <f>'[11]Fuel Cost'!T$150/1000</f>
        <v>1997.9520199999999</v>
      </c>
      <c r="T21" s="16">
        <f>'[11]Fuel Cost'!U$150/1000</f>
        <v>2112.4590900000003</v>
      </c>
      <c r="U21" s="16">
        <f>'[11]Fuel Cost'!V$150/1000</f>
        <v>2188.7272399999997</v>
      </c>
      <c r="V21" s="16">
        <f>'[11]Fuel Cost'!W$150/1000</f>
        <v>2304.6522900000004</v>
      </c>
      <c r="W21" s="16">
        <f>'[11]Fuel Cost'!X$150/1000</f>
        <v>2419.0812000000001</v>
      </c>
      <c r="X21" s="16">
        <f>'[11]Fuel Cost'!Y$150/1000</f>
        <v>2466.2495699999999</v>
      </c>
      <c r="Y21" s="16">
        <f>'[11]Fuel Cost'!Z$150/1000</f>
        <v>2518.6029500000009</v>
      </c>
      <c r="Z21" s="16">
        <f>'[11]Fuel Cost'!AA$150/1000</f>
        <v>2659.0966100000005</v>
      </c>
      <c r="AA21" s="16">
        <f>'[11]Fuel Cost'!AB$150/1000</f>
        <v>2825.837469999999</v>
      </c>
      <c r="AB21" s="16">
        <f>'[11]Fuel Cost'!AC$150/1000</f>
        <v>2973.4949200000001</v>
      </c>
      <c r="AC21" s="119">
        <f>'[11]Fuel Cost'!AD$150/1000</f>
        <v>3015.7788300000002</v>
      </c>
      <c r="AD21" s="211">
        <f>'[11]Fuel Cost'!AE$150/1000</f>
        <v>3136.2655100000002</v>
      </c>
      <c r="AE21" s="16">
        <f>'[11]Fuel Cost'!AF$150/1000</f>
        <v>3184.9557200000008</v>
      </c>
      <c r="AF21" s="16">
        <f>'[11]Fuel Cost'!AG$150/1000</f>
        <v>3260.4542299999994</v>
      </c>
      <c r="AG21" s="16">
        <f>'[11]Fuel Cost'!AH$150/1000</f>
        <v>3367.5994299999998</v>
      </c>
      <c r="AH21" s="16">
        <f>'[11]Fuel Cost'!AI$150/1000</f>
        <v>3505.5848599999999</v>
      </c>
      <c r="AI21" s="16">
        <f>'[11]Fuel Cost'!AJ$150/1000</f>
        <v>3626.6787600000002</v>
      </c>
      <c r="AJ21" s="16"/>
    </row>
    <row r="22" spans="1:36">
      <c r="A22" s="6" t="s">
        <v>52</v>
      </c>
      <c r="B22" s="16">
        <f>('[11]Start Cost'!C$150+'[11]VOM Cost'!C$150)/1000+([11]System!B$7+[11]System!B$9)/1000</f>
        <v>86.065810000000013</v>
      </c>
      <c r="C22" s="16">
        <f>('[11]Start Cost'!D$150+'[11]VOM Cost'!D$150)/1000+([11]System!C$7+[11]System!C$9)/1000</f>
        <v>91.133150000000001</v>
      </c>
      <c r="D22" s="16">
        <f>('[11]Start Cost'!E$150+'[11]VOM Cost'!E$150)/1000+([11]System!D$7+[11]System!D$9)/1000</f>
        <v>97.62521999999997</v>
      </c>
      <c r="E22" s="16">
        <f>('[11]Start Cost'!F$150+'[11]VOM Cost'!F$150)/1000+([11]System!E$7+[11]System!E$9)/1000</f>
        <v>102.71341000000001</v>
      </c>
      <c r="F22" s="16">
        <f>('[11]Start Cost'!G$150+'[11]VOM Cost'!G$150)/1000+([11]System!F$7+[11]System!F$9)/1000</f>
        <v>111.5038</v>
      </c>
      <c r="G22" s="16">
        <f>('[11]Start Cost'!H$150+'[11]VOM Cost'!H$150)/1000+([11]System!G$7+[11]System!G$9)/1000</f>
        <v>125.45444000000001</v>
      </c>
      <c r="H22" s="16">
        <f>('[11]Start Cost'!I$150+'[11]VOM Cost'!I$150)/1000+([11]System!H$7+[11]System!H$9)/1000</f>
        <v>145.09267999999997</v>
      </c>
      <c r="I22" s="16">
        <f>('[11]Start Cost'!J$150+'[11]VOM Cost'!J$150)/1000+([11]System!I$7+[11]System!I$9)/1000</f>
        <v>163.99338</v>
      </c>
      <c r="J22" s="16">
        <f>('[11]Start Cost'!K$150+'[11]VOM Cost'!K$150)/1000+([11]System!J$7+[11]System!J$9)/1000</f>
        <v>185.85340000000002</v>
      </c>
      <c r="K22" s="16">
        <f>('[11]Start Cost'!L$150+'[11]VOM Cost'!L$150)/1000+([11]System!K$7+[11]System!K$9)/1000</f>
        <v>197.76798999999994</v>
      </c>
      <c r="L22" s="16">
        <f>('[11]Start Cost'!M$150+'[11]VOM Cost'!M$150)/1000+([11]System!L$7+[11]System!L$9)/1000</f>
        <v>219.68044</v>
      </c>
      <c r="M22" s="16">
        <f>('[11]Start Cost'!N$150+'[11]VOM Cost'!N$150)/1000+([11]System!M$7+[11]System!M$9)/1000</f>
        <v>241.12895</v>
      </c>
      <c r="N22" s="16">
        <f>('[11]Start Cost'!O$150+'[11]VOM Cost'!O$150)/1000+([11]System!N$7+[11]System!N$9)/1000</f>
        <v>252.89995999999999</v>
      </c>
      <c r="O22" s="16">
        <f>('[11]Start Cost'!P$150+'[11]VOM Cost'!P$150)/1000+([11]System!O$7+[11]System!O$9)/1000</f>
        <v>270.95013</v>
      </c>
      <c r="P22" s="16">
        <f>('[11]Start Cost'!Q$150+'[11]VOM Cost'!Q$150)/1000+([11]System!P$7+[11]System!P$9)/1000</f>
        <v>276.45068000000003</v>
      </c>
      <c r="Q22" s="16">
        <f>('[11]Start Cost'!R$150+'[11]VOM Cost'!R$150)/1000+([11]System!Q$7+[11]System!Q$9)/1000</f>
        <v>294.46471000000003</v>
      </c>
      <c r="R22" s="16">
        <f>('[11]Start Cost'!S$150+'[11]VOM Cost'!S$150)/1000+([11]System!R$7+[11]System!R$9)/1000</f>
        <v>314.22550000000001</v>
      </c>
      <c r="S22" s="16">
        <f>('[11]Start Cost'!T$150+'[11]VOM Cost'!T$150)/1000+([11]System!S$7+[11]System!S$9)/1000</f>
        <v>353.25901999999996</v>
      </c>
      <c r="T22" s="16">
        <f>('[11]Start Cost'!U$150+'[11]VOM Cost'!U$150)/1000+([11]System!T$7+[11]System!T$9)/1000</f>
        <v>371.16975000000002</v>
      </c>
      <c r="U22" s="16">
        <f>('[11]Start Cost'!V$150+'[11]VOM Cost'!V$150)/1000+([11]System!U$7+[11]System!U$9)/1000</f>
        <v>410.17481000000004</v>
      </c>
      <c r="V22" s="16">
        <f>('[11]Start Cost'!W$150+'[11]VOM Cost'!W$150)/1000+([11]System!V$7+[11]System!V$9)/1000</f>
        <v>418.08875</v>
      </c>
      <c r="W22" s="16">
        <f>('[11]Start Cost'!X$150+'[11]VOM Cost'!X$150)/1000+([11]System!W$7+[11]System!W$9)/1000</f>
        <v>443.61351000000002</v>
      </c>
      <c r="X22" s="16">
        <f>('[11]Start Cost'!Y$150+'[11]VOM Cost'!Y$150)/1000+([11]System!X$7+[11]System!X$9)/1000</f>
        <v>453.72641999999991</v>
      </c>
      <c r="Y22" s="16">
        <f>('[11]Start Cost'!Z$150+'[11]VOM Cost'!Z$150)/1000+([11]System!Y$7+[11]System!Y$9)/1000</f>
        <v>474.96098999999992</v>
      </c>
      <c r="Z22" s="16">
        <f>('[11]Start Cost'!AA$150+'[11]VOM Cost'!AA$150)/1000+([11]System!Z$7+[11]System!Z$9)/1000</f>
        <v>490.11336999999997</v>
      </c>
      <c r="AA22" s="16">
        <f>('[11]Start Cost'!AB$150+'[11]VOM Cost'!AB$150)/1000+([11]System!AA$7+[11]System!AA$9)/1000</f>
        <v>519.10543999999993</v>
      </c>
      <c r="AB22" s="16">
        <f>('[11]Start Cost'!AC$150+'[11]VOM Cost'!AC$150)/1000+([11]System!AB$7+[11]System!AB$9)/1000</f>
        <v>536.72561000000007</v>
      </c>
      <c r="AC22" s="119">
        <f>('[11]Start Cost'!AD$150+'[11]VOM Cost'!AD$150)/1000+([11]System!AC$7+[11]System!AC$9)/1000</f>
        <v>564.9661000000001</v>
      </c>
      <c r="AD22" s="211">
        <f>('[11]Start Cost'!AE$150+'[11]VOM Cost'!AE$150)/1000+([11]System!AD$7+[11]System!AD$9)/1000</f>
        <v>582.01787000000002</v>
      </c>
      <c r="AE22" s="16">
        <f>('[11]Start Cost'!AF$150+'[11]VOM Cost'!AF$150)/1000+([11]System!AE$7+[11]System!AE$9)/1000</f>
        <v>605.01355000000001</v>
      </c>
      <c r="AF22" s="16">
        <f>('[11]Start Cost'!AG$150+'[11]VOM Cost'!AG$150)/1000+([11]System!AF$7+[11]System!AF$9)/1000</f>
        <v>623.98299999999983</v>
      </c>
      <c r="AG22" s="16">
        <f>('[11]Start Cost'!AH$150+'[11]VOM Cost'!AH$150)/1000+([11]System!AG$7+[11]System!AG$9)/1000</f>
        <v>668.8503300000001</v>
      </c>
      <c r="AH22" s="16">
        <f>('[11]Start Cost'!AI$150+'[11]VOM Cost'!AI$150)/1000+([11]System!AH$7+[11]System!AH$9)/1000</f>
        <v>670.21238000000005</v>
      </c>
      <c r="AI22" s="16">
        <f>('[11]Start Cost'!AJ$150+'[11]VOM Cost'!AJ$150)/1000+([11]System!AI$7+[11]System!AI$9)/1000</f>
        <v>701.49076000000002</v>
      </c>
      <c r="AJ22" s="16"/>
    </row>
    <row r="23" spans="1:36">
      <c r="A23" s="36" t="s">
        <v>66</v>
      </c>
      <c r="B23" s="119">
        <f>('[11]Reagent Cost'!C$150+'[11]SO2 Cost'!C$150+'[11]NOx Cost'!C$150+'[11]Lime Cost'!C$150)/1000</f>
        <v>6.2319722000000004</v>
      </c>
      <c r="C23" s="119">
        <f>('[11]Reagent Cost'!D$150+'[11]SO2 Cost'!D$150+'[11]NOx Cost'!D$150+'[11]Lime Cost'!D$150)/1000</f>
        <v>6.4714661999999992</v>
      </c>
      <c r="D23" s="119">
        <f>('[11]Reagent Cost'!E$150+'[11]SO2 Cost'!E$150+'[11]NOx Cost'!E$150+'[11]Lime Cost'!E$150)/1000</f>
        <v>6.3036658000000001</v>
      </c>
      <c r="E23" s="119">
        <f>('[11]Reagent Cost'!F$150+'[11]SO2 Cost'!F$150+'[11]NOx Cost'!F$150+'[11]Lime Cost'!F$150)/1000</f>
        <v>5.6636310000000014</v>
      </c>
      <c r="F23" s="119">
        <f>('[11]Reagent Cost'!G$150+'[11]SO2 Cost'!G$150+'[11]NOx Cost'!G$150+'[11]Lime Cost'!G$150)/1000</f>
        <v>5.4973417999999992</v>
      </c>
      <c r="G23" s="119">
        <f>('[11]Reagent Cost'!H$150+'[11]SO2 Cost'!H$150+'[11]NOx Cost'!H$150+'[11]Lime Cost'!H$150)/1000</f>
        <v>6.3846504000000008</v>
      </c>
      <c r="H23" s="119">
        <f>('[11]Reagent Cost'!I$150+'[11]SO2 Cost'!I$150+'[11]NOx Cost'!I$150+'[11]Lime Cost'!I$150)/1000</f>
        <v>6.9001041999999995</v>
      </c>
      <c r="I23" s="119">
        <f>('[11]Reagent Cost'!J$150+'[11]SO2 Cost'!J$150+'[11]NOx Cost'!J$150+'[11]Lime Cost'!J$150)/1000</f>
        <v>7.5889134999999994</v>
      </c>
      <c r="J23" s="119">
        <f>('[11]Reagent Cost'!K$150+'[11]SO2 Cost'!K$150+'[11]NOx Cost'!K$150+'[11]Lime Cost'!K$150)/1000</f>
        <v>9.2888563000000008</v>
      </c>
      <c r="K23" s="119">
        <f>('[11]Reagent Cost'!L$150+'[11]SO2 Cost'!L$150+'[11]NOx Cost'!L$150+'[11]Lime Cost'!L$150)/1000</f>
        <v>11.680443599999998</v>
      </c>
      <c r="L23" s="119">
        <f>('[11]Reagent Cost'!M$150+'[11]SO2 Cost'!M$150+'[11]NOx Cost'!M$150+'[11]Lime Cost'!M$150)/1000</f>
        <v>12.465759100000001</v>
      </c>
      <c r="M23" s="119">
        <f>('[11]Reagent Cost'!N$150+'[11]SO2 Cost'!N$150+'[11]NOx Cost'!N$150+'[11]Lime Cost'!N$150)/1000</f>
        <v>11.3903091</v>
      </c>
      <c r="N23" s="119">
        <f>('[11]Reagent Cost'!O$150+'[11]SO2 Cost'!O$150+'[11]NOx Cost'!O$150+'[11]Lime Cost'!O$150)/1000</f>
        <v>11.6693351</v>
      </c>
      <c r="O23" s="119">
        <f>('[11]Reagent Cost'!P$150+'[11]SO2 Cost'!P$150+'[11]NOx Cost'!P$150+'[11]Lime Cost'!P$150)/1000</f>
        <v>10.605051400000001</v>
      </c>
      <c r="P23" s="119">
        <f>('[11]Reagent Cost'!Q$150+'[11]SO2 Cost'!Q$150+'[11]NOx Cost'!Q$150+'[11]Lime Cost'!Q$150)/1000</f>
        <v>4.6698409000000005</v>
      </c>
      <c r="Q23" s="119">
        <f>('[11]Reagent Cost'!R$150+'[11]SO2 Cost'!R$150+'[11]NOx Cost'!R$150+'[11]Lime Cost'!R$150)/1000</f>
        <v>1.6818400000000002</v>
      </c>
      <c r="R23" s="119">
        <f>('[11]Reagent Cost'!S$150+'[11]SO2 Cost'!S$150+'[11]NOx Cost'!S$150+'[11]Lime Cost'!S$150)/1000</f>
        <v>1.6928099999999999</v>
      </c>
      <c r="S23" s="119">
        <f>('[11]Reagent Cost'!T$150+'[11]SO2 Cost'!T$150+'[11]NOx Cost'!T$150+'[11]Lime Cost'!T$150)/1000</f>
        <v>1.7137499999999997</v>
      </c>
      <c r="T23" s="119">
        <f>('[11]Reagent Cost'!U$150+'[11]SO2 Cost'!U$150+'[11]NOx Cost'!U$150+'[11]Lime Cost'!U$150)/1000</f>
        <v>1.7351299999999998</v>
      </c>
      <c r="U23" s="119">
        <f>('[11]Reagent Cost'!V$150+'[11]SO2 Cost'!V$150+'[11]NOx Cost'!V$150+'[11]Lime Cost'!V$150)/1000</f>
        <v>1.7507300000000003</v>
      </c>
      <c r="V23" s="119">
        <f>('[11]Reagent Cost'!W$150+'[11]SO2 Cost'!W$150+'[11]NOx Cost'!W$150+'[11]Lime Cost'!W$150)/1000</f>
        <v>1.7864</v>
      </c>
      <c r="W23" s="119">
        <f>('[11]Reagent Cost'!X$150+'[11]SO2 Cost'!X$150+'[11]NOx Cost'!X$150+'[11]Lime Cost'!X$150)/1000</f>
        <v>1.7979000000000001</v>
      </c>
      <c r="X23" s="119">
        <f>('[11]Reagent Cost'!Y$150+'[11]SO2 Cost'!Y$150+'[11]NOx Cost'!Y$150+'[11]Lime Cost'!Y$150)/1000</f>
        <v>1.7981399999999998</v>
      </c>
      <c r="Y23" s="119">
        <f>('[11]Reagent Cost'!Z$150+'[11]SO2 Cost'!Z$150+'[11]NOx Cost'!Z$150+'[11]Lime Cost'!Z$150)/1000</f>
        <v>1.8260500000000002</v>
      </c>
      <c r="Z23" s="119">
        <f>('[11]Reagent Cost'!AA$150+'[11]SO2 Cost'!AA$150+'[11]NOx Cost'!AA$150+'[11]Lime Cost'!AA$150)/1000</f>
        <v>1.8463800000000001</v>
      </c>
      <c r="AA23" s="119">
        <f>('[11]Reagent Cost'!AB$150+'[11]SO2 Cost'!AB$150+'[11]NOx Cost'!AB$150+'[11]Lime Cost'!AB$150)/1000</f>
        <v>1.8559100000000004</v>
      </c>
      <c r="AB23" s="119">
        <f>('[11]Reagent Cost'!AC$150+'[11]SO2 Cost'!AC$150+'[11]NOx Cost'!AC$150+'[11]Lime Cost'!AC$150)/1000</f>
        <v>1.8929800000000001</v>
      </c>
      <c r="AC23" s="119">
        <f>('[11]Reagent Cost'!AD$150+'[11]SO2 Cost'!AD$150+'[11]NOx Cost'!AD$150+'[11]Lime Cost'!AD$150)/1000</f>
        <v>1.89255</v>
      </c>
      <c r="AD23" s="211">
        <f>('[11]Reagent Cost'!AE$150+'[11]SO2 Cost'!AE$150+'[11]NOx Cost'!AE$150+'[11]Lime Cost'!AE$150)/1000</f>
        <v>1.90578</v>
      </c>
      <c r="AE23" s="119">
        <f>('[11]Reagent Cost'!AF$150+'[11]SO2 Cost'!AF$150+'[11]NOx Cost'!AF$150+'[11]Lime Cost'!AF$150)/1000</f>
        <v>1.9070800000000001</v>
      </c>
      <c r="AF23" s="119">
        <f>('[11]Reagent Cost'!AG$150+'[11]SO2 Cost'!AG$150+'[11]NOx Cost'!AG$150+'[11]Lime Cost'!AG$150)/1000</f>
        <v>1.94079</v>
      </c>
      <c r="AG23" s="119">
        <f>('[11]Reagent Cost'!AH$150+'[11]SO2 Cost'!AH$150+'[11]NOx Cost'!AH$150+'[11]Lime Cost'!AH$150)/1000</f>
        <v>1.9565699999999999</v>
      </c>
      <c r="AH23" s="119">
        <f>('[11]Reagent Cost'!AI$150+'[11]SO2 Cost'!AI$150+'[11]NOx Cost'!AI$150+'[11]Lime Cost'!AI$150)/1000</f>
        <v>2.00475</v>
      </c>
      <c r="AI23" s="119">
        <f>('[11]Reagent Cost'!AJ$150+'[11]SO2 Cost'!AJ$150+'[11]NOx Cost'!AJ$150+'[11]Lime Cost'!AJ$150)/1000</f>
        <v>2.0327700000000002</v>
      </c>
      <c r="AJ23" s="119"/>
    </row>
    <row r="24" spans="1:36">
      <c r="A24" s="12" t="s">
        <v>69</v>
      </c>
      <c r="B24" s="212">
        <f>+'[11]CO2 Cost'!C$150/1000</f>
        <v>0</v>
      </c>
      <c r="C24" s="212">
        <f>+'[11]CO2 Cost'!D$150/1000</f>
        <v>0</v>
      </c>
      <c r="D24" s="212">
        <f>+'[11]CO2 Cost'!E$150/1000</f>
        <v>0</v>
      </c>
      <c r="E24" s="212">
        <f>+'[11]CO2 Cost'!F$150/1000</f>
        <v>0</v>
      </c>
      <c r="F24" s="212">
        <f>+'[11]CO2 Cost'!G$150/1000</f>
        <v>0</v>
      </c>
      <c r="G24" s="212">
        <f>+'[11]CO2 Cost'!H$150/1000</f>
        <v>0</v>
      </c>
      <c r="H24" s="212">
        <f>+'[11]CO2 Cost'!I$150/1000</f>
        <v>0</v>
      </c>
      <c r="I24" s="212">
        <f>+'[11]CO2 Cost'!J$150/1000</f>
        <v>0</v>
      </c>
      <c r="J24" s="212">
        <f>+'[11]CO2 Cost'!K$150/1000</f>
        <v>0</v>
      </c>
      <c r="K24" s="212">
        <f>+'[11]CO2 Cost'!L$150/1000</f>
        <v>0</v>
      </c>
      <c r="L24" s="212">
        <f>+'[11]CO2 Cost'!M$150/1000</f>
        <v>0</v>
      </c>
      <c r="M24" s="212">
        <f>+'[11]CO2 Cost'!N$150/1000</f>
        <v>0</v>
      </c>
      <c r="N24" s="212">
        <f>+'[11]CO2 Cost'!O$150/1000</f>
        <v>0</v>
      </c>
      <c r="O24" s="212">
        <f>+'[11]CO2 Cost'!P$150/1000</f>
        <v>0</v>
      </c>
      <c r="P24" s="212">
        <f>+'[11]CO2 Cost'!Q$150/1000</f>
        <v>0</v>
      </c>
      <c r="Q24" s="212">
        <f>+'[11]CO2 Cost'!R$150/1000</f>
        <v>0</v>
      </c>
      <c r="R24" s="212">
        <f>+'[11]CO2 Cost'!S$150/1000</f>
        <v>0</v>
      </c>
      <c r="S24" s="212">
        <f>+'[11]CO2 Cost'!T$150/1000</f>
        <v>0</v>
      </c>
      <c r="T24" s="212">
        <f>+'[11]CO2 Cost'!U$150/1000</f>
        <v>0</v>
      </c>
      <c r="U24" s="212">
        <f>+'[11]CO2 Cost'!V$150/1000</f>
        <v>0</v>
      </c>
      <c r="V24" s="212">
        <f>+'[11]CO2 Cost'!W$150/1000</f>
        <v>0</v>
      </c>
      <c r="W24" s="212">
        <f>+'[11]CO2 Cost'!X$150/1000</f>
        <v>0</v>
      </c>
      <c r="X24" s="212">
        <f>+'[11]CO2 Cost'!Y$150/1000</f>
        <v>0</v>
      </c>
      <c r="Y24" s="212">
        <f>+'[11]CO2 Cost'!Z$150/1000</f>
        <v>0</v>
      </c>
      <c r="Z24" s="212">
        <f>+'[11]CO2 Cost'!AA$150/1000</f>
        <v>0</v>
      </c>
      <c r="AA24" s="212">
        <f>+'[11]CO2 Cost'!AB$150/1000</f>
        <v>0</v>
      </c>
      <c r="AB24" s="212">
        <f>+'[11]CO2 Cost'!AC$150/1000</f>
        <v>0</v>
      </c>
      <c r="AC24" s="212">
        <f>+'[11]CO2 Cost'!AD$150/1000</f>
        <v>0</v>
      </c>
      <c r="AD24" s="213">
        <f>+'[11]CO2 Cost'!AE$150/1000</f>
        <v>0</v>
      </c>
      <c r="AE24" s="212">
        <f>+'[11]CO2 Cost'!AF$150/1000</f>
        <v>0</v>
      </c>
      <c r="AF24" s="212">
        <f>+'[11]CO2 Cost'!AG$150/1000</f>
        <v>0</v>
      </c>
      <c r="AG24" s="212">
        <f>+'[11]CO2 Cost'!AH$150/1000</f>
        <v>0</v>
      </c>
      <c r="AH24" s="212">
        <f>+'[11]CO2 Cost'!AI$150/1000</f>
        <v>0</v>
      </c>
      <c r="AI24" s="212">
        <f>+'[11]CO2 Cost'!AJ$150/1000</f>
        <v>0</v>
      </c>
      <c r="AJ24" s="212"/>
    </row>
    <row r="25" spans="1:36">
      <c r="A25" s="6" t="s">
        <v>61</v>
      </c>
      <c r="B25" s="15">
        <f t="shared" ref="B25:AG25" si="4">SUM(B15:B24)</f>
        <v>1843.4621723822067</v>
      </c>
      <c r="C25" s="15">
        <f t="shared" si="4"/>
        <v>1877.6831659908482</v>
      </c>
      <c r="D25" s="15">
        <f t="shared" si="4"/>
        <v>1968.8353455426432</v>
      </c>
      <c r="E25" s="15">
        <f t="shared" si="4"/>
        <v>2045.5415189858193</v>
      </c>
      <c r="F25" s="15">
        <f t="shared" si="4"/>
        <v>1932.4293537419551</v>
      </c>
      <c r="G25" s="15">
        <f t="shared" si="4"/>
        <v>1833.4338410940884</v>
      </c>
      <c r="H25" s="15">
        <f t="shared" si="4"/>
        <v>1822.6446010075986</v>
      </c>
      <c r="I25" s="15">
        <f t="shared" si="4"/>
        <v>1934.0050327592905</v>
      </c>
      <c r="J25" s="15">
        <f t="shared" si="4"/>
        <v>2116.4847367283305</v>
      </c>
      <c r="K25" s="15">
        <f t="shared" si="4"/>
        <v>2237.9198952607376</v>
      </c>
      <c r="L25" s="15">
        <f t="shared" si="4"/>
        <v>2353.792922492536</v>
      </c>
      <c r="M25" s="15">
        <f t="shared" si="4"/>
        <v>2444.9379464188887</v>
      </c>
      <c r="N25" s="15">
        <f t="shared" si="4"/>
        <v>2560.8670634215318</v>
      </c>
      <c r="O25" s="15">
        <f t="shared" si="4"/>
        <v>2595.1546548492383</v>
      </c>
      <c r="P25" s="15">
        <f t="shared" si="4"/>
        <v>2899.9504070779703</v>
      </c>
      <c r="Q25" s="15">
        <f t="shared" si="4"/>
        <v>3414.7298496424701</v>
      </c>
      <c r="R25" s="15">
        <f t="shared" si="4"/>
        <v>3496.3468392828336</v>
      </c>
      <c r="S25" s="15">
        <f t="shared" si="4"/>
        <v>3687.3437242519144</v>
      </c>
      <c r="T25" s="15">
        <f t="shared" si="4"/>
        <v>3866.4671035957799</v>
      </c>
      <c r="U25" s="15">
        <f t="shared" si="4"/>
        <v>4003.3658038294784</v>
      </c>
      <c r="V25" s="15">
        <f t="shared" si="4"/>
        <v>4135.6963436492733</v>
      </c>
      <c r="W25" s="15">
        <f t="shared" si="4"/>
        <v>4275.2787945676755</v>
      </c>
      <c r="X25" s="15">
        <f t="shared" si="4"/>
        <v>4520.1573242477571</v>
      </c>
      <c r="Y25" s="15">
        <f t="shared" si="4"/>
        <v>5018.466782023037</v>
      </c>
      <c r="Z25" s="15">
        <f t="shared" si="4"/>
        <v>5205.7792631591492</v>
      </c>
      <c r="AA25" s="15">
        <f t="shared" si="4"/>
        <v>5446.472455540822</v>
      </c>
      <c r="AB25" s="15">
        <f t="shared" si="4"/>
        <v>5633.7170162421007</v>
      </c>
      <c r="AC25" s="52">
        <f t="shared" si="4"/>
        <v>5693.069729132857</v>
      </c>
      <c r="AD25" s="214">
        <f t="shared" si="4"/>
        <v>5797.7744072894357</v>
      </c>
      <c r="AE25" s="15">
        <f t="shared" si="4"/>
        <v>5829.0400111365661</v>
      </c>
      <c r="AF25" s="15">
        <f t="shared" si="4"/>
        <v>5871.0811955735126</v>
      </c>
      <c r="AG25" s="15">
        <f t="shared" si="4"/>
        <v>5974.6075822597186</v>
      </c>
      <c r="AH25" s="15">
        <f t="shared" ref="AH25:AI25" si="5">SUM(AH15:AH24)</f>
        <v>6053.1535131051714</v>
      </c>
      <c r="AI25" s="15">
        <f t="shared" si="5"/>
        <v>6152.8964905451403</v>
      </c>
      <c r="AJ25" s="15"/>
    </row>
    <row r="26" spans="1:36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19"/>
      <c r="AD26" s="211"/>
      <c r="AE26" s="16"/>
      <c r="AF26" s="16"/>
      <c r="AG26" s="16"/>
      <c r="AH26" s="16"/>
      <c r="AI26" s="16"/>
      <c r="AJ26" s="16"/>
    </row>
    <row r="27" spans="1:36">
      <c r="A27" s="6" t="s">
        <v>62</v>
      </c>
      <c r="AC27" s="36"/>
      <c r="AD27" s="215"/>
    </row>
    <row r="28" spans="1:36">
      <c r="A28" s="152" t="str">
        <f>A1</f>
        <v>SoBra 700MWs</v>
      </c>
      <c r="B28" s="152">
        <f>$B$1</f>
        <v>2020</v>
      </c>
      <c r="C28" s="152">
        <f t="shared" ref="C28:AI28" si="6">B28+1</f>
        <v>2021</v>
      </c>
      <c r="D28" s="152">
        <f t="shared" si="6"/>
        <v>2022</v>
      </c>
      <c r="E28" s="152">
        <f t="shared" si="6"/>
        <v>2023</v>
      </c>
      <c r="F28" s="152">
        <f t="shared" si="6"/>
        <v>2024</v>
      </c>
      <c r="G28" s="152">
        <f t="shared" si="6"/>
        <v>2025</v>
      </c>
      <c r="H28" s="152">
        <f t="shared" si="6"/>
        <v>2026</v>
      </c>
      <c r="I28" s="152">
        <f t="shared" si="6"/>
        <v>2027</v>
      </c>
      <c r="J28" s="152">
        <f t="shared" si="6"/>
        <v>2028</v>
      </c>
      <c r="K28" s="152">
        <f t="shared" si="6"/>
        <v>2029</v>
      </c>
      <c r="L28" s="152">
        <f t="shared" si="6"/>
        <v>2030</v>
      </c>
      <c r="M28" s="152">
        <f t="shared" si="6"/>
        <v>2031</v>
      </c>
      <c r="N28" s="152">
        <f t="shared" si="6"/>
        <v>2032</v>
      </c>
      <c r="O28" s="152">
        <f t="shared" si="6"/>
        <v>2033</v>
      </c>
      <c r="P28" s="152">
        <f t="shared" si="6"/>
        <v>2034</v>
      </c>
      <c r="Q28" s="152">
        <f t="shared" si="6"/>
        <v>2035</v>
      </c>
      <c r="R28" s="152">
        <f t="shared" si="6"/>
        <v>2036</v>
      </c>
      <c r="S28" s="152">
        <f t="shared" si="6"/>
        <v>2037</v>
      </c>
      <c r="T28" s="152">
        <f t="shared" si="6"/>
        <v>2038</v>
      </c>
      <c r="U28" s="152">
        <f t="shared" si="6"/>
        <v>2039</v>
      </c>
      <c r="V28" s="152">
        <f t="shared" si="6"/>
        <v>2040</v>
      </c>
      <c r="W28" s="152">
        <f t="shared" si="6"/>
        <v>2041</v>
      </c>
      <c r="X28" s="152">
        <f t="shared" si="6"/>
        <v>2042</v>
      </c>
      <c r="Y28" s="152">
        <f t="shared" si="6"/>
        <v>2043</v>
      </c>
      <c r="Z28" s="152">
        <f t="shared" si="6"/>
        <v>2044</v>
      </c>
      <c r="AA28" s="152">
        <f t="shared" si="6"/>
        <v>2045</v>
      </c>
      <c r="AB28" s="152">
        <f t="shared" si="6"/>
        <v>2046</v>
      </c>
      <c r="AC28" s="209">
        <f t="shared" si="6"/>
        <v>2047</v>
      </c>
      <c r="AD28" s="210">
        <f t="shared" si="6"/>
        <v>2048</v>
      </c>
      <c r="AE28" s="152">
        <f t="shared" si="6"/>
        <v>2049</v>
      </c>
      <c r="AF28" s="152">
        <f t="shared" si="6"/>
        <v>2050</v>
      </c>
      <c r="AG28" s="152">
        <f t="shared" si="6"/>
        <v>2051</v>
      </c>
      <c r="AH28" s="152">
        <f t="shared" si="6"/>
        <v>2052</v>
      </c>
      <c r="AI28" s="152">
        <f t="shared" si="6"/>
        <v>2053</v>
      </c>
      <c r="AJ28" s="152"/>
    </row>
    <row r="29" spans="1:36">
      <c r="A29" s="6" t="s">
        <v>134</v>
      </c>
      <c r="B29" s="119">
        <f>B2/(1+'Financial Information'!$B$5)^(B$28-$B$28)</f>
        <v>65.260450182206341</v>
      </c>
      <c r="C29" s="119">
        <f>C2/(1+'Financial Information'!$B$5)^(C$28-$B$28)</f>
        <v>95.670684812241348</v>
      </c>
      <c r="D29" s="119">
        <f>D2/(1+'Financial Information'!$B$5)^(D$28-$B$28)</f>
        <v>123.09266850550476</v>
      </c>
      <c r="E29" s="119">
        <f>E2/(1+'Financial Information'!$B$5)^(E$28-$B$28)</f>
        <v>110.3423278685908</v>
      </c>
      <c r="F29" s="119">
        <f>F2/(1+'Financial Information'!$B$5)^(F$28-$B$28)</f>
        <v>99.251999617653368</v>
      </c>
      <c r="G29" s="119">
        <f>G2/(1+'Financial Information'!$B$5)^(G$28-$B$28)</f>
        <v>87.236463254682732</v>
      </c>
      <c r="H29" s="119">
        <f>H2/(1+'Financial Information'!$B$5)^(H$28-$B$28)</f>
        <v>72.209878742626842</v>
      </c>
      <c r="I29" s="119">
        <f>I2/(1+'Financial Information'!$B$5)^(I$28-$B$28)</f>
        <v>65.776198490761217</v>
      </c>
      <c r="J29" s="119">
        <f>J2/(1+'Financial Information'!$B$5)^(J$28-$B$28)</f>
        <v>60.015159466469328</v>
      </c>
      <c r="K29" s="119">
        <f>K2/(1+'Financial Information'!$B$5)^(K$28-$B$28)</f>
        <v>54.842529437059518</v>
      </c>
      <c r="L29" s="119">
        <f>L2/(1+'Financial Information'!$B$5)^(L$28-$B$28)</f>
        <v>50.063063142283596</v>
      </c>
      <c r="M29" s="119">
        <f>M2/(1+'Financial Information'!$B$5)^(M$28-$B$28)</f>
        <v>45.685746667320686</v>
      </c>
      <c r="N29" s="119">
        <f>N2/(1+'Financial Information'!$B$5)^(N$28-$B$28)</f>
        <v>41.663810762062894</v>
      </c>
      <c r="O29" s="119">
        <f>O2/(1+'Financial Information'!$B$5)^(O$28-$B$28)</f>
        <v>38.004159133502633</v>
      </c>
      <c r="P29" s="119">
        <f>P2/(1+'Financial Information'!$B$5)^(P$28-$B$28)</f>
        <v>34.594178141826397</v>
      </c>
      <c r="Q29" s="119">
        <f>Q2/(1+'Financial Information'!$B$5)^(Q$28-$B$28)</f>
        <v>31.467085235523829</v>
      </c>
      <c r="R29" s="119">
        <f>R2/(1+'Financial Information'!$B$5)^(R$28-$B$28)</f>
        <v>28.556029265028624</v>
      </c>
      <c r="S29" s="119">
        <f>S2/(1+'Financial Information'!$B$5)^(S$28-$B$28)</f>
        <v>25.923671058538908</v>
      </c>
      <c r="T29" s="119">
        <f>T2/(1+'Financial Information'!$B$5)^(T$28-$B$28)</f>
        <v>24.302460071004031</v>
      </c>
      <c r="U29" s="119">
        <f>U2/(1+'Financial Information'!$B$5)^(U$28-$B$28)</f>
        <v>22.47210636589875</v>
      </c>
      <c r="V29" s="119">
        <f>V2/(1+'Financial Information'!$B$5)^(V$28-$B$28)</f>
        <v>20.321524261026781</v>
      </c>
      <c r="W29" s="119">
        <f>W2/(1+'Financial Information'!$B$5)^(W$28-$B$28)</f>
        <v>18.368381113610976</v>
      </c>
      <c r="X29" s="119">
        <f>X2/(1+'Financial Information'!$B$5)^(X$28-$B$28)</f>
        <v>16.632430176980964</v>
      </c>
      <c r="Y29" s="119">
        <f>Y2/(1+'Financial Information'!$B$5)^(Y$28-$B$28)</f>
        <v>15.026179470220866</v>
      </c>
      <c r="Z29" s="119">
        <f>Z2/(1+'Financial Information'!$B$5)^(Z$28-$B$28)</f>
        <v>13.604762985175954</v>
      </c>
      <c r="AA29" s="119">
        <f>AA2/(1+'Financial Information'!$B$5)^(AA$28-$B$28)</f>
        <v>12.278499130739975</v>
      </c>
      <c r="AB29" s="119">
        <f>AB2/(1+'Financial Information'!$B$5)^(AB$28-$B$28)</f>
        <v>11.098008139710984</v>
      </c>
      <c r="AC29" s="119">
        <f>AC2/(1+'Financial Information'!$B$5)^(AC$28-$B$28)</f>
        <v>10.008361154503485</v>
      </c>
      <c r="AD29" s="211">
        <f>AD2/(1+'Financial Information'!$B$5)^(AD$28-$B$28)</f>
        <v>9.3885499439786422</v>
      </c>
      <c r="AE29" s="119">
        <f>AE2/(1+'Financial Information'!$B$5)^(AE$28-$B$28)</f>
        <v>7.9514309956645066</v>
      </c>
      <c r="AF29" s="119">
        <f>AF2/(1+'Financial Information'!$B$5)^(AF$28-$B$28)</f>
        <v>5.2989347528844011</v>
      </c>
      <c r="AG29" s="119">
        <f>AG2/(1+'Financial Information'!$B$5)^(AG$28-$B$28)</f>
        <v>2.8960604241996695</v>
      </c>
      <c r="AH29" s="119">
        <f>AH2/(1+'Financial Information'!$B$5)^(AH$28-$B$28)</f>
        <v>0.41566066557171555</v>
      </c>
      <c r="AI29" s="119">
        <f>AI2/(1+'Financial Information'!$B$5)^(AI$28-$B$28)</f>
        <v>0.37490309689796597</v>
      </c>
      <c r="AJ29" s="119"/>
    </row>
    <row r="30" spans="1:36">
      <c r="A30" s="6" t="s">
        <v>135</v>
      </c>
      <c r="B30" s="119">
        <f>B3/(1+'Financial Information'!$B$5)^(B$28-$B$28)</f>
        <v>0</v>
      </c>
      <c r="C30" s="119">
        <f>C3/(1+'Financial Information'!$B$5)^(C$28-$B$28)</f>
        <v>0</v>
      </c>
      <c r="D30" s="119">
        <f>D3/(1+'Financial Information'!$B$5)^(D$28-$B$28)</f>
        <v>0</v>
      </c>
      <c r="E30" s="119">
        <f>E3/(1+'Financial Information'!$B$5)^(E$28-$B$28)</f>
        <v>0</v>
      </c>
      <c r="F30" s="119">
        <f>F3/(1+'Financial Information'!$B$5)^(F$28-$B$28)</f>
        <v>0</v>
      </c>
      <c r="G30" s="119">
        <f>G3/(1+'Financial Information'!$B$5)^(G$28-$B$28)</f>
        <v>0</v>
      </c>
      <c r="H30" s="119">
        <f>H3/(1+'Financial Information'!$B$5)^(H$28-$B$28)</f>
        <v>0</v>
      </c>
      <c r="I30" s="119">
        <f>I3/(1+'Financial Information'!$B$5)^(I$28-$B$28)</f>
        <v>0</v>
      </c>
      <c r="J30" s="119">
        <f>J3/(1+'Financial Information'!$B$5)^(J$28-$B$28)</f>
        <v>0</v>
      </c>
      <c r="K30" s="119">
        <f>K3/(1+'Financial Information'!$B$5)^(K$28-$B$28)</f>
        <v>0</v>
      </c>
      <c r="L30" s="119">
        <f>L3/(1+'Financial Information'!$B$5)^(L$28-$B$28)</f>
        <v>0</v>
      </c>
      <c r="M30" s="119">
        <f>M3/(1+'Financial Information'!$B$5)^(M$28-$B$28)</f>
        <v>0</v>
      </c>
      <c r="N30" s="119">
        <f>N3/(1+'Financial Information'!$B$5)^(N$28-$B$28)</f>
        <v>0</v>
      </c>
      <c r="O30" s="119">
        <f>O3/(1+'Financial Information'!$B$5)^(O$28-$B$28)</f>
        <v>0</v>
      </c>
      <c r="P30" s="119">
        <f>P3/(1+'Financial Information'!$B$5)^(P$28-$B$28)</f>
        <v>0</v>
      </c>
      <c r="Q30" s="119">
        <f>Q3/(1+'Financial Information'!$B$5)^(Q$28-$B$28)</f>
        <v>0</v>
      </c>
      <c r="R30" s="119">
        <f>R3/(1+'Financial Information'!$B$5)^(R$28-$B$28)</f>
        <v>0</v>
      </c>
      <c r="S30" s="119">
        <f>S3/(1+'Financial Information'!$B$5)^(S$28-$B$28)</f>
        <v>0</v>
      </c>
      <c r="T30" s="119">
        <f>T3/(1+'Financial Information'!$B$5)^(T$28-$B$28)</f>
        <v>0</v>
      </c>
      <c r="U30" s="119">
        <f>U3/(1+'Financial Information'!$B$5)^(U$28-$B$28)</f>
        <v>0</v>
      </c>
      <c r="V30" s="119">
        <f>V3/(1+'Financial Information'!$B$5)^(V$28-$B$28)</f>
        <v>0</v>
      </c>
      <c r="W30" s="119">
        <f>W3/(1+'Financial Information'!$B$5)^(W$28-$B$28)</f>
        <v>0</v>
      </c>
      <c r="X30" s="119">
        <f>X3/(1+'Financial Information'!$B$5)^(X$28-$B$28)</f>
        <v>0</v>
      </c>
      <c r="Y30" s="119">
        <f>Y3/(1+'Financial Information'!$B$5)^(Y$28-$B$28)</f>
        <v>0</v>
      </c>
      <c r="Z30" s="119">
        <f>Z3/(1+'Financial Information'!$B$5)^(Z$28-$B$28)</f>
        <v>0</v>
      </c>
      <c r="AA30" s="119">
        <f>AA3/(1+'Financial Information'!$B$5)^(AA$28-$B$28)</f>
        <v>0</v>
      </c>
      <c r="AB30" s="119">
        <f>AB3/(1+'Financial Information'!$B$5)^(AB$28-$B$28)</f>
        <v>0</v>
      </c>
      <c r="AC30" s="119">
        <f>AC3/(1+'Financial Information'!$B$5)^(AC$28-$B$28)</f>
        <v>0</v>
      </c>
      <c r="AD30" s="211">
        <f>AD3/(1+'Financial Information'!$B$5)^(AD$28-$B$28)</f>
        <v>0</v>
      </c>
      <c r="AE30" s="119">
        <f>AE3/(1+'Financial Information'!$B$5)^(AE$28-$B$28)</f>
        <v>0</v>
      </c>
      <c r="AF30" s="119">
        <f>AF3/(1+'Financial Information'!$B$5)^(AF$28-$B$28)</f>
        <v>0</v>
      </c>
      <c r="AG30" s="119">
        <f>AG3/(1+'Financial Information'!$B$5)^(AG$28-$B$28)</f>
        <v>0</v>
      </c>
      <c r="AH30" s="119">
        <f>AH3/(1+'Financial Information'!$B$5)^(AH$28-$B$28)</f>
        <v>0</v>
      </c>
      <c r="AI30" s="119">
        <f>AI3/(1+'Financial Information'!$B$5)^(AI$28-$B$28)</f>
        <v>0</v>
      </c>
      <c r="AJ30" s="119"/>
    </row>
    <row r="31" spans="1:36">
      <c r="A31" s="6" t="s">
        <v>60</v>
      </c>
      <c r="B31" s="119">
        <f>B4/(1+'Financial Information'!$B$5)^(B$28-$B$28)</f>
        <v>0</v>
      </c>
      <c r="C31" s="119">
        <f>C4/(1+'Financial Information'!$B$5)^(C$28-$B$28)</f>
        <v>0</v>
      </c>
      <c r="D31" s="119">
        <f>D4/(1+'Financial Information'!$B$5)^(D$28-$B$28)</f>
        <v>0</v>
      </c>
      <c r="E31" s="119">
        <f>E4/(1+'Financial Information'!$B$5)^(E$28-$B$28)</f>
        <v>0</v>
      </c>
      <c r="F31" s="119">
        <f>F4/(1+'Financial Information'!$B$5)^(F$28-$B$28)</f>
        <v>0</v>
      </c>
      <c r="G31" s="119">
        <f>G4/(1+'Financial Information'!$B$5)^(G$28-$B$28)</f>
        <v>0</v>
      </c>
      <c r="H31" s="119">
        <f>H4/(1+'Financial Information'!$B$5)^(H$28-$B$28)</f>
        <v>0</v>
      </c>
      <c r="I31" s="119">
        <f>I4/(1+'Financial Information'!$B$5)^(I$28-$B$28)</f>
        <v>13.613063986881086</v>
      </c>
      <c r="J31" s="119">
        <f>J4/(1+'Financial Information'!$B$5)^(J$28-$B$28)</f>
        <v>27.846798410091772</v>
      </c>
      <c r="K31" s="119">
        <f>K4/(1+'Financial Information'!$B$5)^(K$28-$B$28)</f>
        <v>29.584009376142056</v>
      </c>
      <c r="L31" s="119">
        <f>L4/(1+'Financial Information'!$B$5)^(L$28-$B$28)</f>
        <v>32.730251790246399</v>
      </c>
      <c r="M31" s="119">
        <f>M4/(1+'Financial Information'!$B$5)^(M$28-$B$28)</f>
        <v>33.628337637535516</v>
      </c>
      <c r="N31" s="119">
        <f>N4/(1+'Financial Information'!$B$5)^(N$28-$B$28)</f>
        <v>35.858541969391524</v>
      </c>
      <c r="O31" s="119">
        <f>O4/(1+'Financial Information'!$B$5)^(O$28-$B$28)</f>
        <v>36.110474556361773</v>
      </c>
      <c r="P31" s="119">
        <f>P4/(1+'Financial Information'!$B$5)^(P$28-$B$28)</f>
        <v>100.14706919915011</v>
      </c>
      <c r="Q31" s="119">
        <f>Q4/(1+'Financial Information'!$B$5)^(Q$28-$B$28)</f>
        <v>239.28582630580087</v>
      </c>
      <c r="R31" s="119">
        <f>R4/(1+'Financial Information'!$B$5)^(R$28-$B$28)</f>
        <v>218.15079009214753</v>
      </c>
      <c r="S31" s="119">
        <f>S4/(1+'Financial Information'!$B$5)^(S$28-$B$28)</f>
        <v>198.83918571103962</v>
      </c>
      <c r="T31" s="119">
        <f>T4/(1+'Financial Information'!$B$5)^(T$28-$B$28)</f>
        <v>194.40421924992015</v>
      </c>
      <c r="U31" s="119">
        <f>U4/(1+'Financial Information'!$B$5)^(U$28-$B$28)</f>
        <v>185.80480602979847</v>
      </c>
      <c r="V31" s="119">
        <f>V4/(1+'Financial Information'!$B$5)^(V$28-$B$28)</f>
        <v>173.11850990673699</v>
      </c>
      <c r="W31" s="119">
        <f>W4/(1+'Financial Information'!$B$5)^(W$28-$B$28)</f>
        <v>160.15390087077935</v>
      </c>
      <c r="X31" s="119">
        <f>X4/(1+'Financial Information'!$B$5)^(X$28-$B$28)</f>
        <v>175.91227519624456</v>
      </c>
      <c r="Y31" s="119">
        <f>Y4/(1+'Financial Information'!$B$5)^(Y$28-$B$28)</f>
        <v>247.68281617643171</v>
      </c>
      <c r="Z31" s="119">
        <f>Z4/(1+'Financial Information'!$B$5)^(Z$28-$B$28)</f>
        <v>232.00673822344856</v>
      </c>
      <c r="AA31" s="119">
        <f>AA4/(1+'Financial Information'!$B$5)^(AA$28-$B$28)</f>
        <v>218.49936085856561</v>
      </c>
      <c r="AB31" s="119">
        <f>AB4/(1+'Financial Information'!$B$5)^(AB$28-$B$28)</f>
        <v>200.75646174834162</v>
      </c>
      <c r="AC31" s="119">
        <f>AC4/(1+'Financial Information'!$B$5)^(AC$28-$B$28)</f>
        <v>182.47675849226567</v>
      </c>
      <c r="AD31" s="211">
        <f>AD4/(1+'Financial Information'!$B$5)^(AD$28-$B$28)</f>
        <v>165.76343508574203</v>
      </c>
      <c r="AE31" s="119">
        <f>AE4/(1+'Financial Information'!$B$5)^(AE$28-$B$28)</f>
        <v>150.50634559847177</v>
      </c>
      <c r="AF31" s="119">
        <f>AF4/(1+'Financial Information'!$B$5)^(AF$28-$B$28)</f>
        <v>136.59164798968851</v>
      </c>
      <c r="AG31" s="119">
        <f>AG4/(1+'Financial Information'!$B$5)^(AG$28-$B$28)</f>
        <v>123.86646728765164</v>
      </c>
      <c r="AH31" s="119">
        <f>AH4/(1+'Financial Information'!$B$5)^(AH$28-$B$28)</f>
        <v>112.20512367766493</v>
      </c>
      <c r="AI31" s="119">
        <f>AI4/(1+'Financial Information'!$B$5)^(AI$28-$B$28)</f>
        <v>101.541088314386</v>
      </c>
      <c r="AJ31" s="119"/>
    </row>
    <row r="32" spans="1:36">
      <c r="A32" s="6" t="s">
        <v>68</v>
      </c>
      <c r="B32" s="119">
        <f>B5/(1+'Financial Information'!$B$5)^(B$28-$B$28)</f>
        <v>445.38108</v>
      </c>
      <c r="C32" s="119">
        <f>C5/(1+'Financial Information'!$B$5)^(C$28-$B$28)</f>
        <v>405.95848172446119</v>
      </c>
      <c r="D32" s="119">
        <f>D5/(1+'Financial Information'!$B$5)^(D$28-$B$28)</f>
        <v>383.04511506040029</v>
      </c>
      <c r="E32" s="119">
        <f>E5/(1+'Financial Information'!$B$5)^(E$28-$B$28)</f>
        <v>375.42940625433778</v>
      </c>
      <c r="F32" s="119">
        <f>F5/(1+'Financial Information'!$B$5)^(F$28-$B$28)</f>
        <v>231.79327266520858</v>
      </c>
      <c r="G32" s="119">
        <f>G5/(1+'Financial Information'!$B$5)^(G$28-$B$28)</f>
        <v>106.90762708059815</v>
      </c>
      <c r="H32" s="119">
        <f>H5/(1+'Financial Information'!$B$5)^(H$28-$B$28)</f>
        <v>39.084411000131446</v>
      </c>
      <c r="I32" s="119">
        <f>I5/(1+'Financial Information'!$B$5)^(I$28-$B$28)</f>
        <v>20.835341523471872</v>
      </c>
      <c r="J32" s="119">
        <f>J5/(1+'Financial Information'!$B$5)^(J$28-$B$28)</f>
        <v>12.944378493575401</v>
      </c>
      <c r="K32" s="119">
        <f>K5/(1+'Financial Information'!$B$5)^(K$28-$B$28)</f>
        <v>12.411790313350483</v>
      </c>
      <c r="L32" s="119">
        <f>L5/(1+'Financial Information'!$B$5)^(L$28-$B$28)</f>
        <v>11.951220891629209</v>
      </c>
      <c r="M32" s="119">
        <f>M5/(1+'Financial Information'!$B$5)^(M$28-$B$28)</f>
        <v>11.486186360781383</v>
      </c>
      <c r="N32" s="119">
        <f>N5/(1+'Financial Information'!$B$5)^(N$28-$B$28)</f>
        <v>11.06899414661301</v>
      </c>
      <c r="O32" s="119">
        <f>O5/(1+'Financial Information'!$B$5)^(O$28-$B$28)</f>
        <v>10.625111673376081</v>
      </c>
      <c r="P32" s="119">
        <f>P5/(1+'Financial Information'!$B$5)^(P$28-$B$28)</f>
        <v>12.904966900026459</v>
      </c>
      <c r="Q32" s="119">
        <f>Q5/(1+'Financial Information'!$B$5)^(Q$28-$B$28)</f>
        <v>14.256337769808884</v>
      </c>
      <c r="R32" s="119">
        <f>R5/(1+'Financial Information'!$B$5)^(R$28-$B$28)</f>
        <v>13.584618611818369</v>
      </c>
      <c r="S32" s="119">
        <f>S5/(1+'Financial Information'!$B$5)^(S$28-$B$28)</f>
        <v>12.972839738109872</v>
      </c>
      <c r="T32" s="119">
        <f>T5/(1+'Financial Information'!$B$5)^(T$28-$B$28)</f>
        <v>13.057436430003779</v>
      </c>
      <c r="U32" s="119">
        <f>U5/(1+'Financial Information'!$B$5)^(U$28-$B$28)</f>
        <v>12.938744625240075</v>
      </c>
      <c r="V32" s="119">
        <f>V5/(1+'Financial Information'!$B$5)^(V$28-$B$28)</f>
        <v>12.589166554231038</v>
      </c>
      <c r="W32" s="119">
        <f>W5/(1+'Financial Information'!$B$5)^(W$28-$B$28)</f>
        <v>12.168733309970536</v>
      </c>
      <c r="X32" s="119">
        <f>X5/(1+'Financial Information'!$B$5)^(X$28-$B$28)</f>
        <v>12.990889128303026</v>
      </c>
      <c r="Y32" s="119">
        <f>Y5/(1+'Financial Information'!$B$5)^(Y$28-$B$28)</f>
        <v>13.368506035732521</v>
      </c>
      <c r="Z32" s="119">
        <f>Z5/(1+'Financial Information'!$B$5)^(Z$28-$B$28)</f>
        <v>13.152149617149272</v>
      </c>
      <c r="AA32" s="119">
        <f>AA5/(1+'Financial Information'!$B$5)^(AA$28-$B$28)</f>
        <v>12.911450931696065</v>
      </c>
      <c r="AB32" s="119">
        <f>AB5/(1+'Financial Information'!$B$5)^(AB$28-$B$28)</f>
        <v>12.325546785115124</v>
      </c>
      <c r="AC32" s="119">
        <f>AC5/(1+'Financial Information'!$B$5)^(AC$28-$B$28)</f>
        <v>11.799742074429989</v>
      </c>
      <c r="AD32" s="211">
        <f>AD5/(1+'Financial Information'!$B$5)^(AD$28-$B$28)</f>
        <v>11.304672978204819</v>
      </c>
      <c r="AE32" s="119">
        <f>AE5/(1+'Financial Information'!$B$5)^(AE$28-$B$28)</f>
        <v>10.450065979415029</v>
      </c>
      <c r="AF32" s="119">
        <f>AF5/(1+'Financial Information'!$B$5)^(AF$28-$B$28)</f>
        <v>9.2072671116039313</v>
      </c>
      <c r="AG32" s="119">
        <f>AG5/(1+'Financial Information'!$B$5)^(AG$28-$B$28)</f>
        <v>8.1237745464037729</v>
      </c>
      <c r="AH32" s="119">
        <f>AH5/(1+'Financial Information'!$B$5)^(AH$28-$B$28)</f>
        <v>7.3400246717171145</v>
      </c>
      <c r="AI32" s="119">
        <f>AI5/(1+'Financial Information'!$B$5)^(AI$28-$B$28)</f>
        <v>7.0239881557874666</v>
      </c>
      <c r="AJ32" s="119"/>
    </row>
    <row r="33" spans="1:36">
      <c r="A33" s="6" t="s">
        <v>67</v>
      </c>
      <c r="B33" s="119">
        <f>B6/(1+'Financial Information'!$B$5)^(B$28-$B$28)</f>
        <v>390.67815999999999</v>
      </c>
      <c r="C33" s="119">
        <f>C6/(1+'Financial Information'!$B$5)^(C$28-$B$28)</f>
        <v>360.70502343017807</v>
      </c>
      <c r="D33" s="119">
        <f>D6/(1+'Financial Information'!$B$5)^(D$28-$B$28)</f>
        <v>335.35898897573895</v>
      </c>
      <c r="E33" s="119">
        <f>E6/(1+'Financial Information'!$B$5)^(E$28-$B$28)</f>
        <v>314.30083315439452</v>
      </c>
      <c r="F33" s="119">
        <f>F6/(1+'Financial Information'!$B$5)^(F$28-$B$28)</f>
        <v>295.33513302110208</v>
      </c>
      <c r="G33" s="119">
        <f>G6/(1+'Financial Information'!$B$5)^(G$28-$B$28)</f>
        <v>276.06838970105849</v>
      </c>
      <c r="H33" s="119">
        <f>H6/(1+'Financial Information'!$B$5)^(H$28-$B$28)</f>
        <v>258.73326797724269</v>
      </c>
      <c r="I33" s="119">
        <f>I6/(1+'Financial Information'!$B$5)^(I$28-$B$28)</f>
        <v>242.48665529579867</v>
      </c>
      <c r="J33" s="119">
        <f>J6/(1+'Financial Information'!$B$5)^(J$28-$B$28)</f>
        <v>227.85440863960679</v>
      </c>
      <c r="K33" s="119">
        <f>K6/(1+'Financial Information'!$B$5)^(K$28-$B$28)</f>
        <v>212.98990297394215</v>
      </c>
      <c r="L33" s="119">
        <f>L6/(1+'Financial Information'!$B$5)^(L$28-$B$28)</f>
        <v>199.61565414615009</v>
      </c>
      <c r="M33" s="119">
        <f>M6/(1+'Financial Information'!$B$5)^(M$28-$B$28)</f>
        <v>187.08120798304273</v>
      </c>
      <c r="N33" s="119">
        <f>N6/(1+'Financial Information'!$B$5)^(N$28-$B$28)</f>
        <v>175.79226353945276</v>
      </c>
      <c r="O33" s="119">
        <f>O6/(1+'Financial Information'!$B$5)^(O$28-$B$28)</f>
        <v>164.32412863276659</v>
      </c>
      <c r="P33" s="119">
        <f>P6/(1+'Financial Information'!$B$5)^(P$28-$B$28)</f>
        <v>196.8566354690318</v>
      </c>
      <c r="Q33" s="119">
        <f>Q6/(1+'Financial Information'!$B$5)^(Q$28-$B$28)</f>
        <v>213.87481045723953</v>
      </c>
      <c r="R33" s="119">
        <f>R6/(1+'Financial Information'!$B$5)^(R$28-$B$28)</f>
        <v>200.44499574249258</v>
      </c>
      <c r="S33" s="119">
        <f>S6/(1+'Financial Information'!$B$5)^(S$28-$B$28)</f>
        <v>187.85847773429484</v>
      </c>
      <c r="T33" s="119">
        <f>T6/(1+'Financial Information'!$B$5)^(T$28-$B$28)</f>
        <v>189.35623363351272</v>
      </c>
      <c r="U33" s="119">
        <f>U6/(1+'Financial Information'!$B$5)^(U$28-$B$28)</f>
        <v>186.36541817589517</v>
      </c>
      <c r="V33" s="119">
        <f>V6/(1+'Financial Information'!$B$5)^(V$28-$B$28)</f>
        <v>178.75232231737783</v>
      </c>
      <c r="W33" s="119">
        <f>W6/(1+'Financial Information'!$B$5)^(W$28-$B$28)</f>
        <v>170.2654682873318</v>
      </c>
      <c r="X33" s="119">
        <f>X6/(1+'Financial Information'!$B$5)^(X$28-$B$28)</f>
        <v>178.15414508825265</v>
      </c>
      <c r="Y33" s="119">
        <f>Y6/(1+'Financial Information'!$B$5)^(Y$28-$B$28)</f>
        <v>179.42117079482207</v>
      </c>
      <c r="Z33" s="119">
        <f>Z6/(1+'Financial Information'!$B$5)^(Z$28-$B$28)</f>
        <v>175.11977341009199</v>
      </c>
      <c r="AA33" s="119">
        <f>AA6/(1+'Financial Information'!$B$5)^(AA$28-$B$28)</f>
        <v>172.13147818918981</v>
      </c>
      <c r="AB33" s="119">
        <f>AB6/(1+'Financial Information'!$B$5)^(AB$28-$B$28)</f>
        <v>163.56236948525608</v>
      </c>
      <c r="AC33" s="119">
        <f>AC6/(1+'Financial Information'!$B$5)^(AC$28-$B$28)</f>
        <v>153.29182117148412</v>
      </c>
      <c r="AD33" s="211">
        <f>AD6/(1+'Financial Information'!$B$5)^(AD$28-$B$28)</f>
        <v>143.66618666493358</v>
      </c>
      <c r="AE33" s="119">
        <f>AE6/(1+'Financial Information'!$B$5)^(AE$28-$B$28)</f>
        <v>134.64497344417393</v>
      </c>
      <c r="AF33" s="119">
        <f>AF6/(1+'Financial Information'!$B$5)^(AF$28-$B$28)</f>
        <v>126.1902281576138</v>
      </c>
      <c r="AG33" s="119">
        <f>AG6/(1+'Financial Information'!$B$5)^(AG$28-$B$28)</f>
        <v>118.26638065380864</v>
      </c>
      <c r="AH33" s="119">
        <f>AH6/(1+'Financial Information'!$B$5)^(AH$28-$B$28)</f>
        <v>110.84009433346641</v>
      </c>
      <c r="AI33" s="119">
        <f>AI6/(1+'Financial Information'!$B$5)^(AI$28-$B$28)</f>
        <v>103.88012589828155</v>
      </c>
      <c r="AJ33" s="119"/>
    </row>
    <row r="34" spans="1:36">
      <c r="A34" s="6" t="s">
        <v>383</v>
      </c>
      <c r="B34" s="119">
        <f>B7/(1+'Financial Information'!$B$5)^(B$28-$B$28)</f>
        <v>0</v>
      </c>
      <c r="C34" s="119">
        <f>C7/(1+'Financial Information'!$B$5)^(C$28-$B$28)</f>
        <v>0</v>
      </c>
      <c r="D34" s="119">
        <f>D7/(1+'Financial Information'!$B$5)^(D$28-$B$28)</f>
        <v>0</v>
      </c>
      <c r="E34" s="119">
        <f>E7/(1+'Financial Information'!$B$5)^(E$28-$B$28)</f>
        <v>0</v>
      </c>
      <c r="F34" s="119">
        <f>F7/(1+'Financial Information'!$B$5)^(F$28-$B$28)</f>
        <v>0</v>
      </c>
      <c r="G34" s="119">
        <f>G7/(1+'Financial Information'!$B$5)^(G$28-$B$28)</f>
        <v>0</v>
      </c>
      <c r="H34" s="119">
        <f>H7/(1+'Financial Information'!$B$5)^(H$28-$B$28)</f>
        <v>0</v>
      </c>
      <c r="I34" s="119">
        <f>I7/(1+'Financial Information'!$B$5)^(I$28-$B$28)</f>
        <v>0</v>
      </c>
      <c r="J34" s="119">
        <f>J7/(1+'Financial Information'!$B$5)^(J$28-$B$28)</f>
        <v>0</v>
      </c>
      <c r="K34" s="119">
        <f>K7/(1+'Financial Information'!$B$5)^(K$28-$B$28)</f>
        <v>0</v>
      </c>
      <c r="L34" s="119">
        <f>L7/(1+'Financial Information'!$B$5)^(L$28-$B$28)</f>
        <v>0</v>
      </c>
      <c r="M34" s="119">
        <f>M7/(1+'Financial Information'!$B$5)^(M$28-$B$28)</f>
        <v>0</v>
      </c>
      <c r="N34" s="119">
        <f>N7/(1+'Financial Information'!$B$5)^(N$28-$B$28)</f>
        <v>0</v>
      </c>
      <c r="O34" s="119">
        <f>O7/(1+'Financial Information'!$B$5)^(O$28-$B$28)</f>
        <v>0</v>
      </c>
      <c r="P34" s="119">
        <f>P7/(1+'Financial Information'!$B$5)^(P$28-$B$28)</f>
        <v>0</v>
      </c>
      <c r="Q34" s="119">
        <f>Q7/(1+'Financial Information'!$B$5)^(Q$28-$B$28)</f>
        <v>0</v>
      </c>
      <c r="R34" s="119">
        <f>R7/(1+'Financial Information'!$B$5)^(R$28-$B$28)</f>
        <v>0</v>
      </c>
      <c r="S34" s="119">
        <f>S7/(1+'Financial Information'!$B$5)^(S$28-$B$28)</f>
        <v>0</v>
      </c>
      <c r="T34" s="119">
        <f>T7/(1+'Financial Information'!$B$5)^(T$28-$B$28)</f>
        <v>0</v>
      </c>
      <c r="U34" s="119">
        <f>U7/(1+'Financial Information'!$B$5)^(U$28-$B$28)</f>
        <v>0</v>
      </c>
      <c r="V34" s="119">
        <f>V7/(1+'Financial Information'!$B$5)^(V$28-$B$28)</f>
        <v>0</v>
      </c>
      <c r="W34" s="119">
        <f>W7/(1+'Financial Information'!$B$5)^(W$28-$B$28)</f>
        <v>0</v>
      </c>
      <c r="X34" s="119">
        <f>X7/(1+'Financial Information'!$B$5)^(X$28-$B$28)</f>
        <v>0</v>
      </c>
      <c r="Y34" s="119">
        <f>Y7/(1+'Financial Information'!$B$5)^(Y$28-$B$28)</f>
        <v>0</v>
      </c>
      <c r="Z34" s="119">
        <f>Z7/(1+'Financial Information'!$B$5)^(Z$28-$B$28)</f>
        <v>0</v>
      </c>
      <c r="AA34" s="119">
        <f>AA7/(1+'Financial Information'!$B$5)^(AA$28-$B$28)</f>
        <v>0</v>
      </c>
      <c r="AB34" s="119">
        <f>AB7/(1+'Financial Information'!$B$5)^(AB$28-$B$28)</f>
        <v>0</v>
      </c>
      <c r="AC34" s="119">
        <f>AC7/(1+'Financial Information'!$B$5)^(AC$28-$B$28)</f>
        <v>0</v>
      </c>
      <c r="AD34" s="211">
        <f>AD7/(1+'Financial Information'!$B$5)^(AD$28-$B$28)</f>
        <v>0</v>
      </c>
      <c r="AE34" s="119">
        <f>AE7/(1+'Financial Information'!$B$5)^(AE$28-$B$28)</f>
        <v>0</v>
      </c>
      <c r="AF34" s="119">
        <f>AF7/(1+'Financial Information'!$B$5)^(AF$28-$B$28)</f>
        <v>0</v>
      </c>
      <c r="AG34" s="119">
        <f>AG7/(1+'Financial Information'!$B$5)^(AG$28-$B$28)</f>
        <v>0</v>
      </c>
      <c r="AH34" s="119">
        <f>AH7/(1+'Financial Information'!$B$5)^(AH$28-$B$28)</f>
        <v>0</v>
      </c>
      <c r="AI34" s="119">
        <f>AI7/(1+'Financial Information'!$B$5)^(AI$28-$B$28)</f>
        <v>0</v>
      </c>
      <c r="AJ34" s="119"/>
    </row>
    <row r="35" spans="1:36">
      <c r="A35" s="6" t="s">
        <v>65</v>
      </c>
      <c r="B35" s="119">
        <f>B8/(1+'Financial Information'!$B$5)^(B$28-$B$28)</f>
        <v>849.84470000000033</v>
      </c>
      <c r="C35" s="119">
        <f>C8/(1+'Financial Information'!$B$5)^(C$28-$B$28)</f>
        <v>805.01208059981241</v>
      </c>
      <c r="D35" s="119">
        <f>D8/(1+'Financial Information'!$B$5)^(D$28-$B$28)</f>
        <v>776.2090191473086</v>
      </c>
      <c r="E35" s="119">
        <f>E8/(1+'Financial Information'!$B$5)^(E$28-$B$28)</f>
        <v>742.27755910575627</v>
      </c>
      <c r="F35" s="119">
        <f>F8/(1+'Financial Information'!$B$5)^(F$28-$B$28)</f>
        <v>704.33767432049319</v>
      </c>
      <c r="G35" s="119">
        <f>G8/(1+'Financial Information'!$B$5)^(G$28-$B$28)</f>
        <v>699.86655455796085</v>
      </c>
      <c r="H35" s="119">
        <f>H8/(1+'Financial Information'!$B$5)^(H$28-$B$28)</f>
        <v>711.57440675526971</v>
      </c>
      <c r="I35" s="119">
        <f>I8/(1+'Financial Information'!$B$5)^(I$28-$B$28)</f>
        <v>747.73503862731354</v>
      </c>
      <c r="J35" s="119">
        <f>J8/(1+'Financial Information'!$B$5)^(J$28-$B$28)</f>
        <v>800.93297137957518</v>
      </c>
      <c r="K35" s="119">
        <f>K8/(1+'Financial Information'!$B$5)^(K$28-$B$28)</f>
        <v>813.20957922703406</v>
      </c>
      <c r="L35" s="119">
        <f>L8/(1+'Financial Information'!$B$5)^(L$28-$B$28)</f>
        <v>807.04155768320663</v>
      </c>
      <c r="M35" s="119">
        <f>M8/(1+'Financial Information'!$B$5)^(M$28-$B$28)</f>
        <v>794.17030934815534</v>
      </c>
      <c r="N35" s="119">
        <f>N8/(1+'Financial Information'!$B$5)^(N$28-$B$28)</f>
        <v>789.34430340166546</v>
      </c>
      <c r="O35" s="119">
        <f>O8/(1+'Financial Information'!$B$5)^(O$28-$B$28)</f>
        <v>745.2716377997474</v>
      </c>
      <c r="P35" s="119">
        <f>P8/(1+'Financial Information'!$B$5)^(P$28-$B$28)</f>
        <v>727.86065556200697</v>
      </c>
      <c r="Q35" s="119">
        <f>Q8/(1+'Financial Information'!$B$5)^(Q$28-$B$28)</f>
        <v>706.90701020316612</v>
      </c>
      <c r="R35" s="119">
        <f>R8/(1+'Financial Information'!$B$5)^(R$28-$B$28)</f>
        <v>682.21745065571054</v>
      </c>
      <c r="S35" s="119">
        <f>S8/(1+'Financial Information'!$B$5)^(S$28-$B$28)</f>
        <v>692.31896382219463</v>
      </c>
      <c r="T35" s="119">
        <f>T8/(1+'Financial Information'!$B$5)^(T$28-$B$28)</f>
        <v>685.57172432697269</v>
      </c>
      <c r="U35" s="119">
        <f>U8/(1+'Financial Information'!$B$5)^(U$28-$B$28)</f>
        <v>666.24386384097443</v>
      </c>
      <c r="V35" s="119">
        <f>V8/(1+'Financial Information'!$B$5)^(V$28-$B$28)</f>
        <v>656.97382327441596</v>
      </c>
      <c r="W35" s="119">
        <f>W8/(1+'Financial Information'!$B$5)^(W$28-$B$28)</f>
        <v>645.77231598736648</v>
      </c>
      <c r="X35" s="119">
        <f>X8/(1+'Financial Information'!$B$5)^(X$28-$B$28)</f>
        <v>616.36229722445307</v>
      </c>
      <c r="Y35" s="119">
        <f>Y8/(1+'Financial Information'!$B$5)^(Y$28-$B$28)</f>
        <v>590.35270701508227</v>
      </c>
      <c r="Z35" s="119">
        <f>Z8/(1+'Financial Information'!$B$5)^(Z$28-$B$28)</f>
        <v>582.71980468524578</v>
      </c>
      <c r="AA35" s="119">
        <f>AA8/(1+'Financial Information'!$B$5)^(AA$28-$B$28)</f>
        <v>580.64702082823476</v>
      </c>
      <c r="AB35" s="119">
        <f>AB8/(1+'Financial Information'!$B$5)^(AB$28-$B$28)</f>
        <v>571.70875480593384</v>
      </c>
      <c r="AC35" s="119">
        <f>AC8/(1+'Financial Information'!$B$5)^(AC$28-$B$28)</f>
        <v>542.91627281589251</v>
      </c>
      <c r="AD35" s="211">
        <f>AD8/(1+'Financial Information'!$B$5)^(AD$28-$B$28)</f>
        <v>530.23578220574313</v>
      </c>
      <c r="AE35" s="119">
        <f>AE8/(1+'Financial Information'!$B$5)^(AE$28-$B$28)</f>
        <v>503.27306819023681</v>
      </c>
      <c r="AF35" s="119">
        <f>AF8/(1+'Financial Information'!$B$5)^(AF$28-$B$28)</f>
        <v>482.93183063957372</v>
      </c>
      <c r="AG35" s="119">
        <f>AG8/(1+'Financial Information'!$B$5)^(AG$28-$B$28)</f>
        <v>468.22483286672053</v>
      </c>
      <c r="AH35" s="119">
        <f>AH8/(1+'Financial Information'!$B$5)^(AH$28-$B$28)</f>
        <v>453.68978211338703</v>
      </c>
      <c r="AI35" s="119">
        <f>AI8/(1+'Financial Information'!$B$5)^(AI$28-$B$28)</f>
        <v>433.24177317890502</v>
      </c>
      <c r="AJ35" s="119"/>
    </row>
    <row r="36" spans="1:36">
      <c r="A36" s="6" t="s">
        <v>52</v>
      </c>
      <c r="B36" s="119">
        <f>B9/(1+'Financial Information'!$B$5)^(B$28-$B$28)</f>
        <v>86.065810000000013</v>
      </c>
      <c r="C36" s="119">
        <f>C9/(1+'Financial Information'!$B$5)^(C$28-$B$28)</f>
        <v>85.41063730084349</v>
      </c>
      <c r="D36" s="119">
        <f>D9/(1+'Financial Information'!$B$5)^(D$28-$B$28)</f>
        <v>86.977142510819149</v>
      </c>
      <c r="E36" s="119">
        <f>E9/(1+'Financial Information'!$B$5)^(E$28-$B$28)</f>
        <v>87.718750238188534</v>
      </c>
      <c r="F36" s="119">
        <f>F9/(1+'Financial Information'!$B$5)^(F$28-$B$28)</f>
        <v>90.151232982109008</v>
      </c>
      <c r="G36" s="119">
        <f>G9/(1+'Financial Information'!$B$5)^(G$28-$B$28)</f>
        <v>93.848803182511361</v>
      </c>
      <c r="H36" s="119">
        <f>H9/(1+'Financial Information'!$B$5)^(H$28-$B$28)</f>
        <v>101.19708966703611</v>
      </c>
      <c r="I36" s="119">
        <f>I9/(1+'Financial Information'!$B$5)^(I$28-$B$28)</f>
        <v>107.26820161421809</v>
      </c>
      <c r="J36" s="119">
        <f>J9/(1+'Financial Information'!$B$5)^(J$28-$B$28)</f>
        <v>114.3883942985225</v>
      </c>
      <c r="K36" s="119">
        <f>K9/(1+'Financial Information'!$B$5)^(K$28-$B$28)</f>
        <v>113.34079674676535</v>
      </c>
      <c r="L36" s="119">
        <f>L9/(1+'Financial Information'!$B$5)^(L$28-$B$28)</f>
        <v>117.91395056468365</v>
      </c>
      <c r="M36" s="119">
        <f>M9/(1+'Financial Information'!$B$5)^(M$28-$B$28)</f>
        <v>120.83493825263459</v>
      </c>
      <c r="N36" s="119">
        <f>N9/(1+'Financial Information'!$B$5)^(N$28-$B$28)</f>
        <v>119.08428092072451</v>
      </c>
      <c r="O36" s="119">
        <f>O9/(1+'Financial Information'!$B$5)^(O$28-$B$28)</f>
        <v>119.4231882469559</v>
      </c>
      <c r="P36" s="119">
        <f>P9/(1+'Financial Information'!$B$5)^(P$28-$B$28)</f>
        <v>114.45970160858822</v>
      </c>
      <c r="Q36" s="119">
        <f>Q9/(1+'Financial Information'!$B$5)^(Q$28-$B$28)</f>
        <v>114.09498913189439</v>
      </c>
      <c r="R36" s="119">
        <f>R9/(1+'Financial Information'!$B$5)^(R$28-$B$28)</f>
        <v>113.1231326383638</v>
      </c>
      <c r="S36" s="119">
        <f>S9/(1+'Financial Information'!$B$5)^(S$28-$B$28)</f>
        <v>118.21074484539115</v>
      </c>
      <c r="T36" s="119">
        <f>T9/(1+'Financial Information'!$B$5)^(T$28-$B$28)</f>
        <v>117.75840710135166</v>
      </c>
      <c r="U36" s="119">
        <f>U9/(1+'Financial Information'!$B$5)^(U$28-$B$28)</f>
        <v>121.57289249931507</v>
      </c>
      <c r="V36" s="119">
        <f>V9/(1+'Financial Information'!$B$5)^(V$28-$B$28)</f>
        <v>116.31672955121773</v>
      </c>
      <c r="W36" s="119">
        <f>W9/(1+'Financial Information'!$B$5)^(W$28-$B$28)</f>
        <v>115.35904355083292</v>
      </c>
      <c r="X36" s="119">
        <f>X9/(1+'Financial Information'!$B$5)^(X$28-$B$28)</f>
        <v>110.62806314196837</v>
      </c>
      <c r="Y36" s="119">
        <f>Y9/(1+'Financial Information'!$B$5)^(Y$28-$B$28)</f>
        <v>108.71287565180566</v>
      </c>
      <c r="Z36" s="119">
        <f>Z9/(1+'Financial Information'!$B$5)^(Z$28-$B$28)</f>
        <v>104.61710806114837</v>
      </c>
      <c r="AA36" s="119">
        <f>AA9/(1+'Financial Information'!$B$5)^(AA$28-$B$28)</f>
        <v>104.17843425262399</v>
      </c>
      <c r="AB36" s="119">
        <f>AB9/(1+'Financial Information'!$B$5)^(AB$28-$B$28)</f>
        <v>100.79180987868078</v>
      </c>
      <c r="AC36" s="119">
        <f>AC9/(1+'Financial Information'!$B$5)^(AC$28-$B$28)</f>
        <v>98.837837338644363</v>
      </c>
      <c r="AD36" s="211">
        <f>AD9/(1+'Financial Information'!$B$5)^(AD$28-$B$28)</f>
        <v>95.942899333006167</v>
      </c>
      <c r="AE36" s="119">
        <f>AE9/(1+'Financial Information'!$B$5)^(AE$28-$B$28)</f>
        <v>93.320829282387066</v>
      </c>
      <c r="AF36" s="119">
        <f>AF9/(1+'Financial Information'!$B$5)^(AF$28-$B$28)</f>
        <v>90.259253229790588</v>
      </c>
      <c r="AG36" s="119">
        <f>AG9/(1+'Financial Information'!$B$5)^(AG$28-$B$28)</f>
        <v>88.724850935668172</v>
      </c>
      <c r="AH36" s="119">
        <f>AH9/(1+'Financial Information'!$B$5)^(AH$28-$B$28)</f>
        <v>84.942465978949429</v>
      </c>
      <c r="AI36" s="119">
        <f>AI9/(1+'Financial Information'!$B$5)^(AI$28-$B$28)</f>
        <v>83.171808581677368</v>
      </c>
      <c r="AJ36" s="119"/>
    </row>
    <row r="37" spans="1:36">
      <c r="A37" s="36" t="s">
        <v>66</v>
      </c>
      <c r="B37" s="119">
        <f>B10/(1+'Financial Information'!$B$5)^(B$28-$B$28)</f>
        <v>6.2319722000000004</v>
      </c>
      <c r="C37" s="119">
        <f>C10/(1+'Financial Information'!$B$5)^(C$28-$B$28)</f>
        <v>6.0651042174320517</v>
      </c>
      <c r="D37" s="119">
        <f>D10/(1+'Financial Information'!$B$5)^(D$28-$B$28)</f>
        <v>5.597480081054802</v>
      </c>
      <c r="E37" s="119">
        <f>E10/(1+'Financial Information'!$B$5)^(E$28-$B$28)</f>
        <v>4.7561382315016223</v>
      </c>
      <c r="F37" s="119">
        <f>F10/(1+'Financial Information'!$B$5)^(F$28-$B$28)</f>
        <v>4.4657182678632603</v>
      </c>
      <c r="G37" s="119">
        <f>G10/(1+'Financial Information'!$B$5)^(G$28-$B$28)</f>
        <v>4.9184312362930598</v>
      </c>
      <c r="H37" s="119">
        <f>H10/(1+'Financial Information'!$B$5)^(H$28-$B$28)</f>
        <v>4.9801266715567332</v>
      </c>
      <c r="I37" s="119">
        <f>I10/(1+'Financial Information'!$B$5)^(I$28-$B$28)</f>
        <v>5.0503416702380965</v>
      </c>
      <c r="J37" s="119">
        <f>J10/(1+'Financial Information'!$B$5)^(J$28-$B$28)</f>
        <v>5.7979008792530013</v>
      </c>
      <c r="K37" s="119">
        <f>K10/(1+'Financial Information'!$B$5)^(K$28-$B$28)</f>
        <v>6.8521785157127244</v>
      </c>
      <c r="L37" s="119">
        <f>L10/(1+'Financial Information'!$B$5)^(L$28-$B$28)</f>
        <v>6.7500852120302151</v>
      </c>
      <c r="M37" s="119">
        <f>M10/(1+'Financial Information'!$B$5)^(M$28-$B$28)</f>
        <v>5.8426995978747405</v>
      </c>
      <c r="N37" s="119">
        <f>N10/(1+'Financial Information'!$B$5)^(N$28-$B$28)</f>
        <v>5.5787313337552478</v>
      </c>
      <c r="O37" s="119">
        <f>O10/(1+'Financial Information'!$B$5)^(O$28-$B$28)</f>
        <v>4.8146188806325174</v>
      </c>
      <c r="P37" s="119">
        <f>P10/(1+'Financial Information'!$B$5)^(P$28-$B$28)</f>
        <v>1.9469344182839403</v>
      </c>
      <c r="Q37" s="119">
        <f>Q10/(1+'Financial Information'!$B$5)^(Q$28-$B$28)</f>
        <v>0.65830138207593991</v>
      </c>
      <c r="R37" s="119">
        <f>R10/(1+'Financial Information'!$B$5)^(R$28-$B$28)</f>
        <v>0.62399756904272186</v>
      </c>
      <c r="S37" s="119">
        <f>S10/(1+'Financial Information'!$B$5)^(S$28-$B$28)</f>
        <v>0.59242889708564794</v>
      </c>
      <c r="T37" s="119">
        <f>T10/(1+'Financial Information'!$B$5)^(T$28-$B$28)</f>
        <v>0.56043185641399118</v>
      </c>
      <c r="U37" s="119">
        <f>U10/(1+'Financial Information'!$B$5)^(U$28-$B$28)</f>
        <v>0.52841981550798656</v>
      </c>
      <c r="V37" s="119">
        <f>V10/(1+'Financial Information'!$B$5)^(V$28-$B$28)</f>
        <v>0.50548926367414804</v>
      </c>
      <c r="W37" s="119">
        <f>W10/(1+'Financial Information'!$B$5)^(W$28-$B$28)</f>
        <v>0.47703494271631114</v>
      </c>
      <c r="X37" s="119">
        <f>X10/(1+'Financial Information'!$B$5)^(X$28-$B$28)</f>
        <v>0.44848510076571213</v>
      </c>
      <c r="Y37" s="119">
        <f>Y10/(1+'Financial Information'!$B$5)^(Y$28-$B$28)</f>
        <v>0.42469554163865558</v>
      </c>
      <c r="Z37" s="119">
        <f>Z10/(1+'Financial Information'!$B$5)^(Z$28-$B$28)</f>
        <v>0.40366896746657127</v>
      </c>
      <c r="AA37" s="119">
        <f>AA10/(1+'Financial Information'!$B$5)^(AA$28-$B$28)</f>
        <v>0.38110824968135615</v>
      </c>
      <c r="AB37" s="119">
        <f>AB10/(1+'Financial Information'!$B$5)^(AB$28-$B$28)</f>
        <v>0.36363283630089016</v>
      </c>
      <c r="AC37" s="119">
        <f>AC10/(1+'Financial Information'!$B$5)^(AC$28-$B$28)</f>
        <v>0.34028888738160179</v>
      </c>
      <c r="AD37" s="211">
        <f>AD10/(1+'Financial Information'!$B$5)^(AD$28-$B$28)</f>
        <v>0.32074995370304782</v>
      </c>
      <c r="AE37" s="119">
        <f>AE10/(1+'Financial Information'!$B$5)^(AE$28-$B$28)</f>
        <v>0.30136852478011689</v>
      </c>
      <c r="AF37" s="119">
        <f>AF10/(1+'Financial Information'!$B$5)^(AF$28-$B$28)</f>
        <v>0.28688213252758876</v>
      </c>
      <c r="AG37" s="119">
        <f>AG10/(1+'Financial Information'!$B$5)^(AG$28-$B$28)</f>
        <v>0.27117438605026117</v>
      </c>
      <c r="AH37" s="119">
        <f>AH10/(1+'Financial Information'!$B$5)^(AH$28-$B$28)</f>
        <v>0.25836052137358961</v>
      </c>
      <c r="AI37" s="119">
        <f>AI10/(1+'Financial Information'!$B$5)^(AI$28-$B$28)</f>
        <v>0.24242319867582496</v>
      </c>
      <c r="AJ37" s="119"/>
    </row>
    <row r="38" spans="1:36">
      <c r="A38" s="12" t="s">
        <v>69</v>
      </c>
      <c r="B38" s="212">
        <f>B11/(1+'Financial Information'!$B$5)^(B$28-$B$28)</f>
        <v>0</v>
      </c>
      <c r="C38" s="212">
        <f>C11/(1+'Financial Information'!$B$5)^(C$28-$B$28)</f>
        <v>0</v>
      </c>
      <c r="D38" s="212">
        <f>D11/(1+'Financial Information'!$B$5)^(D$28-$B$28)</f>
        <v>0</v>
      </c>
      <c r="E38" s="212">
        <f>E11/(1+'Financial Information'!$B$5)^(E$28-$B$28)</f>
        <v>0</v>
      </c>
      <c r="F38" s="212">
        <f>F11/(1+'Financial Information'!$B$5)^(F$28-$B$28)</f>
        <v>0</v>
      </c>
      <c r="G38" s="212">
        <f>G11/(1+'Financial Information'!$B$5)^(G$28-$B$28)</f>
        <v>0</v>
      </c>
      <c r="H38" s="212">
        <f>H11/(1+'Financial Information'!$B$5)^(H$28-$B$28)</f>
        <v>0</v>
      </c>
      <c r="I38" s="212">
        <f>I11/(1+'Financial Information'!$B$5)^(I$28-$B$28)</f>
        <v>0</v>
      </c>
      <c r="J38" s="212">
        <f>J11/(1+'Financial Information'!$B$5)^(J$28-$B$28)</f>
        <v>0</v>
      </c>
      <c r="K38" s="212">
        <f>K11/(1+'Financial Information'!$B$5)^(K$28-$B$28)</f>
        <v>0</v>
      </c>
      <c r="L38" s="212">
        <f>L11/(1+'Financial Information'!$B$5)^(L$28-$B$28)</f>
        <v>0</v>
      </c>
      <c r="M38" s="212">
        <f>M11/(1+'Financial Information'!$B$5)^(M$28-$B$28)</f>
        <v>0</v>
      </c>
      <c r="N38" s="212">
        <f>N11/(1+'Financial Information'!$B$5)^(N$28-$B$28)</f>
        <v>0</v>
      </c>
      <c r="O38" s="212">
        <f>O11/(1+'Financial Information'!$B$5)^(O$28-$B$28)</f>
        <v>0</v>
      </c>
      <c r="P38" s="212">
        <f>P11/(1+'Financial Information'!$B$5)^(P$28-$B$28)</f>
        <v>0</v>
      </c>
      <c r="Q38" s="212">
        <f>Q11/(1+'Financial Information'!$B$5)^(Q$28-$B$28)</f>
        <v>0</v>
      </c>
      <c r="R38" s="212">
        <f>R11/(1+'Financial Information'!$B$5)^(R$28-$B$28)</f>
        <v>0</v>
      </c>
      <c r="S38" s="212">
        <f>S11/(1+'Financial Information'!$B$5)^(S$28-$B$28)</f>
        <v>0</v>
      </c>
      <c r="T38" s="212">
        <f>T11/(1+'Financial Information'!$B$5)^(T$28-$B$28)</f>
        <v>0</v>
      </c>
      <c r="U38" s="212">
        <f>U11/(1+'Financial Information'!$B$5)^(U$28-$B$28)</f>
        <v>0</v>
      </c>
      <c r="V38" s="212">
        <f>V11/(1+'Financial Information'!$B$5)^(V$28-$B$28)</f>
        <v>0</v>
      </c>
      <c r="W38" s="212">
        <f>W11/(1+'Financial Information'!$B$5)^(W$28-$B$28)</f>
        <v>0</v>
      </c>
      <c r="X38" s="212">
        <f>X11/(1+'Financial Information'!$B$5)^(X$28-$B$28)</f>
        <v>0</v>
      </c>
      <c r="Y38" s="212">
        <f>Y11/(1+'Financial Information'!$B$5)^(Y$28-$B$28)</f>
        <v>0</v>
      </c>
      <c r="Z38" s="212">
        <f>Z11/(1+'Financial Information'!$B$5)^(Z$28-$B$28)</f>
        <v>0</v>
      </c>
      <c r="AA38" s="212">
        <f>AA11/(1+'Financial Information'!$B$5)^(AA$28-$B$28)</f>
        <v>0</v>
      </c>
      <c r="AB38" s="212">
        <f>AB11/(1+'Financial Information'!$B$5)^(AB$28-$B$28)</f>
        <v>0</v>
      </c>
      <c r="AC38" s="212">
        <f>AC11/(1+'Financial Information'!$B$5)^(AC$28-$B$28)</f>
        <v>0</v>
      </c>
      <c r="AD38" s="213">
        <f>AD11/(1+'Financial Information'!$B$5)^(AD$28-$B$28)</f>
        <v>0</v>
      </c>
      <c r="AE38" s="212">
        <f>AE11/(1+'Financial Information'!$B$5)^(AE$28-$B$28)</f>
        <v>0</v>
      </c>
      <c r="AF38" s="212">
        <f>AF11/(1+'Financial Information'!$B$5)^(AF$28-$B$28)</f>
        <v>0</v>
      </c>
      <c r="AG38" s="212">
        <f>AG11/(1+'Financial Information'!$B$5)^(AG$28-$B$28)</f>
        <v>0</v>
      </c>
      <c r="AH38" s="212">
        <f>AH11/(1+'Financial Information'!$B$5)^(AH$28-$B$28)</f>
        <v>0</v>
      </c>
      <c r="AI38" s="212">
        <f>AI11/(1+'Financial Information'!$B$5)^(AI$28-$B$28)</f>
        <v>0</v>
      </c>
      <c r="AJ38" s="212"/>
    </row>
    <row r="39" spans="1:36">
      <c r="A39" s="6" t="s">
        <v>61</v>
      </c>
      <c r="B39" s="15">
        <f t="shared" ref="B39:AG39" si="7">SUM(B29:B38)</f>
        <v>1843.4621723822067</v>
      </c>
      <c r="C39" s="15">
        <f t="shared" si="7"/>
        <v>1758.8220120849685</v>
      </c>
      <c r="D39" s="15">
        <f t="shared" si="7"/>
        <v>1710.2804142808266</v>
      </c>
      <c r="E39" s="15">
        <f t="shared" si="7"/>
        <v>1634.8250148527695</v>
      </c>
      <c r="F39" s="15">
        <f t="shared" si="7"/>
        <v>1425.3350308744293</v>
      </c>
      <c r="G39" s="15">
        <f t="shared" si="7"/>
        <v>1268.8462690131046</v>
      </c>
      <c r="H39" s="15">
        <f t="shared" si="7"/>
        <v>1187.7791808138636</v>
      </c>
      <c r="I39" s="15">
        <f t="shared" si="7"/>
        <v>1202.7648412086826</v>
      </c>
      <c r="J39" s="15">
        <f t="shared" si="7"/>
        <v>1249.7800115670939</v>
      </c>
      <c r="K39" s="15">
        <f t="shared" si="7"/>
        <v>1243.2307865900063</v>
      </c>
      <c r="L39" s="15">
        <f t="shared" si="7"/>
        <v>1226.0657834302297</v>
      </c>
      <c r="M39" s="15">
        <f t="shared" si="7"/>
        <v>1198.7294258473451</v>
      </c>
      <c r="N39" s="15">
        <f t="shared" si="7"/>
        <v>1178.3909260736655</v>
      </c>
      <c r="O39" s="15">
        <f t="shared" si="7"/>
        <v>1118.5733189233429</v>
      </c>
      <c r="P39" s="15">
        <f t="shared" si="7"/>
        <v>1188.7701412989138</v>
      </c>
      <c r="Q39" s="15">
        <f t="shared" si="7"/>
        <v>1320.5443604855097</v>
      </c>
      <c r="R39" s="15">
        <f t="shared" si="7"/>
        <v>1256.7010145746042</v>
      </c>
      <c r="S39" s="15">
        <f t="shared" si="7"/>
        <v>1236.7163118066549</v>
      </c>
      <c r="T39" s="15">
        <f t="shared" si="7"/>
        <v>1225.0109126691789</v>
      </c>
      <c r="U39" s="15">
        <f t="shared" si="7"/>
        <v>1195.9262513526298</v>
      </c>
      <c r="V39" s="15">
        <f t="shared" si="7"/>
        <v>1158.5775651286806</v>
      </c>
      <c r="W39" s="15">
        <f t="shared" si="7"/>
        <v>1122.5648780626084</v>
      </c>
      <c r="X39" s="15">
        <f t="shared" si="7"/>
        <v>1111.1285850569684</v>
      </c>
      <c r="Y39" s="15">
        <f t="shared" si="7"/>
        <v>1154.9889506857337</v>
      </c>
      <c r="Z39" s="15">
        <f t="shared" si="7"/>
        <v>1121.6240059497266</v>
      </c>
      <c r="AA39" s="15">
        <f t="shared" si="7"/>
        <v>1101.0273524407314</v>
      </c>
      <c r="AB39" s="15">
        <f t="shared" si="7"/>
        <v>1060.6065836793393</v>
      </c>
      <c r="AC39" s="52">
        <f t="shared" si="7"/>
        <v>999.67108193460172</v>
      </c>
      <c r="AD39" s="214">
        <f t="shared" si="7"/>
        <v>956.6222761653114</v>
      </c>
      <c r="AE39" s="15">
        <f t="shared" si="7"/>
        <v>900.44808201512933</v>
      </c>
      <c r="AF39" s="15">
        <f t="shared" si="7"/>
        <v>850.76604401368252</v>
      </c>
      <c r="AG39" s="15">
        <f t="shared" si="7"/>
        <v>810.37354110050273</v>
      </c>
      <c r="AH39" s="15">
        <f t="shared" ref="AH39:AI39" si="8">SUM(AH29:AH38)</f>
        <v>769.69151196213011</v>
      </c>
      <c r="AI39" s="15">
        <f t="shared" si="8"/>
        <v>729.47611042461131</v>
      </c>
      <c r="AJ39" s="15"/>
    </row>
    <row r="40" spans="1:36">
      <c r="AC40" s="36"/>
      <c r="AD40" s="215"/>
    </row>
    <row r="41" spans="1:36">
      <c r="A41" s="152" t="str">
        <f>A14</f>
        <v>Clean Energy Connection</v>
      </c>
      <c r="B41" s="152">
        <f>$B$1</f>
        <v>2020</v>
      </c>
      <c r="C41" s="152">
        <f t="shared" ref="C41:AI41" si="9">B41+1</f>
        <v>2021</v>
      </c>
      <c r="D41" s="152">
        <f t="shared" si="9"/>
        <v>2022</v>
      </c>
      <c r="E41" s="152">
        <f t="shared" si="9"/>
        <v>2023</v>
      </c>
      <c r="F41" s="152">
        <f t="shared" si="9"/>
        <v>2024</v>
      </c>
      <c r="G41" s="152">
        <f t="shared" si="9"/>
        <v>2025</v>
      </c>
      <c r="H41" s="152">
        <f t="shared" si="9"/>
        <v>2026</v>
      </c>
      <c r="I41" s="152">
        <f t="shared" si="9"/>
        <v>2027</v>
      </c>
      <c r="J41" s="152">
        <f t="shared" si="9"/>
        <v>2028</v>
      </c>
      <c r="K41" s="152">
        <f t="shared" si="9"/>
        <v>2029</v>
      </c>
      <c r="L41" s="152">
        <f t="shared" si="9"/>
        <v>2030</v>
      </c>
      <c r="M41" s="152">
        <f t="shared" si="9"/>
        <v>2031</v>
      </c>
      <c r="N41" s="152">
        <f t="shared" si="9"/>
        <v>2032</v>
      </c>
      <c r="O41" s="152">
        <f t="shared" si="9"/>
        <v>2033</v>
      </c>
      <c r="P41" s="152">
        <f t="shared" si="9"/>
        <v>2034</v>
      </c>
      <c r="Q41" s="152">
        <f t="shared" si="9"/>
        <v>2035</v>
      </c>
      <c r="R41" s="152">
        <f t="shared" si="9"/>
        <v>2036</v>
      </c>
      <c r="S41" s="152">
        <f t="shared" si="9"/>
        <v>2037</v>
      </c>
      <c r="T41" s="152">
        <f t="shared" si="9"/>
        <v>2038</v>
      </c>
      <c r="U41" s="152">
        <f t="shared" si="9"/>
        <v>2039</v>
      </c>
      <c r="V41" s="152">
        <f t="shared" si="9"/>
        <v>2040</v>
      </c>
      <c r="W41" s="152">
        <f t="shared" si="9"/>
        <v>2041</v>
      </c>
      <c r="X41" s="152">
        <f t="shared" si="9"/>
        <v>2042</v>
      </c>
      <c r="Y41" s="152">
        <f t="shared" si="9"/>
        <v>2043</v>
      </c>
      <c r="Z41" s="152">
        <f t="shared" si="9"/>
        <v>2044</v>
      </c>
      <c r="AA41" s="152">
        <f t="shared" si="9"/>
        <v>2045</v>
      </c>
      <c r="AB41" s="152">
        <f t="shared" si="9"/>
        <v>2046</v>
      </c>
      <c r="AC41" s="209">
        <f t="shared" si="9"/>
        <v>2047</v>
      </c>
      <c r="AD41" s="210">
        <f t="shared" si="9"/>
        <v>2048</v>
      </c>
      <c r="AE41" s="152">
        <f t="shared" si="9"/>
        <v>2049</v>
      </c>
      <c r="AF41" s="152">
        <f t="shared" si="9"/>
        <v>2050</v>
      </c>
      <c r="AG41" s="152">
        <f t="shared" si="9"/>
        <v>2051</v>
      </c>
      <c r="AH41" s="152">
        <f t="shared" si="9"/>
        <v>2052</v>
      </c>
      <c r="AI41" s="152">
        <f t="shared" si="9"/>
        <v>2053</v>
      </c>
      <c r="AJ41" s="152"/>
    </row>
    <row r="42" spans="1:36">
      <c r="A42" s="6" t="s">
        <v>134</v>
      </c>
      <c r="B42" s="119">
        <f>B15/(1+'Financial Information'!$B$5)^(B$28-$B$28)</f>
        <v>65.260450182206341</v>
      </c>
      <c r="C42" s="119">
        <f>C15/(1+'Financial Information'!$B$5)^(C$28-$B$28)</f>
        <v>95.670684812241348</v>
      </c>
      <c r="D42" s="119">
        <f>D15/(1+'Financial Information'!$B$5)^(D$28-$B$28)</f>
        <v>123.09266850550476</v>
      </c>
      <c r="E42" s="119">
        <f>E15/(1+'Financial Information'!$B$5)^(E$28-$B$28)</f>
        <v>110.3423278685908</v>
      </c>
      <c r="F42" s="119">
        <f>F15/(1+'Financial Information'!$B$5)^(F$28-$B$28)</f>
        <v>99.251999617653368</v>
      </c>
      <c r="G42" s="119">
        <f>G15/(1+'Financial Information'!$B$5)^(G$28-$B$28)</f>
        <v>87.236463254682732</v>
      </c>
      <c r="H42" s="119">
        <f>H15/(1+'Financial Information'!$B$5)^(H$28-$B$28)</f>
        <v>72.209878742626842</v>
      </c>
      <c r="I42" s="119">
        <f>I15/(1+'Financial Information'!$B$5)^(I$28-$B$28)</f>
        <v>65.776198490761217</v>
      </c>
      <c r="J42" s="119">
        <f>J15/(1+'Financial Information'!$B$5)^(J$28-$B$28)</f>
        <v>60.015159466469328</v>
      </c>
      <c r="K42" s="119">
        <f>K15/(1+'Financial Information'!$B$5)^(K$28-$B$28)</f>
        <v>54.842529437059518</v>
      </c>
      <c r="L42" s="119">
        <f>L15/(1+'Financial Information'!$B$5)^(L$28-$B$28)</f>
        <v>50.063063142283596</v>
      </c>
      <c r="M42" s="119">
        <f>M15/(1+'Financial Information'!$B$5)^(M$28-$B$28)</f>
        <v>45.685746667320686</v>
      </c>
      <c r="N42" s="119">
        <f>N15/(1+'Financial Information'!$B$5)^(N$28-$B$28)</f>
        <v>41.663810762062894</v>
      </c>
      <c r="O42" s="119">
        <f>O15/(1+'Financial Information'!$B$5)^(O$28-$B$28)</f>
        <v>38.004159133502633</v>
      </c>
      <c r="P42" s="119">
        <f>P15/(1+'Financial Information'!$B$5)^(P$28-$B$28)</f>
        <v>34.594178141826397</v>
      </c>
      <c r="Q42" s="119">
        <f>Q15/(1+'Financial Information'!$B$5)^(Q$28-$B$28)</f>
        <v>31.467085235523829</v>
      </c>
      <c r="R42" s="119">
        <f>R15/(1+'Financial Information'!$B$5)^(R$28-$B$28)</f>
        <v>28.556029265028624</v>
      </c>
      <c r="S42" s="119">
        <f>S15/(1+'Financial Information'!$B$5)^(S$28-$B$28)</f>
        <v>25.923671058538908</v>
      </c>
      <c r="T42" s="119">
        <f>T15/(1+'Financial Information'!$B$5)^(T$28-$B$28)</f>
        <v>24.302460071004031</v>
      </c>
      <c r="U42" s="119">
        <f>U15/(1+'Financial Information'!$B$5)^(U$28-$B$28)</f>
        <v>22.47210636589875</v>
      </c>
      <c r="V42" s="119">
        <f>V15/(1+'Financial Information'!$B$5)^(V$28-$B$28)</f>
        <v>20.321524261026781</v>
      </c>
      <c r="W42" s="119">
        <f>W15/(1+'Financial Information'!$B$5)^(W$28-$B$28)</f>
        <v>18.368381113610976</v>
      </c>
      <c r="X42" s="119">
        <f>X15/(1+'Financial Information'!$B$5)^(X$28-$B$28)</f>
        <v>16.632430176980964</v>
      </c>
      <c r="Y42" s="119">
        <f>Y15/(1+'Financial Information'!$B$5)^(Y$28-$B$28)</f>
        <v>15.026179470220866</v>
      </c>
      <c r="Z42" s="119">
        <f>Z15/(1+'Financial Information'!$B$5)^(Z$28-$B$28)</f>
        <v>13.604762985175954</v>
      </c>
      <c r="AA42" s="119">
        <f>AA15/(1+'Financial Information'!$B$5)^(AA$28-$B$28)</f>
        <v>12.278499130739975</v>
      </c>
      <c r="AB42" s="119">
        <f>AB15/(1+'Financial Information'!$B$5)^(AB$28-$B$28)</f>
        <v>11.098008139710984</v>
      </c>
      <c r="AC42" s="119">
        <f>AC15/(1+'Financial Information'!$B$5)^(AC$28-$B$28)</f>
        <v>10.008361154503485</v>
      </c>
      <c r="AD42" s="211">
        <f>AD15/(1+'Financial Information'!$B$5)^(AD$28-$B$28)</f>
        <v>9.3885499439786422</v>
      </c>
      <c r="AE42" s="119">
        <f>AE15/(1+'Financial Information'!$B$5)^(AE$28-$B$28)</f>
        <v>7.9514309956645066</v>
      </c>
      <c r="AF42" s="119">
        <f>AF15/(1+'Financial Information'!$B$5)^(AF$28-$B$28)</f>
        <v>5.2989347528844011</v>
      </c>
      <c r="AG42" s="119">
        <f>AG15/(1+'Financial Information'!$B$5)^(AG$28-$B$28)</f>
        <v>2.8960604241996695</v>
      </c>
      <c r="AH42" s="119">
        <f>AH15/(1+'Financial Information'!$B$5)^(AH$28-$B$28)</f>
        <v>0.41566066557171555</v>
      </c>
      <c r="AI42" s="119">
        <f>AI15/(1+'Financial Information'!$B$5)^(AI$28-$B$28)</f>
        <v>0.37490309689796597</v>
      </c>
      <c r="AJ42" s="119"/>
    </row>
    <row r="43" spans="1:36">
      <c r="A43" s="6" t="s">
        <v>135</v>
      </c>
      <c r="B43" s="119">
        <f>B16/(1+'Financial Information'!$B$5)^(B$28-$B$28)</f>
        <v>0</v>
      </c>
      <c r="C43" s="119">
        <f>C16/(1+'Financial Information'!$B$5)^(C$28-$B$28)</f>
        <v>0</v>
      </c>
      <c r="D43" s="119">
        <f>D16/(1+'Financial Information'!$B$5)^(D$28-$B$28)</f>
        <v>27.104402529171068</v>
      </c>
      <c r="E43" s="119">
        <f>E16/(1+'Financial Information'!$B$5)^(E$28-$B$28)</f>
        <v>71.677271703898896</v>
      </c>
      <c r="F43" s="119">
        <f>F16/(1+'Financial Information'!$B$5)^(F$28-$B$28)</f>
        <v>106.71659618161929</v>
      </c>
      <c r="G43" s="119">
        <f>G16/(1+'Financial Information'!$B$5)^(G$28-$B$28)</f>
        <v>94.968223232679676</v>
      </c>
      <c r="H43" s="119">
        <f>H16/(1+'Financial Information'!$B$5)^(H$28-$B$28)</f>
        <v>84.930290419949785</v>
      </c>
      <c r="I43" s="119">
        <f>I16/(1+'Financial Information'!$B$5)^(I$28-$B$28)</f>
        <v>71.369318056281188</v>
      </c>
      <c r="J43" s="119">
        <f>J16/(1+'Financial Information'!$B$5)^(J$28-$B$28)</f>
        <v>64.616065941150438</v>
      </c>
      <c r="K43" s="119">
        <f>K16/(1+'Financial Information'!$B$5)^(K$28-$B$28)</f>
        <v>58.847825074856878</v>
      </c>
      <c r="L43" s="119">
        <f>L16/(1+'Financial Information'!$B$5)^(L$28-$B$28)</f>
        <v>53.786374701416463</v>
      </c>
      <c r="M43" s="119">
        <f>M16/(1+'Financial Information'!$B$5)^(M$28-$B$28)</f>
        <v>49.250786941365043</v>
      </c>
      <c r="N43" s="119">
        <f>N16/(1+'Financial Information'!$B$5)^(N$28-$B$28)</f>
        <v>45.08657486113227</v>
      </c>
      <c r="O43" s="119">
        <f>O16/(1+'Financial Information'!$B$5)^(O$28-$B$28)</f>
        <v>41.252032029110545</v>
      </c>
      <c r="P43" s="119">
        <f>P16/(1+'Financial Information'!$B$5)^(P$28-$B$28)</f>
        <v>37.704265111778128</v>
      </c>
      <c r="Q43" s="119">
        <f>Q16/(1+'Financial Information'!$B$5)^(Q$28-$B$28)</f>
        <v>34.471759461208883</v>
      </c>
      <c r="R43" s="119">
        <f>R16/(1+'Financial Information'!$B$5)^(R$28-$B$28)</f>
        <v>31.510242239544308</v>
      </c>
      <c r="S43" s="119">
        <f>S16/(1+'Financial Information'!$B$5)^(S$28-$B$28)</f>
        <v>28.771416472238894</v>
      </c>
      <c r="T43" s="119">
        <f>T16/(1+'Financial Information'!$B$5)^(T$28-$B$28)</f>
        <v>28.186255215442095</v>
      </c>
      <c r="U43" s="119">
        <f>U16/(1+'Financial Information'!$B$5)^(U$28-$B$28)</f>
        <v>25.599452768354144</v>
      </c>
      <c r="V43" s="119">
        <f>V16/(1+'Financial Information'!$B$5)^(V$28-$B$28)</f>
        <v>23.223951483068507</v>
      </c>
      <c r="W43" s="119">
        <f>W16/(1+'Financial Information'!$B$5)^(W$28-$B$28)</f>
        <v>21.051786711251751</v>
      </c>
      <c r="X43" s="119">
        <f>X16/(1+'Financial Information'!$B$5)^(X$28-$B$28)</f>
        <v>19.118354143731811</v>
      </c>
      <c r="Y43" s="119">
        <f>Y16/(1+'Financial Information'!$B$5)^(Y$28-$B$28)</f>
        <v>17.388538002102155</v>
      </c>
      <c r="Z43" s="119">
        <f>Z16/(1+'Financial Information'!$B$5)^(Z$28-$B$28)</f>
        <v>15.82103716639633</v>
      </c>
      <c r="AA43" s="119">
        <f>AA16/(1+'Financial Information'!$B$5)^(AA$28-$B$28)</f>
        <v>14.367151034475768</v>
      </c>
      <c r="AB43" s="119">
        <f>AB16/(1+'Financial Information'!$B$5)^(AB$28-$B$28)</f>
        <v>13.070098401550514</v>
      </c>
      <c r="AC43" s="119">
        <f>AC16/(1+'Financial Information'!$B$5)^(AC$28-$B$28)</f>
        <v>11.873952695715952</v>
      </c>
      <c r="AD43" s="211">
        <f>AD16/(1+'Financial Information'!$B$5)^(AD$28-$B$28)</f>
        <v>10.792396380648784</v>
      </c>
      <c r="AE43" s="119">
        <f>AE16/(1+'Financial Information'!$B$5)^(AE$28-$B$28)</f>
        <v>9.7892282563921427</v>
      </c>
      <c r="AF43" s="119">
        <f>AF16/(1+'Financial Information'!$B$5)^(AF$28-$B$28)</f>
        <v>8.8893100063044432</v>
      </c>
      <c r="AG43" s="119">
        <f>AG16/(1+'Financial Information'!$B$5)^(AG$28-$B$28)</f>
        <v>8.5564850648572275</v>
      </c>
      <c r="AH43" s="119">
        <f>AH16/(1+'Financial Information'!$B$5)^(AH$28-$B$28)</f>
        <v>6.8276065268349155</v>
      </c>
      <c r="AI43" s="119">
        <f>AI16/(1+'Financial Information'!$B$5)^(AI$28-$B$28)</f>
        <v>3.6792355349898176</v>
      </c>
      <c r="AJ43" s="119"/>
    </row>
    <row r="44" spans="1:36">
      <c r="A44" s="6" t="s">
        <v>60</v>
      </c>
      <c r="B44" s="119">
        <f>B17/(1+'Financial Information'!$B$5)^(B$28-$B$28)</f>
        <v>0</v>
      </c>
      <c r="C44" s="119">
        <f>C17/(1+'Financial Information'!$B$5)^(C$28-$B$28)</f>
        <v>0</v>
      </c>
      <c r="D44" s="119">
        <f>D17/(1+'Financial Information'!$B$5)^(D$28-$B$28)</f>
        <v>0</v>
      </c>
      <c r="E44" s="119">
        <f>E17/(1+'Financial Information'!$B$5)^(E$28-$B$28)</f>
        <v>0</v>
      </c>
      <c r="F44" s="119">
        <f>F17/(1+'Financial Information'!$B$5)^(F$28-$B$28)</f>
        <v>0</v>
      </c>
      <c r="G44" s="119">
        <f>G17/(1+'Financial Information'!$B$5)^(G$28-$B$28)</f>
        <v>0</v>
      </c>
      <c r="H44" s="119">
        <f>H17/(1+'Financial Information'!$B$5)^(H$28-$B$28)</f>
        <v>0</v>
      </c>
      <c r="I44" s="119">
        <f>I17/(1+'Financial Information'!$B$5)^(I$28-$B$28)</f>
        <v>6.8065319934405428</v>
      </c>
      <c r="J44" s="119">
        <f>J17/(1+'Financial Information'!$B$5)^(J$28-$B$28)</f>
        <v>10.690057290776666</v>
      </c>
      <c r="K44" s="119">
        <f>K17/(1+'Financial Information'!$B$5)^(K$28-$B$28)</f>
        <v>15.857655953805649</v>
      </c>
      <c r="L44" s="119">
        <f>L17/(1+'Financial Information'!$B$5)^(L$28-$B$28)</f>
        <v>18.481386431945914</v>
      </c>
      <c r="M44" s="119">
        <f>M17/(1+'Financial Information'!$B$5)^(M$28-$B$28)</f>
        <v>22.348513128895039</v>
      </c>
      <c r="N44" s="119">
        <f>N17/(1+'Financial Information'!$B$5)^(N$28-$B$28)</f>
        <v>23.994861376548482</v>
      </c>
      <c r="O44" s="119">
        <f>O17/(1+'Financial Information'!$B$5)^(O$28-$B$28)</f>
        <v>26.829352716715064</v>
      </c>
      <c r="P44" s="119">
        <f>P17/(1+'Financial Information'!$B$5)^(P$28-$B$28)</f>
        <v>88.9550561173848</v>
      </c>
      <c r="Q44" s="119">
        <f>Q17/(1+'Financial Information'!$B$5)^(Q$28-$B$28)</f>
        <v>225.09784773874389</v>
      </c>
      <c r="R44" s="119">
        <f>R17/(1+'Financial Information'!$B$5)^(R$28-$B$28)</f>
        <v>210.14172390797253</v>
      </c>
      <c r="S44" s="119">
        <f>S17/(1+'Financial Information'!$B$5)^(S$28-$B$28)</f>
        <v>194.79830054252918</v>
      </c>
      <c r="T44" s="119">
        <f>T17/(1+'Financial Information'!$B$5)^(T$28-$B$28)</f>
        <v>186.33624121156328</v>
      </c>
      <c r="U44" s="119">
        <f>U17/(1+'Financial Information'!$B$5)^(U$28-$B$28)</f>
        <v>175.57419550385399</v>
      </c>
      <c r="V44" s="119">
        <f>V17/(1+'Financial Information'!$B$5)^(V$28-$B$28)</f>
        <v>163.84515780525754</v>
      </c>
      <c r="W44" s="119">
        <f>W17/(1+'Financial Information'!$B$5)^(W$28-$B$28)</f>
        <v>151.75386983266853</v>
      </c>
      <c r="X44" s="119">
        <f>X17/(1+'Financial Information'!$B$5)^(X$28-$B$28)</f>
        <v>168.29959195423737</v>
      </c>
      <c r="Y44" s="119">
        <f>Y17/(1+'Financial Information'!$B$5)^(Y$28-$B$28)</f>
        <v>240.7598407223953</v>
      </c>
      <c r="Z44" s="119">
        <f>Z17/(1+'Financial Information'!$B$5)^(Z$28-$B$28)</f>
        <v>225.69584068307202</v>
      </c>
      <c r="AA44" s="119">
        <f>AA17/(1+'Financial Information'!$B$5)^(AA$28-$B$28)</f>
        <v>212.7492454243806</v>
      </c>
      <c r="AB44" s="119">
        <f>AB17/(1+'Financial Information'!$B$5)^(AB$28-$B$28)</f>
        <v>198.44590105515422</v>
      </c>
      <c r="AC44" s="119">
        <f>AC17/(1+'Financial Information'!$B$5)^(AC$28-$B$28)</f>
        <v>182.30697222278701</v>
      </c>
      <c r="AD44" s="211">
        <f>AD17/(1+'Financial Information'!$B$5)^(AD$28-$B$28)</f>
        <v>165.60510671128793</v>
      </c>
      <c r="AE44" s="119">
        <f>AE17/(1+'Financial Information'!$B$5)^(AE$28-$B$28)</f>
        <v>150.36148482873168</v>
      </c>
      <c r="AF44" s="119">
        <f>AF17/(1+'Financial Information'!$B$5)^(AF$28-$B$28)</f>
        <v>136.45483625090628</v>
      </c>
      <c r="AG44" s="119">
        <f>AG17/(1+'Financial Information'!$B$5)^(AG$28-$B$28)</f>
        <v>123.74096019881367</v>
      </c>
      <c r="AH44" s="119">
        <f>AH17/(1+'Financial Information'!$B$5)^(AH$28-$B$28)</f>
        <v>112.10554241916785</v>
      </c>
      <c r="AI44" s="119">
        <f>AI17/(1+'Financial Information'!$B$5)^(AI$28-$B$28)</f>
        <v>101.46553419260681</v>
      </c>
      <c r="AJ44" s="119"/>
    </row>
    <row r="45" spans="1:36">
      <c r="A45" s="6" t="s">
        <v>68</v>
      </c>
      <c r="B45" s="119">
        <f>B18/(1+'Financial Information'!$B$5)^(B$28-$B$28)</f>
        <v>445.38108</v>
      </c>
      <c r="C45" s="119">
        <f>C18/(1+'Financial Information'!$B$5)^(C$28-$B$28)</f>
        <v>405.95848172446119</v>
      </c>
      <c r="D45" s="119">
        <f>D18/(1+'Financial Information'!$B$5)^(D$28-$B$28)</f>
        <v>383.04511506040029</v>
      </c>
      <c r="E45" s="119">
        <f>E18/(1+'Financial Information'!$B$5)^(E$28-$B$28)</f>
        <v>375.42940625433778</v>
      </c>
      <c r="F45" s="119">
        <f>F18/(1+'Financial Information'!$B$5)^(F$28-$B$28)</f>
        <v>231.79327266520852</v>
      </c>
      <c r="G45" s="119">
        <f>G18/(1+'Financial Information'!$B$5)^(G$28-$B$28)</f>
        <v>106.90762708059813</v>
      </c>
      <c r="H45" s="119">
        <f>H18/(1+'Financial Information'!$B$5)^(H$28-$B$28)</f>
        <v>39.084411000131446</v>
      </c>
      <c r="I45" s="119">
        <f>I18/(1+'Financial Information'!$B$5)^(I$28-$B$28)</f>
        <v>20.672035646629393</v>
      </c>
      <c r="J45" s="119">
        <f>J18/(1+'Financial Information'!$B$5)^(J$28-$B$28)</f>
        <v>12.518563020135373</v>
      </c>
      <c r="K45" s="119">
        <f>K18/(1+'Financial Information'!$B$5)^(K$28-$B$28)</f>
        <v>12.04578815746588</v>
      </c>
      <c r="L45" s="119">
        <f>L18/(1+'Financial Information'!$B$5)^(L$28-$B$28)</f>
        <v>11.558260882321816</v>
      </c>
      <c r="M45" s="119">
        <f>M18/(1+'Financial Information'!$B$5)^(M$28-$B$28)</f>
        <v>11.148437911064196</v>
      </c>
      <c r="N45" s="119">
        <f>N18/(1+'Financial Information'!$B$5)^(N$28-$B$28)</f>
        <v>10.706365919584599</v>
      </c>
      <c r="O45" s="119">
        <f>O18/(1+'Financial Information'!$B$5)^(O$28-$B$28)</f>
        <v>10.313431573744268</v>
      </c>
      <c r="P45" s="119">
        <f>P18/(1+'Financial Information'!$B$5)^(P$28-$B$28)</f>
        <v>12.296321501530654</v>
      </c>
      <c r="Q45" s="119">
        <f>Q18/(1+'Financial Information'!$B$5)^(Q$28-$B$28)</f>
        <v>13.399041765963331</v>
      </c>
      <c r="R45" s="119">
        <f>R18/(1+'Financial Information'!$B$5)^(R$28-$B$28)</f>
        <v>13.001269707392375</v>
      </c>
      <c r="S45" s="119">
        <f>S18/(1+'Financial Information'!$B$5)^(S$28-$B$28)</f>
        <v>12.577273952430309</v>
      </c>
      <c r="T45" s="119">
        <f>T18/(1+'Financial Information'!$B$5)^(T$28-$B$28)</f>
        <v>12.45577671575567</v>
      </c>
      <c r="U45" s="119">
        <f>U18/(1+'Financial Information'!$B$5)^(U$28-$B$28)</f>
        <v>12.208668559413129</v>
      </c>
      <c r="V45" s="119">
        <f>V18/(1+'Financial Information'!$B$5)^(V$28-$B$28)</f>
        <v>11.88782811627196</v>
      </c>
      <c r="W45" s="119">
        <f>W18/(1+'Financial Information'!$B$5)^(W$28-$B$28)</f>
        <v>11.495002470676392</v>
      </c>
      <c r="X45" s="119">
        <f>X18/(1+'Financial Information'!$B$5)^(X$28-$B$28)</f>
        <v>12.343675152163351</v>
      </c>
      <c r="Y45" s="119">
        <f>Y18/(1+'Financial Information'!$B$5)^(Y$28-$B$28)</f>
        <v>12.746770736339036</v>
      </c>
      <c r="Z45" s="119">
        <f>Z18/(1+'Financial Information'!$B$5)^(Z$28-$B$28)</f>
        <v>12.554886653744788</v>
      </c>
      <c r="AA45" s="119">
        <f>AA18/(1+'Financial Information'!$B$5)^(AA$28-$B$28)</f>
        <v>12.337698443577423</v>
      </c>
      <c r="AB45" s="119">
        <f>AB18/(1+'Financial Information'!$B$5)^(AB$28-$B$28)</f>
        <v>11.935134398748</v>
      </c>
      <c r="AC45" s="119">
        <f>AC18/(1+'Financial Information'!$B$5)^(AC$28-$B$28)</f>
        <v>11.535005812773326</v>
      </c>
      <c r="AD45" s="211">
        <f>AD18/(1+'Financial Information'!$B$5)^(AD$28-$B$28)</f>
        <v>11.050358019832974</v>
      </c>
      <c r="AE45" s="119">
        <f>AE18/(1+'Financial Information'!$B$5)^(AE$28-$B$28)</f>
        <v>10.205761010537286</v>
      </c>
      <c r="AF45" s="119">
        <f>AF18/(1+'Financial Information'!$B$5)^(AF$28-$B$28)</f>
        <v>8.9725777167932979</v>
      </c>
      <c r="AG45" s="119">
        <f>AG18/(1+'Financial Information'!$B$5)^(AG$28-$B$28)</f>
        <v>7.8983238293250473</v>
      </c>
      <c r="AH45" s="119">
        <f>AH18/(1+'Financial Information'!$B$5)^(AH$28-$B$28)</f>
        <v>7.1234484602986452</v>
      </c>
      <c r="AI45" s="119">
        <f>AI18/(1+'Financial Information'!$B$5)^(AI$28-$B$28)</f>
        <v>6.8159373509703727</v>
      </c>
      <c r="AJ45" s="119"/>
    </row>
    <row r="46" spans="1:36">
      <c r="A46" s="6" t="s">
        <v>67</v>
      </c>
      <c r="B46" s="119">
        <f>B19/(1+'Financial Information'!$B$5)^(B$28-$B$28)</f>
        <v>390.67815999999999</v>
      </c>
      <c r="C46" s="119">
        <f>C19/(1+'Financial Information'!$B$5)^(C$28-$B$28)</f>
        <v>360.70502343017807</v>
      </c>
      <c r="D46" s="119">
        <f>D19/(1+'Financial Information'!$B$5)^(D$28-$B$28)</f>
        <v>335.35898897573895</v>
      </c>
      <c r="E46" s="119">
        <f>E19/(1+'Financial Information'!$B$5)^(E$28-$B$28)</f>
        <v>314.30083315439452</v>
      </c>
      <c r="F46" s="119">
        <f>F19/(1+'Financial Information'!$B$5)^(F$28-$B$28)</f>
        <v>295.33513302110208</v>
      </c>
      <c r="G46" s="119">
        <f>G19/(1+'Financial Information'!$B$5)^(G$28-$B$28)</f>
        <v>276.06838970105849</v>
      </c>
      <c r="H46" s="119">
        <f>H19/(1+'Financial Information'!$B$5)^(H$28-$B$28)</f>
        <v>258.73326797724269</v>
      </c>
      <c r="I46" s="119">
        <f>I19/(1+'Financial Information'!$B$5)^(I$28-$B$28)</f>
        <v>242.48665529579867</v>
      </c>
      <c r="J46" s="119">
        <f>J19/(1+'Financial Information'!$B$5)^(J$28-$B$28)</f>
        <v>227.85440863960679</v>
      </c>
      <c r="K46" s="119">
        <f>K19/(1+'Financial Information'!$B$5)^(K$28-$B$28)</f>
        <v>212.98990297394215</v>
      </c>
      <c r="L46" s="119">
        <f>L19/(1+'Financial Information'!$B$5)^(L$28-$B$28)</f>
        <v>199.61565414615009</v>
      </c>
      <c r="M46" s="119">
        <f>M19/(1+'Financial Information'!$B$5)^(M$28-$B$28)</f>
        <v>187.08120798304273</v>
      </c>
      <c r="N46" s="119">
        <f>N19/(1+'Financial Information'!$B$5)^(N$28-$B$28)</f>
        <v>175.79226353945276</v>
      </c>
      <c r="O46" s="119">
        <f>O19/(1+'Financial Information'!$B$5)^(O$28-$B$28)</f>
        <v>164.32412863276659</v>
      </c>
      <c r="P46" s="119">
        <f>P19/(1+'Financial Information'!$B$5)^(P$28-$B$28)</f>
        <v>186.44966316241701</v>
      </c>
      <c r="Q46" s="119">
        <f>Q19/(1+'Financial Information'!$B$5)^(Q$28-$B$28)</f>
        <v>197.15453677261414</v>
      </c>
      <c r="R46" s="119">
        <f>R19/(1+'Financial Information'!$B$5)^(R$28-$B$28)</f>
        <v>189.57653911130575</v>
      </c>
      <c r="S46" s="119">
        <f>S19/(1+'Financial Information'!$B$5)^(S$28-$B$28)</f>
        <v>180.88703918449519</v>
      </c>
      <c r="T46" s="119">
        <f>T19/(1+'Financial Information'!$B$5)^(T$28-$B$28)</f>
        <v>178.39124480485597</v>
      </c>
      <c r="U46" s="119">
        <f>U19/(1+'Financial Information'!$B$5)^(U$28-$B$28)</f>
        <v>173.12248150918163</v>
      </c>
      <c r="V46" s="119">
        <f>V19/(1+'Financial Information'!$B$5)^(V$28-$B$28)</f>
        <v>166.34094227998114</v>
      </c>
      <c r="W46" s="119">
        <f>W19/(1+'Financial Information'!$B$5)^(W$28-$B$28)</f>
        <v>158.63344732188509</v>
      </c>
      <c r="X46" s="119">
        <f>X19/(1+'Financial Information'!$B$5)^(X$28-$B$28)</f>
        <v>167.25253218717793</v>
      </c>
      <c r="Y46" s="119">
        <f>Y19/(1+'Financial Information'!$B$5)^(Y$28-$B$28)</f>
        <v>169.20410153420846</v>
      </c>
      <c r="Z46" s="119">
        <f>Z19/(1+'Financial Information'!$B$5)^(Z$28-$B$28)</f>
        <v>165.54425278071812</v>
      </c>
      <c r="AA46" s="119">
        <f>AA19/(1+'Financial Information'!$B$5)^(AA$28-$B$28)</f>
        <v>163.15723205106997</v>
      </c>
      <c r="AB46" s="119">
        <f>AB19/(1+'Financial Information'!$B$5)^(AB$28-$B$28)</f>
        <v>158.36536962218472</v>
      </c>
      <c r="AC46" s="119">
        <f>AC19/(1+'Financial Information'!$B$5)^(AC$28-$B$28)</f>
        <v>150.5725221084063</v>
      </c>
      <c r="AD46" s="211">
        <f>AD19/(1+'Financial Information'!$B$5)^(AD$28-$B$28)</f>
        <v>141.11764021406404</v>
      </c>
      <c r="AE46" s="119">
        <f>AE19/(1+'Financial Information'!$B$5)^(AE$28-$B$28)</f>
        <v>132.25645755769824</v>
      </c>
      <c r="AF46" s="119">
        <f>AF19/(1+'Financial Information'!$B$5)^(AF$28-$B$28)</f>
        <v>123.95169405594963</v>
      </c>
      <c r="AG46" s="119">
        <f>AG19/(1+'Financial Information'!$B$5)^(AG$28-$B$28)</f>
        <v>116.16841054915618</v>
      </c>
      <c r="AH46" s="119">
        <f>AH19/(1+'Financial Information'!$B$5)^(AH$28-$B$28)</f>
        <v>108.87386180801893</v>
      </c>
      <c r="AI46" s="119">
        <f>AI19/(1+'Financial Information'!$B$5)^(AI$28-$B$28)</f>
        <v>102.03735877040201</v>
      </c>
      <c r="AJ46" s="119"/>
    </row>
    <row r="47" spans="1:36">
      <c r="A47" s="6" t="s">
        <v>383</v>
      </c>
      <c r="B47" s="119">
        <f>B20/(1+'Financial Information'!$B$5)^(B$28-$B$28)</f>
        <v>0</v>
      </c>
      <c r="C47" s="119">
        <f>C20/(1+'Financial Information'!$B$5)^(C$28-$B$28)</f>
        <v>0.95602539473914416</v>
      </c>
      <c r="D47" s="119">
        <f>D20/(1+'Financial Information'!$B$5)^(D$28-$B$28)</f>
        <v>0.55120123026807166</v>
      </c>
      <c r="E47" s="119">
        <f>E20/(1+'Financial Information'!$B$5)^(E$28-$B$28)</f>
        <v>0.5623101071629828</v>
      </c>
      <c r="F47" s="119">
        <f>F20/(1+'Financial Information'!$B$5)^(F$28-$B$28)</f>
        <v>0.52054864825483194</v>
      </c>
      <c r="G47" s="119">
        <f>G20/(1+'Financial Information'!$B$5)^(G$28-$B$28)</f>
        <v>0.47447401205225109</v>
      </c>
      <c r="H47" s="119">
        <f>H20/(1+'Financial Information'!$B$5)^(H$28-$B$28)</f>
        <v>0.34594805194586459</v>
      </c>
      <c r="I47" s="119">
        <f>I20/(1+'Financial Information'!$B$5)^(I$28-$B$28)</f>
        <v>0.35889584333158642</v>
      </c>
      <c r="J47" s="119">
        <f>J20/(1+'Financial Information'!$B$5)^(J$28-$B$28)</f>
        <v>0.31198140715775902</v>
      </c>
      <c r="K47" s="119">
        <f>K20/(1+'Financial Information'!$B$5)^(K$28-$B$28)</f>
        <v>0.30427695800079424</v>
      </c>
      <c r="L47" s="119">
        <f>L20/(1+'Financial Information'!$B$5)^(L$28-$B$28)</f>
        <v>0.30795444784735088</v>
      </c>
      <c r="M47" s="119">
        <f>M20/(1+'Financial Information'!$B$5)^(M$28-$B$28)</f>
        <v>0.18247509532472547</v>
      </c>
      <c r="N47" s="119">
        <f>N20/(1+'Financial Information'!$B$5)^(N$28-$B$28)</f>
        <v>0.16938864297452635</v>
      </c>
      <c r="O47" s="119">
        <f>O20/(1+'Financial Information'!$B$5)^(O$28-$B$28)</f>
        <v>0.18396491954915264</v>
      </c>
      <c r="P47" s="119">
        <f>P20/(1+'Financial Information'!$B$5)^(P$28-$B$28)</f>
        <v>0.15422719438562776</v>
      </c>
      <c r="Q47" s="119">
        <f>Q20/(1+'Financial Information'!$B$5)^(Q$28-$B$28)</f>
        <v>0.15098936805677604</v>
      </c>
      <c r="R47" s="119">
        <f>R20/(1+'Financial Information'!$B$5)^(R$28-$B$28)</f>
        <v>0.15539588507457328</v>
      </c>
      <c r="S47" s="119">
        <f>S20/(1+'Financial Information'!$B$5)^(S$28-$B$28)</f>
        <v>0.13751918551195877</v>
      </c>
      <c r="T47" s="119">
        <f>T20/(1+'Financial Information'!$B$5)^(T$28-$B$28)</f>
        <v>0.12817027651588755</v>
      </c>
      <c r="U47" s="119">
        <f>U20/(1+'Financial Information'!$B$5)^(U$28-$B$28)</f>
        <v>0.13758403227896901</v>
      </c>
      <c r="V47" s="119">
        <f>V20/(1+'Financial Information'!$B$5)^(V$28-$B$28)</f>
        <v>0.11698394016848228</v>
      </c>
      <c r="W47" s="119">
        <f>W20/(1+'Financial Information'!$B$5)^(W$28-$B$28)</f>
        <v>0.11435737038101808</v>
      </c>
      <c r="X47" s="119">
        <f>X20/(1+'Financial Information'!$B$5)^(X$28-$B$28)</f>
        <v>0.11692608052186379</v>
      </c>
      <c r="Y47" s="119">
        <f>Y20/(1+'Financial Information'!$B$5)^(Y$28-$B$28)</f>
        <v>0.10440876415134408</v>
      </c>
      <c r="Z47" s="119">
        <f>Z20/(1+'Financial Information'!$B$5)^(Z$28-$B$28)</f>
        <v>9.7684384896888563E-2</v>
      </c>
      <c r="AA47" s="119">
        <f>AA20/(1+'Financial Information'!$B$5)^(AA$28-$B$28)</f>
        <v>0.10368824913571693</v>
      </c>
      <c r="AB47" s="119">
        <f>AB20/(1+'Financial Information'!$B$5)^(AB$28-$B$28)</f>
        <v>8.2564650928115241E-2</v>
      </c>
      <c r="AC47" s="119">
        <f>AC20/(1+'Financial Information'!$B$5)^(AC$28-$B$28)</f>
        <v>8.3465961159684646E-2</v>
      </c>
      <c r="AD47" s="211">
        <f>AD20/(1+'Financial Information'!$B$5)^(AD$28-$B$28)</f>
        <v>7.5842450435234077E-2</v>
      </c>
      <c r="AE47" s="119">
        <f>AE20/(1+'Financial Information'!$B$5)^(AE$28-$B$28)</f>
        <v>7.5909008158437943E-2</v>
      </c>
      <c r="AF47" s="119">
        <f>AF20/(1+'Financial Information'!$B$5)^(AF$28-$B$28)</f>
        <v>6.971161497164291E-2</v>
      </c>
      <c r="AG47" s="119">
        <f>AG20/(1+'Financial Information'!$B$5)^(AG$28-$B$28)</f>
        <v>7.0198508240108884E-2</v>
      </c>
      <c r="AH47" s="119">
        <f>AH20/(1+'Financial Information'!$B$5)^(AH$28-$B$28)</f>
        <v>6.1905223697295828E-2</v>
      </c>
      <c r="AI47" s="119">
        <f>AI20/(1+'Financial Information'!$B$5)^(AI$28-$B$28)</f>
        <v>5.822845688296438E-2</v>
      </c>
      <c r="AJ47" s="119"/>
    </row>
    <row r="48" spans="1:36">
      <c r="A48" s="6" t="s">
        <v>65</v>
      </c>
      <c r="B48" s="119">
        <f>B21/(1+'Financial Information'!$B$5)^(B$28-$B$28)</f>
        <v>849.84470000000033</v>
      </c>
      <c r="C48" s="119">
        <f>C21/(1+'Financial Information'!$B$5)^(C$28-$B$28)</f>
        <v>805.01208059981241</v>
      </c>
      <c r="D48" s="119">
        <f>D21/(1+'Financial Information'!$B$5)^(D$28-$B$28)</f>
        <v>768.90162311625295</v>
      </c>
      <c r="E48" s="119">
        <f>E21/(1+'Financial Information'!$B$5)^(E$28-$B$28)</f>
        <v>722.36671627908515</v>
      </c>
      <c r="F48" s="119">
        <f>F21/(1+'Financial Information'!$B$5)^(F$28-$B$28)</f>
        <v>667.00592946463189</v>
      </c>
      <c r="G48" s="119">
        <f>G21/(1+'Financial Information'!$B$5)^(G$28-$B$28)</f>
        <v>664.71002578658556</v>
      </c>
      <c r="H48" s="119">
        <f>H21/(1+'Financial Information'!$B$5)^(H$28-$B$28)</f>
        <v>676.83436836172575</v>
      </c>
      <c r="I48" s="119">
        <f>I21/(1+'Financial Information'!$B$5)^(I$28-$B$28)</f>
        <v>711.86296219975293</v>
      </c>
      <c r="J48" s="119">
        <f>J21/(1+'Financial Information'!$B$5)^(J$28-$B$28)</f>
        <v>767.63400850211951</v>
      </c>
      <c r="K48" s="119">
        <f>K21/(1+'Financial Information'!$B$5)^(K$28-$B$28)</f>
        <v>776.70209006078892</v>
      </c>
      <c r="L48" s="119">
        <f>L21/(1+'Financial Information'!$B$5)^(L$28-$B$28)</f>
        <v>775.4358742172484</v>
      </c>
      <c r="M48" s="119">
        <f>M21/(1+'Financial Information'!$B$5)^(M$28-$B$28)</f>
        <v>758.57637863656328</v>
      </c>
      <c r="N48" s="119">
        <f>N21/(1+'Financial Information'!$B$5)^(N$28-$B$28)</f>
        <v>757.10758395255641</v>
      </c>
      <c r="O48" s="119">
        <f>O21/(1+'Financial Information'!$B$5)^(O$28-$B$28)</f>
        <v>714.84386914916786</v>
      </c>
      <c r="P48" s="119">
        <f>P21/(1+'Financial Information'!$B$5)^(P$28-$B$28)</f>
        <v>696.19040221971341</v>
      </c>
      <c r="Q48" s="119">
        <f>Q21/(1+'Financial Information'!$B$5)^(Q$28-$B$28)</f>
        <v>677.19698728681533</v>
      </c>
      <c r="R48" s="119">
        <f>R21/(1+'Financial Information'!$B$5)^(R$28-$B$28)</f>
        <v>653.87979373260885</v>
      </c>
      <c r="S48" s="119">
        <f>S21/(1+'Financial Information'!$B$5)^(S$28-$B$28)</f>
        <v>663.42208426345439</v>
      </c>
      <c r="T48" s="119">
        <f>T21/(1+'Financial Information'!$B$5)^(T$28-$B$28)</f>
        <v>657.39857369344293</v>
      </c>
      <c r="U48" s="119">
        <f>U21/(1+'Financial Information'!$B$5)^(U$28-$B$28)</f>
        <v>638.36295134487511</v>
      </c>
      <c r="V48" s="119">
        <f>V21/(1+'Financial Information'!$B$5)^(V$28-$B$28)</f>
        <v>629.96587253188522</v>
      </c>
      <c r="W48" s="119">
        <f>W21/(1+'Financial Information'!$B$5)^(W$28-$B$28)</f>
        <v>619.72303403045225</v>
      </c>
      <c r="X48" s="119">
        <f>X21/(1+'Financial Information'!$B$5)^(X$28-$B$28)</f>
        <v>592.13372248445842</v>
      </c>
      <c r="Y48" s="119">
        <f>Y21/(1+'Financial Information'!$B$5)^(Y$28-$B$28)</f>
        <v>566.73242485507217</v>
      </c>
      <c r="Z48" s="119">
        <f>Z21/(1+'Financial Information'!$B$5)^(Z$28-$B$28)</f>
        <v>560.77423317776743</v>
      </c>
      <c r="AA48" s="119">
        <f>AA21/(1+'Financial Information'!$B$5)^(AA$28-$B$28)</f>
        <v>558.51738230174374</v>
      </c>
      <c r="AB48" s="119">
        <f>AB21/(1+'Financial Information'!$B$5)^(AB$28-$B$28)</f>
        <v>550.79792544669021</v>
      </c>
      <c r="AC48" s="119">
        <f>AC21/(1+'Financial Information'!$B$5)^(AC$28-$B$28)</f>
        <v>523.55241087355444</v>
      </c>
      <c r="AD48" s="211">
        <f>AD21/(1+'Financial Information'!$B$5)^(AD$28-$B$28)</f>
        <v>510.28062430021907</v>
      </c>
      <c r="AE48" s="119">
        <f>AE21/(1+'Financial Information'!$B$5)^(AE$28-$B$28)</f>
        <v>485.66324294480529</v>
      </c>
      <c r="AF48" s="119">
        <f>AF21/(1+'Financial Information'!$B$5)^(AF$28-$B$28)</f>
        <v>465.9566618234428</v>
      </c>
      <c r="AG48" s="119">
        <f>AG21/(1+'Financial Information'!$B$5)^(AG$28-$B$28)</f>
        <v>451.04868933753795</v>
      </c>
      <c r="AH48" s="119">
        <f>AH21/(1+'Financial Information'!$B$5)^(AH$28-$B$28)</f>
        <v>440.04699842044613</v>
      </c>
      <c r="AI48" s="119">
        <f>AI21/(1+'Financial Information'!$B$5)^(AI$28-$B$28)</f>
        <v>426.66129560807843</v>
      </c>
      <c r="AJ48" s="119"/>
    </row>
    <row r="49" spans="1:36">
      <c r="A49" s="6" t="s">
        <v>52</v>
      </c>
      <c r="B49" s="119">
        <f>B22/(1+'Financial Information'!$B$5)^(B$28-$B$28)</f>
        <v>86.065810000000013</v>
      </c>
      <c r="C49" s="119">
        <f>C22/(1+'Financial Information'!$B$5)^(C$28-$B$28)</f>
        <v>85.41063730084349</v>
      </c>
      <c r="D49" s="119">
        <f>D22/(1+'Financial Information'!$B$5)^(D$28-$B$28)</f>
        <v>85.749814007864799</v>
      </c>
      <c r="E49" s="119">
        <f>E22/(1+'Financial Information'!$B$5)^(E$28-$B$28)</f>
        <v>84.553947782033816</v>
      </c>
      <c r="F49" s="119">
        <f>F22/(1+'Financial Information'!$B$5)^(F$28-$B$28)</f>
        <v>86.026447819378305</v>
      </c>
      <c r="G49" s="119">
        <f>G22/(1+'Financial Information'!$B$5)^(G$28-$B$28)</f>
        <v>90.711832228782541</v>
      </c>
      <c r="H49" s="119">
        <f>H22/(1+'Financial Information'!$B$5)^(H$28-$B$28)</f>
        <v>98.323875012601562</v>
      </c>
      <c r="I49" s="119">
        <f>I22/(1+'Financial Information'!$B$5)^(I$28-$B$28)</f>
        <v>104.15386270470806</v>
      </c>
      <c r="J49" s="119">
        <f>J22/(1+'Financial Information'!$B$5)^(J$28-$B$28)</f>
        <v>110.6254766857315</v>
      </c>
      <c r="K49" s="119">
        <f>K22/(1+'Financial Information'!$B$5)^(K$28-$B$28)</f>
        <v>110.32558140645993</v>
      </c>
      <c r="L49" s="119">
        <f>L22/(1+'Financial Information'!$B$5)^(L$28-$B$28)</f>
        <v>114.85428313494127</v>
      </c>
      <c r="M49" s="119">
        <f>M22/(1+'Financial Information'!$B$5)^(M$28-$B$28)</f>
        <v>118.15190855000591</v>
      </c>
      <c r="N49" s="119">
        <f>N22/(1+'Financial Information'!$B$5)^(N$28-$B$28)</f>
        <v>116.13837030375034</v>
      </c>
      <c r="O49" s="119">
        <f>O22/(1+'Financial Information'!$B$5)^(O$28-$B$28)</f>
        <v>116.61432725793647</v>
      </c>
      <c r="P49" s="119">
        <f>P22/(1+'Financial Information'!$B$5)^(P$28-$B$28)</f>
        <v>111.51050704678632</v>
      </c>
      <c r="Q49" s="119">
        <f>Q22/(1+'Financial Information'!$B$5)^(Q$28-$B$28)</f>
        <v>111.31840192813181</v>
      </c>
      <c r="R49" s="119">
        <f>R22/(1+'Financial Information'!$B$5)^(R$28-$B$28)</f>
        <v>111.32961704456784</v>
      </c>
      <c r="S49" s="119">
        <f>S22/(1+'Financial Information'!$B$5)^(S$28-$B$28)</f>
        <v>117.30003172611988</v>
      </c>
      <c r="T49" s="119">
        <f>T22/(1+'Financial Information'!$B$5)^(T$28-$B$28)</f>
        <v>115.50825547497432</v>
      </c>
      <c r="U49" s="119">
        <f>U22/(1+'Financial Information'!$B$5)^(U$28-$B$28)</f>
        <v>119.63135355272658</v>
      </c>
      <c r="V49" s="119">
        <f>V22/(1+'Financial Information'!$B$5)^(V$28-$B$28)</f>
        <v>114.28259496338825</v>
      </c>
      <c r="W49" s="119">
        <f>W22/(1+'Financial Information'!$B$5)^(W$28-$B$28)</f>
        <v>113.64542469847576</v>
      </c>
      <c r="X49" s="119">
        <f>X22/(1+'Financial Information'!$B$5)^(X$28-$B$28)</f>
        <v>108.93735870540742</v>
      </c>
      <c r="Y49" s="119">
        <f>Y22/(1+'Financial Information'!$B$5)^(Y$28-$B$28)</f>
        <v>106.87504101202833</v>
      </c>
      <c r="Z49" s="119">
        <f>Z22/(1+'Financial Information'!$B$5)^(Z$28-$B$28)</f>
        <v>103.35951999574823</v>
      </c>
      <c r="AA49" s="119">
        <f>AA22/(1+'Financial Information'!$B$5)^(AA$28-$B$28)</f>
        <v>102.59946460664455</v>
      </c>
      <c r="AB49" s="119">
        <f>AB22/(1+'Financial Information'!$B$5)^(AB$28-$B$28)</f>
        <v>99.420836583137444</v>
      </c>
      <c r="AC49" s="119">
        <f>AC22/(1+'Financial Information'!$B$5)^(AC$28-$B$28)</f>
        <v>98.080588925955709</v>
      </c>
      <c r="AD49" s="211">
        <f>AD22/(1+'Financial Information'!$B$5)^(AD$28-$B$28)</f>
        <v>94.696205123744051</v>
      </c>
      <c r="AE49" s="119">
        <f>AE22/(1+'Financial Information'!$B$5)^(AE$28-$B$28)</f>
        <v>92.256492256209143</v>
      </c>
      <c r="AF49" s="119">
        <f>AF22/(1+'Financial Information'!$B$5)^(AF$28-$B$28)</f>
        <v>89.174395714359491</v>
      </c>
      <c r="AG49" s="119">
        <f>AG22/(1+'Financial Information'!$B$5)^(AG$28-$B$28)</f>
        <v>89.584308045057426</v>
      </c>
      <c r="AH49" s="119">
        <f>AH22/(1+'Financial Information'!$B$5)^(AH$28-$B$28)</f>
        <v>84.130026201454854</v>
      </c>
      <c r="AI49" s="119">
        <f>AI22/(1+'Financial Information'!$B$5)^(AI$28-$B$28)</f>
        <v>82.527010613615971</v>
      </c>
      <c r="AJ49" s="119"/>
    </row>
    <row r="50" spans="1:36">
      <c r="A50" s="36" t="s">
        <v>66</v>
      </c>
      <c r="B50" s="119">
        <f>B23/(1+'Financial Information'!$B$5)^(B$28-$B$28)</f>
        <v>6.2319722000000004</v>
      </c>
      <c r="C50" s="119">
        <f>C23/(1+'Financial Information'!$B$5)^(C$28-$B$28)</f>
        <v>6.0651042174320517</v>
      </c>
      <c r="D50" s="119">
        <f>D23/(1+'Financial Information'!$B$5)^(D$28-$B$28)</f>
        <v>5.5368701849556743</v>
      </c>
      <c r="E50" s="119">
        <f>E23/(1+'Financial Information'!$B$5)^(E$28-$B$28)</f>
        <v>4.6623158537011671</v>
      </c>
      <c r="F50" s="119">
        <f>F23/(1+'Financial Information'!$B$5)^(F$28-$B$28)</f>
        <v>4.2412616207069815</v>
      </c>
      <c r="G50" s="119">
        <f>G23/(1+'Financial Information'!$B$5)^(G$28-$B$28)</f>
        <v>4.6165232248793213</v>
      </c>
      <c r="H50" s="119">
        <f>H23/(1+'Financial Information'!$B$5)^(H$28-$B$28)</f>
        <v>4.6759421835390125</v>
      </c>
      <c r="I50" s="119">
        <f>I23/(1+'Financial Information'!$B$5)^(I$28-$B$28)</f>
        <v>4.8197961085801477</v>
      </c>
      <c r="J50" s="119">
        <f>J23/(1+'Financial Information'!$B$5)^(J$28-$B$28)</f>
        <v>5.5290038065096478</v>
      </c>
      <c r="K50" s="119">
        <f>K23/(1+'Financial Information'!$B$5)^(K$28-$B$28)</f>
        <v>6.5159772886166465</v>
      </c>
      <c r="L50" s="119">
        <f>L23/(1+'Financial Information'!$B$5)^(L$28-$B$28)</f>
        <v>6.5174023921445663</v>
      </c>
      <c r="M50" s="119">
        <f>M23/(1+'Financial Information'!$B$5)^(M$28-$B$28)</f>
        <v>5.5811911391788502</v>
      </c>
      <c r="N50" s="119">
        <f>N23/(1+'Financial Information'!$B$5)^(N$28-$B$28)</f>
        <v>5.3588682301189428</v>
      </c>
      <c r="O50" s="119">
        <f>O23/(1+'Financial Information'!$B$5)^(O$28-$B$28)</f>
        <v>4.5643120176647907</v>
      </c>
      <c r="P50" s="119">
        <f>P23/(1+'Financial Information'!$B$5)^(P$28-$B$28)</f>
        <v>1.8836500115927404</v>
      </c>
      <c r="Q50" s="119">
        <f>Q23/(1+'Financial Information'!$B$5)^(Q$28-$B$28)</f>
        <v>0.63579687052757261</v>
      </c>
      <c r="R50" s="119">
        <f>R23/(1+'Financial Information'!$B$5)^(R$28-$B$28)</f>
        <v>0.59976001002214929</v>
      </c>
      <c r="S50" s="119">
        <f>S23/(1+'Financial Information'!$B$5)^(S$28-$B$28)</f>
        <v>0.56905250252530826</v>
      </c>
      <c r="T50" s="119">
        <f>T23/(1+'Financial Information'!$B$5)^(T$28-$B$28)</f>
        <v>0.53997352780578745</v>
      </c>
      <c r="U50" s="119">
        <f>U23/(1+'Financial Information'!$B$5)^(U$28-$B$28)</f>
        <v>0.51061692356330957</v>
      </c>
      <c r="V50" s="119">
        <f>V23/(1+'Financial Information'!$B$5)^(V$28-$B$28)</f>
        <v>0.48830404463788313</v>
      </c>
      <c r="W50" s="119">
        <f>W23/(1+'Financial Information'!$B$5)^(W$28-$B$28)</f>
        <v>0.46058811208294709</v>
      </c>
      <c r="X50" s="119">
        <f>X23/(1+'Financial Information'!$B$5)^(X$28-$B$28)</f>
        <v>0.43172408206368346</v>
      </c>
      <c r="Y50" s="119">
        <f>Y23/(1+'Financial Information'!$B$5)^(Y$28-$B$28)</f>
        <v>0.41089515296827722</v>
      </c>
      <c r="Z50" s="119">
        <f>Z23/(1+'Financial Information'!$B$5)^(Z$28-$B$28)</f>
        <v>0.38938123750786402</v>
      </c>
      <c r="AA50" s="119">
        <f>AA23/(1+'Financial Information'!$B$5)^(AA$28-$B$28)</f>
        <v>0.36681444208736813</v>
      </c>
      <c r="AB50" s="119">
        <f>AB23/(1+'Financial Information'!$B$5)^(AB$28-$B$28)</f>
        <v>0.35064780164886766</v>
      </c>
      <c r="AC50" s="119">
        <f>AC23/(1+'Financial Information'!$B$5)^(AC$28-$B$28)</f>
        <v>0.32855496740745582</v>
      </c>
      <c r="AD50" s="211">
        <f>AD23/(1+'Financial Information'!$B$5)^(AD$28-$B$28)</f>
        <v>0.31007661981363033</v>
      </c>
      <c r="AE50" s="119">
        <f>AE23/(1+'Financial Information'!$B$5)^(AE$28-$B$28)</f>
        <v>0.29080424934610366</v>
      </c>
      <c r="AF50" s="119">
        <f>AF23/(1+'Financial Information'!$B$5)^(AF$28-$B$28)</f>
        <v>0.27736136314366228</v>
      </c>
      <c r="AG50" s="119">
        <f>AG23/(1+'Financial Information'!$B$5)^(AG$28-$B$28)</f>
        <v>0.26205858280987615</v>
      </c>
      <c r="AH50" s="119">
        <f>AH23/(1+'Financial Information'!$B$5)^(AH$28-$B$28)</f>
        <v>0.25165108115037599</v>
      </c>
      <c r="AI50" s="119">
        <f>AI23/(1+'Financial Information'!$B$5)^(AI$28-$B$28)</f>
        <v>0.23914560380672745</v>
      </c>
      <c r="AJ50" s="119"/>
    </row>
    <row r="51" spans="1:36">
      <c r="A51" s="12" t="s">
        <v>69</v>
      </c>
      <c r="B51" s="212">
        <f>B24/(1+'Financial Information'!$B$5)^(B$28-$B$28)</f>
        <v>0</v>
      </c>
      <c r="C51" s="212">
        <f>C24/(1+'Financial Information'!$B$5)^(C$28-$B$28)</f>
        <v>0</v>
      </c>
      <c r="D51" s="212">
        <f>D24/(1+'Financial Information'!$B$5)^(D$28-$B$28)</f>
        <v>0</v>
      </c>
      <c r="E51" s="212">
        <f>E24/(1+'Financial Information'!$B$5)^(E$28-$B$28)</f>
        <v>0</v>
      </c>
      <c r="F51" s="212">
        <f>F24/(1+'Financial Information'!$B$5)^(F$28-$B$28)</f>
        <v>0</v>
      </c>
      <c r="G51" s="212">
        <f>G24/(1+'Financial Information'!$B$5)^(G$28-$B$28)</f>
        <v>0</v>
      </c>
      <c r="H51" s="212">
        <f>H24/(1+'Financial Information'!$B$5)^(H$28-$B$28)</f>
        <v>0</v>
      </c>
      <c r="I51" s="212">
        <f>I24/(1+'Financial Information'!$B$5)^(I$28-$B$28)</f>
        <v>0</v>
      </c>
      <c r="J51" s="212">
        <f>J24/(1+'Financial Information'!$B$5)^(J$28-$B$28)</f>
        <v>0</v>
      </c>
      <c r="K51" s="212">
        <f>K24/(1+'Financial Information'!$B$5)^(K$28-$B$28)</f>
        <v>0</v>
      </c>
      <c r="L51" s="212">
        <f>L24/(1+'Financial Information'!$B$5)^(L$28-$B$28)</f>
        <v>0</v>
      </c>
      <c r="M51" s="212">
        <f>M24/(1+'Financial Information'!$B$5)^(M$28-$B$28)</f>
        <v>0</v>
      </c>
      <c r="N51" s="212">
        <f>N24/(1+'Financial Information'!$B$5)^(N$28-$B$28)</f>
        <v>0</v>
      </c>
      <c r="O51" s="212">
        <f>O24/(1+'Financial Information'!$B$5)^(O$28-$B$28)</f>
        <v>0</v>
      </c>
      <c r="P51" s="212">
        <f>P24/(1+'Financial Information'!$B$5)^(P$28-$B$28)</f>
        <v>0</v>
      </c>
      <c r="Q51" s="212">
        <f>Q24/(1+'Financial Information'!$B$5)^(Q$28-$B$28)</f>
        <v>0</v>
      </c>
      <c r="R51" s="212">
        <f>R24/(1+'Financial Information'!$B$5)^(R$28-$B$28)</f>
        <v>0</v>
      </c>
      <c r="S51" s="212">
        <f>S24/(1+'Financial Information'!$B$5)^(S$28-$B$28)</f>
        <v>0</v>
      </c>
      <c r="T51" s="212">
        <f>T24/(1+'Financial Information'!$B$5)^(T$28-$B$28)</f>
        <v>0</v>
      </c>
      <c r="U51" s="212">
        <f>U24/(1+'Financial Information'!$B$5)^(U$28-$B$28)</f>
        <v>0</v>
      </c>
      <c r="V51" s="212">
        <f>V24/(1+'Financial Information'!$B$5)^(V$28-$B$28)</f>
        <v>0</v>
      </c>
      <c r="W51" s="212">
        <f>W24/(1+'Financial Information'!$B$5)^(W$28-$B$28)</f>
        <v>0</v>
      </c>
      <c r="X51" s="212">
        <f>X24/(1+'Financial Information'!$B$5)^(X$28-$B$28)</f>
        <v>0</v>
      </c>
      <c r="Y51" s="212">
        <f>Y24/(1+'Financial Information'!$B$5)^(Y$28-$B$28)</f>
        <v>0</v>
      </c>
      <c r="Z51" s="212">
        <f>Z24/(1+'Financial Information'!$B$5)^(Z$28-$B$28)</f>
        <v>0</v>
      </c>
      <c r="AA51" s="212">
        <f>AA24/(1+'Financial Information'!$B$5)^(AA$28-$B$28)</f>
        <v>0</v>
      </c>
      <c r="AB51" s="212">
        <f>AB24/(1+'Financial Information'!$B$5)^(AB$28-$B$28)</f>
        <v>0</v>
      </c>
      <c r="AC51" s="212">
        <f>AC24/(1+'Financial Information'!$B$5)^(AC$28-$B$28)</f>
        <v>0</v>
      </c>
      <c r="AD51" s="213">
        <f>AD24/(1+'Financial Information'!$B$5)^(AD$28-$B$28)</f>
        <v>0</v>
      </c>
      <c r="AE51" s="212">
        <f>AE24/(1+'Financial Information'!$B$5)^(AE$28-$B$28)</f>
        <v>0</v>
      </c>
      <c r="AF51" s="212">
        <f>AF24/(1+'Financial Information'!$B$5)^(AF$28-$B$28)</f>
        <v>0</v>
      </c>
      <c r="AG51" s="212">
        <f>AG24/(1+'Financial Information'!$B$5)^(AG$28-$B$28)</f>
        <v>0</v>
      </c>
      <c r="AH51" s="212">
        <f>AH24/(1+'Financial Information'!$B$5)^(AH$28-$B$28)</f>
        <v>0</v>
      </c>
      <c r="AI51" s="212">
        <f>AI24/(1+'Financial Information'!$B$5)^(AI$28-$B$28)</f>
        <v>0</v>
      </c>
      <c r="AJ51" s="212"/>
    </row>
    <row r="52" spans="1:36">
      <c r="A52" s="6" t="s">
        <v>61</v>
      </c>
      <c r="B52" s="15">
        <f t="shared" ref="B52:AG52" si="10">SUM(B42:B51)</f>
        <v>1843.4621723822067</v>
      </c>
      <c r="C52" s="15">
        <f t="shared" si="10"/>
        <v>1759.7780374797078</v>
      </c>
      <c r="D52" s="15">
        <f t="shared" si="10"/>
        <v>1729.3406836101565</v>
      </c>
      <c r="E52" s="15">
        <f t="shared" si="10"/>
        <v>1683.8951290032051</v>
      </c>
      <c r="F52" s="15">
        <f t="shared" si="10"/>
        <v>1490.8911890385552</v>
      </c>
      <c r="G52" s="15">
        <f t="shared" si="10"/>
        <v>1325.6935585213184</v>
      </c>
      <c r="H52" s="15">
        <f t="shared" si="10"/>
        <v>1235.137981749763</v>
      </c>
      <c r="I52" s="15">
        <f t="shared" si="10"/>
        <v>1228.3062563392837</v>
      </c>
      <c r="J52" s="15">
        <f t="shared" si="10"/>
        <v>1259.7947247596567</v>
      </c>
      <c r="K52" s="15">
        <f t="shared" si="10"/>
        <v>1248.4316273109962</v>
      </c>
      <c r="L52" s="15">
        <f t="shared" si="10"/>
        <v>1230.6202534962993</v>
      </c>
      <c r="M52" s="15">
        <f t="shared" si="10"/>
        <v>1198.0066460527603</v>
      </c>
      <c r="N52" s="15">
        <f t="shared" si="10"/>
        <v>1176.0180875881813</v>
      </c>
      <c r="O52" s="15">
        <f t="shared" si="10"/>
        <v>1116.9295774301575</v>
      </c>
      <c r="P52" s="15">
        <f t="shared" si="10"/>
        <v>1169.7382705074151</v>
      </c>
      <c r="Q52" s="15">
        <f t="shared" si="10"/>
        <v>1290.8924464275856</v>
      </c>
      <c r="R52" s="15">
        <f t="shared" si="10"/>
        <v>1238.7503709035173</v>
      </c>
      <c r="S52" s="15">
        <f t="shared" si="10"/>
        <v>1224.3863888878439</v>
      </c>
      <c r="T52" s="15">
        <f t="shared" si="10"/>
        <v>1203.2469509913599</v>
      </c>
      <c r="U52" s="15">
        <f t="shared" si="10"/>
        <v>1167.6194105601455</v>
      </c>
      <c r="V52" s="15">
        <f t="shared" si="10"/>
        <v>1130.4731594256857</v>
      </c>
      <c r="W52" s="15">
        <f t="shared" si="10"/>
        <v>1095.2458916614846</v>
      </c>
      <c r="X52" s="15">
        <f t="shared" si="10"/>
        <v>1085.2663149667428</v>
      </c>
      <c r="Y52" s="15">
        <f t="shared" si="10"/>
        <v>1129.248200249486</v>
      </c>
      <c r="Z52" s="15">
        <f t="shared" si="10"/>
        <v>1097.8415990650276</v>
      </c>
      <c r="AA52" s="15">
        <f t="shared" si="10"/>
        <v>1076.477175683855</v>
      </c>
      <c r="AB52" s="15">
        <f t="shared" si="10"/>
        <v>1043.5664860997531</v>
      </c>
      <c r="AC52" s="52">
        <f t="shared" si="10"/>
        <v>988.34183472226323</v>
      </c>
      <c r="AD52" s="214">
        <f t="shared" si="10"/>
        <v>943.31679976402427</v>
      </c>
      <c r="AE52" s="15">
        <f t="shared" si="10"/>
        <v>888.85081110754288</v>
      </c>
      <c r="AF52" s="15">
        <f t="shared" si="10"/>
        <v>839.0454832987557</v>
      </c>
      <c r="AG52" s="15">
        <f t="shared" si="10"/>
        <v>800.22549453999727</v>
      </c>
      <c r="AH52" s="15">
        <f t="shared" ref="AH52:AI52" si="11">SUM(AH42:AH51)</f>
        <v>759.83670080664069</v>
      </c>
      <c r="AI52" s="15">
        <f t="shared" si="11"/>
        <v>723.85864922825101</v>
      </c>
      <c r="AJ52" s="15"/>
    </row>
    <row r="53" spans="1:36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19"/>
      <c r="AD53" s="211"/>
      <c r="AE53" s="16"/>
      <c r="AF53" s="16"/>
      <c r="AG53" s="16"/>
      <c r="AH53" s="16"/>
      <c r="AI53" s="16"/>
      <c r="AJ53" s="16"/>
    </row>
    <row r="54" spans="1:36">
      <c r="A54" s="6" t="s">
        <v>63</v>
      </c>
      <c r="AC54" s="36"/>
      <c r="AD54" s="215"/>
    </row>
    <row r="55" spans="1:36">
      <c r="A55" s="152" t="str">
        <f>A1</f>
        <v>SoBra 700MWs</v>
      </c>
      <c r="B55" s="152">
        <f>$B$1</f>
        <v>2020</v>
      </c>
      <c r="C55" s="152">
        <f t="shared" ref="C55:AI55" si="12">B55+1</f>
        <v>2021</v>
      </c>
      <c r="D55" s="152">
        <f t="shared" si="12"/>
        <v>2022</v>
      </c>
      <c r="E55" s="152">
        <f t="shared" si="12"/>
        <v>2023</v>
      </c>
      <c r="F55" s="152">
        <f t="shared" si="12"/>
        <v>2024</v>
      </c>
      <c r="G55" s="152">
        <f t="shared" si="12"/>
        <v>2025</v>
      </c>
      <c r="H55" s="152">
        <f t="shared" si="12"/>
        <v>2026</v>
      </c>
      <c r="I55" s="152">
        <f t="shared" si="12"/>
        <v>2027</v>
      </c>
      <c r="J55" s="152">
        <f t="shared" si="12"/>
        <v>2028</v>
      </c>
      <c r="K55" s="152">
        <f t="shared" si="12"/>
        <v>2029</v>
      </c>
      <c r="L55" s="152">
        <f t="shared" si="12"/>
        <v>2030</v>
      </c>
      <c r="M55" s="152">
        <f t="shared" si="12"/>
        <v>2031</v>
      </c>
      <c r="N55" s="152">
        <f t="shared" si="12"/>
        <v>2032</v>
      </c>
      <c r="O55" s="152">
        <f t="shared" si="12"/>
        <v>2033</v>
      </c>
      <c r="P55" s="152">
        <f t="shared" si="12"/>
        <v>2034</v>
      </c>
      <c r="Q55" s="152">
        <f t="shared" si="12"/>
        <v>2035</v>
      </c>
      <c r="R55" s="152">
        <f t="shared" si="12"/>
        <v>2036</v>
      </c>
      <c r="S55" s="152">
        <f t="shared" si="12"/>
        <v>2037</v>
      </c>
      <c r="T55" s="152">
        <f t="shared" si="12"/>
        <v>2038</v>
      </c>
      <c r="U55" s="152">
        <f t="shared" si="12"/>
        <v>2039</v>
      </c>
      <c r="V55" s="152">
        <f t="shared" si="12"/>
        <v>2040</v>
      </c>
      <c r="W55" s="152">
        <f t="shared" si="12"/>
        <v>2041</v>
      </c>
      <c r="X55" s="152">
        <f t="shared" si="12"/>
        <v>2042</v>
      </c>
      <c r="Y55" s="152">
        <f t="shared" si="12"/>
        <v>2043</v>
      </c>
      <c r="Z55" s="152">
        <f t="shared" si="12"/>
        <v>2044</v>
      </c>
      <c r="AA55" s="152">
        <f t="shared" si="12"/>
        <v>2045</v>
      </c>
      <c r="AB55" s="152">
        <f t="shared" si="12"/>
        <v>2046</v>
      </c>
      <c r="AC55" s="209">
        <f t="shared" si="12"/>
        <v>2047</v>
      </c>
      <c r="AD55" s="210">
        <f t="shared" si="12"/>
        <v>2048</v>
      </c>
      <c r="AE55" s="152">
        <f t="shared" si="12"/>
        <v>2049</v>
      </c>
      <c r="AF55" s="152">
        <f t="shared" si="12"/>
        <v>2050</v>
      </c>
      <c r="AG55" s="152">
        <f t="shared" si="12"/>
        <v>2051</v>
      </c>
      <c r="AH55" s="152">
        <f t="shared" si="12"/>
        <v>2052</v>
      </c>
      <c r="AI55" s="152">
        <f t="shared" si="12"/>
        <v>2053</v>
      </c>
      <c r="AJ55" s="152"/>
    </row>
    <row r="56" spans="1:36">
      <c r="A56" s="6" t="s">
        <v>134</v>
      </c>
      <c r="B56" s="119">
        <f t="shared" ref="B56:B65" si="13">B29</f>
        <v>65.260450182206341</v>
      </c>
      <c r="C56" s="119">
        <f t="shared" ref="C56:AI56" si="14">B56+C29</f>
        <v>160.93113499444769</v>
      </c>
      <c r="D56" s="119">
        <f t="shared" si="14"/>
        <v>284.02380349995246</v>
      </c>
      <c r="E56" s="119">
        <f t="shared" si="14"/>
        <v>394.36613136854328</v>
      </c>
      <c r="F56" s="119">
        <f t="shared" si="14"/>
        <v>493.61813098619666</v>
      </c>
      <c r="G56" s="119">
        <f t="shared" si="14"/>
        <v>580.85459424087935</v>
      </c>
      <c r="H56" s="119">
        <f t="shared" si="14"/>
        <v>653.06447298350622</v>
      </c>
      <c r="I56" s="119">
        <f t="shared" si="14"/>
        <v>718.84067147426742</v>
      </c>
      <c r="J56" s="119">
        <f t="shared" si="14"/>
        <v>778.85583094073672</v>
      </c>
      <c r="K56" s="119">
        <f t="shared" si="14"/>
        <v>833.69836037779623</v>
      </c>
      <c r="L56" s="119">
        <f t="shared" si="14"/>
        <v>883.7614235200798</v>
      </c>
      <c r="M56" s="119">
        <f t="shared" si="14"/>
        <v>929.4471701874005</v>
      </c>
      <c r="N56" s="119">
        <f t="shared" si="14"/>
        <v>971.1109809494634</v>
      </c>
      <c r="O56" s="119">
        <f t="shared" si="14"/>
        <v>1009.115140082966</v>
      </c>
      <c r="P56" s="119">
        <f t="shared" si="14"/>
        <v>1043.7093182247925</v>
      </c>
      <c r="Q56" s="119">
        <f t="shared" si="14"/>
        <v>1075.1764034603164</v>
      </c>
      <c r="R56" s="119">
        <f t="shared" si="14"/>
        <v>1103.732432725345</v>
      </c>
      <c r="S56" s="119">
        <f t="shared" si="14"/>
        <v>1129.656103783884</v>
      </c>
      <c r="T56" s="119">
        <f t="shared" si="14"/>
        <v>1153.9585638548881</v>
      </c>
      <c r="U56" s="119">
        <f t="shared" si="14"/>
        <v>1176.4306702207869</v>
      </c>
      <c r="V56" s="119">
        <f t="shared" si="14"/>
        <v>1196.7521944818136</v>
      </c>
      <c r="W56" s="119">
        <f t="shared" si="14"/>
        <v>1215.1205755954245</v>
      </c>
      <c r="X56" s="119">
        <f t="shared" si="14"/>
        <v>1231.7530057724055</v>
      </c>
      <c r="Y56" s="119">
        <f t="shared" si="14"/>
        <v>1246.7791852426262</v>
      </c>
      <c r="Z56" s="119">
        <f t="shared" si="14"/>
        <v>1260.3839482278022</v>
      </c>
      <c r="AA56" s="119">
        <f t="shared" si="14"/>
        <v>1272.6624473585421</v>
      </c>
      <c r="AB56" s="119">
        <f t="shared" si="14"/>
        <v>1283.7604554982531</v>
      </c>
      <c r="AC56" s="119">
        <f t="shared" si="14"/>
        <v>1293.7688166527566</v>
      </c>
      <c r="AD56" s="211">
        <f t="shared" si="14"/>
        <v>1303.1573665967353</v>
      </c>
      <c r="AE56" s="119">
        <f t="shared" si="14"/>
        <v>1311.1087975923997</v>
      </c>
      <c r="AF56" s="119">
        <f t="shared" si="14"/>
        <v>1316.4077323452841</v>
      </c>
      <c r="AG56" s="119">
        <f t="shared" si="14"/>
        <v>1319.3037927694838</v>
      </c>
      <c r="AH56" s="119">
        <f t="shared" si="14"/>
        <v>1319.7194534350556</v>
      </c>
      <c r="AI56" s="119">
        <f t="shared" si="14"/>
        <v>1320.0943565319535</v>
      </c>
      <c r="AJ56" s="119"/>
    </row>
    <row r="57" spans="1:36">
      <c r="A57" s="6" t="s">
        <v>135</v>
      </c>
      <c r="B57" s="119">
        <f t="shared" si="13"/>
        <v>0</v>
      </c>
      <c r="C57" s="119">
        <f t="shared" ref="C57:AI57" si="15">B57+C30</f>
        <v>0</v>
      </c>
      <c r="D57" s="119">
        <f t="shared" si="15"/>
        <v>0</v>
      </c>
      <c r="E57" s="119">
        <f t="shared" si="15"/>
        <v>0</v>
      </c>
      <c r="F57" s="119">
        <f t="shared" si="15"/>
        <v>0</v>
      </c>
      <c r="G57" s="119">
        <f t="shared" si="15"/>
        <v>0</v>
      </c>
      <c r="H57" s="119">
        <f t="shared" si="15"/>
        <v>0</v>
      </c>
      <c r="I57" s="119">
        <f t="shared" si="15"/>
        <v>0</v>
      </c>
      <c r="J57" s="119">
        <f t="shared" si="15"/>
        <v>0</v>
      </c>
      <c r="K57" s="119">
        <f t="shared" si="15"/>
        <v>0</v>
      </c>
      <c r="L57" s="119">
        <f t="shared" si="15"/>
        <v>0</v>
      </c>
      <c r="M57" s="119">
        <f t="shared" si="15"/>
        <v>0</v>
      </c>
      <c r="N57" s="119">
        <f t="shared" si="15"/>
        <v>0</v>
      </c>
      <c r="O57" s="119">
        <f t="shared" si="15"/>
        <v>0</v>
      </c>
      <c r="P57" s="119">
        <f t="shared" si="15"/>
        <v>0</v>
      </c>
      <c r="Q57" s="119">
        <f t="shared" si="15"/>
        <v>0</v>
      </c>
      <c r="R57" s="119">
        <f t="shared" si="15"/>
        <v>0</v>
      </c>
      <c r="S57" s="119">
        <f t="shared" si="15"/>
        <v>0</v>
      </c>
      <c r="T57" s="119">
        <f t="shared" si="15"/>
        <v>0</v>
      </c>
      <c r="U57" s="119">
        <f t="shared" si="15"/>
        <v>0</v>
      </c>
      <c r="V57" s="119">
        <f t="shared" si="15"/>
        <v>0</v>
      </c>
      <c r="W57" s="119">
        <f t="shared" si="15"/>
        <v>0</v>
      </c>
      <c r="X57" s="119">
        <f t="shared" si="15"/>
        <v>0</v>
      </c>
      <c r="Y57" s="119">
        <f t="shared" si="15"/>
        <v>0</v>
      </c>
      <c r="Z57" s="119">
        <f t="shared" si="15"/>
        <v>0</v>
      </c>
      <c r="AA57" s="119">
        <f t="shared" si="15"/>
        <v>0</v>
      </c>
      <c r="AB57" s="119">
        <f t="shared" si="15"/>
        <v>0</v>
      </c>
      <c r="AC57" s="119">
        <f t="shared" si="15"/>
        <v>0</v>
      </c>
      <c r="AD57" s="211">
        <f t="shared" si="15"/>
        <v>0</v>
      </c>
      <c r="AE57" s="119">
        <f t="shared" si="15"/>
        <v>0</v>
      </c>
      <c r="AF57" s="119">
        <f t="shared" si="15"/>
        <v>0</v>
      </c>
      <c r="AG57" s="119">
        <f t="shared" si="15"/>
        <v>0</v>
      </c>
      <c r="AH57" s="119">
        <f t="shared" si="15"/>
        <v>0</v>
      </c>
      <c r="AI57" s="119">
        <f t="shared" si="15"/>
        <v>0</v>
      </c>
      <c r="AJ57" s="119"/>
    </row>
    <row r="58" spans="1:36">
      <c r="A58" s="36" t="s">
        <v>60</v>
      </c>
      <c r="B58" s="119">
        <f t="shared" si="13"/>
        <v>0</v>
      </c>
      <c r="C58" s="119">
        <f t="shared" ref="C58:AI58" si="16">B58+C31</f>
        <v>0</v>
      </c>
      <c r="D58" s="119">
        <f t="shared" si="16"/>
        <v>0</v>
      </c>
      <c r="E58" s="119">
        <f t="shared" si="16"/>
        <v>0</v>
      </c>
      <c r="F58" s="119">
        <f t="shared" si="16"/>
        <v>0</v>
      </c>
      <c r="G58" s="119">
        <f t="shared" si="16"/>
        <v>0</v>
      </c>
      <c r="H58" s="119">
        <f t="shared" si="16"/>
        <v>0</v>
      </c>
      <c r="I58" s="119">
        <f t="shared" si="16"/>
        <v>13.613063986881086</v>
      </c>
      <c r="J58" s="119">
        <f t="shared" si="16"/>
        <v>41.459862396972859</v>
      </c>
      <c r="K58" s="119">
        <f t="shared" si="16"/>
        <v>71.043871773114915</v>
      </c>
      <c r="L58" s="119">
        <f t="shared" si="16"/>
        <v>103.77412356336131</v>
      </c>
      <c r="M58" s="119">
        <f t="shared" si="16"/>
        <v>137.40246120089682</v>
      </c>
      <c r="N58" s="119">
        <f t="shared" si="16"/>
        <v>173.26100317028835</v>
      </c>
      <c r="O58" s="119">
        <f t="shared" si="16"/>
        <v>209.37147772665011</v>
      </c>
      <c r="P58" s="119">
        <f t="shared" si="16"/>
        <v>309.51854692580025</v>
      </c>
      <c r="Q58" s="119">
        <f t="shared" si="16"/>
        <v>548.80437323160118</v>
      </c>
      <c r="R58" s="119">
        <f t="shared" si="16"/>
        <v>766.95516332374871</v>
      </c>
      <c r="S58" s="119">
        <f t="shared" si="16"/>
        <v>965.7943490347883</v>
      </c>
      <c r="T58" s="119">
        <f t="shared" si="16"/>
        <v>1160.1985682847085</v>
      </c>
      <c r="U58" s="119">
        <f t="shared" si="16"/>
        <v>1346.003374314507</v>
      </c>
      <c r="V58" s="119">
        <f t="shared" si="16"/>
        <v>1519.121884221244</v>
      </c>
      <c r="W58" s="119">
        <f t="shared" si="16"/>
        <v>1679.2757850920234</v>
      </c>
      <c r="X58" s="119">
        <f t="shared" si="16"/>
        <v>1855.1880602882679</v>
      </c>
      <c r="Y58" s="119">
        <f t="shared" si="16"/>
        <v>2102.8708764646994</v>
      </c>
      <c r="Z58" s="119">
        <f t="shared" si="16"/>
        <v>2334.8776146881482</v>
      </c>
      <c r="AA58" s="119">
        <f t="shared" si="16"/>
        <v>2553.3769755467138</v>
      </c>
      <c r="AB58" s="119">
        <f t="shared" si="16"/>
        <v>2754.1334372950555</v>
      </c>
      <c r="AC58" s="119">
        <f t="shared" si="16"/>
        <v>2936.6101957873211</v>
      </c>
      <c r="AD58" s="211">
        <f t="shared" si="16"/>
        <v>3102.3736308730631</v>
      </c>
      <c r="AE58" s="119">
        <f t="shared" si="16"/>
        <v>3252.879976471535</v>
      </c>
      <c r="AF58" s="119">
        <f t="shared" si="16"/>
        <v>3389.4716244612237</v>
      </c>
      <c r="AG58" s="119">
        <f t="shared" si="16"/>
        <v>3513.3380917488753</v>
      </c>
      <c r="AH58" s="119">
        <f t="shared" si="16"/>
        <v>3625.5432154265404</v>
      </c>
      <c r="AI58" s="119">
        <f t="shared" si="16"/>
        <v>3727.0843037409263</v>
      </c>
      <c r="AJ58" s="119"/>
    </row>
    <row r="59" spans="1:36">
      <c r="A59" s="36" t="s">
        <v>68</v>
      </c>
      <c r="B59" s="119">
        <f t="shared" si="13"/>
        <v>445.38108</v>
      </c>
      <c r="C59" s="119">
        <f t="shared" ref="C59:AI59" si="17">B59+C32</f>
        <v>851.33956172446119</v>
      </c>
      <c r="D59" s="119">
        <f t="shared" si="17"/>
        <v>1234.3846767848615</v>
      </c>
      <c r="E59" s="119">
        <f t="shared" si="17"/>
        <v>1609.8140830391994</v>
      </c>
      <c r="F59" s="119">
        <f t="shared" si="17"/>
        <v>1841.6073557044081</v>
      </c>
      <c r="G59" s="119">
        <f t="shared" si="17"/>
        <v>1948.5149827850062</v>
      </c>
      <c r="H59" s="119">
        <f t="shared" si="17"/>
        <v>1987.5993937851376</v>
      </c>
      <c r="I59" s="119">
        <f t="shared" si="17"/>
        <v>2008.4347353086096</v>
      </c>
      <c r="J59" s="119">
        <f t="shared" si="17"/>
        <v>2021.379113802185</v>
      </c>
      <c r="K59" s="119">
        <f t="shared" si="17"/>
        <v>2033.7909041155356</v>
      </c>
      <c r="L59" s="119">
        <f t="shared" si="17"/>
        <v>2045.7421250071648</v>
      </c>
      <c r="M59" s="119">
        <f t="shared" si="17"/>
        <v>2057.2283113679459</v>
      </c>
      <c r="N59" s="119">
        <f t="shared" si="17"/>
        <v>2068.297305514559</v>
      </c>
      <c r="O59" s="119">
        <f t="shared" si="17"/>
        <v>2078.922417187935</v>
      </c>
      <c r="P59" s="119">
        <f t="shared" si="17"/>
        <v>2091.8273840879615</v>
      </c>
      <c r="Q59" s="119">
        <f t="shared" si="17"/>
        <v>2106.0837218577703</v>
      </c>
      <c r="R59" s="119">
        <f t="shared" si="17"/>
        <v>2119.6683404695887</v>
      </c>
      <c r="S59" s="119">
        <f t="shared" si="17"/>
        <v>2132.6411802076987</v>
      </c>
      <c r="T59" s="119">
        <f t="shared" si="17"/>
        <v>2145.6986166377023</v>
      </c>
      <c r="U59" s="119">
        <f t="shared" si="17"/>
        <v>2158.6373612629422</v>
      </c>
      <c r="V59" s="119">
        <f t="shared" si="17"/>
        <v>2171.2265278171731</v>
      </c>
      <c r="W59" s="119">
        <f t="shared" si="17"/>
        <v>2183.3952611271434</v>
      </c>
      <c r="X59" s="119">
        <f t="shared" si="17"/>
        <v>2196.3861502554464</v>
      </c>
      <c r="Y59" s="119">
        <f t="shared" si="17"/>
        <v>2209.7546562911789</v>
      </c>
      <c r="Z59" s="119">
        <f t="shared" si="17"/>
        <v>2222.9068059083284</v>
      </c>
      <c r="AA59" s="119">
        <f t="shared" si="17"/>
        <v>2235.8182568400243</v>
      </c>
      <c r="AB59" s="119">
        <f t="shared" si="17"/>
        <v>2248.1438036251393</v>
      </c>
      <c r="AC59" s="119">
        <f t="shared" si="17"/>
        <v>2259.9435456995693</v>
      </c>
      <c r="AD59" s="211">
        <f t="shared" si="17"/>
        <v>2271.2482186777743</v>
      </c>
      <c r="AE59" s="119">
        <f t="shared" si="17"/>
        <v>2281.6982846571891</v>
      </c>
      <c r="AF59" s="119">
        <f t="shared" si="17"/>
        <v>2290.905551768793</v>
      </c>
      <c r="AG59" s="119">
        <f t="shared" si="17"/>
        <v>2299.0293263151966</v>
      </c>
      <c r="AH59" s="119">
        <f t="shared" si="17"/>
        <v>2306.3693509869136</v>
      </c>
      <c r="AI59" s="119">
        <f t="shared" si="17"/>
        <v>2313.3933391427008</v>
      </c>
      <c r="AJ59" s="119"/>
    </row>
    <row r="60" spans="1:36">
      <c r="A60" s="36" t="s">
        <v>67</v>
      </c>
      <c r="B60" s="119">
        <f t="shared" si="13"/>
        <v>390.67815999999999</v>
      </c>
      <c r="C60" s="119">
        <f t="shared" ref="C60:AI60" si="18">B60+C33</f>
        <v>751.38318343017806</v>
      </c>
      <c r="D60" s="119">
        <f t="shared" si="18"/>
        <v>1086.742172405917</v>
      </c>
      <c r="E60" s="119">
        <f t="shared" si="18"/>
        <v>1401.0430055603115</v>
      </c>
      <c r="F60" s="119">
        <f t="shared" si="18"/>
        <v>1696.3781385814136</v>
      </c>
      <c r="G60" s="119">
        <f t="shared" si="18"/>
        <v>1972.4465282824722</v>
      </c>
      <c r="H60" s="119">
        <f t="shared" si="18"/>
        <v>2231.1797962597147</v>
      </c>
      <c r="I60" s="119">
        <f t="shared" si="18"/>
        <v>2473.6664515555135</v>
      </c>
      <c r="J60" s="119">
        <f t="shared" si="18"/>
        <v>2701.5208601951203</v>
      </c>
      <c r="K60" s="119">
        <f t="shared" si="18"/>
        <v>2914.5107631690626</v>
      </c>
      <c r="L60" s="119">
        <f t="shared" si="18"/>
        <v>3114.1264173152126</v>
      </c>
      <c r="M60" s="119">
        <f t="shared" si="18"/>
        <v>3301.2076252982552</v>
      </c>
      <c r="N60" s="119">
        <f t="shared" si="18"/>
        <v>3476.9998888377081</v>
      </c>
      <c r="O60" s="119">
        <f t="shared" si="18"/>
        <v>3641.3240174704747</v>
      </c>
      <c r="P60" s="119">
        <f t="shared" si="18"/>
        <v>3838.1806529395067</v>
      </c>
      <c r="Q60" s="119">
        <f t="shared" si="18"/>
        <v>4052.0554633967463</v>
      </c>
      <c r="R60" s="119">
        <f t="shared" si="18"/>
        <v>4252.500459139239</v>
      </c>
      <c r="S60" s="119">
        <f t="shared" si="18"/>
        <v>4440.3589368735338</v>
      </c>
      <c r="T60" s="119">
        <f t="shared" si="18"/>
        <v>4629.7151705070464</v>
      </c>
      <c r="U60" s="119">
        <f t="shared" si="18"/>
        <v>4816.0805886829412</v>
      </c>
      <c r="V60" s="119">
        <f t="shared" si="18"/>
        <v>4994.8329110003187</v>
      </c>
      <c r="W60" s="119">
        <f t="shared" si="18"/>
        <v>5165.0983792876505</v>
      </c>
      <c r="X60" s="119">
        <f t="shared" si="18"/>
        <v>5343.2525243759028</v>
      </c>
      <c r="Y60" s="119">
        <f t="shared" si="18"/>
        <v>5522.6736951707253</v>
      </c>
      <c r="Z60" s="119">
        <f t="shared" si="18"/>
        <v>5697.7934685808177</v>
      </c>
      <c r="AA60" s="119">
        <f t="shared" si="18"/>
        <v>5869.9249467700074</v>
      </c>
      <c r="AB60" s="119">
        <f t="shared" si="18"/>
        <v>6033.4873162552631</v>
      </c>
      <c r="AC60" s="119">
        <f t="shared" si="18"/>
        <v>6186.7791374267472</v>
      </c>
      <c r="AD60" s="211">
        <f t="shared" si="18"/>
        <v>6330.445324091681</v>
      </c>
      <c r="AE60" s="119">
        <f t="shared" si="18"/>
        <v>6465.0902975358549</v>
      </c>
      <c r="AF60" s="119">
        <f t="shared" si="18"/>
        <v>6591.2805256934689</v>
      </c>
      <c r="AG60" s="119">
        <f t="shared" si="18"/>
        <v>6709.5469063472774</v>
      </c>
      <c r="AH60" s="119">
        <f t="shared" si="18"/>
        <v>6820.3870006807438</v>
      </c>
      <c r="AI60" s="119">
        <f t="shared" si="18"/>
        <v>6924.267126579025</v>
      </c>
      <c r="AJ60" s="119"/>
    </row>
    <row r="61" spans="1:36">
      <c r="A61" s="6" t="s">
        <v>383</v>
      </c>
      <c r="B61" s="119">
        <f t="shared" si="13"/>
        <v>0</v>
      </c>
      <c r="C61" s="119">
        <f t="shared" ref="C61:AI61" si="19">B61+C34</f>
        <v>0</v>
      </c>
      <c r="D61" s="119">
        <f t="shared" si="19"/>
        <v>0</v>
      </c>
      <c r="E61" s="119">
        <f t="shared" si="19"/>
        <v>0</v>
      </c>
      <c r="F61" s="119">
        <f t="shared" si="19"/>
        <v>0</v>
      </c>
      <c r="G61" s="119">
        <f t="shared" si="19"/>
        <v>0</v>
      </c>
      <c r="H61" s="119">
        <f t="shared" si="19"/>
        <v>0</v>
      </c>
      <c r="I61" s="119">
        <f t="shared" si="19"/>
        <v>0</v>
      </c>
      <c r="J61" s="119">
        <f t="shared" si="19"/>
        <v>0</v>
      </c>
      <c r="K61" s="119">
        <f t="shared" si="19"/>
        <v>0</v>
      </c>
      <c r="L61" s="119">
        <f t="shared" si="19"/>
        <v>0</v>
      </c>
      <c r="M61" s="119">
        <f t="shared" si="19"/>
        <v>0</v>
      </c>
      <c r="N61" s="119">
        <f t="shared" si="19"/>
        <v>0</v>
      </c>
      <c r="O61" s="119">
        <f t="shared" si="19"/>
        <v>0</v>
      </c>
      <c r="P61" s="119">
        <f t="shared" si="19"/>
        <v>0</v>
      </c>
      <c r="Q61" s="119">
        <f t="shared" si="19"/>
        <v>0</v>
      </c>
      <c r="R61" s="119">
        <f t="shared" si="19"/>
        <v>0</v>
      </c>
      <c r="S61" s="119">
        <f t="shared" si="19"/>
        <v>0</v>
      </c>
      <c r="T61" s="119">
        <f t="shared" si="19"/>
        <v>0</v>
      </c>
      <c r="U61" s="119">
        <f t="shared" si="19"/>
        <v>0</v>
      </c>
      <c r="V61" s="119">
        <f t="shared" si="19"/>
        <v>0</v>
      </c>
      <c r="W61" s="119">
        <f t="shared" si="19"/>
        <v>0</v>
      </c>
      <c r="X61" s="119">
        <f t="shared" si="19"/>
        <v>0</v>
      </c>
      <c r="Y61" s="119">
        <f t="shared" si="19"/>
        <v>0</v>
      </c>
      <c r="Z61" s="119">
        <f t="shared" si="19"/>
        <v>0</v>
      </c>
      <c r="AA61" s="119">
        <f t="shared" si="19"/>
        <v>0</v>
      </c>
      <c r="AB61" s="119">
        <f t="shared" si="19"/>
        <v>0</v>
      </c>
      <c r="AC61" s="119">
        <f t="shared" si="19"/>
        <v>0</v>
      </c>
      <c r="AD61" s="211">
        <f t="shared" si="19"/>
        <v>0</v>
      </c>
      <c r="AE61" s="119">
        <f t="shared" si="19"/>
        <v>0</v>
      </c>
      <c r="AF61" s="119">
        <f t="shared" si="19"/>
        <v>0</v>
      </c>
      <c r="AG61" s="119">
        <f t="shared" si="19"/>
        <v>0</v>
      </c>
      <c r="AH61" s="119">
        <f t="shared" si="19"/>
        <v>0</v>
      </c>
      <c r="AI61" s="119">
        <f t="shared" si="19"/>
        <v>0</v>
      </c>
      <c r="AJ61" s="119"/>
    </row>
    <row r="62" spans="1:36">
      <c r="A62" s="36" t="s">
        <v>65</v>
      </c>
      <c r="B62" s="119">
        <f t="shared" si="13"/>
        <v>849.84470000000033</v>
      </c>
      <c r="C62" s="119">
        <f t="shared" ref="C62:AI62" si="20">B62+C35</f>
        <v>1654.8567805998127</v>
      </c>
      <c r="D62" s="119">
        <f t="shared" si="20"/>
        <v>2431.0657997471212</v>
      </c>
      <c r="E62" s="119">
        <f t="shared" si="20"/>
        <v>3173.3433588528774</v>
      </c>
      <c r="F62" s="119">
        <f t="shared" si="20"/>
        <v>3877.6810331733705</v>
      </c>
      <c r="G62" s="119">
        <f t="shared" si="20"/>
        <v>4577.5475877313311</v>
      </c>
      <c r="H62" s="119">
        <f t="shared" si="20"/>
        <v>5289.1219944866007</v>
      </c>
      <c r="I62" s="119">
        <f t="shared" si="20"/>
        <v>6036.8570331139144</v>
      </c>
      <c r="J62" s="119">
        <f t="shared" si="20"/>
        <v>6837.7900044934895</v>
      </c>
      <c r="K62" s="119">
        <f t="shared" si="20"/>
        <v>7650.9995837205233</v>
      </c>
      <c r="L62" s="119">
        <f t="shared" si="20"/>
        <v>8458.0411414037299</v>
      </c>
      <c r="M62" s="119">
        <f t="shared" si="20"/>
        <v>9252.2114507518854</v>
      </c>
      <c r="N62" s="119">
        <f t="shared" si="20"/>
        <v>10041.555754153551</v>
      </c>
      <c r="O62" s="119">
        <f t="shared" si="20"/>
        <v>10786.827391953299</v>
      </c>
      <c r="P62" s="119">
        <f t="shared" si="20"/>
        <v>11514.688047515305</v>
      </c>
      <c r="Q62" s="119">
        <f t="shared" si="20"/>
        <v>12221.59505771847</v>
      </c>
      <c r="R62" s="119">
        <f t="shared" si="20"/>
        <v>12903.812508374182</v>
      </c>
      <c r="S62" s="119">
        <f t="shared" si="20"/>
        <v>13596.131472196375</v>
      </c>
      <c r="T62" s="119">
        <f t="shared" si="20"/>
        <v>14281.703196523347</v>
      </c>
      <c r="U62" s="119">
        <f t="shared" si="20"/>
        <v>14947.947060364322</v>
      </c>
      <c r="V62" s="119">
        <f t="shared" si="20"/>
        <v>15604.920883638739</v>
      </c>
      <c r="W62" s="119">
        <f t="shared" si="20"/>
        <v>16250.693199626105</v>
      </c>
      <c r="X62" s="119">
        <f t="shared" si="20"/>
        <v>16867.055496850557</v>
      </c>
      <c r="Y62" s="119">
        <f t="shared" si="20"/>
        <v>17457.408203865638</v>
      </c>
      <c r="Z62" s="119">
        <f t="shared" si="20"/>
        <v>18040.128008550884</v>
      </c>
      <c r="AA62" s="119">
        <f t="shared" si="20"/>
        <v>18620.775029379118</v>
      </c>
      <c r="AB62" s="119">
        <f t="shared" si="20"/>
        <v>19192.483784185053</v>
      </c>
      <c r="AC62" s="119">
        <f t="shared" si="20"/>
        <v>19735.400057000945</v>
      </c>
      <c r="AD62" s="211">
        <f t="shared" si="20"/>
        <v>20265.635839206687</v>
      </c>
      <c r="AE62" s="119">
        <f t="shared" si="20"/>
        <v>20768.908907396923</v>
      </c>
      <c r="AF62" s="119">
        <f t="shared" si="20"/>
        <v>21251.840738036495</v>
      </c>
      <c r="AG62" s="119">
        <f t="shared" si="20"/>
        <v>21720.065570903214</v>
      </c>
      <c r="AH62" s="119">
        <f t="shared" si="20"/>
        <v>22173.755353016601</v>
      </c>
      <c r="AI62" s="119">
        <f t="shared" si="20"/>
        <v>22606.997126195507</v>
      </c>
      <c r="AJ62" s="119"/>
    </row>
    <row r="63" spans="1:36">
      <c r="A63" s="36" t="s">
        <v>52</v>
      </c>
      <c r="B63" s="119">
        <f t="shared" si="13"/>
        <v>86.065810000000013</v>
      </c>
      <c r="C63" s="119">
        <f t="shared" ref="C63:AI63" si="21">B63+C36</f>
        <v>171.47644730084352</v>
      </c>
      <c r="D63" s="119">
        <f t="shared" si="21"/>
        <v>258.45358981166265</v>
      </c>
      <c r="E63" s="119">
        <f t="shared" si="21"/>
        <v>346.17234004985119</v>
      </c>
      <c r="F63" s="119">
        <f t="shared" si="21"/>
        <v>436.32357303196022</v>
      </c>
      <c r="G63" s="119">
        <f t="shared" si="21"/>
        <v>530.17237621447157</v>
      </c>
      <c r="H63" s="119">
        <f t="shared" si="21"/>
        <v>631.36946588150772</v>
      </c>
      <c r="I63" s="119">
        <f t="shared" si="21"/>
        <v>738.63766749572585</v>
      </c>
      <c r="J63" s="119">
        <f t="shared" si="21"/>
        <v>853.02606179424833</v>
      </c>
      <c r="K63" s="119">
        <f t="shared" si="21"/>
        <v>966.3668585410137</v>
      </c>
      <c r="L63" s="119">
        <f t="shared" si="21"/>
        <v>1084.2808091056972</v>
      </c>
      <c r="M63" s="119">
        <f t="shared" si="21"/>
        <v>1205.1157473583319</v>
      </c>
      <c r="N63" s="119">
        <f t="shared" si="21"/>
        <v>1324.2000282790564</v>
      </c>
      <c r="O63" s="119">
        <f t="shared" si="21"/>
        <v>1443.6232165260124</v>
      </c>
      <c r="P63" s="119">
        <f t="shared" si="21"/>
        <v>1558.0829181346005</v>
      </c>
      <c r="Q63" s="119">
        <f t="shared" si="21"/>
        <v>1672.1779072664949</v>
      </c>
      <c r="R63" s="119">
        <f t="shared" si="21"/>
        <v>1785.3010399048587</v>
      </c>
      <c r="S63" s="119">
        <f t="shared" si="21"/>
        <v>1903.5117847502499</v>
      </c>
      <c r="T63" s="119">
        <f t="shared" si="21"/>
        <v>2021.2701918516016</v>
      </c>
      <c r="U63" s="119">
        <f t="shared" si="21"/>
        <v>2142.8430843509168</v>
      </c>
      <c r="V63" s="119">
        <f t="shared" si="21"/>
        <v>2259.1598139021344</v>
      </c>
      <c r="W63" s="119">
        <f t="shared" si="21"/>
        <v>2374.5188574529675</v>
      </c>
      <c r="X63" s="119">
        <f t="shared" si="21"/>
        <v>2485.1469205949361</v>
      </c>
      <c r="Y63" s="119">
        <f t="shared" si="21"/>
        <v>2593.8597962467416</v>
      </c>
      <c r="Z63" s="119">
        <f t="shared" si="21"/>
        <v>2698.47690430789</v>
      </c>
      <c r="AA63" s="119">
        <f t="shared" si="21"/>
        <v>2802.6553385605139</v>
      </c>
      <c r="AB63" s="119">
        <f t="shared" si="21"/>
        <v>2903.4471484391947</v>
      </c>
      <c r="AC63" s="119">
        <f t="shared" si="21"/>
        <v>3002.2849857778392</v>
      </c>
      <c r="AD63" s="211">
        <f t="shared" si="21"/>
        <v>3098.2278851108454</v>
      </c>
      <c r="AE63" s="119">
        <f t="shared" si="21"/>
        <v>3191.5487143932323</v>
      </c>
      <c r="AF63" s="119">
        <f t="shared" si="21"/>
        <v>3281.8079676230227</v>
      </c>
      <c r="AG63" s="119">
        <f t="shared" si="21"/>
        <v>3370.5328185586909</v>
      </c>
      <c r="AH63" s="119">
        <f t="shared" si="21"/>
        <v>3455.4752845376402</v>
      </c>
      <c r="AI63" s="119">
        <f t="shared" si="21"/>
        <v>3538.6470931193176</v>
      </c>
      <c r="AJ63" s="119"/>
    </row>
    <row r="64" spans="1:36">
      <c r="A64" s="36" t="s">
        <v>66</v>
      </c>
      <c r="B64" s="119">
        <f t="shared" si="13"/>
        <v>6.2319722000000004</v>
      </c>
      <c r="C64" s="119">
        <f t="shared" ref="C64:AI64" si="22">B64+C37</f>
        <v>12.297076417432052</v>
      </c>
      <c r="D64" s="119">
        <f t="shared" si="22"/>
        <v>17.894556498486853</v>
      </c>
      <c r="E64" s="119">
        <f t="shared" si="22"/>
        <v>22.650694729988476</v>
      </c>
      <c r="F64" s="119">
        <f t="shared" si="22"/>
        <v>27.116412997851736</v>
      </c>
      <c r="G64" s="119">
        <f t="shared" si="22"/>
        <v>32.034844234144799</v>
      </c>
      <c r="H64" s="119">
        <f t="shared" si="22"/>
        <v>37.014970905701531</v>
      </c>
      <c r="I64" s="119">
        <f t="shared" si="22"/>
        <v>42.065312575939629</v>
      </c>
      <c r="J64" s="119">
        <f t="shared" si="22"/>
        <v>47.863213455192628</v>
      </c>
      <c r="K64" s="119">
        <f t="shared" si="22"/>
        <v>54.715391970905351</v>
      </c>
      <c r="L64" s="119">
        <f t="shared" si="22"/>
        <v>61.465477182935565</v>
      </c>
      <c r="M64" s="119">
        <f t="shared" si="22"/>
        <v>67.3081767808103</v>
      </c>
      <c r="N64" s="119">
        <f t="shared" si="22"/>
        <v>72.886908114565543</v>
      </c>
      <c r="O64" s="119">
        <f t="shared" si="22"/>
        <v>77.701526995198066</v>
      </c>
      <c r="P64" s="119">
        <f t="shared" si="22"/>
        <v>79.648461413482011</v>
      </c>
      <c r="Q64" s="119">
        <f t="shared" si="22"/>
        <v>80.306762795557944</v>
      </c>
      <c r="R64" s="119">
        <f t="shared" si="22"/>
        <v>80.930760364600673</v>
      </c>
      <c r="S64" s="119">
        <f t="shared" si="22"/>
        <v>81.523189261686326</v>
      </c>
      <c r="T64" s="119">
        <f t="shared" si="22"/>
        <v>82.083621118100311</v>
      </c>
      <c r="U64" s="119">
        <f t="shared" si="22"/>
        <v>82.612040933608299</v>
      </c>
      <c r="V64" s="119">
        <f t="shared" si="22"/>
        <v>83.117530197282449</v>
      </c>
      <c r="W64" s="119">
        <f t="shared" si="22"/>
        <v>83.594565139998764</v>
      </c>
      <c r="X64" s="119">
        <f t="shared" si="22"/>
        <v>84.043050240764472</v>
      </c>
      <c r="Y64" s="119">
        <f t="shared" si="22"/>
        <v>84.467745782403128</v>
      </c>
      <c r="Z64" s="119">
        <f t="shared" si="22"/>
        <v>84.8714147498697</v>
      </c>
      <c r="AA64" s="119">
        <f t="shared" si="22"/>
        <v>85.252522999551061</v>
      </c>
      <c r="AB64" s="119">
        <f t="shared" si="22"/>
        <v>85.616155835851956</v>
      </c>
      <c r="AC64" s="119">
        <f t="shared" si="22"/>
        <v>85.95644472323356</v>
      </c>
      <c r="AD64" s="211">
        <f t="shared" si="22"/>
        <v>86.277194676936602</v>
      </c>
      <c r="AE64" s="119">
        <f t="shared" si="22"/>
        <v>86.578563201716719</v>
      </c>
      <c r="AF64" s="119">
        <f t="shared" si="22"/>
        <v>86.865445334244313</v>
      </c>
      <c r="AG64" s="119">
        <f t="shared" si="22"/>
        <v>87.136619720294576</v>
      </c>
      <c r="AH64" s="119">
        <f t="shared" si="22"/>
        <v>87.394980241668165</v>
      </c>
      <c r="AI64" s="119">
        <f t="shared" si="22"/>
        <v>87.637403440343988</v>
      </c>
      <c r="AJ64" s="119"/>
    </row>
    <row r="65" spans="1:36">
      <c r="A65" s="12" t="s">
        <v>69</v>
      </c>
      <c r="B65" s="212">
        <f t="shared" si="13"/>
        <v>0</v>
      </c>
      <c r="C65" s="212">
        <f t="shared" ref="C65:AH65" si="23">B65+C38</f>
        <v>0</v>
      </c>
      <c r="D65" s="212">
        <f t="shared" si="23"/>
        <v>0</v>
      </c>
      <c r="E65" s="212">
        <f t="shared" si="23"/>
        <v>0</v>
      </c>
      <c r="F65" s="212">
        <f t="shared" si="23"/>
        <v>0</v>
      </c>
      <c r="G65" s="212">
        <f t="shared" si="23"/>
        <v>0</v>
      </c>
      <c r="H65" s="212">
        <f t="shared" si="23"/>
        <v>0</v>
      </c>
      <c r="I65" s="212">
        <f t="shared" si="23"/>
        <v>0</v>
      </c>
      <c r="J65" s="212">
        <f t="shared" si="23"/>
        <v>0</v>
      </c>
      <c r="K65" s="212">
        <f t="shared" si="23"/>
        <v>0</v>
      </c>
      <c r="L65" s="212">
        <f t="shared" si="23"/>
        <v>0</v>
      </c>
      <c r="M65" s="212">
        <f t="shared" si="23"/>
        <v>0</v>
      </c>
      <c r="N65" s="212">
        <f t="shared" si="23"/>
        <v>0</v>
      </c>
      <c r="O65" s="212">
        <f t="shared" si="23"/>
        <v>0</v>
      </c>
      <c r="P65" s="212">
        <f t="shared" si="23"/>
        <v>0</v>
      </c>
      <c r="Q65" s="212">
        <f t="shared" si="23"/>
        <v>0</v>
      </c>
      <c r="R65" s="212">
        <f t="shared" si="23"/>
        <v>0</v>
      </c>
      <c r="S65" s="212">
        <f t="shared" si="23"/>
        <v>0</v>
      </c>
      <c r="T65" s="212">
        <f t="shared" si="23"/>
        <v>0</v>
      </c>
      <c r="U65" s="212">
        <f t="shared" si="23"/>
        <v>0</v>
      </c>
      <c r="V65" s="212">
        <f t="shared" si="23"/>
        <v>0</v>
      </c>
      <c r="W65" s="212">
        <f t="shared" si="23"/>
        <v>0</v>
      </c>
      <c r="X65" s="212">
        <f t="shared" si="23"/>
        <v>0</v>
      </c>
      <c r="Y65" s="212">
        <f t="shared" si="23"/>
        <v>0</v>
      </c>
      <c r="Z65" s="212">
        <f t="shared" si="23"/>
        <v>0</v>
      </c>
      <c r="AA65" s="212">
        <f t="shared" si="23"/>
        <v>0</v>
      </c>
      <c r="AB65" s="212">
        <f t="shared" si="23"/>
        <v>0</v>
      </c>
      <c r="AC65" s="212">
        <f t="shared" si="23"/>
        <v>0</v>
      </c>
      <c r="AD65" s="213">
        <f t="shared" si="23"/>
        <v>0</v>
      </c>
      <c r="AE65" s="212">
        <f t="shared" si="23"/>
        <v>0</v>
      </c>
      <c r="AF65" s="212">
        <f t="shared" si="23"/>
        <v>0</v>
      </c>
      <c r="AG65" s="212">
        <f t="shared" si="23"/>
        <v>0</v>
      </c>
      <c r="AH65" s="212">
        <f t="shared" si="23"/>
        <v>0</v>
      </c>
      <c r="AI65" s="212">
        <f>AH65+AI38</f>
        <v>0</v>
      </c>
      <c r="AJ65" s="212"/>
    </row>
    <row r="66" spans="1:36">
      <c r="A66" s="6" t="s">
        <v>61</v>
      </c>
      <c r="B66" s="15">
        <f t="shared" ref="B66:AI66" si="24">SUM(B56:B65)</f>
        <v>1843.4621723822067</v>
      </c>
      <c r="C66" s="15">
        <f t="shared" si="24"/>
        <v>3602.2841844671752</v>
      </c>
      <c r="D66" s="15">
        <f t="shared" si="24"/>
        <v>5312.564598748002</v>
      </c>
      <c r="E66" s="15">
        <f t="shared" si="24"/>
        <v>6947.3896136007716</v>
      </c>
      <c r="F66" s="15">
        <f t="shared" si="24"/>
        <v>8372.7246444752</v>
      </c>
      <c r="G66" s="15">
        <f t="shared" si="24"/>
        <v>9641.5709134883073</v>
      </c>
      <c r="H66" s="15">
        <f t="shared" si="24"/>
        <v>10829.35009430217</v>
      </c>
      <c r="I66" s="15">
        <f t="shared" si="24"/>
        <v>12032.114935510852</v>
      </c>
      <c r="J66" s="15">
        <f t="shared" si="24"/>
        <v>13281.894947077944</v>
      </c>
      <c r="K66" s="15">
        <f t="shared" si="24"/>
        <v>14525.125733667952</v>
      </c>
      <c r="L66" s="15">
        <f t="shared" si="24"/>
        <v>15751.191517098181</v>
      </c>
      <c r="M66" s="15">
        <f t="shared" si="24"/>
        <v>16949.920942945526</v>
      </c>
      <c r="N66" s="15">
        <f t="shared" si="24"/>
        <v>18128.311869019191</v>
      </c>
      <c r="O66" s="15">
        <f t="shared" si="24"/>
        <v>19246.885187942535</v>
      </c>
      <c r="P66" s="15">
        <f t="shared" si="24"/>
        <v>20435.65532924145</v>
      </c>
      <c r="Q66" s="15">
        <f t="shared" si="24"/>
        <v>21756.199689726956</v>
      </c>
      <c r="R66" s="15">
        <f t="shared" si="24"/>
        <v>23012.900704301563</v>
      </c>
      <c r="S66" s="15">
        <f t="shared" si="24"/>
        <v>24249.617016108219</v>
      </c>
      <c r="T66" s="15">
        <f t="shared" si="24"/>
        <v>25474.627928777398</v>
      </c>
      <c r="U66" s="15">
        <f t="shared" si="24"/>
        <v>26670.554180130024</v>
      </c>
      <c r="V66" s="15">
        <f t="shared" si="24"/>
        <v>27829.131745258706</v>
      </c>
      <c r="W66" s="15">
        <f t="shared" si="24"/>
        <v>28951.696623321313</v>
      </c>
      <c r="X66" s="15">
        <f t="shared" si="24"/>
        <v>30062.825208378279</v>
      </c>
      <c r="Y66" s="15">
        <f t="shared" si="24"/>
        <v>31217.814159064015</v>
      </c>
      <c r="Z66" s="15">
        <f t="shared" si="24"/>
        <v>32339.43816501374</v>
      </c>
      <c r="AA66" s="15">
        <f t="shared" si="24"/>
        <v>33440.465517454468</v>
      </c>
      <c r="AB66" s="15">
        <f t="shared" si="24"/>
        <v>34501.07210113381</v>
      </c>
      <c r="AC66" s="52">
        <f t="shared" si="24"/>
        <v>35500.743183068415</v>
      </c>
      <c r="AD66" s="214">
        <f t="shared" si="24"/>
        <v>36457.365459233719</v>
      </c>
      <c r="AE66" s="15">
        <f t="shared" si="24"/>
        <v>37357.813541248848</v>
      </c>
      <c r="AF66" s="15">
        <f t="shared" si="24"/>
        <v>38208.579585262531</v>
      </c>
      <c r="AG66" s="15">
        <f t="shared" si="24"/>
        <v>39018.953126363034</v>
      </c>
      <c r="AH66" s="15">
        <f t="shared" si="24"/>
        <v>39788.64463832516</v>
      </c>
      <c r="AI66" s="15">
        <f t="shared" si="24"/>
        <v>40518.120748749774</v>
      </c>
      <c r="AJ66" s="15"/>
    </row>
    <row r="67" spans="1:36">
      <c r="AC67" s="36"/>
      <c r="AD67" s="215"/>
    </row>
    <row r="68" spans="1:36">
      <c r="A68" s="152" t="str">
        <f>A41</f>
        <v>Clean Energy Connection</v>
      </c>
      <c r="B68" s="152">
        <f>$B$1</f>
        <v>2020</v>
      </c>
      <c r="C68" s="152">
        <f t="shared" ref="C68:AI68" si="25">B68+1</f>
        <v>2021</v>
      </c>
      <c r="D68" s="152">
        <f t="shared" si="25"/>
        <v>2022</v>
      </c>
      <c r="E68" s="152">
        <f t="shared" si="25"/>
        <v>2023</v>
      </c>
      <c r="F68" s="152">
        <f t="shared" si="25"/>
        <v>2024</v>
      </c>
      <c r="G68" s="152">
        <f t="shared" si="25"/>
        <v>2025</v>
      </c>
      <c r="H68" s="152">
        <f t="shared" si="25"/>
        <v>2026</v>
      </c>
      <c r="I68" s="152">
        <f t="shared" si="25"/>
        <v>2027</v>
      </c>
      <c r="J68" s="152">
        <f t="shared" si="25"/>
        <v>2028</v>
      </c>
      <c r="K68" s="152">
        <f t="shared" si="25"/>
        <v>2029</v>
      </c>
      <c r="L68" s="152">
        <f t="shared" si="25"/>
        <v>2030</v>
      </c>
      <c r="M68" s="152">
        <f t="shared" si="25"/>
        <v>2031</v>
      </c>
      <c r="N68" s="152">
        <f t="shared" si="25"/>
        <v>2032</v>
      </c>
      <c r="O68" s="152">
        <f t="shared" si="25"/>
        <v>2033</v>
      </c>
      <c r="P68" s="152">
        <f t="shared" si="25"/>
        <v>2034</v>
      </c>
      <c r="Q68" s="152">
        <f t="shared" si="25"/>
        <v>2035</v>
      </c>
      <c r="R68" s="152">
        <f t="shared" si="25"/>
        <v>2036</v>
      </c>
      <c r="S68" s="152">
        <f t="shared" si="25"/>
        <v>2037</v>
      </c>
      <c r="T68" s="152">
        <f t="shared" si="25"/>
        <v>2038</v>
      </c>
      <c r="U68" s="152">
        <f t="shared" si="25"/>
        <v>2039</v>
      </c>
      <c r="V68" s="152">
        <f t="shared" si="25"/>
        <v>2040</v>
      </c>
      <c r="W68" s="152">
        <f t="shared" si="25"/>
        <v>2041</v>
      </c>
      <c r="X68" s="152">
        <f t="shared" si="25"/>
        <v>2042</v>
      </c>
      <c r="Y68" s="152">
        <f t="shared" si="25"/>
        <v>2043</v>
      </c>
      <c r="Z68" s="152">
        <f t="shared" si="25"/>
        <v>2044</v>
      </c>
      <c r="AA68" s="152">
        <f t="shared" si="25"/>
        <v>2045</v>
      </c>
      <c r="AB68" s="152">
        <f t="shared" si="25"/>
        <v>2046</v>
      </c>
      <c r="AC68" s="209">
        <f t="shared" si="25"/>
        <v>2047</v>
      </c>
      <c r="AD68" s="210">
        <f t="shared" si="25"/>
        <v>2048</v>
      </c>
      <c r="AE68" s="152">
        <f t="shared" si="25"/>
        <v>2049</v>
      </c>
      <c r="AF68" s="152">
        <f t="shared" si="25"/>
        <v>2050</v>
      </c>
      <c r="AG68" s="152">
        <f t="shared" si="25"/>
        <v>2051</v>
      </c>
      <c r="AH68" s="152">
        <f t="shared" si="25"/>
        <v>2052</v>
      </c>
      <c r="AI68" s="152">
        <f t="shared" si="25"/>
        <v>2053</v>
      </c>
      <c r="AJ68" s="152"/>
    </row>
    <row r="69" spans="1:36">
      <c r="A69" s="6" t="s">
        <v>134</v>
      </c>
      <c r="B69" s="119">
        <f t="shared" ref="B69:B78" si="26">+B42</f>
        <v>65.260450182206341</v>
      </c>
      <c r="C69" s="16">
        <f t="shared" ref="C69:AI69" si="27">B69+C42</f>
        <v>160.93113499444769</v>
      </c>
      <c r="D69" s="16">
        <f t="shared" si="27"/>
        <v>284.02380349995246</v>
      </c>
      <c r="E69" s="16">
        <f t="shared" si="27"/>
        <v>394.36613136854328</v>
      </c>
      <c r="F69" s="16">
        <f t="shared" si="27"/>
        <v>493.61813098619666</v>
      </c>
      <c r="G69" s="16">
        <f t="shared" si="27"/>
        <v>580.85459424087935</v>
      </c>
      <c r="H69" s="16">
        <f t="shared" si="27"/>
        <v>653.06447298350622</v>
      </c>
      <c r="I69" s="16">
        <f t="shared" si="27"/>
        <v>718.84067147426742</v>
      </c>
      <c r="J69" s="16">
        <f t="shared" si="27"/>
        <v>778.85583094073672</v>
      </c>
      <c r="K69" s="16">
        <f t="shared" si="27"/>
        <v>833.69836037779623</v>
      </c>
      <c r="L69" s="16">
        <f t="shared" si="27"/>
        <v>883.7614235200798</v>
      </c>
      <c r="M69" s="16">
        <f t="shared" si="27"/>
        <v>929.4471701874005</v>
      </c>
      <c r="N69" s="16">
        <f t="shared" si="27"/>
        <v>971.1109809494634</v>
      </c>
      <c r="O69" s="16">
        <f t="shared" si="27"/>
        <v>1009.115140082966</v>
      </c>
      <c r="P69" s="16">
        <f t="shared" si="27"/>
        <v>1043.7093182247925</v>
      </c>
      <c r="Q69" s="16">
        <f t="shared" si="27"/>
        <v>1075.1764034603164</v>
      </c>
      <c r="R69" s="16">
        <f t="shared" si="27"/>
        <v>1103.732432725345</v>
      </c>
      <c r="S69" s="16">
        <f t="shared" si="27"/>
        <v>1129.656103783884</v>
      </c>
      <c r="T69" s="16">
        <f t="shared" si="27"/>
        <v>1153.9585638548881</v>
      </c>
      <c r="U69" s="16">
        <f t="shared" si="27"/>
        <v>1176.4306702207869</v>
      </c>
      <c r="V69" s="16">
        <f t="shared" si="27"/>
        <v>1196.7521944818136</v>
      </c>
      <c r="W69" s="16">
        <f t="shared" si="27"/>
        <v>1215.1205755954245</v>
      </c>
      <c r="X69" s="16">
        <f t="shared" si="27"/>
        <v>1231.7530057724055</v>
      </c>
      <c r="Y69" s="16">
        <f t="shared" si="27"/>
        <v>1246.7791852426262</v>
      </c>
      <c r="Z69" s="16">
        <f t="shared" si="27"/>
        <v>1260.3839482278022</v>
      </c>
      <c r="AA69" s="16">
        <f t="shared" si="27"/>
        <v>1272.6624473585421</v>
      </c>
      <c r="AB69" s="16">
        <f t="shared" si="27"/>
        <v>1283.7604554982531</v>
      </c>
      <c r="AC69" s="119">
        <f t="shared" si="27"/>
        <v>1293.7688166527566</v>
      </c>
      <c r="AD69" s="211">
        <f t="shared" si="27"/>
        <v>1303.1573665967353</v>
      </c>
      <c r="AE69" s="16">
        <f t="shared" si="27"/>
        <v>1311.1087975923997</v>
      </c>
      <c r="AF69" s="16">
        <f t="shared" si="27"/>
        <v>1316.4077323452841</v>
      </c>
      <c r="AG69" s="16">
        <f t="shared" si="27"/>
        <v>1319.3037927694838</v>
      </c>
      <c r="AH69" s="16">
        <f t="shared" si="27"/>
        <v>1319.7194534350556</v>
      </c>
      <c r="AI69" s="16">
        <f t="shared" si="27"/>
        <v>1320.0943565319535</v>
      </c>
      <c r="AJ69" s="16"/>
    </row>
    <row r="70" spans="1:36">
      <c r="A70" s="6" t="s">
        <v>135</v>
      </c>
      <c r="B70" s="119">
        <f t="shared" si="26"/>
        <v>0</v>
      </c>
      <c r="C70" s="16">
        <f t="shared" ref="C70:AI70" si="28">B70+C43</f>
        <v>0</v>
      </c>
      <c r="D70" s="16">
        <f t="shared" si="28"/>
        <v>27.104402529171068</v>
      </c>
      <c r="E70" s="16">
        <f t="shared" si="28"/>
        <v>98.781674233069964</v>
      </c>
      <c r="F70" s="16">
        <f t="shared" si="28"/>
        <v>205.49827041468927</v>
      </c>
      <c r="G70" s="16">
        <f t="shared" si="28"/>
        <v>300.46649364736896</v>
      </c>
      <c r="H70" s="16">
        <f t="shared" si="28"/>
        <v>385.39678406731878</v>
      </c>
      <c r="I70" s="16">
        <f t="shared" si="28"/>
        <v>456.76610212359998</v>
      </c>
      <c r="J70" s="16">
        <f t="shared" si="28"/>
        <v>521.38216806475043</v>
      </c>
      <c r="K70" s="16">
        <f t="shared" si="28"/>
        <v>580.22999313960736</v>
      </c>
      <c r="L70" s="16">
        <f t="shared" si="28"/>
        <v>634.01636784102379</v>
      </c>
      <c r="M70" s="16">
        <f t="shared" si="28"/>
        <v>683.26715478238884</v>
      </c>
      <c r="N70" s="16">
        <f t="shared" si="28"/>
        <v>728.35372964352109</v>
      </c>
      <c r="O70" s="16">
        <f t="shared" si="28"/>
        <v>769.60576167263162</v>
      </c>
      <c r="P70" s="16">
        <f t="shared" si="28"/>
        <v>807.31002678440973</v>
      </c>
      <c r="Q70" s="16">
        <f t="shared" si="28"/>
        <v>841.7817862456186</v>
      </c>
      <c r="R70" s="16">
        <f t="shared" si="28"/>
        <v>873.29202848516286</v>
      </c>
      <c r="S70" s="16">
        <f t="shared" si="28"/>
        <v>902.06344495740177</v>
      </c>
      <c r="T70" s="16">
        <f t="shared" si="28"/>
        <v>930.24970017284386</v>
      </c>
      <c r="U70" s="16">
        <f t="shared" si="28"/>
        <v>955.84915294119799</v>
      </c>
      <c r="V70" s="16">
        <f t="shared" si="28"/>
        <v>979.07310442426649</v>
      </c>
      <c r="W70" s="16">
        <f t="shared" si="28"/>
        <v>1000.1248911355183</v>
      </c>
      <c r="X70" s="16">
        <f t="shared" si="28"/>
        <v>1019.2432452792501</v>
      </c>
      <c r="Y70" s="16">
        <f t="shared" si="28"/>
        <v>1036.6317832813522</v>
      </c>
      <c r="Z70" s="16">
        <f t="shared" si="28"/>
        <v>1052.4528204477485</v>
      </c>
      <c r="AA70" s="16">
        <f t="shared" si="28"/>
        <v>1066.8199714822242</v>
      </c>
      <c r="AB70" s="16">
        <f t="shared" si="28"/>
        <v>1079.8900698837747</v>
      </c>
      <c r="AC70" s="119">
        <f t="shared" si="28"/>
        <v>1091.7640225794905</v>
      </c>
      <c r="AD70" s="211">
        <f t="shared" si="28"/>
        <v>1102.5564189601394</v>
      </c>
      <c r="AE70" s="16">
        <f t="shared" si="28"/>
        <v>1112.3456472165315</v>
      </c>
      <c r="AF70" s="16">
        <f t="shared" si="28"/>
        <v>1121.2349572228359</v>
      </c>
      <c r="AG70" s="16">
        <f t="shared" si="28"/>
        <v>1129.7914422876931</v>
      </c>
      <c r="AH70" s="16">
        <f t="shared" si="28"/>
        <v>1136.619048814528</v>
      </c>
      <c r="AI70" s="16">
        <f t="shared" si="28"/>
        <v>1140.2982843495179</v>
      </c>
      <c r="AJ70" s="16"/>
    </row>
    <row r="71" spans="1:36">
      <c r="A71" s="6" t="s">
        <v>60</v>
      </c>
      <c r="B71" s="119">
        <f t="shared" si="26"/>
        <v>0</v>
      </c>
      <c r="C71" s="16">
        <f t="shared" ref="C71:AI71" si="29">B71+C44</f>
        <v>0</v>
      </c>
      <c r="D71" s="16">
        <f t="shared" si="29"/>
        <v>0</v>
      </c>
      <c r="E71" s="16">
        <f t="shared" si="29"/>
        <v>0</v>
      </c>
      <c r="F71" s="16">
        <f t="shared" si="29"/>
        <v>0</v>
      </c>
      <c r="G71" s="16">
        <f t="shared" si="29"/>
        <v>0</v>
      </c>
      <c r="H71" s="16">
        <f t="shared" si="29"/>
        <v>0</v>
      </c>
      <c r="I71" s="16">
        <f t="shared" si="29"/>
        <v>6.8065319934405428</v>
      </c>
      <c r="J71" s="16">
        <f t="shared" si="29"/>
        <v>17.496589284217208</v>
      </c>
      <c r="K71" s="16">
        <f t="shared" si="29"/>
        <v>33.354245238022855</v>
      </c>
      <c r="L71" s="16">
        <f t="shared" si="29"/>
        <v>51.83563166996877</v>
      </c>
      <c r="M71" s="16">
        <f t="shared" si="29"/>
        <v>74.184144798863812</v>
      </c>
      <c r="N71" s="16">
        <f t="shared" si="29"/>
        <v>98.179006175412297</v>
      </c>
      <c r="O71" s="16">
        <f t="shared" si="29"/>
        <v>125.00835889212736</v>
      </c>
      <c r="P71" s="16">
        <f t="shared" si="29"/>
        <v>213.96341500951218</v>
      </c>
      <c r="Q71" s="16">
        <f t="shared" si="29"/>
        <v>439.06126274825607</v>
      </c>
      <c r="R71" s="16">
        <f t="shared" si="29"/>
        <v>649.20298665622863</v>
      </c>
      <c r="S71" s="16">
        <f t="shared" si="29"/>
        <v>844.00128719875784</v>
      </c>
      <c r="T71" s="16">
        <f t="shared" si="29"/>
        <v>1030.3375284103211</v>
      </c>
      <c r="U71" s="16">
        <f t="shared" si="29"/>
        <v>1205.9117239141751</v>
      </c>
      <c r="V71" s="16">
        <f t="shared" si="29"/>
        <v>1369.7568817194326</v>
      </c>
      <c r="W71" s="16">
        <f t="shared" si="29"/>
        <v>1521.5107515521011</v>
      </c>
      <c r="X71" s="16">
        <f t="shared" si="29"/>
        <v>1689.8103435063385</v>
      </c>
      <c r="Y71" s="16">
        <f t="shared" si="29"/>
        <v>1930.5701842287338</v>
      </c>
      <c r="Z71" s="16">
        <f t="shared" si="29"/>
        <v>2156.2660249118057</v>
      </c>
      <c r="AA71" s="16">
        <f t="shared" si="29"/>
        <v>2369.0152703361864</v>
      </c>
      <c r="AB71" s="16">
        <f t="shared" si="29"/>
        <v>2567.4611713913405</v>
      </c>
      <c r="AC71" s="119">
        <f t="shared" si="29"/>
        <v>2749.7681436141274</v>
      </c>
      <c r="AD71" s="211">
        <f t="shared" si="29"/>
        <v>2915.3732503254155</v>
      </c>
      <c r="AE71" s="16">
        <f t="shared" si="29"/>
        <v>3065.7347351541471</v>
      </c>
      <c r="AF71" s="16">
        <f t="shared" si="29"/>
        <v>3202.1895714050534</v>
      </c>
      <c r="AG71" s="16">
        <f t="shared" si="29"/>
        <v>3325.9305316038672</v>
      </c>
      <c r="AH71" s="16">
        <f t="shared" si="29"/>
        <v>3438.0360740230349</v>
      </c>
      <c r="AI71" s="16">
        <f t="shared" si="29"/>
        <v>3539.5016082156417</v>
      </c>
      <c r="AJ71" s="16"/>
    </row>
    <row r="72" spans="1:36">
      <c r="A72" s="6" t="s">
        <v>68</v>
      </c>
      <c r="B72" s="119">
        <f t="shared" si="26"/>
        <v>445.38108</v>
      </c>
      <c r="C72" s="16">
        <f t="shared" ref="C72:AI72" si="30">B72+C45</f>
        <v>851.33956172446119</v>
      </c>
      <c r="D72" s="16">
        <f t="shared" si="30"/>
        <v>1234.3846767848615</v>
      </c>
      <c r="E72" s="16">
        <f t="shared" si="30"/>
        <v>1609.8140830391994</v>
      </c>
      <c r="F72" s="16">
        <f t="shared" si="30"/>
        <v>1841.6073557044078</v>
      </c>
      <c r="G72" s="16">
        <f t="shared" si="30"/>
        <v>1948.5149827850059</v>
      </c>
      <c r="H72" s="16">
        <f t="shared" si="30"/>
        <v>1987.5993937851374</v>
      </c>
      <c r="I72" s="16">
        <f t="shared" si="30"/>
        <v>2008.2714294317668</v>
      </c>
      <c r="J72" s="16">
        <f t="shared" si="30"/>
        <v>2020.7899924519022</v>
      </c>
      <c r="K72" s="16">
        <f t="shared" si="30"/>
        <v>2032.8357806093682</v>
      </c>
      <c r="L72" s="16">
        <f t="shared" si="30"/>
        <v>2044.3940414916899</v>
      </c>
      <c r="M72" s="16">
        <f t="shared" si="30"/>
        <v>2055.542479402754</v>
      </c>
      <c r="N72" s="16">
        <f t="shared" si="30"/>
        <v>2066.2488453223386</v>
      </c>
      <c r="O72" s="16">
        <f t="shared" si="30"/>
        <v>2076.5622768960829</v>
      </c>
      <c r="P72" s="16">
        <f t="shared" si="30"/>
        <v>2088.8585983976136</v>
      </c>
      <c r="Q72" s="16">
        <f t="shared" si="30"/>
        <v>2102.257640163577</v>
      </c>
      <c r="R72" s="16">
        <f t="shared" si="30"/>
        <v>2115.2589098709695</v>
      </c>
      <c r="S72" s="16">
        <f t="shared" si="30"/>
        <v>2127.8361838234</v>
      </c>
      <c r="T72" s="16">
        <f t="shared" si="30"/>
        <v>2140.2919605391558</v>
      </c>
      <c r="U72" s="16">
        <f t="shared" si="30"/>
        <v>2152.5006290985689</v>
      </c>
      <c r="V72" s="16">
        <f t="shared" si="30"/>
        <v>2164.3884572148409</v>
      </c>
      <c r="W72" s="16">
        <f t="shared" si="30"/>
        <v>2175.8834596855172</v>
      </c>
      <c r="X72" s="16">
        <f t="shared" si="30"/>
        <v>2188.2271348376808</v>
      </c>
      <c r="Y72" s="16">
        <f t="shared" si="30"/>
        <v>2200.9739055740197</v>
      </c>
      <c r="Z72" s="16">
        <f t="shared" si="30"/>
        <v>2213.5287922277644</v>
      </c>
      <c r="AA72" s="16">
        <f t="shared" si="30"/>
        <v>2225.8664906713416</v>
      </c>
      <c r="AB72" s="16">
        <f t="shared" si="30"/>
        <v>2237.8016250700894</v>
      </c>
      <c r="AC72" s="119">
        <f t="shared" si="30"/>
        <v>2249.3366308828627</v>
      </c>
      <c r="AD72" s="211">
        <f t="shared" si="30"/>
        <v>2260.3869889026955</v>
      </c>
      <c r="AE72" s="16">
        <f t="shared" si="30"/>
        <v>2270.5927499132326</v>
      </c>
      <c r="AF72" s="16">
        <f t="shared" si="30"/>
        <v>2279.5653276300259</v>
      </c>
      <c r="AG72" s="16">
        <f t="shared" si="30"/>
        <v>2287.4636514593508</v>
      </c>
      <c r="AH72" s="16">
        <f t="shared" si="30"/>
        <v>2294.5870999196495</v>
      </c>
      <c r="AI72" s="16">
        <f t="shared" si="30"/>
        <v>2301.4030372706197</v>
      </c>
      <c r="AJ72" s="16"/>
    </row>
    <row r="73" spans="1:36">
      <c r="A73" s="6" t="s">
        <v>67</v>
      </c>
      <c r="B73" s="119">
        <f t="shared" si="26"/>
        <v>390.67815999999999</v>
      </c>
      <c r="C73" s="16">
        <f t="shared" ref="C73:AI73" si="31">B73+C46</f>
        <v>751.38318343017806</v>
      </c>
      <c r="D73" s="16">
        <f t="shared" si="31"/>
        <v>1086.742172405917</v>
      </c>
      <c r="E73" s="16">
        <f t="shared" si="31"/>
        <v>1401.0430055603115</v>
      </c>
      <c r="F73" s="16">
        <f t="shared" si="31"/>
        <v>1696.3781385814136</v>
      </c>
      <c r="G73" s="16">
        <f t="shared" si="31"/>
        <v>1972.4465282824722</v>
      </c>
      <c r="H73" s="16">
        <f t="shared" si="31"/>
        <v>2231.1797962597147</v>
      </c>
      <c r="I73" s="16">
        <f t="shared" si="31"/>
        <v>2473.6664515555135</v>
      </c>
      <c r="J73" s="16">
        <f t="shared" si="31"/>
        <v>2701.5208601951203</v>
      </c>
      <c r="K73" s="16">
        <f t="shared" si="31"/>
        <v>2914.5107631690626</v>
      </c>
      <c r="L73" s="16">
        <f t="shared" si="31"/>
        <v>3114.1264173152126</v>
      </c>
      <c r="M73" s="16">
        <f t="shared" si="31"/>
        <v>3301.2076252982552</v>
      </c>
      <c r="N73" s="16">
        <f t="shared" si="31"/>
        <v>3476.9998888377081</v>
      </c>
      <c r="O73" s="16">
        <f t="shared" si="31"/>
        <v>3641.3240174704747</v>
      </c>
      <c r="P73" s="16">
        <f t="shared" si="31"/>
        <v>3827.7736806328917</v>
      </c>
      <c r="Q73" s="16">
        <f t="shared" si="31"/>
        <v>4024.9282174055056</v>
      </c>
      <c r="R73" s="16">
        <f t="shared" si="31"/>
        <v>4214.5047565168115</v>
      </c>
      <c r="S73" s="16">
        <f t="shared" si="31"/>
        <v>4395.3917957013064</v>
      </c>
      <c r="T73" s="16">
        <f t="shared" si="31"/>
        <v>4573.7830405061623</v>
      </c>
      <c r="U73" s="16">
        <f t="shared" si="31"/>
        <v>4746.9055220153441</v>
      </c>
      <c r="V73" s="16">
        <f t="shared" si="31"/>
        <v>4913.2464642953255</v>
      </c>
      <c r="W73" s="16">
        <f t="shared" si="31"/>
        <v>5071.8799116172104</v>
      </c>
      <c r="X73" s="16">
        <f t="shared" si="31"/>
        <v>5239.1324438043885</v>
      </c>
      <c r="Y73" s="16">
        <f t="shared" si="31"/>
        <v>5408.3365453385968</v>
      </c>
      <c r="Z73" s="16">
        <f t="shared" si="31"/>
        <v>5573.8807981193149</v>
      </c>
      <c r="AA73" s="16">
        <f t="shared" si="31"/>
        <v>5737.0380301703844</v>
      </c>
      <c r="AB73" s="16">
        <f t="shared" si="31"/>
        <v>5895.403399792569</v>
      </c>
      <c r="AC73" s="119">
        <f t="shared" si="31"/>
        <v>6045.9759219009757</v>
      </c>
      <c r="AD73" s="211">
        <f t="shared" si="31"/>
        <v>6187.0935621150393</v>
      </c>
      <c r="AE73" s="16">
        <f t="shared" si="31"/>
        <v>6319.3500196727373</v>
      </c>
      <c r="AF73" s="16">
        <f t="shared" si="31"/>
        <v>6443.301713728687</v>
      </c>
      <c r="AG73" s="16">
        <f t="shared" si="31"/>
        <v>6559.4701242778428</v>
      </c>
      <c r="AH73" s="16">
        <f t="shared" si="31"/>
        <v>6668.3439860858616</v>
      </c>
      <c r="AI73" s="16">
        <f t="shared" si="31"/>
        <v>6770.3813448562632</v>
      </c>
      <c r="AJ73" s="16"/>
    </row>
    <row r="74" spans="1:36">
      <c r="A74" s="6" t="s">
        <v>383</v>
      </c>
      <c r="B74" s="119">
        <f t="shared" si="26"/>
        <v>0</v>
      </c>
      <c r="C74" s="16">
        <f t="shared" ref="C74:AI74" si="32">B74+C47</f>
        <v>0.95602539473914416</v>
      </c>
      <c r="D74" s="16">
        <f t="shared" si="32"/>
        <v>1.5072266250072159</v>
      </c>
      <c r="E74" s="16">
        <f t="shared" si="32"/>
        <v>2.0695367321701985</v>
      </c>
      <c r="F74" s="16">
        <f t="shared" si="32"/>
        <v>2.5900853804250303</v>
      </c>
      <c r="G74" s="16">
        <f t="shared" si="32"/>
        <v>3.0645593924772814</v>
      </c>
      <c r="H74" s="16">
        <f t="shared" si="32"/>
        <v>3.4105074444231458</v>
      </c>
      <c r="I74" s="16">
        <f t="shared" si="32"/>
        <v>3.7694032877547321</v>
      </c>
      <c r="J74" s="16">
        <f t="shared" si="32"/>
        <v>4.081384694912491</v>
      </c>
      <c r="K74" s="16">
        <f t="shared" si="32"/>
        <v>4.385661652913285</v>
      </c>
      <c r="L74" s="16">
        <f t="shared" si="32"/>
        <v>4.6936161007606358</v>
      </c>
      <c r="M74" s="16">
        <f t="shared" si="32"/>
        <v>4.876091196085361</v>
      </c>
      <c r="N74" s="16">
        <f t="shared" si="32"/>
        <v>5.0454798390598876</v>
      </c>
      <c r="O74" s="16">
        <f t="shared" si="32"/>
        <v>5.2294447586090405</v>
      </c>
      <c r="P74" s="16">
        <f t="shared" si="32"/>
        <v>5.3836719529946686</v>
      </c>
      <c r="Q74" s="16">
        <f t="shared" si="32"/>
        <v>5.5346613210514448</v>
      </c>
      <c r="R74" s="16">
        <f t="shared" si="32"/>
        <v>5.690057206126018</v>
      </c>
      <c r="S74" s="16">
        <f t="shared" si="32"/>
        <v>5.8275763916379768</v>
      </c>
      <c r="T74" s="16">
        <f t="shared" si="32"/>
        <v>5.9557466681538642</v>
      </c>
      <c r="U74" s="16">
        <f t="shared" si="32"/>
        <v>6.0933307004328334</v>
      </c>
      <c r="V74" s="16">
        <f t="shared" si="32"/>
        <v>6.2103146406013154</v>
      </c>
      <c r="W74" s="16">
        <f t="shared" si="32"/>
        <v>6.3246720109823338</v>
      </c>
      <c r="X74" s="16">
        <f t="shared" si="32"/>
        <v>6.4415980915041979</v>
      </c>
      <c r="Y74" s="16">
        <f t="shared" si="32"/>
        <v>6.5460068556555422</v>
      </c>
      <c r="Z74" s="16">
        <f t="shared" si="32"/>
        <v>6.6436912405524309</v>
      </c>
      <c r="AA74" s="16">
        <f t="shared" si="32"/>
        <v>6.7473794896881474</v>
      </c>
      <c r="AB74" s="16">
        <f t="shared" si="32"/>
        <v>6.8299441406162629</v>
      </c>
      <c r="AC74" s="119">
        <f t="shared" si="32"/>
        <v>6.9134101017759475</v>
      </c>
      <c r="AD74" s="211">
        <f t="shared" si="32"/>
        <v>6.9892525522111812</v>
      </c>
      <c r="AE74" s="16">
        <f t="shared" si="32"/>
        <v>7.065161560369619</v>
      </c>
      <c r="AF74" s="16">
        <f t="shared" si="32"/>
        <v>7.1348731753412622</v>
      </c>
      <c r="AG74" s="16">
        <f t="shared" si="32"/>
        <v>7.2050716835813713</v>
      </c>
      <c r="AH74" s="16">
        <f t="shared" si="32"/>
        <v>7.266976907278667</v>
      </c>
      <c r="AI74" s="16">
        <f t="shared" si="32"/>
        <v>7.325205364161631</v>
      </c>
      <c r="AJ74" s="16"/>
    </row>
    <row r="75" spans="1:36">
      <c r="A75" s="6" t="s">
        <v>65</v>
      </c>
      <c r="B75" s="119">
        <f t="shared" si="26"/>
        <v>849.84470000000033</v>
      </c>
      <c r="C75" s="16">
        <f t="shared" ref="C75:AI75" si="33">B75+C48</f>
        <v>1654.8567805998127</v>
      </c>
      <c r="D75" s="16">
        <f t="shared" si="33"/>
        <v>2423.7584037160659</v>
      </c>
      <c r="E75" s="16">
        <f t="shared" si="33"/>
        <v>3146.1251199951512</v>
      </c>
      <c r="F75" s="16">
        <f t="shared" si="33"/>
        <v>3813.1310494597828</v>
      </c>
      <c r="G75" s="16">
        <f t="shared" si="33"/>
        <v>4477.8410752463687</v>
      </c>
      <c r="H75" s="16">
        <f t="shared" si="33"/>
        <v>5154.6754436080946</v>
      </c>
      <c r="I75" s="16">
        <f t="shared" si="33"/>
        <v>5866.5384058078471</v>
      </c>
      <c r="J75" s="16">
        <f t="shared" si="33"/>
        <v>6634.1724143099664</v>
      </c>
      <c r="K75" s="16">
        <f t="shared" si="33"/>
        <v>7410.8745043707549</v>
      </c>
      <c r="L75" s="16">
        <f t="shared" si="33"/>
        <v>8186.310378588003</v>
      </c>
      <c r="M75" s="16">
        <f t="shared" si="33"/>
        <v>8944.8867572245654</v>
      </c>
      <c r="N75" s="16">
        <f t="shared" si="33"/>
        <v>9701.9943411771219</v>
      </c>
      <c r="O75" s="16">
        <f t="shared" si="33"/>
        <v>10416.83821032629</v>
      </c>
      <c r="P75" s="16">
        <f t="shared" si="33"/>
        <v>11113.028612546004</v>
      </c>
      <c r="Q75" s="16">
        <f t="shared" si="33"/>
        <v>11790.22559983282</v>
      </c>
      <c r="R75" s="16">
        <f t="shared" si="33"/>
        <v>12444.105393565429</v>
      </c>
      <c r="S75" s="16">
        <f t="shared" si="33"/>
        <v>13107.527477828884</v>
      </c>
      <c r="T75" s="16">
        <f t="shared" si="33"/>
        <v>13764.926051522327</v>
      </c>
      <c r="U75" s="16">
        <f t="shared" si="33"/>
        <v>14403.289002867203</v>
      </c>
      <c r="V75" s="16">
        <f t="shared" si="33"/>
        <v>15033.254875399089</v>
      </c>
      <c r="W75" s="16">
        <f t="shared" si="33"/>
        <v>15652.977909429541</v>
      </c>
      <c r="X75" s="16">
        <f t="shared" si="33"/>
        <v>16245.111631914</v>
      </c>
      <c r="Y75" s="16">
        <f t="shared" si="33"/>
        <v>16811.84405676907</v>
      </c>
      <c r="Z75" s="16">
        <f t="shared" si="33"/>
        <v>17372.618289946837</v>
      </c>
      <c r="AA75" s="16">
        <f t="shared" si="33"/>
        <v>17931.13567224858</v>
      </c>
      <c r="AB75" s="16">
        <f t="shared" si="33"/>
        <v>18481.933597695272</v>
      </c>
      <c r="AC75" s="119">
        <f t="shared" si="33"/>
        <v>19005.486008568827</v>
      </c>
      <c r="AD75" s="211">
        <f t="shared" si="33"/>
        <v>19515.766632869047</v>
      </c>
      <c r="AE75" s="16">
        <f t="shared" si="33"/>
        <v>20001.42987581385</v>
      </c>
      <c r="AF75" s="16">
        <f t="shared" si="33"/>
        <v>20467.386537637292</v>
      </c>
      <c r="AG75" s="16">
        <f t="shared" si="33"/>
        <v>20918.435226974831</v>
      </c>
      <c r="AH75" s="16">
        <f t="shared" si="33"/>
        <v>21358.482225395277</v>
      </c>
      <c r="AI75" s="16">
        <f t="shared" si="33"/>
        <v>21785.143521003356</v>
      </c>
      <c r="AJ75" s="16"/>
    </row>
    <row r="76" spans="1:36">
      <c r="A76" s="6" t="s">
        <v>52</v>
      </c>
      <c r="B76" s="119">
        <f t="shared" si="26"/>
        <v>86.065810000000013</v>
      </c>
      <c r="C76" s="16">
        <f t="shared" ref="C76:AI76" si="34">B76+C49</f>
        <v>171.47644730084352</v>
      </c>
      <c r="D76" s="16">
        <f t="shared" si="34"/>
        <v>257.22626130870833</v>
      </c>
      <c r="E76" s="16">
        <f t="shared" si="34"/>
        <v>341.78020909074212</v>
      </c>
      <c r="F76" s="16">
        <f t="shared" si="34"/>
        <v>427.80665691012041</v>
      </c>
      <c r="G76" s="16">
        <f t="shared" si="34"/>
        <v>518.51848913890296</v>
      </c>
      <c r="H76" s="16">
        <f t="shared" si="34"/>
        <v>616.84236415150451</v>
      </c>
      <c r="I76" s="16">
        <f t="shared" si="34"/>
        <v>720.99622685621262</v>
      </c>
      <c r="J76" s="16">
        <f t="shared" si="34"/>
        <v>831.62170354194416</v>
      </c>
      <c r="K76" s="16">
        <f t="shared" si="34"/>
        <v>941.9472849484041</v>
      </c>
      <c r="L76" s="16">
        <f t="shared" si="34"/>
        <v>1056.8015680833453</v>
      </c>
      <c r="M76" s="16">
        <f t="shared" si="34"/>
        <v>1174.9534766333511</v>
      </c>
      <c r="N76" s="16">
        <f t="shared" si="34"/>
        <v>1291.0918469371015</v>
      </c>
      <c r="O76" s="16">
        <f t="shared" si="34"/>
        <v>1407.7061741950381</v>
      </c>
      <c r="P76" s="16">
        <f t="shared" si="34"/>
        <v>1519.2166812418245</v>
      </c>
      <c r="Q76" s="16">
        <f t="shared" si="34"/>
        <v>1630.5350831699564</v>
      </c>
      <c r="R76" s="16">
        <f t="shared" si="34"/>
        <v>1741.8647002145242</v>
      </c>
      <c r="S76" s="16">
        <f t="shared" si="34"/>
        <v>1859.1647319406441</v>
      </c>
      <c r="T76" s="16">
        <f t="shared" si="34"/>
        <v>1974.6729874156183</v>
      </c>
      <c r="U76" s="16">
        <f t="shared" si="34"/>
        <v>2094.3043409683451</v>
      </c>
      <c r="V76" s="16">
        <f t="shared" si="34"/>
        <v>2208.5869359317335</v>
      </c>
      <c r="W76" s="16">
        <f t="shared" si="34"/>
        <v>2322.2323606302093</v>
      </c>
      <c r="X76" s="16">
        <f t="shared" si="34"/>
        <v>2431.1697193356167</v>
      </c>
      <c r="Y76" s="16">
        <f t="shared" si="34"/>
        <v>2538.044760347645</v>
      </c>
      <c r="Z76" s="16">
        <f t="shared" si="34"/>
        <v>2641.4042803433931</v>
      </c>
      <c r="AA76" s="16">
        <f t="shared" si="34"/>
        <v>2744.0037449500378</v>
      </c>
      <c r="AB76" s="16">
        <f t="shared" si="34"/>
        <v>2843.4245815331751</v>
      </c>
      <c r="AC76" s="119">
        <f t="shared" si="34"/>
        <v>2941.505170459131</v>
      </c>
      <c r="AD76" s="211">
        <f t="shared" si="34"/>
        <v>3036.2013755828752</v>
      </c>
      <c r="AE76" s="16">
        <f t="shared" si="34"/>
        <v>3128.4578678390844</v>
      </c>
      <c r="AF76" s="16">
        <f t="shared" si="34"/>
        <v>3217.6322635534439</v>
      </c>
      <c r="AG76" s="16">
        <f t="shared" si="34"/>
        <v>3307.2165715985011</v>
      </c>
      <c r="AH76" s="16">
        <f t="shared" si="34"/>
        <v>3391.3465977999558</v>
      </c>
      <c r="AI76" s="16">
        <f t="shared" si="34"/>
        <v>3473.8736084135717</v>
      </c>
      <c r="AJ76" s="16"/>
    </row>
    <row r="77" spans="1:36">
      <c r="A77" s="36" t="s">
        <v>66</v>
      </c>
      <c r="B77" s="119">
        <f t="shared" si="26"/>
        <v>6.2319722000000004</v>
      </c>
      <c r="C77" s="16">
        <f t="shared" ref="C77:AI77" si="35">B77+C50</f>
        <v>12.297076417432052</v>
      </c>
      <c r="D77" s="16">
        <f t="shared" si="35"/>
        <v>17.833946602387726</v>
      </c>
      <c r="E77" s="16">
        <f t="shared" si="35"/>
        <v>22.496262456088893</v>
      </c>
      <c r="F77" s="16">
        <f t="shared" si="35"/>
        <v>26.737524076795875</v>
      </c>
      <c r="G77" s="16">
        <f t="shared" si="35"/>
        <v>31.354047301675195</v>
      </c>
      <c r="H77" s="16">
        <f t="shared" si="35"/>
        <v>36.029989485214209</v>
      </c>
      <c r="I77" s="16">
        <f t="shared" si="35"/>
        <v>40.849785593794358</v>
      </c>
      <c r="J77" s="16">
        <f t="shared" si="35"/>
        <v>46.378789400304008</v>
      </c>
      <c r="K77" s="16">
        <f t="shared" si="35"/>
        <v>52.894766688920654</v>
      </c>
      <c r="L77" s="16">
        <f t="shared" si="35"/>
        <v>59.412169081065223</v>
      </c>
      <c r="M77" s="16">
        <f t="shared" si="35"/>
        <v>64.993360220244071</v>
      </c>
      <c r="N77" s="16">
        <f t="shared" si="35"/>
        <v>70.352228450363015</v>
      </c>
      <c r="O77" s="16">
        <f t="shared" si="35"/>
        <v>74.916540468027804</v>
      </c>
      <c r="P77" s="16">
        <f t="shared" si="35"/>
        <v>76.800190479620539</v>
      </c>
      <c r="Q77" s="16">
        <f t="shared" si="35"/>
        <v>77.43598735014811</v>
      </c>
      <c r="R77" s="16">
        <f t="shared" si="35"/>
        <v>78.035747360170262</v>
      </c>
      <c r="S77" s="16">
        <f t="shared" si="35"/>
        <v>78.604799862695572</v>
      </c>
      <c r="T77" s="16">
        <f t="shared" si="35"/>
        <v>79.144773390501356</v>
      </c>
      <c r="U77" s="16">
        <f t="shared" si="35"/>
        <v>79.655390314064661</v>
      </c>
      <c r="V77" s="16">
        <f t="shared" si="35"/>
        <v>80.143694358702547</v>
      </c>
      <c r="W77" s="16">
        <f t="shared" si="35"/>
        <v>80.604282470785492</v>
      </c>
      <c r="X77" s="16">
        <f t="shared" si="35"/>
        <v>81.036006552849173</v>
      </c>
      <c r="Y77" s="16">
        <f t="shared" si="35"/>
        <v>81.446901705817453</v>
      </c>
      <c r="Z77" s="16">
        <f t="shared" si="35"/>
        <v>81.836282943325315</v>
      </c>
      <c r="AA77" s="16">
        <f t="shared" si="35"/>
        <v>82.20309738541269</v>
      </c>
      <c r="AB77" s="16">
        <f t="shared" si="35"/>
        <v>82.553745187061551</v>
      </c>
      <c r="AC77" s="119">
        <f t="shared" si="35"/>
        <v>82.882300154469007</v>
      </c>
      <c r="AD77" s="211">
        <f t="shared" si="35"/>
        <v>83.192376774282636</v>
      </c>
      <c r="AE77" s="16">
        <f t="shared" si="35"/>
        <v>83.483181023628745</v>
      </c>
      <c r="AF77" s="16">
        <f t="shared" si="35"/>
        <v>83.760542386772414</v>
      </c>
      <c r="AG77" s="16">
        <f t="shared" si="35"/>
        <v>84.022600969582285</v>
      </c>
      <c r="AH77" s="16">
        <f t="shared" si="35"/>
        <v>84.274252050732656</v>
      </c>
      <c r="AI77" s="16">
        <f t="shared" si="35"/>
        <v>84.513397654539389</v>
      </c>
      <c r="AJ77" s="16"/>
    </row>
    <row r="78" spans="1:36">
      <c r="A78" s="12" t="s">
        <v>69</v>
      </c>
      <c r="B78" s="212">
        <f t="shared" si="26"/>
        <v>0</v>
      </c>
      <c r="C78" s="212">
        <f t="shared" ref="C78:AH78" si="36">B78+C51</f>
        <v>0</v>
      </c>
      <c r="D78" s="212">
        <f t="shared" si="36"/>
        <v>0</v>
      </c>
      <c r="E78" s="212">
        <f t="shared" si="36"/>
        <v>0</v>
      </c>
      <c r="F78" s="212">
        <f t="shared" si="36"/>
        <v>0</v>
      </c>
      <c r="G78" s="212">
        <f t="shared" si="36"/>
        <v>0</v>
      </c>
      <c r="H78" s="212">
        <f t="shared" si="36"/>
        <v>0</v>
      </c>
      <c r="I78" s="212">
        <f t="shared" si="36"/>
        <v>0</v>
      </c>
      <c r="J78" s="212">
        <f t="shared" si="36"/>
        <v>0</v>
      </c>
      <c r="K78" s="212">
        <f t="shared" si="36"/>
        <v>0</v>
      </c>
      <c r="L78" s="212">
        <f t="shared" si="36"/>
        <v>0</v>
      </c>
      <c r="M78" s="212">
        <f t="shared" si="36"/>
        <v>0</v>
      </c>
      <c r="N78" s="212">
        <f t="shared" si="36"/>
        <v>0</v>
      </c>
      <c r="O78" s="212">
        <f t="shared" si="36"/>
        <v>0</v>
      </c>
      <c r="P78" s="212">
        <f t="shared" si="36"/>
        <v>0</v>
      </c>
      <c r="Q78" s="212">
        <f t="shared" si="36"/>
        <v>0</v>
      </c>
      <c r="R78" s="212">
        <f t="shared" si="36"/>
        <v>0</v>
      </c>
      <c r="S78" s="212">
        <f t="shared" si="36"/>
        <v>0</v>
      </c>
      <c r="T78" s="212">
        <f t="shared" si="36"/>
        <v>0</v>
      </c>
      <c r="U78" s="212">
        <f t="shared" si="36"/>
        <v>0</v>
      </c>
      <c r="V78" s="212">
        <f t="shared" si="36"/>
        <v>0</v>
      </c>
      <c r="W78" s="212">
        <f t="shared" si="36"/>
        <v>0</v>
      </c>
      <c r="X78" s="212">
        <f t="shared" si="36"/>
        <v>0</v>
      </c>
      <c r="Y78" s="212">
        <f t="shared" si="36"/>
        <v>0</v>
      </c>
      <c r="Z78" s="212">
        <f t="shared" si="36"/>
        <v>0</v>
      </c>
      <c r="AA78" s="212">
        <f t="shared" si="36"/>
        <v>0</v>
      </c>
      <c r="AB78" s="212">
        <f t="shared" si="36"/>
        <v>0</v>
      </c>
      <c r="AC78" s="212">
        <f t="shared" si="36"/>
        <v>0</v>
      </c>
      <c r="AD78" s="213">
        <f t="shared" si="36"/>
        <v>0</v>
      </c>
      <c r="AE78" s="212">
        <f t="shared" si="36"/>
        <v>0</v>
      </c>
      <c r="AF78" s="212">
        <f t="shared" si="36"/>
        <v>0</v>
      </c>
      <c r="AG78" s="212">
        <f t="shared" si="36"/>
        <v>0</v>
      </c>
      <c r="AH78" s="212">
        <f t="shared" si="36"/>
        <v>0</v>
      </c>
      <c r="AI78" s="212">
        <f>AH78+AI51</f>
        <v>0</v>
      </c>
      <c r="AJ78" s="212"/>
    </row>
    <row r="79" spans="1:36">
      <c r="A79" s="6" t="s">
        <v>61</v>
      </c>
      <c r="B79" s="15">
        <f t="shared" ref="B79:AI79" si="37">SUM(B69:B78)</f>
        <v>1843.4621723822067</v>
      </c>
      <c r="C79" s="15">
        <f t="shared" si="37"/>
        <v>3603.2402098619145</v>
      </c>
      <c r="D79" s="15">
        <f t="shared" si="37"/>
        <v>5332.5808934720717</v>
      </c>
      <c r="E79" s="15">
        <f t="shared" si="37"/>
        <v>7016.4760224752754</v>
      </c>
      <c r="F79" s="15">
        <f t="shared" si="37"/>
        <v>8507.3672115138324</v>
      </c>
      <c r="G79" s="15">
        <f t="shared" si="37"/>
        <v>9833.0607700351502</v>
      </c>
      <c r="H79" s="15">
        <f t="shared" si="37"/>
        <v>11068.198751784912</v>
      </c>
      <c r="I79" s="15">
        <f t="shared" si="37"/>
        <v>12296.505008124195</v>
      </c>
      <c r="J79" s="15">
        <f t="shared" si="37"/>
        <v>13556.299732883854</v>
      </c>
      <c r="K79" s="15">
        <f t="shared" si="37"/>
        <v>14804.73136019485</v>
      </c>
      <c r="L79" s="15">
        <f t="shared" si="37"/>
        <v>16035.351613691149</v>
      </c>
      <c r="M79" s="15">
        <f t="shared" si="37"/>
        <v>17233.358259743909</v>
      </c>
      <c r="N79" s="15">
        <f t="shared" si="37"/>
        <v>18409.376347332091</v>
      </c>
      <c r="O79" s="15">
        <f t="shared" si="37"/>
        <v>19526.305924762248</v>
      </c>
      <c r="P79" s="15">
        <f t="shared" si="37"/>
        <v>20696.044195269667</v>
      </c>
      <c r="Q79" s="15">
        <f t="shared" si="37"/>
        <v>21986.936641697252</v>
      </c>
      <c r="R79" s="15">
        <f t="shared" si="37"/>
        <v>23225.687012600763</v>
      </c>
      <c r="S79" s="15">
        <f t="shared" si="37"/>
        <v>24450.073401488615</v>
      </c>
      <c r="T79" s="15">
        <f t="shared" si="37"/>
        <v>25653.320352479972</v>
      </c>
      <c r="U79" s="15">
        <f t="shared" si="37"/>
        <v>26820.939763040118</v>
      </c>
      <c r="V79" s="15">
        <f t="shared" si="37"/>
        <v>27951.412922465806</v>
      </c>
      <c r="W79" s="15">
        <f t="shared" si="37"/>
        <v>29046.658814127288</v>
      </c>
      <c r="X79" s="15">
        <f t="shared" si="37"/>
        <v>30131.92512909403</v>
      </c>
      <c r="Y79" s="15">
        <f t="shared" si="37"/>
        <v>31261.173329343517</v>
      </c>
      <c r="Z79" s="15">
        <f t="shared" si="37"/>
        <v>32359.014928408542</v>
      </c>
      <c r="AA79" s="15">
        <f t="shared" si="37"/>
        <v>33435.492104092395</v>
      </c>
      <c r="AB79" s="15">
        <f t="shared" si="37"/>
        <v>34479.058590192151</v>
      </c>
      <c r="AC79" s="52">
        <f t="shared" si="37"/>
        <v>35467.400424914413</v>
      </c>
      <c r="AD79" s="214">
        <f t="shared" si="37"/>
        <v>36410.717224678439</v>
      </c>
      <c r="AE79" s="15">
        <f t="shared" si="37"/>
        <v>37299.568035785975</v>
      </c>
      <c r="AF79" s="15">
        <f t="shared" si="37"/>
        <v>38138.613519084734</v>
      </c>
      <c r="AG79" s="15">
        <f t="shared" si="37"/>
        <v>38938.83901362474</v>
      </c>
      <c r="AH79" s="15">
        <f t="shared" si="37"/>
        <v>39698.675714431374</v>
      </c>
      <c r="AI79" s="15">
        <f t="shared" si="37"/>
        <v>40422.53436365963</v>
      </c>
      <c r="AJ79" s="15"/>
    </row>
    <row r="80" spans="1:36"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52"/>
      <c r="AD80" s="214"/>
      <c r="AE80" s="15"/>
      <c r="AF80" s="15"/>
      <c r="AG80" s="15"/>
      <c r="AH80" s="15"/>
      <c r="AI80" s="15"/>
      <c r="AJ80" s="15"/>
    </row>
    <row r="81" spans="1:36">
      <c r="A81" s="6" t="s">
        <v>70</v>
      </c>
      <c r="AC81" s="36"/>
      <c r="AD81" s="215"/>
    </row>
    <row r="82" spans="1:36">
      <c r="A82" s="152" t="str">
        <f>$A$68&amp;"-"&amp;$A$55</f>
        <v>Clean Energy Connection-SoBra 700MWs</v>
      </c>
      <c r="B82" s="152">
        <f>$B$1</f>
        <v>2020</v>
      </c>
      <c r="C82" s="152">
        <f t="shared" ref="C82:AI82" si="38">B82+1</f>
        <v>2021</v>
      </c>
      <c r="D82" s="152">
        <f t="shared" si="38"/>
        <v>2022</v>
      </c>
      <c r="E82" s="152">
        <f t="shared" si="38"/>
        <v>2023</v>
      </c>
      <c r="F82" s="152">
        <f t="shared" si="38"/>
        <v>2024</v>
      </c>
      <c r="G82" s="152">
        <f t="shared" si="38"/>
        <v>2025</v>
      </c>
      <c r="H82" s="152">
        <f t="shared" si="38"/>
        <v>2026</v>
      </c>
      <c r="I82" s="152">
        <f t="shared" si="38"/>
        <v>2027</v>
      </c>
      <c r="J82" s="152">
        <f t="shared" si="38"/>
        <v>2028</v>
      </c>
      <c r="K82" s="152">
        <f t="shared" si="38"/>
        <v>2029</v>
      </c>
      <c r="L82" s="152">
        <f t="shared" si="38"/>
        <v>2030</v>
      </c>
      <c r="M82" s="152">
        <f t="shared" si="38"/>
        <v>2031</v>
      </c>
      <c r="N82" s="152">
        <f t="shared" si="38"/>
        <v>2032</v>
      </c>
      <c r="O82" s="152">
        <f t="shared" si="38"/>
        <v>2033</v>
      </c>
      <c r="P82" s="152">
        <f t="shared" si="38"/>
        <v>2034</v>
      </c>
      <c r="Q82" s="152">
        <f t="shared" si="38"/>
        <v>2035</v>
      </c>
      <c r="R82" s="152">
        <f t="shared" si="38"/>
        <v>2036</v>
      </c>
      <c r="S82" s="152">
        <f t="shared" si="38"/>
        <v>2037</v>
      </c>
      <c r="T82" s="152">
        <f t="shared" si="38"/>
        <v>2038</v>
      </c>
      <c r="U82" s="152">
        <f t="shared" si="38"/>
        <v>2039</v>
      </c>
      <c r="V82" s="152">
        <f t="shared" si="38"/>
        <v>2040</v>
      </c>
      <c r="W82" s="152">
        <f t="shared" si="38"/>
        <v>2041</v>
      </c>
      <c r="X82" s="152">
        <f t="shared" si="38"/>
        <v>2042</v>
      </c>
      <c r="Y82" s="152">
        <f t="shared" si="38"/>
        <v>2043</v>
      </c>
      <c r="Z82" s="152">
        <f t="shared" si="38"/>
        <v>2044</v>
      </c>
      <c r="AA82" s="152">
        <f t="shared" si="38"/>
        <v>2045</v>
      </c>
      <c r="AB82" s="152">
        <f t="shared" si="38"/>
        <v>2046</v>
      </c>
      <c r="AC82" s="209">
        <f t="shared" si="38"/>
        <v>2047</v>
      </c>
      <c r="AD82" s="210">
        <f t="shared" si="38"/>
        <v>2048</v>
      </c>
      <c r="AE82" s="152">
        <f t="shared" si="38"/>
        <v>2049</v>
      </c>
      <c r="AF82" s="152">
        <f t="shared" si="38"/>
        <v>2050</v>
      </c>
      <c r="AG82" s="152">
        <f t="shared" si="38"/>
        <v>2051</v>
      </c>
      <c r="AH82" s="152">
        <f t="shared" si="38"/>
        <v>2052</v>
      </c>
      <c r="AI82" s="152">
        <f t="shared" si="38"/>
        <v>2053</v>
      </c>
      <c r="AJ82" s="152"/>
    </row>
    <row r="83" spans="1:36">
      <c r="A83" s="6" t="s">
        <v>134</v>
      </c>
      <c r="B83" s="119">
        <f t="shared" ref="B83:AI83" si="39">B15-B2</f>
        <v>0</v>
      </c>
      <c r="C83" s="119">
        <f t="shared" si="39"/>
        <v>0</v>
      </c>
      <c r="D83" s="119">
        <f t="shared" si="39"/>
        <v>0</v>
      </c>
      <c r="E83" s="119">
        <f t="shared" si="39"/>
        <v>0</v>
      </c>
      <c r="F83" s="119">
        <f t="shared" si="39"/>
        <v>0</v>
      </c>
      <c r="G83" s="119">
        <f t="shared" si="39"/>
        <v>0</v>
      </c>
      <c r="H83" s="119">
        <f t="shared" si="39"/>
        <v>0</v>
      </c>
      <c r="I83" s="119">
        <f t="shared" si="39"/>
        <v>0</v>
      </c>
      <c r="J83" s="119">
        <f t="shared" si="39"/>
        <v>0</v>
      </c>
      <c r="K83" s="119">
        <f t="shared" si="39"/>
        <v>0</v>
      </c>
      <c r="L83" s="119">
        <f t="shared" si="39"/>
        <v>0</v>
      </c>
      <c r="M83" s="119">
        <f t="shared" si="39"/>
        <v>0</v>
      </c>
      <c r="N83" s="119">
        <f t="shared" si="39"/>
        <v>0</v>
      </c>
      <c r="O83" s="119">
        <f t="shared" si="39"/>
        <v>0</v>
      </c>
      <c r="P83" s="119">
        <f t="shared" si="39"/>
        <v>0</v>
      </c>
      <c r="Q83" s="119">
        <f t="shared" si="39"/>
        <v>0</v>
      </c>
      <c r="R83" s="119">
        <f t="shared" si="39"/>
        <v>0</v>
      </c>
      <c r="S83" s="119">
        <f t="shared" si="39"/>
        <v>0</v>
      </c>
      <c r="T83" s="119">
        <f t="shared" si="39"/>
        <v>0</v>
      </c>
      <c r="U83" s="119">
        <f t="shared" si="39"/>
        <v>0</v>
      </c>
      <c r="V83" s="119">
        <f t="shared" si="39"/>
        <v>0</v>
      </c>
      <c r="W83" s="119">
        <f t="shared" si="39"/>
        <v>0</v>
      </c>
      <c r="X83" s="119">
        <f t="shared" si="39"/>
        <v>0</v>
      </c>
      <c r="Y83" s="119">
        <f t="shared" si="39"/>
        <v>0</v>
      </c>
      <c r="Z83" s="119">
        <f t="shared" si="39"/>
        <v>0</v>
      </c>
      <c r="AA83" s="119">
        <f t="shared" si="39"/>
        <v>0</v>
      </c>
      <c r="AB83" s="119">
        <f t="shared" si="39"/>
        <v>0</v>
      </c>
      <c r="AC83" s="119">
        <f t="shared" si="39"/>
        <v>0</v>
      </c>
      <c r="AD83" s="211">
        <f t="shared" si="39"/>
        <v>0</v>
      </c>
      <c r="AE83" s="119">
        <f t="shared" si="39"/>
        <v>0</v>
      </c>
      <c r="AF83" s="119">
        <f t="shared" si="39"/>
        <v>0</v>
      </c>
      <c r="AG83" s="119">
        <f t="shared" si="39"/>
        <v>0</v>
      </c>
      <c r="AH83" s="119">
        <f t="shared" si="39"/>
        <v>0</v>
      </c>
      <c r="AI83" s="119">
        <f t="shared" si="39"/>
        <v>0</v>
      </c>
      <c r="AJ83" s="119"/>
    </row>
    <row r="84" spans="1:36">
      <c r="A84" s="6" t="s">
        <v>135</v>
      </c>
      <c r="B84" s="119">
        <f t="shared" ref="B84:AI84" si="40">B16-B3</f>
        <v>0</v>
      </c>
      <c r="C84" s="119">
        <f t="shared" si="40"/>
        <v>0</v>
      </c>
      <c r="D84" s="119">
        <f t="shared" si="40"/>
        <v>30.858064131033437</v>
      </c>
      <c r="E84" s="119">
        <f t="shared" si="40"/>
        <v>87.07123900568844</v>
      </c>
      <c r="F84" s="119">
        <f t="shared" si="40"/>
        <v>138.32148483336081</v>
      </c>
      <c r="G84" s="119">
        <f t="shared" si="40"/>
        <v>131.34102763355375</v>
      </c>
      <c r="H84" s="119">
        <f t="shared" si="40"/>
        <v>125.32829334309196</v>
      </c>
      <c r="I84" s="119">
        <f t="shared" si="40"/>
        <v>112.37313136938053</v>
      </c>
      <c r="J84" s="119">
        <f t="shared" si="40"/>
        <v>108.5565089486837</v>
      </c>
      <c r="K84" s="119">
        <f t="shared" si="40"/>
        <v>105.48973259473424</v>
      </c>
      <c r="L84" s="119">
        <f t="shared" si="40"/>
        <v>102.87656792502673</v>
      </c>
      <c r="M84" s="119">
        <f t="shared" si="40"/>
        <v>100.51289638557827</v>
      </c>
      <c r="N84" s="119">
        <f t="shared" si="40"/>
        <v>98.179378177042935</v>
      </c>
      <c r="O84" s="119">
        <f t="shared" si="40"/>
        <v>95.847943420614058</v>
      </c>
      <c r="P84" s="119">
        <f t="shared" si="40"/>
        <v>93.474328160646081</v>
      </c>
      <c r="Q84" s="119">
        <f t="shared" si="40"/>
        <v>91.186331074785173</v>
      </c>
      <c r="R84" s="119">
        <f t="shared" si="40"/>
        <v>88.936995255073953</v>
      </c>
      <c r="S84" s="119">
        <f t="shared" si="40"/>
        <v>86.647567246409736</v>
      </c>
      <c r="T84" s="119">
        <f t="shared" si="40"/>
        <v>90.572619755463975</v>
      </c>
      <c r="U84" s="119">
        <f t="shared" si="40"/>
        <v>87.77172842682694</v>
      </c>
      <c r="V84" s="119">
        <f t="shared" si="40"/>
        <v>84.961956356760751</v>
      </c>
      <c r="W84" s="119">
        <f t="shared" si="40"/>
        <v>82.175389106315691</v>
      </c>
      <c r="X84" s="119">
        <f t="shared" si="40"/>
        <v>79.628352339490078</v>
      </c>
      <c r="Y84" s="119">
        <f t="shared" si="40"/>
        <v>77.276014548631224</v>
      </c>
      <c r="Z84" s="119">
        <f t="shared" si="40"/>
        <v>75.020683560031301</v>
      </c>
      <c r="AA84" s="119">
        <f t="shared" si="40"/>
        <v>72.691083602545405</v>
      </c>
      <c r="AB84" s="119">
        <f t="shared" si="40"/>
        <v>70.559218554413519</v>
      </c>
      <c r="AC84" s="119">
        <f t="shared" si="40"/>
        <v>68.396619754674475</v>
      </c>
      <c r="AD84" s="211">
        <f t="shared" si="40"/>
        <v>66.331776922346066</v>
      </c>
      <c r="AE84" s="119">
        <f t="shared" si="40"/>
        <v>64.19727863392194</v>
      </c>
      <c r="AF84" s="119">
        <f t="shared" si="40"/>
        <v>62.201468047298263</v>
      </c>
      <c r="AG84" s="119">
        <f t="shared" si="40"/>
        <v>63.884043803646705</v>
      </c>
      <c r="AH84" s="119">
        <f t="shared" si="40"/>
        <v>54.391358551299618</v>
      </c>
      <c r="AI84" s="119">
        <f t="shared" si="40"/>
        <v>31.274000020948147</v>
      </c>
      <c r="AJ84" s="119"/>
    </row>
    <row r="85" spans="1:36">
      <c r="A85" s="6" t="s">
        <v>60</v>
      </c>
      <c r="B85" s="119">
        <f t="shared" ref="B85:AI85" si="41">B17-B4</f>
        <v>0</v>
      </c>
      <c r="C85" s="119">
        <f t="shared" si="41"/>
        <v>0</v>
      </c>
      <c r="D85" s="119">
        <f t="shared" si="41"/>
        <v>0</v>
      </c>
      <c r="E85" s="119">
        <f t="shared" si="41"/>
        <v>0</v>
      </c>
      <c r="F85" s="119">
        <f t="shared" si="41"/>
        <v>0</v>
      </c>
      <c r="G85" s="119">
        <f t="shared" si="41"/>
        <v>0</v>
      </c>
      <c r="H85" s="119">
        <f t="shared" si="41"/>
        <v>0</v>
      </c>
      <c r="I85" s="119">
        <f t="shared" si="41"/>
        <v>-10.717088725236454</v>
      </c>
      <c r="J85" s="119">
        <f t="shared" si="41"/>
        <v>-28.823728181555392</v>
      </c>
      <c r="K85" s="119">
        <f t="shared" si="41"/>
        <v>-24.60565620192726</v>
      </c>
      <c r="L85" s="119">
        <f t="shared" si="41"/>
        <v>-27.253637617802788</v>
      </c>
      <c r="M85" s="119">
        <f t="shared" si="41"/>
        <v>-23.02029881135261</v>
      </c>
      <c r="N85" s="119">
        <f t="shared" si="41"/>
        <v>-25.834048984290732</v>
      </c>
      <c r="O85" s="119">
        <f t="shared" si="41"/>
        <v>-21.564427185999726</v>
      </c>
      <c r="P85" s="119">
        <f t="shared" si="41"/>
        <v>-27.746619659121023</v>
      </c>
      <c r="Q85" s="119">
        <f t="shared" si="41"/>
        <v>-37.530712998664058</v>
      </c>
      <c r="R85" s="119">
        <f t="shared" si="41"/>
        <v>-22.605420669398427</v>
      </c>
      <c r="S85" s="119">
        <f t="shared" si="41"/>
        <v>-12.169469296423586</v>
      </c>
      <c r="T85" s="119">
        <f t="shared" si="41"/>
        <v>-25.925327840755131</v>
      </c>
      <c r="U85" s="119">
        <f t="shared" si="41"/>
        <v>-35.077248597824905</v>
      </c>
      <c r="V85" s="119">
        <f t="shared" si="41"/>
        <v>-33.925412611250977</v>
      </c>
      <c r="W85" s="119">
        <f t="shared" si="41"/>
        <v>-32.789417284612114</v>
      </c>
      <c r="X85" s="119">
        <f t="shared" si="41"/>
        <v>-31.706987896875262</v>
      </c>
      <c r="Y85" s="119">
        <f t="shared" si="41"/>
        <v>-30.766241063007101</v>
      </c>
      <c r="Z85" s="119">
        <f t="shared" si="41"/>
        <v>-29.925209224712944</v>
      </c>
      <c r="AA85" s="119">
        <f t="shared" si="41"/>
        <v>-29.092902326120793</v>
      </c>
      <c r="AB85" s="119">
        <f t="shared" si="41"/>
        <v>-12.473613581555583</v>
      </c>
      <c r="AC85" s="119">
        <f t="shared" si="41"/>
        <v>-0.97800683653440501</v>
      </c>
      <c r="AD85" s="211">
        <f t="shared" si="41"/>
        <v>-0.97311125762553274</v>
      </c>
      <c r="AE85" s="119">
        <f t="shared" si="41"/>
        <v>-0.94998982090919526</v>
      </c>
      <c r="AF85" s="119">
        <f t="shared" si="41"/>
        <v>-0.95731738372535347</v>
      </c>
      <c r="AG85" s="119">
        <f t="shared" si="41"/>
        <v>-0.93705537965865915</v>
      </c>
      <c r="AH85" s="119">
        <f t="shared" si="41"/>
        <v>-0.79330288214714528</v>
      </c>
      <c r="AI85" s="119">
        <f t="shared" si="41"/>
        <v>-0.64222026114771325</v>
      </c>
      <c r="AJ85" s="119"/>
    </row>
    <row r="86" spans="1:36">
      <c r="A86" s="6" t="s">
        <v>68</v>
      </c>
      <c r="B86" s="119">
        <f t="shared" ref="B86:AI86" si="42">B18-B5</f>
        <v>0</v>
      </c>
      <c r="C86" s="119">
        <f t="shared" si="42"/>
        <v>0</v>
      </c>
      <c r="D86" s="119">
        <f t="shared" si="42"/>
        <v>0</v>
      </c>
      <c r="E86" s="119">
        <f t="shared" si="42"/>
        <v>0</v>
      </c>
      <c r="F86" s="119">
        <f t="shared" si="42"/>
        <v>0</v>
      </c>
      <c r="G86" s="119">
        <f t="shared" si="42"/>
        <v>0</v>
      </c>
      <c r="H86" s="119">
        <f t="shared" si="42"/>
        <v>0</v>
      </c>
      <c r="I86" s="119">
        <f t="shared" si="42"/>
        <v>-0.25713000000000363</v>
      </c>
      <c r="J86" s="119">
        <f t="shared" si="42"/>
        <v>-0.71538000000000324</v>
      </c>
      <c r="K86" s="119">
        <f t="shared" si="42"/>
        <v>-0.6560900000000025</v>
      </c>
      <c r="L86" s="119">
        <f t="shared" si="42"/>
        <v>-0.75160999999999234</v>
      </c>
      <c r="M86" s="119">
        <f t="shared" si="42"/>
        <v>-0.68928999999999618</v>
      </c>
      <c r="N86" s="119">
        <f t="shared" si="42"/>
        <v>-0.78964999999999819</v>
      </c>
      <c r="O86" s="119">
        <f t="shared" si="42"/>
        <v>-0.72418000000000049</v>
      </c>
      <c r="P86" s="119">
        <f t="shared" si="42"/>
        <v>-1.5089199999999963</v>
      </c>
      <c r="Q86" s="119">
        <f t="shared" si="42"/>
        <v>-2.2677599999999956</v>
      </c>
      <c r="R86" s="119">
        <f t="shared" si="42"/>
        <v>-1.64649</v>
      </c>
      <c r="S86" s="119">
        <f t="shared" si="42"/>
        <v>-1.1912800000000061</v>
      </c>
      <c r="T86" s="119">
        <f t="shared" si="42"/>
        <v>-1.9333500000000043</v>
      </c>
      <c r="U86" s="119">
        <f t="shared" si="42"/>
        <v>-2.5031800000000075</v>
      </c>
      <c r="V86" s="119">
        <f t="shared" si="42"/>
        <v>-2.5657600000000045</v>
      </c>
      <c r="W86" s="119">
        <f t="shared" si="42"/>
        <v>-2.6298999999999992</v>
      </c>
      <c r="X86" s="119">
        <f t="shared" si="42"/>
        <v>-2.6956600000000108</v>
      </c>
      <c r="Y86" s="119">
        <f t="shared" si="42"/>
        <v>-2.7630400000000108</v>
      </c>
      <c r="Z86" s="119">
        <f t="shared" si="42"/>
        <v>-2.8321199999999962</v>
      </c>
      <c r="AA86" s="119">
        <f t="shared" si="42"/>
        <v>-2.9029200000000088</v>
      </c>
      <c r="AB86" s="119">
        <f t="shared" si="42"/>
        <v>-2.1076500000000067</v>
      </c>
      <c r="AC86" s="119">
        <f t="shared" si="42"/>
        <v>-1.5249399999999866</v>
      </c>
      <c r="AD86" s="211">
        <f t="shared" si="42"/>
        <v>-1.5630600000000072</v>
      </c>
      <c r="AE86" s="119">
        <f t="shared" si="42"/>
        <v>-1.6021400000000057</v>
      </c>
      <c r="AF86" s="119">
        <f t="shared" si="42"/>
        <v>-1.6422000000000168</v>
      </c>
      <c r="AG86" s="119">
        <f t="shared" si="42"/>
        <v>-1.683250000000001</v>
      </c>
      <c r="AH86" s="119">
        <f t="shared" si="42"/>
        <v>-1.7253299999999925</v>
      </c>
      <c r="AI86" s="119">
        <f t="shared" si="42"/>
        <v>-1.7684599999999975</v>
      </c>
      <c r="AJ86" s="119"/>
    </row>
    <row r="87" spans="1:36">
      <c r="A87" s="6" t="s">
        <v>67</v>
      </c>
      <c r="B87" s="119">
        <f t="shared" ref="B87:AI87" si="43">B19-B6</f>
        <v>0</v>
      </c>
      <c r="C87" s="119">
        <f t="shared" si="43"/>
        <v>0</v>
      </c>
      <c r="D87" s="119">
        <f t="shared" si="43"/>
        <v>0</v>
      </c>
      <c r="E87" s="119">
        <f t="shared" si="43"/>
        <v>0</v>
      </c>
      <c r="F87" s="119">
        <f t="shared" si="43"/>
        <v>0</v>
      </c>
      <c r="G87" s="119">
        <f t="shared" si="43"/>
        <v>0</v>
      </c>
      <c r="H87" s="119">
        <f t="shared" si="43"/>
        <v>0</v>
      </c>
      <c r="I87" s="119">
        <f t="shared" si="43"/>
        <v>0</v>
      </c>
      <c r="J87" s="119">
        <f t="shared" si="43"/>
        <v>0</v>
      </c>
      <c r="K87" s="119">
        <f t="shared" si="43"/>
        <v>0</v>
      </c>
      <c r="L87" s="119">
        <f t="shared" si="43"/>
        <v>0</v>
      </c>
      <c r="M87" s="119">
        <f t="shared" si="43"/>
        <v>0</v>
      </c>
      <c r="N87" s="119">
        <f t="shared" si="43"/>
        <v>0</v>
      </c>
      <c r="O87" s="119">
        <f t="shared" si="43"/>
        <v>0</v>
      </c>
      <c r="P87" s="119">
        <f t="shared" si="43"/>
        <v>-25.800389999999936</v>
      </c>
      <c r="Q87" s="119">
        <f t="shared" si="43"/>
        <v>-44.229260000000068</v>
      </c>
      <c r="R87" s="119">
        <f t="shared" si="43"/>
        <v>-30.67599000000007</v>
      </c>
      <c r="S87" s="119">
        <f t="shared" si="43"/>
        <v>-20.995080000000144</v>
      </c>
      <c r="T87" s="119">
        <f t="shared" si="43"/>
        <v>-35.234469999999988</v>
      </c>
      <c r="U87" s="119">
        <f t="shared" si="43"/>
        <v>-45.405480000000011</v>
      </c>
      <c r="V87" s="119">
        <f t="shared" si="43"/>
        <v>-45.405500000000075</v>
      </c>
      <c r="W87" s="119">
        <f t="shared" si="43"/>
        <v>-45.405449999999973</v>
      </c>
      <c r="X87" s="119">
        <f t="shared" si="43"/>
        <v>-45.405450000000087</v>
      </c>
      <c r="Y87" s="119">
        <f t="shared" si="43"/>
        <v>-45.405449999999973</v>
      </c>
      <c r="Z87" s="119">
        <f t="shared" si="43"/>
        <v>-45.405500000000075</v>
      </c>
      <c r="AA87" s="119">
        <f t="shared" si="43"/>
        <v>-45.405499999999961</v>
      </c>
      <c r="AB87" s="119">
        <f t="shared" si="43"/>
        <v>-28.056119999999964</v>
      </c>
      <c r="AC87" s="119">
        <f t="shared" si="43"/>
        <v>-15.66377</v>
      </c>
      <c r="AD87" s="211">
        <f t="shared" si="43"/>
        <v>-15.66377</v>
      </c>
      <c r="AE87" s="119">
        <f t="shared" si="43"/>
        <v>-15.66377</v>
      </c>
      <c r="AF87" s="119">
        <f t="shared" si="43"/>
        <v>-15.66377</v>
      </c>
      <c r="AG87" s="119">
        <f t="shared" si="43"/>
        <v>-15.66377</v>
      </c>
      <c r="AH87" s="119">
        <f t="shared" si="43"/>
        <v>-15.66377</v>
      </c>
      <c r="AI87" s="119">
        <f t="shared" si="43"/>
        <v>-15.66377</v>
      </c>
      <c r="AJ87" s="119"/>
    </row>
    <row r="88" spans="1:36">
      <c r="A88" s="6" t="s">
        <v>383</v>
      </c>
      <c r="B88" s="119">
        <f t="shared" ref="B88:AI88" si="44">B20-B7</f>
        <v>0</v>
      </c>
      <c r="C88" s="119">
        <f t="shared" si="44"/>
        <v>1.0200790961866668</v>
      </c>
      <c r="D88" s="119">
        <f t="shared" si="44"/>
        <v>0.6275365374466666</v>
      </c>
      <c r="E88" s="119">
        <f t="shared" si="44"/>
        <v>0.68307619099066674</v>
      </c>
      <c r="F88" s="119">
        <f t="shared" si="44"/>
        <v>0.67471288001039997</v>
      </c>
      <c r="G88" s="119">
        <f t="shared" si="44"/>
        <v>0.65619743327906666</v>
      </c>
      <c r="H88" s="119">
        <f t="shared" si="44"/>
        <v>0.51050195073344673</v>
      </c>
      <c r="I88" s="119">
        <f t="shared" si="44"/>
        <v>0.56509226722358352</v>
      </c>
      <c r="J88" s="119">
        <f t="shared" si="44"/>
        <v>0.52413609409135764</v>
      </c>
      <c r="K88" s="119">
        <f t="shared" si="44"/>
        <v>0.54544233186889834</v>
      </c>
      <c r="L88" s="119">
        <f t="shared" si="44"/>
        <v>0.58902085979309859</v>
      </c>
      <c r="M88" s="119">
        <f t="shared" si="44"/>
        <v>0.37240217849023277</v>
      </c>
      <c r="N88" s="119">
        <f t="shared" si="44"/>
        <v>0.3688563987997398</v>
      </c>
      <c r="O88" s="119">
        <f t="shared" si="44"/>
        <v>0.42743734873186529</v>
      </c>
      <c r="P88" s="119">
        <f t="shared" si="44"/>
        <v>0.38235152804488787</v>
      </c>
      <c r="Q88" s="119">
        <f t="shared" si="44"/>
        <v>0.3994042288410346</v>
      </c>
      <c r="R88" s="119">
        <f t="shared" si="44"/>
        <v>0.43860161367439893</v>
      </c>
      <c r="S88" s="119">
        <f t="shared" si="44"/>
        <v>0.4141507209356976</v>
      </c>
      <c r="T88" s="119">
        <f t="shared" si="44"/>
        <v>0.41185739751856848</v>
      </c>
      <c r="U88" s="119">
        <f t="shared" si="44"/>
        <v>0.47172837741225887</v>
      </c>
      <c r="V88" s="119">
        <f t="shared" si="44"/>
        <v>0.42797128758569336</v>
      </c>
      <c r="W88" s="119">
        <f t="shared" si="44"/>
        <v>0.44639258116806418</v>
      </c>
      <c r="X88" s="119">
        <f t="shared" si="44"/>
        <v>0.48699961657123941</v>
      </c>
      <c r="Y88" s="119">
        <f t="shared" si="44"/>
        <v>0.46400066391944333</v>
      </c>
      <c r="Z88" s="119">
        <f t="shared" si="44"/>
        <v>0.46320283879182667</v>
      </c>
      <c r="AA88" s="119">
        <f t="shared" si="44"/>
        <v>0.52461418192371467</v>
      </c>
      <c r="AB88" s="119">
        <f t="shared" si="44"/>
        <v>0.44572711472582627</v>
      </c>
      <c r="AC88" s="119">
        <f t="shared" si="44"/>
        <v>0.48078257966760096</v>
      </c>
      <c r="AD88" s="211">
        <f t="shared" si="44"/>
        <v>0.4661397085576291</v>
      </c>
      <c r="AE88" s="119">
        <f t="shared" si="44"/>
        <v>0.49780755131435794</v>
      </c>
      <c r="AF88" s="119">
        <f t="shared" si="44"/>
        <v>0.48779542935378872</v>
      </c>
      <c r="AG88" s="119">
        <f t="shared" si="44"/>
        <v>0.52411294373440231</v>
      </c>
      <c r="AH88" s="119">
        <f t="shared" si="44"/>
        <v>0.49316099354643445</v>
      </c>
      <c r="AI88" s="119">
        <f t="shared" si="44"/>
        <v>0.49494976455282746</v>
      </c>
      <c r="AJ88" s="119"/>
    </row>
    <row r="89" spans="1:36">
      <c r="A89" s="6" t="s">
        <v>65</v>
      </c>
      <c r="B89" s="119">
        <f t="shared" ref="B89:AI89" si="45">B21-B8</f>
        <v>0</v>
      </c>
      <c r="C89" s="119">
        <f t="shared" si="45"/>
        <v>0</v>
      </c>
      <c r="D89" s="119">
        <f t="shared" si="45"/>
        <v>-8.3193900000004533</v>
      </c>
      <c r="E89" s="119">
        <f t="shared" si="45"/>
        <v>-24.187049999999886</v>
      </c>
      <c r="F89" s="119">
        <f t="shared" si="45"/>
        <v>-48.387809999999945</v>
      </c>
      <c r="G89" s="119">
        <f t="shared" si="45"/>
        <v>-48.621469999999931</v>
      </c>
      <c r="H89" s="119">
        <f t="shared" si="45"/>
        <v>-51.264509999999177</v>
      </c>
      <c r="I89" s="119">
        <f t="shared" si="45"/>
        <v>-56.48165999999992</v>
      </c>
      <c r="J89" s="119">
        <f t="shared" si="45"/>
        <v>-55.943039999999655</v>
      </c>
      <c r="K89" s="119">
        <f t="shared" si="45"/>
        <v>-65.442780000000084</v>
      </c>
      <c r="L89" s="119">
        <f t="shared" si="45"/>
        <v>-60.451819999999316</v>
      </c>
      <c r="M89" s="119">
        <f t="shared" si="45"/>
        <v>-72.641460000000279</v>
      </c>
      <c r="N89" s="119">
        <f t="shared" si="45"/>
        <v>-70.197860000000446</v>
      </c>
      <c r="O89" s="119">
        <f t="shared" si="45"/>
        <v>-70.698069999999689</v>
      </c>
      <c r="P89" s="119">
        <f t="shared" si="45"/>
        <v>-78.515139999999292</v>
      </c>
      <c r="Q89" s="119">
        <f t="shared" si="45"/>
        <v>-78.590360000000146</v>
      </c>
      <c r="R89" s="119">
        <f t="shared" si="45"/>
        <v>-79.982439999999769</v>
      </c>
      <c r="S89" s="119">
        <f t="shared" si="45"/>
        <v>-87.025409999999965</v>
      </c>
      <c r="T89" s="119">
        <f t="shared" si="45"/>
        <v>-90.530509999998685</v>
      </c>
      <c r="U89" s="119">
        <f t="shared" si="45"/>
        <v>-95.594070000000556</v>
      </c>
      <c r="V89" s="119">
        <f t="shared" si="45"/>
        <v>-98.805249999999432</v>
      </c>
      <c r="W89" s="119">
        <f t="shared" si="45"/>
        <v>-101.68305000000009</v>
      </c>
      <c r="X89" s="119">
        <f t="shared" si="45"/>
        <v>-100.91253000000006</v>
      </c>
      <c r="Y89" s="119">
        <f t="shared" si="45"/>
        <v>-104.97036999999955</v>
      </c>
      <c r="Z89" s="119">
        <f t="shared" si="45"/>
        <v>-104.06218999999874</v>
      </c>
      <c r="AA89" s="119">
        <f t="shared" si="45"/>
        <v>-111.96565000000101</v>
      </c>
      <c r="AB89" s="119">
        <f t="shared" si="45"/>
        <v>-112.88758000000098</v>
      </c>
      <c r="AC89" s="119">
        <f t="shared" si="45"/>
        <v>-111.54016999999976</v>
      </c>
      <c r="AD89" s="211">
        <f t="shared" si="45"/>
        <v>-122.64756000000079</v>
      </c>
      <c r="AE89" s="119">
        <f t="shared" si="45"/>
        <v>-115.48436999999967</v>
      </c>
      <c r="AF89" s="119">
        <f t="shared" si="45"/>
        <v>-118.78092000000152</v>
      </c>
      <c r="AG89" s="119">
        <f t="shared" si="45"/>
        <v>-128.23974999999973</v>
      </c>
      <c r="AH89" s="119">
        <f t="shared" si="45"/>
        <v>-108.6837000000005</v>
      </c>
      <c r="AI89" s="119">
        <f t="shared" si="45"/>
        <v>-55.934950000000299</v>
      </c>
      <c r="AJ89" s="119"/>
    </row>
    <row r="90" spans="1:36">
      <c r="A90" s="6" t="s">
        <v>52</v>
      </c>
      <c r="B90" s="119">
        <f t="shared" ref="B90:AI90" si="46">B22-B9</f>
        <v>0</v>
      </c>
      <c r="C90" s="119">
        <f t="shared" si="46"/>
        <v>0</v>
      </c>
      <c r="D90" s="119">
        <f t="shared" si="46"/>
        <v>-1.3973000000000013</v>
      </c>
      <c r="E90" s="119">
        <f t="shared" si="46"/>
        <v>-3.8444999999999681</v>
      </c>
      <c r="F90" s="119">
        <f t="shared" si="46"/>
        <v>-5.3463700000000216</v>
      </c>
      <c r="G90" s="119">
        <f t="shared" si="46"/>
        <v>-4.3384299999999882</v>
      </c>
      <c r="H90" s="119">
        <f t="shared" si="46"/>
        <v>-4.239890000000031</v>
      </c>
      <c r="I90" s="119">
        <f t="shared" si="46"/>
        <v>-4.9036200000000179</v>
      </c>
      <c r="J90" s="119">
        <f t="shared" si="46"/>
        <v>-6.3217899999999929</v>
      </c>
      <c r="K90" s="119">
        <f t="shared" si="46"/>
        <v>-5.4050300000000959</v>
      </c>
      <c r="L90" s="119">
        <f t="shared" si="46"/>
        <v>-5.8521900000000358</v>
      </c>
      <c r="M90" s="119">
        <f t="shared" si="46"/>
        <v>-5.4756299999999669</v>
      </c>
      <c r="N90" s="119">
        <f t="shared" si="46"/>
        <v>-6.4149400000000298</v>
      </c>
      <c r="O90" s="119">
        <f t="shared" si="46"/>
        <v>-6.5263100000000236</v>
      </c>
      <c r="P90" s="119">
        <f t="shared" si="46"/>
        <v>-7.3114800000000173</v>
      </c>
      <c r="Q90" s="119">
        <f t="shared" si="46"/>
        <v>-7.3447599999999511</v>
      </c>
      <c r="R90" s="119">
        <f t="shared" si="46"/>
        <v>-5.0621600000000058</v>
      </c>
      <c r="S90" s="119">
        <f t="shared" si="46"/>
        <v>-2.7426899999999819</v>
      </c>
      <c r="T90" s="119">
        <f t="shared" si="46"/>
        <v>-7.2305499999999938</v>
      </c>
      <c r="U90" s="119">
        <f t="shared" si="46"/>
        <v>-6.6568699999999694</v>
      </c>
      <c r="V90" s="119">
        <f t="shared" si="46"/>
        <v>-7.4416299999999751</v>
      </c>
      <c r="W90" s="119">
        <f t="shared" si="46"/>
        <v>-6.6890900000000215</v>
      </c>
      <c r="X90" s="119">
        <f t="shared" si="46"/>
        <v>-7.0418200000000866</v>
      </c>
      <c r="Y90" s="119">
        <f t="shared" si="46"/>
        <v>-8.1674800000001255</v>
      </c>
      <c r="Z90" s="119">
        <f t="shared" si="46"/>
        <v>-5.9632699999999659</v>
      </c>
      <c r="AA90" s="119">
        <f t="shared" si="46"/>
        <v>-7.9888500000000704</v>
      </c>
      <c r="AB90" s="119">
        <f t="shared" si="46"/>
        <v>-7.4012299999999414</v>
      </c>
      <c r="AC90" s="119">
        <f t="shared" si="46"/>
        <v>-4.361919999999941</v>
      </c>
      <c r="AD90" s="211">
        <f t="shared" si="46"/>
        <v>-7.6623799999999846</v>
      </c>
      <c r="AE90" s="119">
        <f t="shared" si="46"/>
        <v>-6.9798700000000053</v>
      </c>
      <c r="AF90" s="119">
        <f t="shared" si="46"/>
        <v>-7.5911100000000715</v>
      </c>
      <c r="AG90" s="119">
        <f t="shared" si="46"/>
        <v>6.4168400000000929</v>
      </c>
      <c r="AH90" s="119">
        <f t="shared" si="46"/>
        <v>-6.4722099999999045</v>
      </c>
      <c r="AI90" s="119">
        <f t="shared" si="46"/>
        <v>-5.4808699999999817</v>
      </c>
      <c r="AJ90" s="119"/>
    </row>
    <row r="91" spans="1:36">
      <c r="A91" s="36" t="s">
        <v>66</v>
      </c>
      <c r="B91" s="119">
        <f t="shared" ref="B91:AI91" si="47">B23-B10</f>
        <v>0</v>
      </c>
      <c r="C91" s="119">
        <f t="shared" si="47"/>
        <v>0</v>
      </c>
      <c r="D91" s="119">
        <f t="shared" si="47"/>
        <v>-6.9003699999999668E-2</v>
      </c>
      <c r="E91" s="119">
        <f t="shared" si="47"/>
        <v>-0.11397239999999886</v>
      </c>
      <c r="F91" s="119">
        <f t="shared" si="47"/>
        <v>-0.290931099999999</v>
      </c>
      <c r="G91" s="119">
        <f t="shared" si="47"/>
        <v>-0.41753870000000148</v>
      </c>
      <c r="H91" s="119">
        <f t="shared" si="47"/>
        <v>-0.44887310000000014</v>
      </c>
      <c r="I91" s="119">
        <f t="shared" si="47"/>
        <v>-0.3630008999999994</v>
      </c>
      <c r="J91" s="119">
        <f t="shared" si="47"/>
        <v>-0.45175339999999764</v>
      </c>
      <c r="K91" s="119">
        <f t="shared" si="47"/>
        <v>-0.60266930000000585</v>
      </c>
      <c r="L91" s="119">
        <f t="shared" si="47"/>
        <v>-0.44504969999999489</v>
      </c>
      <c r="M91" s="119">
        <f t="shared" si="47"/>
        <v>-0.53369650000000135</v>
      </c>
      <c r="N91" s="119">
        <f t="shared" si="47"/>
        <v>-0.47876830000000226</v>
      </c>
      <c r="O91" s="119">
        <f t="shared" si="47"/>
        <v>-0.58158099999999813</v>
      </c>
      <c r="P91" s="119">
        <f t="shared" si="47"/>
        <v>-0.15689120000000045</v>
      </c>
      <c r="Q91" s="119">
        <f t="shared" si="47"/>
        <v>-5.9529999999999639E-2</v>
      </c>
      <c r="R91" s="119">
        <f t="shared" si="47"/>
        <v>-6.8410000000000304E-2</v>
      </c>
      <c r="S91" s="119">
        <f t="shared" si="47"/>
        <v>-7.0400000000000684E-2</v>
      </c>
      <c r="T91" s="119">
        <f t="shared" si="47"/>
        <v>-6.5740000000000354E-2</v>
      </c>
      <c r="U91" s="119">
        <f t="shared" si="47"/>
        <v>-6.1039999999999761E-2</v>
      </c>
      <c r="V91" s="119">
        <f t="shared" si="47"/>
        <v>-6.2869999999999759E-2</v>
      </c>
      <c r="W91" s="119">
        <f t="shared" si="47"/>
        <v>-6.4200000000000035E-2</v>
      </c>
      <c r="X91" s="119">
        <f t="shared" si="47"/>
        <v>-6.981000000000015E-2</v>
      </c>
      <c r="Y91" s="119">
        <f t="shared" si="47"/>
        <v>-6.1329999999999885E-2</v>
      </c>
      <c r="Z91" s="119">
        <f t="shared" si="47"/>
        <v>-6.7750000000000199E-2</v>
      </c>
      <c r="AA91" s="119">
        <f t="shared" si="47"/>
        <v>-7.2319999999999496E-2</v>
      </c>
      <c r="AB91" s="119">
        <f t="shared" si="47"/>
        <v>-7.0099999999999829E-2</v>
      </c>
      <c r="AC91" s="119">
        <f t="shared" si="47"/>
        <v>-6.7589999999999817E-2</v>
      </c>
      <c r="AD91" s="211">
        <f t="shared" si="47"/>
        <v>-6.5599999999999881E-2</v>
      </c>
      <c r="AE91" s="119">
        <f t="shared" si="47"/>
        <v>-6.9279999999999786E-2</v>
      </c>
      <c r="AF91" s="119">
        <f t="shared" si="47"/>
        <v>-6.6619999999999679E-2</v>
      </c>
      <c r="AG91" s="119">
        <f t="shared" si="47"/>
        <v>-6.8059999999999787E-2</v>
      </c>
      <c r="AH91" s="119">
        <f t="shared" si="47"/>
        <v>-5.3449999999999775E-2</v>
      </c>
      <c r="AI91" s="119">
        <f t="shared" si="47"/>
        <v>-2.7859999999999552E-2</v>
      </c>
      <c r="AJ91" s="119"/>
    </row>
    <row r="92" spans="1:36">
      <c r="A92" s="12" t="s">
        <v>69</v>
      </c>
      <c r="B92" s="212">
        <f t="shared" ref="B92:AF92" si="48">B24-B11</f>
        <v>0</v>
      </c>
      <c r="C92" s="212">
        <f t="shared" si="48"/>
        <v>0</v>
      </c>
      <c r="D92" s="212">
        <f t="shared" si="48"/>
        <v>0</v>
      </c>
      <c r="E92" s="212">
        <f t="shared" si="48"/>
        <v>0</v>
      </c>
      <c r="F92" s="212">
        <f t="shared" si="48"/>
        <v>0</v>
      </c>
      <c r="G92" s="212">
        <f t="shared" si="48"/>
        <v>0</v>
      </c>
      <c r="H92" s="212">
        <f t="shared" si="48"/>
        <v>0</v>
      </c>
      <c r="I92" s="212">
        <f t="shared" si="48"/>
        <v>0</v>
      </c>
      <c r="J92" s="212">
        <f t="shared" si="48"/>
        <v>0</v>
      </c>
      <c r="K92" s="212">
        <f t="shared" si="48"/>
        <v>0</v>
      </c>
      <c r="L92" s="212">
        <f t="shared" si="48"/>
        <v>0</v>
      </c>
      <c r="M92" s="212">
        <f t="shared" si="48"/>
        <v>0</v>
      </c>
      <c r="N92" s="212">
        <f t="shared" si="48"/>
        <v>0</v>
      </c>
      <c r="O92" s="212">
        <f t="shared" si="48"/>
        <v>0</v>
      </c>
      <c r="P92" s="212">
        <f t="shared" si="48"/>
        <v>0</v>
      </c>
      <c r="Q92" s="212">
        <f t="shared" si="48"/>
        <v>0</v>
      </c>
      <c r="R92" s="212">
        <f t="shared" si="48"/>
        <v>0</v>
      </c>
      <c r="S92" s="212">
        <f t="shared" si="48"/>
        <v>0</v>
      </c>
      <c r="T92" s="212">
        <f t="shared" si="48"/>
        <v>0</v>
      </c>
      <c r="U92" s="212">
        <f t="shared" si="48"/>
        <v>0</v>
      </c>
      <c r="V92" s="212">
        <f t="shared" si="48"/>
        <v>0</v>
      </c>
      <c r="W92" s="212">
        <f t="shared" si="48"/>
        <v>0</v>
      </c>
      <c r="X92" s="212">
        <f t="shared" si="48"/>
        <v>0</v>
      </c>
      <c r="Y92" s="212">
        <f t="shared" si="48"/>
        <v>0</v>
      </c>
      <c r="Z92" s="212">
        <f t="shared" si="48"/>
        <v>0</v>
      </c>
      <c r="AA92" s="212">
        <f t="shared" si="48"/>
        <v>0</v>
      </c>
      <c r="AB92" s="212">
        <f t="shared" si="48"/>
        <v>0</v>
      </c>
      <c r="AC92" s="212">
        <f t="shared" si="48"/>
        <v>0</v>
      </c>
      <c r="AD92" s="213">
        <f t="shared" si="48"/>
        <v>0</v>
      </c>
      <c r="AE92" s="212">
        <f t="shared" si="48"/>
        <v>0</v>
      </c>
      <c r="AF92" s="212">
        <f t="shared" si="48"/>
        <v>0</v>
      </c>
      <c r="AG92" s="212">
        <f t="shared" ref="AG92:AH92" si="49">AG24-AG11</f>
        <v>0</v>
      </c>
      <c r="AH92" s="212">
        <f t="shared" si="49"/>
        <v>0</v>
      </c>
      <c r="AI92" s="212">
        <f>AI24-AI11</f>
        <v>0</v>
      </c>
      <c r="AJ92" s="212"/>
    </row>
    <row r="93" spans="1:36">
      <c r="A93" s="6" t="s">
        <v>61</v>
      </c>
      <c r="B93" s="15">
        <f t="shared" ref="B93:AI93" si="50">SUM(B83:B92)</f>
        <v>0</v>
      </c>
      <c r="C93" s="15">
        <f t="shared" si="50"/>
        <v>1.0200790961866668</v>
      </c>
      <c r="D93" s="15">
        <f t="shared" si="50"/>
        <v>21.699906968479649</v>
      </c>
      <c r="E93" s="15">
        <f t="shared" si="50"/>
        <v>59.608792796679246</v>
      </c>
      <c r="F93" s="15">
        <f t="shared" si="50"/>
        <v>84.971086613371241</v>
      </c>
      <c r="G93" s="15">
        <f t="shared" si="50"/>
        <v>78.619786366832898</v>
      </c>
      <c r="H93" s="15">
        <f t="shared" si="50"/>
        <v>69.885522193826191</v>
      </c>
      <c r="I93" s="15">
        <f t="shared" si="50"/>
        <v>40.215724011367712</v>
      </c>
      <c r="J93" s="15">
        <f t="shared" si="50"/>
        <v>16.824953461220009</v>
      </c>
      <c r="K93" s="15">
        <f t="shared" si="50"/>
        <v>9.3229494246756808</v>
      </c>
      <c r="L93" s="15">
        <f t="shared" si="50"/>
        <v>8.7112814670177023</v>
      </c>
      <c r="M93" s="15">
        <f t="shared" si="50"/>
        <v>-1.4750767472843442</v>
      </c>
      <c r="N93" s="15">
        <f t="shared" si="50"/>
        <v>-5.1670327084485344</v>
      </c>
      <c r="O93" s="15">
        <f t="shared" si="50"/>
        <v>-3.8191874166535182</v>
      </c>
      <c r="P93" s="15">
        <f t="shared" si="50"/>
        <v>-47.182761170429288</v>
      </c>
      <c r="Q93" s="15">
        <f t="shared" si="50"/>
        <v>-78.436647695038005</v>
      </c>
      <c r="R93" s="15">
        <f t="shared" si="50"/>
        <v>-50.665313800649919</v>
      </c>
      <c r="S93" s="15">
        <f t="shared" si="50"/>
        <v>-37.132611329078252</v>
      </c>
      <c r="T93" s="15">
        <f t="shared" si="50"/>
        <v>-69.935470687771272</v>
      </c>
      <c r="U93" s="15">
        <f t="shared" si="50"/>
        <v>-97.054431793586261</v>
      </c>
      <c r="V93" s="15">
        <f t="shared" si="50"/>
        <v>-102.81649496690402</v>
      </c>
      <c r="W93" s="15">
        <f t="shared" si="50"/>
        <v>-106.63932559712845</v>
      </c>
      <c r="X93" s="15">
        <f t="shared" si="50"/>
        <v>-107.71690594081419</v>
      </c>
      <c r="Y93" s="15">
        <f t="shared" si="50"/>
        <v>-114.39389585045609</v>
      </c>
      <c r="Z93" s="15">
        <f t="shared" si="50"/>
        <v>-112.7721528258886</v>
      </c>
      <c r="AA93" s="15">
        <f t="shared" si="50"/>
        <v>-124.21244454165273</v>
      </c>
      <c r="AB93" s="15">
        <f t="shared" si="50"/>
        <v>-91.991347912417126</v>
      </c>
      <c r="AC93" s="52">
        <f t="shared" si="50"/>
        <v>-65.25899450219201</v>
      </c>
      <c r="AD93" s="214">
        <f t="shared" si="50"/>
        <v>-81.777564626722622</v>
      </c>
      <c r="AE93" s="15">
        <f t="shared" si="50"/>
        <v>-76.054333635672592</v>
      </c>
      <c r="AF93" s="15">
        <f t="shared" si="50"/>
        <v>-82.012673907074912</v>
      </c>
      <c r="AG93" s="15">
        <f t="shared" si="50"/>
        <v>-75.766888632277187</v>
      </c>
      <c r="AH93" s="15">
        <f t="shared" si="50"/>
        <v>-78.507243337301489</v>
      </c>
      <c r="AI93" s="15">
        <f t="shared" si="50"/>
        <v>-47.749180475647016</v>
      </c>
      <c r="AJ93" s="15"/>
    </row>
    <row r="94" spans="1:36"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52"/>
      <c r="AD94" s="214"/>
      <c r="AE94" s="15"/>
      <c r="AF94" s="15"/>
      <c r="AG94" s="15"/>
      <c r="AH94" s="15"/>
      <c r="AI94" s="15"/>
      <c r="AJ94" s="15"/>
    </row>
    <row r="95" spans="1:36">
      <c r="A95" s="6" t="s">
        <v>71</v>
      </c>
      <c r="AC95" s="36"/>
      <c r="AD95" s="215"/>
    </row>
    <row r="96" spans="1:36">
      <c r="A96" s="152" t="str">
        <f>A82</f>
        <v>Clean Energy Connection-SoBra 700MWs</v>
      </c>
      <c r="B96" s="152">
        <f>$B$1</f>
        <v>2020</v>
      </c>
      <c r="C96" s="152">
        <f t="shared" ref="C96:AI96" si="51">B96+1</f>
        <v>2021</v>
      </c>
      <c r="D96" s="152">
        <f t="shared" si="51"/>
        <v>2022</v>
      </c>
      <c r="E96" s="152">
        <f t="shared" si="51"/>
        <v>2023</v>
      </c>
      <c r="F96" s="152">
        <f t="shared" si="51"/>
        <v>2024</v>
      </c>
      <c r="G96" s="152">
        <f t="shared" si="51"/>
        <v>2025</v>
      </c>
      <c r="H96" s="152">
        <f t="shared" si="51"/>
        <v>2026</v>
      </c>
      <c r="I96" s="152">
        <f t="shared" si="51"/>
        <v>2027</v>
      </c>
      <c r="J96" s="152">
        <f t="shared" si="51"/>
        <v>2028</v>
      </c>
      <c r="K96" s="152">
        <f t="shared" si="51"/>
        <v>2029</v>
      </c>
      <c r="L96" s="152">
        <f t="shared" si="51"/>
        <v>2030</v>
      </c>
      <c r="M96" s="152">
        <f t="shared" si="51"/>
        <v>2031</v>
      </c>
      <c r="N96" s="152">
        <f t="shared" si="51"/>
        <v>2032</v>
      </c>
      <c r="O96" s="152">
        <f t="shared" si="51"/>
        <v>2033</v>
      </c>
      <c r="P96" s="152">
        <f t="shared" si="51"/>
        <v>2034</v>
      </c>
      <c r="Q96" s="152">
        <f t="shared" si="51"/>
        <v>2035</v>
      </c>
      <c r="R96" s="152">
        <f t="shared" si="51"/>
        <v>2036</v>
      </c>
      <c r="S96" s="152">
        <f t="shared" si="51"/>
        <v>2037</v>
      </c>
      <c r="T96" s="152">
        <f t="shared" si="51"/>
        <v>2038</v>
      </c>
      <c r="U96" s="152">
        <f t="shared" si="51"/>
        <v>2039</v>
      </c>
      <c r="V96" s="152">
        <f t="shared" si="51"/>
        <v>2040</v>
      </c>
      <c r="W96" s="152">
        <f t="shared" si="51"/>
        <v>2041</v>
      </c>
      <c r="X96" s="152">
        <f t="shared" si="51"/>
        <v>2042</v>
      </c>
      <c r="Y96" s="152">
        <f t="shared" si="51"/>
        <v>2043</v>
      </c>
      <c r="Z96" s="152">
        <f t="shared" si="51"/>
        <v>2044</v>
      </c>
      <c r="AA96" s="152">
        <f t="shared" si="51"/>
        <v>2045</v>
      </c>
      <c r="AB96" s="152">
        <f t="shared" si="51"/>
        <v>2046</v>
      </c>
      <c r="AC96" s="209">
        <f t="shared" si="51"/>
        <v>2047</v>
      </c>
      <c r="AD96" s="210">
        <f t="shared" si="51"/>
        <v>2048</v>
      </c>
      <c r="AE96" s="152">
        <f t="shared" si="51"/>
        <v>2049</v>
      </c>
      <c r="AF96" s="152">
        <f t="shared" si="51"/>
        <v>2050</v>
      </c>
      <c r="AG96" s="152">
        <f t="shared" si="51"/>
        <v>2051</v>
      </c>
      <c r="AH96" s="152">
        <f t="shared" si="51"/>
        <v>2052</v>
      </c>
      <c r="AI96" s="152">
        <f t="shared" si="51"/>
        <v>2053</v>
      </c>
      <c r="AJ96" s="152"/>
    </row>
    <row r="97" spans="1:37">
      <c r="A97" s="6" t="s">
        <v>134</v>
      </c>
      <c r="B97" s="119">
        <f t="shared" ref="B97:AI97" si="52">B42-B29</f>
        <v>0</v>
      </c>
      <c r="C97" s="119">
        <f t="shared" si="52"/>
        <v>0</v>
      </c>
      <c r="D97" s="119">
        <f t="shared" si="52"/>
        <v>0</v>
      </c>
      <c r="E97" s="119">
        <f t="shared" si="52"/>
        <v>0</v>
      </c>
      <c r="F97" s="119">
        <f t="shared" si="52"/>
        <v>0</v>
      </c>
      <c r="G97" s="119">
        <f t="shared" si="52"/>
        <v>0</v>
      </c>
      <c r="H97" s="119">
        <f t="shared" si="52"/>
        <v>0</v>
      </c>
      <c r="I97" s="119">
        <f t="shared" si="52"/>
        <v>0</v>
      </c>
      <c r="J97" s="119">
        <f t="shared" si="52"/>
        <v>0</v>
      </c>
      <c r="K97" s="119">
        <f t="shared" si="52"/>
        <v>0</v>
      </c>
      <c r="L97" s="119">
        <f t="shared" si="52"/>
        <v>0</v>
      </c>
      <c r="M97" s="119">
        <f t="shared" si="52"/>
        <v>0</v>
      </c>
      <c r="N97" s="119">
        <f t="shared" si="52"/>
        <v>0</v>
      </c>
      <c r="O97" s="119">
        <f t="shared" si="52"/>
        <v>0</v>
      </c>
      <c r="P97" s="119">
        <f t="shared" si="52"/>
        <v>0</v>
      </c>
      <c r="Q97" s="119">
        <f t="shared" si="52"/>
        <v>0</v>
      </c>
      <c r="R97" s="119">
        <f t="shared" si="52"/>
        <v>0</v>
      </c>
      <c r="S97" s="119">
        <f t="shared" si="52"/>
        <v>0</v>
      </c>
      <c r="T97" s="119">
        <f t="shared" si="52"/>
        <v>0</v>
      </c>
      <c r="U97" s="119">
        <f t="shared" si="52"/>
        <v>0</v>
      </c>
      <c r="V97" s="119">
        <f t="shared" si="52"/>
        <v>0</v>
      </c>
      <c r="W97" s="119">
        <f t="shared" si="52"/>
        <v>0</v>
      </c>
      <c r="X97" s="119">
        <f t="shared" si="52"/>
        <v>0</v>
      </c>
      <c r="Y97" s="119">
        <f t="shared" si="52"/>
        <v>0</v>
      </c>
      <c r="Z97" s="119">
        <f t="shared" si="52"/>
        <v>0</v>
      </c>
      <c r="AA97" s="119">
        <f t="shared" si="52"/>
        <v>0</v>
      </c>
      <c r="AB97" s="119">
        <f t="shared" si="52"/>
        <v>0</v>
      </c>
      <c r="AC97" s="119">
        <f t="shared" si="52"/>
        <v>0</v>
      </c>
      <c r="AD97" s="211">
        <f t="shared" si="52"/>
        <v>0</v>
      </c>
      <c r="AE97" s="119">
        <f t="shared" si="52"/>
        <v>0</v>
      </c>
      <c r="AF97" s="119">
        <f t="shared" si="52"/>
        <v>0</v>
      </c>
      <c r="AG97" s="119">
        <f t="shared" si="52"/>
        <v>0</v>
      </c>
      <c r="AH97" s="119">
        <f t="shared" si="52"/>
        <v>0</v>
      </c>
      <c r="AI97" s="119">
        <f t="shared" si="52"/>
        <v>0</v>
      </c>
      <c r="AJ97" s="119"/>
    </row>
    <row r="98" spans="1:37">
      <c r="A98" s="6" t="s">
        <v>135</v>
      </c>
      <c r="B98" s="119">
        <f t="shared" ref="B98:AI98" si="53">B43-B30</f>
        <v>0</v>
      </c>
      <c r="C98" s="119">
        <f t="shared" si="53"/>
        <v>0</v>
      </c>
      <c r="D98" s="119">
        <f t="shared" si="53"/>
        <v>27.104402529171068</v>
      </c>
      <c r="E98" s="119">
        <f t="shared" si="53"/>
        <v>71.677271703898896</v>
      </c>
      <c r="F98" s="119">
        <f t="shared" si="53"/>
        <v>106.71659618161929</v>
      </c>
      <c r="G98" s="119">
        <f t="shared" si="53"/>
        <v>94.968223232679676</v>
      </c>
      <c r="H98" s="119">
        <f t="shared" si="53"/>
        <v>84.930290419949785</v>
      </c>
      <c r="I98" s="119">
        <f t="shared" si="53"/>
        <v>71.369318056281188</v>
      </c>
      <c r="J98" s="119">
        <f t="shared" si="53"/>
        <v>64.616065941150438</v>
      </c>
      <c r="K98" s="119">
        <f t="shared" si="53"/>
        <v>58.847825074856878</v>
      </c>
      <c r="L98" s="119">
        <f t="shared" si="53"/>
        <v>53.786374701416463</v>
      </c>
      <c r="M98" s="119">
        <f t="shared" si="53"/>
        <v>49.250786941365043</v>
      </c>
      <c r="N98" s="119">
        <f t="shared" si="53"/>
        <v>45.08657486113227</v>
      </c>
      <c r="O98" s="119">
        <f t="shared" si="53"/>
        <v>41.252032029110545</v>
      </c>
      <c r="P98" s="119">
        <f t="shared" si="53"/>
        <v>37.704265111778128</v>
      </c>
      <c r="Q98" s="119">
        <f t="shared" si="53"/>
        <v>34.471759461208883</v>
      </c>
      <c r="R98" s="119">
        <f t="shared" si="53"/>
        <v>31.510242239544308</v>
      </c>
      <c r="S98" s="119">
        <f t="shared" si="53"/>
        <v>28.771416472238894</v>
      </c>
      <c r="T98" s="119">
        <f t="shared" si="53"/>
        <v>28.186255215442095</v>
      </c>
      <c r="U98" s="119">
        <f t="shared" si="53"/>
        <v>25.599452768354144</v>
      </c>
      <c r="V98" s="119">
        <f t="shared" si="53"/>
        <v>23.223951483068507</v>
      </c>
      <c r="W98" s="119">
        <f t="shared" si="53"/>
        <v>21.051786711251751</v>
      </c>
      <c r="X98" s="119">
        <f t="shared" si="53"/>
        <v>19.118354143731811</v>
      </c>
      <c r="Y98" s="119">
        <f t="shared" si="53"/>
        <v>17.388538002102155</v>
      </c>
      <c r="Z98" s="119">
        <f t="shared" si="53"/>
        <v>15.82103716639633</v>
      </c>
      <c r="AA98" s="119">
        <f t="shared" si="53"/>
        <v>14.367151034475768</v>
      </c>
      <c r="AB98" s="119">
        <f t="shared" si="53"/>
        <v>13.070098401550514</v>
      </c>
      <c r="AC98" s="119">
        <f t="shared" si="53"/>
        <v>11.873952695715952</v>
      </c>
      <c r="AD98" s="211">
        <f t="shared" si="53"/>
        <v>10.792396380648784</v>
      </c>
      <c r="AE98" s="119">
        <f t="shared" si="53"/>
        <v>9.7892282563921427</v>
      </c>
      <c r="AF98" s="119">
        <f t="shared" si="53"/>
        <v>8.8893100063044432</v>
      </c>
      <c r="AG98" s="119">
        <f t="shared" si="53"/>
        <v>8.5564850648572275</v>
      </c>
      <c r="AH98" s="119">
        <f t="shared" si="53"/>
        <v>6.8276065268349155</v>
      </c>
      <c r="AI98" s="119">
        <f t="shared" si="53"/>
        <v>3.6792355349898176</v>
      </c>
      <c r="AJ98" s="119"/>
    </row>
    <row r="99" spans="1:37">
      <c r="A99" s="6" t="s">
        <v>60</v>
      </c>
      <c r="B99" s="119">
        <f t="shared" ref="B99:AI99" si="54">B44-B31</f>
        <v>0</v>
      </c>
      <c r="C99" s="119">
        <f t="shared" si="54"/>
        <v>0</v>
      </c>
      <c r="D99" s="119">
        <f t="shared" si="54"/>
        <v>0</v>
      </c>
      <c r="E99" s="119">
        <f t="shared" si="54"/>
        <v>0</v>
      </c>
      <c r="F99" s="119">
        <f t="shared" si="54"/>
        <v>0</v>
      </c>
      <c r="G99" s="119">
        <f t="shared" si="54"/>
        <v>0</v>
      </c>
      <c r="H99" s="119">
        <f t="shared" si="54"/>
        <v>0</v>
      </c>
      <c r="I99" s="119">
        <f t="shared" si="54"/>
        <v>-6.8065319934405428</v>
      </c>
      <c r="J99" s="119">
        <f t="shared" si="54"/>
        <v>-17.156741119315107</v>
      </c>
      <c r="K99" s="119">
        <f t="shared" si="54"/>
        <v>-13.726353422336407</v>
      </c>
      <c r="L99" s="119">
        <f t="shared" si="54"/>
        <v>-14.248865358300485</v>
      </c>
      <c r="M99" s="119">
        <f t="shared" si="54"/>
        <v>-11.279824508640477</v>
      </c>
      <c r="N99" s="119">
        <f t="shared" si="54"/>
        <v>-11.863680592843043</v>
      </c>
      <c r="O99" s="119">
        <f t="shared" si="54"/>
        <v>-9.2811218396467083</v>
      </c>
      <c r="P99" s="119">
        <f t="shared" si="54"/>
        <v>-11.19201308176531</v>
      </c>
      <c r="Q99" s="119">
        <f t="shared" si="54"/>
        <v>-14.187978567056973</v>
      </c>
      <c r="R99" s="119">
        <f t="shared" si="54"/>
        <v>-8.0090661841749977</v>
      </c>
      <c r="S99" s="119">
        <f t="shared" si="54"/>
        <v>-4.0408851685104423</v>
      </c>
      <c r="T99" s="119">
        <f t="shared" si="54"/>
        <v>-8.0679780383568698</v>
      </c>
      <c r="U99" s="119">
        <f t="shared" si="54"/>
        <v>-10.230610525944485</v>
      </c>
      <c r="V99" s="119">
        <f t="shared" si="54"/>
        <v>-9.2733521014794462</v>
      </c>
      <c r="W99" s="119">
        <f t="shared" si="54"/>
        <v>-8.400031038110825</v>
      </c>
      <c r="X99" s="119">
        <f t="shared" si="54"/>
        <v>-7.6126832420071935</v>
      </c>
      <c r="Y99" s="119">
        <f t="shared" si="54"/>
        <v>-6.9229754540364183</v>
      </c>
      <c r="Z99" s="119">
        <f t="shared" si="54"/>
        <v>-6.3108975403765442</v>
      </c>
      <c r="AA99" s="119">
        <f t="shared" si="54"/>
        <v>-5.7501154341850054</v>
      </c>
      <c r="AB99" s="119">
        <f t="shared" si="54"/>
        <v>-2.3105606931873979</v>
      </c>
      <c r="AC99" s="119">
        <f t="shared" si="54"/>
        <v>-0.1697862694786636</v>
      </c>
      <c r="AD99" s="211">
        <f t="shared" si="54"/>
        <v>-0.15832837445410064</v>
      </c>
      <c r="AE99" s="119">
        <f t="shared" si="54"/>
        <v>-0.14486076974009165</v>
      </c>
      <c r="AF99" s="119">
        <f t="shared" si="54"/>
        <v>-0.13681173878222808</v>
      </c>
      <c r="AG99" s="119">
        <f t="shared" si="54"/>
        <v>-0.12550708883797768</v>
      </c>
      <c r="AH99" s="119">
        <f t="shared" si="54"/>
        <v>-9.9581258497082104E-2</v>
      </c>
      <c r="AI99" s="119">
        <f t="shared" si="54"/>
        <v>-7.5554121779191519E-2</v>
      </c>
      <c r="AJ99" s="119"/>
    </row>
    <row r="100" spans="1:37">
      <c r="A100" s="6" t="s">
        <v>68</v>
      </c>
      <c r="B100" s="119">
        <f t="shared" ref="B100:AI100" si="55">B45-B32</f>
        <v>0</v>
      </c>
      <c r="C100" s="119">
        <f t="shared" si="55"/>
        <v>0</v>
      </c>
      <c r="D100" s="119">
        <f t="shared" si="55"/>
        <v>0</v>
      </c>
      <c r="E100" s="119">
        <f t="shared" si="55"/>
        <v>0</v>
      </c>
      <c r="F100" s="119">
        <f t="shared" si="55"/>
        <v>0</v>
      </c>
      <c r="G100" s="119">
        <f t="shared" si="55"/>
        <v>0</v>
      </c>
      <c r="H100" s="119">
        <f t="shared" si="55"/>
        <v>0</v>
      </c>
      <c r="I100" s="119">
        <f t="shared" si="55"/>
        <v>-0.16330587684247888</v>
      </c>
      <c r="J100" s="119">
        <f t="shared" si="55"/>
        <v>-0.42581547344002857</v>
      </c>
      <c r="K100" s="119">
        <f t="shared" si="55"/>
        <v>-0.36600215588460294</v>
      </c>
      <c r="L100" s="119">
        <f t="shared" si="55"/>
        <v>-0.39296000930739261</v>
      </c>
      <c r="M100" s="119">
        <f t="shared" si="55"/>
        <v>-0.33774844971718743</v>
      </c>
      <c r="N100" s="119">
        <f t="shared" si="55"/>
        <v>-0.36262822702841113</v>
      </c>
      <c r="O100" s="119">
        <f t="shared" si="55"/>
        <v>-0.31168009963181298</v>
      </c>
      <c r="P100" s="119">
        <f t="shared" si="55"/>
        <v>-0.60864539849580446</v>
      </c>
      <c r="Q100" s="119">
        <f t="shared" si="55"/>
        <v>-0.85729600384555305</v>
      </c>
      <c r="R100" s="119">
        <f t="shared" si="55"/>
        <v>-0.58334890442599452</v>
      </c>
      <c r="S100" s="119">
        <f t="shared" si="55"/>
        <v>-0.39556578567956358</v>
      </c>
      <c r="T100" s="119">
        <f t="shared" si="55"/>
        <v>-0.60165971424810927</v>
      </c>
      <c r="U100" s="119">
        <f t="shared" si="55"/>
        <v>-0.73007606582694606</v>
      </c>
      <c r="V100" s="119">
        <f t="shared" si="55"/>
        <v>-0.70133843795907858</v>
      </c>
      <c r="W100" s="119">
        <f t="shared" si="55"/>
        <v>-0.67373083929414435</v>
      </c>
      <c r="X100" s="119">
        <f t="shared" si="55"/>
        <v>-0.64721397613967468</v>
      </c>
      <c r="Y100" s="119">
        <f t="shared" si="55"/>
        <v>-0.62173529939348526</v>
      </c>
      <c r="Z100" s="119">
        <f t="shared" si="55"/>
        <v>-0.59726296340448393</v>
      </c>
      <c r="AA100" s="119">
        <f t="shared" si="55"/>
        <v>-0.57375248811864132</v>
      </c>
      <c r="AB100" s="119">
        <f t="shared" si="55"/>
        <v>-0.3904123863671245</v>
      </c>
      <c r="AC100" s="119">
        <f t="shared" si="55"/>
        <v>-0.26473626165666353</v>
      </c>
      <c r="AD100" s="211">
        <f t="shared" si="55"/>
        <v>-0.25431495837184492</v>
      </c>
      <c r="AE100" s="119">
        <f t="shared" si="55"/>
        <v>-0.24430496887774389</v>
      </c>
      <c r="AF100" s="119">
        <f t="shared" si="55"/>
        <v>-0.23468939481063344</v>
      </c>
      <c r="AG100" s="119">
        <f t="shared" si="55"/>
        <v>-0.22545071707872566</v>
      </c>
      <c r="AH100" s="119">
        <f t="shared" si="55"/>
        <v>-0.21657621141846928</v>
      </c>
      <c r="AI100" s="119">
        <f t="shared" si="55"/>
        <v>-0.20805080481709393</v>
      </c>
      <c r="AJ100" s="119"/>
    </row>
    <row r="101" spans="1:37">
      <c r="A101" s="6" t="s">
        <v>67</v>
      </c>
      <c r="B101" s="119">
        <f t="shared" ref="B101:AI101" si="56">B46-B33</f>
        <v>0</v>
      </c>
      <c r="C101" s="119">
        <f t="shared" si="56"/>
        <v>0</v>
      </c>
      <c r="D101" s="119">
        <f t="shared" si="56"/>
        <v>0</v>
      </c>
      <c r="E101" s="119">
        <f t="shared" si="56"/>
        <v>0</v>
      </c>
      <c r="F101" s="119">
        <f t="shared" si="56"/>
        <v>0</v>
      </c>
      <c r="G101" s="119">
        <f t="shared" si="56"/>
        <v>0</v>
      </c>
      <c r="H101" s="119">
        <f t="shared" si="56"/>
        <v>0</v>
      </c>
      <c r="I101" s="119">
        <f t="shared" si="56"/>
        <v>0</v>
      </c>
      <c r="J101" s="119">
        <f t="shared" si="56"/>
        <v>0</v>
      </c>
      <c r="K101" s="119">
        <f t="shared" si="56"/>
        <v>0</v>
      </c>
      <c r="L101" s="119">
        <f t="shared" si="56"/>
        <v>0</v>
      </c>
      <c r="M101" s="119">
        <f t="shared" si="56"/>
        <v>0</v>
      </c>
      <c r="N101" s="119">
        <f t="shared" si="56"/>
        <v>0</v>
      </c>
      <c r="O101" s="119">
        <f t="shared" si="56"/>
        <v>0</v>
      </c>
      <c r="P101" s="119">
        <f t="shared" si="56"/>
        <v>-10.40697230661479</v>
      </c>
      <c r="Q101" s="119">
        <f t="shared" si="56"/>
        <v>-16.720273684625397</v>
      </c>
      <c r="R101" s="119">
        <f t="shared" si="56"/>
        <v>-10.868456631186831</v>
      </c>
      <c r="S101" s="119">
        <f t="shared" si="56"/>
        <v>-6.9714385497996432</v>
      </c>
      <c r="T101" s="119">
        <f t="shared" si="56"/>
        <v>-10.964988828656743</v>
      </c>
      <c r="U101" s="119">
        <f t="shared" si="56"/>
        <v>-13.242936666713547</v>
      </c>
      <c r="V101" s="119">
        <f t="shared" si="56"/>
        <v>-12.411380037396697</v>
      </c>
      <c r="W101" s="119">
        <f t="shared" si="56"/>
        <v>-11.632020965446713</v>
      </c>
      <c r="X101" s="119">
        <f t="shared" si="56"/>
        <v>-10.901612901074714</v>
      </c>
      <c r="Y101" s="119">
        <f t="shared" si="56"/>
        <v>-10.217069260613613</v>
      </c>
      <c r="Z101" s="119">
        <f t="shared" si="56"/>
        <v>-9.5755206293738695</v>
      </c>
      <c r="AA101" s="119">
        <f t="shared" si="56"/>
        <v>-8.9742461381198382</v>
      </c>
      <c r="AB101" s="119">
        <f t="shared" si="56"/>
        <v>-5.196999863071369</v>
      </c>
      <c r="AC101" s="119">
        <f t="shared" si="56"/>
        <v>-2.7192990630778127</v>
      </c>
      <c r="AD101" s="211">
        <f t="shared" si="56"/>
        <v>-2.5485464508695372</v>
      </c>
      <c r="AE101" s="119">
        <f t="shared" si="56"/>
        <v>-2.3885158864756875</v>
      </c>
      <c r="AF101" s="119">
        <f t="shared" si="56"/>
        <v>-2.2385341016641718</v>
      </c>
      <c r="AG101" s="119">
        <f t="shared" si="56"/>
        <v>-2.097970104652461</v>
      </c>
      <c r="AH101" s="119">
        <f t="shared" si="56"/>
        <v>-1.9662325254474808</v>
      </c>
      <c r="AI101" s="119">
        <f t="shared" si="56"/>
        <v>-1.8427671278795401</v>
      </c>
      <c r="AJ101" s="119"/>
    </row>
    <row r="102" spans="1:37">
      <c r="A102" s="6" t="s">
        <v>383</v>
      </c>
      <c r="B102" s="119">
        <f t="shared" ref="B102:AI102" si="57">B47-B34</f>
        <v>0</v>
      </c>
      <c r="C102" s="119">
        <f t="shared" si="57"/>
        <v>0.95602539473914416</v>
      </c>
      <c r="D102" s="119">
        <f t="shared" si="57"/>
        <v>0.55120123026807166</v>
      </c>
      <c r="E102" s="119">
        <f t="shared" si="57"/>
        <v>0.5623101071629828</v>
      </c>
      <c r="F102" s="119">
        <f t="shared" si="57"/>
        <v>0.52054864825483194</v>
      </c>
      <c r="G102" s="119">
        <f t="shared" si="57"/>
        <v>0.47447401205225109</v>
      </c>
      <c r="H102" s="119">
        <f t="shared" si="57"/>
        <v>0.34594805194586459</v>
      </c>
      <c r="I102" s="119">
        <f t="shared" si="57"/>
        <v>0.35889584333158642</v>
      </c>
      <c r="J102" s="119">
        <f t="shared" si="57"/>
        <v>0.31198140715775902</v>
      </c>
      <c r="K102" s="119">
        <f t="shared" si="57"/>
        <v>0.30427695800079424</v>
      </c>
      <c r="L102" s="119">
        <f t="shared" si="57"/>
        <v>0.30795444784735088</v>
      </c>
      <c r="M102" s="119">
        <f t="shared" si="57"/>
        <v>0.18247509532472547</v>
      </c>
      <c r="N102" s="119">
        <f t="shared" si="57"/>
        <v>0.16938864297452635</v>
      </c>
      <c r="O102" s="119">
        <f t="shared" si="57"/>
        <v>0.18396491954915264</v>
      </c>
      <c r="P102" s="119">
        <f t="shared" si="57"/>
        <v>0.15422719438562776</v>
      </c>
      <c r="Q102" s="119">
        <f t="shared" si="57"/>
        <v>0.15098936805677604</v>
      </c>
      <c r="R102" s="119">
        <f t="shared" si="57"/>
        <v>0.15539588507457328</v>
      </c>
      <c r="S102" s="119">
        <f t="shared" si="57"/>
        <v>0.13751918551195877</v>
      </c>
      <c r="T102" s="119">
        <f t="shared" si="57"/>
        <v>0.12817027651588755</v>
      </c>
      <c r="U102" s="119">
        <f t="shared" si="57"/>
        <v>0.13758403227896901</v>
      </c>
      <c r="V102" s="119">
        <f t="shared" si="57"/>
        <v>0.11698394016848228</v>
      </c>
      <c r="W102" s="119">
        <f t="shared" si="57"/>
        <v>0.11435737038101808</v>
      </c>
      <c r="X102" s="119">
        <f t="shared" si="57"/>
        <v>0.11692608052186379</v>
      </c>
      <c r="Y102" s="119">
        <f t="shared" si="57"/>
        <v>0.10440876415134408</v>
      </c>
      <c r="Z102" s="119">
        <f t="shared" si="57"/>
        <v>9.7684384896888563E-2</v>
      </c>
      <c r="AA102" s="119">
        <f t="shared" si="57"/>
        <v>0.10368824913571693</v>
      </c>
      <c r="AB102" s="119">
        <f t="shared" si="57"/>
        <v>8.2564650928115241E-2</v>
      </c>
      <c r="AC102" s="119">
        <f t="shared" si="57"/>
        <v>8.3465961159684646E-2</v>
      </c>
      <c r="AD102" s="211">
        <f t="shared" si="57"/>
        <v>7.5842450435234077E-2</v>
      </c>
      <c r="AE102" s="119">
        <f t="shared" si="57"/>
        <v>7.5909008158437943E-2</v>
      </c>
      <c r="AF102" s="119">
        <f t="shared" si="57"/>
        <v>6.971161497164291E-2</v>
      </c>
      <c r="AG102" s="119">
        <f t="shared" si="57"/>
        <v>7.0198508240108884E-2</v>
      </c>
      <c r="AH102" s="119">
        <f t="shared" si="57"/>
        <v>6.1905223697295828E-2</v>
      </c>
      <c r="AI102" s="119">
        <f t="shared" si="57"/>
        <v>5.822845688296438E-2</v>
      </c>
      <c r="AJ102" s="119"/>
    </row>
    <row r="103" spans="1:37">
      <c r="A103" s="6" t="s">
        <v>65</v>
      </c>
      <c r="B103" s="119">
        <f t="shared" ref="B103:AI103" si="58">B48-B35</f>
        <v>0</v>
      </c>
      <c r="C103" s="119">
        <f t="shared" si="58"/>
        <v>0</v>
      </c>
      <c r="D103" s="119">
        <f t="shared" si="58"/>
        <v>-7.3073960310556458</v>
      </c>
      <c r="E103" s="119">
        <f t="shared" si="58"/>
        <v>-19.910842826671114</v>
      </c>
      <c r="F103" s="119">
        <f t="shared" si="58"/>
        <v>-37.331744855861302</v>
      </c>
      <c r="G103" s="119">
        <f t="shared" si="58"/>
        <v>-35.156528771375292</v>
      </c>
      <c r="H103" s="119">
        <f t="shared" si="58"/>
        <v>-34.740038393543955</v>
      </c>
      <c r="I103" s="119">
        <f t="shared" si="58"/>
        <v>-35.872076427560614</v>
      </c>
      <c r="J103" s="119">
        <f t="shared" si="58"/>
        <v>-33.298962877455665</v>
      </c>
      <c r="K103" s="119">
        <f t="shared" si="58"/>
        <v>-36.507489166245136</v>
      </c>
      <c r="L103" s="119">
        <f t="shared" si="58"/>
        <v>-31.605683465958236</v>
      </c>
      <c r="M103" s="119">
        <f t="shared" si="58"/>
        <v>-35.593930711592066</v>
      </c>
      <c r="N103" s="119">
        <f t="shared" si="58"/>
        <v>-32.236719449109046</v>
      </c>
      <c r="O103" s="119">
        <f t="shared" si="58"/>
        <v>-30.427768650579537</v>
      </c>
      <c r="P103" s="119">
        <f t="shared" si="58"/>
        <v>-31.670253342293563</v>
      </c>
      <c r="Q103" s="119">
        <f t="shared" si="58"/>
        <v>-29.710022916350795</v>
      </c>
      <c r="R103" s="119">
        <f t="shared" si="58"/>
        <v>-28.33765692310169</v>
      </c>
      <c r="S103" s="119">
        <f t="shared" si="58"/>
        <v>-28.896879558740238</v>
      </c>
      <c r="T103" s="119">
        <f t="shared" si="58"/>
        <v>-28.173150633529758</v>
      </c>
      <c r="U103" s="119">
        <f t="shared" si="58"/>
        <v>-27.880912496099313</v>
      </c>
      <c r="V103" s="119">
        <f t="shared" si="58"/>
        <v>-27.007950742530738</v>
      </c>
      <c r="W103" s="119">
        <f t="shared" si="58"/>
        <v>-26.049281956914228</v>
      </c>
      <c r="X103" s="119">
        <f t="shared" si="58"/>
        <v>-24.228574739994656</v>
      </c>
      <c r="Y103" s="119">
        <f t="shared" si="58"/>
        <v>-23.620282160010106</v>
      </c>
      <c r="Z103" s="119">
        <f t="shared" si="58"/>
        <v>-21.945571507478348</v>
      </c>
      <c r="AA103" s="119">
        <f t="shared" si="58"/>
        <v>-22.129638526491021</v>
      </c>
      <c r="AB103" s="119">
        <f t="shared" si="58"/>
        <v>-20.910829359243621</v>
      </c>
      <c r="AC103" s="119">
        <f t="shared" si="58"/>
        <v>-19.363861942338076</v>
      </c>
      <c r="AD103" s="211">
        <f t="shared" si="58"/>
        <v>-19.955157905524061</v>
      </c>
      <c r="AE103" s="119">
        <f t="shared" si="58"/>
        <v>-17.609825245431523</v>
      </c>
      <c r="AF103" s="119">
        <f t="shared" si="58"/>
        <v>-16.975168816130918</v>
      </c>
      <c r="AG103" s="119">
        <f t="shared" si="58"/>
        <v>-17.176143529182582</v>
      </c>
      <c r="AH103" s="119">
        <f t="shared" si="58"/>
        <v>-13.642783692940895</v>
      </c>
      <c r="AI103" s="119">
        <f t="shared" si="58"/>
        <v>-6.5804775708265879</v>
      </c>
      <c r="AJ103" s="119"/>
    </row>
    <row r="104" spans="1:37">
      <c r="A104" s="6" t="s">
        <v>52</v>
      </c>
      <c r="B104" s="119">
        <f t="shared" ref="B104:AI104" si="59">B49-B36</f>
        <v>0</v>
      </c>
      <c r="C104" s="119">
        <f t="shared" si="59"/>
        <v>0</v>
      </c>
      <c r="D104" s="119">
        <f t="shared" si="59"/>
        <v>-1.2273285029543501</v>
      </c>
      <c r="E104" s="119">
        <f t="shared" si="59"/>
        <v>-3.1648024561547174</v>
      </c>
      <c r="F104" s="119">
        <f t="shared" si="59"/>
        <v>-4.1247851627307028</v>
      </c>
      <c r="G104" s="119">
        <f t="shared" si="59"/>
        <v>-3.1369709537288202</v>
      </c>
      <c r="H104" s="119">
        <f t="shared" si="59"/>
        <v>-2.8732146544345483</v>
      </c>
      <c r="I104" s="119">
        <f t="shared" si="59"/>
        <v>-3.1143389095100247</v>
      </c>
      <c r="J104" s="119">
        <f t="shared" si="59"/>
        <v>-3.762917612791</v>
      </c>
      <c r="K104" s="119">
        <f t="shared" si="59"/>
        <v>-3.0152153403054172</v>
      </c>
      <c r="L104" s="119">
        <f t="shared" si="59"/>
        <v>-3.059667429742376</v>
      </c>
      <c r="M104" s="119">
        <f t="shared" si="59"/>
        <v>-2.6830297026286729</v>
      </c>
      <c r="N104" s="119">
        <f t="shared" si="59"/>
        <v>-2.9459106169741744</v>
      </c>
      <c r="O104" s="119">
        <f t="shared" si="59"/>
        <v>-2.8088609890194363</v>
      </c>
      <c r="P104" s="119">
        <f t="shared" si="59"/>
        <v>-2.9491945618019031</v>
      </c>
      <c r="Q104" s="119">
        <f t="shared" si="59"/>
        <v>-2.7765872037625883</v>
      </c>
      <c r="R104" s="119">
        <f t="shared" si="59"/>
        <v>-1.7935155937959593</v>
      </c>
      <c r="S104" s="119">
        <f t="shared" si="59"/>
        <v>-0.9107131192712643</v>
      </c>
      <c r="T104" s="119">
        <f t="shared" si="59"/>
        <v>-2.2501516263773453</v>
      </c>
      <c r="U104" s="119">
        <f t="shared" si="59"/>
        <v>-1.9415389465884942</v>
      </c>
      <c r="V104" s="119">
        <f t="shared" si="59"/>
        <v>-2.0341345878294845</v>
      </c>
      <c r="W104" s="119">
        <f t="shared" si="59"/>
        <v>-1.7136188523571576</v>
      </c>
      <c r="X104" s="119">
        <f t="shared" si="59"/>
        <v>-1.6907044365609494</v>
      </c>
      <c r="Y104" s="119">
        <f t="shared" si="59"/>
        <v>-1.8378346397773271</v>
      </c>
      <c r="Z104" s="119">
        <f t="shared" si="59"/>
        <v>-1.2575880654001423</v>
      </c>
      <c r="AA104" s="119">
        <f t="shared" si="59"/>
        <v>-1.5789696459794413</v>
      </c>
      <c r="AB104" s="119">
        <f t="shared" si="59"/>
        <v>-1.3709732955433367</v>
      </c>
      <c r="AC104" s="119">
        <f t="shared" si="59"/>
        <v>-0.75724841268865362</v>
      </c>
      <c r="AD104" s="211">
        <f t="shared" si="59"/>
        <v>-1.2466942092621167</v>
      </c>
      <c r="AE104" s="119">
        <f t="shared" si="59"/>
        <v>-1.0643370261779239</v>
      </c>
      <c r="AF104" s="119">
        <f t="shared" si="59"/>
        <v>-1.0848575154310964</v>
      </c>
      <c r="AG104" s="119">
        <f t="shared" si="59"/>
        <v>0.85945710938925401</v>
      </c>
      <c r="AH104" s="119">
        <f t="shared" si="59"/>
        <v>-0.81243977749457486</v>
      </c>
      <c r="AI104" s="119">
        <f t="shared" si="59"/>
        <v>-0.64479796806139689</v>
      </c>
      <c r="AJ104" s="119"/>
    </row>
    <row r="105" spans="1:37">
      <c r="A105" s="36" t="s">
        <v>66</v>
      </c>
      <c r="B105" s="119">
        <f t="shared" ref="B105:AI105" si="60">B50-B37</f>
        <v>0</v>
      </c>
      <c r="C105" s="119">
        <f t="shared" si="60"/>
        <v>0</v>
      </c>
      <c r="D105" s="119">
        <f t="shared" si="60"/>
        <v>-6.0609896099127702E-2</v>
      </c>
      <c r="E105" s="119">
        <f t="shared" si="60"/>
        <v>-9.3822377800455214E-2</v>
      </c>
      <c r="F105" s="119">
        <f t="shared" si="60"/>
        <v>-0.22445664715627878</v>
      </c>
      <c r="G105" s="119">
        <f t="shared" si="60"/>
        <v>-0.30190801141373846</v>
      </c>
      <c r="H105" s="119">
        <f t="shared" si="60"/>
        <v>-0.30418448801772069</v>
      </c>
      <c r="I105" s="119">
        <f t="shared" si="60"/>
        <v>-0.23054556165794882</v>
      </c>
      <c r="J105" s="119">
        <f t="shared" si="60"/>
        <v>-0.2688970727433535</v>
      </c>
      <c r="K105" s="119">
        <f t="shared" si="60"/>
        <v>-0.33620122709607791</v>
      </c>
      <c r="L105" s="119">
        <f t="shared" si="60"/>
        <v>-0.23268281988564876</v>
      </c>
      <c r="M105" s="119">
        <f t="shared" si="60"/>
        <v>-0.26150845869589023</v>
      </c>
      <c r="N105" s="119">
        <f t="shared" si="60"/>
        <v>-0.21986310363630501</v>
      </c>
      <c r="O105" s="119">
        <f t="shared" si="60"/>
        <v>-0.25030686296772675</v>
      </c>
      <c r="P105" s="119">
        <f t="shared" si="60"/>
        <v>-6.3284406691199946E-2</v>
      </c>
      <c r="Q105" s="119">
        <f t="shared" si="60"/>
        <v>-2.2504511548367301E-2</v>
      </c>
      <c r="R105" s="119">
        <f t="shared" si="60"/>
        <v>-2.4237559020572563E-2</v>
      </c>
      <c r="S105" s="119">
        <f t="shared" si="60"/>
        <v>-2.3376394560339686E-2</v>
      </c>
      <c r="T105" s="119">
        <f t="shared" si="60"/>
        <v>-2.0458328608203735E-2</v>
      </c>
      <c r="U105" s="119">
        <f t="shared" si="60"/>
        <v>-1.7802891944676991E-2</v>
      </c>
      <c r="V105" s="119">
        <f t="shared" si="60"/>
        <v>-1.7185219036264909E-2</v>
      </c>
      <c r="W105" s="119">
        <f t="shared" si="60"/>
        <v>-1.6446830633364051E-2</v>
      </c>
      <c r="X105" s="119">
        <f t="shared" si="60"/>
        <v>-1.6761018702028674E-2</v>
      </c>
      <c r="Y105" s="119">
        <f t="shared" si="60"/>
        <v>-1.3800388670378361E-2</v>
      </c>
      <c r="Z105" s="119">
        <f t="shared" si="60"/>
        <v>-1.4287729958707251E-2</v>
      </c>
      <c r="AA105" s="119">
        <f t="shared" si="60"/>
        <v>-1.4293807593988017E-2</v>
      </c>
      <c r="AB105" s="119">
        <f t="shared" si="60"/>
        <v>-1.2985034652022498E-2</v>
      </c>
      <c r="AC105" s="119">
        <f t="shared" si="60"/>
        <v>-1.1733919974145968E-2</v>
      </c>
      <c r="AD105" s="211">
        <f t="shared" si="60"/>
        <v>-1.0673333889417491E-2</v>
      </c>
      <c r="AE105" s="119">
        <f t="shared" si="60"/>
        <v>-1.0564275434013226E-2</v>
      </c>
      <c r="AF105" s="119">
        <f t="shared" si="60"/>
        <v>-9.5207693839264862E-3</v>
      </c>
      <c r="AG105" s="119">
        <f t="shared" si="60"/>
        <v>-9.1158032403850231E-3</v>
      </c>
      <c r="AH105" s="119">
        <f t="shared" si="60"/>
        <v>-6.7094402232136252E-3</v>
      </c>
      <c r="AI105" s="119">
        <f t="shared" si="60"/>
        <v>-3.277594869097511E-3</v>
      </c>
      <c r="AJ105" s="119"/>
    </row>
    <row r="106" spans="1:37">
      <c r="A106" s="12" t="s">
        <v>69</v>
      </c>
      <c r="B106" s="212">
        <f t="shared" ref="B106:AF106" si="61">B51-B38</f>
        <v>0</v>
      </c>
      <c r="C106" s="212">
        <f t="shared" si="61"/>
        <v>0</v>
      </c>
      <c r="D106" s="212">
        <f t="shared" si="61"/>
        <v>0</v>
      </c>
      <c r="E106" s="212">
        <f t="shared" si="61"/>
        <v>0</v>
      </c>
      <c r="F106" s="212">
        <f t="shared" si="61"/>
        <v>0</v>
      </c>
      <c r="G106" s="212">
        <f t="shared" si="61"/>
        <v>0</v>
      </c>
      <c r="H106" s="212">
        <f t="shared" si="61"/>
        <v>0</v>
      </c>
      <c r="I106" s="212">
        <f t="shared" si="61"/>
        <v>0</v>
      </c>
      <c r="J106" s="212">
        <f t="shared" si="61"/>
        <v>0</v>
      </c>
      <c r="K106" s="212">
        <f t="shared" si="61"/>
        <v>0</v>
      </c>
      <c r="L106" s="212">
        <f t="shared" si="61"/>
        <v>0</v>
      </c>
      <c r="M106" s="212">
        <f t="shared" si="61"/>
        <v>0</v>
      </c>
      <c r="N106" s="212">
        <f t="shared" si="61"/>
        <v>0</v>
      </c>
      <c r="O106" s="212">
        <f t="shared" si="61"/>
        <v>0</v>
      </c>
      <c r="P106" s="212">
        <f t="shared" si="61"/>
        <v>0</v>
      </c>
      <c r="Q106" s="212">
        <f t="shared" si="61"/>
        <v>0</v>
      </c>
      <c r="R106" s="212">
        <f t="shared" si="61"/>
        <v>0</v>
      </c>
      <c r="S106" s="212">
        <f t="shared" si="61"/>
        <v>0</v>
      </c>
      <c r="T106" s="212">
        <f t="shared" si="61"/>
        <v>0</v>
      </c>
      <c r="U106" s="212">
        <f t="shared" si="61"/>
        <v>0</v>
      </c>
      <c r="V106" s="212">
        <f t="shared" si="61"/>
        <v>0</v>
      </c>
      <c r="W106" s="212">
        <f t="shared" si="61"/>
        <v>0</v>
      </c>
      <c r="X106" s="212">
        <f t="shared" si="61"/>
        <v>0</v>
      </c>
      <c r="Y106" s="212">
        <f t="shared" si="61"/>
        <v>0</v>
      </c>
      <c r="Z106" s="212">
        <f t="shared" si="61"/>
        <v>0</v>
      </c>
      <c r="AA106" s="212">
        <f t="shared" si="61"/>
        <v>0</v>
      </c>
      <c r="AB106" s="212">
        <f t="shared" si="61"/>
        <v>0</v>
      </c>
      <c r="AC106" s="212">
        <f t="shared" si="61"/>
        <v>0</v>
      </c>
      <c r="AD106" s="213">
        <f t="shared" si="61"/>
        <v>0</v>
      </c>
      <c r="AE106" s="212">
        <f t="shared" si="61"/>
        <v>0</v>
      </c>
      <c r="AF106" s="212">
        <f t="shared" si="61"/>
        <v>0</v>
      </c>
      <c r="AG106" s="212">
        <f t="shared" ref="AG106:AH106" si="62">AG51-AG38</f>
        <v>0</v>
      </c>
      <c r="AH106" s="212">
        <f t="shared" si="62"/>
        <v>0</v>
      </c>
      <c r="AI106" s="212">
        <f>AI51-AI38</f>
        <v>0</v>
      </c>
      <c r="AJ106" s="212"/>
    </row>
    <row r="107" spans="1:37">
      <c r="A107" s="6" t="s">
        <v>61</v>
      </c>
      <c r="B107" s="119">
        <f t="shared" ref="B107:AI107" si="63">SUM(B97:B106)</f>
        <v>0</v>
      </c>
      <c r="C107" s="119">
        <f t="shared" si="63"/>
        <v>0.95602539473914416</v>
      </c>
      <c r="D107" s="119">
        <f t="shared" si="63"/>
        <v>19.060269329330016</v>
      </c>
      <c r="E107" s="119">
        <f t="shared" si="63"/>
        <v>49.070114150435593</v>
      </c>
      <c r="F107" s="119">
        <f t="shared" si="63"/>
        <v>65.556158164125847</v>
      </c>
      <c r="G107" s="119">
        <f t="shared" si="63"/>
        <v>56.847289508214082</v>
      </c>
      <c r="H107" s="119">
        <f t="shared" si="63"/>
        <v>47.358800935899431</v>
      </c>
      <c r="I107" s="119">
        <f t="shared" si="63"/>
        <v>25.541415130601152</v>
      </c>
      <c r="J107" s="119">
        <f t="shared" si="63"/>
        <v>10.01471319256304</v>
      </c>
      <c r="K107" s="119">
        <f t="shared" si="63"/>
        <v>5.200840720990028</v>
      </c>
      <c r="L107" s="119">
        <f t="shared" si="63"/>
        <v>4.5544700660696735</v>
      </c>
      <c r="M107" s="119">
        <f t="shared" si="63"/>
        <v>-0.72277979458452979</v>
      </c>
      <c r="N107" s="119">
        <f t="shared" si="63"/>
        <v>-2.372838485484186</v>
      </c>
      <c r="O107" s="119">
        <f t="shared" si="63"/>
        <v>-1.6437414931855274</v>
      </c>
      <c r="P107" s="119">
        <f t="shared" si="63"/>
        <v>-19.031870791498815</v>
      </c>
      <c r="Q107" s="119">
        <f t="shared" si="63"/>
        <v>-29.651914057924014</v>
      </c>
      <c r="R107" s="119">
        <f t="shared" si="63"/>
        <v>-17.95064367108716</v>
      </c>
      <c r="S107" s="119">
        <f t="shared" si="63"/>
        <v>-12.329922918810636</v>
      </c>
      <c r="T107" s="119">
        <f t="shared" si="63"/>
        <v>-21.763961677819044</v>
      </c>
      <c r="U107" s="119">
        <f t="shared" si="63"/>
        <v>-28.306840792484348</v>
      </c>
      <c r="V107" s="119">
        <f t="shared" si="63"/>
        <v>-28.104405702994718</v>
      </c>
      <c r="W107" s="119">
        <f t="shared" si="63"/>
        <v>-27.318986401123663</v>
      </c>
      <c r="X107" s="119">
        <f t="shared" si="63"/>
        <v>-25.86227009022554</v>
      </c>
      <c r="Y107" s="119">
        <f t="shared" si="63"/>
        <v>-25.740750436247829</v>
      </c>
      <c r="Z107" s="119">
        <f t="shared" si="63"/>
        <v>-23.782406884698876</v>
      </c>
      <c r="AA107" s="119">
        <f t="shared" si="63"/>
        <v>-24.55017675687645</v>
      </c>
      <c r="AB107" s="119">
        <f t="shared" si="63"/>
        <v>-17.040097579586241</v>
      </c>
      <c r="AC107" s="119">
        <f t="shared" si="63"/>
        <v>-11.329247212338379</v>
      </c>
      <c r="AD107" s="211">
        <f t="shared" si="63"/>
        <v>-13.305476401287061</v>
      </c>
      <c r="AE107" s="119">
        <f t="shared" si="63"/>
        <v>-11.597270907586402</v>
      </c>
      <c r="AF107" s="119">
        <f t="shared" si="63"/>
        <v>-11.720560714926886</v>
      </c>
      <c r="AG107" s="119">
        <f t="shared" si="63"/>
        <v>-10.148046560505541</v>
      </c>
      <c r="AH107" s="119">
        <f t="shared" si="63"/>
        <v>-9.8548111554895055</v>
      </c>
      <c r="AI107" s="119">
        <f t="shared" si="63"/>
        <v>-5.617461196360126</v>
      </c>
      <c r="AJ107" s="119"/>
    </row>
    <row r="108" spans="1:37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52"/>
      <c r="AD108" s="214"/>
      <c r="AE108" s="15"/>
      <c r="AF108" s="15"/>
      <c r="AG108" s="15"/>
      <c r="AH108" s="15"/>
      <c r="AI108" s="15"/>
      <c r="AJ108" s="15"/>
    </row>
    <row r="109" spans="1:37">
      <c r="A109" s="6" t="s">
        <v>64</v>
      </c>
      <c r="AC109" s="36"/>
      <c r="AD109" s="215"/>
    </row>
    <row r="110" spans="1:37">
      <c r="A110" s="152" t="str">
        <f>A96</f>
        <v>Clean Energy Connection-SoBra 700MWs</v>
      </c>
      <c r="B110" s="152">
        <f>$B$1</f>
        <v>2020</v>
      </c>
      <c r="C110" s="152">
        <f t="shared" ref="C110:AI110" si="64">B110+1</f>
        <v>2021</v>
      </c>
      <c r="D110" s="152">
        <f t="shared" si="64"/>
        <v>2022</v>
      </c>
      <c r="E110" s="152">
        <f t="shared" si="64"/>
        <v>2023</v>
      </c>
      <c r="F110" s="152">
        <f t="shared" si="64"/>
        <v>2024</v>
      </c>
      <c r="G110" s="152">
        <f t="shared" si="64"/>
        <v>2025</v>
      </c>
      <c r="H110" s="152">
        <f t="shared" si="64"/>
        <v>2026</v>
      </c>
      <c r="I110" s="152">
        <f t="shared" si="64"/>
        <v>2027</v>
      </c>
      <c r="J110" s="152">
        <f t="shared" si="64"/>
        <v>2028</v>
      </c>
      <c r="K110" s="152">
        <f t="shared" si="64"/>
        <v>2029</v>
      </c>
      <c r="L110" s="152">
        <f t="shared" si="64"/>
        <v>2030</v>
      </c>
      <c r="M110" s="152">
        <f t="shared" si="64"/>
        <v>2031</v>
      </c>
      <c r="N110" s="152">
        <f t="shared" si="64"/>
        <v>2032</v>
      </c>
      <c r="O110" s="152">
        <f t="shared" si="64"/>
        <v>2033</v>
      </c>
      <c r="P110" s="152">
        <f t="shared" si="64"/>
        <v>2034</v>
      </c>
      <c r="Q110" s="152">
        <f t="shared" si="64"/>
        <v>2035</v>
      </c>
      <c r="R110" s="152">
        <f t="shared" si="64"/>
        <v>2036</v>
      </c>
      <c r="S110" s="152">
        <f t="shared" si="64"/>
        <v>2037</v>
      </c>
      <c r="T110" s="152">
        <f t="shared" si="64"/>
        <v>2038</v>
      </c>
      <c r="U110" s="152">
        <f t="shared" si="64"/>
        <v>2039</v>
      </c>
      <c r="V110" s="152">
        <f t="shared" si="64"/>
        <v>2040</v>
      </c>
      <c r="W110" s="152">
        <f t="shared" si="64"/>
        <v>2041</v>
      </c>
      <c r="X110" s="152">
        <f t="shared" si="64"/>
        <v>2042</v>
      </c>
      <c r="Y110" s="152">
        <f t="shared" si="64"/>
        <v>2043</v>
      </c>
      <c r="Z110" s="152">
        <f t="shared" si="64"/>
        <v>2044</v>
      </c>
      <c r="AA110" s="152">
        <f t="shared" si="64"/>
        <v>2045</v>
      </c>
      <c r="AB110" s="152">
        <f t="shared" si="64"/>
        <v>2046</v>
      </c>
      <c r="AC110" s="209">
        <f t="shared" si="64"/>
        <v>2047</v>
      </c>
      <c r="AD110" s="210">
        <f t="shared" si="64"/>
        <v>2048</v>
      </c>
      <c r="AE110" s="152">
        <f t="shared" si="64"/>
        <v>2049</v>
      </c>
      <c r="AF110" s="152">
        <f t="shared" si="64"/>
        <v>2050</v>
      </c>
      <c r="AG110" s="152">
        <f t="shared" si="64"/>
        <v>2051</v>
      </c>
      <c r="AH110" s="152">
        <f t="shared" si="64"/>
        <v>2052</v>
      </c>
      <c r="AI110" s="152">
        <f t="shared" si="64"/>
        <v>2053</v>
      </c>
      <c r="AJ110" s="152"/>
    </row>
    <row r="111" spans="1:37">
      <c r="A111" s="6" t="s">
        <v>134</v>
      </c>
      <c r="B111" s="119">
        <f t="shared" ref="B111:AI111" si="65">B69-B56</f>
        <v>0</v>
      </c>
      <c r="C111" s="119">
        <f t="shared" si="65"/>
        <v>0</v>
      </c>
      <c r="D111" s="119">
        <f t="shared" si="65"/>
        <v>0</v>
      </c>
      <c r="E111" s="119">
        <f t="shared" si="65"/>
        <v>0</v>
      </c>
      <c r="F111" s="119">
        <f t="shared" si="65"/>
        <v>0</v>
      </c>
      <c r="G111" s="119">
        <f t="shared" si="65"/>
        <v>0</v>
      </c>
      <c r="H111" s="119">
        <f t="shared" si="65"/>
        <v>0</v>
      </c>
      <c r="I111" s="119">
        <f t="shared" si="65"/>
        <v>0</v>
      </c>
      <c r="J111" s="119">
        <f t="shared" si="65"/>
        <v>0</v>
      </c>
      <c r="K111" s="119">
        <f t="shared" si="65"/>
        <v>0</v>
      </c>
      <c r="L111" s="119">
        <f t="shared" si="65"/>
        <v>0</v>
      </c>
      <c r="M111" s="119">
        <f t="shared" si="65"/>
        <v>0</v>
      </c>
      <c r="N111" s="119">
        <f t="shared" si="65"/>
        <v>0</v>
      </c>
      <c r="O111" s="119">
        <f t="shared" si="65"/>
        <v>0</v>
      </c>
      <c r="P111" s="119">
        <f t="shared" si="65"/>
        <v>0</v>
      </c>
      <c r="Q111" s="119">
        <f t="shared" si="65"/>
        <v>0</v>
      </c>
      <c r="R111" s="119">
        <f t="shared" si="65"/>
        <v>0</v>
      </c>
      <c r="S111" s="119">
        <f t="shared" si="65"/>
        <v>0</v>
      </c>
      <c r="T111" s="119">
        <f t="shared" si="65"/>
        <v>0</v>
      </c>
      <c r="U111" s="119">
        <f t="shared" si="65"/>
        <v>0</v>
      </c>
      <c r="V111" s="119">
        <f t="shared" si="65"/>
        <v>0</v>
      </c>
      <c r="W111" s="119">
        <f t="shared" si="65"/>
        <v>0</v>
      </c>
      <c r="X111" s="119">
        <f t="shared" si="65"/>
        <v>0</v>
      </c>
      <c r="Y111" s="119">
        <f t="shared" si="65"/>
        <v>0</v>
      </c>
      <c r="Z111" s="119">
        <f t="shared" si="65"/>
        <v>0</v>
      </c>
      <c r="AA111" s="119">
        <f t="shared" si="65"/>
        <v>0</v>
      </c>
      <c r="AB111" s="119">
        <f t="shared" si="65"/>
        <v>0</v>
      </c>
      <c r="AC111" s="119">
        <f t="shared" si="65"/>
        <v>0</v>
      </c>
      <c r="AD111" s="211">
        <f t="shared" si="65"/>
        <v>0</v>
      </c>
      <c r="AE111" s="119">
        <f t="shared" si="65"/>
        <v>0</v>
      </c>
      <c r="AF111" s="119">
        <f t="shared" si="65"/>
        <v>0</v>
      </c>
      <c r="AG111" s="119">
        <f t="shared" si="65"/>
        <v>0</v>
      </c>
      <c r="AH111" s="119">
        <f t="shared" si="65"/>
        <v>0</v>
      </c>
      <c r="AI111" s="119">
        <f t="shared" si="65"/>
        <v>0</v>
      </c>
      <c r="AJ111" s="119"/>
      <c r="AK111" s="119" t="str">
        <f t="shared" ref="AK111:AK120" si="66">A111</f>
        <v>Existing Solar</v>
      </c>
    </row>
    <row r="112" spans="1:37">
      <c r="A112" s="6" t="s">
        <v>135</v>
      </c>
      <c r="B112" s="119">
        <f t="shared" ref="B112:AI112" si="67">B70-B57</f>
        <v>0</v>
      </c>
      <c r="C112" s="119">
        <f t="shared" si="67"/>
        <v>0</v>
      </c>
      <c r="D112" s="119">
        <f t="shared" si="67"/>
        <v>27.104402529171068</v>
      </c>
      <c r="E112" s="119">
        <f t="shared" si="67"/>
        <v>98.781674233069964</v>
      </c>
      <c r="F112" s="119">
        <f t="shared" si="67"/>
        <v>205.49827041468927</v>
      </c>
      <c r="G112" s="119">
        <f t="shared" si="67"/>
        <v>300.46649364736896</v>
      </c>
      <c r="H112" s="119">
        <f t="shared" si="67"/>
        <v>385.39678406731878</v>
      </c>
      <c r="I112" s="119">
        <f t="shared" si="67"/>
        <v>456.76610212359998</v>
      </c>
      <c r="J112" s="119">
        <f t="shared" si="67"/>
        <v>521.38216806475043</v>
      </c>
      <c r="K112" s="119">
        <f t="shared" si="67"/>
        <v>580.22999313960736</v>
      </c>
      <c r="L112" s="119">
        <f t="shared" si="67"/>
        <v>634.01636784102379</v>
      </c>
      <c r="M112" s="119">
        <f t="shared" si="67"/>
        <v>683.26715478238884</v>
      </c>
      <c r="N112" s="119">
        <f t="shared" si="67"/>
        <v>728.35372964352109</v>
      </c>
      <c r="O112" s="119">
        <f t="shared" si="67"/>
        <v>769.60576167263162</v>
      </c>
      <c r="P112" s="119">
        <f t="shared" si="67"/>
        <v>807.31002678440973</v>
      </c>
      <c r="Q112" s="119">
        <f t="shared" si="67"/>
        <v>841.7817862456186</v>
      </c>
      <c r="R112" s="119">
        <f t="shared" si="67"/>
        <v>873.29202848516286</v>
      </c>
      <c r="S112" s="119">
        <f t="shared" si="67"/>
        <v>902.06344495740177</v>
      </c>
      <c r="T112" s="119">
        <f t="shared" si="67"/>
        <v>930.24970017284386</v>
      </c>
      <c r="U112" s="119">
        <f t="shared" si="67"/>
        <v>955.84915294119799</v>
      </c>
      <c r="V112" s="119">
        <f t="shared" si="67"/>
        <v>979.07310442426649</v>
      </c>
      <c r="W112" s="119">
        <f t="shared" si="67"/>
        <v>1000.1248911355183</v>
      </c>
      <c r="X112" s="119">
        <f t="shared" si="67"/>
        <v>1019.2432452792501</v>
      </c>
      <c r="Y112" s="119">
        <f t="shared" si="67"/>
        <v>1036.6317832813522</v>
      </c>
      <c r="Z112" s="119">
        <f t="shared" si="67"/>
        <v>1052.4528204477485</v>
      </c>
      <c r="AA112" s="119">
        <f t="shared" si="67"/>
        <v>1066.8199714822242</v>
      </c>
      <c r="AB112" s="119">
        <f t="shared" si="67"/>
        <v>1079.8900698837747</v>
      </c>
      <c r="AC112" s="119">
        <f t="shared" si="67"/>
        <v>1091.7640225794905</v>
      </c>
      <c r="AD112" s="211">
        <f t="shared" si="67"/>
        <v>1102.5564189601394</v>
      </c>
      <c r="AE112" s="119">
        <f t="shared" si="67"/>
        <v>1112.3456472165315</v>
      </c>
      <c r="AF112" s="119">
        <f t="shared" si="67"/>
        <v>1121.2349572228359</v>
      </c>
      <c r="AG112" s="119">
        <f t="shared" si="67"/>
        <v>1129.7914422876931</v>
      </c>
      <c r="AH112" s="119">
        <f t="shared" si="67"/>
        <v>1136.619048814528</v>
      </c>
      <c r="AI112" s="119">
        <f t="shared" si="67"/>
        <v>1140.2982843495179</v>
      </c>
      <c r="AJ112" s="119"/>
      <c r="AK112" s="119" t="str">
        <f t="shared" si="66"/>
        <v>New Solar</v>
      </c>
    </row>
    <row r="113" spans="1:38">
      <c r="A113" s="6" t="s">
        <v>60</v>
      </c>
      <c r="B113" s="119">
        <f t="shared" ref="B113:AI113" si="68">B71-B58</f>
        <v>0</v>
      </c>
      <c r="C113" s="119">
        <f t="shared" si="68"/>
        <v>0</v>
      </c>
      <c r="D113" s="119">
        <f t="shared" si="68"/>
        <v>0</v>
      </c>
      <c r="E113" s="119">
        <f t="shared" si="68"/>
        <v>0</v>
      </c>
      <c r="F113" s="119">
        <f t="shared" si="68"/>
        <v>0</v>
      </c>
      <c r="G113" s="119">
        <f t="shared" si="68"/>
        <v>0</v>
      </c>
      <c r="H113" s="119">
        <f t="shared" si="68"/>
        <v>0</v>
      </c>
      <c r="I113" s="119">
        <f t="shared" si="68"/>
        <v>-6.8065319934405428</v>
      </c>
      <c r="J113" s="119">
        <f t="shared" si="68"/>
        <v>-23.963273112755651</v>
      </c>
      <c r="K113" s="119">
        <f t="shared" si="68"/>
        <v>-37.68962653509206</v>
      </c>
      <c r="L113" s="119">
        <f t="shared" si="68"/>
        <v>-51.938491893392545</v>
      </c>
      <c r="M113" s="119">
        <f t="shared" si="68"/>
        <v>-63.218316402033011</v>
      </c>
      <c r="N113" s="119">
        <f t="shared" si="68"/>
        <v>-75.08199699487605</v>
      </c>
      <c r="O113" s="119">
        <f t="shared" si="68"/>
        <v>-84.363118834522751</v>
      </c>
      <c r="P113" s="119">
        <f t="shared" si="68"/>
        <v>-95.555131916288076</v>
      </c>
      <c r="Q113" s="119">
        <f t="shared" si="68"/>
        <v>-109.74311048334511</v>
      </c>
      <c r="R113" s="119">
        <f t="shared" si="68"/>
        <v>-117.75217666752008</v>
      </c>
      <c r="S113" s="119">
        <f t="shared" si="68"/>
        <v>-121.79306183603046</v>
      </c>
      <c r="T113" s="119">
        <f t="shared" si="68"/>
        <v>-129.86103987438742</v>
      </c>
      <c r="U113" s="119">
        <f t="shared" si="68"/>
        <v>-140.0916504003319</v>
      </c>
      <c r="V113" s="119">
        <f t="shared" si="68"/>
        <v>-149.36500250181143</v>
      </c>
      <c r="W113" s="119">
        <f t="shared" si="68"/>
        <v>-157.76503353992234</v>
      </c>
      <c r="X113" s="119">
        <f t="shared" si="68"/>
        <v>-165.37771678192939</v>
      </c>
      <c r="Y113" s="119">
        <f t="shared" si="68"/>
        <v>-172.3006922359657</v>
      </c>
      <c r="Z113" s="119">
        <f t="shared" si="68"/>
        <v>-178.6115897763425</v>
      </c>
      <c r="AA113" s="119">
        <f t="shared" si="68"/>
        <v>-184.36170521052736</v>
      </c>
      <c r="AB113" s="119">
        <f t="shared" si="68"/>
        <v>-186.67226590371502</v>
      </c>
      <c r="AC113" s="119">
        <f t="shared" si="68"/>
        <v>-186.84205217319368</v>
      </c>
      <c r="AD113" s="211">
        <f t="shared" si="68"/>
        <v>-187.00038054764764</v>
      </c>
      <c r="AE113" s="119">
        <f t="shared" si="68"/>
        <v>-187.1452413173879</v>
      </c>
      <c r="AF113" s="119">
        <f t="shared" si="68"/>
        <v>-187.2820530561703</v>
      </c>
      <c r="AG113" s="119">
        <f t="shared" si="68"/>
        <v>-187.40756014500812</v>
      </c>
      <c r="AH113" s="119">
        <f t="shared" si="68"/>
        <v>-187.50714140350556</v>
      </c>
      <c r="AI113" s="119">
        <f t="shared" si="68"/>
        <v>-187.58269552528463</v>
      </c>
      <c r="AJ113" s="119"/>
      <c r="AK113" s="119" t="str">
        <f t="shared" si="66"/>
        <v>Conv Gen Capital</v>
      </c>
      <c r="AL113" s="16"/>
    </row>
    <row r="114" spans="1:38">
      <c r="A114" s="6" t="s">
        <v>68</v>
      </c>
      <c r="B114" s="119">
        <f t="shared" ref="B114:AI114" si="69">B72-B59</f>
        <v>0</v>
      </c>
      <c r="C114" s="119">
        <f t="shared" si="69"/>
        <v>0</v>
      </c>
      <c r="D114" s="119">
        <f t="shared" si="69"/>
        <v>0</v>
      </c>
      <c r="E114" s="119">
        <f t="shared" si="69"/>
        <v>0</v>
      </c>
      <c r="F114" s="119">
        <f t="shared" si="69"/>
        <v>0</v>
      </c>
      <c r="G114" s="119">
        <f t="shared" si="69"/>
        <v>0</v>
      </c>
      <c r="H114" s="119">
        <f t="shared" si="69"/>
        <v>0</v>
      </c>
      <c r="I114" s="119">
        <f t="shared" si="69"/>
        <v>-0.16330587684274178</v>
      </c>
      <c r="J114" s="119">
        <f t="shared" si="69"/>
        <v>-0.5891213502827668</v>
      </c>
      <c r="K114" s="119">
        <f t="shared" si="69"/>
        <v>-0.9551235061674106</v>
      </c>
      <c r="L114" s="119">
        <f t="shared" si="69"/>
        <v>-1.3480835154748547</v>
      </c>
      <c r="M114" s="119">
        <f t="shared" si="69"/>
        <v>-1.6858319651919373</v>
      </c>
      <c r="N114" s="119">
        <f t="shared" si="69"/>
        <v>-2.0484601922203183</v>
      </c>
      <c r="O114" s="119">
        <f t="shared" si="69"/>
        <v>-2.3601402918520762</v>
      </c>
      <c r="P114" s="119">
        <f t="shared" si="69"/>
        <v>-2.968785690347886</v>
      </c>
      <c r="Q114" s="119">
        <f t="shared" si="69"/>
        <v>-3.8260816941933626</v>
      </c>
      <c r="R114" s="119">
        <f t="shared" si="69"/>
        <v>-4.4094305986191102</v>
      </c>
      <c r="S114" s="119">
        <f t="shared" si="69"/>
        <v>-4.8049963842986472</v>
      </c>
      <c r="T114" s="119">
        <f t="shared" si="69"/>
        <v>-5.4066560985465912</v>
      </c>
      <c r="U114" s="119">
        <f t="shared" si="69"/>
        <v>-6.1367321643733703</v>
      </c>
      <c r="V114" s="119">
        <f t="shared" si="69"/>
        <v>-6.8380706023322091</v>
      </c>
      <c r="W114" s="119">
        <f t="shared" si="69"/>
        <v>-7.5118014416261758</v>
      </c>
      <c r="X114" s="119">
        <f t="shared" si="69"/>
        <v>-8.1590154177656586</v>
      </c>
      <c r="Y114" s="119">
        <f t="shared" si="69"/>
        <v>-8.7807507171592079</v>
      </c>
      <c r="Z114" s="119">
        <f t="shared" si="69"/>
        <v>-9.3780136805639813</v>
      </c>
      <c r="AA114" s="119">
        <f t="shared" si="69"/>
        <v>-9.9517661686827523</v>
      </c>
      <c r="AB114" s="119">
        <f t="shared" si="69"/>
        <v>-10.342178555049941</v>
      </c>
      <c r="AC114" s="119">
        <f t="shared" si="69"/>
        <v>-10.606914816706649</v>
      </c>
      <c r="AD114" s="211">
        <f t="shared" si="69"/>
        <v>-10.861229775078755</v>
      </c>
      <c r="AE114" s="119">
        <f t="shared" si="69"/>
        <v>-11.105534743956468</v>
      </c>
      <c r="AF114" s="119">
        <f t="shared" si="69"/>
        <v>-11.340224138767098</v>
      </c>
      <c r="AG114" s="119">
        <f t="shared" si="69"/>
        <v>-11.565674855845828</v>
      </c>
      <c r="AH114" s="119">
        <f t="shared" si="69"/>
        <v>-11.782251067264042</v>
      </c>
      <c r="AI114" s="119">
        <f t="shared" si="69"/>
        <v>-11.990301872081091</v>
      </c>
      <c r="AJ114" s="119"/>
      <c r="AK114" s="119" t="str">
        <f t="shared" si="66"/>
        <v>Fixed Costs</v>
      </c>
    </row>
    <row r="115" spans="1:38">
      <c r="A115" s="6" t="s">
        <v>67</v>
      </c>
      <c r="B115" s="119">
        <f t="shared" ref="B115:AI115" si="70">B73-B60</f>
        <v>0</v>
      </c>
      <c r="C115" s="119">
        <f t="shared" si="70"/>
        <v>0</v>
      </c>
      <c r="D115" s="119">
        <f t="shared" si="70"/>
        <v>0</v>
      </c>
      <c r="E115" s="119">
        <f t="shared" si="70"/>
        <v>0</v>
      </c>
      <c r="F115" s="119">
        <f t="shared" si="70"/>
        <v>0</v>
      </c>
      <c r="G115" s="119">
        <f t="shared" si="70"/>
        <v>0</v>
      </c>
      <c r="H115" s="119">
        <f t="shared" si="70"/>
        <v>0</v>
      </c>
      <c r="I115" s="119">
        <f t="shared" si="70"/>
        <v>0</v>
      </c>
      <c r="J115" s="119">
        <f t="shared" si="70"/>
        <v>0</v>
      </c>
      <c r="K115" s="119">
        <f t="shared" si="70"/>
        <v>0</v>
      </c>
      <c r="L115" s="119">
        <f t="shared" si="70"/>
        <v>0</v>
      </c>
      <c r="M115" s="119">
        <f t="shared" si="70"/>
        <v>0</v>
      </c>
      <c r="N115" s="119">
        <f t="shared" si="70"/>
        <v>0</v>
      </c>
      <c r="O115" s="119">
        <f t="shared" si="70"/>
        <v>0</v>
      </c>
      <c r="P115" s="119">
        <f t="shared" si="70"/>
        <v>-10.406972306614989</v>
      </c>
      <c r="Q115" s="119">
        <f t="shared" si="70"/>
        <v>-27.12724599124067</v>
      </c>
      <c r="R115" s="119">
        <f t="shared" si="70"/>
        <v>-37.995702622427416</v>
      </c>
      <c r="S115" s="119">
        <f t="shared" si="70"/>
        <v>-44.967141172227457</v>
      </c>
      <c r="T115" s="119">
        <f t="shared" si="70"/>
        <v>-55.932130000884172</v>
      </c>
      <c r="U115" s="119">
        <f t="shared" si="70"/>
        <v>-69.175066667597093</v>
      </c>
      <c r="V115" s="119">
        <f t="shared" si="70"/>
        <v>-81.58644670499325</v>
      </c>
      <c r="W115" s="119">
        <f t="shared" si="70"/>
        <v>-93.218467670440077</v>
      </c>
      <c r="X115" s="119">
        <f t="shared" si="70"/>
        <v>-104.12008057151434</v>
      </c>
      <c r="Y115" s="119">
        <f t="shared" si="70"/>
        <v>-114.33714983212849</v>
      </c>
      <c r="Z115" s="119">
        <f t="shared" si="70"/>
        <v>-123.91267046150278</v>
      </c>
      <c r="AA115" s="119">
        <f t="shared" si="70"/>
        <v>-132.88691659962296</v>
      </c>
      <c r="AB115" s="119">
        <f t="shared" si="70"/>
        <v>-138.08391646269411</v>
      </c>
      <c r="AC115" s="119">
        <f t="shared" si="70"/>
        <v>-140.80321552577152</v>
      </c>
      <c r="AD115" s="211">
        <f t="shared" si="70"/>
        <v>-143.35176197664168</v>
      </c>
      <c r="AE115" s="119">
        <f t="shared" si="70"/>
        <v>-145.74027786311763</v>
      </c>
      <c r="AF115" s="119">
        <f t="shared" si="70"/>
        <v>-147.97881196478193</v>
      </c>
      <c r="AG115" s="119">
        <f t="shared" si="70"/>
        <v>-150.07678206943456</v>
      </c>
      <c r="AH115" s="119">
        <f t="shared" si="70"/>
        <v>-152.04301459488215</v>
      </c>
      <c r="AI115" s="119">
        <f t="shared" si="70"/>
        <v>-153.88578172276175</v>
      </c>
      <c r="AJ115" s="119"/>
      <c r="AK115" s="119" t="str">
        <f t="shared" si="66"/>
        <v>Gas Reservation Costs</v>
      </c>
    </row>
    <row r="116" spans="1:38">
      <c r="A116" s="6" t="s">
        <v>383</v>
      </c>
      <c r="B116" s="119">
        <f t="shared" ref="B116:AI116" si="71">B74-B61</f>
        <v>0</v>
      </c>
      <c r="C116" s="119">
        <f t="shared" si="71"/>
        <v>0.95602539473914416</v>
      </c>
      <c r="D116" s="119">
        <f t="shared" si="71"/>
        <v>1.5072266250072159</v>
      </c>
      <c r="E116" s="119">
        <f t="shared" si="71"/>
        <v>2.0695367321701985</v>
      </c>
      <c r="F116" s="119">
        <f t="shared" si="71"/>
        <v>2.5900853804250303</v>
      </c>
      <c r="G116" s="119">
        <f t="shared" si="71"/>
        <v>3.0645593924772814</v>
      </c>
      <c r="H116" s="119">
        <f t="shared" si="71"/>
        <v>3.4105074444231458</v>
      </c>
      <c r="I116" s="119">
        <f t="shared" si="71"/>
        <v>3.7694032877547321</v>
      </c>
      <c r="J116" s="119">
        <f t="shared" si="71"/>
        <v>4.081384694912491</v>
      </c>
      <c r="K116" s="119">
        <f t="shared" si="71"/>
        <v>4.385661652913285</v>
      </c>
      <c r="L116" s="119">
        <f t="shared" si="71"/>
        <v>4.6936161007606358</v>
      </c>
      <c r="M116" s="119">
        <f t="shared" si="71"/>
        <v>4.876091196085361</v>
      </c>
      <c r="N116" s="119">
        <f t="shared" si="71"/>
        <v>5.0454798390598876</v>
      </c>
      <c r="O116" s="119">
        <f t="shared" si="71"/>
        <v>5.2294447586090405</v>
      </c>
      <c r="P116" s="119">
        <f t="shared" si="71"/>
        <v>5.3836719529946686</v>
      </c>
      <c r="Q116" s="119">
        <f t="shared" si="71"/>
        <v>5.5346613210514448</v>
      </c>
      <c r="R116" s="119">
        <f t="shared" si="71"/>
        <v>5.690057206126018</v>
      </c>
      <c r="S116" s="119">
        <f t="shared" si="71"/>
        <v>5.8275763916379768</v>
      </c>
      <c r="T116" s="119">
        <f t="shared" si="71"/>
        <v>5.9557466681538642</v>
      </c>
      <c r="U116" s="119">
        <f t="shared" si="71"/>
        <v>6.0933307004328334</v>
      </c>
      <c r="V116" s="119">
        <f t="shared" si="71"/>
        <v>6.2103146406013154</v>
      </c>
      <c r="W116" s="119">
        <f t="shared" si="71"/>
        <v>6.3246720109823338</v>
      </c>
      <c r="X116" s="119">
        <f t="shared" si="71"/>
        <v>6.4415980915041979</v>
      </c>
      <c r="Y116" s="119">
        <f t="shared" si="71"/>
        <v>6.5460068556555422</v>
      </c>
      <c r="Z116" s="119">
        <f t="shared" si="71"/>
        <v>6.6436912405524309</v>
      </c>
      <c r="AA116" s="119">
        <f t="shared" si="71"/>
        <v>6.7473794896881474</v>
      </c>
      <c r="AB116" s="119">
        <f t="shared" si="71"/>
        <v>6.8299441406162629</v>
      </c>
      <c r="AC116" s="119">
        <f t="shared" si="71"/>
        <v>6.9134101017759475</v>
      </c>
      <c r="AD116" s="211">
        <f t="shared" si="71"/>
        <v>6.9892525522111812</v>
      </c>
      <c r="AE116" s="119">
        <f t="shared" si="71"/>
        <v>7.065161560369619</v>
      </c>
      <c r="AF116" s="119">
        <f t="shared" si="71"/>
        <v>7.1348731753412622</v>
      </c>
      <c r="AG116" s="119">
        <f t="shared" si="71"/>
        <v>7.2050716835813713</v>
      </c>
      <c r="AH116" s="119">
        <f t="shared" si="71"/>
        <v>7.266976907278667</v>
      </c>
      <c r="AI116" s="119">
        <f t="shared" si="71"/>
        <v>7.325205364161631</v>
      </c>
      <c r="AJ116" s="119"/>
      <c r="AK116" s="119"/>
    </row>
    <row r="117" spans="1:38">
      <c r="A117" s="6" t="s">
        <v>65</v>
      </c>
      <c r="B117" s="119">
        <f t="shared" ref="B117:AI117" si="72">B75-B62</f>
        <v>0</v>
      </c>
      <c r="C117" s="119">
        <f t="shared" si="72"/>
        <v>0</v>
      </c>
      <c r="D117" s="119">
        <f t="shared" si="72"/>
        <v>-7.3073960310553048</v>
      </c>
      <c r="E117" s="119">
        <f t="shared" si="72"/>
        <v>-27.218238857726192</v>
      </c>
      <c r="F117" s="119">
        <f t="shared" si="72"/>
        <v>-64.549983713587608</v>
      </c>
      <c r="G117" s="119">
        <f t="shared" si="72"/>
        <v>-99.706512484962332</v>
      </c>
      <c r="H117" s="119">
        <f t="shared" si="72"/>
        <v>-134.44655087850606</v>
      </c>
      <c r="I117" s="119">
        <f t="shared" si="72"/>
        <v>-170.31862730606736</v>
      </c>
      <c r="J117" s="119">
        <f t="shared" si="72"/>
        <v>-203.61759018352313</v>
      </c>
      <c r="K117" s="119">
        <f t="shared" si="72"/>
        <v>-240.12507934976838</v>
      </c>
      <c r="L117" s="119">
        <f t="shared" si="72"/>
        <v>-271.73076281572685</v>
      </c>
      <c r="M117" s="119">
        <f t="shared" si="72"/>
        <v>-307.32469352732005</v>
      </c>
      <c r="N117" s="119">
        <f t="shared" si="72"/>
        <v>-339.56141297642898</v>
      </c>
      <c r="O117" s="119">
        <f t="shared" si="72"/>
        <v>-369.98918162700829</v>
      </c>
      <c r="P117" s="119">
        <f t="shared" si="72"/>
        <v>-401.65943496930049</v>
      </c>
      <c r="Q117" s="119">
        <f t="shared" si="72"/>
        <v>-431.36945788565026</v>
      </c>
      <c r="R117" s="119">
        <f t="shared" si="72"/>
        <v>-459.70711480875252</v>
      </c>
      <c r="S117" s="119">
        <f t="shared" si="72"/>
        <v>-488.6039943674914</v>
      </c>
      <c r="T117" s="119">
        <f t="shared" si="72"/>
        <v>-516.77714500102047</v>
      </c>
      <c r="U117" s="119">
        <f t="shared" si="72"/>
        <v>-544.65805749711944</v>
      </c>
      <c r="V117" s="119">
        <f t="shared" si="72"/>
        <v>-571.66600823965018</v>
      </c>
      <c r="W117" s="119">
        <f t="shared" si="72"/>
        <v>-597.71529019656373</v>
      </c>
      <c r="X117" s="119">
        <f t="shared" si="72"/>
        <v>-621.94386493655657</v>
      </c>
      <c r="Y117" s="119">
        <f t="shared" si="72"/>
        <v>-645.56414709656747</v>
      </c>
      <c r="Z117" s="119">
        <f t="shared" si="72"/>
        <v>-667.50971860404752</v>
      </c>
      <c r="AA117" s="119">
        <f t="shared" si="72"/>
        <v>-689.63935713053797</v>
      </c>
      <c r="AB117" s="119">
        <f t="shared" si="72"/>
        <v>-710.55018648978148</v>
      </c>
      <c r="AC117" s="119">
        <f t="shared" si="72"/>
        <v>-729.91404843211785</v>
      </c>
      <c r="AD117" s="211">
        <f t="shared" si="72"/>
        <v>-749.86920633764021</v>
      </c>
      <c r="AE117" s="119">
        <f t="shared" si="72"/>
        <v>-767.47903158307236</v>
      </c>
      <c r="AF117" s="119">
        <f t="shared" si="72"/>
        <v>-784.45420039920282</v>
      </c>
      <c r="AG117" s="119">
        <f t="shared" si="72"/>
        <v>-801.63034392838381</v>
      </c>
      <c r="AH117" s="119">
        <f t="shared" si="72"/>
        <v>-815.27312762132351</v>
      </c>
      <c r="AI117" s="119">
        <f t="shared" si="72"/>
        <v>-821.85360519215101</v>
      </c>
      <c r="AJ117" s="119"/>
      <c r="AK117" s="119" t="str">
        <f t="shared" si="66"/>
        <v>Fuel Costs</v>
      </c>
    </row>
    <row r="118" spans="1:38">
      <c r="A118" s="6" t="s">
        <v>52</v>
      </c>
      <c r="B118" s="119">
        <f t="shared" ref="B118:AI118" si="73">B76-B63</f>
        <v>0</v>
      </c>
      <c r="C118" s="119">
        <f t="shared" si="73"/>
        <v>0</v>
      </c>
      <c r="D118" s="119">
        <f t="shared" si="73"/>
        <v>-1.2273285029543217</v>
      </c>
      <c r="E118" s="119">
        <f t="shared" si="73"/>
        <v>-4.3921309591090676</v>
      </c>
      <c r="F118" s="119">
        <f t="shared" si="73"/>
        <v>-8.5169161218398131</v>
      </c>
      <c r="G118" s="119">
        <f t="shared" si="73"/>
        <v>-11.653887075568605</v>
      </c>
      <c r="H118" s="119">
        <f t="shared" si="73"/>
        <v>-14.52710173000321</v>
      </c>
      <c r="I118" s="119">
        <f t="shared" si="73"/>
        <v>-17.641440639513235</v>
      </c>
      <c r="J118" s="119">
        <f t="shared" si="73"/>
        <v>-21.404358252304178</v>
      </c>
      <c r="K118" s="119">
        <f t="shared" si="73"/>
        <v>-24.419573592609595</v>
      </c>
      <c r="L118" s="119">
        <f t="shared" si="73"/>
        <v>-27.479241022351971</v>
      </c>
      <c r="M118" s="119">
        <f t="shared" si="73"/>
        <v>-30.162270724980772</v>
      </c>
      <c r="N118" s="119">
        <f t="shared" si="73"/>
        <v>-33.108181341954833</v>
      </c>
      <c r="O118" s="119">
        <f t="shared" si="73"/>
        <v>-35.917042330974255</v>
      </c>
      <c r="P118" s="119">
        <f t="shared" si="73"/>
        <v>-38.866236892775987</v>
      </c>
      <c r="Q118" s="119">
        <f t="shared" si="73"/>
        <v>-41.642824096538561</v>
      </c>
      <c r="R118" s="119">
        <f t="shared" si="73"/>
        <v>-43.436339690334535</v>
      </c>
      <c r="S118" s="119">
        <f t="shared" si="73"/>
        <v>-44.347052809605884</v>
      </c>
      <c r="T118" s="119">
        <f t="shared" si="73"/>
        <v>-46.597204435983258</v>
      </c>
      <c r="U118" s="119">
        <f t="shared" si="73"/>
        <v>-48.538743382571738</v>
      </c>
      <c r="V118" s="119">
        <f t="shared" si="73"/>
        <v>-50.572877970400896</v>
      </c>
      <c r="W118" s="119">
        <f t="shared" si="73"/>
        <v>-52.286496822758181</v>
      </c>
      <c r="X118" s="119">
        <f t="shared" si="73"/>
        <v>-53.977201259319372</v>
      </c>
      <c r="Y118" s="119">
        <f t="shared" si="73"/>
        <v>-55.815035899096529</v>
      </c>
      <c r="Z118" s="119">
        <f t="shared" si="73"/>
        <v>-57.07262396449687</v>
      </c>
      <c r="AA118" s="119">
        <f t="shared" si="73"/>
        <v>-58.651593610476084</v>
      </c>
      <c r="AB118" s="119">
        <f t="shared" si="73"/>
        <v>-60.02256690601962</v>
      </c>
      <c r="AC118" s="119">
        <f t="shared" si="73"/>
        <v>-60.779815318708188</v>
      </c>
      <c r="AD118" s="211">
        <f t="shared" si="73"/>
        <v>-62.02650952797012</v>
      </c>
      <c r="AE118" s="119">
        <f t="shared" si="73"/>
        <v>-63.090846554147902</v>
      </c>
      <c r="AF118" s="119">
        <f t="shared" si="73"/>
        <v>-64.175704069578842</v>
      </c>
      <c r="AG118" s="119">
        <f t="shared" si="73"/>
        <v>-63.316246960189801</v>
      </c>
      <c r="AH118" s="119">
        <f t="shared" si="73"/>
        <v>-64.128686737684347</v>
      </c>
      <c r="AI118" s="119">
        <f t="shared" si="73"/>
        <v>-64.773484705745886</v>
      </c>
      <c r="AJ118" s="119"/>
      <c r="AK118" s="119" t="str">
        <f t="shared" si="66"/>
        <v>Variable Costs</v>
      </c>
    </row>
    <row r="119" spans="1:38">
      <c r="A119" s="36" t="s">
        <v>66</v>
      </c>
      <c r="B119" s="119">
        <f t="shared" ref="B119:AI119" si="74">B77-B64</f>
        <v>0</v>
      </c>
      <c r="C119" s="119">
        <f t="shared" si="74"/>
        <v>0</v>
      </c>
      <c r="D119" s="119">
        <f t="shared" si="74"/>
        <v>-6.0609896099126814E-2</v>
      </c>
      <c r="E119" s="119">
        <f t="shared" si="74"/>
        <v>-0.15443227389958381</v>
      </c>
      <c r="F119" s="119">
        <f t="shared" si="74"/>
        <v>-0.37888892105586081</v>
      </c>
      <c r="G119" s="119">
        <f t="shared" si="74"/>
        <v>-0.6807969324696046</v>
      </c>
      <c r="H119" s="119">
        <f t="shared" si="74"/>
        <v>-0.98498142048732262</v>
      </c>
      <c r="I119" s="119">
        <f t="shared" si="74"/>
        <v>-1.2155269821452706</v>
      </c>
      <c r="J119" s="119">
        <f t="shared" si="74"/>
        <v>-1.4844240548886205</v>
      </c>
      <c r="K119" s="119">
        <f t="shared" si="74"/>
        <v>-1.8206252819846966</v>
      </c>
      <c r="L119" s="119">
        <f t="shared" si="74"/>
        <v>-2.0533081018703427</v>
      </c>
      <c r="M119" s="119">
        <f t="shared" si="74"/>
        <v>-2.3148165605662285</v>
      </c>
      <c r="N119" s="119">
        <f t="shared" si="74"/>
        <v>-2.5346796642025282</v>
      </c>
      <c r="O119" s="119">
        <f t="shared" si="74"/>
        <v>-2.7849865271702612</v>
      </c>
      <c r="P119" s="119">
        <f t="shared" si="74"/>
        <v>-2.8482709338614711</v>
      </c>
      <c r="Q119" s="119">
        <f t="shared" si="74"/>
        <v>-2.8707754454098335</v>
      </c>
      <c r="R119" s="119">
        <f t="shared" si="74"/>
        <v>-2.8950130044304103</v>
      </c>
      <c r="S119" s="119">
        <f t="shared" si="74"/>
        <v>-2.9183893989907546</v>
      </c>
      <c r="T119" s="119">
        <f t="shared" si="74"/>
        <v>-2.9388477275989544</v>
      </c>
      <c r="U119" s="119">
        <f t="shared" si="74"/>
        <v>-2.9566506195436375</v>
      </c>
      <c r="V119" s="119">
        <f t="shared" si="74"/>
        <v>-2.9738358385799017</v>
      </c>
      <c r="W119" s="119">
        <f t="shared" si="74"/>
        <v>-2.990282669213272</v>
      </c>
      <c r="X119" s="119">
        <f t="shared" si="74"/>
        <v>-3.0070436879152993</v>
      </c>
      <c r="Y119" s="119">
        <f t="shared" si="74"/>
        <v>-3.020844076585675</v>
      </c>
      <c r="Z119" s="119">
        <f t="shared" si="74"/>
        <v>-3.0351318065443849</v>
      </c>
      <c r="AA119" s="119">
        <f t="shared" si="74"/>
        <v>-3.0494256141383715</v>
      </c>
      <c r="AB119" s="119">
        <f t="shared" si="74"/>
        <v>-3.0624106487904044</v>
      </c>
      <c r="AC119" s="119">
        <f t="shared" si="74"/>
        <v>-3.0741445687645523</v>
      </c>
      <c r="AD119" s="211">
        <f t="shared" si="74"/>
        <v>-3.0848179026539668</v>
      </c>
      <c r="AE119" s="119">
        <f t="shared" si="74"/>
        <v>-3.0953821780879736</v>
      </c>
      <c r="AF119" s="119">
        <f t="shared" si="74"/>
        <v>-3.1049029474718992</v>
      </c>
      <c r="AG119" s="119">
        <f t="shared" si="74"/>
        <v>-3.1140187507122903</v>
      </c>
      <c r="AH119" s="119">
        <f t="shared" si="74"/>
        <v>-3.1207281909355089</v>
      </c>
      <c r="AI119" s="119">
        <f t="shared" si="74"/>
        <v>-3.1240057858045986</v>
      </c>
      <c r="AJ119" s="119"/>
      <c r="AK119" s="119" t="str">
        <f t="shared" si="66"/>
        <v>Environmental Costs</v>
      </c>
    </row>
    <row r="120" spans="1:38">
      <c r="A120" s="12" t="s">
        <v>69</v>
      </c>
      <c r="B120" s="212">
        <f t="shared" ref="B120:AF120" si="75">B78-B65</f>
        <v>0</v>
      </c>
      <c r="C120" s="212">
        <f t="shared" si="75"/>
        <v>0</v>
      </c>
      <c r="D120" s="212">
        <f t="shared" si="75"/>
        <v>0</v>
      </c>
      <c r="E120" s="212">
        <f t="shared" si="75"/>
        <v>0</v>
      </c>
      <c r="F120" s="212">
        <f t="shared" si="75"/>
        <v>0</v>
      </c>
      <c r="G120" s="212">
        <f t="shared" si="75"/>
        <v>0</v>
      </c>
      <c r="H120" s="212">
        <f t="shared" si="75"/>
        <v>0</v>
      </c>
      <c r="I120" s="212">
        <f t="shared" si="75"/>
        <v>0</v>
      </c>
      <c r="J120" s="212">
        <f t="shared" si="75"/>
        <v>0</v>
      </c>
      <c r="K120" s="212">
        <f t="shared" si="75"/>
        <v>0</v>
      </c>
      <c r="L120" s="212">
        <f t="shared" si="75"/>
        <v>0</v>
      </c>
      <c r="M120" s="212">
        <f t="shared" si="75"/>
        <v>0</v>
      </c>
      <c r="N120" s="212">
        <f t="shared" si="75"/>
        <v>0</v>
      </c>
      <c r="O120" s="212">
        <f t="shared" si="75"/>
        <v>0</v>
      </c>
      <c r="P120" s="212">
        <f t="shared" si="75"/>
        <v>0</v>
      </c>
      <c r="Q120" s="212">
        <f t="shared" si="75"/>
        <v>0</v>
      </c>
      <c r="R120" s="212">
        <f t="shared" si="75"/>
        <v>0</v>
      </c>
      <c r="S120" s="212">
        <f t="shared" si="75"/>
        <v>0</v>
      </c>
      <c r="T120" s="212">
        <f t="shared" si="75"/>
        <v>0</v>
      </c>
      <c r="U120" s="212">
        <f t="shared" si="75"/>
        <v>0</v>
      </c>
      <c r="V120" s="212">
        <f t="shared" si="75"/>
        <v>0</v>
      </c>
      <c r="W120" s="212">
        <f t="shared" si="75"/>
        <v>0</v>
      </c>
      <c r="X120" s="212">
        <f t="shared" si="75"/>
        <v>0</v>
      </c>
      <c r="Y120" s="212">
        <f t="shared" si="75"/>
        <v>0</v>
      </c>
      <c r="Z120" s="212">
        <f t="shared" si="75"/>
        <v>0</v>
      </c>
      <c r="AA120" s="212">
        <f t="shared" si="75"/>
        <v>0</v>
      </c>
      <c r="AB120" s="212">
        <f t="shared" si="75"/>
        <v>0</v>
      </c>
      <c r="AC120" s="212">
        <f t="shared" si="75"/>
        <v>0</v>
      </c>
      <c r="AD120" s="213">
        <f t="shared" si="75"/>
        <v>0</v>
      </c>
      <c r="AE120" s="212">
        <f t="shared" si="75"/>
        <v>0</v>
      </c>
      <c r="AF120" s="212">
        <f t="shared" si="75"/>
        <v>0</v>
      </c>
      <c r="AG120" s="212">
        <f t="shared" ref="AG120:AH120" si="76">AG78-AG65</f>
        <v>0</v>
      </c>
      <c r="AH120" s="212">
        <f t="shared" si="76"/>
        <v>0</v>
      </c>
      <c r="AI120" s="212">
        <f>AI78-AI65</f>
        <v>0</v>
      </c>
      <c r="AJ120" s="212"/>
      <c r="AK120" s="212" t="str">
        <f t="shared" si="66"/>
        <v>CO2 Costs</v>
      </c>
    </row>
    <row r="121" spans="1:38">
      <c r="A121" s="6" t="s">
        <v>72</v>
      </c>
      <c r="B121" s="15">
        <f t="shared" ref="B121:AI121" si="77">SUM(B111:B120)</f>
        <v>0</v>
      </c>
      <c r="C121" s="15">
        <f t="shared" si="77"/>
        <v>0.95602539473914416</v>
      </c>
      <c r="D121" s="15">
        <f t="shared" si="77"/>
        <v>20.016294724069532</v>
      </c>
      <c r="E121" s="15">
        <f t="shared" si="77"/>
        <v>69.08640887450531</v>
      </c>
      <c r="F121" s="15">
        <f t="shared" si="77"/>
        <v>134.642567038631</v>
      </c>
      <c r="G121" s="15">
        <f t="shared" si="77"/>
        <v>191.48985654684572</v>
      </c>
      <c r="H121" s="15">
        <f t="shared" si="77"/>
        <v>238.84865748274535</v>
      </c>
      <c r="I121" s="15">
        <f t="shared" si="77"/>
        <v>264.39007261334558</v>
      </c>
      <c r="J121" s="15">
        <f t="shared" si="77"/>
        <v>274.4047858059086</v>
      </c>
      <c r="K121" s="15">
        <f t="shared" si="77"/>
        <v>279.6056265268985</v>
      </c>
      <c r="L121" s="15">
        <f t="shared" si="77"/>
        <v>284.16009659296788</v>
      </c>
      <c r="M121" s="15">
        <f t="shared" si="77"/>
        <v>283.4373167983822</v>
      </c>
      <c r="N121" s="15">
        <f t="shared" si="77"/>
        <v>281.0644783128983</v>
      </c>
      <c r="O121" s="15">
        <f t="shared" si="77"/>
        <v>279.420736819713</v>
      </c>
      <c r="P121" s="15">
        <f t="shared" si="77"/>
        <v>260.38886602821549</v>
      </c>
      <c r="Q121" s="15">
        <f t="shared" si="77"/>
        <v>230.73695197029218</v>
      </c>
      <c r="R121" s="15">
        <f t="shared" si="77"/>
        <v>212.78630829920476</v>
      </c>
      <c r="S121" s="15">
        <f t="shared" si="77"/>
        <v>200.45638538039515</v>
      </c>
      <c r="T121" s="15">
        <f t="shared" si="77"/>
        <v>178.69242370257689</v>
      </c>
      <c r="U121" s="15">
        <f t="shared" si="77"/>
        <v>150.38558291009363</v>
      </c>
      <c r="V121" s="15">
        <f t="shared" si="77"/>
        <v>122.28117720709989</v>
      </c>
      <c r="W121" s="15">
        <f t="shared" si="77"/>
        <v>94.962190805976846</v>
      </c>
      <c r="X121" s="15">
        <f t="shared" si="77"/>
        <v>69.09992071575364</v>
      </c>
      <c r="Y121" s="15">
        <f t="shared" si="77"/>
        <v>43.359170279504653</v>
      </c>
      <c r="Z121" s="15">
        <f t="shared" si="77"/>
        <v>19.576763394802967</v>
      </c>
      <c r="AA121" s="15">
        <f t="shared" si="77"/>
        <v>-4.973413362073174</v>
      </c>
      <c r="AB121" s="15">
        <f t="shared" si="77"/>
        <v>-22.013510941659632</v>
      </c>
      <c r="AC121" s="52">
        <f t="shared" si="77"/>
        <v>-33.342758153995931</v>
      </c>
      <c r="AD121" s="214">
        <f t="shared" si="77"/>
        <v>-46.64823455528186</v>
      </c>
      <c r="AE121" s="15">
        <f t="shared" si="77"/>
        <v>-58.24550546286919</v>
      </c>
      <c r="AF121" s="15">
        <f t="shared" si="77"/>
        <v>-69.966066177795781</v>
      </c>
      <c r="AG121" s="15">
        <f t="shared" si="77"/>
        <v>-80.114112738299838</v>
      </c>
      <c r="AH121" s="15">
        <f t="shared" si="77"/>
        <v>-89.968923893788386</v>
      </c>
      <c r="AI121" s="15">
        <f t="shared" si="77"/>
        <v>-95.586385090149435</v>
      </c>
      <c r="AJ121" s="15"/>
      <c r="AK121" s="6" t="s">
        <v>72</v>
      </c>
    </row>
    <row r="122" spans="1:38">
      <c r="A122" s="6" t="s">
        <v>73</v>
      </c>
      <c r="B122" s="15">
        <f t="shared" ref="B122:AI122" si="78">B121-B120</f>
        <v>0</v>
      </c>
      <c r="C122" s="15">
        <f t="shared" si="78"/>
        <v>0.95602539473914416</v>
      </c>
      <c r="D122" s="15">
        <f t="shared" si="78"/>
        <v>20.016294724069532</v>
      </c>
      <c r="E122" s="15">
        <f t="shared" si="78"/>
        <v>69.08640887450531</v>
      </c>
      <c r="F122" s="15">
        <f t="shared" si="78"/>
        <v>134.642567038631</v>
      </c>
      <c r="G122" s="15">
        <f t="shared" si="78"/>
        <v>191.48985654684572</v>
      </c>
      <c r="H122" s="15">
        <f t="shared" si="78"/>
        <v>238.84865748274535</v>
      </c>
      <c r="I122" s="15">
        <f t="shared" si="78"/>
        <v>264.39007261334558</v>
      </c>
      <c r="J122" s="15">
        <f t="shared" si="78"/>
        <v>274.4047858059086</v>
      </c>
      <c r="K122" s="15">
        <f t="shared" si="78"/>
        <v>279.6056265268985</v>
      </c>
      <c r="L122" s="15">
        <f t="shared" si="78"/>
        <v>284.16009659296788</v>
      </c>
      <c r="M122" s="15">
        <f t="shared" si="78"/>
        <v>283.4373167983822</v>
      </c>
      <c r="N122" s="15">
        <f t="shared" si="78"/>
        <v>281.0644783128983</v>
      </c>
      <c r="O122" s="15">
        <f t="shared" si="78"/>
        <v>279.420736819713</v>
      </c>
      <c r="P122" s="15">
        <f t="shared" si="78"/>
        <v>260.38886602821549</v>
      </c>
      <c r="Q122" s="15">
        <f t="shared" si="78"/>
        <v>230.73695197029218</v>
      </c>
      <c r="R122" s="15">
        <f t="shared" si="78"/>
        <v>212.78630829920476</v>
      </c>
      <c r="S122" s="15">
        <f t="shared" si="78"/>
        <v>200.45638538039515</v>
      </c>
      <c r="T122" s="15">
        <f t="shared" si="78"/>
        <v>178.69242370257689</v>
      </c>
      <c r="U122" s="15">
        <f t="shared" si="78"/>
        <v>150.38558291009363</v>
      </c>
      <c r="V122" s="15">
        <f t="shared" si="78"/>
        <v>122.28117720709989</v>
      </c>
      <c r="W122" s="15">
        <f t="shared" si="78"/>
        <v>94.962190805976846</v>
      </c>
      <c r="X122" s="15">
        <f t="shared" si="78"/>
        <v>69.09992071575364</v>
      </c>
      <c r="Y122" s="15">
        <f t="shared" si="78"/>
        <v>43.359170279504653</v>
      </c>
      <c r="Z122" s="15">
        <f t="shared" si="78"/>
        <v>19.576763394802967</v>
      </c>
      <c r="AA122" s="15">
        <f t="shared" si="78"/>
        <v>-4.973413362073174</v>
      </c>
      <c r="AB122" s="15">
        <f t="shared" si="78"/>
        <v>-22.013510941659632</v>
      </c>
      <c r="AC122" s="52">
        <f t="shared" si="78"/>
        <v>-33.342758153995931</v>
      </c>
      <c r="AD122" s="214">
        <f t="shared" si="78"/>
        <v>-46.64823455528186</v>
      </c>
      <c r="AE122" s="15">
        <f t="shared" si="78"/>
        <v>-58.24550546286919</v>
      </c>
      <c r="AF122" s="15">
        <f t="shared" si="78"/>
        <v>-69.966066177795781</v>
      </c>
      <c r="AG122" s="15">
        <f t="shared" si="78"/>
        <v>-80.114112738299838</v>
      </c>
      <c r="AH122" s="15">
        <f t="shared" si="78"/>
        <v>-89.968923893788386</v>
      </c>
      <c r="AI122" s="15">
        <f t="shared" si="78"/>
        <v>-95.586385090149435</v>
      </c>
      <c r="AJ122" s="15"/>
      <c r="AK122" s="6" t="s">
        <v>73</v>
      </c>
    </row>
    <row r="123" spans="1:38">
      <c r="AG123" s="216"/>
      <c r="AH123" s="216"/>
      <c r="AI123" s="16">
        <f>Sensitivity_Summary!M23</f>
        <v>-95.586388728675956</v>
      </c>
    </row>
    <row r="124" spans="1:38">
      <c r="AI124" s="16">
        <f>Sensitivity_Summary!M21</f>
        <v>-95.586388728675956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C064F-F66B-437E-8190-423A01EFD05C}">
  <dimension ref="A1:AL124"/>
  <sheetViews>
    <sheetView topLeftCell="P103" workbookViewId="0">
      <selection activeCell="Z112" sqref="Z112"/>
    </sheetView>
  </sheetViews>
  <sheetFormatPr defaultColWidth="8.90625" defaultRowHeight="14.5"/>
  <cols>
    <col min="1" max="1" width="27.1796875" style="6" bestFit="1" customWidth="1"/>
    <col min="2" max="7" width="7.1796875" style="6" bestFit="1" customWidth="1"/>
    <col min="8" max="33" width="8.36328125" style="6" bestFit="1" customWidth="1"/>
    <col min="34" max="34" width="8.36328125" style="6" customWidth="1"/>
    <col min="35" max="36" width="8.36328125" style="6" bestFit="1" customWidth="1"/>
    <col min="37" max="37" width="23.453125" style="6" bestFit="1" customWidth="1"/>
    <col min="38" max="16384" width="8.90625" style="6"/>
  </cols>
  <sheetData>
    <row r="1" spans="1:36" s="152" customFormat="1">
      <c r="A1" s="152" t="s">
        <v>160</v>
      </c>
      <c r="B1" s="152">
        <v>2020</v>
      </c>
      <c r="C1" s="152">
        <f t="shared" ref="C1:AI1" si="0">B1+1</f>
        <v>2021</v>
      </c>
      <c r="D1" s="152">
        <f t="shared" si="0"/>
        <v>2022</v>
      </c>
      <c r="E1" s="152">
        <f t="shared" si="0"/>
        <v>2023</v>
      </c>
      <c r="F1" s="152">
        <f t="shared" si="0"/>
        <v>2024</v>
      </c>
      <c r="G1" s="152">
        <f t="shared" si="0"/>
        <v>2025</v>
      </c>
      <c r="H1" s="152">
        <f t="shared" si="0"/>
        <v>2026</v>
      </c>
      <c r="I1" s="152">
        <f t="shared" si="0"/>
        <v>2027</v>
      </c>
      <c r="J1" s="152">
        <f t="shared" si="0"/>
        <v>2028</v>
      </c>
      <c r="K1" s="152">
        <f t="shared" si="0"/>
        <v>2029</v>
      </c>
      <c r="L1" s="152">
        <f t="shared" si="0"/>
        <v>2030</v>
      </c>
      <c r="M1" s="152">
        <f t="shared" si="0"/>
        <v>2031</v>
      </c>
      <c r="N1" s="152">
        <f t="shared" si="0"/>
        <v>2032</v>
      </c>
      <c r="O1" s="152">
        <f t="shared" si="0"/>
        <v>2033</v>
      </c>
      <c r="P1" s="152">
        <f t="shared" si="0"/>
        <v>2034</v>
      </c>
      <c r="Q1" s="152">
        <f t="shared" si="0"/>
        <v>2035</v>
      </c>
      <c r="R1" s="152">
        <f t="shared" si="0"/>
        <v>2036</v>
      </c>
      <c r="S1" s="152">
        <f t="shared" si="0"/>
        <v>2037</v>
      </c>
      <c r="T1" s="152">
        <f t="shared" si="0"/>
        <v>2038</v>
      </c>
      <c r="U1" s="152">
        <f t="shared" si="0"/>
        <v>2039</v>
      </c>
      <c r="V1" s="152">
        <f t="shared" si="0"/>
        <v>2040</v>
      </c>
      <c r="W1" s="152">
        <f t="shared" si="0"/>
        <v>2041</v>
      </c>
      <c r="X1" s="152">
        <f t="shared" si="0"/>
        <v>2042</v>
      </c>
      <c r="Y1" s="152">
        <f t="shared" si="0"/>
        <v>2043</v>
      </c>
      <c r="Z1" s="152">
        <f t="shared" si="0"/>
        <v>2044</v>
      </c>
      <c r="AA1" s="152">
        <f t="shared" si="0"/>
        <v>2045</v>
      </c>
      <c r="AB1" s="152">
        <f t="shared" si="0"/>
        <v>2046</v>
      </c>
      <c r="AC1" s="209">
        <f t="shared" si="0"/>
        <v>2047</v>
      </c>
      <c r="AD1" s="210">
        <f t="shared" si="0"/>
        <v>2048</v>
      </c>
      <c r="AE1" s="152">
        <f t="shared" si="0"/>
        <v>2049</v>
      </c>
      <c r="AF1" s="152">
        <f t="shared" si="0"/>
        <v>2050</v>
      </c>
      <c r="AG1" s="152">
        <f t="shared" si="0"/>
        <v>2051</v>
      </c>
      <c r="AH1" s="152">
        <f t="shared" si="0"/>
        <v>2052</v>
      </c>
      <c r="AI1" s="152">
        <f t="shared" si="0"/>
        <v>2053</v>
      </c>
    </row>
    <row r="2" spans="1:36">
      <c r="A2" s="6" t="s">
        <v>134</v>
      </c>
      <c r="B2" s="16">
        <f>Hamilton!E$10/1000+Columbia!E$10/1000+Lake_Placid!E$10/1000+Trenton!E$10/1000+Debary!E$10/1000+Santa_Fe!E$10/1000+Twin_Rivers!E$10/1000+Duette!E$10/1000+Charlie_Creek!E$10/1000+Archer!E$10/1000</f>
        <v>65.260450182206341</v>
      </c>
      <c r="C2" s="16">
        <f>Hamilton!F$10/1000+Columbia!F$10/1000+Lake_Placid!F$10/1000+Trenton!F$10/1000+Debary!F$10/1000+Santa_Fe!F$10/1000+Twin_Rivers!F$10/1000+Duette!F$10/1000+Charlie_Creek!F$10/1000+Archer!F$10/1000</f>
        <v>102.08062069466152</v>
      </c>
      <c r="D2" s="16">
        <f>Hamilton!G$10/1000+Columbia!G$10/1000+Lake_Placid!G$10/1000+Trenton!G$10/1000+Debary!G$10/1000+Santa_Fe!G$10/1000+Twin_Rivers!G$10/1000+Duette!G$10/1000+Charlie_Creek!G$10/1000+Archer!G$10/1000</f>
        <v>140.1396490741636</v>
      </c>
      <c r="E2" s="16">
        <f>Hamilton!H$10/1000+Columbia!H$10/1000+Lake_Placid!H$10/1000+Trenton!H$10/1000+Debary!H$10/1000+Santa_Fe!H$10/1000+Twin_Rivers!H$10/1000+Duette!H$10/1000+Charlie_Creek!H$10/1000+Archer!H$10/1000</f>
        <v>134.04030278914058</v>
      </c>
      <c r="F2" s="16">
        <f>Hamilton!I$10/1000+Columbia!I$10/1000+Lake_Placid!I$10/1000+Trenton!I$10/1000+Debary!I$10/1000+Santa_Fe!I$10/1000+Twin_Rivers!I$10/1000+Duette!I$10/1000+Charlie_Creek!I$10/1000+Archer!I$10/1000</f>
        <v>128.64619422858411</v>
      </c>
      <c r="G2" s="16">
        <f>Hamilton!J$10/1000+Columbia!J$10/1000+Lake_Placid!J$10/1000+Trenton!J$10/1000+Debary!J$10/1000+Santa_Fe!J$10/1000+Twin_Rivers!J$10/1000+Duette!J$10/1000+Charlie_Creek!J$10/1000+Archer!J$10/1000</f>
        <v>120.64800562725537</v>
      </c>
      <c r="H2" s="16">
        <f>Hamilton!K$10/1000+Columbia!K$10/1000+Lake_Placid!K$10/1000+Trenton!K$10/1000+Debary!K$10/1000+Santa_Fe!K$10/1000+Twin_Rivers!K$10/1000+Duette!K$10/1000+Charlie_Creek!K$10/1000+Archer!K$10/1000</f>
        <v>106.55728151377239</v>
      </c>
      <c r="I2" s="16">
        <f>Hamilton!L$10/1000+Columbia!L$10/1000+Lake_Placid!L$10/1000+Trenton!L$10/1000+Debary!L$10/1000+Santa_Fe!L$10/1000+Twin_Rivers!L$10/1000+Duette!L$10/1000+Charlie_Creek!L$10/1000+Archer!L$10/1000</f>
        <v>103.56659689744981</v>
      </c>
      <c r="J2" s="16">
        <f>Hamilton!M$10/1000+Columbia!M$10/1000+Lake_Placid!M$10/1000+Trenton!M$10/1000+Debary!M$10/1000+Santa_Fe!M$10/1000+Twin_Rivers!M$10/1000+Duette!M$10/1000+Charlie_Creek!M$10/1000+Archer!M$10/1000</f>
        <v>100.82687797199034</v>
      </c>
      <c r="K2" s="16">
        <f>Hamilton!N$10/1000+Columbia!N$10/1000+Lake_Placid!N$10/1000+Trenton!N$10/1000+Debary!N$10/1000+Santa_Fe!N$10/1000+Twin_Rivers!N$10/1000+Duette!N$10/1000+Charlie_Creek!N$10/1000+Archer!N$10/1000</f>
        <v>98.309899435961768</v>
      </c>
      <c r="L2" s="16">
        <f>Hamilton!O$10/1000+Columbia!O$10/1000+Lake_Placid!O$10/1000+Trenton!O$10/1000+Debary!O$10/1000+Santa_Fe!O$10/1000+Twin_Rivers!O$10/1000+Duette!O$10/1000+Charlie_Creek!O$10/1000+Archer!O$10/1000</f>
        <v>95.755033583931194</v>
      </c>
      <c r="M2" s="16">
        <f>Hamilton!P$10/1000+Columbia!P$10/1000+Lake_Placid!P$10/1000+Trenton!P$10/1000+Debary!P$10/1000+Santa_Fe!P$10/1000+Twin_Rivers!P$10/1000+Duette!P$10/1000+Charlie_Creek!P$10/1000+Archer!P$10/1000</f>
        <v>93.237225357173344</v>
      </c>
      <c r="N2" s="16">
        <f>Hamilton!Q$10/1000+Columbia!Q$10/1000+Lake_Placid!Q$10/1000+Trenton!Q$10/1000+Debary!Q$10/1000+Santa_Fe!Q$10/1000+Twin_Rivers!Q$10/1000+Duette!Q$10/1000+Charlie_Creek!Q$10/1000+Archer!Q$10/1000</f>
        <v>90.726054168103147</v>
      </c>
      <c r="O2" s="16">
        <f>Hamilton!R$10/1000+Columbia!R$10/1000+Lake_Placid!R$10/1000+Trenton!R$10/1000+Debary!R$10/1000+Santa_Fe!R$10/1000+Twin_Rivers!R$10/1000+Duette!R$10/1000+Charlie_Creek!R$10/1000+Archer!R$10/1000</f>
        <v>88.301601526088845</v>
      </c>
      <c r="P2" s="16">
        <f>Hamilton!S$10/1000+Columbia!S$10/1000+Lake_Placid!S$10/1000+Trenton!S$10/1000+Debary!S$10/1000+Santa_Fe!S$10/1000+Twin_Rivers!S$10/1000+Duette!S$10/1000+Charlie_Creek!S$10/1000+Archer!S$10/1000</f>
        <v>85.76397260337508</v>
      </c>
      <c r="Q2" s="16">
        <f>Hamilton!T$10/1000+Columbia!T$10/1000+Lake_Placid!T$10/1000+Trenton!T$10/1000+Debary!T$10/1000+Santa_Fe!T$10/1000+Twin_Rivers!T$10/1000+Duette!T$10/1000+Charlie_Creek!T$10/1000+Archer!T$10/1000</f>
        <v>83.238224479776378</v>
      </c>
      <c r="R2" s="16">
        <f>Hamilton!U$10/1000+Columbia!U$10/1000+Lake_Placid!U$10/1000+Trenton!U$10/1000+Debary!U$10/1000+Santa_Fe!U$10/1000+Twin_Rivers!U$10/1000+Duette!U$10/1000+Charlie_Creek!U$10/1000+Archer!U$10/1000</f>
        <v>80.598791337134827</v>
      </c>
      <c r="S2" s="16">
        <f>Hamilton!V$10/1000+Columbia!V$10/1000+Lake_Placid!V$10/1000+Trenton!V$10/1000+Debary!V$10/1000+Santa_Fe!V$10/1000+Twin_Rivers!V$10/1000+Duette!V$10/1000+Charlie_Creek!V$10/1000+Archer!V$10/1000</f>
        <v>78.071339778696768</v>
      </c>
      <c r="T2" s="16">
        <f>Hamilton!W$10/1000+Columbia!W$10/1000+Lake_Placid!W$10/1000+Trenton!W$10/1000+Debary!W$10/1000+Santa_Fe!W$10/1000+Twin_Rivers!W$10/1000+Duette!W$10/1000+Charlie_Creek!W$10/1000+Archer!W$10/1000</f>
        <v>78.09258300930594</v>
      </c>
      <c r="U2" s="16">
        <f>Hamilton!X$10/1000+Columbia!X$10/1000+Lake_Placid!X$10/1000+Trenton!X$10/1000+Debary!X$10/1000+Santa_Fe!X$10/1000+Twin_Rivers!X$10/1000+Duette!X$10/1000+Charlie_Creek!X$10/1000+Archer!X$10/1000</f>
        <v>77.049132064444734</v>
      </c>
      <c r="V2" s="16">
        <f>Hamilton!Y$10/1000+Columbia!Y$10/1000+Lake_Placid!Y$10/1000+Trenton!Y$10/1000+Debary!Y$10/1000+Santa_Fe!Y$10/1000+Twin_Rivers!Y$10/1000+Duette!Y$10/1000+Charlie_Creek!Y$10/1000+Archer!Y$10/1000</f>
        <v>74.343785062889211</v>
      </c>
      <c r="W2" s="16">
        <f>Hamilton!Z$10/1000+Columbia!Z$10/1000+Lake_Placid!Z$10/1000+Trenton!Z$10/1000+Debary!Z$10/1000+Santa_Fe!Z$10/1000+Twin_Rivers!Z$10/1000+Duette!Z$10/1000+Charlie_Creek!Z$10/1000+Archer!Z$10/1000</f>
        <v>71.700748538238017</v>
      </c>
      <c r="X2" s="16">
        <f>Hamilton!AA$10/1000+Columbia!AA$10/1000+Lake_Placid!AA$10/1000+Trenton!AA$10/1000+Debary!AA$10/1000+Santa_Fe!AA$10/1000+Twin_Rivers!AA$10/1000+Duette!AA$10/1000+Charlie_Creek!AA$10/1000+Archer!AA$10/1000</f>
        <v>69.274426053501713</v>
      </c>
      <c r="Y2" s="16">
        <f>Hamilton!AB$10/1000+Columbia!AB$10/1000+Lake_Placid!AB$10/1000+Trenton!AB$10/1000+Debary!AB$10/1000+Santa_Fe!AB$10/1000+Twin_Rivers!AB$10/1000+Duette!AB$10/1000+Charlie_Creek!AB$10/1000+Archer!AB$10/1000</f>
        <v>66.777509599182792</v>
      </c>
      <c r="Z2" s="16">
        <f>Hamilton!AC$10/1000+Columbia!AC$10/1000+Lake_Placid!AC$10/1000+Trenton!AC$10/1000+Debary!AC$10/1000+Santa_Fe!AC$10/1000+Twin_Rivers!AC$10/1000+Duette!AC$10/1000+Charlie_Creek!AC$10/1000+Archer!AC$10/1000</f>
        <v>64.511486072982294</v>
      </c>
      <c r="AA2" s="16">
        <f>Hamilton!AD$10/1000+Columbia!AD$10/1000+Lake_Placid!AD$10/1000+Trenton!AD$10/1000+Debary!AD$10/1000+Santa_Fe!AD$10/1000+Twin_Rivers!AD$10/1000+Duette!AD$10/1000+Charlie_Creek!AD$10/1000+Archer!AD$10/1000</f>
        <v>62.123479086747679</v>
      </c>
      <c r="AB2" s="16">
        <f>Hamilton!AE$10/1000+Columbia!AE$10/1000+Lake_Placid!AE$10/1000+Trenton!AE$10/1000+Debary!AE$10/1000+Santa_Fe!AE$10/1000+Twin_Rivers!AE$10/1000+Duette!AE$10/1000+Charlie_Creek!AE$10/1000+Archer!AE$10/1000</f>
        <v>59.912845166921755</v>
      </c>
      <c r="AC2" s="16">
        <f>Hamilton!AF$10/1000+Columbia!AF$10/1000+Lake_Placid!AF$10/1000+Trenton!AF$10/1000+Debary!AF$10/1000+Santa_Fe!AF$10/1000+Twin_Rivers!AF$10/1000+Duette!AF$10/1000+Charlie_Creek!AF$10/1000+Archer!AF$10/1000</f>
        <v>57.650395769136487</v>
      </c>
      <c r="AD2" s="16">
        <f>Hamilton!AG$10/1000+Columbia!AG$10/1000+Lake_Placid!AG$10/1000+Trenton!AG$10/1000+Debary!AG$10/1000+Santa_Fe!AG$10/1000+Twin_Rivers!AG$10/1000+Duette!AG$10/1000+Charlie_Creek!AG$10/1000+Archer!AG$10/1000</f>
        <v>57.703514450685773</v>
      </c>
      <c r="AE2" s="16">
        <f>Hamilton!AH$10/1000+Columbia!AH$10/1000+Lake_Placid!AH$10/1000+Trenton!AH$10/1000+Debary!AH$10/1000+Santa_Fe!AH$10/1000+Twin_Rivers!AH$10/1000+Duette!AH$10/1000+Charlie_Creek!AH$10/1000+Archer!AH$10/1000</f>
        <v>52.145094362648948</v>
      </c>
      <c r="AF2" s="16">
        <f>Hamilton!AI$10/1000+Columbia!AI$10/1000+Lake_Placid!AI$10/1000+Trenton!AI$10/1000+Debary!AI$10/1000+Santa_Fe!AI$10/1000+Twin_Rivers!AI$10/1000+Duette!AI$10/1000+Charlie_Creek!AI$10/1000+Archer!AI$10/1000</f>
        <v>37.078414464395848</v>
      </c>
      <c r="AG2" s="16">
        <f>Hamilton!AJ$10/1000+Columbia!AJ$10/1000+Lake_Placid!AJ$10/1000+Trenton!AJ$10/1000+Debary!AJ$10/1000+Santa_Fe!AJ$10/1000+Twin_Rivers!AJ$10/1000+Duette!AJ$10/1000+Charlie_Creek!AJ$10/1000+Archer!AJ$10/1000</f>
        <v>21.622436034797943</v>
      </c>
      <c r="AH2" s="16">
        <f>Hamilton!AK$10/1000+Columbia!AK$10/1000+Lake_Placid!AK$10/1000+Trenton!AK$10/1000+Debary!AK$10/1000+Santa_Fe!AK$10/1000+Twin_Rivers!AK$10/1000+Duette!AK$10/1000+Charlie_Creek!AK$10/1000+Archer!AK$10/1000</f>
        <v>3.3113138854625253</v>
      </c>
      <c r="AI2" s="16">
        <f>Hamilton!AL$10/1000+Columbia!AL$10/1000+Lake_Placid!AL$10/1000+Trenton!AL$10/1000+Debary!AL$10/1000+Santa_Fe!AL$10/1000+Twin_Rivers!AL$10/1000+Duette!AL$10/1000+Charlie_Creek!AL$10/1000+Archer!AL$10/1000</f>
        <v>3.1867270656465223</v>
      </c>
      <c r="AJ2" s="16"/>
    </row>
    <row r="3" spans="1:36">
      <c r="A3" s="6" t="s">
        <v>135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19"/>
      <c r="AD3" s="211"/>
      <c r="AE3" s="16"/>
      <c r="AF3" s="16"/>
      <c r="AG3" s="16"/>
      <c r="AH3" s="16"/>
      <c r="AI3" s="16"/>
      <c r="AJ3" s="16"/>
    </row>
    <row r="4" spans="1:36">
      <c r="A4" s="6" t="s">
        <v>60</v>
      </c>
      <c r="B4" s="16">
        <f>('[9]2019Fall_SoB700_GENCAP_2048'!F$18+'[9]2019Fall_SoB700_TRANSCAP_2048'!F$18)/1000</f>
        <v>0</v>
      </c>
      <c r="C4" s="16">
        <f>('[9]2019Fall_SoB700_GENCAP_2048'!G$18+'[9]2019Fall_SoB700_TRANSCAP_2048'!G$18)/1000</f>
        <v>0</v>
      </c>
      <c r="D4" s="16">
        <f>('[9]2019Fall_SoB700_GENCAP_2048'!H$18+'[9]2019Fall_SoB700_TRANSCAP_2048'!H$18)/1000</f>
        <v>0</v>
      </c>
      <c r="E4" s="16">
        <f>('[9]2019Fall_SoB700_GENCAP_2048'!I$18+'[9]2019Fall_SoB700_TRANSCAP_2048'!I$18)/1000</f>
        <v>0</v>
      </c>
      <c r="F4" s="16">
        <f>('[9]2019Fall_SoB700_GENCAP_2048'!J$18+'[9]2019Fall_SoB700_TRANSCAP_2048'!J$18)/1000</f>
        <v>0</v>
      </c>
      <c r="G4" s="16">
        <f>('[9]2019Fall_SoB700_GENCAP_2048'!K$18+'[9]2019Fall_SoB700_TRANSCAP_2048'!K$18)/1000</f>
        <v>0</v>
      </c>
      <c r="H4" s="16">
        <f>('[9]2019Fall_SoB700_GENCAP_2048'!L$18+'[9]2019Fall_SoB700_TRANSCAP_2048'!L$18)/1000</f>
        <v>0</v>
      </c>
      <c r="I4" s="16">
        <f>('[9]2019Fall_SoB700_GENCAP_2048'!M$18+'[9]2019Fall_SoB700_TRANSCAP_2048'!M$18)/1000</f>
        <v>21.434177450472909</v>
      </c>
      <c r="J4" s="16">
        <f>('[9]2019Fall_SoB700_GENCAP_2048'!N$18+'[9]2019Fall_SoB700_TRANSCAP_2048'!N$18)/1000</f>
        <v>46.783275595120465</v>
      </c>
      <c r="K4" s="16">
        <f>('[9]2019Fall_SoB700_GENCAP_2048'!O$18+'[9]2019Fall_SoB700_TRANSCAP_2048'!O$18)/1000</f>
        <v>53.031853500100247</v>
      </c>
      <c r="L4" s="16">
        <f>('[9]2019Fall_SoB700_GENCAP_2048'!P$18+'[9]2019Fall_SoB700_TRANSCAP_2048'!P$18)/1000</f>
        <v>62.602768641587524</v>
      </c>
      <c r="M4" s="16">
        <f>('[9]2019Fall_SoB700_GENCAP_2048'!Q$18+'[9]2019Fall_SoB700_TRANSCAP_2048'!Q$18)/1000</f>
        <v>68.630002208999557</v>
      </c>
      <c r="N4" s="16">
        <f>('[9]2019Fall_SoB700_GENCAP_2048'!R$18+'[9]2019Fall_SoB700_TRANSCAP_2048'!R$18)/1000</f>
        <v>78.084648561876662</v>
      </c>
      <c r="O4" s="16">
        <f>('[9]2019Fall_SoB700_GENCAP_2048'!S$18+'[9]2019Fall_SoB700_TRANSCAP_2048'!S$18)/1000</f>
        <v>83.90167833980307</v>
      </c>
      <c r="P4" s="16">
        <f>('[9]2019Fall_SoB700_GENCAP_2048'!T$18+'[9]2019Fall_SoB700_TRANSCAP_2048'!T$18)/1000</f>
        <v>248.27907354502517</v>
      </c>
      <c r="Q4" s="16">
        <f>('[9]2019Fall_SoB700_GENCAP_2048'!U$18+'[9]2019Fall_SoB700_TRANSCAP_2048'!U$18)/1000</f>
        <v>632.97020285773101</v>
      </c>
      <c r="R4" s="16">
        <f>('[9]2019Fall_SoB700_GENCAP_2048'!V$18+'[9]2019Fall_SoB700_TRANSCAP_2048'!V$18)/1000</f>
        <v>615.72601174634895</v>
      </c>
      <c r="S4" s="16">
        <f>('[9]2019Fall_SoB700_GENCAP_2048'!W$18+'[9]2019Fall_SoB700_TRANSCAP_2048'!W$18)/1000</f>
        <v>598.82111580229616</v>
      </c>
      <c r="T4" s="16">
        <f>('[9]2019Fall_SoB700_GENCAP_2048'!X$18+'[9]2019Fall_SoB700_TRANSCAP_2048'!X$18)/1000</f>
        <v>624.69098127424638</v>
      </c>
      <c r="U4" s="16">
        <f>('[9]2019Fall_SoB700_GENCAP_2048'!Y$18+'[9]2019Fall_SoB700_TRANSCAP_2048'!Y$18)/1000</f>
        <v>637.06084355861947</v>
      </c>
      <c r="V4" s="16">
        <f>('[9]2019Fall_SoB700_GENCAP_2048'!Z$18+'[9]2019Fall_SoB700_TRANSCAP_2048'!Z$18)/1000</f>
        <v>633.33267355328871</v>
      </c>
      <c r="W4" s="16">
        <f>('[9]2019Fall_SoB700_GENCAP_2048'!AA$18+'[9]2019Fall_SoB700_TRANSCAP_2048'!AA$18)/1000</f>
        <v>625.15877162656579</v>
      </c>
      <c r="X4" s="16">
        <f>('[9]2019Fall_SoB700_GENCAP_2048'!AB$18+'[9]2019Fall_SoB700_TRANSCAP_2048'!AB$18)/1000</f>
        <v>732.67837413507004</v>
      </c>
      <c r="Y4" s="16">
        <f>('[9]2019Fall_SoB700_GENCAP_2048'!AC$18+'[9]2019Fall_SoB700_TRANSCAP_2048'!AC$18)/1000</f>
        <v>1100.7216882743105</v>
      </c>
      <c r="Z4" s="16">
        <f>('[9]2019Fall_SoB700_GENCAP_2048'!AD$18+'[9]2019Fall_SoB700_TRANSCAP_2048'!AD$18)/1000</f>
        <v>1100.1367299120557</v>
      </c>
      <c r="AA4" s="16">
        <f>('[9]2019Fall_SoB700_GENCAP_2048'!AE$18+'[9]2019Fall_SoB700_TRANSCAP_2048'!AE$18)/1000</f>
        <v>1105.5048609957257</v>
      </c>
      <c r="AB4" s="16">
        <f>('[9]2019Fall_SoB700_GENCAP_2048'!AF$18+'[9]2019Fall_SoB700_TRANSCAP_2048'!AF$18)/1000</f>
        <v>1083.7882489875949</v>
      </c>
      <c r="AC4" s="119">
        <f>('[9]2019Fall_SoB700_GENCAP_2048'!AG$18+'[9]2019Fall_SoB700_TRANSCAP_2048'!AG$18)/1000</f>
        <v>1051.106887865913</v>
      </c>
      <c r="AD4" s="211">
        <f>('[9]2019Fall_SoB700_GENCAP_2048'!AH$18+'[9]2019Fall_SoB700_TRANSCAP_2048'!AH$18)/1000</f>
        <v>1018.8083174654716</v>
      </c>
      <c r="AE4" s="16">
        <f>('[9]2019Fall_SoB700_GENCAP_2048'!AI$18+'[9]2019Fall_SoB700_TRANSCAP_2048'!AI$18)/1000</f>
        <v>987.0132304095896</v>
      </c>
      <c r="AF4" s="16">
        <f>('[9]2019Fall_SoB700_GENCAP_2048'!AJ$18+'[9]2019Fall_SoB700_TRANSCAP_2048'!AJ$18)/1000</f>
        <v>955.77733501619127</v>
      </c>
      <c r="AG4" s="16">
        <f>('[9]2019Fall_SoB700_GENCAP_2048'!AK$18+'[9]2019Fall_SoB700_TRANSCAP_2048'!AK$18)/1000</f>
        <v>924.80624485719784</v>
      </c>
      <c r="AH4" s="16">
        <f>('[9]2019Fall_SoB700_GENCAP_2048'!AL$18+'[9]2019Fall_SoB700_TRANSCAP_2048'!AL$18)/1000</f>
        <v>893.86948255701031</v>
      </c>
      <c r="AI4" s="16">
        <f>('[9]2019Fall_SoB700_GENCAP_2048'!AM$18+'[9]2019Fall_SoB700_TRANSCAP_2048'!AM$18)/1000</f>
        <v>863.11299395514084</v>
      </c>
      <c r="AJ4" s="23"/>
    </row>
    <row r="5" spans="1:36">
      <c r="A5" s="6" t="s">
        <v>68</v>
      </c>
      <c r="B5" s="16">
        <f>'[12]FOM Cost'!C$150/1000</f>
        <v>445.38108</v>
      </c>
      <c r="C5" s="16">
        <f>'[12]FOM Cost'!D$150/1000</f>
        <v>433.15770000000009</v>
      </c>
      <c r="D5" s="16">
        <f>'[12]FOM Cost'!E$150/1000</f>
        <v>436.09264999999999</v>
      </c>
      <c r="E5" s="16">
        <f>'[12]FOM Cost'!F$150/1000</f>
        <v>456.05954000000003</v>
      </c>
      <c r="F5" s="16">
        <f>'[12]FOM Cost'!G$150/1000</f>
        <v>300.44051999999999</v>
      </c>
      <c r="G5" s="16">
        <f>'[12]FOM Cost'!H$150/1000</f>
        <v>147.85322000000002</v>
      </c>
      <c r="H5" s="16">
        <f>'[12]FOM Cost'!I$150/1000</f>
        <v>57.67533000000001</v>
      </c>
      <c r="I5" s="16">
        <f>'[12]FOM Cost'!J$150/1000</f>
        <v>32.805870000000006</v>
      </c>
      <c r="J5" s="16">
        <f>'[12]FOM Cost'!K$150/1000</f>
        <v>21.746859999999998</v>
      </c>
      <c r="K5" s="16">
        <f>'[12]FOM Cost'!L$150/1000</f>
        <v>22.249190000000002</v>
      </c>
      <c r="L5" s="16">
        <f>'[12]FOM Cost'!M$150/1000</f>
        <v>22.85896</v>
      </c>
      <c r="M5" s="16">
        <f>'[12]FOM Cost'!N$150/1000</f>
        <v>23.44145</v>
      </c>
      <c r="N5" s="16">
        <f>'[12]FOM Cost'!O$150/1000</f>
        <v>24.103559999999998</v>
      </c>
      <c r="O5" s="16">
        <f>'[12]FOM Cost'!P$150/1000</f>
        <v>24.687150000000003</v>
      </c>
      <c r="P5" s="16">
        <f>'[12]FOM Cost'!Q$150/1000</f>
        <v>31.993279999999995</v>
      </c>
      <c r="Q5" s="16">
        <f>'[12]FOM Cost'!R$150/1000</f>
        <v>37.711539999999999</v>
      </c>
      <c r="R5" s="16">
        <f>'[12]FOM Cost'!S$150/1000</f>
        <v>38.342299999999994</v>
      </c>
      <c r="S5" s="16">
        <f>'[12]FOM Cost'!T$150/1000</f>
        <v>39.068809999999999</v>
      </c>
      <c r="T5" s="16">
        <f>'[12]FOM Cost'!U$150/1000</f>
        <v>41.958259999999996</v>
      </c>
      <c r="U5" s="16">
        <f>'[12]FOM Cost'!V$150/1000</f>
        <v>44.362510000000007</v>
      </c>
      <c r="V5" s="16">
        <f>'[12]FOM Cost'!W$150/1000</f>
        <v>46.055909999999997</v>
      </c>
      <c r="W5" s="16">
        <f>'[12]FOM Cost'!X$150/1000</f>
        <v>47.500499999999995</v>
      </c>
      <c r="X5" s="16">
        <f>'[12]FOM Cost'!Y$150/1000</f>
        <v>54.107329999999997</v>
      </c>
      <c r="Y5" s="16">
        <f>'[12]FOM Cost'!Z$150/1000</f>
        <v>59.410680000000006</v>
      </c>
      <c r="Z5" s="16">
        <f>'[12]FOM Cost'!AA$150/1000</f>
        <v>62.365270000000017</v>
      </c>
      <c r="AA5" s="16">
        <f>'[12]FOM Cost'!AB$150/1000</f>
        <v>65.325920000000011</v>
      </c>
      <c r="AB5" s="16">
        <f>'[12]FOM Cost'!AC$150/1000</f>
        <v>66.539740000000009</v>
      </c>
      <c r="AC5" s="119">
        <f>'[12]FOM Cost'!AD$150/1000</f>
        <v>67.969149999999999</v>
      </c>
      <c r="AD5" s="211">
        <f>'[12]FOM Cost'!AE$150/1000</f>
        <v>69.480310000000003</v>
      </c>
      <c r="AE5" s="16">
        <f>'[12]FOM Cost'!AF$150/1000</f>
        <v>68.531019999999998</v>
      </c>
      <c r="AF5" s="16">
        <f>'[12]FOM Cost'!AG$150/1000</f>
        <v>64.426320000000004</v>
      </c>
      <c r="AG5" s="16">
        <f>'[12]FOM Cost'!AH$150/1000</f>
        <v>60.653360000000006</v>
      </c>
      <c r="AH5" s="16">
        <f>'[12]FOM Cost'!AI$150/1000</f>
        <v>58.473479999999995</v>
      </c>
      <c r="AI5" s="16">
        <f>'[12]FOM Cost'!AJ$150/1000</f>
        <v>59.704849999999993</v>
      </c>
      <c r="AJ5" s="16"/>
    </row>
    <row r="6" spans="1:36">
      <c r="A6" s="6" t="s">
        <v>67</v>
      </c>
      <c r="B6" s="16">
        <f>[12]System!B$13/1000</f>
        <v>390.67815999999999</v>
      </c>
      <c r="C6" s="16">
        <f>[12]System!C$13/1000</f>
        <v>384.87225999999998</v>
      </c>
      <c r="D6" s="16">
        <f>[12]System!D$13/1000</f>
        <v>381.80252000000002</v>
      </c>
      <c r="E6" s="16">
        <f>[12]System!E$13/1000</f>
        <v>381.80252000000002</v>
      </c>
      <c r="F6" s="16">
        <f>[12]System!F$13/1000</f>
        <v>382.80076000000003</v>
      </c>
      <c r="G6" s="16">
        <f>[12]System!G$13/1000</f>
        <v>381.80250999999998</v>
      </c>
      <c r="H6" s="16">
        <f>[12]System!H$13/1000</f>
        <v>381.80252000000002</v>
      </c>
      <c r="I6" s="16">
        <f>[12]System!I$13/1000</f>
        <v>381.80250999999998</v>
      </c>
      <c r="J6" s="16">
        <f>[12]System!J$13/1000</f>
        <v>382.80076000000003</v>
      </c>
      <c r="K6" s="16">
        <f>[12]System!K$13/1000</f>
        <v>381.80252000000002</v>
      </c>
      <c r="L6" s="16">
        <f>[12]System!L$13/1000</f>
        <v>381.80252000000002</v>
      </c>
      <c r="M6" s="16">
        <f>[12]System!M$13/1000</f>
        <v>381.80250999999998</v>
      </c>
      <c r="N6" s="16">
        <f>[12]System!N$13/1000</f>
        <v>382.80076000000003</v>
      </c>
      <c r="O6" s="16">
        <f>[12]System!O$13/1000</f>
        <v>381.80252000000002</v>
      </c>
      <c r="P6" s="16">
        <f>[12]System!P$13/1000</f>
        <v>488.03607999999997</v>
      </c>
      <c r="Q6" s="16">
        <f>[12]System!Q$13/1000</f>
        <v>565.75178000000005</v>
      </c>
      <c r="R6" s="16">
        <f>[12]System!R$13/1000</f>
        <v>565.75178000000005</v>
      </c>
      <c r="S6" s="16">
        <f>[12]System!S$13/1000</f>
        <v>565.75178000000005</v>
      </c>
      <c r="T6" s="16">
        <f>[12]System!T$13/1000</f>
        <v>608.46997999999996</v>
      </c>
      <c r="U6" s="16">
        <f>[12]System!U$13/1000</f>
        <v>638.98298999999997</v>
      </c>
      <c r="V6" s="16">
        <f>[12]System!V$13/1000</f>
        <v>653.94328000000007</v>
      </c>
      <c r="W6" s="16">
        <f>[12]System!W$13/1000</f>
        <v>664.62914999999998</v>
      </c>
      <c r="X6" s="16">
        <f>[12]System!X$13/1000</f>
        <v>742.0158100000001</v>
      </c>
      <c r="Y6" s="16">
        <f>[12]System!Y$13/1000</f>
        <v>797.36162999999999</v>
      </c>
      <c r="Z6" s="16">
        <f>[12]System!Z$13/1000</f>
        <v>830.38836000000003</v>
      </c>
      <c r="AA6" s="16">
        <f>[12]System!AA$13/1000</f>
        <v>870.90499999999997</v>
      </c>
      <c r="AB6" s="16">
        <f>[12]System!AB$13/1000</f>
        <v>882.99510999999995</v>
      </c>
      <c r="AC6" s="119">
        <f>[12]System!AC$13/1000</f>
        <v>882.99513000000002</v>
      </c>
      <c r="AD6" s="211">
        <f>[12]System!AD$13/1000</f>
        <v>882.99513000000002</v>
      </c>
      <c r="AE6" s="16">
        <f>[12]System!AE$13/1000</f>
        <v>882.99513000000002</v>
      </c>
      <c r="AF6" s="16">
        <f>[12]System!AF$13/1000</f>
        <v>882.99513000000002</v>
      </c>
      <c r="AG6" s="16">
        <f>[12]System!AG$13/1000</f>
        <v>882.99513000000002</v>
      </c>
      <c r="AH6" s="16">
        <f>[12]System!AH$13/1000</f>
        <v>882.99513000000002</v>
      </c>
      <c r="AI6" s="16">
        <f>[12]System!AI$13/1000</f>
        <v>882.99513000000002</v>
      </c>
      <c r="AJ6" s="16"/>
    </row>
    <row r="7" spans="1:36">
      <c r="A7" s="6" t="s">
        <v>383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19"/>
      <c r="AD7" s="211"/>
      <c r="AE7" s="16"/>
      <c r="AF7" s="16"/>
      <c r="AG7" s="16"/>
      <c r="AH7" s="16"/>
      <c r="AI7" s="16"/>
      <c r="AJ7" s="16"/>
    </row>
    <row r="8" spans="1:36">
      <c r="A8" s="6" t="s">
        <v>65</v>
      </c>
      <c r="B8" s="16">
        <f>'[12]Fuel Cost'!C$150/1000</f>
        <v>849.84470000000033</v>
      </c>
      <c r="C8" s="16">
        <f>'[12]Fuel Cost'!D$150/1000</f>
        <v>858.9478899999998</v>
      </c>
      <c r="D8" s="16">
        <f>'[12]Fuel Cost'!E$150/1000</f>
        <v>883.70543000000009</v>
      </c>
      <c r="E8" s="16">
        <f>'[12]Fuel Cost'!F$150/1000</f>
        <v>901.69484999999963</v>
      </c>
      <c r="F8" s="16">
        <f>'[12]Fuel Cost'!G$150/1000</f>
        <v>912.93234999999993</v>
      </c>
      <c r="G8" s="16">
        <f>'[12]Fuel Cost'!H$150/1000</f>
        <v>972.19386999999949</v>
      </c>
      <c r="H8" s="16">
        <f>'[12]Fuel Cost'!I$150/1000</f>
        <v>1054.5526199999997</v>
      </c>
      <c r="I8" s="16">
        <f>'[12]Fuel Cost'!J$150/1000</f>
        <v>1185.3407799999995</v>
      </c>
      <c r="J8" s="16">
        <f>'[12]Fuel Cost'!K$150/1000</f>
        <v>1357.73271</v>
      </c>
      <c r="K8" s="16">
        <f>'[12]Fuel Cost'!L$150/1000</f>
        <v>1475.27342</v>
      </c>
      <c r="L8" s="16">
        <f>'[12]Fuel Cost'!M$150/1000</f>
        <v>1565.38977</v>
      </c>
      <c r="M8" s="16">
        <f>'[12]Fuel Cost'!N$150/1000</f>
        <v>1641.1276899999998</v>
      </c>
      <c r="N8" s="16">
        <f>'[12]Fuel Cost'!O$150/1000</f>
        <v>1741.2221200000006</v>
      </c>
      <c r="O8" s="16">
        <f>'[12]Fuel Cost'!P$150/1000</f>
        <v>1756.9849200000001</v>
      </c>
      <c r="P8" s="16">
        <f>'[12]Fuel Cost'!Q$150/1000</f>
        <v>1813.9201100000002</v>
      </c>
      <c r="Q8" s="16">
        <f>'[12]Fuel Cost'!R$150/1000</f>
        <v>1877.8803499999999</v>
      </c>
      <c r="R8" s="16">
        <f>'[12]Fuel Cost'!S$150/1000</f>
        <v>1933.8540400000002</v>
      </c>
      <c r="S8" s="16">
        <f>'[12]Fuel Cost'!T$150/1000</f>
        <v>2093.82755</v>
      </c>
      <c r="T8" s="16">
        <f>'[12]Fuel Cost'!U$150/1000</f>
        <v>2211.2835599999999</v>
      </c>
      <c r="U8" s="16">
        <f>'[12]Fuel Cost'!V$150/1000</f>
        <v>2292.2956300000001</v>
      </c>
      <c r="V8" s="16">
        <f>'[12]Fuel Cost'!W$150/1000</f>
        <v>2412.6018800000011</v>
      </c>
      <c r="W8" s="16">
        <f>'[12]Fuel Cost'!X$150/1000</f>
        <v>2529.0243700000001</v>
      </c>
      <c r="X8" s="16">
        <f>'[12]Fuel Cost'!Y$150/1000</f>
        <v>2585.6461300000001</v>
      </c>
      <c r="Y8" s="16">
        <f>'[12]Fuel Cost'!Z$150/1000</f>
        <v>2644.0767300000011</v>
      </c>
      <c r="Z8" s="16">
        <f>'[12]Fuel Cost'!AA$150/1000</f>
        <v>2784.8448800000001</v>
      </c>
      <c r="AA8" s="16">
        <f>'[12]Fuel Cost'!AB$150/1000</f>
        <v>2960.7429999999995</v>
      </c>
      <c r="AB8" s="16">
        <f>'[12]Fuel Cost'!AC$150/1000</f>
        <v>3110.9512100000011</v>
      </c>
      <c r="AC8" s="119">
        <f>'[12]Fuel Cost'!AD$150/1000</f>
        <v>3152.7568699999997</v>
      </c>
      <c r="AD8" s="211">
        <f>'[12]Fuel Cost'!AE$150/1000</f>
        <v>3285.6694200000011</v>
      </c>
      <c r="AE8" s="16">
        <f>'[12]Fuel Cost'!AF$150/1000</f>
        <v>3327.9618400000004</v>
      </c>
      <c r="AF8" s="16">
        <f>'[12]Fuel Cost'!AG$150/1000</f>
        <v>3408.1681199999998</v>
      </c>
      <c r="AG8" s="16">
        <f>'[12]Fuel Cost'!AH$150/1000</f>
        <v>3525.7823800000001</v>
      </c>
      <c r="AH8" s="16">
        <f>'[12]Fuel Cost'!AI$150/1000</f>
        <v>3645.2011400000001</v>
      </c>
      <c r="AI8" s="16">
        <f>'[12]Fuel Cost'!AJ$150/1000</f>
        <v>3714.8413100000012</v>
      </c>
      <c r="AJ8" s="16"/>
    </row>
    <row r="9" spans="1:36">
      <c r="A9" s="6" t="s">
        <v>52</v>
      </c>
      <c r="B9" s="16">
        <f>('[12]Start Cost'!C$150+'[12]VOM Cost'!C$150)/1000+([12]System!B$7+[12]System!B$9)/1000</f>
        <v>86.065810000000013</v>
      </c>
      <c r="C9" s="16">
        <f>('[12]Start Cost'!D$150+'[12]VOM Cost'!D$150)/1000+([12]System!C$7+[12]System!C$9)/1000</f>
        <v>91.133150000000001</v>
      </c>
      <c r="D9" s="16">
        <f>('[12]Start Cost'!E$150+'[12]VOM Cost'!E$150)/1000+([12]System!D$7+[12]System!D$9)/1000</f>
        <v>99.022519999999972</v>
      </c>
      <c r="E9" s="16">
        <f>('[12]Start Cost'!F$150+'[12]VOM Cost'!F$150)/1000+([12]System!E$7+[12]System!E$9)/1000</f>
        <v>106.55790999999998</v>
      </c>
      <c r="F9" s="16">
        <f>('[12]Start Cost'!G$150+'[12]VOM Cost'!G$150)/1000+([12]System!F$7+[12]System!F$9)/1000</f>
        <v>116.85017000000002</v>
      </c>
      <c r="G9" s="16">
        <f>('[12]Start Cost'!H$150+'[12]VOM Cost'!H$150)/1000+([12]System!G$7+[12]System!G$9)/1000</f>
        <v>129.35568000000001</v>
      </c>
      <c r="H9" s="16">
        <f>('[12]Start Cost'!I$150+'[12]VOM Cost'!I$150)/1000+([12]System!H$7+[12]System!H$9)/1000</f>
        <v>151.19529</v>
      </c>
      <c r="I9" s="16">
        <f>('[12]Start Cost'!J$150+'[12]VOM Cost'!J$150)/1000+([12]System!I$7+[12]System!I$9)/1000</f>
        <v>170.88103000000001</v>
      </c>
      <c r="J9" s="16">
        <f>('[12]Start Cost'!K$150+'[12]VOM Cost'!K$150)/1000+([12]System!J$7+[12]System!J$9)/1000</f>
        <v>194.39699999999999</v>
      </c>
      <c r="K9" s="16">
        <f>('[12]Start Cost'!L$150+'[12]VOM Cost'!L$150)/1000+([12]System!K$7+[12]System!K$9)/1000</f>
        <v>208.42117999999996</v>
      </c>
      <c r="L9" s="16">
        <f>('[12]Start Cost'!M$150+'[12]VOM Cost'!M$150)/1000+([12]System!L$7+[12]System!L$9)/1000</f>
        <v>231.06344999999993</v>
      </c>
      <c r="M9" s="16">
        <f>('[12]Start Cost'!N$150+'[12]VOM Cost'!N$150)/1000+([12]System!M$7+[12]System!M$9)/1000</f>
        <v>251.77931000000004</v>
      </c>
      <c r="N9" s="16">
        <f>('[12]Start Cost'!O$150+'[12]VOM Cost'!O$150)/1000+([12]System!N$7+[12]System!N$9)/1000</f>
        <v>264.34275000000008</v>
      </c>
      <c r="O9" s="16">
        <f>('[12]Start Cost'!P$150+'[12]VOM Cost'!P$150)/1000+([12]System!O$7+[12]System!O$9)/1000</f>
        <v>282.68965000000003</v>
      </c>
      <c r="P9" s="16">
        <f>('[12]Start Cost'!Q$150+'[12]VOM Cost'!Q$150)/1000+([12]System!P$7+[12]System!P$9)/1000</f>
        <v>288.93171000000001</v>
      </c>
      <c r="Q9" s="16">
        <f>('[12]Start Cost'!R$150+'[12]VOM Cost'!R$150)/1000+([12]System!Q$7+[12]System!Q$9)/1000</f>
        <v>303.82751000000002</v>
      </c>
      <c r="R9" s="16">
        <f>('[12]Start Cost'!S$150+'[12]VOM Cost'!S$150)/1000+([12]System!R$7+[12]System!R$9)/1000</f>
        <v>321.49441999999999</v>
      </c>
      <c r="S9" s="16">
        <f>('[12]Start Cost'!T$150+'[12]VOM Cost'!T$150)/1000+([12]System!S$7+[12]System!S$9)/1000</f>
        <v>358.93932000000001</v>
      </c>
      <c r="T9" s="16">
        <f>('[12]Start Cost'!U$150+'[12]VOM Cost'!U$150)/1000+([12]System!T$7+[12]System!T$9)/1000</f>
        <v>380.86967000000004</v>
      </c>
      <c r="U9" s="16">
        <f>('[12]Start Cost'!V$150+'[12]VOM Cost'!V$150)/1000+([12]System!U$7+[12]System!U$9)/1000</f>
        <v>420.90437000000003</v>
      </c>
      <c r="V9" s="16">
        <f>('[12]Start Cost'!W$150+'[12]VOM Cost'!W$150)/1000+([12]System!V$7+[12]System!V$9)/1000</f>
        <v>428.87549999999999</v>
      </c>
      <c r="W9" s="16">
        <f>('[12]Start Cost'!X$150+'[12]VOM Cost'!X$150)/1000+([12]System!W$7+[12]System!W$9)/1000</f>
        <v>455.38069999999999</v>
      </c>
      <c r="X9" s="16">
        <f>('[12]Start Cost'!Y$150+'[12]VOM Cost'!Y$150)/1000+([12]System!X$7+[12]System!X$9)/1000</f>
        <v>462.55101000000002</v>
      </c>
      <c r="Y9" s="16">
        <f>('[12]Start Cost'!Z$150+'[12]VOM Cost'!Z$150)/1000+([12]System!Y$7+[12]System!Y$9)/1000</f>
        <v>484.37162000000001</v>
      </c>
      <c r="Z9" s="16">
        <f>('[12]Start Cost'!AA$150+'[12]VOM Cost'!AA$150)/1000+([12]System!Z$7+[12]System!Z$9)/1000</f>
        <v>497.63623000000001</v>
      </c>
      <c r="AA9" s="16">
        <f>('[12]Start Cost'!AB$150+'[12]VOM Cost'!AB$150)/1000+([12]System!AA$7+[12]System!AA$9)/1000</f>
        <v>528.07034999999996</v>
      </c>
      <c r="AB9" s="16">
        <f>('[12]Start Cost'!AC$150+'[12]VOM Cost'!AC$150)/1000+([12]System!AB$7+[12]System!AB$9)/1000</f>
        <v>544.87884999999994</v>
      </c>
      <c r="AC9" s="119">
        <f>('[12]Start Cost'!AD$150+'[12]VOM Cost'!AD$150)/1000+([12]System!AC$7+[12]System!AC$9)/1000</f>
        <v>570.18822999999998</v>
      </c>
      <c r="AD9" s="211">
        <f>('[12]Start Cost'!AE$150+'[12]VOM Cost'!AE$150)/1000+([12]System!AD$7+[12]System!AD$9)/1000</f>
        <v>590.58017999999993</v>
      </c>
      <c r="AE9" s="16">
        <f>('[12]Start Cost'!AF$150+'[12]VOM Cost'!AF$150)/1000+([12]System!AE$7+[12]System!AE$9)/1000</f>
        <v>613.09467000000006</v>
      </c>
      <c r="AF9" s="16">
        <f>('[12]Start Cost'!AG$150+'[12]VOM Cost'!AG$150)/1000+([12]System!AF$7+[12]System!AF$9)/1000</f>
        <v>632.2561199999999</v>
      </c>
      <c r="AG9" s="16">
        <f>('[12]Start Cost'!AH$150+'[12]VOM Cost'!AH$150)/1000+([12]System!AG$7+[12]System!AG$9)/1000</f>
        <v>663.29156999999998</v>
      </c>
      <c r="AH9" s="16">
        <f>('[12]Start Cost'!AI$150+'[12]VOM Cost'!AI$150)/1000+([12]System!AH$7+[12]System!AH$9)/1000</f>
        <v>677.63056000000006</v>
      </c>
      <c r="AI9" s="16">
        <f>('[12]Start Cost'!AJ$150+'[12]VOM Cost'!AJ$150)/1000+([12]System!AI$7+[12]System!AI$9)/1000</f>
        <v>707.94783999999993</v>
      </c>
      <c r="AJ9" s="16"/>
    </row>
    <row r="10" spans="1:36">
      <c r="A10" s="36" t="s">
        <v>66</v>
      </c>
      <c r="B10" s="119">
        <f>('[12]Reagent Cost'!C$150+'[12]SO2 Cost'!C$150+'[12]NOx Cost'!C$150+'[12]Lime Cost'!C$150)/1000</f>
        <v>6.2319722000000004</v>
      </c>
      <c r="C10" s="119">
        <f>('[12]Reagent Cost'!D$150+'[12]SO2 Cost'!D$150+'[12]NOx Cost'!D$150+'[12]Lime Cost'!D$150)/1000</f>
        <v>6.4714661999999992</v>
      </c>
      <c r="D10" s="119">
        <f>('[12]Reagent Cost'!E$150+'[12]SO2 Cost'!E$150+'[12]NOx Cost'!E$150+'[12]Lime Cost'!E$150)/1000</f>
        <v>6.3726694999999998</v>
      </c>
      <c r="E10" s="119">
        <f>('[12]Reagent Cost'!F$150+'[12]SO2 Cost'!F$150+'[12]NOx Cost'!F$150+'[12]Lime Cost'!F$150)/1000</f>
        <v>5.7776034000000003</v>
      </c>
      <c r="F10" s="119">
        <f>('[12]Reagent Cost'!G$150+'[12]SO2 Cost'!G$150+'[12]NOx Cost'!G$150+'[12]Lime Cost'!G$150)/1000</f>
        <v>5.7882728999999982</v>
      </c>
      <c r="G10" s="119">
        <f>('[12]Reagent Cost'!H$150+'[12]SO2 Cost'!H$150+'[12]NOx Cost'!H$150+'[12]Lime Cost'!H$150)/1000</f>
        <v>6.2669002000000003</v>
      </c>
      <c r="H10" s="119">
        <f>('[12]Reagent Cost'!I$150+'[12]SO2 Cost'!I$150+'[12]NOx Cost'!I$150+'[12]Lime Cost'!I$150)/1000</f>
        <v>6.5231415999999989</v>
      </c>
      <c r="I10" s="119">
        <f>('[12]Reagent Cost'!J$150+'[12]SO2 Cost'!J$150+'[12]NOx Cost'!J$150+'[12]Lime Cost'!J$150)/1000</f>
        <v>6.881150400000001</v>
      </c>
      <c r="J10" s="119">
        <f>('[12]Reagent Cost'!K$150+'[12]SO2 Cost'!K$150+'[12]NOx Cost'!K$150+'[12]Lime Cost'!K$150)/1000</f>
        <v>7.6366299</v>
      </c>
      <c r="K10" s="119">
        <f>('[12]Reagent Cost'!L$150+'[12]SO2 Cost'!L$150+'[12]NOx Cost'!L$150+'[12]Lime Cost'!L$150)/1000</f>
        <v>7.9441810000000004</v>
      </c>
      <c r="L10" s="119">
        <f>('[12]Reagent Cost'!M$150+'[12]SO2 Cost'!M$150+'[12]NOx Cost'!M$150+'[12]Lime Cost'!M$150)/1000</f>
        <v>8.3684218999999995</v>
      </c>
      <c r="M10" s="119">
        <f>('[12]Reagent Cost'!N$150+'[12]SO2 Cost'!N$150+'[12]NOx Cost'!N$150+'[12]Lime Cost'!N$150)/1000</f>
        <v>8.4279017999999972</v>
      </c>
      <c r="N10" s="119">
        <f>('[12]Reagent Cost'!O$150+'[12]SO2 Cost'!O$150+'[12]NOx Cost'!O$150+'[12]Lime Cost'!O$150)/1000</f>
        <v>8.2187146999999996</v>
      </c>
      <c r="O10" s="119">
        <f>('[12]Reagent Cost'!P$150+'[12]SO2 Cost'!P$150+'[12]NOx Cost'!P$150+'[12]Lime Cost'!P$150)/1000</f>
        <v>7.435292099999999</v>
      </c>
      <c r="P10" s="119">
        <f>('[12]Reagent Cost'!Q$150+'[12]SO2 Cost'!Q$150+'[12]NOx Cost'!Q$150+'[12]Lime Cost'!Q$150)/1000</f>
        <v>3.2105685000000008</v>
      </c>
      <c r="Q10" s="119">
        <f>('[12]Reagent Cost'!R$150+'[12]SO2 Cost'!R$150+'[12]NOx Cost'!R$150+'[12]Lime Cost'!R$150)/1000</f>
        <v>1.7414400000000003</v>
      </c>
      <c r="R10" s="119">
        <f>('[12]Reagent Cost'!S$150+'[12]SO2 Cost'!S$150+'[12]NOx Cost'!S$150+'[12]Lime Cost'!S$150)/1000</f>
        <v>1.7613000000000001</v>
      </c>
      <c r="S10" s="119">
        <f>('[12]Reagent Cost'!T$150+'[12]SO2 Cost'!T$150+'[12]NOx Cost'!T$150+'[12]Lime Cost'!T$150)/1000</f>
        <v>1.7836300000000003</v>
      </c>
      <c r="T10" s="119">
        <f>('[12]Reagent Cost'!U$150+'[12]SO2 Cost'!U$150+'[12]NOx Cost'!U$150+'[12]Lime Cost'!U$150)/1000</f>
        <v>1.7998499999999999</v>
      </c>
      <c r="U10" s="119">
        <f>('[12]Reagent Cost'!V$150+'[12]SO2 Cost'!V$150+'[12]NOx Cost'!V$150+'[12]Lime Cost'!V$150)/1000</f>
        <v>1.8116700000000001</v>
      </c>
      <c r="V10" s="119">
        <f>('[12]Reagent Cost'!W$150+'[12]SO2 Cost'!W$150+'[12]NOx Cost'!W$150+'[12]Lime Cost'!W$150)/1000</f>
        <v>1.8493400000000002</v>
      </c>
      <c r="W10" s="119">
        <f>('[12]Reagent Cost'!X$150+'[12]SO2 Cost'!X$150+'[12]NOx Cost'!X$150+'[12]Lime Cost'!X$150)/1000</f>
        <v>1.8630199999999999</v>
      </c>
      <c r="X10" s="119">
        <f>('[12]Reagent Cost'!Y$150+'[12]SO2 Cost'!Y$150+'[12]NOx Cost'!Y$150+'[12]Lime Cost'!Y$150)/1000</f>
        <v>1.8645699999999998</v>
      </c>
      <c r="Y10" s="119">
        <f>('[12]Reagent Cost'!Z$150+'[12]SO2 Cost'!Z$150+'[12]NOx Cost'!Z$150+'[12]Lime Cost'!Z$150)/1000</f>
        <v>1.8843200000000002</v>
      </c>
      <c r="Z10" s="119">
        <f>('[12]Reagent Cost'!AA$150+'[12]SO2 Cost'!AA$150+'[12]NOx Cost'!AA$150+'[12]Lime Cost'!AA$150)/1000</f>
        <v>1.91052</v>
      </c>
      <c r="AA10" s="119">
        <f>('[12]Reagent Cost'!AB$150+'[12]SO2 Cost'!AB$150+'[12]NOx Cost'!AB$150+'[12]Lime Cost'!AB$150)/1000</f>
        <v>1.92456</v>
      </c>
      <c r="AB10" s="119">
        <f>('[12]Reagent Cost'!AC$150+'[12]SO2 Cost'!AC$150+'[12]NOx Cost'!AC$150+'[12]Lime Cost'!AC$150)/1000</f>
        <v>1.9603799999999996</v>
      </c>
      <c r="AC10" s="119">
        <f>('[12]Reagent Cost'!AD$150+'[12]SO2 Cost'!AD$150+'[12]NOx Cost'!AD$150+'[12]Lime Cost'!AD$150)/1000</f>
        <v>1.9581499999999998</v>
      </c>
      <c r="AD10" s="211">
        <f>('[12]Reagent Cost'!AE$150+'[12]SO2 Cost'!AE$150+'[12]NOx Cost'!AE$150+'[12]Lime Cost'!AE$150)/1000</f>
        <v>1.9685799999999998</v>
      </c>
      <c r="AE10" s="119">
        <f>('[12]Reagent Cost'!AF$150+'[12]SO2 Cost'!AF$150+'[12]NOx Cost'!AF$150+'[12]Lime Cost'!AF$150)/1000</f>
        <v>1.9741299999999997</v>
      </c>
      <c r="AF10" s="119">
        <f>('[12]Reagent Cost'!AG$150+'[12]SO2 Cost'!AG$150+'[12]NOx Cost'!AG$150+'[12]Lime Cost'!AG$150)/1000</f>
        <v>2.0051600000000001</v>
      </c>
      <c r="AG10" s="119">
        <f>('[12]Reagent Cost'!AH$150+'[12]SO2 Cost'!AH$150+'[12]NOx Cost'!AH$150+'[12]Lime Cost'!AH$150)/1000</f>
        <v>2.0222199999999999</v>
      </c>
      <c r="AH10" s="119">
        <f>('[12]Reagent Cost'!AI$150+'[12]SO2 Cost'!AI$150+'[12]NOx Cost'!AI$150+'[12]Lime Cost'!AI$150)/1000</f>
        <v>2.0551300000000001</v>
      </c>
      <c r="AI10" s="119">
        <f>('[12]Reagent Cost'!AJ$150+'[12]SO2 Cost'!AJ$150+'[12]NOx Cost'!AJ$150+'[12]Lime Cost'!AJ$150)/1000</f>
        <v>2.0581</v>
      </c>
      <c r="AJ10" s="119"/>
    </row>
    <row r="11" spans="1:36">
      <c r="A11" s="12" t="s">
        <v>69</v>
      </c>
      <c r="B11" s="212">
        <f>+'[12]CO2 Cost'!C$150/1000</f>
        <v>0</v>
      </c>
      <c r="C11" s="212">
        <f>+'[12]CO2 Cost'!D$150/1000</f>
        <v>0</v>
      </c>
      <c r="D11" s="212">
        <f>+'[12]CO2 Cost'!E$150/1000</f>
        <v>0</v>
      </c>
      <c r="E11" s="212">
        <f>+'[12]CO2 Cost'!F$150/1000</f>
        <v>0</v>
      </c>
      <c r="F11" s="212">
        <f>+'[12]CO2 Cost'!G$150/1000</f>
        <v>0</v>
      </c>
      <c r="G11" s="212">
        <f>+'[12]CO2 Cost'!H$150/1000</f>
        <v>102.26755000000001</v>
      </c>
      <c r="H11" s="212">
        <f>+'[12]CO2 Cost'!I$150/1000</f>
        <v>164.13177999999996</v>
      </c>
      <c r="I11" s="212">
        <f>+'[12]CO2 Cost'!J$150/1000</f>
        <v>227.21933000000004</v>
      </c>
      <c r="J11" s="212">
        <f>+'[12]CO2 Cost'!K$150/1000</f>
        <v>295.78083999999996</v>
      </c>
      <c r="K11" s="212">
        <f>+'[12]CO2 Cost'!L$150/1000</f>
        <v>360.58131999999989</v>
      </c>
      <c r="L11" s="212">
        <f>+'[12]CO2 Cost'!M$150/1000</f>
        <v>429.7362</v>
      </c>
      <c r="M11" s="212">
        <f>+'[12]CO2 Cost'!N$150/1000</f>
        <v>487.12671000000012</v>
      </c>
      <c r="N11" s="212">
        <f>+'[12]CO2 Cost'!O$150/1000</f>
        <v>551.93842000000006</v>
      </c>
      <c r="O11" s="212">
        <f>+'[12]CO2 Cost'!P$150/1000</f>
        <v>609.94222000000025</v>
      </c>
      <c r="P11" s="212">
        <f>+'[12]CO2 Cost'!Q$150/1000</f>
        <v>621.85953000000006</v>
      </c>
      <c r="Q11" s="212">
        <f>+'[12]CO2 Cost'!R$150/1000</f>
        <v>660.94196000000034</v>
      </c>
      <c r="R11" s="212">
        <f>+'[12]CO2 Cost'!S$150/1000</f>
        <v>728.35596999999996</v>
      </c>
      <c r="S11" s="212">
        <f>+'[12]CO2 Cost'!T$150/1000</f>
        <v>794.51146000000006</v>
      </c>
      <c r="T11" s="212">
        <f>+'[12]CO2 Cost'!U$150/1000</f>
        <v>861.45077000000015</v>
      </c>
      <c r="U11" s="212">
        <f>+'[12]CO2 Cost'!V$150/1000</f>
        <v>936.11976999999979</v>
      </c>
      <c r="V11" s="212">
        <f>+'[12]CO2 Cost'!W$150/1000</f>
        <v>1004.2594700000001</v>
      </c>
      <c r="W11" s="212">
        <f>+'[12]CO2 Cost'!X$150/1000</f>
        <v>1077.6391299999998</v>
      </c>
      <c r="X11" s="212">
        <f>+'[12]CO2 Cost'!Y$150/1000</f>
        <v>1123.0157300000001</v>
      </c>
      <c r="Y11" s="212">
        <f>+'[12]CO2 Cost'!Z$150/1000</f>
        <v>1182.2286799999999</v>
      </c>
      <c r="Z11" s="212">
        <f>+'[12]CO2 Cost'!AA$150/1000</f>
        <v>1260.4012400000001</v>
      </c>
      <c r="AA11" s="212">
        <f>+'[12]CO2 Cost'!AB$150/1000</f>
        <v>1331.3056199999996</v>
      </c>
      <c r="AB11" s="212">
        <f>+'[12]CO2 Cost'!AC$150/1000</f>
        <v>1409.8424300000001</v>
      </c>
      <c r="AC11" s="212">
        <f>+'[12]CO2 Cost'!AD$150/1000</f>
        <v>1468.5083999999995</v>
      </c>
      <c r="AD11" s="213">
        <f>+'[12]CO2 Cost'!AE$150/1000</f>
        <v>1540.2386100000003</v>
      </c>
      <c r="AE11" s="212">
        <f>+'[12]CO2 Cost'!AF$150/1000</f>
        <v>1595.0660799999998</v>
      </c>
      <c r="AF11" s="212">
        <f>+'[12]CO2 Cost'!AG$150/1000</f>
        <v>1677.5014400000002</v>
      </c>
      <c r="AG11" s="212">
        <f>+'[12]CO2 Cost'!AH$150/1000</f>
        <v>1755.8214300000002</v>
      </c>
      <c r="AH11" s="212">
        <f>+'[12]CO2 Cost'!AI$150/1000</f>
        <v>1835.23118</v>
      </c>
      <c r="AI11" s="212">
        <f>+'[12]CO2 Cost'!AJ$150/1000</f>
        <v>1888.2313300000001</v>
      </c>
      <c r="AJ11" s="212"/>
    </row>
    <row r="12" spans="1:36">
      <c r="A12" s="6" t="s">
        <v>61</v>
      </c>
      <c r="B12" s="15">
        <f t="shared" ref="B12:AG12" si="1">SUM(B2:B11)</f>
        <v>1843.4621723822067</v>
      </c>
      <c r="C12" s="15">
        <f t="shared" si="1"/>
        <v>1876.6630868946615</v>
      </c>
      <c r="D12" s="15">
        <f t="shared" si="1"/>
        <v>1947.1354385741638</v>
      </c>
      <c r="E12" s="15">
        <f t="shared" si="1"/>
        <v>1985.9327261891403</v>
      </c>
      <c r="F12" s="15">
        <f t="shared" si="1"/>
        <v>1847.4582671285839</v>
      </c>
      <c r="G12" s="15">
        <f t="shared" si="1"/>
        <v>1860.387735827255</v>
      </c>
      <c r="H12" s="15">
        <f t="shared" si="1"/>
        <v>1922.4379631137722</v>
      </c>
      <c r="I12" s="15">
        <f t="shared" si="1"/>
        <v>2129.9314447479223</v>
      </c>
      <c r="J12" s="15">
        <f t="shared" si="1"/>
        <v>2407.704953467111</v>
      </c>
      <c r="K12" s="15">
        <f t="shared" si="1"/>
        <v>2607.6135639360614</v>
      </c>
      <c r="L12" s="15">
        <f t="shared" si="1"/>
        <v>2797.5771241255188</v>
      </c>
      <c r="M12" s="15">
        <f t="shared" si="1"/>
        <v>2955.5727993661731</v>
      </c>
      <c r="N12" s="15">
        <f t="shared" si="1"/>
        <v>3141.4370274299804</v>
      </c>
      <c r="O12" s="15">
        <f t="shared" si="1"/>
        <v>3235.7450319658924</v>
      </c>
      <c r="P12" s="15">
        <f t="shared" si="1"/>
        <v>3581.9943246484008</v>
      </c>
      <c r="Q12" s="15">
        <f t="shared" si="1"/>
        <v>4164.0630073375078</v>
      </c>
      <c r="R12" s="15">
        <f t="shared" si="1"/>
        <v>4285.8846130834836</v>
      </c>
      <c r="S12" s="15">
        <f t="shared" si="1"/>
        <v>4530.7750055809929</v>
      </c>
      <c r="T12" s="15">
        <f t="shared" si="1"/>
        <v>4808.6156542835524</v>
      </c>
      <c r="U12" s="15">
        <f t="shared" si="1"/>
        <v>5048.5869156230638</v>
      </c>
      <c r="V12" s="15">
        <f t="shared" si="1"/>
        <v>5255.2618386161785</v>
      </c>
      <c r="W12" s="15">
        <f t="shared" si="1"/>
        <v>5472.8963901648031</v>
      </c>
      <c r="X12" s="15">
        <f t="shared" si="1"/>
        <v>5771.1533801885716</v>
      </c>
      <c r="Y12" s="15">
        <f t="shared" si="1"/>
        <v>6336.8328578734945</v>
      </c>
      <c r="Z12" s="15">
        <f t="shared" si="1"/>
        <v>6602.1947159850388</v>
      </c>
      <c r="AA12" s="15">
        <f t="shared" si="1"/>
        <v>6925.9027900824731</v>
      </c>
      <c r="AB12" s="15">
        <f t="shared" si="1"/>
        <v>7160.8688141545172</v>
      </c>
      <c r="AC12" s="52">
        <f t="shared" si="1"/>
        <v>7253.1332136350493</v>
      </c>
      <c r="AD12" s="214">
        <f t="shared" si="1"/>
        <v>7447.4440619161587</v>
      </c>
      <c r="AE12" s="15">
        <f t="shared" si="1"/>
        <v>7528.7811947722385</v>
      </c>
      <c r="AF12" s="15">
        <f t="shared" si="1"/>
        <v>7660.2080394805862</v>
      </c>
      <c r="AG12" s="15">
        <f t="shared" si="1"/>
        <v>7836.9947708919963</v>
      </c>
      <c r="AH12" s="15">
        <f t="shared" ref="AH12:AI12" si="2">SUM(AH2:AH11)</f>
        <v>7998.7674164424716</v>
      </c>
      <c r="AI12" s="15">
        <f t="shared" si="2"/>
        <v>8122.0782810207893</v>
      </c>
      <c r="AJ12" s="15"/>
    </row>
    <row r="13" spans="1:36">
      <c r="AC13" s="36"/>
      <c r="AD13" s="215"/>
    </row>
    <row r="14" spans="1:36" s="152" customFormat="1">
      <c r="A14" s="152" t="s">
        <v>201</v>
      </c>
      <c r="B14" s="152">
        <f>$B$1</f>
        <v>2020</v>
      </c>
      <c r="C14" s="152">
        <f t="shared" ref="C14:AI14" si="3">B14+1</f>
        <v>2021</v>
      </c>
      <c r="D14" s="152">
        <f t="shared" si="3"/>
        <v>2022</v>
      </c>
      <c r="E14" s="152">
        <f t="shared" si="3"/>
        <v>2023</v>
      </c>
      <c r="F14" s="152">
        <f t="shared" si="3"/>
        <v>2024</v>
      </c>
      <c r="G14" s="152">
        <f t="shared" si="3"/>
        <v>2025</v>
      </c>
      <c r="H14" s="152">
        <f t="shared" si="3"/>
        <v>2026</v>
      </c>
      <c r="I14" s="152">
        <f t="shared" si="3"/>
        <v>2027</v>
      </c>
      <c r="J14" s="152">
        <f t="shared" si="3"/>
        <v>2028</v>
      </c>
      <c r="K14" s="152">
        <f t="shared" si="3"/>
        <v>2029</v>
      </c>
      <c r="L14" s="152">
        <f t="shared" si="3"/>
        <v>2030</v>
      </c>
      <c r="M14" s="152">
        <f t="shared" si="3"/>
        <v>2031</v>
      </c>
      <c r="N14" s="152">
        <f t="shared" si="3"/>
        <v>2032</v>
      </c>
      <c r="O14" s="152">
        <f t="shared" si="3"/>
        <v>2033</v>
      </c>
      <c r="P14" s="152">
        <f t="shared" si="3"/>
        <v>2034</v>
      </c>
      <c r="Q14" s="152">
        <f t="shared" si="3"/>
        <v>2035</v>
      </c>
      <c r="R14" s="152">
        <f t="shared" si="3"/>
        <v>2036</v>
      </c>
      <c r="S14" s="152">
        <f t="shared" si="3"/>
        <v>2037</v>
      </c>
      <c r="T14" s="152">
        <f t="shared" si="3"/>
        <v>2038</v>
      </c>
      <c r="U14" s="152">
        <f t="shared" si="3"/>
        <v>2039</v>
      </c>
      <c r="V14" s="152">
        <f t="shared" si="3"/>
        <v>2040</v>
      </c>
      <c r="W14" s="152">
        <f t="shared" si="3"/>
        <v>2041</v>
      </c>
      <c r="X14" s="152">
        <f t="shared" si="3"/>
        <v>2042</v>
      </c>
      <c r="Y14" s="152">
        <f t="shared" si="3"/>
        <v>2043</v>
      </c>
      <c r="Z14" s="152">
        <f t="shared" si="3"/>
        <v>2044</v>
      </c>
      <c r="AA14" s="152">
        <f t="shared" si="3"/>
        <v>2045</v>
      </c>
      <c r="AB14" s="152">
        <f t="shared" si="3"/>
        <v>2046</v>
      </c>
      <c r="AC14" s="209">
        <f t="shared" si="3"/>
        <v>2047</v>
      </c>
      <c r="AD14" s="210">
        <f t="shared" si="3"/>
        <v>2048</v>
      </c>
      <c r="AE14" s="152">
        <f t="shared" si="3"/>
        <v>2049</v>
      </c>
      <c r="AF14" s="152">
        <f t="shared" si="3"/>
        <v>2050</v>
      </c>
      <c r="AG14" s="152">
        <f t="shared" si="3"/>
        <v>2051</v>
      </c>
      <c r="AH14" s="152">
        <f t="shared" si="3"/>
        <v>2052</v>
      </c>
      <c r="AI14" s="152">
        <f t="shared" si="3"/>
        <v>2053</v>
      </c>
    </row>
    <row r="15" spans="1:36">
      <c r="A15" s="6" t="s">
        <v>134</v>
      </c>
      <c r="B15" s="16">
        <f>Hamilton!E$10/1000+Columbia!E$10/1000+Lake_Placid!E$10/1000+Trenton!E$10/1000+Debary!E$10/1000+Santa_Fe!E$10/1000+Twin_Rivers!E$10/1000+Duette!E$10/1000+Charlie_Creek!E$10/1000+Archer!E$10/1000</f>
        <v>65.260450182206341</v>
      </c>
      <c r="C15" s="16">
        <f>Hamilton!F$10/1000+Columbia!F$10/1000+Lake_Placid!F$10/1000+Trenton!F$10/1000+Debary!F$10/1000+Santa_Fe!F$10/1000+Twin_Rivers!F$10/1000+Duette!F$10/1000+Charlie_Creek!F$10/1000+Archer!F$10/1000</f>
        <v>102.08062069466152</v>
      </c>
      <c r="D15" s="16">
        <f>Hamilton!G$10/1000+Columbia!G$10/1000+Lake_Placid!G$10/1000+Trenton!G$10/1000+Debary!G$10/1000+Santa_Fe!G$10/1000+Twin_Rivers!G$10/1000+Duette!G$10/1000+Charlie_Creek!G$10/1000+Archer!G$10/1000</f>
        <v>140.1396490741636</v>
      </c>
      <c r="E15" s="16">
        <f>Hamilton!H$10/1000+Columbia!H$10/1000+Lake_Placid!H$10/1000+Trenton!H$10/1000+Debary!H$10/1000+Santa_Fe!H$10/1000+Twin_Rivers!H$10/1000+Duette!H$10/1000+Charlie_Creek!H$10/1000+Archer!H$10/1000</f>
        <v>134.04030278914058</v>
      </c>
      <c r="F15" s="16">
        <f>Hamilton!I$10/1000+Columbia!I$10/1000+Lake_Placid!I$10/1000+Trenton!I$10/1000+Debary!I$10/1000+Santa_Fe!I$10/1000+Twin_Rivers!I$10/1000+Duette!I$10/1000+Charlie_Creek!I$10/1000+Archer!I$10/1000</f>
        <v>128.64619422858411</v>
      </c>
      <c r="G15" s="16">
        <f>Hamilton!J$10/1000+Columbia!J$10/1000+Lake_Placid!J$10/1000+Trenton!J$10/1000+Debary!J$10/1000+Santa_Fe!J$10/1000+Twin_Rivers!J$10/1000+Duette!J$10/1000+Charlie_Creek!J$10/1000+Archer!J$10/1000</f>
        <v>120.64800562725537</v>
      </c>
      <c r="H15" s="16">
        <f>Hamilton!K$10/1000+Columbia!K$10/1000+Lake_Placid!K$10/1000+Trenton!K$10/1000+Debary!K$10/1000+Santa_Fe!K$10/1000+Twin_Rivers!K$10/1000+Duette!K$10/1000+Charlie_Creek!K$10/1000+Archer!K$10/1000</f>
        <v>106.55728151377239</v>
      </c>
      <c r="I15" s="16">
        <f>Hamilton!L$10/1000+Columbia!L$10/1000+Lake_Placid!L$10/1000+Trenton!L$10/1000+Debary!L$10/1000+Santa_Fe!L$10/1000+Twin_Rivers!L$10/1000+Duette!L$10/1000+Charlie_Creek!L$10/1000+Archer!L$10/1000</f>
        <v>103.56659689744981</v>
      </c>
      <c r="J15" s="16">
        <f>Hamilton!M$10/1000+Columbia!M$10/1000+Lake_Placid!M$10/1000+Trenton!M$10/1000+Debary!M$10/1000+Santa_Fe!M$10/1000+Twin_Rivers!M$10/1000+Duette!M$10/1000+Charlie_Creek!M$10/1000+Archer!M$10/1000</f>
        <v>100.82687797199034</v>
      </c>
      <c r="K15" s="16">
        <f>Hamilton!N$10/1000+Columbia!N$10/1000+Lake_Placid!N$10/1000+Trenton!N$10/1000+Debary!N$10/1000+Santa_Fe!N$10/1000+Twin_Rivers!N$10/1000+Duette!N$10/1000+Charlie_Creek!N$10/1000+Archer!N$10/1000</f>
        <v>98.309899435961768</v>
      </c>
      <c r="L15" s="16">
        <f>Hamilton!O$10/1000+Columbia!O$10/1000+Lake_Placid!O$10/1000+Trenton!O$10/1000+Debary!O$10/1000+Santa_Fe!O$10/1000+Twin_Rivers!O$10/1000+Duette!O$10/1000+Charlie_Creek!O$10/1000+Archer!O$10/1000</f>
        <v>95.755033583931194</v>
      </c>
      <c r="M15" s="16">
        <f>Hamilton!P$10/1000+Columbia!P$10/1000+Lake_Placid!P$10/1000+Trenton!P$10/1000+Debary!P$10/1000+Santa_Fe!P$10/1000+Twin_Rivers!P$10/1000+Duette!P$10/1000+Charlie_Creek!P$10/1000+Archer!P$10/1000</f>
        <v>93.237225357173344</v>
      </c>
      <c r="N15" s="16">
        <f>Hamilton!Q$10/1000+Columbia!Q$10/1000+Lake_Placid!Q$10/1000+Trenton!Q$10/1000+Debary!Q$10/1000+Santa_Fe!Q$10/1000+Twin_Rivers!Q$10/1000+Duette!Q$10/1000+Charlie_Creek!Q$10/1000+Archer!Q$10/1000</f>
        <v>90.726054168103147</v>
      </c>
      <c r="O15" s="16">
        <f>Hamilton!R$10/1000+Columbia!R$10/1000+Lake_Placid!R$10/1000+Trenton!R$10/1000+Debary!R$10/1000+Santa_Fe!R$10/1000+Twin_Rivers!R$10/1000+Duette!R$10/1000+Charlie_Creek!R$10/1000+Archer!R$10/1000</f>
        <v>88.301601526088845</v>
      </c>
      <c r="P15" s="16">
        <f>Hamilton!S$10/1000+Columbia!S$10/1000+Lake_Placid!S$10/1000+Trenton!S$10/1000+Debary!S$10/1000+Santa_Fe!S$10/1000+Twin_Rivers!S$10/1000+Duette!S$10/1000+Charlie_Creek!S$10/1000+Archer!S$10/1000</f>
        <v>85.76397260337508</v>
      </c>
      <c r="Q15" s="16">
        <f>Hamilton!T$10/1000+Columbia!T$10/1000+Lake_Placid!T$10/1000+Trenton!T$10/1000+Debary!T$10/1000+Santa_Fe!T$10/1000+Twin_Rivers!T$10/1000+Duette!T$10/1000+Charlie_Creek!T$10/1000+Archer!T$10/1000</f>
        <v>83.238224479776378</v>
      </c>
      <c r="R15" s="16">
        <f>Hamilton!U$10/1000+Columbia!U$10/1000+Lake_Placid!U$10/1000+Trenton!U$10/1000+Debary!U$10/1000+Santa_Fe!U$10/1000+Twin_Rivers!U$10/1000+Duette!U$10/1000+Charlie_Creek!U$10/1000+Archer!U$10/1000</f>
        <v>80.598791337134827</v>
      </c>
      <c r="S15" s="16">
        <f>Hamilton!V$10/1000+Columbia!V$10/1000+Lake_Placid!V$10/1000+Trenton!V$10/1000+Debary!V$10/1000+Santa_Fe!V$10/1000+Twin_Rivers!V$10/1000+Duette!V$10/1000+Charlie_Creek!V$10/1000+Archer!V$10/1000</f>
        <v>78.071339778696768</v>
      </c>
      <c r="T15" s="16">
        <f>Hamilton!W$10/1000+Columbia!W$10/1000+Lake_Placid!W$10/1000+Trenton!W$10/1000+Debary!W$10/1000+Santa_Fe!W$10/1000+Twin_Rivers!W$10/1000+Duette!W$10/1000+Charlie_Creek!W$10/1000+Archer!W$10/1000</f>
        <v>78.09258300930594</v>
      </c>
      <c r="U15" s="16">
        <f>Hamilton!X$10/1000+Columbia!X$10/1000+Lake_Placid!X$10/1000+Trenton!X$10/1000+Debary!X$10/1000+Santa_Fe!X$10/1000+Twin_Rivers!X$10/1000+Duette!X$10/1000+Charlie_Creek!X$10/1000+Archer!X$10/1000</f>
        <v>77.049132064444734</v>
      </c>
      <c r="V15" s="16">
        <f>Hamilton!Y$10/1000+Columbia!Y$10/1000+Lake_Placid!Y$10/1000+Trenton!Y$10/1000+Debary!Y$10/1000+Santa_Fe!Y$10/1000+Twin_Rivers!Y$10/1000+Duette!Y$10/1000+Charlie_Creek!Y$10/1000+Archer!Y$10/1000</f>
        <v>74.343785062889211</v>
      </c>
      <c r="W15" s="16">
        <f>Hamilton!Z$10/1000+Columbia!Z$10/1000+Lake_Placid!Z$10/1000+Trenton!Z$10/1000+Debary!Z$10/1000+Santa_Fe!Z$10/1000+Twin_Rivers!Z$10/1000+Duette!Z$10/1000+Charlie_Creek!Z$10/1000+Archer!Z$10/1000</f>
        <v>71.700748538238017</v>
      </c>
      <c r="X15" s="16">
        <f>Hamilton!AA$10/1000+Columbia!AA$10/1000+Lake_Placid!AA$10/1000+Trenton!AA$10/1000+Debary!AA$10/1000+Santa_Fe!AA$10/1000+Twin_Rivers!AA$10/1000+Duette!AA$10/1000+Charlie_Creek!AA$10/1000+Archer!AA$10/1000</f>
        <v>69.274426053501713</v>
      </c>
      <c r="Y15" s="16">
        <f>Hamilton!AB$10/1000+Columbia!AB$10/1000+Lake_Placid!AB$10/1000+Trenton!AB$10/1000+Debary!AB$10/1000+Santa_Fe!AB$10/1000+Twin_Rivers!AB$10/1000+Duette!AB$10/1000+Charlie_Creek!AB$10/1000+Archer!AB$10/1000</f>
        <v>66.777509599182792</v>
      </c>
      <c r="Z15" s="16">
        <f>Hamilton!AC$10/1000+Columbia!AC$10/1000+Lake_Placid!AC$10/1000+Trenton!AC$10/1000+Debary!AC$10/1000+Santa_Fe!AC$10/1000+Twin_Rivers!AC$10/1000+Duette!AC$10/1000+Charlie_Creek!AC$10/1000+Archer!AC$10/1000</f>
        <v>64.511486072982294</v>
      </c>
      <c r="AA15" s="16">
        <f>Hamilton!AD$10/1000+Columbia!AD$10/1000+Lake_Placid!AD$10/1000+Trenton!AD$10/1000+Debary!AD$10/1000+Santa_Fe!AD$10/1000+Twin_Rivers!AD$10/1000+Duette!AD$10/1000+Charlie_Creek!AD$10/1000+Archer!AD$10/1000</f>
        <v>62.123479086747679</v>
      </c>
      <c r="AB15" s="16">
        <f>Hamilton!AE$10/1000+Columbia!AE$10/1000+Lake_Placid!AE$10/1000+Trenton!AE$10/1000+Debary!AE$10/1000+Santa_Fe!AE$10/1000+Twin_Rivers!AE$10/1000+Duette!AE$10/1000+Charlie_Creek!AE$10/1000+Archer!AE$10/1000</f>
        <v>59.912845166921755</v>
      </c>
      <c r="AC15" s="16">
        <f>Hamilton!AF$10/1000+Columbia!AF$10/1000+Lake_Placid!AF$10/1000+Trenton!AF$10/1000+Debary!AF$10/1000+Santa_Fe!AF$10/1000+Twin_Rivers!AF$10/1000+Duette!AF$10/1000+Charlie_Creek!AF$10/1000+Archer!AF$10/1000</f>
        <v>57.650395769136487</v>
      </c>
      <c r="AD15" s="16">
        <f>Hamilton!AG$10/1000+Columbia!AG$10/1000+Lake_Placid!AG$10/1000+Trenton!AG$10/1000+Debary!AG$10/1000+Santa_Fe!AG$10/1000+Twin_Rivers!AG$10/1000+Duette!AG$10/1000+Charlie_Creek!AG$10/1000+Archer!AG$10/1000</f>
        <v>57.703514450685773</v>
      </c>
      <c r="AE15" s="16">
        <f>Hamilton!AH$10/1000+Columbia!AH$10/1000+Lake_Placid!AH$10/1000+Trenton!AH$10/1000+Debary!AH$10/1000+Santa_Fe!AH$10/1000+Twin_Rivers!AH$10/1000+Duette!AH$10/1000+Charlie_Creek!AH$10/1000+Archer!AH$10/1000</f>
        <v>52.145094362648948</v>
      </c>
      <c r="AF15" s="16">
        <f>Hamilton!AI$10/1000+Columbia!AI$10/1000+Lake_Placid!AI$10/1000+Trenton!AI$10/1000+Debary!AI$10/1000+Santa_Fe!AI$10/1000+Twin_Rivers!AI$10/1000+Duette!AI$10/1000+Charlie_Creek!AI$10/1000+Archer!AI$10/1000</f>
        <v>37.078414464395848</v>
      </c>
      <c r="AG15" s="16">
        <f>Hamilton!AJ$10/1000+Columbia!AJ$10/1000+Lake_Placid!AJ$10/1000+Trenton!AJ$10/1000+Debary!AJ$10/1000+Santa_Fe!AJ$10/1000+Twin_Rivers!AJ$10/1000+Duette!AJ$10/1000+Charlie_Creek!AJ$10/1000+Archer!AJ$10/1000</f>
        <v>21.622436034797943</v>
      </c>
      <c r="AH15" s="16">
        <f>Hamilton!AK$10/1000+Columbia!AK$10/1000+Lake_Placid!AK$10/1000+Trenton!AK$10/1000+Debary!AK$10/1000+Santa_Fe!AK$10/1000+Twin_Rivers!AK$10/1000+Duette!AK$10/1000+Charlie_Creek!AK$10/1000+Archer!AK$10/1000</f>
        <v>3.3113138854625253</v>
      </c>
      <c r="AI15" s="16">
        <f>Hamilton!AL$10/1000+Columbia!AL$10/1000+Lake_Placid!AL$10/1000+Trenton!AL$10/1000+Debary!AL$10/1000+Santa_Fe!AL$10/1000+Twin_Rivers!AL$10/1000+Duette!AL$10/1000+Charlie_Creek!AL$10/1000+Archer!AL$10/1000</f>
        <v>3.1867270656465223</v>
      </c>
      <c r="AJ15" s="16"/>
    </row>
    <row r="16" spans="1:36">
      <c r="A16" s="6" t="s">
        <v>135</v>
      </c>
      <c r="B16" s="16">
        <f>CEC_2022!E$10/1000+CEC_2023!E$10/1000+CEC_2024!E$10/1000</f>
        <v>0</v>
      </c>
      <c r="C16" s="16">
        <f>CEC_2022!F$10/1000+CEC_2023!F$10/1000+CEC_2024!F$10/1000</f>
        <v>0</v>
      </c>
      <c r="D16" s="16">
        <f>CEC_2022!G$10/1000+CEC_2023!G$10/1000+CEC_2024!G$10/1000</f>
        <v>30.858064131033437</v>
      </c>
      <c r="E16" s="16">
        <f>CEC_2022!H$10/1000+CEC_2023!H$10/1000+CEC_2024!H$10/1000</f>
        <v>87.07123900568844</v>
      </c>
      <c r="F16" s="16">
        <f>CEC_2022!I$10/1000+CEC_2023!I$10/1000+CEC_2024!I$10/1000</f>
        <v>138.32148483336081</v>
      </c>
      <c r="G16" s="16">
        <f>CEC_2022!J$10/1000+CEC_2023!J$10/1000+CEC_2024!J$10/1000</f>
        <v>131.34102763355375</v>
      </c>
      <c r="H16" s="16">
        <f>CEC_2022!K$10/1000+CEC_2023!K$10/1000+CEC_2024!K$10/1000</f>
        <v>125.32829334309196</v>
      </c>
      <c r="I16" s="16">
        <f>CEC_2022!L$10/1000+CEC_2023!L$10/1000+CEC_2024!L$10/1000</f>
        <v>112.37313136938053</v>
      </c>
      <c r="J16" s="16">
        <f>CEC_2022!M$10/1000+CEC_2023!M$10/1000+CEC_2024!M$10/1000</f>
        <v>108.5565089486837</v>
      </c>
      <c r="K16" s="16">
        <f>CEC_2022!N$10/1000+CEC_2023!N$10/1000+CEC_2024!N$10/1000</f>
        <v>105.48973259473424</v>
      </c>
      <c r="L16" s="16">
        <f>CEC_2022!O$10/1000+CEC_2023!O$10/1000+CEC_2024!O$10/1000</f>
        <v>102.87656792502673</v>
      </c>
      <c r="M16" s="16">
        <f>CEC_2022!P$10/1000+CEC_2023!P$10/1000+CEC_2024!P$10/1000</f>
        <v>100.51289638557827</v>
      </c>
      <c r="N16" s="16">
        <f>CEC_2022!Q$10/1000+CEC_2023!Q$10/1000+CEC_2024!Q$10/1000</f>
        <v>98.179378177042935</v>
      </c>
      <c r="O16" s="16">
        <f>CEC_2022!R$10/1000+CEC_2023!R$10/1000+CEC_2024!R$10/1000</f>
        <v>95.847943420614058</v>
      </c>
      <c r="P16" s="16">
        <f>CEC_2022!S$10/1000+CEC_2023!S$10/1000+CEC_2024!S$10/1000</f>
        <v>93.474328160646081</v>
      </c>
      <c r="Q16" s="16">
        <f>CEC_2022!T$10/1000+CEC_2023!T$10/1000+CEC_2024!T$10/1000</f>
        <v>91.186331074785173</v>
      </c>
      <c r="R16" s="16">
        <f>CEC_2022!U$10/1000+CEC_2023!U$10/1000+CEC_2024!U$10/1000</f>
        <v>88.936995255073953</v>
      </c>
      <c r="S16" s="16">
        <f>CEC_2022!V$10/1000+CEC_2023!V$10/1000+CEC_2024!V$10/1000</f>
        <v>86.647567246409736</v>
      </c>
      <c r="T16" s="16">
        <f>CEC_2022!W$10/1000+CEC_2023!W$10/1000+CEC_2024!W$10/1000</f>
        <v>90.572619755463975</v>
      </c>
      <c r="U16" s="16">
        <f>CEC_2022!X$10/1000+CEC_2023!X$10/1000+CEC_2024!X$10/1000</f>
        <v>87.77172842682694</v>
      </c>
      <c r="V16" s="16">
        <f>CEC_2022!Y$10/1000+CEC_2023!Y$10/1000+CEC_2024!Y$10/1000</f>
        <v>84.961956356760751</v>
      </c>
      <c r="W16" s="16">
        <f>CEC_2022!Z$10/1000+CEC_2023!Z$10/1000+CEC_2024!Z$10/1000</f>
        <v>82.175389106315691</v>
      </c>
      <c r="X16" s="16">
        <f>CEC_2022!AA$10/1000+CEC_2023!AA$10/1000+CEC_2024!AA$10/1000</f>
        <v>79.628352339490078</v>
      </c>
      <c r="Y16" s="16">
        <f>CEC_2022!AB$10/1000+CEC_2023!AB$10/1000+CEC_2024!AB$10/1000</f>
        <v>77.276014548631224</v>
      </c>
      <c r="Z16" s="16">
        <f>CEC_2022!AC$10/1000+CEC_2023!AC$10/1000+CEC_2024!AC$10/1000</f>
        <v>75.020683560031301</v>
      </c>
      <c r="AA16" s="16">
        <f>CEC_2022!AD$10/1000+CEC_2023!AD$10/1000+CEC_2024!AD$10/1000</f>
        <v>72.691083602545405</v>
      </c>
      <c r="AB16" s="16">
        <f>CEC_2022!AE$10/1000+CEC_2023!AE$10/1000+CEC_2024!AE$10/1000</f>
        <v>70.559218554413519</v>
      </c>
      <c r="AC16" s="119">
        <f>CEC_2022!AF$10/1000+CEC_2023!AF$10/1000+CEC_2024!AF$10/1000</f>
        <v>68.396619754674475</v>
      </c>
      <c r="AD16" s="211">
        <f>CEC_2022!AG$10/1000+CEC_2023!AG$10/1000+CEC_2024!AG$10/1000</f>
        <v>66.331776922346066</v>
      </c>
      <c r="AE16" s="16">
        <f>CEC_2022!AH$10/1000+CEC_2023!AH$10/1000+CEC_2024!AH$10/1000</f>
        <v>64.19727863392194</v>
      </c>
      <c r="AF16" s="16">
        <f>CEC_2022!AI$10/1000+CEC_2023!AI$10/1000+CEC_2024!AI$10/1000</f>
        <v>62.201468047298263</v>
      </c>
      <c r="AG16" s="16">
        <f>CEC_2022!AJ$10/1000+CEC_2023!AJ$10/1000+CEC_2024!AJ$10/1000</f>
        <v>63.884043803646705</v>
      </c>
      <c r="AH16" s="16">
        <f>CEC_2022!AK$10/1000+CEC_2023!AK$10/1000+CEC_2024!AK$10/1000</f>
        <v>54.391358551299618</v>
      </c>
      <c r="AI16" s="16">
        <f>CEC_2022!AL$10/1000+CEC_2023!AL$10/1000+CEC_2024!AL$10/1000</f>
        <v>31.274000020948147</v>
      </c>
      <c r="AJ16" s="16"/>
    </row>
    <row r="17" spans="1:36">
      <c r="A17" s="6" t="s">
        <v>60</v>
      </c>
      <c r="B17" s="16">
        <f>('[9]2019Fall_GenCap_CEC'!F$18+'[9]2019Fall_TrCap_CEC'!F$18)/1000</f>
        <v>0</v>
      </c>
      <c r="C17" s="16">
        <f>('[9]2019Fall_GenCap_CEC'!G$18+'[9]2019Fall_TrCap_CEC'!G$18)/1000</f>
        <v>0</v>
      </c>
      <c r="D17" s="16">
        <f>('[9]2019Fall_GenCap_CEC'!H$18+'[9]2019Fall_TrCap_CEC'!H$18)/1000</f>
        <v>0</v>
      </c>
      <c r="E17" s="16">
        <f>('[9]2019Fall_GenCap_CEC'!I$18+'[9]2019Fall_TrCap_CEC'!I$18)/1000</f>
        <v>0</v>
      </c>
      <c r="F17" s="16">
        <f>('[9]2019Fall_GenCap_CEC'!J$18+'[9]2019Fall_TrCap_CEC'!J$18)/1000</f>
        <v>0</v>
      </c>
      <c r="G17" s="16">
        <f>('[9]2019Fall_GenCap_CEC'!K$18+'[9]2019Fall_TrCap_CEC'!K$18)/1000</f>
        <v>0</v>
      </c>
      <c r="H17" s="16">
        <f>('[9]2019Fall_GenCap_CEC'!L$18+'[9]2019Fall_TrCap_CEC'!L$18)/1000</f>
        <v>0</v>
      </c>
      <c r="I17" s="16">
        <f>('[9]2019Fall_GenCap_CEC'!M$18+'[9]2019Fall_TrCap_CEC'!M$18)/1000</f>
        <v>10.717088725236454</v>
      </c>
      <c r="J17" s="16">
        <f>('[9]2019Fall_GenCap_CEC'!N$18+'[9]2019Fall_TrCap_CEC'!N$18)/1000</f>
        <v>17.959547413565073</v>
      </c>
      <c r="K17" s="16">
        <f>('[9]2019Fall_GenCap_CEC'!O$18+'[9]2019Fall_TrCap_CEC'!O$18)/1000</f>
        <v>28.426197298172987</v>
      </c>
      <c r="L17" s="16">
        <f>('[9]2019Fall_GenCap_CEC'!P$18+'[9]2019Fall_TrCap_CEC'!P$18)/1000</f>
        <v>35.349131023784736</v>
      </c>
      <c r="M17" s="16">
        <f>('[9]2019Fall_GenCap_CEC'!Q$18+'[9]2019Fall_TrCap_CEC'!Q$18)/1000</f>
        <v>45.609703397646946</v>
      </c>
      <c r="N17" s="16">
        <f>('[9]2019Fall_GenCap_CEC'!R$18+'[9]2019Fall_TrCap_CEC'!R$18)/1000</f>
        <v>52.25059957758593</v>
      </c>
      <c r="O17" s="16">
        <f>('[9]2019Fall_GenCap_CEC'!S$18+'[9]2019Fall_TrCap_CEC'!S$18)/1000</f>
        <v>62.337251153803344</v>
      </c>
      <c r="P17" s="16">
        <f>('[9]2019Fall_GenCap_CEC'!T$18+'[9]2019Fall_TrCap_CEC'!T$18)/1000</f>
        <v>220.53245388590415</v>
      </c>
      <c r="Q17" s="16">
        <f>('[9]2019Fall_GenCap_CEC'!U$18+'[9]2019Fall_TrCap_CEC'!U$18)/1000</f>
        <v>595.43948985906695</v>
      </c>
      <c r="R17" s="16">
        <f>('[9]2019Fall_GenCap_CEC'!V$18+'[9]2019Fall_TrCap_CEC'!V$18)/1000</f>
        <v>593.12059107695052</v>
      </c>
      <c r="S17" s="16">
        <f>('[9]2019Fall_GenCap_CEC'!W$18+'[9]2019Fall_TrCap_CEC'!W$18)/1000</f>
        <v>586.65164650587258</v>
      </c>
      <c r="T17" s="16">
        <f>('[9]2019Fall_GenCap_CEC'!X$18+'[9]2019Fall_TrCap_CEC'!X$18)/1000</f>
        <v>598.76565343349125</v>
      </c>
      <c r="U17" s="16">
        <f>('[9]2019Fall_GenCap_CEC'!Y$18+'[9]2019Fall_TrCap_CEC'!Y$18)/1000</f>
        <v>601.98359496079456</v>
      </c>
      <c r="V17" s="16">
        <f>('[9]2019Fall_GenCap_CEC'!Z$18+'[9]2019Fall_TrCap_CEC'!Z$18)/1000</f>
        <v>599.40726094203774</v>
      </c>
      <c r="W17" s="16">
        <f>('[9]2019Fall_GenCap_CEC'!AA$18+'[9]2019Fall_TrCap_CEC'!AA$18)/1000</f>
        <v>592.36935434195368</v>
      </c>
      <c r="X17" s="16">
        <f>('[9]2019Fall_GenCap_CEC'!AB$18+'[9]2019Fall_TrCap_CEC'!AB$18)/1000</f>
        <v>700.97138623819478</v>
      </c>
      <c r="Y17" s="16">
        <f>('[9]2019Fall_GenCap_CEC'!AC$18+'[9]2019Fall_TrCap_CEC'!AC$18)/1000</f>
        <v>1069.9554472113034</v>
      </c>
      <c r="Z17" s="16">
        <f>('[9]2019Fall_GenCap_CEC'!AD$18+'[9]2019Fall_TrCap_CEC'!AD$18)/1000</f>
        <v>1070.2115206873427</v>
      </c>
      <c r="AA17" s="16">
        <f>('[9]2019Fall_GenCap_CEC'!AE$18+'[9]2019Fall_TrCap_CEC'!AE$18)/1000</f>
        <v>1076.4119586696049</v>
      </c>
      <c r="AB17" s="16">
        <f>('[9]2019Fall_GenCap_CEC'!AF$18+'[9]2019Fall_TrCap_CEC'!AF$18)/1000</f>
        <v>1071.3146354060393</v>
      </c>
      <c r="AC17" s="119">
        <f>('[9]2019Fall_GenCap_CEC'!AG$18+'[9]2019Fall_TrCap_CEC'!AG$18)/1000</f>
        <v>1050.1288810293786</v>
      </c>
      <c r="AD17" s="211">
        <f>('[9]2019Fall_GenCap_CEC'!AH$18+'[9]2019Fall_TrCap_CEC'!AH$18)/1000</f>
        <v>1017.8352062078461</v>
      </c>
      <c r="AE17" s="16">
        <f>('[9]2019Fall_GenCap_CEC'!AI$18+'[9]2019Fall_TrCap_CEC'!AI$18)/1000</f>
        <v>986.0632405886804</v>
      </c>
      <c r="AF17" s="16">
        <f>('[9]2019Fall_GenCap_CEC'!AJ$18+'[9]2019Fall_TrCap_CEC'!AJ$18)/1000</f>
        <v>954.82001763246592</v>
      </c>
      <c r="AG17" s="16">
        <f>('[9]2019Fall_GenCap_CEC'!AK$18+'[9]2019Fall_TrCap_CEC'!AK$18)/1000</f>
        <v>923.86918947753918</v>
      </c>
      <c r="AH17" s="16">
        <f>('[9]2019Fall_GenCap_CEC'!AL$18+'[9]2019Fall_TrCap_CEC'!AL$18)/1000</f>
        <v>893.07617967486317</v>
      </c>
      <c r="AI17" s="16">
        <f>('[9]2019Fall_GenCap_CEC'!AM$18+'[9]2019Fall_TrCap_CEC'!AM$18)/1000</f>
        <v>862.47077369399312</v>
      </c>
      <c r="AJ17" s="23"/>
    </row>
    <row r="18" spans="1:36">
      <c r="A18" s="6" t="s">
        <v>68</v>
      </c>
      <c r="B18" s="16">
        <f>'[13]FOM Cost'!C$150/1000-SUM('[13]FOM Cost'!C$132:C$136)/1000</f>
        <v>445.38108</v>
      </c>
      <c r="C18" s="16">
        <f>'[13]FOM Cost'!D$150/1000-SUM('[13]FOM Cost'!D$132:D$136)/1000</f>
        <v>433.15770000000009</v>
      </c>
      <c r="D18" s="16">
        <f>'[13]FOM Cost'!E$150/1000-SUM('[13]FOM Cost'!E$132:E$136)/1000</f>
        <v>436.09264999999999</v>
      </c>
      <c r="E18" s="16">
        <f>'[13]FOM Cost'!F$150/1000-SUM('[13]FOM Cost'!F$132:F$136)/1000</f>
        <v>456.05954000000003</v>
      </c>
      <c r="F18" s="16">
        <f>'[13]FOM Cost'!G$150/1000-SUM('[13]FOM Cost'!G$132:G$136)/1000</f>
        <v>300.44051999999994</v>
      </c>
      <c r="G18" s="16">
        <f>'[13]FOM Cost'!H$150/1000-SUM('[13]FOM Cost'!H$132:H$136)/1000</f>
        <v>147.85321999999999</v>
      </c>
      <c r="H18" s="16">
        <f>'[13]FOM Cost'!I$150/1000-SUM('[13]FOM Cost'!I$132:I$136)/1000</f>
        <v>57.67533000000001</v>
      </c>
      <c r="I18" s="16">
        <f>'[13]FOM Cost'!J$150/1000-SUM('[13]FOM Cost'!J$132:J$136)/1000</f>
        <v>32.548740000000002</v>
      </c>
      <c r="J18" s="16">
        <f>'[13]FOM Cost'!K$150/1000-SUM('[13]FOM Cost'!K$132:K$136)/1000</f>
        <v>21.031479999999995</v>
      </c>
      <c r="K18" s="16">
        <f>'[13]FOM Cost'!L$150/1000-SUM('[13]FOM Cost'!L$132:L$136)/1000</f>
        <v>21.5931</v>
      </c>
      <c r="L18" s="16">
        <f>'[13]FOM Cost'!M$150/1000-SUM('[13]FOM Cost'!M$132:M$136)/1000</f>
        <v>22.107350000000007</v>
      </c>
      <c r="M18" s="16">
        <f>'[13]FOM Cost'!N$150/1000-SUM('[13]FOM Cost'!N$132:N$136)/1000</f>
        <v>22.752160000000003</v>
      </c>
      <c r="N18" s="16">
        <f>'[13]FOM Cost'!O$150/1000-SUM('[13]FOM Cost'!O$132:O$136)/1000</f>
        <v>23.31391</v>
      </c>
      <c r="O18" s="16">
        <f>'[13]FOM Cost'!P$150/1000-SUM('[13]FOM Cost'!P$132:P$136)/1000</f>
        <v>23.962970000000002</v>
      </c>
      <c r="P18" s="16">
        <f>'[13]FOM Cost'!Q$150/1000-SUM('[13]FOM Cost'!Q$132:Q$136)/1000</f>
        <v>30.484359999999999</v>
      </c>
      <c r="Q18" s="16">
        <f>'[13]FOM Cost'!R$150/1000-SUM('[13]FOM Cost'!R$132:R$136)/1000</f>
        <v>35.443780000000004</v>
      </c>
      <c r="R18" s="16">
        <f>'[13]FOM Cost'!S$150/1000-SUM('[13]FOM Cost'!S$132:S$136)/1000</f>
        <v>36.695809999999994</v>
      </c>
      <c r="S18" s="16">
        <f>'[13]FOM Cost'!T$150/1000-SUM('[13]FOM Cost'!T$132:T$136)/1000</f>
        <v>37.877529999999993</v>
      </c>
      <c r="T18" s="16">
        <f>'[13]FOM Cost'!U$150/1000-SUM('[13]FOM Cost'!U$132:U$136)/1000</f>
        <v>40.024909999999991</v>
      </c>
      <c r="U18" s="16">
        <f>'[13]FOM Cost'!V$150/1000-SUM('[13]FOM Cost'!V$132:V$136)/1000</f>
        <v>41.85933</v>
      </c>
      <c r="V18" s="16">
        <f>'[13]FOM Cost'!W$150/1000-SUM('[13]FOM Cost'!W$132:W$136)/1000</f>
        <v>43.490149999999993</v>
      </c>
      <c r="W18" s="16">
        <f>'[13]FOM Cost'!X$150/1000-SUM('[13]FOM Cost'!X$132:X$136)/1000</f>
        <v>44.870599999999996</v>
      </c>
      <c r="X18" s="16">
        <f>'[13]FOM Cost'!Y$150/1000-SUM('[13]FOM Cost'!Y$132:Y$136)/1000</f>
        <v>51.411669999999987</v>
      </c>
      <c r="Y18" s="16">
        <f>'[13]FOM Cost'!Z$150/1000-SUM('[13]FOM Cost'!Z$132:Z$136)/1000</f>
        <v>56.647639999999996</v>
      </c>
      <c r="Z18" s="16">
        <f>'[13]FOM Cost'!AA$150/1000-SUM('[13]FOM Cost'!AA$132:AA$136)/1000</f>
        <v>59.53315000000002</v>
      </c>
      <c r="AA18" s="16">
        <f>'[13]FOM Cost'!AB$150/1000-SUM('[13]FOM Cost'!AB$132:AB$136)/1000</f>
        <v>62.423000000000002</v>
      </c>
      <c r="AB18" s="16">
        <f>'[13]FOM Cost'!AC$150/1000-SUM('[13]FOM Cost'!AC$132:AC$136)/1000</f>
        <v>64.432090000000002</v>
      </c>
      <c r="AC18" s="16">
        <f>'[13]FOM Cost'!AD$150/1000-SUM('[13]FOM Cost'!AD$132:AD$136)/1000</f>
        <v>66.444210000000012</v>
      </c>
      <c r="AD18" s="16">
        <f>'[13]FOM Cost'!AE$150/1000-SUM('[13]FOM Cost'!AE$132:AE$136)/1000</f>
        <v>67.917249999999996</v>
      </c>
      <c r="AE18" s="16">
        <f>'[13]FOM Cost'!AF$150/1000-SUM('[13]FOM Cost'!AF$132:AF$136)/1000</f>
        <v>66.928879999999992</v>
      </c>
      <c r="AF18" s="16">
        <f>'[13]FOM Cost'!AG$150/1000-SUM('[13]FOM Cost'!AG$132:AG$136)/1000</f>
        <v>62.784119999999987</v>
      </c>
      <c r="AG18" s="16">
        <f>'[13]FOM Cost'!AH$150/1000-SUM('[13]FOM Cost'!AH$132:AH$136)/1000</f>
        <v>58.970110000000005</v>
      </c>
      <c r="AH18" s="16">
        <f>'[13]FOM Cost'!AI$150/1000-SUM('[13]FOM Cost'!AI$132:AI$136)/1000</f>
        <v>56.748150000000003</v>
      </c>
      <c r="AI18" s="16">
        <f>'[13]FOM Cost'!AJ$150/1000-SUM('[13]FOM Cost'!AJ$132:AJ$136)/1000</f>
        <v>57.936389999999996</v>
      </c>
      <c r="AJ18" s="16"/>
    </row>
    <row r="19" spans="1:36">
      <c r="A19" s="6" t="s">
        <v>67</v>
      </c>
      <c r="B19" s="16">
        <f>[13]System!B$13/1000</f>
        <v>390.67815999999999</v>
      </c>
      <c r="C19" s="16">
        <f>[13]System!C$13/1000</f>
        <v>384.87225999999998</v>
      </c>
      <c r="D19" s="16">
        <f>[13]System!D$13/1000</f>
        <v>381.80252000000002</v>
      </c>
      <c r="E19" s="16">
        <f>[13]System!E$13/1000</f>
        <v>381.80252000000002</v>
      </c>
      <c r="F19" s="16">
        <f>[13]System!F$13/1000</f>
        <v>382.80076000000003</v>
      </c>
      <c r="G19" s="16">
        <f>[13]System!G$13/1000</f>
        <v>381.80250999999998</v>
      </c>
      <c r="H19" s="16">
        <f>[13]System!H$13/1000</f>
        <v>381.80252000000002</v>
      </c>
      <c r="I19" s="16">
        <f>[13]System!I$13/1000</f>
        <v>381.80250999999998</v>
      </c>
      <c r="J19" s="16">
        <f>[13]System!J$13/1000</f>
        <v>382.80076000000003</v>
      </c>
      <c r="K19" s="16">
        <f>[13]System!K$13/1000</f>
        <v>381.80252000000002</v>
      </c>
      <c r="L19" s="16">
        <f>[13]System!L$13/1000</f>
        <v>381.80252000000002</v>
      </c>
      <c r="M19" s="16">
        <f>[13]System!M$13/1000</f>
        <v>381.80250999999998</v>
      </c>
      <c r="N19" s="16">
        <f>[13]System!N$13/1000</f>
        <v>382.80076000000003</v>
      </c>
      <c r="O19" s="16">
        <f>[13]System!O$13/1000</f>
        <v>381.80252000000002</v>
      </c>
      <c r="P19" s="16">
        <f>[13]System!P$13/1000</f>
        <v>462.23569000000003</v>
      </c>
      <c r="Q19" s="16">
        <f>[13]System!Q$13/1000</f>
        <v>521.52251999999999</v>
      </c>
      <c r="R19" s="16">
        <f>[13]System!R$13/1000</f>
        <v>535.07578999999998</v>
      </c>
      <c r="S19" s="16">
        <f>[13]System!S$13/1000</f>
        <v>544.75669999999991</v>
      </c>
      <c r="T19" s="16">
        <f>[13]System!T$13/1000</f>
        <v>573.23550999999998</v>
      </c>
      <c r="U19" s="16">
        <f>[13]System!U$13/1000</f>
        <v>593.57750999999996</v>
      </c>
      <c r="V19" s="16">
        <f>[13]System!V$13/1000</f>
        <v>608.53778</v>
      </c>
      <c r="W19" s="16">
        <f>[13]System!W$13/1000</f>
        <v>619.22370000000001</v>
      </c>
      <c r="X19" s="16">
        <f>[13]System!X$13/1000</f>
        <v>696.61036000000001</v>
      </c>
      <c r="Y19" s="16">
        <f>[13]System!Y$13/1000</f>
        <v>751.95618000000002</v>
      </c>
      <c r="Z19" s="16">
        <f>[13]System!Z$13/1000</f>
        <v>784.98285999999996</v>
      </c>
      <c r="AA19" s="16">
        <f>[13]System!AA$13/1000</f>
        <v>825.49950000000001</v>
      </c>
      <c r="AB19" s="16">
        <f>[13]System!AB$13/1000</f>
        <v>854.93898999999999</v>
      </c>
      <c r="AC19" s="119">
        <f>[13]System!AC$13/1000</f>
        <v>867.33136000000002</v>
      </c>
      <c r="AD19" s="211">
        <f>[13]System!AD$13/1000</f>
        <v>867.33136000000002</v>
      </c>
      <c r="AE19" s="16">
        <f>[13]System!AE$13/1000</f>
        <v>867.33136000000002</v>
      </c>
      <c r="AF19" s="16">
        <f>[13]System!AF$13/1000</f>
        <v>867.33136000000002</v>
      </c>
      <c r="AG19" s="16">
        <f>[13]System!AG$13/1000</f>
        <v>867.33136000000002</v>
      </c>
      <c r="AH19" s="16">
        <f>[13]System!AH$13/1000</f>
        <v>867.33136000000002</v>
      </c>
      <c r="AI19" s="16">
        <f>[13]System!AI$13/1000</f>
        <v>867.33136000000002</v>
      </c>
      <c r="AJ19" s="16"/>
    </row>
    <row r="20" spans="1:36">
      <c r="A20" s="6" t="s">
        <v>383</v>
      </c>
      <c r="B20" s="16">
        <f>'Program Admin Budget'!C105/1000000</f>
        <v>0</v>
      </c>
      <c r="C20" s="16">
        <f>'Program Admin Budget'!D105/1000000</f>
        <v>1.0200790961866668</v>
      </c>
      <c r="D20" s="16">
        <f>'Program Admin Budget'!E105/1000000</f>
        <v>0.6275365374466666</v>
      </c>
      <c r="E20" s="16">
        <f>'Program Admin Budget'!F105/1000000</f>
        <v>0.68307619099066674</v>
      </c>
      <c r="F20" s="16">
        <f>'Program Admin Budget'!G105/1000000</f>
        <v>0.67471288001039997</v>
      </c>
      <c r="G20" s="16">
        <f>'Program Admin Budget'!H105/1000000</f>
        <v>0.65619743327906666</v>
      </c>
      <c r="H20" s="16">
        <f>'Program Admin Budget'!I105/1000000</f>
        <v>0.51050195073344673</v>
      </c>
      <c r="I20" s="16">
        <f>'Program Admin Budget'!J105/1000000</f>
        <v>0.56509226722358352</v>
      </c>
      <c r="J20" s="16">
        <f>'Program Admin Budget'!K105/1000000</f>
        <v>0.52413609409135764</v>
      </c>
      <c r="K20" s="16">
        <f>'Program Admin Budget'!L105/1000000</f>
        <v>0.54544233186889834</v>
      </c>
      <c r="L20" s="16">
        <f>'Program Admin Budget'!M105/1000000</f>
        <v>0.58902085979309859</v>
      </c>
      <c r="M20" s="16">
        <f>'Program Admin Budget'!N105/1000000</f>
        <v>0.37240217849023277</v>
      </c>
      <c r="N20" s="16">
        <f>'Program Admin Budget'!O105/1000000</f>
        <v>0.3688563987997398</v>
      </c>
      <c r="O20" s="16">
        <f>'Program Admin Budget'!P105/1000000</f>
        <v>0.42743734873186529</v>
      </c>
      <c r="P20" s="16">
        <f>'Program Admin Budget'!Q105/1000000</f>
        <v>0.38235152804488787</v>
      </c>
      <c r="Q20" s="16">
        <f>'Program Admin Budget'!R105/1000000</f>
        <v>0.3994042288410346</v>
      </c>
      <c r="R20" s="16">
        <f>'Program Admin Budget'!S105/1000000</f>
        <v>0.43860161367439893</v>
      </c>
      <c r="S20" s="16">
        <f>'Program Admin Budget'!T105/1000000</f>
        <v>0.4141507209356976</v>
      </c>
      <c r="T20" s="16">
        <f>'Program Admin Budget'!U105/1000000</f>
        <v>0.41185739751856848</v>
      </c>
      <c r="U20" s="16">
        <f>'Program Admin Budget'!V105/1000000</f>
        <v>0.47172837741225887</v>
      </c>
      <c r="V20" s="16">
        <f>'Program Admin Budget'!W105/1000000</f>
        <v>0.42797128758569336</v>
      </c>
      <c r="W20" s="16">
        <f>'Program Admin Budget'!X105/1000000</f>
        <v>0.44639258116806418</v>
      </c>
      <c r="X20" s="16">
        <f>'Program Admin Budget'!Y105/1000000</f>
        <v>0.48699961657123941</v>
      </c>
      <c r="Y20" s="16">
        <f>'Program Admin Budget'!Z105/1000000</f>
        <v>0.46400066391944333</v>
      </c>
      <c r="Z20" s="16">
        <f>'Program Admin Budget'!AA105/1000000</f>
        <v>0.46320283879182667</v>
      </c>
      <c r="AA20" s="16">
        <f>'Program Admin Budget'!AB105/1000000</f>
        <v>0.52461418192371467</v>
      </c>
      <c r="AB20" s="16">
        <f>'Program Admin Budget'!AC105/1000000</f>
        <v>0.44572711472582627</v>
      </c>
      <c r="AC20" s="16">
        <f>'Program Admin Budget'!AD105/1000000</f>
        <v>0.48078257966760096</v>
      </c>
      <c r="AD20" s="16">
        <f>'Program Admin Budget'!AE105/1000000</f>
        <v>0.4661397085576291</v>
      </c>
      <c r="AE20" s="16">
        <f>'Program Admin Budget'!AF105/1000000</f>
        <v>0.49780755131435794</v>
      </c>
      <c r="AF20" s="16">
        <f>'Program Admin Budget'!AG105/1000000</f>
        <v>0.48779542935378872</v>
      </c>
      <c r="AG20" s="16">
        <f>'Program Admin Budget'!AH105/1000000</f>
        <v>0.52411294373440231</v>
      </c>
      <c r="AH20" s="16">
        <f>'Program Admin Budget'!AI105/1000000</f>
        <v>0.49316099354643445</v>
      </c>
      <c r="AI20" s="16">
        <f>'Program Admin Budget'!AJ105/1000000</f>
        <v>0.49494976455282746</v>
      </c>
      <c r="AJ20" s="16"/>
    </row>
    <row r="21" spans="1:36">
      <c r="A21" s="6" t="s">
        <v>65</v>
      </c>
      <c r="B21" s="16">
        <f>'[13]Fuel Cost'!C$150/1000</f>
        <v>849.84470000000033</v>
      </c>
      <c r="C21" s="16">
        <f>'[13]Fuel Cost'!D$150/1000</f>
        <v>858.9478899999998</v>
      </c>
      <c r="D21" s="16">
        <f>'[13]Fuel Cost'!E$150/1000</f>
        <v>875.38603999999964</v>
      </c>
      <c r="E21" s="16">
        <f>'[13]Fuel Cost'!F$150/1000</f>
        <v>877.50779999999975</v>
      </c>
      <c r="F21" s="16">
        <f>'[13]Fuel Cost'!G$150/1000</f>
        <v>864.54453999999998</v>
      </c>
      <c r="G21" s="16">
        <f>'[13]Fuel Cost'!H$150/1000</f>
        <v>923.5088300000001</v>
      </c>
      <c r="H21" s="16">
        <f>'[13]Fuel Cost'!I$150/1000</f>
        <v>1002.5753500000003</v>
      </c>
      <c r="I21" s="16">
        <f>'[13]Fuel Cost'!J$150/1000</f>
        <v>1128.10556</v>
      </c>
      <c r="J21" s="16">
        <f>'[13]Fuel Cost'!K$150/1000</f>
        <v>1300.6005699999998</v>
      </c>
      <c r="K21" s="16">
        <f>'[13]Fuel Cost'!L$150/1000</f>
        <v>1407.9222099999997</v>
      </c>
      <c r="L21" s="16">
        <f>'[13]Fuel Cost'!M$150/1000</f>
        <v>1503.1185299999997</v>
      </c>
      <c r="M21" s="16">
        <f>'[13]Fuel Cost'!N$150/1000</f>
        <v>1566.4245199999998</v>
      </c>
      <c r="N21" s="16">
        <f>'[13]Fuel Cost'!O$150/1000</f>
        <v>1670.5569699999996</v>
      </c>
      <c r="O21" s="16">
        <f>'[13]Fuel Cost'!P$150/1000</f>
        <v>1682.9705900000006</v>
      </c>
      <c r="P21" s="16">
        <f>'[13]Fuel Cost'!Q$150/1000</f>
        <v>1733.87375</v>
      </c>
      <c r="Q21" s="16">
        <f>'[13]Fuel Cost'!R$150/1000</f>
        <v>1800.2980599999996</v>
      </c>
      <c r="R21" s="16">
        <f>'[13]Fuel Cost'!S$150/1000</f>
        <v>1854.9802799999998</v>
      </c>
      <c r="S21" s="16">
        <f>'[13]Fuel Cost'!T$150/1000</f>
        <v>2006.3996599999998</v>
      </c>
      <c r="T21" s="16">
        <f>'[13]Fuel Cost'!U$150/1000</f>
        <v>2121.7911400000003</v>
      </c>
      <c r="U21" s="16">
        <f>'[13]Fuel Cost'!V$150/1000</f>
        <v>2197.8233</v>
      </c>
      <c r="V21" s="16">
        <f>'[13]Fuel Cost'!W$150/1000</f>
        <v>2313.5475300000003</v>
      </c>
      <c r="W21" s="16">
        <f>'[13]Fuel Cost'!X$150/1000</f>
        <v>2428.0343300000009</v>
      </c>
      <c r="X21" s="16">
        <f>'[13]Fuel Cost'!Y$150/1000</f>
        <v>2484.5076399999998</v>
      </c>
      <c r="Y21" s="16">
        <f>'[13]Fuel Cost'!Z$150/1000</f>
        <v>2538.43462</v>
      </c>
      <c r="Z21" s="16">
        <f>'[13]Fuel Cost'!AA$150/1000</f>
        <v>2680.6342800000002</v>
      </c>
      <c r="AA21" s="16">
        <f>'[13]Fuel Cost'!AB$150/1000</f>
        <v>2848.9740399999996</v>
      </c>
      <c r="AB21" s="16">
        <f>'[13]Fuel Cost'!AC$150/1000</f>
        <v>2997.7857199999999</v>
      </c>
      <c r="AC21" s="119">
        <f>'[13]Fuel Cost'!AD$150/1000</f>
        <v>3041.2184899999993</v>
      </c>
      <c r="AD21" s="211">
        <f>'[13]Fuel Cost'!AE$150/1000</f>
        <v>3162.9207800000008</v>
      </c>
      <c r="AE21" s="16">
        <f>'[13]Fuel Cost'!AF$150/1000</f>
        <v>3212.857480000001</v>
      </c>
      <c r="AF21" s="16">
        <f>'[13]Fuel Cost'!AG$150/1000</f>
        <v>3289.3267399999995</v>
      </c>
      <c r="AG21" s="16">
        <f>'[13]Fuel Cost'!AH$150/1000</f>
        <v>3397.5941200000007</v>
      </c>
      <c r="AH21" s="16">
        <f>'[13]Fuel Cost'!AI$150/1000</f>
        <v>3536.429959999999</v>
      </c>
      <c r="AI21" s="16">
        <f>'[13]Fuel Cost'!AJ$150/1000</f>
        <v>3658.8218199999997</v>
      </c>
      <c r="AJ21" s="16"/>
    </row>
    <row r="22" spans="1:36">
      <c r="A22" s="6" t="s">
        <v>52</v>
      </c>
      <c r="B22" s="16">
        <f>('[13]Start Cost'!C$150+'[13]VOM Cost'!C$150)/1000+([13]System!B$7+[13]System!B$9)/1000</f>
        <v>86.065810000000013</v>
      </c>
      <c r="C22" s="16">
        <f>('[13]Start Cost'!D$150+'[13]VOM Cost'!D$150)/1000+([13]System!C$7+[13]System!C$9)/1000</f>
        <v>91.133150000000001</v>
      </c>
      <c r="D22" s="16">
        <f>('[13]Start Cost'!E$150+'[13]VOM Cost'!E$150)/1000+([13]System!D$7+[13]System!D$9)/1000</f>
        <v>97.62521999999997</v>
      </c>
      <c r="E22" s="16">
        <f>('[13]Start Cost'!F$150+'[13]VOM Cost'!F$150)/1000+([13]System!E$7+[13]System!E$9)/1000</f>
        <v>102.71341000000001</v>
      </c>
      <c r="F22" s="16">
        <f>('[13]Start Cost'!G$150+'[13]VOM Cost'!G$150)/1000+([13]System!F$7+[13]System!F$9)/1000</f>
        <v>111.5038</v>
      </c>
      <c r="G22" s="16">
        <f>('[13]Start Cost'!H$150+'[13]VOM Cost'!H$150)/1000+([13]System!G$7+[13]System!G$9)/1000</f>
        <v>124.92071000000001</v>
      </c>
      <c r="H22" s="16">
        <f>('[13]Start Cost'!I$150+'[13]VOM Cost'!I$150)/1000+([13]System!H$7+[13]System!H$9)/1000</f>
        <v>146.58452999999997</v>
      </c>
      <c r="I22" s="16">
        <f>('[13]Start Cost'!J$150+'[13]VOM Cost'!J$150)/1000+([13]System!I$7+[13]System!I$9)/1000</f>
        <v>165.61508999999998</v>
      </c>
      <c r="J22" s="16">
        <f>('[13]Start Cost'!K$150+'[13]VOM Cost'!K$150)/1000+([13]System!J$7+[13]System!J$9)/1000</f>
        <v>188.41822999999999</v>
      </c>
      <c r="K22" s="16">
        <f>('[13]Start Cost'!L$150+'[13]VOM Cost'!L$150)/1000+([13]System!K$7+[13]System!K$9)/1000</f>
        <v>203.32785999999999</v>
      </c>
      <c r="L22" s="16">
        <f>('[13]Start Cost'!M$150+'[13]VOM Cost'!M$150)/1000+([13]System!L$7+[13]System!L$9)/1000</f>
        <v>225.29857999999999</v>
      </c>
      <c r="M22" s="16">
        <f>('[13]Start Cost'!N$150+'[13]VOM Cost'!N$150)/1000+([13]System!M$7+[13]System!M$9)/1000</f>
        <v>246.27715000000003</v>
      </c>
      <c r="N22" s="16">
        <f>('[13]Start Cost'!O$150+'[13]VOM Cost'!O$150)/1000+([13]System!N$7+[13]System!N$9)/1000</f>
        <v>258.58098999999999</v>
      </c>
      <c r="O22" s="16">
        <f>('[13]Start Cost'!P$150+'[13]VOM Cost'!P$150)/1000+([13]System!O$7+[13]System!O$9)/1000</f>
        <v>276.66181000000006</v>
      </c>
      <c r="P22" s="16">
        <f>('[13]Start Cost'!Q$150+'[13]VOM Cost'!Q$150)/1000+([13]System!P$7+[13]System!P$9)/1000</f>
        <v>282.11108000000002</v>
      </c>
      <c r="Q22" s="16">
        <f>('[13]Start Cost'!R$150+'[13]VOM Cost'!R$150)/1000+([13]System!Q$7+[13]System!Q$9)/1000</f>
        <v>296.64774000000006</v>
      </c>
      <c r="R22" s="16">
        <f>('[13]Start Cost'!S$150+'[13]VOM Cost'!S$150)/1000+([13]System!R$7+[13]System!R$9)/1000</f>
        <v>316.56154000000004</v>
      </c>
      <c r="S22" s="16">
        <f>('[13]Start Cost'!T$150+'[13]VOM Cost'!T$150)/1000+([13]System!S$7+[13]System!S$9)/1000</f>
        <v>356.45156999999995</v>
      </c>
      <c r="T22" s="16">
        <f>('[13]Start Cost'!U$150+'[13]VOM Cost'!U$150)/1000+([13]System!T$7+[13]System!T$9)/1000</f>
        <v>373.97955000000002</v>
      </c>
      <c r="U22" s="16">
        <f>('[13]Start Cost'!V$150+'[13]VOM Cost'!V$150)/1000+([13]System!U$7+[13]System!U$9)/1000</f>
        <v>414.14599000000004</v>
      </c>
      <c r="V22" s="16">
        <f>('[13]Start Cost'!W$150+'[13]VOM Cost'!W$150)/1000+([13]System!V$7+[13]System!V$9)/1000</f>
        <v>422.59459999999996</v>
      </c>
      <c r="W22" s="16">
        <f>('[13]Start Cost'!X$150+'[13]VOM Cost'!X$150)/1000+([13]System!W$7+[13]System!W$9)/1000</f>
        <v>448.61316999999997</v>
      </c>
      <c r="X22" s="16">
        <f>('[13]Start Cost'!Y$150+'[13]VOM Cost'!Y$150)/1000+([13]System!X$7+[13]System!X$9)/1000</f>
        <v>455.93155999999999</v>
      </c>
      <c r="Y22" s="16">
        <f>('[13]Start Cost'!Z$150+'[13]VOM Cost'!Z$150)/1000+([13]System!Y$7+[13]System!Y$9)/1000</f>
        <v>476.52009999999996</v>
      </c>
      <c r="Z22" s="16">
        <f>('[13]Start Cost'!AA$150+'[13]VOM Cost'!AA$150)/1000+([13]System!Z$7+[13]System!Z$9)/1000</f>
        <v>491.75674999999995</v>
      </c>
      <c r="AA22" s="16">
        <f>('[13]Start Cost'!AB$150+'[13]VOM Cost'!AB$150)/1000+([13]System!AA$7+[13]System!AA$9)/1000</f>
        <v>519.99282999999991</v>
      </c>
      <c r="AB22" s="16">
        <f>('[13]Start Cost'!AC$150+'[13]VOM Cost'!AC$150)/1000+([13]System!AB$7+[13]System!AB$9)/1000</f>
        <v>537.38009</v>
      </c>
      <c r="AC22" s="119">
        <f>('[13]Start Cost'!AD$150+'[13]VOM Cost'!AD$150)/1000+([13]System!AC$7+[13]System!AC$9)/1000</f>
        <v>566.00610000000006</v>
      </c>
      <c r="AD22" s="211">
        <f>('[13]Start Cost'!AE$150+'[13]VOM Cost'!AE$150)/1000+([13]System!AD$7+[13]System!AD$9)/1000</f>
        <v>582.84872000000007</v>
      </c>
      <c r="AE22" s="16">
        <f>('[13]Start Cost'!AF$150+'[13]VOM Cost'!AF$150)/1000+([13]System!AE$7+[13]System!AE$9)/1000</f>
        <v>605.84973000000002</v>
      </c>
      <c r="AF22" s="16">
        <f>('[13]Start Cost'!AG$150+'[13]VOM Cost'!AG$150)/1000+([13]System!AF$7+[13]System!AF$9)/1000</f>
        <v>624.7196100000001</v>
      </c>
      <c r="AG22" s="16">
        <f>('[13]Start Cost'!AH$150+'[13]VOM Cost'!AH$150)/1000+([13]System!AG$7+[13]System!AG$9)/1000</f>
        <v>669.71292999999991</v>
      </c>
      <c r="AH22" s="16">
        <f>('[13]Start Cost'!AI$150+'[13]VOM Cost'!AI$150)/1000+([13]System!AH$7+[13]System!AH$9)/1000</f>
        <v>671.5848400000001</v>
      </c>
      <c r="AI22" s="16">
        <f>('[13]Start Cost'!AJ$150+'[13]VOM Cost'!AJ$150)/1000+([13]System!AI$7+[13]System!AI$9)/1000</f>
        <v>702.62918999999988</v>
      </c>
      <c r="AJ22" s="16"/>
    </row>
    <row r="23" spans="1:36">
      <c r="A23" s="36" t="s">
        <v>66</v>
      </c>
      <c r="B23" s="119">
        <f>('[13]Reagent Cost'!C$150+'[13]SO2 Cost'!C$150+'[13]NOx Cost'!C$150+'[13]Lime Cost'!C$150)/1000</f>
        <v>6.2319722000000004</v>
      </c>
      <c r="C23" s="119">
        <f>('[13]Reagent Cost'!D$150+'[13]SO2 Cost'!D$150+'[13]NOx Cost'!D$150+'[13]Lime Cost'!D$150)/1000</f>
        <v>6.4714661999999992</v>
      </c>
      <c r="D23" s="119">
        <f>('[13]Reagent Cost'!E$150+'[13]SO2 Cost'!E$150+'[13]NOx Cost'!E$150+'[13]Lime Cost'!E$150)/1000</f>
        <v>6.3036658000000001</v>
      </c>
      <c r="E23" s="119">
        <f>('[13]Reagent Cost'!F$150+'[13]SO2 Cost'!F$150+'[13]NOx Cost'!F$150+'[13]Lime Cost'!F$150)/1000</f>
        <v>5.6636310000000014</v>
      </c>
      <c r="F23" s="119">
        <f>('[13]Reagent Cost'!G$150+'[13]SO2 Cost'!G$150+'[13]NOx Cost'!G$150+'[13]Lime Cost'!G$150)/1000</f>
        <v>5.4973417999999992</v>
      </c>
      <c r="G23" s="119">
        <f>('[13]Reagent Cost'!H$150+'[13]SO2 Cost'!H$150+'[13]NOx Cost'!H$150+'[13]Lime Cost'!H$150)/1000</f>
        <v>5.9254240000000005</v>
      </c>
      <c r="H23" s="119">
        <f>('[13]Reagent Cost'!I$150+'[13]SO2 Cost'!I$150+'[13]NOx Cost'!I$150+'[13]Lime Cost'!I$150)/1000</f>
        <v>6.1743356</v>
      </c>
      <c r="I23" s="119">
        <f>('[13]Reagent Cost'!J$150+'[13]SO2 Cost'!J$150+'[13]NOx Cost'!J$150+'[13]Lime Cost'!J$150)/1000</f>
        <v>6.6424064999999981</v>
      </c>
      <c r="J23" s="119">
        <f>('[13]Reagent Cost'!K$150+'[13]SO2 Cost'!K$150+'[13]NOx Cost'!K$150+'[13]Lime Cost'!K$150)/1000</f>
        <v>7.4852942999999996</v>
      </c>
      <c r="K23" s="119">
        <f>('[13]Reagent Cost'!L$150+'[13]SO2 Cost'!L$150+'[13]NOx Cost'!L$150+'[13]Lime Cost'!L$150)/1000</f>
        <v>7.6216201999999997</v>
      </c>
      <c r="L23" s="119">
        <f>('[13]Reagent Cost'!M$150+'[13]SO2 Cost'!M$150+'[13]NOx Cost'!M$150+'[13]Lime Cost'!M$150)/1000</f>
        <v>8.3002407999999992</v>
      </c>
      <c r="M23" s="119">
        <f>('[13]Reagent Cost'!N$150+'[13]SO2 Cost'!N$150+'[13]NOx Cost'!N$150+'[13]Lime Cost'!N$150)/1000</f>
        <v>8.1416310000000003</v>
      </c>
      <c r="N23" s="119">
        <f>('[13]Reagent Cost'!O$150+'[13]SO2 Cost'!O$150+'[13]NOx Cost'!O$150+'[13]Lime Cost'!O$150)/1000</f>
        <v>8.0357301999999997</v>
      </c>
      <c r="O23" s="119">
        <f>('[13]Reagent Cost'!P$150+'[13]SO2 Cost'!P$150+'[13]NOx Cost'!P$150+'[13]Lime Cost'!P$150)/1000</f>
        <v>7.4497655999999992</v>
      </c>
      <c r="P23" s="119">
        <f>('[13]Reagent Cost'!Q$150+'[13]SO2 Cost'!Q$150+'[13]NOx Cost'!Q$150+'[13]Lime Cost'!Q$150)/1000</f>
        <v>3.1996188999999999</v>
      </c>
      <c r="Q23" s="119">
        <f>('[13]Reagent Cost'!R$150+'[13]SO2 Cost'!R$150+'[13]NOx Cost'!R$150+'[13]Lime Cost'!R$150)/1000</f>
        <v>1.6815700000000002</v>
      </c>
      <c r="R23" s="119">
        <f>('[13]Reagent Cost'!S$150+'[13]SO2 Cost'!S$150+'[13]NOx Cost'!S$150+'[13]Lime Cost'!S$150)/1000</f>
        <v>1.6920599999999999</v>
      </c>
      <c r="S23" s="119">
        <f>('[13]Reagent Cost'!T$150+'[13]SO2 Cost'!T$150+'[13]NOx Cost'!T$150+'[13]Lime Cost'!T$150)/1000</f>
        <v>1.7122599999999997</v>
      </c>
      <c r="T23" s="119">
        <f>('[13]Reagent Cost'!U$150+'[13]SO2 Cost'!U$150+'[13]NOx Cost'!U$150+'[13]Lime Cost'!U$150)/1000</f>
        <v>1.7333600000000002</v>
      </c>
      <c r="U23" s="119">
        <f>('[13]Reagent Cost'!V$150+'[13]SO2 Cost'!V$150+'[13]NOx Cost'!V$150+'[13]Lime Cost'!V$150)/1000</f>
        <v>1.7507900000000001</v>
      </c>
      <c r="V23" s="119">
        <f>('[13]Reagent Cost'!W$150+'[13]SO2 Cost'!W$150+'[13]NOx Cost'!W$150+'[13]Lime Cost'!W$150)/1000</f>
        <v>1.7870900000000001</v>
      </c>
      <c r="W23" s="119">
        <f>('[13]Reagent Cost'!X$150+'[13]SO2 Cost'!X$150+'[13]NOx Cost'!X$150+'[13]Lime Cost'!X$150)/1000</f>
        <v>1.7971999999999999</v>
      </c>
      <c r="X23" s="119">
        <f>('[13]Reagent Cost'!Y$150+'[13]SO2 Cost'!Y$150+'[13]NOx Cost'!Y$150+'[13]Lime Cost'!Y$150)/1000</f>
        <v>1.7956300000000001</v>
      </c>
      <c r="Y23" s="119">
        <f>('[13]Reagent Cost'!Z$150+'[13]SO2 Cost'!Z$150+'[13]NOx Cost'!Z$150+'[13]Lime Cost'!Z$150)/1000</f>
        <v>1.8222100000000003</v>
      </c>
      <c r="Z23" s="119">
        <f>('[13]Reagent Cost'!AA$150+'[13]SO2 Cost'!AA$150+'[13]NOx Cost'!AA$150+'[13]Lime Cost'!AA$150)/1000</f>
        <v>1.8428999999999995</v>
      </c>
      <c r="AA23" s="119">
        <f>('[13]Reagent Cost'!AB$150+'[13]SO2 Cost'!AB$150+'[13]NOx Cost'!AB$150+'[13]Lime Cost'!AB$150)/1000</f>
        <v>1.8534099999999996</v>
      </c>
      <c r="AB23" s="119">
        <f>('[13]Reagent Cost'!AC$150+'[13]SO2 Cost'!AC$150+'[13]NOx Cost'!AC$150+'[13]Lime Cost'!AC$150)/1000</f>
        <v>1.89046</v>
      </c>
      <c r="AC23" s="119">
        <f>('[13]Reagent Cost'!AD$150+'[13]SO2 Cost'!AD$150+'[13]NOx Cost'!AD$150+'[13]Lime Cost'!AD$150)/1000</f>
        <v>1.8909700000000003</v>
      </c>
      <c r="AD23" s="211">
        <f>('[13]Reagent Cost'!AE$150+'[13]SO2 Cost'!AE$150+'[13]NOx Cost'!AE$150+'[13]Lime Cost'!AE$150)/1000</f>
        <v>1.9036999999999999</v>
      </c>
      <c r="AE23" s="119">
        <f>('[13]Reagent Cost'!AF$150+'[13]SO2 Cost'!AF$150+'[13]NOx Cost'!AF$150+'[13]Lime Cost'!AF$150)/1000</f>
        <v>1.9052200000000001</v>
      </c>
      <c r="AF23" s="119">
        <f>('[13]Reagent Cost'!AG$150+'[13]SO2 Cost'!AG$150+'[13]NOx Cost'!AG$150+'[13]Lime Cost'!AG$150)/1000</f>
        <v>1.9385300000000005</v>
      </c>
      <c r="AG23" s="119">
        <f>('[13]Reagent Cost'!AH$150+'[13]SO2 Cost'!AH$150+'[13]NOx Cost'!AH$150+'[13]Lime Cost'!AH$150)/1000</f>
        <v>1.95441</v>
      </c>
      <c r="AH23" s="119">
        <f>('[13]Reagent Cost'!AI$150+'[13]SO2 Cost'!AI$150+'[13]NOx Cost'!AI$150+'[13]Lime Cost'!AI$150)/1000</f>
        <v>2.0022399999999996</v>
      </c>
      <c r="AI23" s="119">
        <f>('[13]Reagent Cost'!AJ$150+'[13]SO2 Cost'!AJ$150+'[13]NOx Cost'!AJ$150+'[13]Lime Cost'!AJ$150)/1000</f>
        <v>2.0305799999999996</v>
      </c>
      <c r="AJ23" s="119"/>
    </row>
    <row r="24" spans="1:36">
      <c r="A24" s="12" t="s">
        <v>69</v>
      </c>
      <c r="B24" s="212">
        <f>+'[13]CO2 Cost'!C$150/1000</f>
        <v>0</v>
      </c>
      <c r="C24" s="212">
        <f>+'[13]CO2 Cost'!D$150/1000</f>
        <v>0</v>
      </c>
      <c r="D24" s="212">
        <f>+'[13]CO2 Cost'!E$150/1000</f>
        <v>0</v>
      </c>
      <c r="E24" s="212">
        <f>+'[13]CO2 Cost'!F$150/1000</f>
        <v>0</v>
      </c>
      <c r="F24" s="212">
        <f>+'[13]CO2 Cost'!G$150/1000</f>
        <v>0</v>
      </c>
      <c r="G24" s="212">
        <f>+'[13]CO2 Cost'!H$150/1000</f>
        <v>97.605150000000009</v>
      </c>
      <c r="H24" s="212">
        <f>+'[13]CO2 Cost'!I$150/1000</f>
        <v>156.67704999999995</v>
      </c>
      <c r="I24" s="212">
        <f>+'[13]CO2 Cost'!J$150/1000</f>
        <v>217.40336000000002</v>
      </c>
      <c r="J24" s="212">
        <f>+'[13]CO2 Cost'!K$150/1000</f>
        <v>283.62151</v>
      </c>
      <c r="K24" s="212">
        <f>+'[13]CO2 Cost'!L$150/1000</f>
        <v>345.01312000000001</v>
      </c>
      <c r="L24" s="212">
        <f>+'[13]CO2 Cost'!M$150/1000</f>
        <v>413.74673999999987</v>
      </c>
      <c r="M24" s="212">
        <f>+'[13]CO2 Cost'!N$150/1000</f>
        <v>466.21045999999996</v>
      </c>
      <c r="N24" s="212">
        <f>+'[13]CO2 Cost'!O$150/1000</f>
        <v>529.75009000000011</v>
      </c>
      <c r="O24" s="212">
        <f>+'[13]CO2 Cost'!P$150/1000</f>
        <v>587.66564000000005</v>
      </c>
      <c r="P24" s="212">
        <f>+'[13]CO2 Cost'!Q$150/1000</f>
        <v>596.26568999999995</v>
      </c>
      <c r="Q24" s="212">
        <f>+'[13]CO2 Cost'!R$150/1000</f>
        <v>633.64802999999995</v>
      </c>
      <c r="R24" s="212">
        <f>+'[13]CO2 Cost'!S$150/1000</f>
        <v>699.05994999999984</v>
      </c>
      <c r="S24" s="212">
        <f>+'[13]CO2 Cost'!T$150/1000</f>
        <v>761.91602</v>
      </c>
      <c r="T24" s="212">
        <f>+'[13]CO2 Cost'!U$150/1000</f>
        <v>826.77736999999991</v>
      </c>
      <c r="U24" s="212">
        <f>+'[13]CO2 Cost'!V$150/1000</f>
        <v>897.43547000000024</v>
      </c>
      <c r="V24" s="212">
        <f>+'[13]CO2 Cost'!W$150/1000</f>
        <v>963.35960999999998</v>
      </c>
      <c r="W24" s="212">
        <f>+'[13]CO2 Cost'!X$150/1000</f>
        <v>1034.89933</v>
      </c>
      <c r="X24" s="212">
        <f>+'[13]CO2 Cost'!Y$150/1000</f>
        <v>1079.4298099999996</v>
      </c>
      <c r="Y24" s="212">
        <f>+'[13]CO2 Cost'!Z$150/1000</f>
        <v>1135.94244</v>
      </c>
      <c r="Z24" s="212">
        <f>+'[13]CO2 Cost'!AA$150/1000</f>
        <v>1214.0866899999999</v>
      </c>
      <c r="AA24" s="212">
        <f>+'[13]CO2 Cost'!AB$150/1000</f>
        <v>1282.2856399999998</v>
      </c>
      <c r="AB24" s="212">
        <f>+'[13]CO2 Cost'!AC$150/1000</f>
        <v>1359.5362699999998</v>
      </c>
      <c r="AC24" s="212">
        <f>+'[13]CO2 Cost'!AD$150/1000</f>
        <v>1417.6168599999999</v>
      </c>
      <c r="AD24" s="213">
        <f>+'[13]CO2 Cost'!AE$150/1000</f>
        <v>1483.8424300000001</v>
      </c>
      <c r="AE24" s="212">
        <f>+'[13]CO2 Cost'!AF$150/1000</f>
        <v>1540.8774999999998</v>
      </c>
      <c r="AF24" s="212">
        <f>+'[13]CO2 Cost'!AG$150/1000</f>
        <v>1620.47705</v>
      </c>
      <c r="AG24" s="212">
        <f>+'[13]CO2 Cost'!AH$150/1000</f>
        <v>1692.6544400000005</v>
      </c>
      <c r="AH24" s="212">
        <f>+'[13]CO2 Cost'!AI$150/1000</f>
        <v>1781.59175</v>
      </c>
      <c r="AI24" s="212">
        <f>+'[13]CO2 Cost'!AJ$150/1000</f>
        <v>1860.3004299999998</v>
      </c>
      <c r="AJ24" s="212"/>
    </row>
    <row r="25" spans="1:36">
      <c r="A25" s="6" t="s">
        <v>61</v>
      </c>
      <c r="B25" s="15">
        <f t="shared" ref="B25:AG25" si="4">SUM(B15:B24)</f>
        <v>1843.4621723822067</v>
      </c>
      <c r="C25" s="15">
        <f t="shared" si="4"/>
        <v>1877.6831659908482</v>
      </c>
      <c r="D25" s="15">
        <f t="shared" si="4"/>
        <v>1968.8353455426432</v>
      </c>
      <c r="E25" s="15">
        <f t="shared" si="4"/>
        <v>2045.5415189858193</v>
      </c>
      <c r="F25" s="15">
        <f t="shared" si="4"/>
        <v>1932.4293537419551</v>
      </c>
      <c r="G25" s="15">
        <f t="shared" si="4"/>
        <v>1934.2610746940886</v>
      </c>
      <c r="H25" s="15">
        <f t="shared" si="4"/>
        <v>1983.885192407598</v>
      </c>
      <c r="I25" s="15">
        <f t="shared" si="4"/>
        <v>2159.3395757592907</v>
      </c>
      <c r="J25" s="15">
        <f t="shared" si="4"/>
        <v>2411.82491472833</v>
      </c>
      <c r="K25" s="15">
        <f t="shared" si="4"/>
        <v>2600.0517018607375</v>
      </c>
      <c r="L25" s="15">
        <f t="shared" si="4"/>
        <v>2788.9437141925359</v>
      </c>
      <c r="M25" s="15">
        <f t="shared" si="4"/>
        <v>2931.340658318888</v>
      </c>
      <c r="N25" s="15">
        <f t="shared" si="4"/>
        <v>3114.5633385215315</v>
      </c>
      <c r="O25" s="15">
        <f t="shared" si="4"/>
        <v>3207.4275290492387</v>
      </c>
      <c r="P25" s="15">
        <f t="shared" si="4"/>
        <v>3508.3232950779702</v>
      </c>
      <c r="Q25" s="15">
        <f t="shared" si="4"/>
        <v>4059.505149642469</v>
      </c>
      <c r="R25" s="15">
        <f t="shared" si="4"/>
        <v>4207.1604092828329</v>
      </c>
      <c r="S25" s="15">
        <f t="shared" si="4"/>
        <v>4460.898444251914</v>
      </c>
      <c r="T25" s="15">
        <f t="shared" si="4"/>
        <v>4705.3845535957798</v>
      </c>
      <c r="U25" s="15">
        <f t="shared" si="4"/>
        <v>4913.8685738294789</v>
      </c>
      <c r="V25" s="15">
        <f t="shared" si="4"/>
        <v>5112.457733649273</v>
      </c>
      <c r="W25" s="15">
        <f t="shared" si="4"/>
        <v>5324.1302145676764</v>
      </c>
      <c r="X25" s="15">
        <f t="shared" si="4"/>
        <v>5620.0478342477572</v>
      </c>
      <c r="Y25" s="15">
        <f t="shared" si="4"/>
        <v>6175.7961620230362</v>
      </c>
      <c r="Z25" s="15">
        <f t="shared" si="4"/>
        <v>6443.0435231591482</v>
      </c>
      <c r="AA25" s="15">
        <f t="shared" si="4"/>
        <v>6752.779555540822</v>
      </c>
      <c r="AB25" s="15">
        <f t="shared" si="4"/>
        <v>7018.1960462420984</v>
      </c>
      <c r="AC25" s="52">
        <f t="shared" si="4"/>
        <v>7137.1646691328569</v>
      </c>
      <c r="AD25" s="214">
        <f t="shared" si="4"/>
        <v>7309.1008772894365</v>
      </c>
      <c r="AE25" s="15">
        <f t="shared" si="4"/>
        <v>7398.6535911365654</v>
      </c>
      <c r="AF25" s="15">
        <f t="shared" si="4"/>
        <v>7521.1651055735147</v>
      </c>
      <c r="AG25" s="15">
        <f t="shared" si="4"/>
        <v>7698.1171522597197</v>
      </c>
      <c r="AH25" s="15">
        <f t="shared" ref="AH25:AI25" si="5">SUM(AH15:AH24)</f>
        <v>7866.9603131051717</v>
      </c>
      <c r="AI25" s="15">
        <f t="shared" si="5"/>
        <v>8046.4762205451389</v>
      </c>
      <c r="AJ25" s="15"/>
    </row>
    <row r="26" spans="1:36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19"/>
      <c r="AD26" s="211"/>
      <c r="AE26" s="16"/>
      <c r="AF26" s="16"/>
      <c r="AG26" s="16"/>
      <c r="AH26" s="16"/>
      <c r="AI26" s="16"/>
      <c r="AJ26" s="16"/>
    </row>
    <row r="27" spans="1:36">
      <c r="A27" s="6" t="s">
        <v>62</v>
      </c>
      <c r="AC27" s="36"/>
      <c r="AD27" s="215"/>
    </row>
    <row r="28" spans="1:36">
      <c r="A28" s="152" t="str">
        <f>A1</f>
        <v>SoBra 700MWs</v>
      </c>
      <c r="B28" s="152">
        <f>$B$1</f>
        <v>2020</v>
      </c>
      <c r="C28" s="152">
        <f t="shared" ref="C28:AI28" si="6">B28+1</f>
        <v>2021</v>
      </c>
      <c r="D28" s="152">
        <f t="shared" si="6"/>
        <v>2022</v>
      </c>
      <c r="E28" s="152">
        <f t="shared" si="6"/>
        <v>2023</v>
      </c>
      <c r="F28" s="152">
        <f t="shared" si="6"/>
        <v>2024</v>
      </c>
      <c r="G28" s="152">
        <f t="shared" si="6"/>
        <v>2025</v>
      </c>
      <c r="H28" s="152">
        <f t="shared" si="6"/>
        <v>2026</v>
      </c>
      <c r="I28" s="152">
        <f t="shared" si="6"/>
        <v>2027</v>
      </c>
      <c r="J28" s="152">
        <f t="shared" si="6"/>
        <v>2028</v>
      </c>
      <c r="K28" s="152">
        <f t="shared" si="6"/>
        <v>2029</v>
      </c>
      <c r="L28" s="152">
        <f t="shared" si="6"/>
        <v>2030</v>
      </c>
      <c r="M28" s="152">
        <f t="shared" si="6"/>
        <v>2031</v>
      </c>
      <c r="N28" s="152">
        <f t="shared" si="6"/>
        <v>2032</v>
      </c>
      <c r="O28" s="152">
        <f t="shared" si="6"/>
        <v>2033</v>
      </c>
      <c r="P28" s="152">
        <f t="shared" si="6"/>
        <v>2034</v>
      </c>
      <c r="Q28" s="152">
        <f t="shared" si="6"/>
        <v>2035</v>
      </c>
      <c r="R28" s="152">
        <f t="shared" si="6"/>
        <v>2036</v>
      </c>
      <c r="S28" s="152">
        <f t="shared" si="6"/>
        <v>2037</v>
      </c>
      <c r="T28" s="152">
        <f t="shared" si="6"/>
        <v>2038</v>
      </c>
      <c r="U28" s="152">
        <f t="shared" si="6"/>
        <v>2039</v>
      </c>
      <c r="V28" s="152">
        <f t="shared" si="6"/>
        <v>2040</v>
      </c>
      <c r="W28" s="152">
        <f t="shared" si="6"/>
        <v>2041</v>
      </c>
      <c r="X28" s="152">
        <f t="shared" si="6"/>
        <v>2042</v>
      </c>
      <c r="Y28" s="152">
        <f t="shared" si="6"/>
        <v>2043</v>
      </c>
      <c r="Z28" s="152">
        <f t="shared" si="6"/>
        <v>2044</v>
      </c>
      <c r="AA28" s="152">
        <f t="shared" si="6"/>
        <v>2045</v>
      </c>
      <c r="AB28" s="152">
        <f t="shared" si="6"/>
        <v>2046</v>
      </c>
      <c r="AC28" s="209">
        <f t="shared" si="6"/>
        <v>2047</v>
      </c>
      <c r="AD28" s="210">
        <f t="shared" si="6"/>
        <v>2048</v>
      </c>
      <c r="AE28" s="152">
        <f t="shared" si="6"/>
        <v>2049</v>
      </c>
      <c r="AF28" s="152">
        <f t="shared" si="6"/>
        <v>2050</v>
      </c>
      <c r="AG28" s="152">
        <f t="shared" si="6"/>
        <v>2051</v>
      </c>
      <c r="AH28" s="152">
        <f t="shared" si="6"/>
        <v>2052</v>
      </c>
      <c r="AI28" s="152">
        <f t="shared" si="6"/>
        <v>2053</v>
      </c>
      <c r="AJ28" s="152"/>
    </row>
    <row r="29" spans="1:36">
      <c r="A29" s="6" t="s">
        <v>134</v>
      </c>
      <c r="B29" s="119">
        <f>B2/(1+'Financial Information'!$B$5)^(B$28-$B$28)</f>
        <v>65.260450182206341</v>
      </c>
      <c r="C29" s="119">
        <f>C2/(1+'Financial Information'!$B$5)^(C$28-$B$28)</f>
        <v>95.670684812241348</v>
      </c>
      <c r="D29" s="119">
        <f>D2/(1+'Financial Information'!$B$5)^(D$28-$B$28)</f>
        <v>123.09266850550476</v>
      </c>
      <c r="E29" s="119">
        <f>E2/(1+'Financial Information'!$B$5)^(E$28-$B$28)</f>
        <v>110.3423278685908</v>
      </c>
      <c r="F29" s="119">
        <f>F2/(1+'Financial Information'!$B$5)^(F$28-$B$28)</f>
        <v>99.251999617653368</v>
      </c>
      <c r="G29" s="119">
        <f>G2/(1+'Financial Information'!$B$5)^(G$28-$B$28)</f>
        <v>87.236463254682732</v>
      </c>
      <c r="H29" s="119">
        <f>H2/(1+'Financial Information'!$B$5)^(H$28-$B$28)</f>
        <v>72.209878742626842</v>
      </c>
      <c r="I29" s="119">
        <f>I2/(1+'Financial Information'!$B$5)^(I$28-$B$28)</f>
        <v>65.776198490761217</v>
      </c>
      <c r="J29" s="119">
        <f>J2/(1+'Financial Information'!$B$5)^(J$28-$B$28)</f>
        <v>60.015159466469328</v>
      </c>
      <c r="K29" s="119">
        <f>K2/(1+'Financial Information'!$B$5)^(K$28-$B$28)</f>
        <v>54.842529437059518</v>
      </c>
      <c r="L29" s="119">
        <f>L2/(1+'Financial Information'!$B$5)^(L$28-$B$28)</f>
        <v>50.063063142283596</v>
      </c>
      <c r="M29" s="119">
        <f>M2/(1+'Financial Information'!$B$5)^(M$28-$B$28)</f>
        <v>45.685746667320686</v>
      </c>
      <c r="N29" s="119">
        <f>N2/(1+'Financial Information'!$B$5)^(N$28-$B$28)</f>
        <v>41.663810762062894</v>
      </c>
      <c r="O29" s="119">
        <f>O2/(1+'Financial Information'!$B$5)^(O$28-$B$28)</f>
        <v>38.004159133502633</v>
      </c>
      <c r="P29" s="119">
        <f>P2/(1+'Financial Information'!$B$5)^(P$28-$B$28)</f>
        <v>34.594178141826397</v>
      </c>
      <c r="Q29" s="119">
        <f>Q2/(1+'Financial Information'!$B$5)^(Q$28-$B$28)</f>
        <v>31.467085235523829</v>
      </c>
      <c r="R29" s="119">
        <f>R2/(1+'Financial Information'!$B$5)^(R$28-$B$28)</f>
        <v>28.556029265028624</v>
      </c>
      <c r="S29" s="119">
        <f>S2/(1+'Financial Information'!$B$5)^(S$28-$B$28)</f>
        <v>25.923671058538908</v>
      </c>
      <c r="T29" s="119">
        <f>T2/(1+'Financial Information'!$B$5)^(T$28-$B$28)</f>
        <v>24.302460071004031</v>
      </c>
      <c r="U29" s="119">
        <f>U2/(1+'Financial Information'!$B$5)^(U$28-$B$28)</f>
        <v>22.47210636589875</v>
      </c>
      <c r="V29" s="119">
        <f>V2/(1+'Financial Information'!$B$5)^(V$28-$B$28)</f>
        <v>20.321524261026781</v>
      </c>
      <c r="W29" s="119">
        <f>W2/(1+'Financial Information'!$B$5)^(W$28-$B$28)</f>
        <v>18.368381113610976</v>
      </c>
      <c r="X29" s="119">
        <f>X2/(1+'Financial Information'!$B$5)^(X$28-$B$28)</f>
        <v>16.632430176980964</v>
      </c>
      <c r="Y29" s="119">
        <f>Y2/(1+'Financial Information'!$B$5)^(Y$28-$B$28)</f>
        <v>15.026179470220866</v>
      </c>
      <c r="Z29" s="119">
        <f>Z2/(1+'Financial Information'!$B$5)^(Z$28-$B$28)</f>
        <v>13.604762985175954</v>
      </c>
      <c r="AA29" s="119">
        <f>AA2/(1+'Financial Information'!$B$5)^(AA$28-$B$28)</f>
        <v>12.278499130739975</v>
      </c>
      <c r="AB29" s="119">
        <f>AB2/(1+'Financial Information'!$B$5)^(AB$28-$B$28)</f>
        <v>11.098008139710984</v>
      </c>
      <c r="AC29" s="119">
        <f>AC2/(1+'Financial Information'!$B$5)^(AC$28-$B$28)</f>
        <v>10.008361154503485</v>
      </c>
      <c r="AD29" s="211">
        <f>AD2/(1+'Financial Information'!$B$5)^(AD$28-$B$28)</f>
        <v>9.3885499439786422</v>
      </c>
      <c r="AE29" s="119">
        <f>AE2/(1+'Financial Information'!$B$5)^(AE$28-$B$28)</f>
        <v>7.9514309956645066</v>
      </c>
      <c r="AF29" s="119">
        <f>AF2/(1+'Financial Information'!$B$5)^(AF$28-$B$28)</f>
        <v>5.2989347528844011</v>
      </c>
      <c r="AG29" s="119">
        <f>AG2/(1+'Financial Information'!$B$5)^(AG$28-$B$28)</f>
        <v>2.8960604241996695</v>
      </c>
      <c r="AH29" s="119">
        <f>AH2/(1+'Financial Information'!$B$5)^(AH$28-$B$28)</f>
        <v>0.41566066557171555</v>
      </c>
      <c r="AI29" s="119">
        <f>AI2/(1+'Financial Information'!$B$5)^(AI$28-$B$28)</f>
        <v>0.37490309689796597</v>
      </c>
      <c r="AJ29" s="119"/>
    </row>
    <row r="30" spans="1:36">
      <c r="A30" s="6" t="s">
        <v>135</v>
      </c>
      <c r="B30" s="119">
        <f>B3/(1+'Financial Information'!$B$5)^(B$28-$B$28)</f>
        <v>0</v>
      </c>
      <c r="C30" s="119">
        <f>C3/(1+'Financial Information'!$B$5)^(C$28-$B$28)</f>
        <v>0</v>
      </c>
      <c r="D30" s="119">
        <f>D3/(1+'Financial Information'!$B$5)^(D$28-$B$28)</f>
        <v>0</v>
      </c>
      <c r="E30" s="119">
        <f>E3/(1+'Financial Information'!$B$5)^(E$28-$B$28)</f>
        <v>0</v>
      </c>
      <c r="F30" s="119">
        <f>F3/(1+'Financial Information'!$B$5)^(F$28-$B$28)</f>
        <v>0</v>
      </c>
      <c r="G30" s="119">
        <f>G3/(1+'Financial Information'!$B$5)^(G$28-$B$28)</f>
        <v>0</v>
      </c>
      <c r="H30" s="119">
        <f>H3/(1+'Financial Information'!$B$5)^(H$28-$B$28)</f>
        <v>0</v>
      </c>
      <c r="I30" s="119">
        <f>I3/(1+'Financial Information'!$B$5)^(I$28-$B$28)</f>
        <v>0</v>
      </c>
      <c r="J30" s="119">
        <f>J3/(1+'Financial Information'!$B$5)^(J$28-$B$28)</f>
        <v>0</v>
      </c>
      <c r="K30" s="119">
        <f>K3/(1+'Financial Information'!$B$5)^(K$28-$B$28)</f>
        <v>0</v>
      </c>
      <c r="L30" s="119">
        <f>L3/(1+'Financial Information'!$B$5)^(L$28-$B$28)</f>
        <v>0</v>
      </c>
      <c r="M30" s="119">
        <f>M3/(1+'Financial Information'!$B$5)^(M$28-$B$28)</f>
        <v>0</v>
      </c>
      <c r="N30" s="119">
        <f>N3/(1+'Financial Information'!$B$5)^(N$28-$B$28)</f>
        <v>0</v>
      </c>
      <c r="O30" s="119">
        <f>O3/(1+'Financial Information'!$B$5)^(O$28-$B$28)</f>
        <v>0</v>
      </c>
      <c r="P30" s="119">
        <f>P3/(1+'Financial Information'!$B$5)^(P$28-$B$28)</f>
        <v>0</v>
      </c>
      <c r="Q30" s="119">
        <f>Q3/(1+'Financial Information'!$B$5)^(Q$28-$B$28)</f>
        <v>0</v>
      </c>
      <c r="R30" s="119">
        <f>R3/(1+'Financial Information'!$B$5)^(R$28-$B$28)</f>
        <v>0</v>
      </c>
      <c r="S30" s="119">
        <f>S3/(1+'Financial Information'!$B$5)^(S$28-$B$28)</f>
        <v>0</v>
      </c>
      <c r="T30" s="119">
        <f>T3/(1+'Financial Information'!$B$5)^(T$28-$B$28)</f>
        <v>0</v>
      </c>
      <c r="U30" s="119">
        <f>U3/(1+'Financial Information'!$B$5)^(U$28-$B$28)</f>
        <v>0</v>
      </c>
      <c r="V30" s="119">
        <f>V3/(1+'Financial Information'!$B$5)^(V$28-$B$28)</f>
        <v>0</v>
      </c>
      <c r="W30" s="119">
        <f>W3/(1+'Financial Information'!$B$5)^(W$28-$B$28)</f>
        <v>0</v>
      </c>
      <c r="X30" s="119">
        <f>X3/(1+'Financial Information'!$B$5)^(X$28-$B$28)</f>
        <v>0</v>
      </c>
      <c r="Y30" s="119">
        <f>Y3/(1+'Financial Information'!$B$5)^(Y$28-$B$28)</f>
        <v>0</v>
      </c>
      <c r="Z30" s="119">
        <f>Z3/(1+'Financial Information'!$B$5)^(Z$28-$B$28)</f>
        <v>0</v>
      </c>
      <c r="AA30" s="119">
        <f>AA3/(1+'Financial Information'!$B$5)^(AA$28-$B$28)</f>
        <v>0</v>
      </c>
      <c r="AB30" s="119">
        <f>AB3/(1+'Financial Information'!$B$5)^(AB$28-$B$28)</f>
        <v>0</v>
      </c>
      <c r="AC30" s="119">
        <f>AC3/(1+'Financial Information'!$B$5)^(AC$28-$B$28)</f>
        <v>0</v>
      </c>
      <c r="AD30" s="211">
        <f>AD3/(1+'Financial Information'!$B$5)^(AD$28-$B$28)</f>
        <v>0</v>
      </c>
      <c r="AE30" s="119">
        <f>AE3/(1+'Financial Information'!$B$5)^(AE$28-$B$28)</f>
        <v>0</v>
      </c>
      <c r="AF30" s="119">
        <f>AF3/(1+'Financial Information'!$B$5)^(AF$28-$B$28)</f>
        <v>0</v>
      </c>
      <c r="AG30" s="119">
        <f>AG3/(1+'Financial Information'!$B$5)^(AG$28-$B$28)</f>
        <v>0</v>
      </c>
      <c r="AH30" s="119">
        <f>AH3/(1+'Financial Information'!$B$5)^(AH$28-$B$28)</f>
        <v>0</v>
      </c>
      <c r="AI30" s="119">
        <f>AI3/(1+'Financial Information'!$B$5)^(AI$28-$B$28)</f>
        <v>0</v>
      </c>
      <c r="AJ30" s="119"/>
    </row>
    <row r="31" spans="1:36">
      <c r="A31" s="6" t="s">
        <v>60</v>
      </c>
      <c r="B31" s="119">
        <f>B4/(1+'Financial Information'!$B$5)^(B$28-$B$28)</f>
        <v>0</v>
      </c>
      <c r="C31" s="119">
        <f>C4/(1+'Financial Information'!$B$5)^(C$28-$B$28)</f>
        <v>0</v>
      </c>
      <c r="D31" s="119">
        <f>D4/(1+'Financial Information'!$B$5)^(D$28-$B$28)</f>
        <v>0</v>
      </c>
      <c r="E31" s="119">
        <f>E4/(1+'Financial Information'!$B$5)^(E$28-$B$28)</f>
        <v>0</v>
      </c>
      <c r="F31" s="119">
        <f>F4/(1+'Financial Information'!$B$5)^(F$28-$B$28)</f>
        <v>0</v>
      </c>
      <c r="G31" s="119">
        <f>G4/(1+'Financial Information'!$B$5)^(G$28-$B$28)</f>
        <v>0</v>
      </c>
      <c r="H31" s="119">
        <f>H4/(1+'Financial Information'!$B$5)^(H$28-$B$28)</f>
        <v>0</v>
      </c>
      <c r="I31" s="119">
        <f>I4/(1+'Financial Information'!$B$5)^(I$28-$B$28)</f>
        <v>13.613063986881086</v>
      </c>
      <c r="J31" s="119">
        <f>J4/(1+'Financial Information'!$B$5)^(J$28-$B$28)</f>
        <v>27.846798410091772</v>
      </c>
      <c r="K31" s="119">
        <f>K4/(1+'Financial Information'!$B$5)^(K$28-$B$28)</f>
        <v>29.584009376142056</v>
      </c>
      <c r="L31" s="119">
        <f>L4/(1+'Financial Information'!$B$5)^(L$28-$B$28)</f>
        <v>32.730251790246399</v>
      </c>
      <c r="M31" s="119">
        <f>M4/(1+'Financial Information'!$B$5)^(M$28-$B$28)</f>
        <v>33.628337637535516</v>
      </c>
      <c r="N31" s="119">
        <f>N4/(1+'Financial Information'!$B$5)^(N$28-$B$28)</f>
        <v>35.858541969391524</v>
      </c>
      <c r="O31" s="119">
        <f>O4/(1+'Financial Information'!$B$5)^(O$28-$B$28)</f>
        <v>36.110474556361773</v>
      </c>
      <c r="P31" s="119">
        <f>P4/(1+'Financial Information'!$B$5)^(P$28-$B$28)</f>
        <v>100.14706919915011</v>
      </c>
      <c r="Q31" s="119">
        <f>Q4/(1+'Financial Information'!$B$5)^(Q$28-$B$28)</f>
        <v>239.28582630580087</v>
      </c>
      <c r="R31" s="119">
        <f>R4/(1+'Financial Information'!$B$5)^(R$28-$B$28)</f>
        <v>218.15079009214753</v>
      </c>
      <c r="S31" s="119">
        <f>S4/(1+'Financial Information'!$B$5)^(S$28-$B$28)</f>
        <v>198.83918571103962</v>
      </c>
      <c r="T31" s="119">
        <f>T4/(1+'Financial Information'!$B$5)^(T$28-$B$28)</f>
        <v>194.40421924992015</v>
      </c>
      <c r="U31" s="119">
        <f>U4/(1+'Financial Information'!$B$5)^(U$28-$B$28)</f>
        <v>185.80480602979847</v>
      </c>
      <c r="V31" s="119">
        <f>V4/(1+'Financial Information'!$B$5)^(V$28-$B$28)</f>
        <v>173.11850990673699</v>
      </c>
      <c r="W31" s="119">
        <f>W4/(1+'Financial Information'!$B$5)^(W$28-$B$28)</f>
        <v>160.15390087077935</v>
      </c>
      <c r="X31" s="119">
        <f>X4/(1+'Financial Information'!$B$5)^(X$28-$B$28)</f>
        <v>175.91227519624456</v>
      </c>
      <c r="Y31" s="119">
        <f>Y4/(1+'Financial Information'!$B$5)^(Y$28-$B$28)</f>
        <v>247.68281617643171</v>
      </c>
      <c r="Z31" s="119">
        <f>Z4/(1+'Financial Information'!$B$5)^(Z$28-$B$28)</f>
        <v>232.00673822344856</v>
      </c>
      <c r="AA31" s="119">
        <f>AA4/(1+'Financial Information'!$B$5)^(AA$28-$B$28)</f>
        <v>218.49936085856561</v>
      </c>
      <c r="AB31" s="119">
        <f>AB4/(1+'Financial Information'!$B$5)^(AB$28-$B$28)</f>
        <v>200.75646174834162</v>
      </c>
      <c r="AC31" s="119">
        <f>AC4/(1+'Financial Information'!$B$5)^(AC$28-$B$28)</f>
        <v>182.47675849226567</v>
      </c>
      <c r="AD31" s="211">
        <f>AD4/(1+'Financial Information'!$B$5)^(AD$28-$B$28)</f>
        <v>165.76343508574203</v>
      </c>
      <c r="AE31" s="119">
        <f>AE4/(1+'Financial Information'!$B$5)^(AE$28-$B$28)</f>
        <v>150.50634559847177</v>
      </c>
      <c r="AF31" s="119">
        <f>AF4/(1+'Financial Information'!$B$5)^(AF$28-$B$28)</f>
        <v>136.59164798968851</v>
      </c>
      <c r="AG31" s="119">
        <f>AG4/(1+'Financial Information'!$B$5)^(AG$28-$B$28)</f>
        <v>123.86646728765164</v>
      </c>
      <c r="AH31" s="119">
        <f>AH4/(1+'Financial Information'!$B$5)^(AH$28-$B$28)</f>
        <v>112.20512367766493</v>
      </c>
      <c r="AI31" s="119">
        <f>AI4/(1+'Financial Information'!$B$5)^(AI$28-$B$28)</f>
        <v>101.541088314386</v>
      </c>
      <c r="AJ31" s="119"/>
    </row>
    <row r="32" spans="1:36">
      <c r="A32" s="6" t="s">
        <v>68</v>
      </c>
      <c r="B32" s="119">
        <f>B5/(1+'Financial Information'!$B$5)^(B$28-$B$28)</f>
        <v>445.38108</v>
      </c>
      <c r="C32" s="119">
        <f>C5/(1+'Financial Information'!$B$5)^(C$28-$B$28)</f>
        <v>405.95848172446119</v>
      </c>
      <c r="D32" s="119">
        <f>D5/(1+'Financial Information'!$B$5)^(D$28-$B$28)</f>
        <v>383.04511506040029</v>
      </c>
      <c r="E32" s="119">
        <f>E5/(1+'Financial Information'!$B$5)^(E$28-$B$28)</f>
        <v>375.42940625433778</v>
      </c>
      <c r="F32" s="119">
        <f>F5/(1+'Financial Information'!$B$5)^(F$28-$B$28)</f>
        <v>231.79327266520858</v>
      </c>
      <c r="G32" s="119">
        <f>G5/(1+'Financial Information'!$B$5)^(G$28-$B$28)</f>
        <v>106.90762708059815</v>
      </c>
      <c r="H32" s="119">
        <f>H5/(1+'Financial Information'!$B$5)^(H$28-$B$28)</f>
        <v>39.084411000131446</v>
      </c>
      <c r="I32" s="119">
        <f>I5/(1+'Financial Information'!$B$5)^(I$28-$B$28)</f>
        <v>20.835341523471872</v>
      </c>
      <c r="J32" s="119">
        <f>J5/(1+'Financial Information'!$B$5)^(J$28-$B$28)</f>
        <v>12.944378493575401</v>
      </c>
      <c r="K32" s="119">
        <f>K5/(1+'Financial Information'!$B$5)^(K$28-$B$28)</f>
        <v>12.411790313350483</v>
      </c>
      <c r="L32" s="119">
        <f>L5/(1+'Financial Information'!$B$5)^(L$28-$B$28)</f>
        <v>11.951220891629209</v>
      </c>
      <c r="M32" s="119">
        <f>M5/(1+'Financial Information'!$B$5)^(M$28-$B$28)</f>
        <v>11.486186360781383</v>
      </c>
      <c r="N32" s="119">
        <f>N5/(1+'Financial Information'!$B$5)^(N$28-$B$28)</f>
        <v>11.06899414661301</v>
      </c>
      <c r="O32" s="119">
        <f>O5/(1+'Financial Information'!$B$5)^(O$28-$B$28)</f>
        <v>10.625111673376081</v>
      </c>
      <c r="P32" s="119">
        <f>P5/(1+'Financial Information'!$B$5)^(P$28-$B$28)</f>
        <v>12.904966900026459</v>
      </c>
      <c r="Q32" s="119">
        <f>Q5/(1+'Financial Information'!$B$5)^(Q$28-$B$28)</f>
        <v>14.256337769808884</v>
      </c>
      <c r="R32" s="119">
        <f>R5/(1+'Financial Information'!$B$5)^(R$28-$B$28)</f>
        <v>13.584618611818369</v>
      </c>
      <c r="S32" s="119">
        <f>S5/(1+'Financial Information'!$B$5)^(S$28-$B$28)</f>
        <v>12.972839738109872</v>
      </c>
      <c r="T32" s="119">
        <f>T5/(1+'Financial Information'!$B$5)^(T$28-$B$28)</f>
        <v>13.057436430003779</v>
      </c>
      <c r="U32" s="119">
        <f>U5/(1+'Financial Information'!$B$5)^(U$28-$B$28)</f>
        <v>12.938744625240075</v>
      </c>
      <c r="V32" s="119">
        <f>V5/(1+'Financial Information'!$B$5)^(V$28-$B$28)</f>
        <v>12.589166554231038</v>
      </c>
      <c r="W32" s="119">
        <f>W5/(1+'Financial Information'!$B$5)^(W$28-$B$28)</f>
        <v>12.168733309970536</v>
      </c>
      <c r="X32" s="119">
        <f>X5/(1+'Financial Information'!$B$5)^(X$28-$B$28)</f>
        <v>12.990889128303026</v>
      </c>
      <c r="Y32" s="119">
        <f>Y5/(1+'Financial Information'!$B$5)^(Y$28-$B$28)</f>
        <v>13.368506035732521</v>
      </c>
      <c r="Z32" s="119">
        <f>Z5/(1+'Financial Information'!$B$5)^(Z$28-$B$28)</f>
        <v>13.152149617149272</v>
      </c>
      <c r="AA32" s="119">
        <f>AA5/(1+'Financial Information'!$B$5)^(AA$28-$B$28)</f>
        <v>12.911450931696065</v>
      </c>
      <c r="AB32" s="119">
        <f>AB5/(1+'Financial Information'!$B$5)^(AB$28-$B$28)</f>
        <v>12.325546785115124</v>
      </c>
      <c r="AC32" s="119">
        <f>AC5/(1+'Financial Information'!$B$5)^(AC$28-$B$28)</f>
        <v>11.799742074429989</v>
      </c>
      <c r="AD32" s="211">
        <f>AD5/(1+'Financial Information'!$B$5)^(AD$28-$B$28)</f>
        <v>11.304672978204819</v>
      </c>
      <c r="AE32" s="119">
        <f>AE5/(1+'Financial Information'!$B$5)^(AE$28-$B$28)</f>
        <v>10.450065979415029</v>
      </c>
      <c r="AF32" s="119">
        <f>AF5/(1+'Financial Information'!$B$5)^(AF$28-$B$28)</f>
        <v>9.2072671116039313</v>
      </c>
      <c r="AG32" s="119">
        <f>AG5/(1+'Financial Information'!$B$5)^(AG$28-$B$28)</f>
        <v>8.1237745464037729</v>
      </c>
      <c r="AH32" s="119">
        <f>AH5/(1+'Financial Information'!$B$5)^(AH$28-$B$28)</f>
        <v>7.3400246717171145</v>
      </c>
      <c r="AI32" s="119">
        <f>AI5/(1+'Financial Information'!$B$5)^(AI$28-$B$28)</f>
        <v>7.0239881557874666</v>
      </c>
      <c r="AJ32" s="119"/>
    </row>
    <row r="33" spans="1:36">
      <c r="A33" s="6" t="s">
        <v>67</v>
      </c>
      <c r="B33" s="119">
        <f>B6/(1+'Financial Information'!$B$5)^(B$28-$B$28)</f>
        <v>390.67815999999999</v>
      </c>
      <c r="C33" s="119">
        <f>C6/(1+'Financial Information'!$B$5)^(C$28-$B$28)</f>
        <v>360.70502343017807</v>
      </c>
      <c r="D33" s="119">
        <f>D6/(1+'Financial Information'!$B$5)^(D$28-$B$28)</f>
        <v>335.35898897573895</v>
      </c>
      <c r="E33" s="119">
        <f>E6/(1+'Financial Information'!$B$5)^(E$28-$B$28)</f>
        <v>314.30083315439452</v>
      </c>
      <c r="F33" s="119">
        <f>F6/(1+'Financial Information'!$B$5)^(F$28-$B$28)</f>
        <v>295.33513302110208</v>
      </c>
      <c r="G33" s="119">
        <f>G6/(1+'Financial Information'!$B$5)^(G$28-$B$28)</f>
        <v>276.06838970105849</v>
      </c>
      <c r="H33" s="119">
        <f>H6/(1+'Financial Information'!$B$5)^(H$28-$B$28)</f>
        <v>258.73326797724269</v>
      </c>
      <c r="I33" s="119">
        <f>I6/(1+'Financial Information'!$B$5)^(I$28-$B$28)</f>
        <v>242.48665529579867</v>
      </c>
      <c r="J33" s="119">
        <f>J6/(1+'Financial Information'!$B$5)^(J$28-$B$28)</f>
        <v>227.85440863960679</v>
      </c>
      <c r="K33" s="119">
        <f>K6/(1+'Financial Information'!$B$5)^(K$28-$B$28)</f>
        <v>212.98990297394215</v>
      </c>
      <c r="L33" s="119">
        <f>L6/(1+'Financial Information'!$B$5)^(L$28-$B$28)</f>
        <v>199.61565414615009</v>
      </c>
      <c r="M33" s="119">
        <f>M6/(1+'Financial Information'!$B$5)^(M$28-$B$28)</f>
        <v>187.08120798304273</v>
      </c>
      <c r="N33" s="119">
        <f>N6/(1+'Financial Information'!$B$5)^(N$28-$B$28)</f>
        <v>175.79226353945276</v>
      </c>
      <c r="O33" s="119">
        <f>O6/(1+'Financial Information'!$B$5)^(O$28-$B$28)</f>
        <v>164.32412863276659</v>
      </c>
      <c r="P33" s="119">
        <f>P6/(1+'Financial Information'!$B$5)^(P$28-$B$28)</f>
        <v>196.8566354690318</v>
      </c>
      <c r="Q33" s="119">
        <f>Q6/(1+'Financial Information'!$B$5)^(Q$28-$B$28)</f>
        <v>213.87481045723953</v>
      </c>
      <c r="R33" s="119">
        <f>R6/(1+'Financial Information'!$B$5)^(R$28-$B$28)</f>
        <v>200.44499574249258</v>
      </c>
      <c r="S33" s="119">
        <f>S6/(1+'Financial Information'!$B$5)^(S$28-$B$28)</f>
        <v>187.85847773429484</v>
      </c>
      <c r="T33" s="119">
        <f>T6/(1+'Financial Information'!$B$5)^(T$28-$B$28)</f>
        <v>189.35623363351272</v>
      </c>
      <c r="U33" s="119">
        <f>U6/(1+'Financial Information'!$B$5)^(U$28-$B$28)</f>
        <v>186.36541817589517</v>
      </c>
      <c r="V33" s="119">
        <f>V6/(1+'Financial Information'!$B$5)^(V$28-$B$28)</f>
        <v>178.75232231737783</v>
      </c>
      <c r="W33" s="119">
        <f>W6/(1+'Financial Information'!$B$5)^(W$28-$B$28)</f>
        <v>170.2654682873318</v>
      </c>
      <c r="X33" s="119">
        <f>X6/(1+'Financial Information'!$B$5)^(X$28-$B$28)</f>
        <v>178.15414508825265</v>
      </c>
      <c r="Y33" s="119">
        <f>Y6/(1+'Financial Information'!$B$5)^(Y$28-$B$28)</f>
        <v>179.42117079482207</v>
      </c>
      <c r="Z33" s="119">
        <f>Z6/(1+'Financial Information'!$B$5)^(Z$28-$B$28)</f>
        <v>175.11977341009199</v>
      </c>
      <c r="AA33" s="119">
        <f>AA6/(1+'Financial Information'!$B$5)^(AA$28-$B$28)</f>
        <v>172.13147818918981</v>
      </c>
      <c r="AB33" s="119">
        <f>AB6/(1+'Financial Information'!$B$5)^(AB$28-$B$28)</f>
        <v>163.56236948525608</v>
      </c>
      <c r="AC33" s="119">
        <f>AC6/(1+'Financial Information'!$B$5)^(AC$28-$B$28)</f>
        <v>153.29182117148412</v>
      </c>
      <c r="AD33" s="211">
        <f>AD6/(1+'Financial Information'!$B$5)^(AD$28-$B$28)</f>
        <v>143.66618666493358</v>
      </c>
      <c r="AE33" s="119">
        <f>AE6/(1+'Financial Information'!$B$5)^(AE$28-$B$28)</f>
        <v>134.64497344417393</v>
      </c>
      <c r="AF33" s="119">
        <f>AF6/(1+'Financial Information'!$B$5)^(AF$28-$B$28)</f>
        <v>126.1902281576138</v>
      </c>
      <c r="AG33" s="119">
        <f>AG6/(1+'Financial Information'!$B$5)^(AG$28-$B$28)</f>
        <v>118.26638065380864</v>
      </c>
      <c r="AH33" s="119">
        <f>AH6/(1+'Financial Information'!$B$5)^(AH$28-$B$28)</f>
        <v>110.84009433346641</v>
      </c>
      <c r="AI33" s="119">
        <f>AI6/(1+'Financial Information'!$B$5)^(AI$28-$B$28)</f>
        <v>103.88012589828155</v>
      </c>
      <c r="AJ33" s="119"/>
    </row>
    <row r="34" spans="1:36">
      <c r="A34" s="6" t="s">
        <v>383</v>
      </c>
      <c r="B34" s="119">
        <f>B7/(1+'Financial Information'!$B$5)^(B$28-$B$28)</f>
        <v>0</v>
      </c>
      <c r="C34" s="119">
        <f>C7/(1+'Financial Information'!$B$5)^(C$28-$B$28)</f>
        <v>0</v>
      </c>
      <c r="D34" s="119">
        <f>D7/(1+'Financial Information'!$B$5)^(D$28-$B$28)</f>
        <v>0</v>
      </c>
      <c r="E34" s="119">
        <f>E7/(1+'Financial Information'!$B$5)^(E$28-$B$28)</f>
        <v>0</v>
      </c>
      <c r="F34" s="119">
        <f>F7/(1+'Financial Information'!$B$5)^(F$28-$B$28)</f>
        <v>0</v>
      </c>
      <c r="G34" s="119">
        <f>G7/(1+'Financial Information'!$B$5)^(G$28-$B$28)</f>
        <v>0</v>
      </c>
      <c r="H34" s="119">
        <f>H7/(1+'Financial Information'!$B$5)^(H$28-$B$28)</f>
        <v>0</v>
      </c>
      <c r="I34" s="119">
        <f>I7/(1+'Financial Information'!$B$5)^(I$28-$B$28)</f>
        <v>0</v>
      </c>
      <c r="J34" s="119">
        <f>J7/(1+'Financial Information'!$B$5)^(J$28-$B$28)</f>
        <v>0</v>
      </c>
      <c r="K34" s="119">
        <f>K7/(1+'Financial Information'!$B$5)^(K$28-$B$28)</f>
        <v>0</v>
      </c>
      <c r="L34" s="119">
        <f>L7/(1+'Financial Information'!$B$5)^(L$28-$B$28)</f>
        <v>0</v>
      </c>
      <c r="M34" s="119">
        <f>M7/(1+'Financial Information'!$B$5)^(M$28-$B$28)</f>
        <v>0</v>
      </c>
      <c r="N34" s="119">
        <f>N7/(1+'Financial Information'!$B$5)^(N$28-$B$28)</f>
        <v>0</v>
      </c>
      <c r="O34" s="119">
        <f>O7/(1+'Financial Information'!$B$5)^(O$28-$B$28)</f>
        <v>0</v>
      </c>
      <c r="P34" s="119">
        <f>P7/(1+'Financial Information'!$B$5)^(P$28-$B$28)</f>
        <v>0</v>
      </c>
      <c r="Q34" s="119">
        <f>Q7/(1+'Financial Information'!$B$5)^(Q$28-$B$28)</f>
        <v>0</v>
      </c>
      <c r="R34" s="119">
        <f>R7/(1+'Financial Information'!$B$5)^(R$28-$B$28)</f>
        <v>0</v>
      </c>
      <c r="S34" s="119">
        <f>S7/(1+'Financial Information'!$B$5)^(S$28-$B$28)</f>
        <v>0</v>
      </c>
      <c r="T34" s="119">
        <f>T7/(1+'Financial Information'!$B$5)^(T$28-$B$28)</f>
        <v>0</v>
      </c>
      <c r="U34" s="119">
        <f>U7/(1+'Financial Information'!$B$5)^(U$28-$B$28)</f>
        <v>0</v>
      </c>
      <c r="V34" s="119">
        <f>V7/(1+'Financial Information'!$B$5)^(V$28-$B$28)</f>
        <v>0</v>
      </c>
      <c r="W34" s="119">
        <f>W7/(1+'Financial Information'!$B$5)^(W$28-$B$28)</f>
        <v>0</v>
      </c>
      <c r="X34" s="119">
        <f>X7/(1+'Financial Information'!$B$5)^(X$28-$B$28)</f>
        <v>0</v>
      </c>
      <c r="Y34" s="119">
        <f>Y7/(1+'Financial Information'!$B$5)^(Y$28-$B$28)</f>
        <v>0</v>
      </c>
      <c r="Z34" s="119">
        <f>Z7/(1+'Financial Information'!$B$5)^(Z$28-$B$28)</f>
        <v>0</v>
      </c>
      <c r="AA34" s="119">
        <f>AA7/(1+'Financial Information'!$B$5)^(AA$28-$B$28)</f>
        <v>0</v>
      </c>
      <c r="AB34" s="119">
        <f>AB7/(1+'Financial Information'!$B$5)^(AB$28-$B$28)</f>
        <v>0</v>
      </c>
      <c r="AC34" s="119">
        <f>AC7/(1+'Financial Information'!$B$5)^(AC$28-$B$28)</f>
        <v>0</v>
      </c>
      <c r="AD34" s="211">
        <f>AD7/(1+'Financial Information'!$B$5)^(AD$28-$B$28)</f>
        <v>0</v>
      </c>
      <c r="AE34" s="119">
        <f>AE7/(1+'Financial Information'!$B$5)^(AE$28-$B$28)</f>
        <v>0</v>
      </c>
      <c r="AF34" s="119">
        <f>AF7/(1+'Financial Information'!$B$5)^(AF$28-$B$28)</f>
        <v>0</v>
      </c>
      <c r="AG34" s="119">
        <f>AG7/(1+'Financial Information'!$B$5)^(AG$28-$B$28)</f>
        <v>0</v>
      </c>
      <c r="AH34" s="119">
        <f>AH7/(1+'Financial Information'!$B$5)^(AH$28-$B$28)</f>
        <v>0</v>
      </c>
      <c r="AI34" s="119">
        <f>AI7/(1+'Financial Information'!$B$5)^(AI$28-$B$28)</f>
        <v>0</v>
      </c>
      <c r="AJ34" s="119"/>
    </row>
    <row r="35" spans="1:36">
      <c r="A35" s="6" t="s">
        <v>65</v>
      </c>
      <c r="B35" s="119">
        <f>B8/(1+'Financial Information'!$B$5)^(B$28-$B$28)</f>
        <v>849.84470000000033</v>
      </c>
      <c r="C35" s="119">
        <f>C8/(1+'Financial Information'!$B$5)^(C$28-$B$28)</f>
        <v>805.01208059981241</v>
      </c>
      <c r="D35" s="119">
        <f>D8/(1+'Financial Information'!$B$5)^(D$28-$B$28)</f>
        <v>776.2090191473086</v>
      </c>
      <c r="E35" s="119">
        <f>E8/(1+'Financial Information'!$B$5)^(E$28-$B$28)</f>
        <v>742.27755910575627</v>
      </c>
      <c r="F35" s="119">
        <f>F8/(1+'Financial Information'!$B$5)^(F$28-$B$28)</f>
        <v>704.33767432049319</v>
      </c>
      <c r="G35" s="119">
        <f>G8/(1+'Financial Information'!$B$5)^(G$28-$B$28)</f>
        <v>702.96027170732873</v>
      </c>
      <c r="H35" s="119">
        <f>H8/(1+'Financial Information'!$B$5)^(H$28-$B$28)</f>
        <v>714.63081392590937</v>
      </c>
      <c r="I35" s="119">
        <f>I8/(1+'Financial Information'!$B$5)^(I$28-$B$28)</f>
        <v>752.8219789019015</v>
      </c>
      <c r="J35" s="119">
        <f>J8/(1+'Financial Information'!$B$5)^(J$28-$B$28)</f>
        <v>808.16292979068464</v>
      </c>
      <c r="K35" s="119">
        <f>K8/(1+'Financial Information'!$B$5)^(K$28-$B$28)</f>
        <v>822.98656013542234</v>
      </c>
      <c r="L35" s="119">
        <f>L8/(1+'Financial Information'!$B$5)^(L$28-$B$28)</f>
        <v>818.42388817193091</v>
      </c>
      <c r="M35" s="119">
        <f>M8/(1+'Financial Information'!$B$5)^(M$28-$B$28)</f>
        <v>804.14387715685916</v>
      </c>
      <c r="N35" s="119">
        <f>N8/(1+'Financial Information'!$B$5)^(N$28-$B$28)</f>
        <v>799.61538686538847</v>
      </c>
      <c r="O35" s="119">
        <f>O8/(1+'Financial Information'!$B$5)^(O$28-$B$28)</f>
        <v>756.18939340659972</v>
      </c>
      <c r="P35" s="119">
        <f>P8/(1+'Financial Information'!$B$5)^(P$28-$B$28)</f>
        <v>731.67174415509635</v>
      </c>
      <c r="Q35" s="119">
        <f>Q8/(1+'Financial Information'!$B$5)^(Q$28-$B$28)</f>
        <v>709.90727403036112</v>
      </c>
      <c r="R35" s="119">
        <f>R8/(1+'Financial Information'!$B$5)^(R$28-$B$28)</f>
        <v>685.16154702050085</v>
      </c>
      <c r="S35" s="119">
        <f>S8/(1+'Financial Information'!$B$5)^(S$28-$B$28)</f>
        <v>695.25765554131897</v>
      </c>
      <c r="T35" s="119">
        <f>T8/(1+'Financial Information'!$B$5)^(T$28-$B$28)</f>
        <v>688.15280980222838</v>
      </c>
      <c r="U35" s="119">
        <f>U8/(1+'Financial Information'!$B$5)^(U$28-$B$28)</f>
        <v>668.56964951090026</v>
      </c>
      <c r="V35" s="119">
        <f>V8/(1+'Financial Information'!$B$5)^(V$28-$B$28)</f>
        <v>659.47338563869312</v>
      </c>
      <c r="W35" s="119">
        <f>W8/(1+'Financial Information'!$B$5)^(W$28-$B$28)</f>
        <v>647.88840313146704</v>
      </c>
      <c r="X35" s="119">
        <f>X8/(1+'Financial Information'!$B$5)^(X$28-$B$28)</f>
        <v>620.80021689955493</v>
      </c>
      <c r="Y35" s="119">
        <f>Y8/(1+'Financial Information'!$B$5)^(Y$28-$B$28)</f>
        <v>594.96635493727592</v>
      </c>
      <c r="Z35" s="119">
        <f>Z8/(1+'Financial Information'!$B$5)^(Z$28-$B$28)</f>
        <v>587.293160477171</v>
      </c>
      <c r="AA35" s="119">
        <f>AA8/(1+'Financial Information'!$B$5)^(AA$28-$B$28)</f>
        <v>585.18101185352748</v>
      </c>
      <c r="AB35" s="119">
        <f>AB8/(1+'Financial Information'!$B$5)^(AB$28-$B$28)</f>
        <v>576.25976123539874</v>
      </c>
      <c r="AC35" s="119">
        <f>AC8/(1+'Financial Information'!$B$5)^(AC$28-$B$28)</f>
        <v>547.33239843939782</v>
      </c>
      <c r="AD35" s="211">
        <f>AD8/(1+'Financial Information'!$B$5)^(AD$28-$B$28)</f>
        <v>534.58912759007421</v>
      </c>
      <c r="AE35" s="119">
        <f>AE8/(1+'Financial Information'!$B$5)^(AE$28-$B$28)</f>
        <v>507.46976777779537</v>
      </c>
      <c r="AF35" s="119">
        <f>AF8/(1+'Financial Information'!$B$5)^(AF$28-$B$28)</f>
        <v>487.06668706350132</v>
      </c>
      <c r="AG35" s="119">
        <f>AG8/(1+'Financial Information'!$B$5)^(AG$28-$B$28)</f>
        <v>472.23535769169121</v>
      </c>
      <c r="AH35" s="119">
        <f>AH8/(1+'Financial Information'!$B$5)^(AH$28-$B$28)</f>
        <v>457.57266885725551</v>
      </c>
      <c r="AI35" s="119">
        <f>AI8/(1+'Financial Information'!$B$5)^(AI$28-$B$28)</f>
        <v>437.03319516035981</v>
      </c>
      <c r="AJ35" s="119"/>
    </row>
    <row r="36" spans="1:36">
      <c r="A36" s="6" t="s">
        <v>52</v>
      </c>
      <c r="B36" s="119">
        <f>B9/(1+'Financial Information'!$B$5)^(B$28-$B$28)</f>
        <v>86.065810000000013</v>
      </c>
      <c r="C36" s="119">
        <f>C9/(1+'Financial Information'!$B$5)^(C$28-$B$28)</f>
        <v>85.41063730084349</v>
      </c>
      <c r="D36" s="119">
        <f>D9/(1+'Financial Information'!$B$5)^(D$28-$B$28)</f>
        <v>86.977142510819149</v>
      </c>
      <c r="E36" s="119">
        <f>E9/(1+'Financial Information'!$B$5)^(E$28-$B$28)</f>
        <v>87.718750238188534</v>
      </c>
      <c r="F36" s="119">
        <f>F9/(1+'Financial Information'!$B$5)^(F$28-$B$28)</f>
        <v>90.151232982109008</v>
      </c>
      <c r="G36" s="119">
        <f>G9/(1+'Financial Information'!$B$5)^(G$28-$B$28)</f>
        <v>93.532685985446832</v>
      </c>
      <c r="H36" s="119">
        <f>H9/(1+'Financial Information'!$B$5)^(H$28-$B$28)</f>
        <v>102.45938524572053</v>
      </c>
      <c r="I36" s="119">
        <f>I9/(1+'Financial Information'!$B$5)^(I$28-$B$28)</f>
        <v>108.5282792357783</v>
      </c>
      <c r="J36" s="119">
        <f>J9/(1+'Financial Information'!$B$5)^(J$28-$B$28)</f>
        <v>115.71088175559953</v>
      </c>
      <c r="K36" s="119">
        <f>K9/(1+'Financial Information'!$B$5)^(K$28-$B$28)</f>
        <v>116.26850159583682</v>
      </c>
      <c r="L36" s="119">
        <f>L9/(1+'Financial Information'!$B$5)^(L$28-$B$28)</f>
        <v>120.80559793323583</v>
      </c>
      <c r="M36" s="119">
        <f>M9/(1+'Financial Information'!$B$5)^(M$28-$B$28)</f>
        <v>123.37052854874371</v>
      </c>
      <c r="N36" s="119">
        <f>N9/(1+'Financial Information'!$B$5)^(N$28-$B$28)</f>
        <v>121.39320301439237</v>
      </c>
      <c r="O36" s="119">
        <f>O9/(1+'Financial Information'!$B$5)^(O$28-$B$28)</f>
        <v>121.66690363843531</v>
      </c>
      <c r="P36" s="119">
        <f>P9/(1+'Financial Information'!$B$5)^(P$28-$B$28)</f>
        <v>116.5449167424548</v>
      </c>
      <c r="Q36" s="119">
        <f>Q9/(1+'Financial Information'!$B$5)^(Q$28-$B$28)</f>
        <v>114.85788186639915</v>
      </c>
      <c r="R36" s="119">
        <f>R9/(1+'Financial Information'!$B$5)^(R$28-$B$28)</f>
        <v>113.90498435221028</v>
      </c>
      <c r="S36" s="119">
        <f>S9/(1+'Financial Information'!$B$5)^(S$28-$B$28)</f>
        <v>119.18618135710138</v>
      </c>
      <c r="T36" s="119">
        <f>T9/(1+'Financial Information'!$B$5)^(T$28-$B$28)</f>
        <v>118.52687657070427</v>
      </c>
      <c r="U36" s="119">
        <f>U9/(1+'Financial Information'!$B$5)^(U$28-$B$28)</f>
        <v>122.76073096579881</v>
      </c>
      <c r="V36" s="119">
        <f>V9/(1+'Financial Information'!$B$5)^(V$28-$B$28)</f>
        <v>117.23110238249801</v>
      </c>
      <c r="W36" s="119">
        <f>W9/(1+'Financial Information'!$B$5)^(W$28-$B$28)</f>
        <v>116.6599571121925</v>
      </c>
      <c r="X36" s="119">
        <f>X9/(1+'Financial Information'!$B$5)^(X$28-$B$28)</f>
        <v>111.05609696679886</v>
      </c>
      <c r="Y36" s="119">
        <f>Y9/(1+'Financial Information'!$B$5)^(Y$28-$B$28)</f>
        <v>108.99260748248527</v>
      </c>
      <c r="Z36" s="119">
        <f>Z9/(1+'Financial Information'!$B$5)^(Z$28-$B$28)</f>
        <v>104.94600844146278</v>
      </c>
      <c r="AA36" s="119">
        <f>AA9/(1+'Financial Information'!$B$5)^(AA$28-$B$28)</f>
        <v>104.3713492670071</v>
      </c>
      <c r="AB36" s="119">
        <f>AB9/(1+'Financial Information'!$B$5)^(AB$28-$B$28)</f>
        <v>100.93110910704978</v>
      </c>
      <c r="AC36" s="119">
        <f>AC9/(1+'Financial Information'!$B$5)^(AC$28-$B$28)</f>
        <v>98.987173561472588</v>
      </c>
      <c r="AD36" s="211">
        <f>AD9/(1+'Financial Information'!$B$5)^(AD$28-$B$28)</f>
        <v>96.089320878236393</v>
      </c>
      <c r="AE36" s="119">
        <f>AE9/(1+'Financial Information'!$B$5)^(AE$28-$B$28)</f>
        <v>93.488755210818184</v>
      </c>
      <c r="AF36" s="119">
        <f>AF9/(1+'Financial Information'!$B$5)^(AF$28-$B$28)</f>
        <v>90.356720355691692</v>
      </c>
      <c r="AG36" s="119">
        <f>AG9/(1+'Financial Information'!$B$5)^(AG$28-$B$28)</f>
        <v>88.839780239877825</v>
      </c>
      <c r="AH36" s="119">
        <f>AH9/(1+'Financial Information'!$B$5)^(AH$28-$B$28)</f>
        <v>85.061211145796094</v>
      </c>
      <c r="AI36" s="119">
        <f>AI9/(1+'Financial Information'!$B$5)^(AI$28-$B$28)</f>
        <v>83.286654988251726</v>
      </c>
      <c r="AJ36" s="119"/>
    </row>
    <row r="37" spans="1:36">
      <c r="A37" s="36" t="s">
        <v>66</v>
      </c>
      <c r="B37" s="119">
        <f>B10/(1+'Financial Information'!$B$5)^(B$28-$B$28)</f>
        <v>6.2319722000000004</v>
      </c>
      <c r="C37" s="119">
        <f>C10/(1+'Financial Information'!$B$5)^(C$28-$B$28)</f>
        <v>6.0651042174320517</v>
      </c>
      <c r="D37" s="119">
        <f>D10/(1+'Financial Information'!$B$5)^(D$28-$B$28)</f>
        <v>5.597480081054802</v>
      </c>
      <c r="E37" s="119">
        <f>E10/(1+'Financial Information'!$B$5)^(E$28-$B$28)</f>
        <v>4.7561382315016223</v>
      </c>
      <c r="F37" s="119">
        <f>F10/(1+'Financial Information'!$B$5)^(F$28-$B$28)</f>
        <v>4.4657182678632603</v>
      </c>
      <c r="G37" s="119">
        <f>G10/(1+'Financial Information'!$B$5)^(G$28-$B$28)</f>
        <v>4.5313820661662012</v>
      </c>
      <c r="H37" s="119">
        <f>H10/(1+'Financial Information'!$B$5)^(H$28-$B$28)</f>
        <v>4.4204887480740025</v>
      </c>
      <c r="I37" s="119">
        <f>I10/(1+'Financial Information'!$B$5)^(I$28-$B$28)</f>
        <v>4.3702885690388662</v>
      </c>
      <c r="J37" s="119">
        <f>J10/(1+'Financial Information'!$B$5)^(J$28-$B$28)</f>
        <v>4.5455494651161077</v>
      </c>
      <c r="K37" s="119">
        <f>K10/(1+'Financial Information'!$B$5)^(K$28-$B$28)</f>
        <v>4.4316898180699136</v>
      </c>
      <c r="L37" s="119">
        <f>L10/(1+'Financial Information'!$B$5)^(L$28-$B$28)</f>
        <v>4.3752147359830627</v>
      </c>
      <c r="M37" s="119">
        <f>M10/(1+'Financial Information'!$B$5)^(M$28-$B$28)</f>
        <v>4.1296272502411258</v>
      </c>
      <c r="N37" s="119">
        <f>N10/(1+'Financial Information'!$B$5)^(N$28-$B$28)</f>
        <v>3.7742518079064795</v>
      </c>
      <c r="O37" s="119">
        <f>O10/(1+'Financial Information'!$B$5)^(O$28-$B$28)</f>
        <v>3.2000781332260275</v>
      </c>
      <c r="P37" s="119">
        <f>P10/(1+'Financial Information'!$B$5)^(P$28-$B$28)</f>
        <v>1.2950307134113044</v>
      </c>
      <c r="Q37" s="119">
        <f>Q10/(1+'Financial Information'!$B$5)^(Q$28-$B$28)</f>
        <v>0.6583278446294154</v>
      </c>
      <c r="R37" s="119">
        <f>R10/(1+'Financial Information'!$B$5)^(R$28-$B$28)</f>
        <v>0.62402591292112619</v>
      </c>
      <c r="S37" s="119">
        <f>S10/(1+'Financial Information'!$B$5)^(S$28-$B$28)</f>
        <v>0.59225623053491816</v>
      </c>
      <c r="T37" s="119">
        <f>T10/(1+'Financial Information'!$B$5)^(T$28-$B$28)</f>
        <v>0.56011443178392772</v>
      </c>
      <c r="U37" s="119">
        <f>U10/(1+'Financial Information'!$B$5)^(U$28-$B$28)</f>
        <v>0.52839064956443371</v>
      </c>
      <c r="V37" s="119">
        <f>V10/(1+'Financial Information'!$B$5)^(V$28-$B$28)</f>
        <v>0.50550839784517632</v>
      </c>
      <c r="W37" s="119">
        <f>W10/(1+'Financial Information'!$B$5)^(W$28-$B$28)</f>
        <v>0.47727062938582349</v>
      </c>
      <c r="X37" s="119">
        <f>X10/(1+'Financial Information'!$B$5)^(X$28-$B$28)</f>
        <v>0.44767358030714088</v>
      </c>
      <c r="Y37" s="119">
        <f>Y10/(1+'Financial Information'!$B$5)^(Y$28-$B$28)</f>
        <v>0.42400698482581756</v>
      </c>
      <c r="Z37" s="119">
        <f>Z10/(1+'Financial Information'!$B$5)^(Z$28-$B$28)</f>
        <v>0.40290765816545038</v>
      </c>
      <c r="AA37" s="119">
        <f>AA10/(1+'Financial Information'!$B$5)^(AA$28-$B$28)</f>
        <v>0.38038288638116347</v>
      </c>
      <c r="AB37" s="119">
        <f>AB10/(1+'Financial Information'!$B$5)^(AB$28-$B$28)</f>
        <v>0.363132699445534</v>
      </c>
      <c r="AC37" s="119">
        <f>AC10/(1+'Financial Information'!$B$5)^(AC$28-$B$28)</f>
        <v>0.33994341466746436</v>
      </c>
      <c r="AD37" s="211">
        <f>AD10/(1+'Financial Information'!$B$5)^(AD$28-$B$28)</f>
        <v>0.32029438457362147</v>
      </c>
      <c r="AE37" s="119">
        <f>AE10/(1+'Financial Information'!$B$5)^(AE$28-$B$28)</f>
        <v>0.30102847954025186</v>
      </c>
      <c r="AF37" s="119">
        <f>AF10/(1+'Financial Information'!$B$5)^(AF$28-$B$28)</f>
        <v>0.28656058147514457</v>
      </c>
      <c r="AG37" s="119">
        <f>AG10/(1+'Financial Information'!$B$5)^(AG$28-$B$28)</f>
        <v>0.27085159607363279</v>
      </c>
      <c r="AH37" s="119">
        <f>AH10/(1+'Financial Information'!$B$5)^(AH$28-$B$28)</f>
        <v>0.25797515221577366</v>
      </c>
      <c r="AI37" s="119">
        <f>AI10/(1+'Financial Information'!$B$5)^(AI$28-$B$28)</f>
        <v>0.24212555635641306</v>
      </c>
      <c r="AJ37" s="119"/>
    </row>
    <row r="38" spans="1:36">
      <c r="A38" s="12" t="s">
        <v>69</v>
      </c>
      <c r="B38" s="212">
        <f>B11/(1+'Financial Information'!$B$5)^(B$28-$B$28)</f>
        <v>0</v>
      </c>
      <c r="C38" s="212">
        <f>C11/(1+'Financial Information'!$B$5)^(C$28-$B$28)</f>
        <v>0</v>
      </c>
      <c r="D38" s="212">
        <f>D11/(1+'Financial Information'!$B$5)^(D$28-$B$28)</f>
        <v>0</v>
      </c>
      <c r="E38" s="212">
        <f>E11/(1+'Financial Information'!$B$5)^(E$28-$B$28)</f>
        <v>0</v>
      </c>
      <c r="F38" s="212">
        <f>F11/(1+'Financial Information'!$B$5)^(F$28-$B$28)</f>
        <v>0</v>
      </c>
      <c r="G38" s="212">
        <f>G11/(1+'Financial Information'!$B$5)^(G$28-$B$28)</f>
        <v>73.946181881236171</v>
      </c>
      <c r="H38" s="212">
        <f>H11/(1+'Financial Information'!$B$5)^(H$28-$B$28)</f>
        <v>111.22596000236412</v>
      </c>
      <c r="I38" s="212">
        <f>I11/(1+'Financial Information'!$B$5)^(I$28-$B$28)</f>
        <v>144.3093062700199</v>
      </c>
      <c r="J38" s="212">
        <f>J11/(1+'Financial Information'!$B$5)^(J$28-$B$28)</f>
        <v>176.05756160234932</v>
      </c>
      <c r="K38" s="212">
        <f>K11/(1+'Financial Information'!$B$5)^(K$28-$B$28)</f>
        <v>201.15158056320831</v>
      </c>
      <c r="L38" s="212">
        <f>L11/(1+'Financial Information'!$B$5)^(L$28-$B$28)</f>
        <v>224.67654920999678</v>
      </c>
      <c r="M38" s="212">
        <f>M11/(1+'Financial Information'!$B$5)^(M$28-$B$28)</f>
        <v>238.68950821618583</v>
      </c>
      <c r="N38" s="212">
        <f>N11/(1+'Financial Information'!$B$5)^(N$28-$B$28)</f>
        <v>253.4647637224889</v>
      </c>
      <c r="O38" s="212">
        <f>O11/(1+'Financial Information'!$B$5)^(O$28-$B$28)</f>
        <v>262.51325899534464</v>
      </c>
      <c r="P38" s="212">
        <f>P11/(1+'Financial Information'!$B$5)^(P$28-$B$28)</f>
        <v>250.83632097478011</v>
      </c>
      <c r="Q38" s="212">
        <f>Q11/(1+'Financial Information'!$B$5)^(Q$28-$B$28)</f>
        <v>249.86017086545701</v>
      </c>
      <c r="R38" s="212">
        <f>R11/(1+'Financial Information'!$B$5)^(R$28-$B$28)</f>
        <v>258.05541311009051</v>
      </c>
      <c r="S38" s="212">
        <f>S11/(1+'Financial Information'!$B$5)^(S$28-$B$28)</f>
        <v>263.81837175669529</v>
      </c>
      <c r="T38" s="212">
        <f>T11/(1+'Financial Information'!$B$5)^(T$28-$B$28)</f>
        <v>268.08401175007759</v>
      </c>
      <c r="U38" s="212">
        <f>U11/(1+'Financial Information'!$B$5)^(U$28-$B$28)</f>
        <v>273.02816370553586</v>
      </c>
      <c r="V38" s="212">
        <f>V11/(1+'Financial Information'!$B$5)^(V$28-$B$28)</f>
        <v>274.50960650856297</v>
      </c>
      <c r="W38" s="212">
        <f>W11/(1+'Financial Information'!$B$5)^(W$28-$B$28)</f>
        <v>276.07084509339199</v>
      </c>
      <c r="X38" s="212">
        <f>X11/(1+'Financial Information'!$B$5)^(X$28-$B$28)</f>
        <v>269.63024857760098</v>
      </c>
      <c r="Y38" s="212">
        <f>Y11/(1+'Financial Information'!$B$5)^(Y$28-$B$28)</f>
        <v>266.02340259690828</v>
      </c>
      <c r="Z38" s="212">
        <f>Z11/(1+'Financial Information'!$B$5)^(Z$28-$B$28)</f>
        <v>265.80476098508774</v>
      </c>
      <c r="AA38" s="212">
        <f>AA11/(1+'Financial Information'!$B$5)^(AA$28-$B$28)</f>
        <v>263.12813026928973</v>
      </c>
      <c r="AB38" s="212">
        <f>AB11/(1+'Financial Information'!$B$5)^(AB$28-$B$28)</f>
        <v>261.15339240287676</v>
      </c>
      <c r="AC38" s="212">
        <f>AC11/(1+'Financial Information'!$B$5)^(AC$28-$B$28)</f>
        <v>254.93948878474808</v>
      </c>
      <c r="AD38" s="213">
        <f>AD11/(1+'Financial Information'!$B$5)^(AD$28-$B$28)</f>
        <v>250.60184380948721</v>
      </c>
      <c r="AE38" s="212">
        <f>AE11/(1+'Financial Information'!$B$5)^(AE$28-$B$28)</f>
        <v>243.2262904816956</v>
      </c>
      <c r="AF38" s="212">
        <f>AF11/(1+'Financial Information'!$B$5)^(AF$28-$B$28)</f>
        <v>239.73437933720621</v>
      </c>
      <c r="AG38" s="212">
        <f>AG11/(1+'Financial Information'!$B$5)^(AG$28-$B$28)</f>
        <v>235.1707711009625</v>
      </c>
      <c r="AH38" s="212">
        <f>AH11/(1+'Financial Information'!$B$5)^(AH$28-$B$28)</f>
        <v>230.371822226153</v>
      </c>
      <c r="AI38" s="212">
        <f>AI11/(1+'Financial Information'!$B$5)^(AI$28-$B$28)</f>
        <v>222.14132515711566</v>
      </c>
      <c r="AJ38" s="212"/>
    </row>
    <row r="39" spans="1:36">
      <c r="A39" s="6" t="s">
        <v>61</v>
      </c>
      <c r="B39" s="15">
        <f t="shared" ref="B39:AG39" si="7">SUM(B29:B38)</f>
        <v>1843.4621723822067</v>
      </c>
      <c r="C39" s="15">
        <f t="shared" si="7"/>
        <v>1758.8220120849685</v>
      </c>
      <c r="D39" s="15">
        <f t="shared" si="7"/>
        <v>1710.2804142808266</v>
      </c>
      <c r="E39" s="15">
        <f t="shared" si="7"/>
        <v>1634.8250148527695</v>
      </c>
      <c r="F39" s="15">
        <f t="shared" si="7"/>
        <v>1425.3350308744293</v>
      </c>
      <c r="G39" s="15">
        <f t="shared" si="7"/>
        <v>1345.1830016765171</v>
      </c>
      <c r="H39" s="15">
        <f t="shared" si="7"/>
        <v>1302.7642056420691</v>
      </c>
      <c r="I39" s="15">
        <f t="shared" si="7"/>
        <v>1352.7411122736514</v>
      </c>
      <c r="J39" s="15">
        <f t="shared" si="7"/>
        <v>1433.1376676234929</v>
      </c>
      <c r="K39" s="15">
        <f t="shared" si="7"/>
        <v>1454.666564213032</v>
      </c>
      <c r="L39" s="15">
        <f t="shared" si="7"/>
        <v>1462.6414400214558</v>
      </c>
      <c r="M39" s="15">
        <f t="shared" si="7"/>
        <v>1448.2150198207103</v>
      </c>
      <c r="N39" s="15">
        <f t="shared" si="7"/>
        <v>1442.6312158276965</v>
      </c>
      <c r="O39" s="15">
        <f t="shared" si="7"/>
        <v>1392.6335081696127</v>
      </c>
      <c r="P39" s="15">
        <f t="shared" si="7"/>
        <v>1444.8508622957775</v>
      </c>
      <c r="Q39" s="15">
        <f t="shared" si="7"/>
        <v>1574.1677143752199</v>
      </c>
      <c r="R39" s="15">
        <f t="shared" si="7"/>
        <v>1518.4824041072097</v>
      </c>
      <c r="S39" s="15">
        <f t="shared" si="7"/>
        <v>1504.4486391276339</v>
      </c>
      <c r="T39" s="15">
        <f t="shared" si="7"/>
        <v>1496.4441619392346</v>
      </c>
      <c r="U39" s="15">
        <f t="shared" si="7"/>
        <v>1472.4680100286319</v>
      </c>
      <c r="V39" s="15">
        <f t="shared" si="7"/>
        <v>1436.5011259669718</v>
      </c>
      <c r="W39" s="15">
        <f t="shared" si="7"/>
        <v>1402.0529595481298</v>
      </c>
      <c r="X39" s="15">
        <f t="shared" si="7"/>
        <v>1385.623975614043</v>
      </c>
      <c r="Y39" s="15">
        <f t="shared" si="7"/>
        <v>1425.9050444787024</v>
      </c>
      <c r="Z39" s="15">
        <f t="shared" si="7"/>
        <v>1392.3302617977529</v>
      </c>
      <c r="AA39" s="15">
        <f t="shared" si="7"/>
        <v>1368.8816633863971</v>
      </c>
      <c r="AB39" s="15">
        <f t="shared" si="7"/>
        <v>1326.4497816031947</v>
      </c>
      <c r="AC39" s="52">
        <f t="shared" si="7"/>
        <v>1259.1756870929692</v>
      </c>
      <c r="AD39" s="214">
        <f t="shared" si="7"/>
        <v>1211.7234313352305</v>
      </c>
      <c r="AE39" s="15">
        <f t="shared" si="7"/>
        <v>1148.0386579675746</v>
      </c>
      <c r="AF39" s="15">
        <f t="shared" si="7"/>
        <v>1094.7324253496649</v>
      </c>
      <c r="AG39" s="15">
        <f t="shared" si="7"/>
        <v>1049.6694435406689</v>
      </c>
      <c r="AH39" s="15">
        <f t="shared" ref="AH39:AI39" si="8">SUM(AH29:AH38)</f>
        <v>1004.0645807298405</v>
      </c>
      <c r="AI39" s="15">
        <f t="shared" si="8"/>
        <v>955.52340632743653</v>
      </c>
      <c r="AJ39" s="15"/>
    </row>
    <row r="40" spans="1:36">
      <c r="AC40" s="36"/>
      <c r="AD40" s="215"/>
    </row>
    <row r="41" spans="1:36">
      <c r="A41" s="152" t="str">
        <f>A14</f>
        <v>Clean Energy Connection</v>
      </c>
      <c r="B41" s="152">
        <f>$B$1</f>
        <v>2020</v>
      </c>
      <c r="C41" s="152">
        <f t="shared" ref="C41:AI41" si="9">B41+1</f>
        <v>2021</v>
      </c>
      <c r="D41" s="152">
        <f t="shared" si="9"/>
        <v>2022</v>
      </c>
      <c r="E41" s="152">
        <f t="shared" si="9"/>
        <v>2023</v>
      </c>
      <c r="F41" s="152">
        <f t="shared" si="9"/>
        <v>2024</v>
      </c>
      <c r="G41" s="152">
        <f t="shared" si="9"/>
        <v>2025</v>
      </c>
      <c r="H41" s="152">
        <f t="shared" si="9"/>
        <v>2026</v>
      </c>
      <c r="I41" s="152">
        <f t="shared" si="9"/>
        <v>2027</v>
      </c>
      <c r="J41" s="152">
        <f t="shared" si="9"/>
        <v>2028</v>
      </c>
      <c r="K41" s="152">
        <f t="shared" si="9"/>
        <v>2029</v>
      </c>
      <c r="L41" s="152">
        <f t="shared" si="9"/>
        <v>2030</v>
      </c>
      <c r="M41" s="152">
        <f t="shared" si="9"/>
        <v>2031</v>
      </c>
      <c r="N41" s="152">
        <f t="shared" si="9"/>
        <v>2032</v>
      </c>
      <c r="O41" s="152">
        <f t="shared" si="9"/>
        <v>2033</v>
      </c>
      <c r="P41" s="152">
        <f t="shared" si="9"/>
        <v>2034</v>
      </c>
      <c r="Q41" s="152">
        <f t="shared" si="9"/>
        <v>2035</v>
      </c>
      <c r="R41" s="152">
        <f t="shared" si="9"/>
        <v>2036</v>
      </c>
      <c r="S41" s="152">
        <f t="shared" si="9"/>
        <v>2037</v>
      </c>
      <c r="T41" s="152">
        <f t="shared" si="9"/>
        <v>2038</v>
      </c>
      <c r="U41" s="152">
        <f t="shared" si="9"/>
        <v>2039</v>
      </c>
      <c r="V41" s="152">
        <f t="shared" si="9"/>
        <v>2040</v>
      </c>
      <c r="W41" s="152">
        <f t="shared" si="9"/>
        <v>2041</v>
      </c>
      <c r="X41" s="152">
        <f t="shared" si="9"/>
        <v>2042</v>
      </c>
      <c r="Y41" s="152">
        <f t="shared" si="9"/>
        <v>2043</v>
      </c>
      <c r="Z41" s="152">
        <f t="shared" si="9"/>
        <v>2044</v>
      </c>
      <c r="AA41" s="152">
        <f t="shared" si="9"/>
        <v>2045</v>
      </c>
      <c r="AB41" s="152">
        <f t="shared" si="9"/>
        <v>2046</v>
      </c>
      <c r="AC41" s="209">
        <f t="shared" si="9"/>
        <v>2047</v>
      </c>
      <c r="AD41" s="210">
        <f t="shared" si="9"/>
        <v>2048</v>
      </c>
      <c r="AE41" s="152">
        <f t="shared" si="9"/>
        <v>2049</v>
      </c>
      <c r="AF41" s="152">
        <f t="shared" si="9"/>
        <v>2050</v>
      </c>
      <c r="AG41" s="152">
        <f t="shared" si="9"/>
        <v>2051</v>
      </c>
      <c r="AH41" s="152">
        <f t="shared" si="9"/>
        <v>2052</v>
      </c>
      <c r="AI41" s="152">
        <f t="shared" si="9"/>
        <v>2053</v>
      </c>
      <c r="AJ41" s="152"/>
    </row>
    <row r="42" spans="1:36">
      <c r="A42" s="6" t="s">
        <v>134</v>
      </c>
      <c r="B42" s="119">
        <f>B15/(1+'Financial Information'!$B$5)^(B$28-$B$28)</f>
        <v>65.260450182206341</v>
      </c>
      <c r="C42" s="119">
        <f>C15/(1+'Financial Information'!$B$5)^(C$28-$B$28)</f>
        <v>95.670684812241348</v>
      </c>
      <c r="D42" s="119">
        <f>D15/(1+'Financial Information'!$B$5)^(D$28-$B$28)</f>
        <v>123.09266850550476</v>
      </c>
      <c r="E42" s="119">
        <f>E15/(1+'Financial Information'!$B$5)^(E$28-$B$28)</f>
        <v>110.3423278685908</v>
      </c>
      <c r="F42" s="119">
        <f>F15/(1+'Financial Information'!$B$5)^(F$28-$B$28)</f>
        <v>99.251999617653368</v>
      </c>
      <c r="G42" s="119">
        <f>G15/(1+'Financial Information'!$B$5)^(G$28-$B$28)</f>
        <v>87.236463254682732</v>
      </c>
      <c r="H42" s="119">
        <f>H15/(1+'Financial Information'!$B$5)^(H$28-$B$28)</f>
        <v>72.209878742626842</v>
      </c>
      <c r="I42" s="119">
        <f>I15/(1+'Financial Information'!$B$5)^(I$28-$B$28)</f>
        <v>65.776198490761217</v>
      </c>
      <c r="J42" s="119">
        <f>J15/(1+'Financial Information'!$B$5)^(J$28-$B$28)</f>
        <v>60.015159466469328</v>
      </c>
      <c r="K42" s="119">
        <f>K15/(1+'Financial Information'!$B$5)^(K$28-$B$28)</f>
        <v>54.842529437059518</v>
      </c>
      <c r="L42" s="119">
        <f>L15/(1+'Financial Information'!$B$5)^(L$28-$B$28)</f>
        <v>50.063063142283596</v>
      </c>
      <c r="M42" s="119">
        <f>M15/(1+'Financial Information'!$B$5)^(M$28-$B$28)</f>
        <v>45.685746667320686</v>
      </c>
      <c r="N42" s="119">
        <f>N15/(1+'Financial Information'!$B$5)^(N$28-$B$28)</f>
        <v>41.663810762062894</v>
      </c>
      <c r="O42" s="119">
        <f>O15/(1+'Financial Information'!$B$5)^(O$28-$B$28)</f>
        <v>38.004159133502633</v>
      </c>
      <c r="P42" s="119">
        <f>P15/(1+'Financial Information'!$B$5)^(P$28-$B$28)</f>
        <v>34.594178141826397</v>
      </c>
      <c r="Q42" s="119">
        <f>Q15/(1+'Financial Information'!$B$5)^(Q$28-$B$28)</f>
        <v>31.467085235523829</v>
      </c>
      <c r="R42" s="119">
        <f>R15/(1+'Financial Information'!$B$5)^(R$28-$B$28)</f>
        <v>28.556029265028624</v>
      </c>
      <c r="S42" s="119">
        <f>S15/(1+'Financial Information'!$B$5)^(S$28-$B$28)</f>
        <v>25.923671058538908</v>
      </c>
      <c r="T42" s="119">
        <f>T15/(1+'Financial Information'!$B$5)^(T$28-$B$28)</f>
        <v>24.302460071004031</v>
      </c>
      <c r="U42" s="119">
        <f>U15/(1+'Financial Information'!$B$5)^(U$28-$B$28)</f>
        <v>22.47210636589875</v>
      </c>
      <c r="V42" s="119">
        <f>V15/(1+'Financial Information'!$B$5)^(V$28-$B$28)</f>
        <v>20.321524261026781</v>
      </c>
      <c r="W42" s="119">
        <f>W15/(1+'Financial Information'!$B$5)^(W$28-$B$28)</f>
        <v>18.368381113610976</v>
      </c>
      <c r="X42" s="119">
        <f>X15/(1+'Financial Information'!$B$5)^(X$28-$B$28)</f>
        <v>16.632430176980964</v>
      </c>
      <c r="Y42" s="119">
        <f>Y15/(1+'Financial Information'!$B$5)^(Y$28-$B$28)</f>
        <v>15.026179470220866</v>
      </c>
      <c r="Z42" s="119">
        <f>Z15/(1+'Financial Information'!$B$5)^(Z$28-$B$28)</f>
        <v>13.604762985175954</v>
      </c>
      <c r="AA42" s="119">
        <f>AA15/(1+'Financial Information'!$B$5)^(AA$28-$B$28)</f>
        <v>12.278499130739975</v>
      </c>
      <c r="AB42" s="119">
        <f>AB15/(1+'Financial Information'!$B$5)^(AB$28-$B$28)</f>
        <v>11.098008139710984</v>
      </c>
      <c r="AC42" s="119">
        <f>AC15/(1+'Financial Information'!$B$5)^(AC$28-$B$28)</f>
        <v>10.008361154503485</v>
      </c>
      <c r="AD42" s="211">
        <f>AD15/(1+'Financial Information'!$B$5)^(AD$28-$B$28)</f>
        <v>9.3885499439786422</v>
      </c>
      <c r="AE42" s="119">
        <f>AE15/(1+'Financial Information'!$B$5)^(AE$28-$B$28)</f>
        <v>7.9514309956645066</v>
      </c>
      <c r="AF42" s="119">
        <f>AF15/(1+'Financial Information'!$B$5)^(AF$28-$B$28)</f>
        <v>5.2989347528844011</v>
      </c>
      <c r="AG42" s="119">
        <f>AG15/(1+'Financial Information'!$B$5)^(AG$28-$B$28)</f>
        <v>2.8960604241996695</v>
      </c>
      <c r="AH42" s="119">
        <f>AH15/(1+'Financial Information'!$B$5)^(AH$28-$B$28)</f>
        <v>0.41566066557171555</v>
      </c>
      <c r="AI42" s="119">
        <f>AI15/(1+'Financial Information'!$B$5)^(AI$28-$B$28)</f>
        <v>0.37490309689796597</v>
      </c>
      <c r="AJ42" s="119"/>
    </row>
    <row r="43" spans="1:36">
      <c r="A43" s="6" t="s">
        <v>135</v>
      </c>
      <c r="B43" s="119">
        <f>B16/(1+'Financial Information'!$B$5)^(B$28-$B$28)</f>
        <v>0</v>
      </c>
      <c r="C43" s="119">
        <f>C16/(1+'Financial Information'!$B$5)^(C$28-$B$28)</f>
        <v>0</v>
      </c>
      <c r="D43" s="119">
        <f>D16/(1+'Financial Information'!$B$5)^(D$28-$B$28)</f>
        <v>27.104402529171068</v>
      </c>
      <c r="E43" s="119">
        <f>E16/(1+'Financial Information'!$B$5)^(E$28-$B$28)</f>
        <v>71.677271703898896</v>
      </c>
      <c r="F43" s="119">
        <f>F16/(1+'Financial Information'!$B$5)^(F$28-$B$28)</f>
        <v>106.71659618161929</v>
      </c>
      <c r="G43" s="119">
        <f>G16/(1+'Financial Information'!$B$5)^(G$28-$B$28)</f>
        <v>94.968223232679676</v>
      </c>
      <c r="H43" s="119">
        <f>H16/(1+'Financial Information'!$B$5)^(H$28-$B$28)</f>
        <v>84.930290419949785</v>
      </c>
      <c r="I43" s="119">
        <f>I16/(1+'Financial Information'!$B$5)^(I$28-$B$28)</f>
        <v>71.369318056281188</v>
      </c>
      <c r="J43" s="119">
        <f>J16/(1+'Financial Information'!$B$5)^(J$28-$B$28)</f>
        <v>64.616065941150438</v>
      </c>
      <c r="K43" s="119">
        <f>K16/(1+'Financial Information'!$B$5)^(K$28-$B$28)</f>
        <v>58.847825074856878</v>
      </c>
      <c r="L43" s="119">
        <f>L16/(1+'Financial Information'!$B$5)^(L$28-$B$28)</f>
        <v>53.786374701416463</v>
      </c>
      <c r="M43" s="119">
        <f>M16/(1+'Financial Information'!$B$5)^(M$28-$B$28)</f>
        <v>49.250786941365043</v>
      </c>
      <c r="N43" s="119">
        <f>N16/(1+'Financial Information'!$B$5)^(N$28-$B$28)</f>
        <v>45.08657486113227</v>
      </c>
      <c r="O43" s="119">
        <f>O16/(1+'Financial Information'!$B$5)^(O$28-$B$28)</f>
        <v>41.252032029110545</v>
      </c>
      <c r="P43" s="119">
        <f>P16/(1+'Financial Information'!$B$5)^(P$28-$B$28)</f>
        <v>37.704265111778128</v>
      </c>
      <c r="Q43" s="119">
        <f>Q16/(1+'Financial Information'!$B$5)^(Q$28-$B$28)</f>
        <v>34.471759461208883</v>
      </c>
      <c r="R43" s="119">
        <f>R16/(1+'Financial Information'!$B$5)^(R$28-$B$28)</f>
        <v>31.510242239544308</v>
      </c>
      <c r="S43" s="119">
        <f>S16/(1+'Financial Information'!$B$5)^(S$28-$B$28)</f>
        <v>28.771416472238894</v>
      </c>
      <c r="T43" s="119">
        <f>T16/(1+'Financial Information'!$B$5)^(T$28-$B$28)</f>
        <v>28.186255215442095</v>
      </c>
      <c r="U43" s="119">
        <f>U16/(1+'Financial Information'!$B$5)^(U$28-$B$28)</f>
        <v>25.599452768354144</v>
      </c>
      <c r="V43" s="119">
        <f>V16/(1+'Financial Information'!$B$5)^(V$28-$B$28)</f>
        <v>23.223951483068507</v>
      </c>
      <c r="W43" s="119">
        <f>W16/(1+'Financial Information'!$B$5)^(W$28-$B$28)</f>
        <v>21.051786711251751</v>
      </c>
      <c r="X43" s="119">
        <f>X16/(1+'Financial Information'!$B$5)^(X$28-$B$28)</f>
        <v>19.118354143731811</v>
      </c>
      <c r="Y43" s="119">
        <f>Y16/(1+'Financial Information'!$B$5)^(Y$28-$B$28)</f>
        <v>17.388538002102155</v>
      </c>
      <c r="Z43" s="119">
        <f>Z16/(1+'Financial Information'!$B$5)^(Z$28-$B$28)</f>
        <v>15.82103716639633</v>
      </c>
      <c r="AA43" s="119">
        <f>AA16/(1+'Financial Information'!$B$5)^(AA$28-$B$28)</f>
        <v>14.367151034475768</v>
      </c>
      <c r="AB43" s="119">
        <f>AB16/(1+'Financial Information'!$B$5)^(AB$28-$B$28)</f>
        <v>13.070098401550514</v>
      </c>
      <c r="AC43" s="119">
        <f>AC16/(1+'Financial Information'!$B$5)^(AC$28-$B$28)</f>
        <v>11.873952695715952</v>
      </c>
      <c r="AD43" s="211">
        <f>AD16/(1+'Financial Information'!$B$5)^(AD$28-$B$28)</f>
        <v>10.792396380648784</v>
      </c>
      <c r="AE43" s="119">
        <f>AE16/(1+'Financial Information'!$B$5)^(AE$28-$B$28)</f>
        <v>9.7892282563921427</v>
      </c>
      <c r="AF43" s="119">
        <f>AF16/(1+'Financial Information'!$B$5)^(AF$28-$B$28)</f>
        <v>8.8893100063044432</v>
      </c>
      <c r="AG43" s="119">
        <f>AG16/(1+'Financial Information'!$B$5)^(AG$28-$B$28)</f>
        <v>8.5564850648572275</v>
      </c>
      <c r="AH43" s="119">
        <f>AH16/(1+'Financial Information'!$B$5)^(AH$28-$B$28)</f>
        <v>6.8276065268349155</v>
      </c>
      <c r="AI43" s="119">
        <f>AI16/(1+'Financial Information'!$B$5)^(AI$28-$B$28)</f>
        <v>3.6792355349898176</v>
      </c>
      <c r="AJ43" s="119"/>
    </row>
    <row r="44" spans="1:36">
      <c r="A44" s="6" t="s">
        <v>60</v>
      </c>
      <c r="B44" s="119">
        <f>B17/(1+'Financial Information'!$B$5)^(B$28-$B$28)</f>
        <v>0</v>
      </c>
      <c r="C44" s="119">
        <f>C17/(1+'Financial Information'!$B$5)^(C$28-$B$28)</f>
        <v>0</v>
      </c>
      <c r="D44" s="119">
        <f>D17/(1+'Financial Information'!$B$5)^(D$28-$B$28)</f>
        <v>0</v>
      </c>
      <c r="E44" s="119">
        <f>E17/(1+'Financial Information'!$B$5)^(E$28-$B$28)</f>
        <v>0</v>
      </c>
      <c r="F44" s="119">
        <f>F17/(1+'Financial Information'!$B$5)^(F$28-$B$28)</f>
        <v>0</v>
      </c>
      <c r="G44" s="119">
        <f>G17/(1+'Financial Information'!$B$5)^(G$28-$B$28)</f>
        <v>0</v>
      </c>
      <c r="H44" s="119">
        <f>H17/(1+'Financial Information'!$B$5)^(H$28-$B$28)</f>
        <v>0</v>
      </c>
      <c r="I44" s="119">
        <f>I17/(1+'Financial Information'!$B$5)^(I$28-$B$28)</f>
        <v>6.8065319934405428</v>
      </c>
      <c r="J44" s="119">
        <f>J17/(1+'Financial Information'!$B$5)^(J$28-$B$28)</f>
        <v>10.690057290776666</v>
      </c>
      <c r="K44" s="119">
        <f>K17/(1+'Financial Information'!$B$5)^(K$28-$B$28)</f>
        <v>15.857655953805649</v>
      </c>
      <c r="L44" s="119">
        <f>L17/(1+'Financial Information'!$B$5)^(L$28-$B$28)</f>
        <v>18.481386431945914</v>
      </c>
      <c r="M44" s="119">
        <f>M17/(1+'Financial Information'!$B$5)^(M$28-$B$28)</f>
        <v>22.348513128895039</v>
      </c>
      <c r="N44" s="119">
        <f>N17/(1+'Financial Information'!$B$5)^(N$28-$B$28)</f>
        <v>23.994861376548482</v>
      </c>
      <c r="O44" s="119">
        <f>O17/(1+'Financial Information'!$B$5)^(O$28-$B$28)</f>
        <v>26.829352716715064</v>
      </c>
      <c r="P44" s="119">
        <f>P17/(1+'Financial Information'!$B$5)^(P$28-$B$28)</f>
        <v>88.9550561173848</v>
      </c>
      <c r="Q44" s="119">
        <f>Q17/(1+'Financial Information'!$B$5)^(Q$28-$B$28)</f>
        <v>225.09784773874389</v>
      </c>
      <c r="R44" s="119">
        <f>R17/(1+'Financial Information'!$B$5)^(R$28-$B$28)</f>
        <v>210.14172390797253</v>
      </c>
      <c r="S44" s="119">
        <f>S17/(1+'Financial Information'!$B$5)^(S$28-$B$28)</f>
        <v>194.79830054252918</v>
      </c>
      <c r="T44" s="119">
        <f>T17/(1+'Financial Information'!$B$5)^(T$28-$B$28)</f>
        <v>186.33624121156328</v>
      </c>
      <c r="U44" s="119">
        <f>U17/(1+'Financial Information'!$B$5)^(U$28-$B$28)</f>
        <v>175.57419550385399</v>
      </c>
      <c r="V44" s="119">
        <f>V17/(1+'Financial Information'!$B$5)^(V$28-$B$28)</f>
        <v>163.84515780525754</v>
      </c>
      <c r="W44" s="119">
        <f>W17/(1+'Financial Information'!$B$5)^(W$28-$B$28)</f>
        <v>151.75386983266853</v>
      </c>
      <c r="X44" s="119">
        <f>X17/(1+'Financial Information'!$B$5)^(X$28-$B$28)</f>
        <v>168.29959195423737</v>
      </c>
      <c r="Y44" s="119">
        <f>Y17/(1+'Financial Information'!$B$5)^(Y$28-$B$28)</f>
        <v>240.7598407223953</v>
      </c>
      <c r="Z44" s="119">
        <f>Z17/(1+'Financial Information'!$B$5)^(Z$28-$B$28)</f>
        <v>225.69584068307202</v>
      </c>
      <c r="AA44" s="119">
        <f>AA17/(1+'Financial Information'!$B$5)^(AA$28-$B$28)</f>
        <v>212.7492454243806</v>
      </c>
      <c r="AB44" s="119">
        <f>AB17/(1+'Financial Information'!$B$5)^(AB$28-$B$28)</f>
        <v>198.44590105515422</v>
      </c>
      <c r="AC44" s="119">
        <f>AC17/(1+'Financial Information'!$B$5)^(AC$28-$B$28)</f>
        <v>182.30697222278701</v>
      </c>
      <c r="AD44" s="211">
        <f>AD17/(1+'Financial Information'!$B$5)^(AD$28-$B$28)</f>
        <v>165.60510671128793</v>
      </c>
      <c r="AE44" s="119">
        <f>AE17/(1+'Financial Information'!$B$5)^(AE$28-$B$28)</f>
        <v>150.36148482873168</v>
      </c>
      <c r="AF44" s="119">
        <f>AF17/(1+'Financial Information'!$B$5)^(AF$28-$B$28)</f>
        <v>136.45483625090628</v>
      </c>
      <c r="AG44" s="119">
        <f>AG17/(1+'Financial Information'!$B$5)^(AG$28-$B$28)</f>
        <v>123.74096019881367</v>
      </c>
      <c r="AH44" s="119">
        <f>AH17/(1+'Financial Information'!$B$5)^(AH$28-$B$28)</f>
        <v>112.10554241916785</v>
      </c>
      <c r="AI44" s="119">
        <f>AI17/(1+'Financial Information'!$B$5)^(AI$28-$B$28)</f>
        <v>101.46553419260681</v>
      </c>
      <c r="AJ44" s="119"/>
    </row>
    <row r="45" spans="1:36">
      <c r="A45" s="6" t="s">
        <v>68</v>
      </c>
      <c r="B45" s="119">
        <f>B18/(1+'Financial Information'!$B$5)^(B$28-$B$28)</f>
        <v>445.38108</v>
      </c>
      <c r="C45" s="119">
        <f>C18/(1+'Financial Information'!$B$5)^(C$28-$B$28)</f>
        <v>405.95848172446119</v>
      </c>
      <c r="D45" s="119">
        <f>D18/(1+'Financial Information'!$B$5)^(D$28-$B$28)</f>
        <v>383.04511506040029</v>
      </c>
      <c r="E45" s="119">
        <f>E18/(1+'Financial Information'!$B$5)^(E$28-$B$28)</f>
        <v>375.42940625433778</v>
      </c>
      <c r="F45" s="119">
        <f>F18/(1+'Financial Information'!$B$5)^(F$28-$B$28)</f>
        <v>231.79327266520852</v>
      </c>
      <c r="G45" s="119">
        <f>G18/(1+'Financial Information'!$B$5)^(G$28-$B$28)</f>
        <v>106.90762708059813</v>
      </c>
      <c r="H45" s="119">
        <f>H18/(1+'Financial Information'!$B$5)^(H$28-$B$28)</f>
        <v>39.084411000131446</v>
      </c>
      <c r="I45" s="119">
        <f>I18/(1+'Financial Information'!$B$5)^(I$28-$B$28)</f>
        <v>20.672035646629393</v>
      </c>
      <c r="J45" s="119">
        <f>J18/(1+'Financial Information'!$B$5)^(J$28-$B$28)</f>
        <v>12.518563020135373</v>
      </c>
      <c r="K45" s="119">
        <f>K18/(1+'Financial Information'!$B$5)^(K$28-$B$28)</f>
        <v>12.04578815746588</v>
      </c>
      <c r="L45" s="119">
        <f>L18/(1+'Financial Information'!$B$5)^(L$28-$B$28)</f>
        <v>11.558260882321816</v>
      </c>
      <c r="M45" s="119">
        <f>M18/(1+'Financial Information'!$B$5)^(M$28-$B$28)</f>
        <v>11.148437911064196</v>
      </c>
      <c r="N45" s="119">
        <f>N18/(1+'Financial Information'!$B$5)^(N$28-$B$28)</f>
        <v>10.706365919584599</v>
      </c>
      <c r="O45" s="119">
        <f>O18/(1+'Financial Information'!$B$5)^(O$28-$B$28)</f>
        <v>10.313431573744268</v>
      </c>
      <c r="P45" s="119">
        <f>P18/(1+'Financial Information'!$B$5)^(P$28-$B$28)</f>
        <v>12.296321501530654</v>
      </c>
      <c r="Q45" s="119">
        <f>Q18/(1+'Financial Information'!$B$5)^(Q$28-$B$28)</f>
        <v>13.399041765963331</v>
      </c>
      <c r="R45" s="119">
        <f>R18/(1+'Financial Information'!$B$5)^(R$28-$B$28)</f>
        <v>13.001269707392375</v>
      </c>
      <c r="S45" s="119">
        <f>S18/(1+'Financial Information'!$B$5)^(S$28-$B$28)</f>
        <v>12.577273952430309</v>
      </c>
      <c r="T45" s="119">
        <f>T18/(1+'Financial Information'!$B$5)^(T$28-$B$28)</f>
        <v>12.45577671575567</v>
      </c>
      <c r="U45" s="119">
        <f>U18/(1+'Financial Information'!$B$5)^(U$28-$B$28)</f>
        <v>12.208668559413129</v>
      </c>
      <c r="V45" s="119">
        <f>V18/(1+'Financial Information'!$B$5)^(V$28-$B$28)</f>
        <v>11.88782811627196</v>
      </c>
      <c r="W45" s="119">
        <f>W18/(1+'Financial Information'!$B$5)^(W$28-$B$28)</f>
        <v>11.495002470676392</v>
      </c>
      <c r="X45" s="119">
        <f>X18/(1+'Financial Information'!$B$5)^(X$28-$B$28)</f>
        <v>12.343675152163351</v>
      </c>
      <c r="Y45" s="119">
        <f>Y18/(1+'Financial Information'!$B$5)^(Y$28-$B$28)</f>
        <v>12.746770736339036</v>
      </c>
      <c r="Z45" s="119">
        <f>Z18/(1+'Financial Information'!$B$5)^(Z$28-$B$28)</f>
        <v>12.554886653744788</v>
      </c>
      <c r="AA45" s="119">
        <f>AA18/(1+'Financial Information'!$B$5)^(AA$28-$B$28)</f>
        <v>12.337698443577423</v>
      </c>
      <c r="AB45" s="119">
        <f>AB18/(1+'Financial Information'!$B$5)^(AB$28-$B$28)</f>
        <v>11.935134398748</v>
      </c>
      <c r="AC45" s="119">
        <f>AC18/(1+'Financial Information'!$B$5)^(AC$28-$B$28)</f>
        <v>11.535005812773326</v>
      </c>
      <c r="AD45" s="211">
        <f>AD18/(1+'Financial Information'!$B$5)^(AD$28-$B$28)</f>
        <v>11.050358019832974</v>
      </c>
      <c r="AE45" s="119">
        <f>AE18/(1+'Financial Information'!$B$5)^(AE$28-$B$28)</f>
        <v>10.205761010537286</v>
      </c>
      <c r="AF45" s="119">
        <f>AF18/(1+'Financial Information'!$B$5)^(AF$28-$B$28)</f>
        <v>8.9725777167932979</v>
      </c>
      <c r="AG45" s="119">
        <f>AG18/(1+'Financial Information'!$B$5)^(AG$28-$B$28)</f>
        <v>7.8983238293250473</v>
      </c>
      <c r="AH45" s="119">
        <f>AH18/(1+'Financial Information'!$B$5)^(AH$28-$B$28)</f>
        <v>7.1234484602986452</v>
      </c>
      <c r="AI45" s="119">
        <f>AI18/(1+'Financial Information'!$B$5)^(AI$28-$B$28)</f>
        <v>6.8159373509703727</v>
      </c>
      <c r="AJ45" s="119"/>
    </row>
    <row r="46" spans="1:36">
      <c r="A46" s="6" t="s">
        <v>67</v>
      </c>
      <c r="B46" s="119">
        <f>B19/(1+'Financial Information'!$B$5)^(B$28-$B$28)</f>
        <v>390.67815999999999</v>
      </c>
      <c r="C46" s="119">
        <f>C19/(1+'Financial Information'!$B$5)^(C$28-$B$28)</f>
        <v>360.70502343017807</v>
      </c>
      <c r="D46" s="119">
        <f>D19/(1+'Financial Information'!$B$5)^(D$28-$B$28)</f>
        <v>335.35898897573895</v>
      </c>
      <c r="E46" s="119">
        <f>E19/(1+'Financial Information'!$B$5)^(E$28-$B$28)</f>
        <v>314.30083315439452</v>
      </c>
      <c r="F46" s="119">
        <f>F19/(1+'Financial Information'!$B$5)^(F$28-$B$28)</f>
        <v>295.33513302110208</v>
      </c>
      <c r="G46" s="119">
        <f>G19/(1+'Financial Information'!$B$5)^(G$28-$B$28)</f>
        <v>276.06838970105849</v>
      </c>
      <c r="H46" s="119">
        <f>H19/(1+'Financial Information'!$B$5)^(H$28-$B$28)</f>
        <v>258.73326797724269</v>
      </c>
      <c r="I46" s="119">
        <f>I19/(1+'Financial Information'!$B$5)^(I$28-$B$28)</f>
        <v>242.48665529579867</v>
      </c>
      <c r="J46" s="119">
        <f>J19/(1+'Financial Information'!$B$5)^(J$28-$B$28)</f>
        <v>227.85440863960679</v>
      </c>
      <c r="K46" s="119">
        <f>K19/(1+'Financial Information'!$B$5)^(K$28-$B$28)</f>
        <v>212.98990297394215</v>
      </c>
      <c r="L46" s="119">
        <f>L19/(1+'Financial Information'!$B$5)^(L$28-$B$28)</f>
        <v>199.61565414615009</v>
      </c>
      <c r="M46" s="119">
        <f>M19/(1+'Financial Information'!$B$5)^(M$28-$B$28)</f>
        <v>187.08120798304273</v>
      </c>
      <c r="N46" s="119">
        <f>N19/(1+'Financial Information'!$B$5)^(N$28-$B$28)</f>
        <v>175.79226353945276</v>
      </c>
      <c r="O46" s="119">
        <f>O19/(1+'Financial Information'!$B$5)^(O$28-$B$28)</f>
        <v>164.32412863276659</v>
      </c>
      <c r="P46" s="119">
        <f>P19/(1+'Financial Information'!$B$5)^(P$28-$B$28)</f>
        <v>186.44966316241701</v>
      </c>
      <c r="Q46" s="119">
        <f>Q19/(1+'Financial Information'!$B$5)^(Q$28-$B$28)</f>
        <v>197.15453677261414</v>
      </c>
      <c r="R46" s="119">
        <f>R19/(1+'Financial Information'!$B$5)^(R$28-$B$28)</f>
        <v>189.57653911130575</v>
      </c>
      <c r="S46" s="119">
        <f>S19/(1+'Financial Information'!$B$5)^(S$28-$B$28)</f>
        <v>180.88703918449519</v>
      </c>
      <c r="T46" s="119">
        <f>T19/(1+'Financial Information'!$B$5)^(T$28-$B$28)</f>
        <v>178.39124480485597</v>
      </c>
      <c r="U46" s="119">
        <f>U19/(1+'Financial Information'!$B$5)^(U$28-$B$28)</f>
        <v>173.12248150918163</v>
      </c>
      <c r="V46" s="119">
        <f>V19/(1+'Financial Information'!$B$5)^(V$28-$B$28)</f>
        <v>166.34094227998114</v>
      </c>
      <c r="W46" s="119">
        <f>W19/(1+'Financial Information'!$B$5)^(W$28-$B$28)</f>
        <v>158.63344732188509</v>
      </c>
      <c r="X46" s="119">
        <f>X19/(1+'Financial Information'!$B$5)^(X$28-$B$28)</f>
        <v>167.25253218717793</v>
      </c>
      <c r="Y46" s="119">
        <f>Y19/(1+'Financial Information'!$B$5)^(Y$28-$B$28)</f>
        <v>169.20410153420846</v>
      </c>
      <c r="Z46" s="119">
        <f>Z19/(1+'Financial Information'!$B$5)^(Z$28-$B$28)</f>
        <v>165.54425278071812</v>
      </c>
      <c r="AA46" s="119">
        <f>AA19/(1+'Financial Information'!$B$5)^(AA$28-$B$28)</f>
        <v>163.15723205106997</v>
      </c>
      <c r="AB46" s="119">
        <f>AB19/(1+'Financial Information'!$B$5)^(AB$28-$B$28)</f>
        <v>158.36536962218472</v>
      </c>
      <c r="AC46" s="119">
        <f>AC19/(1+'Financial Information'!$B$5)^(AC$28-$B$28)</f>
        <v>150.5725221084063</v>
      </c>
      <c r="AD46" s="211">
        <f>AD19/(1+'Financial Information'!$B$5)^(AD$28-$B$28)</f>
        <v>141.11764021406404</v>
      </c>
      <c r="AE46" s="119">
        <f>AE19/(1+'Financial Information'!$B$5)^(AE$28-$B$28)</f>
        <v>132.25645755769824</v>
      </c>
      <c r="AF46" s="119">
        <f>AF19/(1+'Financial Information'!$B$5)^(AF$28-$B$28)</f>
        <v>123.95169405594963</v>
      </c>
      <c r="AG46" s="119">
        <f>AG19/(1+'Financial Information'!$B$5)^(AG$28-$B$28)</f>
        <v>116.16841054915618</v>
      </c>
      <c r="AH46" s="119">
        <f>AH19/(1+'Financial Information'!$B$5)^(AH$28-$B$28)</f>
        <v>108.87386180801893</v>
      </c>
      <c r="AI46" s="119">
        <f>AI19/(1+'Financial Information'!$B$5)^(AI$28-$B$28)</f>
        <v>102.03735877040201</v>
      </c>
      <c r="AJ46" s="119"/>
    </row>
    <row r="47" spans="1:36">
      <c r="A47" s="6" t="s">
        <v>383</v>
      </c>
      <c r="B47" s="119">
        <f>B20/(1+'Financial Information'!$B$5)^(B$28-$B$28)</f>
        <v>0</v>
      </c>
      <c r="C47" s="119">
        <f>C20/(1+'Financial Information'!$B$5)^(C$28-$B$28)</f>
        <v>0.95602539473914416</v>
      </c>
      <c r="D47" s="119">
        <f>D20/(1+'Financial Information'!$B$5)^(D$28-$B$28)</f>
        <v>0.55120123026807166</v>
      </c>
      <c r="E47" s="119">
        <f>E20/(1+'Financial Information'!$B$5)^(E$28-$B$28)</f>
        <v>0.5623101071629828</v>
      </c>
      <c r="F47" s="119">
        <f>F20/(1+'Financial Information'!$B$5)^(F$28-$B$28)</f>
        <v>0.52054864825483194</v>
      </c>
      <c r="G47" s="119">
        <f>G20/(1+'Financial Information'!$B$5)^(G$28-$B$28)</f>
        <v>0.47447401205225109</v>
      </c>
      <c r="H47" s="119">
        <f>H20/(1+'Financial Information'!$B$5)^(H$28-$B$28)</f>
        <v>0.34594805194586459</v>
      </c>
      <c r="I47" s="119">
        <f>I20/(1+'Financial Information'!$B$5)^(I$28-$B$28)</f>
        <v>0.35889584333158642</v>
      </c>
      <c r="J47" s="119">
        <f>J20/(1+'Financial Information'!$B$5)^(J$28-$B$28)</f>
        <v>0.31198140715775902</v>
      </c>
      <c r="K47" s="119">
        <f>K20/(1+'Financial Information'!$B$5)^(K$28-$B$28)</f>
        <v>0.30427695800079424</v>
      </c>
      <c r="L47" s="119">
        <f>L20/(1+'Financial Information'!$B$5)^(L$28-$B$28)</f>
        <v>0.30795444784735088</v>
      </c>
      <c r="M47" s="119">
        <f>M20/(1+'Financial Information'!$B$5)^(M$28-$B$28)</f>
        <v>0.18247509532472547</v>
      </c>
      <c r="N47" s="119">
        <f>N20/(1+'Financial Information'!$B$5)^(N$28-$B$28)</f>
        <v>0.16938864297452635</v>
      </c>
      <c r="O47" s="119">
        <f>O20/(1+'Financial Information'!$B$5)^(O$28-$B$28)</f>
        <v>0.18396491954915264</v>
      </c>
      <c r="P47" s="119">
        <f>P20/(1+'Financial Information'!$B$5)^(P$28-$B$28)</f>
        <v>0.15422719438562776</v>
      </c>
      <c r="Q47" s="119">
        <f>Q20/(1+'Financial Information'!$B$5)^(Q$28-$B$28)</f>
        <v>0.15098936805677604</v>
      </c>
      <c r="R47" s="119">
        <f>R20/(1+'Financial Information'!$B$5)^(R$28-$B$28)</f>
        <v>0.15539588507457328</v>
      </c>
      <c r="S47" s="119">
        <f>S20/(1+'Financial Information'!$B$5)^(S$28-$B$28)</f>
        <v>0.13751918551195877</v>
      </c>
      <c r="T47" s="119">
        <f>T20/(1+'Financial Information'!$B$5)^(T$28-$B$28)</f>
        <v>0.12817027651588755</v>
      </c>
      <c r="U47" s="119">
        <f>U20/(1+'Financial Information'!$B$5)^(U$28-$B$28)</f>
        <v>0.13758403227896901</v>
      </c>
      <c r="V47" s="119">
        <f>V20/(1+'Financial Information'!$B$5)^(V$28-$B$28)</f>
        <v>0.11698394016848228</v>
      </c>
      <c r="W47" s="119">
        <f>W20/(1+'Financial Information'!$B$5)^(W$28-$B$28)</f>
        <v>0.11435737038101808</v>
      </c>
      <c r="X47" s="119">
        <f>X20/(1+'Financial Information'!$B$5)^(X$28-$B$28)</f>
        <v>0.11692608052186379</v>
      </c>
      <c r="Y47" s="119">
        <f>Y20/(1+'Financial Information'!$B$5)^(Y$28-$B$28)</f>
        <v>0.10440876415134408</v>
      </c>
      <c r="Z47" s="119">
        <f>Z20/(1+'Financial Information'!$B$5)^(Z$28-$B$28)</f>
        <v>9.7684384896888563E-2</v>
      </c>
      <c r="AA47" s="119">
        <f>AA20/(1+'Financial Information'!$B$5)^(AA$28-$B$28)</f>
        <v>0.10368824913571693</v>
      </c>
      <c r="AB47" s="119">
        <f>AB20/(1+'Financial Information'!$B$5)^(AB$28-$B$28)</f>
        <v>8.2564650928115241E-2</v>
      </c>
      <c r="AC47" s="119">
        <f>AC20/(1+'Financial Information'!$B$5)^(AC$28-$B$28)</f>
        <v>8.3465961159684646E-2</v>
      </c>
      <c r="AD47" s="211">
        <f>AD20/(1+'Financial Information'!$B$5)^(AD$28-$B$28)</f>
        <v>7.5842450435234077E-2</v>
      </c>
      <c r="AE47" s="119">
        <f>AE20/(1+'Financial Information'!$B$5)^(AE$28-$B$28)</f>
        <v>7.5909008158437943E-2</v>
      </c>
      <c r="AF47" s="119">
        <f>AF20/(1+'Financial Information'!$B$5)^(AF$28-$B$28)</f>
        <v>6.971161497164291E-2</v>
      </c>
      <c r="AG47" s="119">
        <f>AG20/(1+'Financial Information'!$B$5)^(AG$28-$B$28)</f>
        <v>7.0198508240108884E-2</v>
      </c>
      <c r="AH47" s="119">
        <f>AH20/(1+'Financial Information'!$B$5)^(AH$28-$B$28)</f>
        <v>6.1905223697295828E-2</v>
      </c>
      <c r="AI47" s="119">
        <f>AI20/(1+'Financial Information'!$B$5)^(AI$28-$B$28)</f>
        <v>5.822845688296438E-2</v>
      </c>
      <c r="AJ47" s="119"/>
    </row>
    <row r="48" spans="1:36">
      <c r="A48" s="6" t="s">
        <v>65</v>
      </c>
      <c r="B48" s="119">
        <f>B21/(1+'Financial Information'!$B$5)^(B$28-$B$28)</f>
        <v>849.84470000000033</v>
      </c>
      <c r="C48" s="119">
        <f>C21/(1+'Financial Information'!$B$5)^(C$28-$B$28)</f>
        <v>805.01208059981241</v>
      </c>
      <c r="D48" s="119">
        <f>D21/(1+'Financial Information'!$B$5)^(D$28-$B$28)</f>
        <v>768.90162311625295</v>
      </c>
      <c r="E48" s="119">
        <f>E21/(1+'Financial Information'!$B$5)^(E$28-$B$28)</f>
        <v>722.36671627908515</v>
      </c>
      <c r="F48" s="119">
        <f>F21/(1+'Financial Information'!$B$5)^(F$28-$B$28)</f>
        <v>667.00592946463189</v>
      </c>
      <c r="G48" s="119">
        <f>G21/(1+'Financial Information'!$B$5)^(G$28-$B$28)</f>
        <v>667.75777763432893</v>
      </c>
      <c r="H48" s="119">
        <f>H21/(1+'Financial Information'!$B$5)^(H$28-$B$28)</f>
        <v>679.40776477569591</v>
      </c>
      <c r="I48" s="119">
        <f>I21/(1+'Financial Information'!$B$5)^(I$28-$B$28)</f>
        <v>716.47130885806371</v>
      </c>
      <c r="J48" s="119">
        <f>J21/(1+'Financial Information'!$B$5)^(J$28-$B$28)</f>
        <v>774.1561791927619</v>
      </c>
      <c r="K48" s="119">
        <f>K21/(1+'Financial Information'!$B$5)^(K$28-$B$28)</f>
        <v>785.41444645980368</v>
      </c>
      <c r="L48" s="119">
        <f>L21/(1+'Financial Information'!$B$5)^(L$28-$B$28)</f>
        <v>785.86696762805411</v>
      </c>
      <c r="M48" s="119">
        <f>M21/(1+'Financial Information'!$B$5)^(M$28-$B$28)</f>
        <v>767.53971946349407</v>
      </c>
      <c r="N48" s="119">
        <f>N21/(1+'Financial Information'!$B$5)^(N$28-$B$28)</f>
        <v>767.16407545248762</v>
      </c>
      <c r="O48" s="119">
        <f>O21/(1+'Financial Information'!$B$5)^(O$28-$B$28)</f>
        <v>724.33433838080271</v>
      </c>
      <c r="P48" s="119">
        <f>P21/(1+'Financial Information'!$B$5)^(P$28-$B$28)</f>
        <v>699.38385037654018</v>
      </c>
      <c r="Q48" s="119">
        <f>Q21/(1+'Financial Information'!$B$5)^(Q$28-$B$28)</f>
        <v>680.57833834660835</v>
      </c>
      <c r="R48" s="119">
        <f>R21/(1+'Financial Information'!$B$5)^(R$28-$B$28)</f>
        <v>657.21669373626651</v>
      </c>
      <c r="S48" s="119">
        <f>S21/(1+'Financial Information'!$B$5)^(S$28-$B$28)</f>
        <v>666.22713207231379</v>
      </c>
      <c r="T48" s="119">
        <f>T21/(1+'Financial Information'!$B$5)^(T$28-$B$28)</f>
        <v>660.30271341793616</v>
      </c>
      <c r="U48" s="119">
        <f>U21/(1+'Financial Information'!$B$5)^(U$28-$B$28)</f>
        <v>641.01590307001118</v>
      </c>
      <c r="V48" s="119">
        <f>V21/(1+'Financial Information'!$B$5)^(V$28-$B$28)</f>
        <v>632.39734458183182</v>
      </c>
      <c r="W48" s="119">
        <f>W21/(1+'Financial Information'!$B$5)^(W$28-$B$28)</f>
        <v>622.01665728198657</v>
      </c>
      <c r="X48" s="119">
        <f>X21/(1+'Financial Information'!$B$5)^(X$28-$B$28)</f>
        <v>596.51739033624108</v>
      </c>
      <c r="Y48" s="119">
        <f>Y21/(1+'Financial Information'!$B$5)^(Y$28-$B$28)</f>
        <v>571.19491880554779</v>
      </c>
      <c r="Z48" s="119">
        <f>Z21/(1+'Financial Information'!$B$5)^(Z$28-$B$28)</f>
        <v>565.31629093274523</v>
      </c>
      <c r="AA48" s="119">
        <f>AA21/(1+'Financial Information'!$B$5)^(AA$28-$B$28)</f>
        <v>563.09024845170018</v>
      </c>
      <c r="AB48" s="119">
        <f>AB21/(1+'Financial Information'!$B$5)^(AB$28-$B$28)</f>
        <v>555.29745297486909</v>
      </c>
      <c r="AC48" s="119">
        <f>AC21/(1+'Financial Information'!$B$5)^(AC$28-$B$28)</f>
        <v>527.96884724889799</v>
      </c>
      <c r="AD48" s="211">
        <f>AD21/(1+'Financial Information'!$B$5)^(AD$28-$B$28)</f>
        <v>514.6175236389779</v>
      </c>
      <c r="AE48" s="119">
        <f>AE21/(1+'Financial Information'!$B$5)^(AE$28-$B$28)</f>
        <v>489.91788898599663</v>
      </c>
      <c r="AF48" s="119">
        <f>AF21/(1+'Financial Information'!$B$5)^(AF$28-$B$28)</f>
        <v>470.08287781331245</v>
      </c>
      <c r="AG48" s="119">
        <f>AG21/(1+'Financial Information'!$B$5)^(AG$28-$B$28)</f>
        <v>455.06611061723754</v>
      </c>
      <c r="AH48" s="119">
        <f>AH21/(1+'Financial Information'!$B$5)^(AH$28-$B$28)</f>
        <v>443.91890402622801</v>
      </c>
      <c r="AI48" s="119">
        <f>AI21/(1+'Financial Information'!$B$5)^(AI$28-$B$28)</f>
        <v>430.44277186554768</v>
      </c>
      <c r="AJ48" s="119"/>
    </row>
    <row r="49" spans="1:36">
      <c r="A49" s="6" t="s">
        <v>52</v>
      </c>
      <c r="B49" s="119">
        <f>B22/(1+'Financial Information'!$B$5)^(B$28-$B$28)</f>
        <v>86.065810000000013</v>
      </c>
      <c r="C49" s="119">
        <f>C22/(1+'Financial Information'!$B$5)^(C$28-$B$28)</f>
        <v>85.41063730084349</v>
      </c>
      <c r="D49" s="119">
        <f>D22/(1+'Financial Information'!$B$5)^(D$28-$B$28)</f>
        <v>85.749814007864799</v>
      </c>
      <c r="E49" s="119">
        <f>E22/(1+'Financial Information'!$B$5)^(E$28-$B$28)</f>
        <v>84.553947782033816</v>
      </c>
      <c r="F49" s="119">
        <f>F22/(1+'Financial Information'!$B$5)^(F$28-$B$28)</f>
        <v>86.026447819378305</v>
      </c>
      <c r="G49" s="119">
        <f>G22/(1+'Financial Information'!$B$5)^(G$28-$B$28)</f>
        <v>90.325910246145114</v>
      </c>
      <c r="H49" s="119">
        <f>H22/(1+'Financial Information'!$B$5)^(H$28-$B$28)</f>
        <v>99.334845882652004</v>
      </c>
      <c r="I49" s="119">
        <f>I22/(1+'Financial Information'!$B$5)^(I$28-$B$28)</f>
        <v>105.18382721112198</v>
      </c>
      <c r="J49" s="119">
        <f>J22/(1+'Financial Information'!$B$5)^(J$28-$B$28)</f>
        <v>112.15213985879082</v>
      </c>
      <c r="K49" s="119">
        <f>K22/(1+'Financial Information'!$B$5)^(K$28-$B$28)</f>
        <v>113.42717479522997</v>
      </c>
      <c r="L49" s="119">
        <f>L22/(1+'Financial Information'!$B$5)^(L$28-$B$28)</f>
        <v>117.79158352568948</v>
      </c>
      <c r="M49" s="119">
        <f>M22/(1+'Financial Information'!$B$5)^(M$28-$B$28)</f>
        <v>120.6744992866103</v>
      </c>
      <c r="N49" s="119">
        <f>N22/(1+'Financial Information'!$B$5)^(N$28-$B$28)</f>
        <v>118.74724998030985</v>
      </c>
      <c r="O49" s="119">
        <f>O22/(1+'Financial Information'!$B$5)^(O$28-$B$28)</f>
        <v>119.0725793381721</v>
      </c>
      <c r="P49" s="119">
        <f>P22/(1+'Financial Information'!$B$5)^(P$28-$B$28)</f>
        <v>113.79371385274399</v>
      </c>
      <c r="Q49" s="119">
        <f>Q22/(1+'Financial Information'!$B$5)^(Q$28-$B$28)</f>
        <v>112.14366690117789</v>
      </c>
      <c r="R49" s="119">
        <f>R22/(1+'Financial Information'!$B$5)^(R$28-$B$28)</f>
        <v>112.15727246591587</v>
      </c>
      <c r="S49" s="119">
        <f>S22/(1+'Financial Information'!$B$5)^(S$28-$B$28)</f>
        <v>118.36012133483595</v>
      </c>
      <c r="T49" s="119">
        <f>T22/(1+'Financial Information'!$B$5)^(T$28-$B$28)</f>
        <v>116.38266697061367</v>
      </c>
      <c r="U49" s="119">
        <f>U22/(1+'Financial Information'!$B$5)^(U$28-$B$28)</f>
        <v>120.78958566990978</v>
      </c>
      <c r="V49" s="119">
        <f>V22/(1+'Financial Information'!$B$5)^(V$28-$B$28)</f>
        <v>115.51424788520396</v>
      </c>
      <c r="W49" s="119">
        <f>W22/(1+'Financial Information'!$B$5)^(W$28-$B$28)</f>
        <v>114.92624340944779</v>
      </c>
      <c r="X49" s="119">
        <f>X22/(1+'Financial Information'!$B$5)^(X$28-$B$28)</f>
        <v>109.46680137523398</v>
      </c>
      <c r="Y49" s="119">
        <f>Y22/(1+'Financial Information'!$B$5)^(Y$28-$B$28)</f>
        <v>107.22586970891199</v>
      </c>
      <c r="Z49" s="119">
        <f>Z22/(1+'Financial Information'!$B$5)^(Z$28-$B$28)</f>
        <v>103.70609076563073</v>
      </c>
      <c r="AA49" s="119">
        <f>AA22/(1+'Financial Information'!$B$5)^(AA$28-$B$28)</f>
        <v>102.77485429028432</v>
      </c>
      <c r="AB49" s="119">
        <f>AB22/(1+'Financial Information'!$B$5)^(AB$28-$B$28)</f>
        <v>99.542069756875733</v>
      </c>
      <c r="AC49" s="119">
        <f>AC22/(1+'Financial Information'!$B$5)^(AC$28-$B$28)</f>
        <v>98.261137480077792</v>
      </c>
      <c r="AD49" s="211">
        <f>AD22/(1+'Financial Information'!$B$5)^(AD$28-$B$28)</f>
        <v>94.831387127738296</v>
      </c>
      <c r="AE49" s="119">
        <f>AE22/(1+'Financial Information'!$B$5)^(AE$28-$B$28)</f>
        <v>92.383998547092716</v>
      </c>
      <c r="AF49" s="119">
        <f>AF22/(1+'Financial Information'!$B$5)^(AF$28-$B$28)</f>
        <v>89.279665812466618</v>
      </c>
      <c r="AG49" s="119">
        <f>AG22/(1+'Financial Information'!$B$5)^(AG$28-$B$28)</f>
        <v>89.699842747895431</v>
      </c>
      <c r="AH49" s="119">
        <f>AH22/(1+'Financial Information'!$B$5)^(AH$28-$B$28)</f>
        <v>84.302307554658825</v>
      </c>
      <c r="AI49" s="119">
        <f>AI22/(1+'Financial Information'!$B$5)^(AI$28-$B$28)</f>
        <v>82.660941422188344</v>
      </c>
      <c r="AJ49" s="119"/>
    </row>
    <row r="50" spans="1:36">
      <c r="A50" s="36" t="s">
        <v>66</v>
      </c>
      <c r="B50" s="119">
        <f>B23/(1+'Financial Information'!$B$5)^(B$28-$B$28)</f>
        <v>6.2319722000000004</v>
      </c>
      <c r="C50" s="119">
        <f>C23/(1+'Financial Information'!$B$5)^(C$28-$B$28)</f>
        <v>6.0651042174320517</v>
      </c>
      <c r="D50" s="119">
        <f>D23/(1+'Financial Information'!$B$5)^(D$28-$B$28)</f>
        <v>5.5368701849556743</v>
      </c>
      <c r="E50" s="119">
        <f>E23/(1+'Financial Information'!$B$5)^(E$28-$B$28)</f>
        <v>4.6623158537011671</v>
      </c>
      <c r="F50" s="119">
        <f>F23/(1+'Financial Information'!$B$5)^(F$28-$B$28)</f>
        <v>4.2412616207069815</v>
      </c>
      <c r="G50" s="119">
        <f>G23/(1+'Financial Information'!$B$5)^(G$28-$B$28)</f>
        <v>4.2844722575972725</v>
      </c>
      <c r="H50" s="119">
        <f>H23/(1+'Financial Information'!$B$5)^(H$28-$B$28)</f>
        <v>4.1841159858668018</v>
      </c>
      <c r="I50" s="119">
        <f>I23/(1+'Financial Information'!$B$5)^(I$28-$B$28)</f>
        <v>4.2186598912093904</v>
      </c>
      <c r="J50" s="119">
        <f>J23/(1+'Financial Information'!$B$5)^(J$28-$B$28)</f>
        <v>4.4554700106131433</v>
      </c>
      <c r="K50" s="119">
        <f>K23/(1+'Financial Information'!$B$5)^(K$28-$B$28)</f>
        <v>4.2517481207359173</v>
      </c>
      <c r="L50" s="119">
        <f>L23/(1+'Financial Information'!$B$5)^(L$28-$B$28)</f>
        <v>4.3395679967292091</v>
      </c>
      <c r="M50" s="119">
        <f>M23/(1+'Financial Information'!$B$5)^(M$28-$B$28)</f>
        <v>3.9893560742494554</v>
      </c>
      <c r="N50" s="119">
        <f>N23/(1+'Financial Information'!$B$5)^(N$28-$B$28)</f>
        <v>3.690220471480619</v>
      </c>
      <c r="O50" s="119">
        <f>O23/(1+'Financial Information'!$B$5)^(O$28-$B$28)</f>
        <v>3.2063073882759063</v>
      </c>
      <c r="P50" s="119">
        <f>P23/(1+'Financial Information'!$B$5)^(P$28-$B$28)</f>
        <v>1.2906140288585313</v>
      </c>
      <c r="Q50" s="119">
        <f>Q23/(1+'Financial Information'!$B$5)^(Q$28-$B$28)</f>
        <v>0.63569480067845352</v>
      </c>
      <c r="R50" s="119">
        <f>R23/(1+'Financial Information'!$B$5)^(R$28-$B$28)</f>
        <v>0.59949428616210798</v>
      </c>
      <c r="S50" s="119">
        <f>S23/(1+'Financial Information'!$B$5)^(S$28-$B$28)</f>
        <v>0.56855774644725565</v>
      </c>
      <c r="T50" s="119">
        <f>T23/(1+'Financial Information'!$B$5)^(T$28-$B$28)</f>
        <v>0.53942270271244219</v>
      </c>
      <c r="U50" s="119">
        <f>U23/(1+'Financial Information'!$B$5)^(U$28-$B$28)</f>
        <v>0.51063442312944129</v>
      </c>
      <c r="V50" s="119">
        <f>V23/(1+'Financial Information'!$B$5)^(V$28-$B$28)</f>
        <v>0.48849265289516047</v>
      </c>
      <c r="W50" s="119">
        <f>W23/(1+'Financial Information'!$B$5)^(W$28-$B$28)</f>
        <v>0.46040878526918766</v>
      </c>
      <c r="X50" s="119">
        <f>X23/(1+'Financial Information'!$B$5)^(X$28-$B$28)</f>
        <v>0.4311214440900108</v>
      </c>
      <c r="Y50" s="119">
        <f>Y23/(1+'Financial Information'!$B$5)^(Y$28-$B$28)</f>
        <v>0.41003108167373542</v>
      </c>
      <c r="Z50" s="119">
        <f>Z23/(1+'Financial Information'!$B$5)^(Z$28-$B$28)</f>
        <v>0.38864734377714361</v>
      </c>
      <c r="AA50" s="119">
        <f>AA23/(1+'Financial Information'!$B$5)^(AA$28-$B$28)</f>
        <v>0.36632032539786341</v>
      </c>
      <c r="AB50" s="119">
        <f>AB23/(1+'Financial Information'!$B$5)^(AB$28-$B$28)</f>
        <v>0.3501810072505353</v>
      </c>
      <c r="AC50" s="119">
        <f>AC23/(1+'Financial Information'!$B$5)^(AC$28-$B$28)</f>
        <v>0.32828067248869353</v>
      </c>
      <c r="AD50" s="211">
        <f>AD23/(1+'Financial Information'!$B$5)^(AD$28-$B$28)</f>
        <v>0.30973819703177075</v>
      </c>
      <c r="AE50" s="119">
        <f>AE23/(1+'Financial Information'!$B$5)^(AE$28-$B$28)</f>
        <v>0.29052062416845836</v>
      </c>
      <c r="AF50" s="119">
        <f>AF23/(1+'Financial Information'!$B$5)^(AF$28-$B$28)</f>
        <v>0.27703838297542949</v>
      </c>
      <c r="AG50" s="119">
        <f>AG23/(1+'Financial Information'!$B$5)^(AG$28-$B$28)</f>
        <v>0.26176927727065735</v>
      </c>
      <c r="AH50" s="119">
        <f>AH23/(1+'Financial Information'!$B$5)^(AH$28-$B$28)</f>
        <v>0.25133600734382278</v>
      </c>
      <c r="AI50" s="119">
        <f>AI23/(1+'Financial Information'!$B$5)^(AI$28-$B$28)</f>
        <v>0.23888796085039848</v>
      </c>
      <c r="AJ50" s="119"/>
    </row>
    <row r="51" spans="1:36">
      <c r="A51" s="12" t="s">
        <v>69</v>
      </c>
      <c r="B51" s="212">
        <f>B24/(1+'Financial Information'!$B$5)^(B$28-$B$28)</f>
        <v>0</v>
      </c>
      <c r="C51" s="212">
        <f>C24/(1+'Financial Information'!$B$5)^(C$28-$B$28)</f>
        <v>0</v>
      </c>
      <c r="D51" s="212">
        <f>D24/(1+'Financial Information'!$B$5)^(D$28-$B$28)</f>
        <v>0</v>
      </c>
      <c r="E51" s="212">
        <f>E24/(1+'Financial Information'!$B$5)^(E$28-$B$28)</f>
        <v>0</v>
      </c>
      <c r="F51" s="212">
        <f>F24/(1+'Financial Information'!$B$5)^(F$28-$B$28)</f>
        <v>0</v>
      </c>
      <c r="G51" s="212">
        <f>G24/(1+'Financial Information'!$B$5)^(G$28-$B$28)</f>
        <v>70.574959255847418</v>
      </c>
      <c r="H51" s="212">
        <f>H24/(1+'Financial Information'!$B$5)^(H$28-$B$28)</f>
        <v>106.17416868682227</v>
      </c>
      <c r="I51" s="212">
        <f>I24/(1+'Financial Information'!$B$5)^(I$28-$B$28)</f>
        <v>138.07508393925548</v>
      </c>
      <c r="J51" s="212">
        <f>J24/(1+'Financial Information'!$B$5)^(J$28-$B$28)</f>
        <v>168.81996639328074</v>
      </c>
      <c r="K51" s="212">
        <f>K24/(1+'Financial Information'!$B$5)^(K$28-$B$28)</f>
        <v>192.46680444523273</v>
      </c>
      <c r="L51" s="212">
        <f>L24/(1+'Financial Information'!$B$5)^(L$28-$B$28)</f>
        <v>216.31687018707225</v>
      </c>
      <c r="M51" s="212">
        <f>M24/(1+'Financial Information'!$B$5)^(M$28-$B$28)</f>
        <v>228.44065648266698</v>
      </c>
      <c r="N51" s="212">
        <f>N24/(1+'Financial Information'!$B$5)^(N$28-$B$28)</f>
        <v>243.27529399714055</v>
      </c>
      <c r="O51" s="212">
        <f>O24/(1+'Financial Information'!$B$5)^(O$28-$B$28)</f>
        <v>252.92563344112321</v>
      </c>
      <c r="P51" s="212">
        <f>P24/(1+'Financial Information'!$B$5)^(P$28-$B$28)</f>
        <v>240.51266369285796</v>
      </c>
      <c r="Q51" s="212">
        <f>Q24/(1+'Financial Information'!$B$5)^(Q$28-$B$28)</f>
        <v>239.54206969150536</v>
      </c>
      <c r="R51" s="212">
        <f>R24/(1+'Financial Information'!$B$5)^(R$28-$B$28)</f>
        <v>247.67587775242532</v>
      </c>
      <c r="S51" s="212">
        <f>S24/(1+'Financial Information'!$B$5)^(S$28-$B$28)</f>
        <v>252.99502138300392</v>
      </c>
      <c r="T51" s="212">
        <f>T24/(1+'Financial Information'!$B$5)^(T$28-$B$28)</f>
        <v>257.29362825199883</v>
      </c>
      <c r="U51" s="212">
        <f>U24/(1+'Financial Information'!$B$5)^(U$28-$B$28)</f>
        <v>261.74552260370979</v>
      </c>
      <c r="V51" s="212">
        <f>V24/(1+'Financial Information'!$B$5)^(V$28-$B$28)</f>
        <v>263.32982199046893</v>
      </c>
      <c r="W51" s="212">
        <f>W24/(1+'Financial Information'!$B$5)^(W$28-$B$28)</f>
        <v>265.12171344379936</v>
      </c>
      <c r="X51" s="212">
        <f>X24/(1+'Financial Information'!$B$5)^(X$28-$B$28)</f>
        <v>259.16549538658063</v>
      </c>
      <c r="Y51" s="212">
        <f>Y24/(1+'Financial Information'!$B$5)^(Y$28-$B$28)</f>
        <v>255.60813923329485</v>
      </c>
      <c r="Z51" s="212">
        <f>Z24/(1+'Financial Information'!$B$5)^(Z$28-$B$28)</f>
        <v>256.03753170746347</v>
      </c>
      <c r="AA51" s="212">
        <f>AA24/(1+'Financial Information'!$B$5)^(AA$28-$B$28)</f>
        <v>253.43949417441775</v>
      </c>
      <c r="AB51" s="212">
        <f>AB24/(1+'Financial Information'!$B$5)^(AB$28-$B$28)</f>
        <v>251.83488697049165</v>
      </c>
      <c r="AC51" s="212">
        <f>AC24/(1+'Financial Information'!$B$5)^(AC$28-$B$28)</f>
        <v>246.10449458854976</v>
      </c>
      <c r="AD51" s="213">
        <f>AD24/(1+'Financial Information'!$B$5)^(AD$28-$B$28)</f>
        <v>241.42600144321139</v>
      </c>
      <c r="AE51" s="212">
        <f>AE24/(1+'Financial Information'!$B$5)^(AE$28-$B$28)</f>
        <v>234.96325519737019</v>
      </c>
      <c r="AF51" s="212">
        <f>AF24/(1+'Financial Information'!$B$5)^(AF$28-$B$28)</f>
        <v>231.58493372854383</v>
      </c>
      <c r="AG51" s="212">
        <f>AG24/(1+'Financial Information'!$B$5)^(AG$28-$B$28)</f>
        <v>226.71032660893536</v>
      </c>
      <c r="AH51" s="212">
        <f>AH24/(1+'Financial Information'!$B$5)^(AH$28-$B$28)</f>
        <v>223.63860334510056</v>
      </c>
      <c r="AI51" s="212">
        <f>AI24/(1+'Financial Information'!$B$5)^(AI$28-$B$28)</f>
        <v>218.85538924436341</v>
      </c>
      <c r="AJ51" s="212"/>
    </row>
    <row r="52" spans="1:36">
      <c r="A52" s="6" t="s">
        <v>61</v>
      </c>
      <c r="B52" s="15">
        <f t="shared" ref="B52:AG52" si="10">SUM(B42:B51)</f>
        <v>1843.4621723822067</v>
      </c>
      <c r="C52" s="15">
        <f t="shared" si="10"/>
        <v>1759.7780374797078</v>
      </c>
      <c r="D52" s="15">
        <f t="shared" si="10"/>
        <v>1729.3406836101565</v>
      </c>
      <c r="E52" s="15">
        <f t="shared" si="10"/>
        <v>1683.8951290032051</v>
      </c>
      <c r="F52" s="15">
        <f t="shared" si="10"/>
        <v>1490.8911890385552</v>
      </c>
      <c r="G52" s="15">
        <f t="shared" si="10"/>
        <v>1398.5982966749903</v>
      </c>
      <c r="H52" s="15">
        <f t="shared" si="10"/>
        <v>1344.4046915229335</v>
      </c>
      <c r="I52" s="15">
        <f t="shared" si="10"/>
        <v>1371.4185152258933</v>
      </c>
      <c r="J52" s="15">
        <f t="shared" si="10"/>
        <v>1435.5899912207431</v>
      </c>
      <c r="K52" s="15">
        <f t="shared" si="10"/>
        <v>1450.4481523761335</v>
      </c>
      <c r="L52" s="15">
        <f t="shared" si="10"/>
        <v>1458.1276830895101</v>
      </c>
      <c r="M52" s="15">
        <f t="shared" si="10"/>
        <v>1436.3413990340332</v>
      </c>
      <c r="N52" s="15">
        <f t="shared" si="10"/>
        <v>1430.2901050031742</v>
      </c>
      <c r="O52" s="15">
        <f t="shared" si="10"/>
        <v>1380.4459275537622</v>
      </c>
      <c r="P52" s="15">
        <f t="shared" si="10"/>
        <v>1415.1345531803233</v>
      </c>
      <c r="Q52" s="15">
        <f t="shared" si="10"/>
        <v>1534.641030082081</v>
      </c>
      <c r="R52" s="15">
        <f t="shared" si="10"/>
        <v>1490.590538357088</v>
      </c>
      <c r="S52" s="15">
        <f t="shared" si="10"/>
        <v>1481.2460529323453</v>
      </c>
      <c r="T52" s="15">
        <f t="shared" si="10"/>
        <v>1464.318579638398</v>
      </c>
      <c r="U52" s="15">
        <f t="shared" si="10"/>
        <v>1433.1761345057407</v>
      </c>
      <c r="V52" s="15">
        <f t="shared" si="10"/>
        <v>1397.4662949961742</v>
      </c>
      <c r="W52" s="15">
        <f t="shared" si="10"/>
        <v>1363.9418677409767</v>
      </c>
      <c r="X52" s="15">
        <f t="shared" si="10"/>
        <v>1349.344318236959</v>
      </c>
      <c r="Y52" s="15">
        <f t="shared" si="10"/>
        <v>1389.6687980588454</v>
      </c>
      <c r="Z52" s="15">
        <f t="shared" si="10"/>
        <v>1358.7670254036207</v>
      </c>
      <c r="AA52" s="15">
        <f t="shared" si="10"/>
        <v>1334.6644315751796</v>
      </c>
      <c r="AB52" s="15">
        <f t="shared" si="10"/>
        <v>1300.0216669777635</v>
      </c>
      <c r="AC52" s="52">
        <f t="shared" si="10"/>
        <v>1239.0430399453601</v>
      </c>
      <c r="AD52" s="214">
        <f t="shared" si="10"/>
        <v>1189.2145441272069</v>
      </c>
      <c r="AE52" s="15">
        <f t="shared" si="10"/>
        <v>1128.1959350118102</v>
      </c>
      <c r="AF52" s="15">
        <f t="shared" si="10"/>
        <v>1074.8615801351079</v>
      </c>
      <c r="AG52" s="15">
        <f t="shared" si="10"/>
        <v>1031.0684878259308</v>
      </c>
      <c r="AH52" s="15">
        <f t="shared" ref="AH52:AI52" si="11">SUM(AH42:AH51)</f>
        <v>987.51917603692061</v>
      </c>
      <c r="AI52" s="15">
        <f t="shared" si="11"/>
        <v>946.62918789569983</v>
      </c>
      <c r="AJ52" s="15"/>
    </row>
    <row r="53" spans="1:36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19"/>
      <c r="AD53" s="211"/>
      <c r="AE53" s="16"/>
      <c r="AF53" s="16"/>
      <c r="AG53" s="16"/>
      <c r="AH53" s="16"/>
      <c r="AI53" s="16"/>
      <c r="AJ53" s="16"/>
    </row>
    <row r="54" spans="1:36">
      <c r="A54" s="6" t="s">
        <v>63</v>
      </c>
      <c r="AC54" s="36"/>
      <c r="AD54" s="215"/>
    </row>
    <row r="55" spans="1:36">
      <c r="A55" s="152" t="str">
        <f>A1</f>
        <v>SoBra 700MWs</v>
      </c>
      <c r="B55" s="152">
        <f>$B$1</f>
        <v>2020</v>
      </c>
      <c r="C55" s="152">
        <f t="shared" ref="C55:AI55" si="12">B55+1</f>
        <v>2021</v>
      </c>
      <c r="D55" s="152">
        <f t="shared" si="12"/>
        <v>2022</v>
      </c>
      <c r="E55" s="152">
        <f t="shared" si="12"/>
        <v>2023</v>
      </c>
      <c r="F55" s="152">
        <f t="shared" si="12"/>
        <v>2024</v>
      </c>
      <c r="G55" s="152">
        <f t="shared" si="12"/>
        <v>2025</v>
      </c>
      <c r="H55" s="152">
        <f t="shared" si="12"/>
        <v>2026</v>
      </c>
      <c r="I55" s="152">
        <f t="shared" si="12"/>
        <v>2027</v>
      </c>
      <c r="J55" s="152">
        <f t="shared" si="12"/>
        <v>2028</v>
      </c>
      <c r="K55" s="152">
        <f t="shared" si="12"/>
        <v>2029</v>
      </c>
      <c r="L55" s="152">
        <f t="shared" si="12"/>
        <v>2030</v>
      </c>
      <c r="M55" s="152">
        <f t="shared" si="12"/>
        <v>2031</v>
      </c>
      <c r="N55" s="152">
        <f t="shared" si="12"/>
        <v>2032</v>
      </c>
      <c r="O55" s="152">
        <f t="shared" si="12"/>
        <v>2033</v>
      </c>
      <c r="P55" s="152">
        <f t="shared" si="12"/>
        <v>2034</v>
      </c>
      <c r="Q55" s="152">
        <f t="shared" si="12"/>
        <v>2035</v>
      </c>
      <c r="R55" s="152">
        <f t="shared" si="12"/>
        <v>2036</v>
      </c>
      <c r="S55" s="152">
        <f t="shared" si="12"/>
        <v>2037</v>
      </c>
      <c r="T55" s="152">
        <f t="shared" si="12"/>
        <v>2038</v>
      </c>
      <c r="U55" s="152">
        <f t="shared" si="12"/>
        <v>2039</v>
      </c>
      <c r="V55" s="152">
        <f t="shared" si="12"/>
        <v>2040</v>
      </c>
      <c r="W55" s="152">
        <f t="shared" si="12"/>
        <v>2041</v>
      </c>
      <c r="X55" s="152">
        <f t="shared" si="12"/>
        <v>2042</v>
      </c>
      <c r="Y55" s="152">
        <f t="shared" si="12"/>
        <v>2043</v>
      </c>
      <c r="Z55" s="152">
        <f t="shared" si="12"/>
        <v>2044</v>
      </c>
      <c r="AA55" s="152">
        <f t="shared" si="12"/>
        <v>2045</v>
      </c>
      <c r="AB55" s="152">
        <f t="shared" si="12"/>
        <v>2046</v>
      </c>
      <c r="AC55" s="209">
        <f t="shared" si="12"/>
        <v>2047</v>
      </c>
      <c r="AD55" s="210">
        <f t="shared" si="12"/>
        <v>2048</v>
      </c>
      <c r="AE55" s="152">
        <f t="shared" si="12"/>
        <v>2049</v>
      </c>
      <c r="AF55" s="152">
        <f t="shared" si="12"/>
        <v>2050</v>
      </c>
      <c r="AG55" s="152">
        <f t="shared" si="12"/>
        <v>2051</v>
      </c>
      <c r="AH55" s="152">
        <f t="shared" si="12"/>
        <v>2052</v>
      </c>
      <c r="AI55" s="152">
        <f t="shared" si="12"/>
        <v>2053</v>
      </c>
      <c r="AJ55" s="152"/>
    </row>
    <row r="56" spans="1:36">
      <c r="A56" s="6" t="s">
        <v>134</v>
      </c>
      <c r="B56" s="119">
        <f t="shared" ref="B56:B65" si="13">B29</f>
        <v>65.260450182206341</v>
      </c>
      <c r="C56" s="119">
        <f t="shared" ref="C56:AI56" si="14">B56+C29</f>
        <v>160.93113499444769</v>
      </c>
      <c r="D56" s="119">
        <f t="shared" si="14"/>
        <v>284.02380349995246</v>
      </c>
      <c r="E56" s="119">
        <f t="shared" si="14"/>
        <v>394.36613136854328</v>
      </c>
      <c r="F56" s="119">
        <f t="shared" si="14"/>
        <v>493.61813098619666</v>
      </c>
      <c r="G56" s="119">
        <f t="shared" si="14"/>
        <v>580.85459424087935</v>
      </c>
      <c r="H56" s="119">
        <f t="shared" si="14"/>
        <v>653.06447298350622</v>
      </c>
      <c r="I56" s="119">
        <f t="shared" si="14"/>
        <v>718.84067147426742</v>
      </c>
      <c r="J56" s="119">
        <f t="shared" si="14"/>
        <v>778.85583094073672</v>
      </c>
      <c r="K56" s="119">
        <f t="shared" si="14"/>
        <v>833.69836037779623</v>
      </c>
      <c r="L56" s="119">
        <f t="shared" si="14"/>
        <v>883.7614235200798</v>
      </c>
      <c r="M56" s="119">
        <f t="shared" si="14"/>
        <v>929.4471701874005</v>
      </c>
      <c r="N56" s="119">
        <f t="shared" si="14"/>
        <v>971.1109809494634</v>
      </c>
      <c r="O56" s="119">
        <f t="shared" si="14"/>
        <v>1009.115140082966</v>
      </c>
      <c r="P56" s="119">
        <f t="shared" si="14"/>
        <v>1043.7093182247925</v>
      </c>
      <c r="Q56" s="119">
        <f t="shared" si="14"/>
        <v>1075.1764034603164</v>
      </c>
      <c r="R56" s="119">
        <f t="shared" si="14"/>
        <v>1103.732432725345</v>
      </c>
      <c r="S56" s="119">
        <f t="shared" si="14"/>
        <v>1129.656103783884</v>
      </c>
      <c r="T56" s="119">
        <f t="shared" si="14"/>
        <v>1153.9585638548881</v>
      </c>
      <c r="U56" s="119">
        <f t="shared" si="14"/>
        <v>1176.4306702207869</v>
      </c>
      <c r="V56" s="119">
        <f t="shared" si="14"/>
        <v>1196.7521944818136</v>
      </c>
      <c r="W56" s="119">
        <f t="shared" si="14"/>
        <v>1215.1205755954245</v>
      </c>
      <c r="X56" s="119">
        <f t="shared" si="14"/>
        <v>1231.7530057724055</v>
      </c>
      <c r="Y56" s="119">
        <f t="shared" si="14"/>
        <v>1246.7791852426262</v>
      </c>
      <c r="Z56" s="119">
        <f t="shared" si="14"/>
        <v>1260.3839482278022</v>
      </c>
      <c r="AA56" s="119">
        <f t="shared" si="14"/>
        <v>1272.6624473585421</v>
      </c>
      <c r="AB56" s="119">
        <f t="shared" si="14"/>
        <v>1283.7604554982531</v>
      </c>
      <c r="AC56" s="119">
        <f t="shared" si="14"/>
        <v>1293.7688166527566</v>
      </c>
      <c r="AD56" s="211">
        <f t="shared" si="14"/>
        <v>1303.1573665967353</v>
      </c>
      <c r="AE56" s="119">
        <f t="shared" si="14"/>
        <v>1311.1087975923997</v>
      </c>
      <c r="AF56" s="119">
        <f t="shared" si="14"/>
        <v>1316.4077323452841</v>
      </c>
      <c r="AG56" s="119">
        <f t="shared" si="14"/>
        <v>1319.3037927694838</v>
      </c>
      <c r="AH56" s="119">
        <f t="shared" si="14"/>
        <v>1319.7194534350556</v>
      </c>
      <c r="AI56" s="119">
        <f t="shared" si="14"/>
        <v>1320.0943565319535</v>
      </c>
      <c r="AJ56" s="119"/>
    </row>
    <row r="57" spans="1:36">
      <c r="A57" s="6" t="s">
        <v>135</v>
      </c>
      <c r="B57" s="119">
        <f t="shared" si="13"/>
        <v>0</v>
      </c>
      <c r="C57" s="119">
        <f t="shared" ref="C57:AI57" si="15">B57+C30</f>
        <v>0</v>
      </c>
      <c r="D57" s="119">
        <f t="shared" si="15"/>
        <v>0</v>
      </c>
      <c r="E57" s="119">
        <f t="shared" si="15"/>
        <v>0</v>
      </c>
      <c r="F57" s="119">
        <f t="shared" si="15"/>
        <v>0</v>
      </c>
      <c r="G57" s="119">
        <f t="shared" si="15"/>
        <v>0</v>
      </c>
      <c r="H57" s="119">
        <f t="shared" si="15"/>
        <v>0</v>
      </c>
      <c r="I57" s="119">
        <f t="shared" si="15"/>
        <v>0</v>
      </c>
      <c r="J57" s="119">
        <f t="shared" si="15"/>
        <v>0</v>
      </c>
      <c r="K57" s="119">
        <f t="shared" si="15"/>
        <v>0</v>
      </c>
      <c r="L57" s="119">
        <f t="shared" si="15"/>
        <v>0</v>
      </c>
      <c r="M57" s="119">
        <f t="shared" si="15"/>
        <v>0</v>
      </c>
      <c r="N57" s="119">
        <f t="shared" si="15"/>
        <v>0</v>
      </c>
      <c r="O57" s="119">
        <f t="shared" si="15"/>
        <v>0</v>
      </c>
      <c r="P57" s="119">
        <f t="shared" si="15"/>
        <v>0</v>
      </c>
      <c r="Q57" s="119">
        <f t="shared" si="15"/>
        <v>0</v>
      </c>
      <c r="R57" s="119">
        <f t="shared" si="15"/>
        <v>0</v>
      </c>
      <c r="S57" s="119">
        <f t="shared" si="15"/>
        <v>0</v>
      </c>
      <c r="T57" s="119">
        <f t="shared" si="15"/>
        <v>0</v>
      </c>
      <c r="U57" s="119">
        <f t="shared" si="15"/>
        <v>0</v>
      </c>
      <c r="V57" s="119">
        <f t="shared" si="15"/>
        <v>0</v>
      </c>
      <c r="W57" s="119">
        <f t="shared" si="15"/>
        <v>0</v>
      </c>
      <c r="X57" s="119">
        <f t="shared" si="15"/>
        <v>0</v>
      </c>
      <c r="Y57" s="119">
        <f t="shared" si="15"/>
        <v>0</v>
      </c>
      <c r="Z57" s="119">
        <f t="shared" si="15"/>
        <v>0</v>
      </c>
      <c r="AA57" s="119">
        <f t="shared" si="15"/>
        <v>0</v>
      </c>
      <c r="AB57" s="119">
        <f t="shared" si="15"/>
        <v>0</v>
      </c>
      <c r="AC57" s="119">
        <f t="shared" si="15"/>
        <v>0</v>
      </c>
      <c r="AD57" s="211">
        <f t="shared" si="15"/>
        <v>0</v>
      </c>
      <c r="AE57" s="119">
        <f t="shared" si="15"/>
        <v>0</v>
      </c>
      <c r="AF57" s="119">
        <f t="shared" si="15"/>
        <v>0</v>
      </c>
      <c r="AG57" s="119">
        <f t="shared" si="15"/>
        <v>0</v>
      </c>
      <c r="AH57" s="119">
        <f t="shared" si="15"/>
        <v>0</v>
      </c>
      <c r="AI57" s="119">
        <f t="shared" si="15"/>
        <v>0</v>
      </c>
      <c r="AJ57" s="119"/>
    </row>
    <row r="58" spans="1:36">
      <c r="A58" s="36" t="s">
        <v>60</v>
      </c>
      <c r="B58" s="119">
        <f t="shared" si="13"/>
        <v>0</v>
      </c>
      <c r="C58" s="119">
        <f t="shared" ref="C58:AI58" si="16">B58+C31</f>
        <v>0</v>
      </c>
      <c r="D58" s="119">
        <f t="shared" si="16"/>
        <v>0</v>
      </c>
      <c r="E58" s="119">
        <f t="shared" si="16"/>
        <v>0</v>
      </c>
      <c r="F58" s="119">
        <f t="shared" si="16"/>
        <v>0</v>
      </c>
      <c r="G58" s="119">
        <f t="shared" si="16"/>
        <v>0</v>
      </c>
      <c r="H58" s="119">
        <f t="shared" si="16"/>
        <v>0</v>
      </c>
      <c r="I58" s="119">
        <f t="shared" si="16"/>
        <v>13.613063986881086</v>
      </c>
      <c r="J58" s="119">
        <f t="shared" si="16"/>
        <v>41.459862396972859</v>
      </c>
      <c r="K58" s="119">
        <f t="shared" si="16"/>
        <v>71.043871773114915</v>
      </c>
      <c r="L58" s="119">
        <f t="shared" si="16"/>
        <v>103.77412356336131</v>
      </c>
      <c r="M58" s="119">
        <f t="shared" si="16"/>
        <v>137.40246120089682</v>
      </c>
      <c r="N58" s="119">
        <f t="shared" si="16"/>
        <v>173.26100317028835</v>
      </c>
      <c r="O58" s="119">
        <f t="shared" si="16"/>
        <v>209.37147772665011</v>
      </c>
      <c r="P58" s="119">
        <f t="shared" si="16"/>
        <v>309.51854692580025</v>
      </c>
      <c r="Q58" s="119">
        <f t="shared" si="16"/>
        <v>548.80437323160118</v>
      </c>
      <c r="R58" s="119">
        <f t="shared" si="16"/>
        <v>766.95516332374871</v>
      </c>
      <c r="S58" s="119">
        <f t="shared" si="16"/>
        <v>965.7943490347883</v>
      </c>
      <c r="T58" s="119">
        <f t="shared" si="16"/>
        <v>1160.1985682847085</v>
      </c>
      <c r="U58" s="119">
        <f t="shared" si="16"/>
        <v>1346.003374314507</v>
      </c>
      <c r="V58" s="119">
        <f t="shared" si="16"/>
        <v>1519.121884221244</v>
      </c>
      <c r="W58" s="119">
        <f t="shared" si="16"/>
        <v>1679.2757850920234</v>
      </c>
      <c r="X58" s="119">
        <f t="shared" si="16"/>
        <v>1855.1880602882679</v>
      </c>
      <c r="Y58" s="119">
        <f t="shared" si="16"/>
        <v>2102.8708764646994</v>
      </c>
      <c r="Z58" s="119">
        <f t="shared" si="16"/>
        <v>2334.8776146881482</v>
      </c>
      <c r="AA58" s="119">
        <f t="shared" si="16"/>
        <v>2553.3769755467138</v>
      </c>
      <c r="AB58" s="119">
        <f t="shared" si="16"/>
        <v>2754.1334372950555</v>
      </c>
      <c r="AC58" s="119">
        <f t="shared" si="16"/>
        <v>2936.6101957873211</v>
      </c>
      <c r="AD58" s="211">
        <f t="shared" si="16"/>
        <v>3102.3736308730631</v>
      </c>
      <c r="AE58" s="119">
        <f t="shared" si="16"/>
        <v>3252.879976471535</v>
      </c>
      <c r="AF58" s="119">
        <f t="shared" si="16"/>
        <v>3389.4716244612237</v>
      </c>
      <c r="AG58" s="119">
        <f t="shared" si="16"/>
        <v>3513.3380917488753</v>
      </c>
      <c r="AH58" s="119">
        <f t="shared" si="16"/>
        <v>3625.5432154265404</v>
      </c>
      <c r="AI58" s="119">
        <f t="shared" si="16"/>
        <v>3727.0843037409263</v>
      </c>
      <c r="AJ58" s="119"/>
    </row>
    <row r="59" spans="1:36">
      <c r="A59" s="36" t="s">
        <v>68</v>
      </c>
      <c r="B59" s="119">
        <f t="shared" si="13"/>
        <v>445.38108</v>
      </c>
      <c r="C59" s="119">
        <f t="shared" ref="C59:AI59" si="17">B59+C32</f>
        <v>851.33956172446119</v>
      </c>
      <c r="D59" s="119">
        <f t="shared" si="17"/>
        <v>1234.3846767848615</v>
      </c>
      <c r="E59" s="119">
        <f t="shared" si="17"/>
        <v>1609.8140830391994</v>
      </c>
      <c r="F59" s="119">
        <f t="shared" si="17"/>
        <v>1841.6073557044081</v>
      </c>
      <c r="G59" s="119">
        <f t="shared" si="17"/>
        <v>1948.5149827850062</v>
      </c>
      <c r="H59" s="119">
        <f t="shared" si="17"/>
        <v>1987.5993937851376</v>
      </c>
      <c r="I59" s="119">
        <f t="shared" si="17"/>
        <v>2008.4347353086096</v>
      </c>
      <c r="J59" s="119">
        <f t="shared" si="17"/>
        <v>2021.379113802185</v>
      </c>
      <c r="K59" s="119">
        <f t="shared" si="17"/>
        <v>2033.7909041155356</v>
      </c>
      <c r="L59" s="119">
        <f t="shared" si="17"/>
        <v>2045.7421250071648</v>
      </c>
      <c r="M59" s="119">
        <f t="shared" si="17"/>
        <v>2057.2283113679459</v>
      </c>
      <c r="N59" s="119">
        <f t="shared" si="17"/>
        <v>2068.297305514559</v>
      </c>
      <c r="O59" s="119">
        <f t="shared" si="17"/>
        <v>2078.922417187935</v>
      </c>
      <c r="P59" s="119">
        <f t="shared" si="17"/>
        <v>2091.8273840879615</v>
      </c>
      <c r="Q59" s="119">
        <f t="shared" si="17"/>
        <v>2106.0837218577703</v>
      </c>
      <c r="R59" s="119">
        <f t="shared" si="17"/>
        <v>2119.6683404695887</v>
      </c>
      <c r="S59" s="119">
        <f t="shared" si="17"/>
        <v>2132.6411802076987</v>
      </c>
      <c r="T59" s="119">
        <f t="shared" si="17"/>
        <v>2145.6986166377023</v>
      </c>
      <c r="U59" s="119">
        <f t="shared" si="17"/>
        <v>2158.6373612629422</v>
      </c>
      <c r="V59" s="119">
        <f t="shared" si="17"/>
        <v>2171.2265278171731</v>
      </c>
      <c r="W59" s="119">
        <f t="shared" si="17"/>
        <v>2183.3952611271434</v>
      </c>
      <c r="X59" s="119">
        <f t="shared" si="17"/>
        <v>2196.3861502554464</v>
      </c>
      <c r="Y59" s="119">
        <f t="shared" si="17"/>
        <v>2209.7546562911789</v>
      </c>
      <c r="Z59" s="119">
        <f t="shared" si="17"/>
        <v>2222.9068059083284</v>
      </c>
      <c r="AA59" s="119">
        <f t="shared" si="17"/>
        <v>2235.8182568400243</v>
      </c>
      <c r="AB59" s="119">
        <f t="shared" si="17"/>
        <v>2248.1438036251393</v>
      </c>
      <c r="AC59" s="119">
        <f t="shared" si="17"/>
        <v>2259.9435456995693</v>
      </c>
      <c r="AD59" s="211">
        <f t="shared" si="17"/>
        <v>2271.2482186777743</v>
      </c>
      <c r="AE59" s="119">
        <f t="shared" si="17"/>
        <v>2281.6982846571891</v>
      </c>
      <c r="AF59" s="119">
        <f t="shared" si="17"/>
        <v>2290.905551768793</v>
      </c>
      <c r="AG59" s="119">
        <f t="shared" si="17"/>
        <v>2299.0293263151966</v>
      </c>
      <c r="AH59" s="119">
        <f t="shared" si="17"/>
        <v>2306.3693509869136</v>
      </c>
      <c r="AI59" s="119">
        <f t="shared" si="17"/>
        <v>2313.3933391427008</v>
      </c>
      <c r="AJ59" s="119"/>
    </row>
    <row r="60" spans="1:36">
      <c r="A60" s="36" t="s">
        <v>67</v>
      </c>
      <c r="B60" s="119">
        <f t="shared" si="13"/>
        <v>390.67815999999999</v>
      </c>
      <c r="C60" s="119">
        <f t="shared" ref="C60:AI60" si="18">B60+C33</f>
        <v>751.38318343017806</v>
      </c>
      <c r="D60" s="119">
        <f t="shared" si="18"/>
        <v>1086.742172405917</v>
      </c>
      <c r="E60" s="119">
        <f t="shared" si="18"/>
        <v>1401.0430055603115</v>
      </c>
      <c r="F60" s="119">
        <f t="shared" si="18"/>
        <v>1696.3781385814136</v>
      </c>
      <c r="G60" s="119">
        <f t="shared" si="18"/>
        <v>1972.4465282824722</v>
      </c>
      <c r="H60" s="119">
        <f t="shared" si="18"/>
        <v>2231.1797962597147</v>
      </c>
      <c r="I60" s="119">
        <f t="shared" si="18"/>
        <v>2473.6664515555135</v>
      </c>
      <c r="J60" s="119">
        <f t="shared" si="18"/>
        <v>2701.5208601951203</v>
      </c>
      <c r="K60" s="119">
        <f t="shared" si="18"/>
        <v>2914.5107631690626</v>
      </c>
      <c r="L60" s="119">
        <f t="shared" si="18"/>
        <v>3114.1264173152126</v>
      </c>
      <c r="M60" s="119">
        <f t="shared" si="18"/>
        <v>3301.2076252982552</v>
      </c>
      <c r="N60" s="119">
        <f t="shared" si="18"/>
        <v>3476.9998888377081</v>
      </c>
      <c r="O60" s="119">
        <f t="shared" si="18"/>
        <v>3641.3240174704747</v>
      </c>
      <c r="P60" s="119">
        <f t="shared" si="18"/>
        <v>3838.1806529395067</v>
      </c>
      <c r="Q60" s="119">
        <f t="shared" si="18"/>
        <v>4052.0554633967463</v>
      </c>
      <c r="R60" s="119">
        <f t="shared" si="18"/>
        <v>4252.500459139239</v>
      </c>
      <c r="S60" s="119">
        <f t="shared" si="18"/>
        <v>4440.3589368735338</v>
      </c>
      <c r="T60" s="119">
        <f t="shared" si="18"/>
        <v>4629.7151705070464</v>
      </c>
      <c r="U60" s="119">
        <f t="shared" si="18"/>
        <v>4816.0805886829412</v>
      </c>
      <c r="V60" s="119">
        <f t="shared" si="18"/>
        <v>4994.8329110003187</v>
      </c>
      <c r="W60" s="119">
        <f t="shared" si="18"/>
        <v>5165.0983792876505</v>
      </c>
      <c r="X60" s="119">
        <f t="shared" si="18"/>
        <v>5343.2525243759028</v>
      </c>
      <c r="Y60" s="119">
        <f t="shared" si="18"/>
        <v>5522.6736951707253</v>
      </c>
      <c r="Z60" s="119">
        <f t="shared" si="18"/>
        <v>5697.7934685808177</v>
      </c>
      <c r="AA60" s="119">
        <f t="shared" si="18"/>
        <v>5869.9249467700074</v>
      </c>
      <c r="AB60" s="119">
        <f t="shared" si="18"/>
        <v>6033.4873162552631</v>
      </c>
      <c r="AC60" s="119">
        <f t="shared" si="18"/>
        <v>6186.7791374267472</v>
      </c>
      <c r="AD60" s="211">
        <f t="shared" si="18"/>
        <v>6330.445324091681</v>
      </c>
      <c r="AE60" s="119">
        <f t="shared" si="18"/>
        <v>6465.0902975358549</v>
      </c>
      <c r="AF60" s="119">
        <f t="shared" si="18"/>
        <v>6591.2805256934689</v>
      </c>
      <c r="AG60" s="119">
        <f t="shared" si="18"/>
        <v>6709.5469063472774</v>
      </c>
      <c r="AH60" s="119">
        <f t="shared" si="18"/>
        <v>6820.3870006807438</v>
      </c>
      <c r="AI60" s="119">
        <f t="shared" si="18"/>
        <v>6924.267126579025</v>
      </c>
      <c r="AJ60" s="119"/>
    </row>
    <row r="61" spans="1:36">
      <c r="A61" s="6" t="s">
        <v>383</v>
      </c>
      <c r="B61" s="119">
        <f t="shared" si="13"/>
        <v>0</v>
      </c>
      <c r="C61" s="119">
        <f t="shared" ref="C61:AI61" si="19">B61+C34</f>
        <v>0</v>
      </c>
      <c r="D61" s="119">
        <f t="shared" si="19"/>
        <v>0</v>
      </c>
      <c r="E61" s="119">
        <f t="shared" si="19"/>
        <v>0</v>
      </c>
      <c r="F61" s="119">
        <f t="shared" si="19"/>
        <v>0</v>
      </c>
      <c r="G61" s="119">
        <f t="shared" si="19"/>
        <v>0</v>
      </c>
      <c r="H61" s="119">
        <f t="shared" si="19"/>
        <v>0</v>
      </c>
      <c r="I61" s="119">
        <f t="shared" si="19"/>
        <v>0</v>
      </c>
      <c r="J61" s="119">
        <f t="shared" si="19"/>
        <v>0</v>
      </c>
      <c r="K61" s="119">
        <f t="shared" si="19"/>
        <v>0</v>
      </c>
      <c r="L61" s="119">
        <f t="shared" si="19"/>
        <v>0</v>
      </c>
      <c r="M61" s="119">
        <f t="shared" si="19"/>
        <v>0</v>
      </c>
      <c r="N61" s="119">
        <f t="shared" si="19"/>
        <v>0</v>
      </c>
      <c r="O61" s="119">
        <f t="shared" si="19"/>
        <v>0</v>
      </c>
      <c r="P61" s="119">
        <f t="shared" si="19"/>
        <v>0</v>
      </c>
      <c r="Q61" s="119">
        <f t="shared" si="19"/>
        <v>0</v>
      </c>
      <c r="R61" s="119">
        <f t="shared" si="19"/>
        <v>0</v>
      </c>
      <c r="S61" s="119">
        <f t="shared" si="19"/>
        <v>0</v>
      </c>
      <c r="T61" s="119">
        <f t="shared" si="19"/>
        <v>0</v>
      </c>
      <c r="U61" s="119">
        <f t="shared" si="19"/>
        <v>0</v>
      </c>
      <c r="V61" s="119">
        <f t="shared" si="19"/>
        <v>0</v>
      </c>
      <c r="W61" s="119">
        <f t="shared" si="19"/>
        <v>0</v>
      </c>
      <c r="X61" s="119">
        <f t="shared" si="19"/>
        <v>0</v>
      </c>
      <c r="Y61" s="119">
        <f t="shared" si="19"/>
        <v>0</v>
      </c>
      <c r="Z61" s="119">
        <f t="shared" si="19"/>
        <v>0</v>
      </c>
      <c r="AA61" s="119">
        <f t="shared" si="19"/>
        <v>0</v>
      </c>
      <c r="AB61" s="119">
        <f t="shared" si="19"/>
        <v>0</v>
      </c>
      <c r="AC61" s="119">
        <f t="shared" si="19"/>
        <v>0</v>
      </c>
      <c r="AD61" s="211">
        <f t="shared" si="19"/>
        <v>0</v>
      </c>
      <c r="AE61" s="119">
        <f t="shared" si="19"/>
        <v>0</v>
      </c>
      <c r="AF61" s="119">
        <f t="shared" si="19"/>
        <v>0</v>
      </c>
      <c r="AG61" s="119">
        <f t="shared" si="19"/>
        <v>0</v>
      </c>
      <c r="AH61" s="119">
        <f t="shared" si="19"/>
        <v>0</v>
      </c>
      <c r="AI61" s="119">
        <f t="shared" si="19"/>
        <v>0</v>
      </c>
      <c r="AJ61" s="119"/>
    </row>
    <row r="62" spans="1:36">
      <c r="A62" s="36" t="s">
        <v>65</v>
      </c>
      <c r="B62" s="119">
        <f t="shared" si="13"/>
        <v>849.84470000000033</v>
      </c>
      <c r="C62" s="119">
        <f t="shared" ref="C62:AI62" si="20">B62+C35</f>
        <v>1654.8567805998127</v>
      </c>
      <c r="D62" s="119">
        <f t="shared" si="20"/>
        <v>2431.0657997471212</v>
      </c>
      <c r="E62" s="119">
        <f t="shared" si="20"/>
        <v>3173.3433588528774</v>
      </c>
      <c r="F62" s="119">
        <f t="shared" si="20"/>
        <v>3877.6810331733705</v>
      </c>
      <c r="G62" s="119">
        <f t="shared" si="20"/>
        <v>4580.641304880699</v>
      </c>
      <c r="H62" s="119">
        <f t="shared" si="20"/>
        <v>5295.272118806608</v>
      </c>
      <c r="I62" s="119">
        <f t="shared" si="20"/>
        <v>6048.0940977085093</v>
      </c>
      <c r="J62" s="119">
        <f t="shared" si="20"/>
        <v>6856.257027499194</v>
      </c>
      <c r="K62" s="119">
        <f t="shared" si="20"/>
        <v>7679.2435876346162</v>
      </c>
      <c r="L62" s="119">
        <f t="shared" si="20"/>
        <v>8497.6674758065474</v>
      </c>
      <c r="M62" s="119">
        <f t="shared" si="20"/>
        <v>9301.8113529634065</v>
      </c>
      <c r="N62" s="119">
        <f t="shared" si="20"/>
        <v>10101.426739828796</v>
      </c>
      <c r="O62" s="119">
        <f t="shared" si="20"/>
        <v>10857.616133235395</v>
      </c>
      <c r="P62" s="119">
        <f t="shared" si="20"/>
        <v>11589.287877390492</v>
      </c>
      <c r="Q62" s="119">
        <f t="shared" si="20"/>
        <v>12299.195151420854</v>
      </c>
      <c r="R62" s="119">
        <f t="shared" si="20"/>
        <v>12984.356698441356</v>
      </c>
      <c r="S62" s="119">
        <f t="shared" si="20"/>
        <v>13679.614353982675</v>
      </c>
      <c r="T62" s="119">
        <f t="shared" si="20"/>
        <v>14367.767163784903</v>
      </c>
      <c r="U62" s="119">
        <f t="shared" si="20"/>
        <v>15036.336813295804</v>
      </c>
      <c r="V62" s="119">
        <f t="shared" si="20"/>
        <v>15695.810198934498</v>
      </c>
      <c r="W62" s="119">
        <f t="shared" si="20"/>
        <v>16343.698602065964</v>
      </c>
      <c r="X62" s="119">
        <f t="shared" si="20"/>
        <v>16964.49881896552</v>
      </c>
      <c r="Y62" s="119">
        <f t="shared" si="20"/>
        <v>17559.465173902794</v>
      </c>
      <c r="Z62" s="119">
        <f t="shared" si="20"/>
        <v>18146.758334379963</v>
      </c>
      <c r="AA62" s="119">
        <f t="shared" si="20"/>
        <v>18731.939346233492</v>
      </c>
      <c r="AB62" s="119">
        <f t="shared" si="20"/>
        <v>19308.199107468892</v>
      </c>
      <c r="AC62" s="119">
        <f t="shared" si="20"/>
        <v>19855.53150590829</v>
      </c>
      <c r="AD62" s="211">
        <f t="shared" si="20"/>
        <v>20390.120633498365</v>
      </c>
      <c r="AE62" s="119">
        <f t="shared" si="20"/>
        <v>20897.59040127616</v>
      </c>
      <c r="AF62" s="119">
        <f t="shared" si="20"/>
        <v>21384.65708833966</v>
      </c>
      <c r="AG62" s="119">
        <f t="shared" si="20"/>
        <v>21856.89244603135</v>
      </c>
      <c r="AH62" s="119">
        <f t="shared" si="20"/>
        <v>22314.465114888604</v>
      </c>
      <c r="AI62" s="119">
        <f t="shared" si="20"/>
        <v>22751.498310048963</v>
      </c>
      <c r="AJ62" s="119"/>
    </row>
    <row r="63" spans="1:36">
      <c r="A63" s="36" t="s">
        <v>52</v>
      </c>
      <c r="B63" s="119">
        <f t="shared" si="13"/>
        <v>86.065810000000013</v>
      </c>
      <c r="C63" s="119">
        <f t="shared" ref="C63:AI63" si="21">B63+C36</f>
        <v>171.47644730084352</v>
      </c>
      <c r="D63" s="119">
        <f t="shared" si="21"/>
        <v>258.45358981166265</v>
      </c>
      <c r="E63" s="119">
        <f t="shared" si="21"/>
        <v>346.17234004985119</v>
      </c>
      <c r="F63" s="119">
        <f t="shared" si="21"/>
        <v>436.32357303196022</v>
      </c>
      <c r="G63" s="119">
        <f t="shared" si="21"/>
        <v>529.85625901740707</v>
      </c>
      <c r="H63" s="119">
        <f t="shared" si="21"/>
        <v>632.31564426312764</v>
      </c>
      <c r="I63" s="119">
        <f t="shared" si="21"/>
        <v>740.84392349890595</v>
      </c>
      <c r="J63" s="119">
        <f t="shared" si="21"/>
        <v>856.55480525450548</v>
      </c>
      <c r="K63" s="119">
        <f t="shared" si="21"/>
        <v>972.82330685034231</v>
      </c>
      <c r="L63" s="119">
        <f t="shared" si="21"/>
        <v>1093.628904783578</v>
      </c>
      <c r="M63" s="119">
        <f t="shared" si="21"/>
        <v>1216.9994333323218</v>
      </c>
      <c r="N63" s="119">
        <f t="shared" si="21"/>
        <v>1338.3926363467142</v>
      </c>
      <c r="O63" s="119">
        <f t="shared" si="21"/>
        <v>1460.0595399851495</v>
      </c>
      <c r="P63" s="119">
        <f t="shared" si="21"/>
        <v>1576.6044567276044</v>
      </c>
      <c r="Q63" s="119">
        <f t="shared" si="21"/>
        <v>1691.4623385940035</v>
      </c>
      <c r="R63" s="119">
        <f t="shared" si="21"/>
        <v>1805.3673229462138</v>
      </c>
      <c r="S63" s="119">
        <f t="shared" si="21"/>
        <v>1924.5535043033151</v>
      </c>
      <c r="T63" s="119">
        <f t="shared" si="21"/>
        <v>2043.0803808740193</v>
      </c>
      <c r="U63" s="119">
        <f t="shared" si="21"/>
        <v>2165.841111839818</v>
      </c>
      <c r="V63" s="119">
        <f t="shared" si="21"/>
        <v>2283.0722142223162</v>
      </c>
      <c r="W63" s="119">
        <f t="shared" si="21"/>
        <v>2399.7321713345086</v>
      </c>
      <c r="X63" s="119">
        <f t="shared" si="21"/>
        <v>2510.7882683013077</v>
      </c>
      <c r="Y63" s="119">
        <f t="shared" si="21"/>
        <v>2619.7808757837929</v>
      </c>
      <c r="Z63" s="119">
        <f t="shared" si="21"/>
        <v>2724.7268842252556</v>
      </c>
      <c r="AA63" s="119">
        <f t="shared" si="21"/>
        <v>2829.0982334922628</v>
      </c>
      <c r="AB63" s="119">
        <f t="shared" si="21"/>
        <v>2930.0293425993127</v>
      </c>
      <c r="AC63" s="119">
        <f t="shared" si="21"/>
        <v>3029.0165161607852</v>
      </c>
      <c r="AD63" s="211">
        <f t="shared" si="21"/>
        <v>3125.1058370390215</v>
      </c>
      <c r="AE63" s="119">
        <f t="shared" si="21"/>
        <v>3218.5945922498395</v>
      </c>
      <c r="AF63" s="119">
        <f t="shared" si="21"/>
        <v>3308.9513126055313</v>
      </c>
      <c r="AG63" s="119">
        <f t="shared" si="21"/>
        <v>3397.7910928454089</v>
      </c>
      <c r="AH63" s="119">
        <f t="shared" si="21"/>
        <v>3482.8523039912052</v>
      </c>
      <c r="AI63" s="119">
        <f t="shared" si="21"/>
        <v>3566.1389589794571</v>
      </c>
      <c r="AJ63" s="119"/>
    </row>
    <row r="64" spans="1:36">
      <c r="A64" s="36" t="s">
        <v>66</v>
      </c>
      <c r="B64" s="119">
        <f t="shared" si="13"/>
        <v>6.2319722000000004</v>
      </c>
      <c r="C64" s="119">
        <f t="shared" ref="C64:AI64" si="22">B64+C37</f>
        <v>12.297076417432052</v>
      </c>
      <c r="D64" s="119">
        <f t="shared" si="22"/>
        <v>17.894556498486853</v>
      </c>
      <c r="E64" s="119">
        <f t="shared" si="22"/>
        <v>22.650694729988476</v>
      </c>
      <c r="F64" s="119">
        <f t="shared" si="22"/>
        <v>27.116412997851736</v>
      </c>
      <c r="G64" s="119">
        <f t="shared" si="22"/>
        <v>31.647795064017938</v>
      </c>
      <c r="H64" s="119">
        <f t="shared" si="22"/>
        <v>36.068283812091941</v>
      </c>
      <c r="I64" s="119">
        <f t="shared" si="22"/>
        <v>40.438572381130811</v>
      </c>
      <c r="J64" s="119">
        <f t="shared" si="22"/>
        <v>44.984121846246921</v>
      </c>
      <c r="K64" s="119">
        <f t="shared" si="22"/>
        <v>49.415811664316834</v>
      </c>
      <c r="L64" s="119">
        <f t="shared" si="22"/>
        <v>53.791026400299899</v>
      </c>
      <c r="M64" s="119">
        <f t="shared" si="22"/>
        <v>57.920653650541027</v>
      </c>
      <c r="N64" s="119">
        <f t="shared" si="22"/>
        <v>61.694905458447508</v>
      </c>
      <c r="O64" s="119">
        <f t="shared" si="22"/>
        <v>64.894983591673537</v>
      </c>
      <c r="P64" s="119">
        <f t="shared" si="22"/>
        <v>66.190014305084844</v>
      </c>
      <c r="Q64" s="119">
        <f t="shared" si="22"/>
        <v>66.848342149714256</v>
      </c>
      <c r="R64" s="119">
        <f t="shared" si="22"/>
        <v>67.472368062635383</v>
      </c>
      <c r="S64" s="119">
        <f t="shared" si="22"/>
        <v>68.064624293170297</v>
      </c>
      <c r="T64" s="119">
        <f t="shared" si="22"/>
        <v>68.624738724954227</v>
      </c>
      <c r="U64" s="119">
        <f t="shared" si="22"/>
        <v>69.153129374518656</v>
      </c>
      <c r="V64" s="119">
        <f t="shared" si="22"/>
        <v>69.658637772363832</v>
      </c>
      <c r="W64" s="119">
        <f t="shared" si="22"/>
        <v>70.13590840174966</v>
      </c>
      <c r="X64" s="119">
        <f t="shared" si="22"/>
        <v>70.583581982056799</v>
      </c>
      <c r="Y64" s="119">
        <f t="shared" si="22"/>
        <v>71.007588966882622</v>
      </c>
      <c r="Z64" s="119">
        <f t="shared" si="22"/>
        <v>71.410496625048069</v>
      </c>
      <c r="AA64" s="119">
        <f t="shared" si="22"/>
        <v>71.790879511429239</v>
      </c>
      <c r="AB64" s="119">
        <f t="shared" si="22"/>
        <v>72.154012210874768</v>
      </c>
      <c r="AC64" s="119">
        <f t="shared" si="22"/>
        <v>72.493955625542227</v>
      </c>
      <c r="AD64" s="211">
        <f t="shared" si="22"/>
        <v>72.814250010115842</v>
      </c>
      <c r="AE64" s="119">
        <f t="shared" si="22"/>
        <v>73.115278489656092</v>
      </c>
      <c r="AF64" s="119">
        <f t="shared" si="22"/>
        <v>73.401839071131235</v>
      </c>
      <c r="AG64" s="119">
        <f t="shared" si="22"/>
        <v>73.672690667204861</v>
      </c>
      <c r="AH64" s="119">
        <f t="shared" si="22"/>
        <v>73.930665819420639</v>
      </c>
      <c r="AI64" s="119">
        <f t="shared" si="22"/>
        <v>74.172791375777052</v>
      </c>
      <c r="AJ64" s="119"/>
    </row>
    <row r="65" spans="1:36">
      <c r="A65" s="12" t="s">
        <v>69</v>
      </c>
      <c r="B65" s="212">
        <f t="shared" si="13"/>
        <v>0</v>
      </c>
      <c r="C65" s="212">
        <f t="shared" ref="C65:AH65" si="23">B65+C38</f>
        <v>0</v>
      </c>
      <c r="D65" s="212">
        <f t="shared" si="23"/>
        <v>0</v>
      </c>
      <c r="E65" s="212">
        <f t="shared" si="23"/>
        <v>0</v>
      </c>
      <c r="F65" s="212">
        <f t="shared" si="23"/>
        <v>0</v>
      </c>
      <c r="G65" s="212">
        <f t="shared" si="23"/>
        <v>73.946181881236171</v>
      </c>
      <c r="H65" s="212">
        <f t="shared" si="23"/>
        <v>185.17214188360029</v>
      </c>
      <c r="I65" s="212">
        <f t="shared" si="23"/>
        <v>329.48144815362019</v>
      </c>
      <c r="J65" s="212">
        <f t="shared" si="23"/>
        <v>505.53900975596952</v>
      </c>
      <c r="K65" s="212">
        <f t="shared" si="23"/>
        <v>706.69059031917777</v>
      </c>
      <c r="L65" s="212">
        <f t="shared" si="23"/>
        <v>931.36713952917455</v>
      </c>
      <c r="M65" s="212">
        <f t="shared" si="23"/>
        <v>1170.0566477453604</v>
      </c>
      <c r="N65" s="212">
        <f t="shared" si="23"/>
        <v>1423.5214114678492</v>
      </c>
      <c r="O65" s="212">
        <f t="shared" si="23"/>
        <v>1686.0346704631938</v>
      </c>
      <c r="P65" s="212">
        <f t="shared" si="23"/>
        <v>1936.870991437974</v>
      </c>
      <c r="Q65" s="212">
        <f t="shared" si="23"/>
        <v>2186.7311623034311</v>
      </c>
      <c r="R65" s="212">
        <f t="shared" si="23"/>
        <v>2444.7865754135219</v>
      </c>
      <c r="S65" s="212">
        <f t="shared" si="23"/>
        <v>2708.6049471702172</v>
      </c>
      <c r="T65" s="212">
        <f t="shared" si="23"/>
        <v>2976.6889589202947</v>
      </c>
      <c r="U65" s="212">
        <f t="shared" si="23"/>
        <v>3249.7171226258306</v>
      </c>
      <c r="V65" s="212">
        <f t="shared" si="23"/>
        <v>3524.2267291343937</v>
      </c>
      <c r="W65" s="212">
        <f t="shared" si="23"/>
        <v>3800.2975742277858</v>
      </c>
      <c r="X65" s="212">
        <f t="shared" si="23"/>
        <v>4069.9278228053868</v>
      </c>
      <c r="Y65" s="212">
        <f t="shared" si="23"/>
        <v>4335.9512254022948</v>
      </c>
      <c r="Z65" s="212">
        <f t="shared" si="23"/>
        <v>4601.7559863873821</v>
      </c>
      <c r="AA65" s="212">
        <f t="shared" si="23"/>
        <v>4864.8841166566717</v>
      </c>
      <c r="AB65" s="212">
        <f t="shared" si="23"/>
        <v>5126.037509059548</v>
      </c>
      <c r="AC65" s="212">
        <f t="shared" si="23"/>
        <v>5380.9769978442964</v>
      </c>
      <c r="AD65" s="213">
        <f t="shared" si="23"/>
        <v>5631.5788416537835</v>
      </c>
      <c r="AE65" s="212">
        <f t="shared" si="23"/>
        <v>5874.8051321354787</v>
      </c>
      <c r="AF65" s="212">
        <f t="shared" si="23"/>
        <v>6114.5395114726853</v>
      </c>
      <c r="AG65" s="212">
        <f t="shared" si="23"/>
        <v>6349.7102825736474</v>
      </c>
      <c r="AH65" s="212">
        <f t="shared" si="23"/>
        <v>6580.0821047998006</v>
      </c>
      <c r="AI65" s="212">
        <f>AH65+AI38</f>
        <v>6802.2234299569163</v>
      </c>
      <c r="AJ65" s="212"/>
    </row>
    <row r="66" spans="1:36">
      <c r="A66" s="6" t="s">
        <v>61</v>
      </c>
      <c r="B66" s="15">
        <f t="shared" ref="B66:AI66" si="24">SUM(B56:B65)</f>
        <v>1843.4621723822067</v>
      </c>
      <c r="C66" s="15">
        <f t="shared" si="24"/>
        <v>3602.2841844671752</v>
      </c>
      <c r="D66" s="15">
        <f t="shared" si="24"/>
        <v>5312.564598748002</v>
      </c>
      <c r="E66" s="15">
        <f t="shared" si="24"/>
        <v>6947.3896136007716</v>
      </c>
      <c r="F66" s="15">
        <f t="shared" si="24"/>
        <v>8372.7246444752</v>
      </c>
      <c r="G66" s="15">
        <f t="shared" si="24"/>
        <v>9717.9076461517197</v>
      </c>
      <c r="H66" s="15">
        <f t="shared" si="24"/>
        <v>11020.671851793788</v>
      </c>
      <c r="I66" s="15">
        <f t="shared" si="24"/>
        <v>12373.412964067435</v>
      </c>
      <c r="J66" s="15">
        <f t="shared" si="24"/>
        <v>13806.55063169093</v>
      </c>
      <c r="K66" s="15">
        <f t="shared" si="24"/>
        <v>15261.217195903962</v>
      </c>
      <c r="L66" s="15">
        <f t="shared" si="24"/>
        <v>16723.858635925419</v>
      </c>
      <c r="M66" s="15">
        <f t="shared" si="24"/>
        <v>18172.073655746128</v>
      </c>
      <c r="N66" s="15">
        <f t="shared" si="24"/>
        <v>19614.704871573827</v>
      </c>
      <c r="O66" s="15">
        <f t="shared" si="24"/>
        <v>21007.338379743436</v>
      </c>
      <c r="P66" s="15">
        <f t="shared" si="24"/>
        <v>22452.189242039214</v>
      </c>
      <c r="Q66" s="15">
        <f t="shared" si="24"/>
        <v>24026.356956414435</v>
      </c>
      <c r="R66" s="15">
        <f t="shared" si="24"/>
        <v>25544.839360521648</v>
      </c>
      <c r="S66" s="15">
        <f t="shared" si="24"/>
        <v>27049.287999649281</v>
      </c>
      <c r="T66" s="15">
        <f t="shared" si="24"/>
        <v>28545.732161588516</v>
      </c>
      <c r="U66" s="15">
        <f t="shared" si="24"/>
        <v>30018.200171617143</v>
      </c>
      <c r="V66" s="15">
        <f t="shared" si="24"/>
        <v>31454.701297584121</v>
      </c>
      <c r="W66" s="15">
        <f t="shared" si="24"/>
        <v>32856.754257132248</v>
      </c>
      <c r="X66" s="15">
        <f t="shared" si="24"/>
        <v>34242.378232746298</v>
      </c>
      <c r="Y66" s="15">
        <f t="shared" si="24"/>
        <v>35668.283277224997</v>
      </c>
      <c r="Z66" s="15">
        <f t="shared" si="24"/>
        <v>37060.61353902275</v>
      </c>
      <c r="AA66" s="15">
        <f t="shared" si="24"/>
        <v>38429.49520240914</v>
      </c>
      <c r="AB66" s="15">
        <f t="shared" si="24"/>
        <v>39755.944984012342</v>
      </c>
      <c r="AC66" s="52">
        <f t="shared" si="24"/>
        <v>41015.120671105309</v>
      </c>
      <c r="AD66" s="214">
        <f t="shared" si="24"/>
        <v>42226.84410244054</v>
      </c>
      <c r="AE66" s="15">
        <f t="shared" si="24"/>
        <v>43374.882760408109</v>
      </c>
      <c r="AF66" s="15">
        <f t="shared" si="24"/>
        <v>44469.615185757772</v>
      </c>
      <c r="AG66" s="15">
        <f t="shared" si="24"/>
        <v>45519.284629298447</v>
      </c>
      <c r="AH66" s="15">
        <f t="shared" si="24"/>
        <v>46523.349210028282</v>
      </c>
      <c r="AI66" s="15">
        <f t="shared" si="24"/>
        <v>47478.872616355722</v>
      </c>
      <c r="AJ66" s="15"/>
    </row>
    <row r="67" spans="1:36">
      <c r="AC67" s="36"/>
      <c r="AD67" s="215"/>
    </row>
    <row r="68" spans="1:36">
      <c r="A68" s="152" t="str">
        <f>A41</f>
        <v>Clean Energy Connection</v>
      </c>
      <c r="B68" s="152">
        <f>$B$1</f>
        <v>2020</v>
      </c>
      <c r="C68" s="152">
        <f t="shared" ref="C68:AI68" si="25">B68+1</f>
        <v>2021</v>
      </c>
      <c r="D68" s="152">
        <f t="shared" si="25"/>
        <v>2022</v>
      </c>
      <c r="E68" s="152">
        <f t="shared" si="25"/>
        <v>2023</v>
      </c>
      <c r="F68" s="152">
        <f t="shared" si="25"/>
        <v>2024</v>
      </c>
      <c r="G68" s="152">
        <f t="shared" si="25"/>
        <v>2025</v>
      </c>
      <c r="H68" s="152">
        <f t="shared" si="25"/>
        <v>2026</v>
      </c>
      <c r="I68" s="152">
        <f t="shared" si="25"/>
        <v>2027</v>
      </c>
      <c r="J68" s="152">
        <f t="shared" si="25"/>
        <v>2028</v>
      </c>
      <c r="K68" s="152">
        <f t="shared" si="25"/>
        <v>2029</v>
      </c>
      <c r="L68" s="152">
        <f t="shared" si="25"/>
        <v>2030</v>
      </c>
      <c r="M68" s="152">
        <f t="shared" si="25"/>
        <v>2031</v>
      </c>
      <c r="N68" s="152">
        <f t="shared" si="25"/>
        <v>2032</v>
      </c>
      <c r="O68" s="152">
        <f t="shared" si="25"/>
        <v>2033</v>
      </c>
      <c r="P68" s="152">
        <f t="shared" si="25"/>
        <v>2034</v>
      </c>
      <c r="Q68" s="152">
        <f t="shared" si="25"/>
        <v>2035</v>
      </c>
      <c r="R68" s="152">
        <f t="shared" si="25"/>
        <v>2036</v>
      </c>
      <c r="S68" s="152">
        <f t="shared" si="25"/>
        <v>2037</v>
      </c>
      <c r="T68" s="152">
        <f t="shared" si="25"/>
        <v>2038</v>
      </c>
      <c r="U68" s="152">
        <f t="shared" si="25"/>
        <v>2039</v>
      </c>
      <c r="V68" s="152">
        <f t="shared" si="25"/>
        <v>2040</v>
      </c>
      <c r="W68" s="152">
        <f t="shared" si="25"/>
        <v>2041</v>
      </c>
      <c r="X68" s="152">
        <f t="shared" si="25"/>
        <v>2042</v>
      </c>
      <c r="Y68" s="152">
        <f t="shared" si="25"/>
        <v>2043</v>
      </c>
      <c r="Z68" s="152">
        <f t="shared" si="25"/>
        <v>2044</v>
      </c>
      <c r="AA68" s="152">
        <f t="shared" si="25"/>
        <v>2045</v>
      </c>
      <c r="AB68" s="152">
        <f t="shared" si="25"/>
        <v>2046</v>
      </c>
      <c r="AC68" s="209">
        <f t="shared" si="25"/>
        <v>2047</v>
      </c>
      <c r="AD68" s="210">
        <f t="shared" si="25"/>
        <v>2048</v>
      </c>
      <c r="AE68" s="152">
        <f t="shared" si="25"/>
        <v>2049</v>
      </c>
      <c r="AF68" s="152">
        <f t="shared" si="25"/>
        <v>2050</v>
      </c>
      <c r="AG68" s="152">
        <f t="shared" si="25"/>
        <v>2051</v>
      </c>
      <c r="AH68" s="152">
        <f t="shared" si="25"/>
        <v>2052</v>
      </c>
      <c r="AI68" s="152">
        <f t="shared" si="25"/>
        <v>2053</v>
      </c>
      <c r="AJ68" s="152"/>
    </row>
    <row r="69" spans="1:36">
      <c r="A69" s="6" t="s">
        <v>134</v>
      </c>
      <c r="B69" s="119">
        <f t="shared" ref="B69:B78" si="26">+B42</f>
        <v>65.260450182206341</v>
      </c>
      <c r="C69" s="16">
        <f t="shared" ref="C69:AI69" si="27">B69+C42</f>
        <v>160.93113499444769</v>
      </c>
      <c r="D69" s="16">
        <f t="shared" si="27"/>
        <v>284.02380349995246</v>
      </c>
      <c r="E69" s="16">
        <f t="shared" si="27"/>
        <v>394.36613136854328</v>
      </c>
      <c r="F69" s="16">
        <f t="shared" si="27"/>
        <v>493.61813098619666</v>
      </c>
      <c r="G69" s="16">
        <f t="shared" si="27"/>
        <v>580.85459424087935</v>
      </c>
      <c r="H69" s="16">
        <f t="shared" si="27"/>
        <v>653.06447298350622</v>
      </c>
      <c r="I69" s="16">
        <f t="shared" si="27"/>
        <v>718.84067147426742</v>
      </c>
      <c r="J69" s="16">
        <f t="shared" si="27"/>
        <v>778.85583094073672</v>
      </c>
      <c r="K69" s="16">
        <f t="shared" si="27"/>
        <v>833.69836037779623</v>
      </c>
      <c r="L69" s="16">
        <f t="shared" si="27"/>
        <v>883.7614235200798</v>
      </c>
      <c r="M69" s="16">
        <f t="shared" si="27"/>
        <v>929.4471701874005</v>
      </c>
      <c r="N69" s="16">
        <f t="shared" si="27"/>
        <v>971.1109809494634</v>
      </c>
      <c r="O69" s="16">
        <f t="shared" si="27"/>
        <v>1009.115140082966</v>
      </c>
      <c r="P69" s="16">
        <f t="shared" si="27"/>
        <v>1043.7093182247925</v>
      </c>
      <c r="Q69" s="16">
        <f t="shared" si="27"/>
        <v>1075.1764034603164</v>
      </c>
      <c r="R69" s="16">
        <f t="shared" si="27"/>
        <v>1103.732432725345</v>
      </c>
      <c r="S69" s="16">
        <f t="shared" si="27"/>
        <v>1129.656103783884</v>
      </c>
      <c r="T69" s="16">
        <f t="shared" si="27"/>
        <v>1153.9585638548881</v>
      </c>
      <c r="U69" s="16">
        <f t="shared" si="27"/>
        <v>1176.4306702207869</v>
      </c>
      <c r="V69" s="16">
        <f t="shared" si="27"/>
        <v>1196.7521944818136</v>
      </c>
      <c r="W69" s="16">
        <f t="shared" si="27"/>
        <v>1215.1205755954245</v>
      </c>
      <c r="X69" s="16">
        <f t="shared" si="27"/>
        <v>1231.7530057724055</v>
      </c>
      <c r="Y69" s="16">
        <f t="shared" si="27"/>
        <v>1246.7791852426262</v>
      </c>
      <c r="Z69" s="16">
        <f t="shared" si="27"/>
        <v>1260.3839482278022</v>
      </c>
      <c r="AA69" s="16">
        <f t="shared" si="27"/>
        <v>1272.6624473585421</v>
      </c>
      <c r="AB69" s="16">
        <f t="shared" si="27"/>
        <v>1283.7604554982531</v>
      </c>
      <c r="AC69" s="119">
        <f t="shared" si="27"/>
        <v>1293.7688166527566</v>
      </c>
      <c r="AD69" s="211">
        <f t="shared" si="27"/>
        <v>1303.1573665967353</v>
      </c>
      <c r="AE69" s="16">
        <f t="shared" si="27"/>
        <v>1311.1087975923997</v>
      </c>
      <c r="AF69" s="16">
        <f t="shared" si="27"/>
        <v>1316.4077323452841</v>
      </c>
      <c r="AG69" s="16">
        <f t="shared" si="27"/>
        <v>1319.3037927694838</v>
      </c>
      <c r="AH69" s="16">
        <f t="shared" si="27"/>
        <v>1319.7194534350556</v>
      </c>
      <c r="AI69" s="16">
        <f t="shared" si="27"/>
        <v>1320.0943565319535</v>
      </c>
      <c r="AJ69" s="16"/>
    </row>
    <row r="70" spans="1:36">
      <c r="A70" s="6" t="s">
        <v>135</v>
      </c>
      <c r="B70" s="119">
        <f t="shared" si="26"/>
        <v>0</v>
      </c>
      <c r="C70" s="16">
        <f t="shared" ref="C70:AI70" si="28">B70+C43</f>
        <v>0</v>
      </c>
      <c r="D70" s="16">
        <f t="shared" si="28"/>
        <v>27.104402529171068</v>
      </c>
      <c r="E70" s="16">
        <f t="shared" si="28"/>
        <v>98.781674233069964</v>
      </c>
      <c r="F70" s="16">
        <f t="shared" si="28"/>
        <v>205.49827041468927</v>
      </c>
      <c r="G70" s="16">
        <f t="shared" si="28"/>
        <v>300.46649364736896</v>
      </c>
      <c r="H70" s="16">
        <f t="shared" si="28"/>
        <v>385.39678406731878</v>
      </c>
      <c r="I70" s="16">
        <f t="shared" si="28"/>
        <v>456.76610212359998</v>
      </c>
      <c r="J70" s="16">
        <f t="shared" si="28"/>
        <v>521.38216806475043</v>
      </c>
      <c r="K70" s="16">
        <f t="shared" si="28"/>
        <v>580.22999313960736</v>
      </c>
      <c r="L70" s="16">
        <f t="shared" si="28"/>
        <v>634.01636784102379</v>
      </c>
      <c r="M70" s="16">
        <f t="shared" si="28"/>
        <v>683.26715478238884</v>
      </c>
      <c r="N70" s="16">
        <f t="shared" si="28"/>
        <v>728.35372964352109</v>
      </c>
      <c r="O70" s="16">
        <f t="shared" si="28"/>
        <v>769.60576167263162</v>
      </c>
      <c r="P70" s="16">
        <f t="shared" si="28"/>
        <v>807.31002678440973</v>
      </c>
      <c r="Q70" s="16">
        <f t="shared" si="28"/>
        <v>841.7817862456186</v>
      </c>
      <c r="R70" s="16">
        <f t="shared" si="28"/>
        <v>873.29202848516286</v>
      </c>
      <c r="S70" s="16">
        <f t="shared" si="28"/>
        <v>902.06344495740177</v>
      </c>
      <c r="T70" s="16">
        <f t="shared" si="28"/>
        <v>930.24970017284386</v>
      </c>
      <c r="U70" s="16">
        <f t="shared" si="28"/>
        <v>955.84915294119799</v>
      </c>
      <c r="V70" s="16">
        <f t="shared" si="28"/>
        <v>979.07310442426649</v>
      </c>
      <c r="W70" s="16">
        <f t="shared" si="28"/>
        <v>1000.1248911355183</v>
      </c>
      <c r="X70" s="16">
        <f t="shared" si="28"/>
        <v>1019.2432452792501</v>
      </c>
      <c r="Y70" s="16">
        <f t="shared" si="28"/>
        <v>1036.6317832813522</v>
      </c>
      <c r="Z70" s="16">
        <f t="shared" si="28"/>
        <v>1052.4528204477485</v>
      </c>
      <c r="AA70" s="16">
        <f t="shared" si="28"/>
        <v>1066.8199714822242</v>
      </c>
      <c r="AB70" s="16">
        <f t="shared" si="28"/>
        <v>1079.8900698837747</v>
      </c>
      <c r="AC70" s="119">
        <f t="shared" si="28"/>
        <v>1091.7640225794905</v>
      </c>
      <c r="AD70" s="211">
        <f t="shared" si="28"/>
        <v>1102.5564189601394</v>
      </c>
      <c r="AE70" s="16">
        <f t="shared" si="28"/>
        <v>1112.3456472165315</v>
      </c>
      <c r="AF70" s="16">
        <f t="shared" si="28"/>
        <v>1121.2349572228359</v>
      </c>
      <c r="AG70" s="16">
        <f t="shared" si="28"/>
        <v>1129.7914422876931</v>
      </c>
      <c r="AH70" s="16">
        <f t="shared" si="28"/>
        <v>1136.619048814528</v>
      </c>
      <c r="AI70" s="16">
        <f t="shared" si="28"/>
        <v>1140.2982843495179</v>
      </c>
      <c r="AJ70" s="16"/>
    </row>
    <row r="71" spans="1:36">
      <c r="A71" s="6" t="s">
        <v>60</v>
      </c>
      <c r="B71" s="119">
        <f t="shared" si="26"/>
        <v>0</v>
      </c>
      <c r="C71" s="16">
        <f t="shared" ref="C71:AI71" si="29">B71+C44</f>
        <v>0</v>
      </c>
      <c r="D71" s="16">
        <f t="shared" si="29"/>
        <v>0</v>
      </c>
      <c r="E71" s="16">
        <f t="shared" si="29"/>
        <v>0</v>
      </c>
      <c r="F71" s="16">
        <f t="shared" si="29"/>
        <v>0</v>
      </c>
      <c r="G71" s="16">
        <f t="shared" si="29"/>
        <v>0</v>
      </c>
      <c r="H71" s="16">
        <f t="shared" si="29"/>
        <v>0</v>
      </c>
      <c r="I71" s="16">
        <f t="shared" si="29"/>
        <v>6.8065319934405428</v>
      </c>
      <c r="J71" s="16">
        <f t="shared" si="29"/>
        <v>17.496589284217208</v>
      </c>
      <c r="K71" s="16">
        <f t="shared" si="29"/>
        <v>33.354245238022855</v>
      </c>
      <c r="L71" s="16">
        <f t="shared" si="29"/>
        <v>51.83563166996877</v>
      </c>
      <c r="M71" s="16">
        <f t="shared" si="29"/>
        <v>74.184144798863812</v>
      </c>
      <c r="N71" s="16">
        <f t="shared" si="29"/>
        <v>98.179006175412297</v>
      </c>
      <c r="O71" s="16">
        <f t="shared" si="29"/>
        <v>125.00835889212736</v>
      </c>
      <c r="P71" s="16">
        <f t="shared" si="29"/>
        <v>213.96341500951218</v>
      </c>
      <c r="Q71" s="16">
        <f t="shared" si="29"/>
        <v>439.06126274825607</v>
      </c>
      <c r="R71" s="16">
        <f t="shared" si="29"/>
        <v>649.20298665622863</v>
      </c>
      <c r="S71" s="16">
        <f t="shared" si="29"/>
        <v>844.00128719875784</v>
      </c>
      <c r="T71" s="16">
        <f t="shared" si="29"/>
        <v>1030.3375284103211</v>
      </c>
      <c r="U71" s="16">
        <f t="shared" si="29"/>
        <v>1205.9117239141751</v>
      </c>
      <c r="V71" s="16">
        <f t="shared" si="29"/>
        <v>1369.7568817194326</v>
      </c>
      <c r="W71" s="16">
        <f t="shared" si="29"/>
        <v>1521.5107515521011</v>
      </c>
      <c r="X71" s="16">
        <f t="shared" si="29"/>
        <v>1689.8103435063385</v>
      </c>
      <c r="Y71" s="16">
        <f t="shared" si="29"/>
        <v>1930.5701842287338</v>
      </c>
      <c r="Z71" s="16">
        <f t="shared" si="29"/>
        <v>2156.2660249118057</v>
      </c>
      <c r="AA71" s="16">
        <f t="shared" si="29"/>
        <v>2369.0152703361864</v>
      </c>
      <c r="AB71" s="16">
        <f t="shared" si="29"/>
        <v>2567.4611713913405</v>
      </c>
      <c r="AC71" s="119">
        <f t="shared" si="29"/>
        <v>2749.7681436141274</v>
      </c>
      <c r="AD71" s="211">
        <f t="shared" si="29"/>
        <v>2915.3732503254155</v>
      </c>
      <c r="AE71" s="16">
        <f t="shared" si="29"/>
        <v>3065.7347351541471</v>
      </c>
      <c r="AF71" s="16">
        <f t="shared" si="29"/>
        <v>3202.1895714050534</v>
      </c>
      <c r="AG71" s="16">
        <f t="shared" si="29"/>
        <v>3325.9305316038672</v>
      </c>
      <c r="AH71" s="16">
        <f t="shared" si="29"/>
        <v>3438.0360740230349</v>
      </c>
      <c r="AI71" s="16">
        <f t="shared" si="29"/>
        <v>3539.5016082156417</v>
      </c>
      <c r="AJ71" s="16"/>
    </row>
    <row r="72" spans="1:36">
      <c r="A72" s="6" t="s">
        <v>68</v>
      </c>
      <c r="B72" s="119">
        <f t="shared" si="26"/>
        <v>445.38108</v>
      </c>
      <c r="C72" s="16">
        <f t="shared" ref="C72:AI72" si="30">B72+C45</f>
        <v>851.33956172446119</v>
      </c>
      <c r="D72" s="16">
        <f t="shared" si="30"/>
        <v>1234.3846767848615</v>
      </c>
      <c r="E72" s="16">
        <f t="shared" si="30"/>
        <v>1609.8140830391994</v>
      </c>
      <c r="F72" s="16">
        <f t="shared" si="30"/>
        <v>1841.6073557044078</v>
      </c>
      <c r="G72" s="16">
        <f t="shared" si="30"/>
        <v>1948.5149827850059</v>
      </c>
      <c r="H72" s="16">
        <f t="shared" si="30"/>
        <v>1987.5993937851374</v>
      </c>
      <c r="I72" s="16">
        <f t="shared" si="30"/>
        <v>2008.2714294317668</v>
      </c>
      <c r="J72" s="16">
        <f t="shared" si="30"/>
        <v>2020.7899924519022</v>
      </c>
      <c r="K72" s="16">
        <f t="shared" si="30"/>
        <v>2032.8357806093682</v>
      </c>
      <c r="L72" s="16">
        <f t="shared" si="30"/>
        <v>2044.3940414916899</v>
      </c>
      <c r="M72" s="16">
        <f t="shared" si="30"/>
        <v>2055.542479402754</v>
      </c>
      <c r="N72" s="16">
        <f t="shared" si="30"/>
        <v>2066.2488453223386</v>
      </c>
      <c r="O72" s="16">
        <f t="shared" si="30"/>
        <v>2076.5622768960829</v>
      </c>
      <c r="P72" s="16">
        <f t="shared" si="30"/>
        <v>2088.8585983976136</v>
      </c>
      <c r="Q72" s="16">
        <f t="shared" si="30"/>
        <v>2102.257640163577</v>
      </c>
      <c r="R72" s="16">
        <f t="shared" si="30"/>
        <v>2115.2589098709695</v>
      </c>
      <c r="S72" s="16">
        <f t="shared" si="30"/>
        <v>2127.8361838234</v>
      </c>
      <c r="T72" s="16">
        <f t="shared" si="30"/>
        <v>2140.2919605391558</v>
      </c>
      <c r="U72" s="16">
        <f t="shared" si="30"/>
        <v>2152.5006290985689</v>
      </c>
      <c r="V72" s="16">
        <f t="shared" si="30"/>
        <v>2164.3884572148409</v>
      </c>
      <c r="W72" s="16">
        <f t="shared" si="30"/>
        <v>2175.8834596855172</v>
      </c>
      <c r="X72" s="16">
        <f t="shared" si="30"/>
        <v>2188.2271348376808</v>
      </c>
      <c r="Y72" s="16">
        <f t="shared" si="30"/>
        <v>2200.9739055740197</v>
      </c>
      <c r="Z72" s="16">
        <f t="shared" si="30"/>
        <v>2213.5287922277644</v>
      </c>
      <c r="AA72" s="16">
        <f t="shared" si="30"/>
        <v>2225.8664906713416</v>
      </c>
      <c r="AB72" s="16">
        <f t="shared" si="30"/>
        <v>2237.8016250700894</v>
      </c>
      <c r="AC72" s="119">
        <f t="shared" si="30"/>
        <v>2249.3366308828627</v>
      </c>
      <c r="AD72" s="211">
        <f t="shared" si="30"/>
        <v>2260.3869889026955</v>
      </c>
      <c r="AE72" s="16">
        <f t="shared" si="30"/>
        <v>2270.5927499132326</v>
      </c>
      <c r="AF72" s="16">
        <f t="shared" si="30"/>
        <v>2279.5653276300259</v>
      </c>
      <c r="AG72" s="16">
        <f t="shared" si="30"/>
        <v>2287.4636514593508</v>
      </c>
      <c r="AH72" s="16">
        <f t="shared" si="30"/>
        <v>2294.5870999196495</v>
      </c>
      <c r="AI72" s="16">
        <f t="shared" si="30"/>
        <v>2301.4030372706197</v>
      </c>
      <c r="AJ72" s="16"/>
    </row>
    <row r="73" spans="1:36">
      <c r="A73" s="6" t="s">
        <v>67</v>
      </c>
      <c r="B73" s="119">
        <f t="shared" si="26"/>
        <v>390.67815999999999</v>
      </c>
      <c r="C73" s="16">
        <f t="shared" ref="C73:AI73" si="31">B73+C46</f>
        <v>751.38318343017806</v>
      </c>
      <c r="D73" s="16">
        <f t="shared" si="31"/>
        <v>1086.742172405917</v>
      </c>
      <c r="E73" s="16">
        <f t="shared" si="31"/>
        <v>1401.0430055603115</v>
      </c>
      <c r="F73" s="16">
        <f t="shared" si="31"/>
        <v>1696.3781385814136</v>
      </c>
      <c r="G73" s="16">
        <f t="shared" si="31"/>
        <v>1972.4465282824722</v>
      </c>
      <c r="H73" s="16">
        <f t="shared" si="31"/>
        <v>2231.1797962597147</v>
      </c>
      <c r="I73" s="16">
        <f t="shared" si="31"/>
        <v>2473.6664515555135</v>
      </c>
      <c r="J73" s="16">
        <f t="shared" si="31"/>
        <v>2701.5208601951203</v>
      </c>
      <c r="K73" s="16">
        <f t="shared" si="31"/>
        <v>2914.5107631690626</v>
      </c>
      <c r="L73" s="16">
        <f t="shared" si="31"/>
        <v>3114.1264173152126</v>
      </c>
      <c r="M73" s="16">
        <f t="shared" si="31"/>
        <v>3301.2076252982552</v>
      </c>
      <c r="N73" s="16">
        <f t="shared" si="31"/>
        <v>3476.9998888377081</v>
      </c>
      <c r="O73" s="16">
        <f t="shared" si="31"/>
        <v>3641.3240174704747</v>
      </c>
      <c r="P73" s="16">
        <f t="shared" si="31"/>
        <v>3827.7736806328917</v>
      </c>
      <c r="Q73" s="16">
        <f t="shared" si="31"/>
        <v>4024.9282174055056</v>
      </c>
      <c r="R73" s="16">
        <f t="shared" si="31"/>
        <v>4214.5047565168115</v>
      </c>
      <c r="S73" s="16">
        <f t="shared" si="31"/>
        <v>4395.3917957013064</v>
      </c>
      <c r="T73" s="16">
        <f t="shared" si="31"/>
        <v>4573.7830405061623</v>
      </c>
      <c r="U73" s="16">
        <f t="shared" si="31"/>
        <v>4746.9055220153441</v>
      </c>
      <c r="V73" s="16">
        <f t="shared" si="31"/>
        <v>4913.2464642953255</v>
      </c>
      <c r="W73" s="16">
        <f t="shared" si="31"/>
        <v>5071.8799116172104</v>
      </c>
      <c r="X73" s="16">
        <f t="shared" si="31"/>
        <v>5239.1324438043885</v>
      </c>
      <c r="Y73" s="16">
        <f t="shared" si="31"/>
        <v>5408.3365453385968</v>
      </c>
      <c r="Z73" s="16">
        <f t="shared" si="31"/>
        <v>5573.8807981193149</v>
      </c>
      <c r="AA73" s="16">
        <f t="shared" si="31"/>
        <v>5737.0380301703844</v>
      </c>
      <c r="AB73" s="16">
        <f t="shared" si="31"/>
        <v>5895.403399792569</v>
      </c>
      <c r="AC73" s="119">
        <f t="shared" si="31"/>
        <v>6045.9759219009757</v>
      </c>
      <c r="AD73" s="211">
        <f t="shared" si="31"/>
        <v>6187.0935621150393</v>
      </c>
      <c r="AE73" s="16">
        <f t="shared" si="31"/>
        <v>6319.3500196727373</v>
      </c>
      <c r="AF73" s="16">
        <f t="shared" si="31"/>
        <v>6443.301713728687</v>
      </c>
      <c r="AG73" s="16">
        <f t="shared" si="31"/>
        <v>6559.4701242778428</v>
      </c>
      <c r="AH73" s="16">
        <f t="shared" si="31"/>
        <v>6668.3439860858616</v>
      </c>
      <c r="AI73" s="16">
        <f t="shared" si="31"/>
        <v>6770.3813448562632</v>
      </c>
      <c r="AJ73" s="16"/>
    </row>
    <row r="74" spans="1:36">
      <c r="A74" s="6" t="s">
        <v>383</v>
      </c>
      <c r="B74" s="119">
        <f t="shared" si="26"/>
        <v>0</v>
      </c>
      <c r="C74" s="16">
        <f t="shared" ref="C74:AI74" si="32">B74+C47</f>
        <v>0.95602539473914416</v>
      </c>
      <c r="D74" s="16">
        <f t="shared" si="32"/>
        <v>1.5072266250072159</v>
      </c>
      <c r="E74" s="16">
        <f t="shared" si="32"/>
        <v>2.0695367321701985</v>
      </c>
      <c r="F74" s="16">
        <f t="shared" si="32"/>
        <v>2.5900853804250303</v>
      </c>
      <c r="G74" s="16">
        <f t="shared" si="32"/>
        <v>3.0645593924772814</v>
      </c>
      <c r="H74" s="16">
        <f t="shared" si="32"/>
        <v>3.4105074444231458</v>
      </c>
      <c r="I74" s="16">
        <f t="shared" si="32"/>
        <v>3.7694032877547321</v>
      </c>
      <c r="J74" s="16">
        <f t="shared" si="32"/>
        <v>4.081384694912491</v>
      </c>
      <c r="K74" s="16">
        <f t="shared" si="32"/>
        <v>4.385661652913285</v>
      </c>
      <c r="L74" s="16">
        <f t="shared" si="32"/>
        <v>4.6936161007606358</v>
      </c>
      <c r="M74" s="16">
        <f t="shared" si="32"/>
        <v>4.876091196085361</v>
      </c>
      <c r="N74" s="16">
        <f t="shared" si="32"/>
        <v>5.0454798390598876</v>
      </c>
      <c r="O74" s="16">
        <f t="shared" si="32"/>
        <v>5.2294447586090405</v>
      </c>
      <c r="P74" s="16">
        <f t="shared" si="32"/>
        <v>5.3836719529946686</v>
      </c>
      <c r="Q74" s="16">
        <f t="shared" si="32"/>
        <v>5.5346613210514448</v>
      </c>
      <c r="R74" s="16">
        <f t="shared" si="32"/>
        <v>5.690057206126018</v>
      </c>
      <c r="S74" s="16">
        <f t="shared" si="32"/>
        <v>5.8275763916379768</v>
      </c>
      <c r="T74" s="16">
        <f t="shared" si="32"/>
        <v>5.9557466681538642</v>
      </c>
      <c r="U74" s="16">
        <f t="shared" si="32"/>
        <v>6.0933307004328334</v>
      </c>
      <c r="V74" s="16">
        <f t="shared" si="32"/>
        <v>6.2103146406013154</v>
      </c>
      <c r="W74" s="16">
        <f t="shared" si="32"/>
        <v>6.3246720109823338</v>
      </c>
      <c r="X74" s="16">
        <f t="shared" si="32"/>
        <v>6.4415980915041979</v>
      </c>
      <c r="Y74" s="16">
        <f t="shared" si="32"/>
        <v>6.5460068556555422</v>
      </c>
      <c r="Z74" s="16">
        <f t="shared" si="32"/>
        <v>6.6436912405524309</v>
      </c>
      <c r="AA74" s="16">
        <f t="shared" si="32"/>
        <v>6.7473794896881474</v>
      </c>
      <c r="AB74" s="16">
        <f t="shared" si="32"/>
        <v>6.8299441406162629</v>
      </c>
      <c r="AC74" s="119">
        <f t="shared" si="32"/>
        <v>6.9134101017759475</v>
      </c>
      <c r="AD74" s="211">
        <f t="shared" si="32"/>
        <v>6.9892525522111812</v>
      </c>
      <c r="AE74" s="16">
        <f t="shared" si="32"/>
        <v>7.065161560369619</v>
      </c>
      <c r="AF74" s="16">
        <f t="shared" si="32"/>
        <v>7.1348731753412622</v>
      </c>
      <c r="AG74" s="16">
        <f t="shared" si="32"/>
        <v>7.2050716835813713</v>
      </c>
      <c r="AH74" s="16">
        <f t="shared" si="32"/>
        <v>7.266976907278667</v>
      </c>
      <c r="AI74" s="16">
        <f t="shared" si="32"/>
        <v>7.325205364161631</v>
      </c>
      <c r="AJ74" s="16"/>
    </row>
    <row r="75" spans="1:36">
      <c r="A75" s="6" t="s">
        <v>65</v>
      </c>
      <c r="B75" s="119">
        <f t="shared" si="26"/>
        <v>849.84470000000033</v>
      </c>
      <c r="C75" s="16">
        <f t="shared" ref="C75:AI75" si="33">B75+C48</f>
        <v>1654.8567805998127</v>
      </c>
      <c r="D75" s="16">
        <f t="shared" si="33"/>
        <v>2423.7584037160659</v>
      </c>
      <c r="E75" s="16">
        <f t="shared" si="33"/>
        <v>3146.1251199951512</v>
      </c>
      <c r="F75" s="16">
        <f t="shared" si="33"/>
        <v>3813.1310494597828</v>
      </c>
      <c r="G75" s="16">
        <f t="shared" si="33"/>
        <v>4480.8888270941115</v>
      </c>
      <c r="H75" s="16">
        <f t="shared" si="33"/>
        <v>5160.2965918698073</v>
      </c>
      <c r="I75" s="16">
        <f t="shared" si="33"/>
        <v>5876.7679007278712</v>
      </c>
      <c r="J75" s="16">
        <f t="shared" si="33"/>
        <v>6650.9240799206327</v>
      </c>
      <c r="K75" s="16">
        <f t="shared" si="33"/>
        <v>7436.3385263804366</v>
      </c>
      <c r="L75" s="16">
        <f t="shared" si="33"/>
        <v>8222.2054940084909</v>
      </c>
      <c r="M75" s="16">
        <f t="shared" si="33"/>
        <v>8989.7452134719842</v>
      </c>
      <c r="N75" s="16">
        <f t="shared" si="33"/>
        <v>9756.9092889244712</v>
      </c>
      <c r="O75" s="16">
        <f t="shared" si="33"/>
        <v>10481.243627305274</v>
      </c>
      <c r="P75" s="16">
        <f t="shared" si="33"/>
        <v>11180.627477681814</v>
      </c>
      <c r="Q75" s="16">
        <f t="shared" si="33"/>
        <v>11861.205816028421</v>
      </c>
      <c r="R75" s="16">
        <f t="shared" si="33"/>
        <v>12518.422509764689</v>
      </c>
      <c r="S75" s="16">
        <f t="shared" si="33"/>
        <v>13184.649641837002</v>
      </c>
      <c r="T75" s="16">
        <f t="shared" si="33"/>
        <v>13844.952355254938</v>
      </c>
      <c r="U75" s="16">
        <f t="shared" si="33"/>
        <v>14485.968258324949</v>
      </c>
      <c r="V75" s="16">
        <f t="shared" si="33"/>
        <v>15118.365602906781</v>
      </c>
      <c r="W75" s="16">
        <f t="shared" si="33"/>
        <v>15740.382260188768</v>
      </c>
      <c r="X75" s="16">
        <f t="shared" si="33"/>
        <v>16336.899650525009</v>
      </c>
      <c r="Y75" s="16">
        <f t="shared" si="33"/>
        <v>16908.094569330555</v>
      </c>
      <c r="Z75" s="16">
        <f t="shared" si="33"/>
        <v>17473.410860263299</v>
      </c>
      <c r="AA75" s="16">
        <f t="shared" si="33"/>
        <v>18036.501108714998</v>
      </c>
      <c r="AB75" s="16">
        <f t="shared" si="33"/>
        <v>18591.798561689866</v>
      </c>
      <c r="AC75" s="119">
        <f t="shared" si="33"/>
        <v>19119.767408938766</v>
      </c>
      <c r="AD75" s="211">
        <f t="shared" si="33"/>
        <v>19634.384932577745</v>
      </c>
      <c r="AE75" s="16">
        <f t="shared" si="33"/>
        <v>20124.302821563742</v>
      </c>
      <c r="AF75" s="16">
        <f t="shared" si="33"/>
        <v>20594.385699377053</v>
      </c>
      <c r="AG75" s="16">
        <f t="shared" si="33"/>
        <v>21049.451809994291</v>
      </c>
      <c r="AH75" s="16">
        <f t="shared" si="33"/>
        <v>21493.370714020519</v>
      </c>
      <c r="AI75" s="16">
        <f t="shared" si="33"/>
        <v>21923.813485886065</v>
      </c>
      <c r="AJ75" s="16"/>
    </row>
    <row r="76" spans="1:36">
      <c r="A76" s="6" t="s">
        <v>52</v>
      </c>
      <c r="B76" s="119">
        <f t="shared" si="26"/>
        <v>86.065810000000013</v>
      </c>
      <c r="C76" s="16">
        <f t="shared" ref="C76:AI76" si="34">B76+C49</f>
        <v>171.47644730084352</v>
      </c>
      <c r="D76" s="16">
        <f t="shared" si="34"/>
        <v>257.22626130870833</v>
      </c>
      <c r="E76" s="16">
        <f t="shared" si="34"/>
        <v>341.78020909074212</v>
      </c>
      <c r="F76" s="16">
        <f t="shared" si="34"/>
        <v>427.80665691012041</v>
      </c>
      <c r="G76" s="16">
        <f t="shared" si="34"/>
        <v>518.13256715626551</v>
      </c>
      <c r="H76" s="16">
        <f t="shared" si="34"/>
        <v>617.46741303891747</v>
      </c>
      <c r="I76" s="16">
        <f t="shared" si="34"/>
        <v>722.65124025003945</v>
      </c>
      <c r="J76" s="16">
        <f t="shared" si="34"/>
        <v>834.80338010883031</v>
      </c>
      <c r="K76" s="16">
        <f t="shared" si="34"/>
        <v>948.23055490406023</v>
      </c>
      <c r="L76" s="16">
        <f t="shared" si="34"/>
        <v>1066.0221384297497</v>
      </c>
      <c r="M76" s="16">
        <f t="shared" si="34"/>
        <v>1186.6966377163601</v>
      </c>
      <c r="N76" s="16">
        <f t="shared" si="34"/>
        <v>1305.4438876966699</v>
      </c>
      <c r="O76" s="16">
        <f t="shared" si="34"/>
        <v>1424.516467034842</v>
      </c>
      <c r="P76" s="16">
        <f t="shared" si="34"/>
        <v>1538.3101808875861</v>
      </c>
      <c r="Q76" s="16">
        <f t="shared" si="34"/>
        <v>1650.4538477887641</v>
      </c>
      <c r="R76" s="16">
        <f t="shared" si="34"/>
        <v>1762.6111202546799</v>
      </c>
      <c r="S76" s="16">
        <f t="shared" si="34"/>
        <v>1880.9712415895158</v>
      </c>
      <c r="T76" s="16">
        <f t="shared" si="34"/>
        <v>1997.3539085601294</v>
      </c>
      <c r="U76" s="16">
        <f t="shared" si="34"/>
        <v>2118.1434942300393</v>
      </c>
      <c r="V76" s="16">
        <f t="shared" si="34"/>
        <v>2233.6577421152433</v>
      </c>
      <c r="W76" s="16">
        <f t="shared" si="34"/>
        <v>2348.5839855246909</v>
      </c>
      <c r="X76" s="16">
        <f t="shared" si="34"/>
        <v>2458.0507868999248</v>
      </c>
      <c r="Y76" s="16">
        <f t="shared" si="34"/>
        <v>2565.2766566088367</v>
      </c>
      <c r="Z76" s="16">
        <f t="shared" si="34"/>
        <v>2668.9827473744672</v>
      </c>
      <c r="AA76" s="16">
        <f t="shared" si="34"/>
        <v>2771.7576016647513</v>
      </c>
      <c r="AB76" s="16">
        <f t="shared" si="34"/>
        <v>2871.299671421627</v>
      </c>
      <c r="AC76" s="119">
        <f t="shared" si="34"/>
        <v>2969.5608089017046</v>
      </c>
      <c r="AD76" s="211">
        <f t="shared" si="34"/>
        <v>3064.3921960294429</v>
      </c>
      <c r="AE76" s="16">
        <f t="shared" si="34"/>
        <v>3156.7761945765355</v>
      </c>
      <c r="AF76" s="16">
        <f t="shared" si="34"/>
        <v>3246.0558603890022</v>
      </c>
      <c r="AG76" s="16">
        <f t="shared" si="34"/>
        <v>3335.7557031368974</v>
      </c>
      <c r="AH76" s="16">
        <f t="shared" si="34"/>
        <v>3420.0580106915563</v>
      </c>
      <c r="AI76" s="16">
        <f t="shared" si="34"/>
        <v>3502.7189521137448</v>
      </c>
      <c r="AJ76" s="16"/>
    </row>
    <row r="77" spans="1:36">
      <c r="A77" s="36" t="s">
        <v>66</v>
      </c>
      <c r="B77" s="119">
        <f t="shared" si="26"/>
        <v>6.2319722000000004</v>
      </c>
      <c r="C77" s="16">
        <f t="shared" ref="C77:AI77" si="35">B77+C50</f>
        <v>12.297076417432052</v>
      </c>
      <c r="D77" s="16">
        <f t="shared" si="35"/>
        <v>17.833946602387726</v>
      </c>
      <c r="E77" s="16">
        <f t="shared" si="35"/>
        <v>22.496262456088893</v>
      </c>
      <c r="F77" s="16">
        <f t="shared" si="35"/>
        <v>26.737524076795875</v>
      </c>
      <c r="G77" s="16">
        <f t="shared" si="35"/>
        <v>31.021996334393148</v>
      </c>
      <c r="H77" s="16">
        <f t="shared" si="35"/>
        <v>35.206112320259948</v>
      </c>
      <c r="I77" s="16">
        <f t="shared" si="35"/>
        <v>39.424772211469339</v>
      </c>
      <c r="J77" s="16">
        <f t="shared" si="35"/>
        <v>43.880242222082479</v>
      </c>
      <c r="K77" s="16">
        <f t="shared" si="35"/>
        <v>48.131990342818398</v>
      </c>
      <c r="L77" s="16">
        <f t="shared" si="35"/>
        <v>52.471558339547606</v>
      </c>
      <c r="M77" s="16">
        <f t="shared" si="35"/>
        <v>56.460914413797063</v>
      </c>
      <c r="N77" s="16">
        <f t="shared" si="35"/>
        <v>60.151134885277685</v>
      </c>
      <c r="O77" s="16">
        <f t="shared" si="35"/>
        <v>63.357442273553588</v>
      </c>
      <c r="P77" s="16">
        <f t="shared" si="35"/>
        <v>64.648056302412115</v>
      </c>
      <c r="Q77" s="16">
        <f t="shared" si="35"/>
        <v>65.283751103090566</v>
      </c>
      <c r="R77" s="16">
        <f t="shared" si="35"/>
        <v>65.883245389252679</v>
      </c>
      <c r="S77" s="16">
        <f t="shared" si="35"/>
        <v>66.451803135699933</v>
      </c>
      <c r="T77" s="16">
        <f t="shared" si="35"/>
        <v>66.991225838412376</v>
      </c>
      <c r="U77" s="16">
        <f t="shared" si="35"/>
        <v>67.501860261541822</v>
      </c>
      <c r="V77" s="16">
        <f t="shared" si="35"/>
        <v>67.990352914436983</v>
      </c>
      <c r="W77" s="16">
        <f t="shared" si="35"/>
        <v>68.450761699706177</v>
      </c>
      <c r="X77" s="16">
        <f t="shared" si="35"/>
        <v>68.881883143796188</v>
      </c>
      <c r="Y77" s="16">
        <f t="shared" si="35"/>
        <v>69.291914225469924</v>
      </c>
      <c r="Z77" s="16">
        <f t="shared" si="35"/>
        <v>69.680561569247061</v>
      </c>
      <c r="AA77" s="16">
        <f t="shared" si="35"/>
        <v>70.046881894644926</v>
      </c>
      <c r="AB77" s="16">
        <f t="shared" si="35"/>
        <v>70.397062901895467</v>
      </c>
      <c r="AC77" s="119">
        <f t="shared" si="35"/>
        <v>70.725343574384155</v>
      </c>
      <c r="AD77" s="211">
        <f t="shared" si="35"/>
        <v>71.035081771415932</v>
      </c>
      <c r="AE77" s="16">
        <f t="shared" si="35"/>
        <v>71.325602395584397</v>
      </c>
      <c r="AF77" s="16">
        <f t="shared" si="35"/>
        <v>71.602640778559831</v>
      </c>
      <c r="AG77" s="16">
        <f t="shared" si="35"/>
        <v>71.86441005583049</v>
      </c>
      <c r="AH77" s="16">
        <f t="shared" si="35"/>
        <v>72.115746063174313</v>
      </c>
      <c r="AI77" s="16">
        <f t="shared" si="35"/>
        <v>72.354634024024719</v>
      </c>
      <c r="AJ77" s="16"/>
    </row>
    <row r="78" spans="1:36">
      <c r="A78" s="12" t="s">
        <v>69</v>
      </c>
      <c r="B78" s="212">
        <f t="shared" si="26"/>
        <v>0</v>
      </c>
      <c r="C78" s="212">
        <f t="shared" ref="C78:AH78" si="36">B78+C51</f>
        <v>0</v>
      </c>
      <c r="D78" s="212">
        <f t="shared" si="36"/>
        <v>0</v>
      </c>
      <c r="E78" s="212">
        <f t="shared" si="36"/>
        <v>0</v>
      </c>
      <c r="F78" s="212">
        <f t="shared" si="36"/>
        <v>0</v>
      </c>
      <c r="G78" s="212">
        <f t="shared" si="36"/>
        <v>70.574959255847418</v>
      </c>
      <c r="H78" s="212">
        <f t="shared" si="36"/>
        <v>176.7491279426697</v>
      </c>
      <c r="I78" s="212">
        <f t="shared" si="36"/>
        <v>314.82421188192518</v>
      </c>
      <c r="J78" s="212">
        <f t="shared" si="36"/>
        <v>483.64417827520595</v>
      </c>
      <c r="K78" s="212">
        <f t="shared" si="36"/>
        <v>676.11098272043864</v>
      </c>
      <c r="L78" s="212">
        <f t="shared" si="36"/>
        <v>892.4278529075109</v>
      </c>
      <c r="M78" s="212">
        <f t="shared" si="36"/>
        <v>1120.8685093901779</v>
      </c>
      <c r="N78" s="212">
        <f t="shared" si="36"/>
        <v>1364.1438033873185</v>
      </c>
      <c r="O78" s="212">
        <f t="shared" si="36"/>
        <v>1617.0694368284417</v>
      </c>
      <c r="P78" s="212">
        <f t="shared" si="36"/>
        <v>1857.5821005212997</v>
      </c>
      <c r="Q78" s="212">
        <f t="shared" si="36"/>
        <v>2097.124170212805</v>
      </c>
      <c r="R78" s="212">
        <f t="shared" si="36"/>
        <v>2344.8000479652301</v>
      </c>
      <c r="S78" s="212">
        <f t="shared" si="36"/>
        <v>2597.7950693482339</v>
      </c>
      <c r="T78" s="212">
        <f t="shared" si="36"/>
        <v>2855.088697600233</v>
      </c>
      <c r="U78" s="212">
        <f t="shared" si="36"/>
        <v>3116.834220203943</v>
      </c>
      <c r="V78" s="212">
        <f t="shared" si="36"/>
        <v>3380.1640421944121</v>
      </c>
      <c r="W78" s="212">
        <f t="shared" si="36"/>
        <v>3645.2857556382114</v>
      </c>
      <c r="X78" s="212">
        <f t="shared" si="36"/>
        <v>3904.4512510247919</v>
      </c>
      <c r="Y78" s="212">
        <f t="shared" si="36"/>
        <v>4160.0593902580868</v>
      </c>
      <c r="Z78" s="212">
        <f t="shared" si="36"/>
        <v>4416.0969219655499</v>
      </c>
      <c r="AA78" s="212">
        <f t="shared" si="36"/>
        <v>4669.5364161399675</v>
      </c>
      <c r="AB78" s="212">
        <f t="shared" si="36"/>
        <v>4921.3713031104589</v>
      </c>
      <c r="AC78" s="212">
        <f t="shared" si="36"/>
        <v>5167.4757976990086</v>
      </c>
      <c r="AD78" s="213">
        <f t="shared" si="36"/>
        <v>5408.9017991422197</v>
      </c>
      <c r="AE78" s="212">
        <f t="shared" si="36"/>
        <v>5643.8650543395897</v>
      </c>
      <c r="AF78" s="212">
        <f t="shared" si="36"/>
        <v>5875.4499880681333</v>
      </c>
      <c r="AG78" s="212">
        <f t="shared" si="36"/>
        <v>6102.1603146770685</v>
      </c>
      <c r="AH78" s="212">
        <f t="shared" si="36"/>
        <v>6325.7989180221693</v>
      </c>
      <c r="AI78" s="212">
        <f>AH78+AI51</f>
        <v>6544.6543072665327</v>
      </c>
      <c r="AJ78" s="212"/>
    </row>
    <row r="79" spans="1:36">
      <c r="A79" s="6" t="s">
        <v>61</v>
      </c>
      <c r="B79" s="15">
        <f t="shared" ref="B79:AI79" si="37">SUM(B69:B78)</f>
        <v>1843.4621723822067</v>
      </c>
      <c r="C79" s="15">
        <f t="shared" si="37"/>
        <v>3603.2402098619145</v>
      </c>
      <c r="D79" s="15">
        <f t="shared" si="37"/>
        <v>5332.5808934720717</v>
      </c>
      <c r="E79" s="15">
        <f t="shared" si="37"/>
        <v>7016.4760224752754</v>
      </c>
      <c r="F79" s="15">
        <f t="shared" si="37"/>
        <v>8507.3672115138324</v>
      </c>
      <c r="G79" s="15">
        <f t="shared" si="37"/>
        <v>9905.9655081888232</v>
      </c>
      <c r="H79" s="15">
        <f t="shared" si="37"/>
        <v>11250.370199711757</v>
      </c>
      <c r="I79" s="15">
        <f t="shared" si="37"/>
        <v>12621.788714937647</v>
      </c>
      <c r="J79" s="15">
        <f t="shared" si="37"/>
        <v>14057.37870615839</v>
      </c>
      <c r="K79" s="15">
        <f t="shared" si="37"/>
        <v>15507.826858534523</v>
      </c>
      <c r="L79" s="15">
        <f t="shared" si="37"/>
        <v>16965.954541624036</v>
      </c>
      <c r="M79" s="15">
        <f t="shared" si="37"/>
        <v>18402.295940658067</v>
      </c>
      <c r="N79" s="15">
        <f t="shared" si="37"/>
        <v>19832.586045661243</v>
      </c>
      <c r="O79" s="15">
        <f t="shared" si="37"/>
        <v>21213.031973215006</v>
      </c>
      <c r="P79" s="15">
        <f t="shared" si="37"/>
        <v>22628.166526395329</v>
      </c>
      <c r="Q79" s="15">
        <f t="shared" si="37"/>
        <v>24162.807556477408</v>
      </c>
      <c r="R79" s="15">
        <f t="shared" si="37"/>
        <v>25653.398094834494</v>
      </c>
      <c r="S79" s="15">
        <f t="shared" si="37"/>
        <v>27134.644147766841</v>
      </c>
      <c r="T79" s="15">
        <f t="shared" si="37"/>
        <v>28598.962727405244</v>
      </c>
      <c r="U79" s="15">
        <f t="shared" si="37"/>
        <v>30032.138861910978</v>
      </c>
      <c r="V79" s="15">
        <f t="shared" si="37"/>
        <v>31429.60515690715</v>
      </c>
      <c r="W79" s="15">
        <f t="shared" si="37"/>
        <v>32793.547024648135</v>
      </c>
      <c r="X79" s="15">
        <f t="shared" si="37"/>
        <v>34142.891342885094</v>
      </c>
      <c r="Y79" s="15">
        <f t="shared" si="37"/>
        <v>35532.560140943926</v>
      </c>
      <c r="Z79" s="15">
        <f t="shared" si="37"/>
        <v>36891.327166347546</v>
      </c>
      <c r="AA79" s="15">
        <f t="shared" si="37"/>
        <v>38225.991597922737</v>
      </c>
      <c r="AB79" s="15">
        <f t="shared" si="37"/>
        <v>39526.013264900488</v>
      </c>
      <c r="AC79" s="52">
        <f t="shared" si="37"/>
        <v>40765.05630484585</v>
      </c>
      <c r="AD79" s="214">
        <f t="shared" si="37"/>
        <v>41954.270848973058</v>
      </c>
      <c r="AE79" s="15">
        <f t="shared" si="37"/>
        <v>43082.46678398487</v>
      </c>
      <c r="AF79" s="15">
        <f t="shared" si="37"/>
        <v>44157.328364119974</v>
      </c>
      <c r="AG79" s="15">
        <f t="shared" si="37"/>
        <v>45188.396851945916</v>
      </c>
      <c r="AH79" s="15">
        <f t="shared" si="37"/>
        <v>46175.916027982828</v>
      </c>
      <c r="AI79" s="15">
        <f t="shared" si="37"/>
        <v>47122.545215878527</v>
      </c>
      <c r="AJ79" s="15"/>
    </row>
    <row r="80" spans="1:36"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52"/>
      <c r="AD80" s="214"/>
      <c r="AE80" s="15"/>
      <c r="AF80" s="15"/>
      <c r="AG80" s="15"/>
      <c r="AH80" s="15"/>
      <c r="AI80" s="15"/>
      <c r="AJ80" s="15"/>
    </row>
    <row r="81" spans="1:36">
      <c r="A81" s="6" t="s">
        <v>70</v>
      </c>
      <c r="AC81" s="36"/>
      <c r="AD81" s="215"/>
    </row>
    <row r="82" spans="1:36">
      <c r="A82" s="152" t="str">
        <f>$A$68&amp;"-"&amp;$A$55</f>
        <v>Clean Energy Connection-SoBra 700MWs</v>
      </c>
      <c r="B82" s="152">
        <f>$B$1</f>
        <v>2020</v>
      </c>
      <c r="C82" s="152">
        <f t="shared" ref="C82:AI82" si="38">B82+1</f>
        <v>2021</v>
      </c>
      <c r="D82" s="152">
        <f t="shared" si="38"/>
        <v>2022</v>
      </c>
      <c r="E82" s="152">
        <f t="shared" si="38"/>
        <v>2023</v>
      </c>
      <c r="F82" s="152">
        <f t="shared" si="38"/>
        <v>2024</v>
      </c>
      <c r="G82" s="152">
        <f t="shared" si="38"/>
        <v>2025</v>
      </c>
      <c r="H82" s="152">
        <f t="shared" si="38"/>
        <v>2026</v>
      </c>
      <c r="I82" s="152">
        <f t="shared" si="38"/>
        <v>2027</v>
      </c>
      <c r="J82" s="152">
        <f t="shared" si="38"/>
        <v>2028</v>
      </c>
      <c r="K82" s="152">
        <f t="shared" si="38"/>
        <v>2029</v>
      </c>
      <c r="L82" s="152">
        <f t="shared" si="38"/>
        <v>2030</v>
      </c>
      <c r="M82" s="152">
        <f t="shared" si="38"/>
        <v>2031</v>
      </c>
      <c r="N82" s="152">
        <f t="shared" si="38"/>
        <v>2032</v>
      </c>
      <c r="O82" s="152">
        <f t="shared" si="38"/>
        <v>2033</v>
      </c>
      <c r="P82" s="152">
        <f t="shared" si="38"/>
        <v>2034</v>
      </c>
      <c r="Q82" s="152">
        <f t="shared" si="38"/>
        <v>2035</v>
      </c>
      <c r="R82" s="152">
        <f t="shared" si="38"/>
        <v>2036</v>
      </c>
      <c r="S82" s="152">
        <f t="shared" si="38"/>
        <v>2037</v>
      </c>
      <c r="T82" s="152">
        <f t="shared" si="38"/>
        <v>2038</v>
      </c>
      <c r="U82" s="152">
        <f t="shared" si="38"/>
        <v>2039</v>
      </c>
      <c r="V82" s="152">
        <f t="shared" si="38"/>
        <v>2040</v>
      </c>
      <c r="W82" s="152">
        <f t="shared" si="38"/>
        <v>2041</v>
      </c>
      <c r="X82" s="152">
        <f t="shared" si="38"/>
        <v>2042</v>
      </c>
      <c r="Y82" s="152">
        <f t="shared" si="38"/>
        <v>2043</v>
      </c>
      <c r="Z82" s="152">
        <f t="shared" si="38"/>
        <v>2044</v>
      </c>
      <c r="AA82" s="152">
        <f t="shared" si="38"/>
        <v>2045</v>
      </c>
      <c r="AB82" s="152">
        <f t="shared" si="38"/>
        <v>2046</v>
      </c>
      <c r="AC82" s="209">
        <f t="shared" si="38"/>
        <v>2047</v>
      </c>
      <c r="AD82" s="210">
        <f t="shared" si="38"/>
        <v>2048</v>
      </c>
      <c r="AE82" s="152">
        <f t="shared" si="38"/>
        <v>2049</v>
      </c>
      <c r="AF82" s="152">
        <f t="shared" si="38"/>
        <v>2050</v>
      </c>
      <c r="AG82" s="152">
        <f t="shared" si="38"/>
        <v>2051</v>
      </c>
      <c r="AH82" s="152">
        <f t="shared" si="38"/>
        <v>2052</v>
      </c>
      <c r="AI82" s="152">
        <f t="shared" si="38"/>
        <v>2053</v>
      </c>
      <c r="AJ82" s="152"/>
    </row>
    <row r="83" spans="1:36">
      <c r="A83" s="6" t="s">
        <v>134</v>
      </c>
      <c r="B83" s="119">
        <f t="shared" ref="B83:AI83" si="39">B15-B2</f>
        <v>0</v>
      </c>
      <c r="C83" s="119">
        <f t="shared" si="39"/>
        <v>0</v>
      </c>
      <c r="D83" s="119">
        <f t="shared" si="39"/>
        <v>0</v>
      </c>
      <c r="E83" s="119">
        <f t="shared" si="39"/>
        <v>0</v>
      </c>
      <c r="F83" s="119">
        <f t="shared" si="39"/>
        <v>0</v>
      </c>
      <c r="G83" s="119">
        <f t="shared" si="39"/>
        <v>0</v>
      </c>
      <c r="H83" s="119">
        <f t="shared" si="39"/>
        <v>0</v>
      </c>
      <c r="I83" s="119">
        <f t="shared" si="39"/>
        <v>0</v>
      </c>
      <c r="J83" s="119">
        <f t="shared" si="39"/>
        <v>0</v>
      </c>
      <c r="K83" s="119">
        <f t="shared" si="39"/>
        <v>0</v>
      </c>
      <c r="L83" s="119">
        <f t="shared" si="39"/>
        <v>0</v>
      </c>
      <c r="M83" s="119">
        <f t="shared" si="39"/>
        <v>0</v>
      </c>
      <c r="N83" s="119">
        <f t="shared" si="39"/>
        <v>0</v>
      </c>
      <c r="O83" s="119">
        <f t="shared" si="39"/>
        <v>0</v>
      </c>
      <c r="P83" s="119">
        <f t="shared" si="39"/>
        <v>0</v>
      </c>
      <c r="Q83" s="119">
        <f t="shared" si="39"/>
        <v>0</v>
      </c>
      <c r="R83" s="119">
        <f t="shared" si="39"/>
        <v>0</v>
      </c>
      <c r="S83" s="119">
        <f t="shared" si="39"/>
        <v>0</v>
      </c>
      <c r="T83" s="119">
        <f t="shared" si="39"/>
        <v>0</v>
      </c>
      <c r="U83" s="119">
        <f t="shared" si="39"/>
        <v>0</v>
      </c>
      <c r="V83" s="119">
        <f t="shared" si="39"/>
        <v>0</v>
      </c>
      <c r="W83" s="119">
        <f t="shared" si="39"/>
        <v>0</v>
      </c>
      <c r="X83" s="119">
        <f t="shared" si="39"/>
        <v>0</v>
      </c>
      <c r="Y83" s="119">
        <f t="shared" si="39"/>
        <v>0</v>
      </c>
      <c r="Z83" s="119">
        <f t="shared" si="39"/>
        <v>0</v>
      </c>
      <c r="AA83" s="119">
        <f t="shared" si="39"/>
        <v>0</v>
      </c>
      <c r="AB83" s="119">
        <f t="shared" si="39"/>
        <v>0</v>
      </c>
      <c r="AC83" s="119">
        <f t="shared" si="39"/>
        <v>0</v>
      </c>
      <c r="AD83" s="211">
        <f t="shared" si="39"/>
        <v>0</v>
      </c>
      <c r="AE83" s="119">
        <f t="shared" si="39"/>
        <v>0</v>
      </c>
      <c r="AF83" s="119">
        <f t="shared" si="39"/>
        <v>0</v>
      </c>
      <c r="AG83" s="119">
        <f t="shared" si="39"/>
        <v>0</v>
      </c>
      <c r="AH83" s="119">
        <f t="shared" si="39"/>
        <v>0</v>
      </c>
      <c r="AI83" s="119">
        <f t="shared" si="39"/>
        <v>0</v>
      </c>
      <c r="AJ83" s="119"/>
    </row>
    <row r="84" spans="1:36">
      <c r="A84" s="6" t="s">
        <v>135</v>
      </c>
      <c r="B84" s="119">
        <f t="shared" ref="B84:AI84" si="40">B16-B3</f>
        <v>0</v>
      </c>
      <c r="C84" s="119">
        <f t="shared" si="40"/>
        <v>0</v>
      </c>
      <c r="D84" s="119">
        <f t="shared" si="40"/>
        <v>30.858064131033437</v>
      </c>
      <c r="E84" s="119">
        <f t="shared" si="40"/>
        <v>87.07123900568844</v>
      </c>
      <c r="F84" s="119">
        <f t="shared" si="40"/>
        <v>138.32148483336081</v>
      </c>
      <c r="G84" s="119">
        <f t="shared" si="40"/>
        <v>131.34102763355375</v>
      </c>
      <c r="H84" s="119">
        <f t="shared" si="40"/>
        <v>125.32829334309196</v>
      </c>
      <c r="I84" s="119">
        <f t="shared" si="40"/>
        <v>112.37313136938053</v>
      </c>
      <c r="J84" s="119">
        <f t="shared" si="40"/>
        <v>108.5565089486837</v>
      </c>
      <c r="K84" s="119">
        <f t="shared" si="40"/>
        <v>105.48973259473424</v>
      </c>
      <c r="L84" s="119">
        <f t="shared" si="40"/>
        <v>102.87656792502673</v>
      </c>
      <c r="M84" s="119">
        <f t="shared" si="40"/>
        <v>100.51289638557827</v>
      </c>
      <c r="N84" s="119">
        <f t="shared" si="40"/>
        <v>98.179378177042935</v>
      </c>
      <c r="O84" s="119">
        <f t="shared" si="40"/>
        <v>95.847943420614058</v>
      </c>
      <c r="P84" s="119">
        <f t="shared" si="40"/>
        <v>93.474328160646081</v>
      </c>
      <c r="Q84" s="119">
        <f t="shared" si="40"/>
        <v>91.186331074785173</v>
      </c>
      <c r="R84" s="119">
        <f t="shared" si="40"/>
        <v>88.936995255073953</v>
      </c>
      <c r="S84" s="119">
        <f t="shared" si="40"/>
        <v>86.647567246409736</v>
      </c>
      <c r="T84" s="119">
        <f t="shared" si="40"/>
        <v>90.572619755463975</v>
      </c>
      <c r="U84" s="119">
        <f t="shared" si="40"/>
        <v>87.77172842682694</v>
      </c>
      <c r="V84" s="119">
        <f t="shared" si="40"/>
        <v>84.961956356760751</v>
      </c>
      <c r="W84" s="119">
        <f t="shared" si="40"/>
        <v>82.175389106315691</v>
      </c>
      <c r="X84" s="119">
        <f t="shared" si="40"/>
        <v>79.628352339490078</v>
      </c>
      <c r="Y84" s="119">
        <f t="shared" si="40"/>
        <v>77.276014548631224</v>
      </c>
      <c r="Z84" s="119">
        <f t="shared" si="40"/>
        <v>75.020683560031301</v>
      </c>
      <c r="AA84" s="119">
        <f t="shared" si="40"/>
        <v>72.691083602545405</v>
      </c>
      <c r="AB84" s="119">
        <f t="shared" si="40"/>
        <v>70.559218554413519</v>
      </c>
      <c r="AC84" s="119">
        <f t="shared" si="40"/>
        <v>68.396619754674475</v>
      </c>
      <c r="AD84" s="211">
        <f t="shared" si="40"/>
        <v>66.331776922346066</v>
      </c>
      <c r="AE84" s="119">
        <f t="shared" si="40"/>
        <v>64.19727863392194</v>
      </c>
      <c r="AF84" s="119">
        <f t="shared" si="40"/>
        <v>62.201468047298263</v>
      </c>
      <c r="AG84" s="119">
        <f t="shared" si="40"/>
        <v>63.884043803646705</v>
      </c>
      <c r="AH84" s="119">
        <f t="shared" si="40"/>
        <v>54.391358551299618</v>
      </c>
      <c r="AI84" s="119">
        <f t="shared" si="40"/>
        <v>31.274000020948147</v>
      </c>
      <c r="AJ84" s="119"/>
    </row>
    <row r="85" spans="1:36">
      <c r="A85" s="6" t="s">
        <v>60</v>
      </c>
      <c r="B85" s="119">
        <f t="shared" ref="B85:AI85" si="41">B17-B4</f>
        <v>0</v>
      </c>
      <c r="C85" s="119">
        <f t="shared" si="41"/>
        <v>0</v>
      </c>
      <c r="D85" s="119">
        <f t="shared" si="41"/>
        <v>0</v>
      </c>
      <c r="E85" s="119">
        <f t="shared" si="41"/>
        <v>0</v>
      </c>
      <c r="F85" s="119">
        <f t="shared" si="41"/>
        <v>0</v>
      </c>
      <c r="G85" s="119">
        <f t="shared" si="41"/>
        <v>0</v>
      </c>
      <c r="H85" s="119">
        <f t="shared" si="41"/>
        <v>0</v>
      </c>
      <c r="I85" s="119">
        <f t="shared" si="41"/>
        <v>-10.717088725236454</v>
      </c>
      <c r="J85" s="119">
        <f t="shared" si="41"/>
        <v>-28.823728181555392</v>
      </c>
      <c r="K85" s="119">
        <f t="shared" si="41"/>
        <v>-24.60565620192726</v>
      </c>
      <c r="L85" s="119">
        <f t="shared" si="41"/>
        <v>-27.253637617802788</v>
      </c>
      <c r="M85" s="119">
        <f t="shared" si="41"/>
        <v>-23.02029881135261</v>
      </c>
      <c r="N85" s="119">
        <f t="shared" si="41"/>
        <v>-25.834048984290732</v>
      </c>
      <c r="O85" s="119">
        <f t="shared" si="41"/>
        <v>-21.564427185999726</v>
      </c>
      <c r="P85" s="119">
        <f t="shared" si="41"/>
        <v>-27.746619659121023</v>
      </c>
      <c r="Q85" s="119">
        <f t="shared" si="41"/>
        <v>-37.530712998664058</v>
      </c>
      <c r="R85" s="119">
        <f t="shared" si="41"/>
        <v>-22.605420669398427</v>
      </c>
      <c r="S85" s="119">
        <f t="shared" si="41"/>
        <v>-12.169469296423586</v>
      </c>
      <c r="T85" s="119">
        <f t="shared" si="41"/>
        <v>-25.925327840755131</v>
      </c>
      <c r="U85" s="119">
        <f t="shared" si="41"/>
        <v>-35.077248597824905</v>
      </c>
      <c r="V85" s="119">
        <f t="shared" si="41"/>
        <v>-33.925412611250977</v>
      </c>
      <c r="W85" s="119">
        <f t="shared" si="41"/>
        <v>-32.789417284612114</v>
      </c>
      <c r="X85" s="119">
        <f t="shared" si="41"/>
        <v>-31.706987896875262</v>
      </c>
      <c r="Y85" s="119">
        <f t="shared" si="41"/>
        <v>-30.766241063007101</v>
      </c>
      <c r="Z85" s="119">
        <f t="shared" si="41"/>
        <v>-29.925209224712944</v>
      </c>
      <c r="AA85" s="119">
        <f t="shared" si="41"/>
        <v>-29.092902326120793</v>
      </c>
      <c r="AB85" s="119">
        <f t="shared" si="41"/>
        <v>-12.473613581555583</v>
      </c>
      <c r="AC85" s="119">
        <f t="shared" si="41"/>
        <v>-0.97800683653440501</v>
      </c>
      <c r="AD85" s="211">
        <f t="shared" si="41"/>
        <v>-0.97311125762553274</v>
      </c>
      <c r="AE85" s="119">
        <f t="shared" si="41"/>
        <v>-0.94998982090919526</v>
      </c>
      <c r="AF85" s="119">
        <f t="shared" si="41"/>
        <v>-0.95731738372535347</v>
      </c>
      <c r="AG85" s="119">
        <f t="shared" si="41"/>
        <v>-0.93705537965865915</v>
      </c>
      <c r="AH85" s="119">
        <f t="shared" si="41"/>
        <v>-0.79330288214714528</v>
      </c>
      <c r="AI85" s="119">
        <f t="shared" si="41"/>
        <v>-0.64222026114771325</v>
      </c>
      <c r="AJ85" s="119"/>
    </row>
    <row r="86" spans="1:36">
      <c r="A86" s="6" t="s">
        <v>68</v>
      </c>
      <c r="B86" s="119">
        <f t="shared" ref="B86:AI86" si="42">B18-B5</f>
        <v>0</v>
      </c>
      <c r="C86" s="119">
        <f t="shared" si="42"/>
        <v>0</v>
      </c>
      <c r="D86" s="119">
        <f t="shared" si="42"/>
        <v>0</v>
      </c>
      <c r="E86" s="119">
        <f t="shared" si="42"/>
        <v>0</v>
      </c>
      <c r="F86" s="119">
        <f t="shared" si="42"/>
        <v>0</v>
      </c>
      <c r="G86" s="119">
        <f t="shared" si="42"/>
        <v>0</v>
      </c>
      <c r="H86" s="119">
        <f t="shared" si="42"/>
        <v>0</v>
      </c>
      <c r="I86" s="119">
        <f t="shared" si="42"/>
        <v>-0.25713000000000363</v>
      </c>
      <c r="J86" s="119">
        <f t="shared" si="42"/>
        <v>-0.71538000000000324</v>
      </c>
      <c r="K86" s="119">
        <f t="shared" si="42"/>
        <v>-0.6560900000000025</v>
      </c>
      <c r="L86" s="119">
        <f t="shared" si="42"/>
        <v>-0.75160999999999234</v>
      </c>
      <c r="M86" s="119">
        <f t="shared" si="42"/>
        <v>-0.68928999999999618</v>
      </c>
      <c r="N86" s="119">
        <f t="shared" si="42"/>
        <v>-0.78964999999999819</v>
      </c>
      <c r="O86" s="119">
        <f t="shared" si="42"/>
        <v>-0.72418000000000049</v>
      </c>
      <c r="P86" s="119">
        <f t="shared" si="42"/>
        <v>-1.5089199999999963</v>
      </c>
      <c r="Q86" s="119">
        <f t="shared" si="42"/>
        <v>-2.2677599999999956</v>
      </c>
      <c r="R86" s="119">
        <f t="shared" si="42"/>
        <v>-1.64649</v>
      </c>
      <c r="S86" s="119">
        <f t="shared" si="42"/>
        <v>-1.1912800000000061</v>
      </c>
      <c r="T86" s="119">
        <f t="shared" si="42"/>
        <v>-1.9333500000000043</v>
      </c>
      <c r="U86" s="119">
        <f t="shared" si="42"/>
        <v>-2.5031800000000075</v>
      </c>
      <c r="V86" s="119">
        <f t="shared" si="42"/>
        <v>-2.5657600000000045</v>
      </c>
      <c r="W86" s="119">
        <f t="shared" si="42"/>
        <v>-2.6298999999999992</v>
      </c>
      <c r="X86" s="119">
        <f t="shared" si="42"/>
        <v>-2.6956600000000108</v>
      </c>
      <c r="Y86" s="119">
        <f t="shared" si="42"/>
        <v>-2.7630400000000108</v>
      </c>
      <c r="Z86" s="119">
        <f t="shared" si="42"/>
        <v>-2.8321199999999962</v>
      </c>
      <c r="AA86" s="119">
        <f t="shared" si="42"/>
        <v>-2.9029200000000088</v>
      </c>
      <c r="AB86" s="119">
        <f t="shared" si="42"/>
        <v>-2.1076500000000067</v>
      </c>
      <c r="AC86" s="119">
        <f t="shared" si="42"/>
        <v>-1.5249399999999866</v>
      </c>
      <c r="AD86" s="211">
        <f t="shared" si="42"/>
        <v>-1.5630600000000072</v>
      </c>
      <c r="AE86" s="119">
        <f t="shared" si="42"/>
        <v>-1.6021400000000057</v>
      </c>
      <c r="AF86" s="119">
        <f t="shared" si="42"/>
        <v>-1.6422000000000168</v>
      </c>
      <c r="AG86" s="119">
        <f t="shared" si="42"/>
        <v>-1.683250000000001</v>
      </c>
      <c r="AH86" s="119">
        <f t="shared" si="42"/>
        <v>-1.7253299999999925</v>
      </c>
      <c r="AI86" s="119">
        <f t="shared" si="42"/>
        <v>-1.7684599999999975</v>
      </c>
      <c r="AJ86" s="119"/>
    </row>
    <row r="87" spans="1:36">
      <c r="A87" s="6" t="s">
        <v>67</v>
      </c>
      <c r="B87" s="119">
        <f t="shared" ref="B87:AI87" si="43">B19-B6</f>
        <v>0</v>
      </c>
      <c r="C87" s="119">
        <f t="shared" si="43"/>
        <v>0</v>
      </c>
      <c r="D87" s="119">
        <f t="shared" si="43"/>
        <v>0</v>
      </c>
      <c r="E87" s="119">
        <f t="shared" si="43"/>
        <v>0</v>
      </c>
      <c r="F87" s="119">
        <f t="shared" si="43"/>
        <v>0</v>
      </c>
      <c r="G87" s="119">
        <f t="shared" si="43"/>
        <v>0</v>
      </c>
      <c r="H87" s="119">
        <f t="shared" si="43"/>
        <v>0</v>
      </c>
      <c r="I87" s="119">
        <f t="shared" si="43"/>
        <v>0</v>
      </c>
      <c r="J87" s="119">
        <f t="shared" si="43"/>
        <v>0</v>
      </c>
      <c r="K87" s="119">
        <f t="shared" si="43"/>
        <v>0</v>
      </c>
      <c r="L87" s="119">
        <f t="shared" si="43"/>
        <v>0</v>
      </c>
      <c r="M87" s="119">
        <f t="shared" si="43"/>
        <v>0</v>
      </c>
      <c r="N87" s="119">
        <f t="shared" si="43"/>
        <v>0</v>
      </c>
      <c r="O87" s="119">
        <f t="shared" si="43"/>
        <v>0</v>
      </c>
      <c r="P87" s="119">
        <f t="shared" si="43"/>
        <v>-25.800389999999936</v>
      </c>
      <c r="Q87" s="119">
        <f t="shared" si="43"/>
        <v>-44.229260000000068</v>
      </c>
      <c r="R87" s="119">
        <f t="shared" si="43"/>
        <v>-30.67599000000007</v>
      </c>
      <c r="S87" s="119">
        <f t="shared" si="43"/>
        <v>-20.995080000000144</v>
      </c>
      <c r="T87" s="119">
        <f t="shared" si="43"/>
        <v>-35.234469999999988</v>
      </c>
      <c r="U87" s="119">
        <f t="shared" si="43"/>
        <v>-45.405480000000011</v>
      </c>
      <c r="V87" s="119">
        <f t="shared" si="43"/>
        <v>-45.405500000000075</v>
      </c>
      <c r="W87" s="119">
        <f t="shared" si="43"/>
        <v>-45.405449999999973</v>
      </c>
      <c r="X87" s="119">
        <f t="shared" si="43"/>
        <v>-45.405450000000087</v>
      </c>
      <c r="Y87" s="119">
        <f t="shared" si="43"/>
        <v>-45.405449999999973</v>
      </c>
      <c r="Z87" s="119">
        <f t="shared" si="43"/>
        <v>-45.405500000000075</v>
      </c>
      <c r="AA87" s="119">
        <f t="shared" si="43"/>
        <v>-45.405499999999961</v>
      </c>
      <c r="AB87" s="119">
        <f t="shared" si="43"/>
        <v>-28.056119999999964</v>
      </c>
      <c r="AC87" s="119">
        <f t="shared" si="43"/>
        <v>-15.66377</v>
      </c>
      <c r="AD87" s="211">
        <f t="shared" si="43"/>
        <v>-15.66377</v>
      </c>
      <c r="AE87" s="119">
        <f t="shared" si="43"/>
        <v>-15.66377</v>
      </c>
      <c r="AF87" s="119">
        <f t="shared" si="43"/>
        <v>-15.66377</v>
      </c>
      <c r="AG87" s="119">
        <f t="shared" si="43"/>
        <v>-15.66377</v>
      </c>
      <c r="AH87" s="119">
        <f t="shared" si="43"/>
        <v>-15.66377</v>
      </c>
      <c r="AI87" s="119">
        <f t="shared" si="43"/>
        <v>-15.66377</v>
      </c>
      <c r="AJ87" s="119"/>
    </row>
    <row r="88" spans="1:36">
      <c r="A88" s="6" t="s">
        <v>383</v>
      </c>
      <c r="B88" s="119">
        <f t="shared" ref="B88:AI88" si="44">B20-B7</f>
        <v>0</v>
      </c>
      <c r="C88" s="119">
        <f t="shared" si="44"/>
        <v>1.0200790961866668</v>
      </c>
      <c r="D88" s="119">
        <f t="shared" si="44"/>
        <v>0.6275365374466666</v>
      </c>
      <c r="E88" s="119">
        <f t="shared" si="44"/>
        <v>0.68307619099066674</v>
      </c>
      <c r="F88" s="119">
        <f t="shared" si="44"/>
        <v>0.67471288001039997</v>
      </c>
      <c r="G88" s="119">
        <f t="shared" si="44"/>
        <v>0.65619743327906666</v>
      </c>
      <c r="H88" s="119">
        <f t="shared" si="44"/>
        <v>0.51050195073344673</v>
      </c>
      <c r="I88" s="119">
        <f t="shared" si="44"/>
        <v>0.56509226722358352</v>
      </c>
      <c r="J88" s="119">
        <f t="shared" si="44"/>
        <v>0.52413609409135764</v>
      </c>
      <c r="K88" s="119">
        <f t="shared" si="44"/>
        <v>0.54544233186889834</v>
      </c>
      <c r="L88" s="119">
        <f t="shared" si="44"/>
        <v>0.58902085979309859</v>
      </c>
      <c r="M88" s="119">
        <f t="shared" si="44"/>
        <v>0.37240217849023277</v>
      </c>
      <c r="N88" s="119">
        <f t="shared" si="44"/>
        <v>0.3688563987997398</v>
      </c>
      <c r="O88" s="119">
        <f t="shared" si="44"/>
        <v>0.42743734873186529</v>
      </c>
      <c r="P88" s="119">
        <f t="shared" si="44"/>
        <v>0.38235152804488787</v>
      </c>
      <c r="Q88" s="119">
        <f t="shared" si="44"/>
        <v>0.3994042288410346</v>
      </c>
      <c r="R88" s="119">
        <f t="shared" si="44"/>
        <v>0.43860161367439893</v>
      </c>
      <c r="S88" s="119">
        <f t="shared" si="44"/>
        <v>0.4141507209356976</v>
      </c>
      <c r="T88" s="119">
        <f t="shared" si="44"/>
        <v>0.41185739751856848</v>
      </c>
      <c r="U88" s="119">
        <f t="shared" si="44"/>
        <v>0.47172837741225887</v>
      </c>
      <c r="V88" s="119">
        <f t="shared" si="44"/>
        <v>0.42797128758569336</v>
      </c>
      <c r="W88" s="119">
        <f t="shared" si="44"/>
        <v>0.44639258116806418</v>
      </c>
      <c r="X88" s="119">
        <f t="shared" si="44"/>
        <v>0.48699961657123941</v>
      </c>
      <c r="Y88" s="119">
        <f t="shared" si="44"/>
        <v>0.46400066391944333</v>
      </c>
      <c r="Z88" s="119">
        <f t="shared" si="44"/>
        <v>0.46320283879182667</v>
      </c>
      <c r="AA88" s="119">
        <f t="shared" si="44"/>
        <v>0.52461418192371467</v>
      </c>
      <c r="AB88" s="119">
        <f t="shared" si="44"/>
        <v>0.44572711472582627</v>
      </c>
      <c r="AC88" s="119">
        <f t="shared" si="44"/>
        <v>0.48078257966760096</v>
      </c>
      <c r="AD88" s="211">
        <f t="shared" si="44"/>
        <v>0.4661397085576291</v>
      </c>
      <c r="AE88" s="119">
        <f t="shared" si="44"/>
        <v>0.49780755131435794</v>
      </c>
      <c r="AF88" s="119">
        <f t="shared" si="44"/>
        <v>0.48779542935378872</v>
      </c>
      <c r="AG88" s="119">
        <f t="shared" si="44"/>
        <v>0.52411294373440231</v>
      </c>
      <c r="AH88" s="119">
        <f t="shared" si="44"/>
        <v>0.49316099354643445</v>
      </c>
      <c r="AI88" s="119">
        <f t="shared" si="44"/>
        <v>0.49494976455282746</v>
      </c>
      <c r="AJ88" s="119"/>
    </row>
    <row r="89" spans="1:36">
      <c r="A89" s="6" t="s">
        <v>65</v>
      </c>
      <c r="B89" s="119">
        <f t="shared" ref="B89:AI89" si="45">B21-B8</f>
        <v>0</v>
      </c>
      <c r="C89" s="119">
        <f t="shared" si="45"/>
        <v>0</v>
      </c>
      <c r="D89" s="119">
        <f t="shared" si="45"/>
        <v>-8.3193900000004533</v>
      </c>
      <c r="E89" s="119">
        <f t="shared" si="45"/>
        <v>-24.187049999999886</v>
      </c>
      <c r="F89" s="119">
        <f t="shared" si="45"/>
        <v>-48.387809999999945</v>
      </c>
      <c r="G89" s="119">
        <f t="shared" si="45"/>
        <v>-48.68503999999939</v>
      </c>
      <c r="H89" s="119">
        <f t="shared" si="45"/>
        <v>-51.977269999999407</v>
      </c>
      <c r="I89" s="119">
        <f t="shared" si="45"/>
        <v>-57.235219999999572</v>
      </c>
      <c r="J89" s="119">
        <f t="shared" si="45"/>
        <v>-57.132140000000163</v>
      </c>
      <c r="K89" s="119">
        <f t="shared" si="45"/>
        <v>-67.351210000000265</v>
      </c>
      <c r="L89" s="119">
        <f t="shared" si="45"/>
        <v>-62.271240000000262</v>
      </c>
      <c r="M89" s="119">
        <f t="shared" si="45"/>
        <v>-74.70317</v>
      </c>
      <c r="N89" s="119">
        <f t="shared" si="45"/>
        <v>-70.665150000000949</v>
      </c>
      <c r="O89" s="119">
        <f t="shared" si="45"/>
        <v>-74.014329999999518</v>
      </c>
      <c r="P89" s="119">
        <f t="shared" si="45"/>
        <v>-80.046360000000277</v>
      </c>
      <c r="Q89" s="119">
        <f t="shared" si="45"/>
        <v>-77.582290000000285</v>
      </c>
      <c r="R89" s="119">
        <f t="shared" si="45"/>
        <v>-78.873760000000402</v>
      </c>
      <c r="S89" s="119">
        <f t="shared" si="45"/>
        <v>-87.427890000000161</v>
      </c>
      <c r="T89" s="119">
        <f t="shared" si="45"/>
        <v>-89.492419999999584</v>
      </c>
      <c r="U89" s="119">
        <f t="shared" si="45"/>
        <v>-94.472330000000056</v>
      </c>
      <c r="V89" s="119">
        <f t="shared" si="45"/>
        <v>-99.054350000000795</v>
      </c>
      <c r="W89" s="119">
        <f t="shared" si="45"/>
        <v>-100.99003999999923</v>
      </c>
      <c r="X89" s="119">
        <f t="shared" si="45"/>
        <v>-101.13849000000027</v>
      </c>
      <c r="Y89" s="119">
        <f t="shared" si="45"/>
        <v>-105.64211000000114</v>
      </c>
      <c r="Z89" s="119">
        <f t="shared" si="45"/>
        <v>-104.21059999999989</v>
      </c>
      <c r="AA89" s="119">
        <f t="shared" si="45"/>
        <v>-111.76895999999988</v>
      </c>
      <c r="AB89" s="119">
        <f t="shared" si="45"/>
        <v>-113.16549000000123</v>
      </c>
      <c r="AC89" s="119">
        <f t="shared" si="45"/>
        <v>-111.53838000000042</v>
      </c>
      <c r="AD89" s="211">
        <f t="shared" si="45"/>
        <v>-122.74864000000025</v>
      </c>
      <c r="AE89" s="119">
        <f t="shared" si="45"/>
        <v>-115.10435999999936</v>
      </c>
      <c r="AF89" s="119">
        <f t="shared" si="45"/>
        <v>-118.8413800000003</v>
      </c>
      <c r="AG89" s="119">
        <f t="shared" si="45"/>
        <v>-128.18825999999945</v>
      </c>
      <c r="AH89" s="119">
        <f t="shared" si="45"/>
        <v>-108.7711800000011</v>
      </c>
      <c r="AI89" s="119">
        <f t="shared" si="45"/>
        <v>-56.019490000001497</v>
      </c>
      <c r="AJ89" s="119"/>
    </row>
    <row r="90" spans="1:36">
      <c r="A90" s="6" t="s">
        <v>52</v>
      </c>
      <c r="B90" s="119">
        <f t="shared" ref="B90:AI90" si="46">B22-B9</f>
        <v>0</v>
      </c>
      <c r="C90" s="119">
        <f t="shared" si="46"/>
        <v>0</v>
      </c>
      <c r="D90" s="119">
        <f t="shared" si="46"/>
        <v>-1.3973000000000013</v>
      </c>
      <c r="E90" s="119">
        <f t="shared" si="46"/>
        <v>-3.8444999999999681</v>
      </c>
      <c r="F90" s="119">
        <f t="shared" si="46"/>
        <v>-5.3463700000000216</v>
      </c>
      <c r="G90" s="119">
        <f t="shared" si="46"/>
        <v>-4.4349699999999928</v>
      </c>
      <c r="H90" s="119">
        <f t="shared" si="46"/>
        <v>-4.6107600000000275</v>
      </c>
      <c r="I90" s="119">
        <f t="shared" si="46"/>
        <v>-5.2659400000000289</v>
      </c>
      <c r="J90" s="119">
        <f t="shared" si="46"/>
        <v>-5.9787699999999973</v>
      </c>
      <c r="K90" s="119">
        <f t="shared" si="46"/>
        <v>-5.0933199999999772</v>
      </c>
      <c r="L90" s="119">
        <f t="shared" si="46"/>
        <v>-5.7648699999999451</v>
      </c>
      <c r="M90" s="119">
        <f t="shared" si="46"/>
        <v>-5.5021600000000035</v>
      </c>
      <c r="N90" s="119">
        <f t="shared" si="46"/>
        <v>-5.7617600000000948</v>
      </c>
      <c r="O90" s="119">
        <f t="shared" si="46"/>
        <v>-6.0278399999999692</v>
      </c>
      <c r="P90" s="119">
        <f t="shared" si="46"/>
        <v>-6.8206299999999942</v>
      </c>
      <c r="Q90" s="119">
        <f t="shared" si="46"/>
        <v>-7.1797699999999622</v>
      </c>
      <c r="R90" s="119">
        <f t="shared" si="46"/>
        <v>-4.9328799999999546</v>
      </c>
      <c r="S90" s="119">
        <f t="shared" si="46"/>
        <v>-2.4877500000000623</v>
      </c>
      <c r="T90" s="119">
        <f t="shared" si="46"/>
        <v>-6.8901200000000244</v>
      </c>
      <c r="U90" s="119">
        <f t="shared" si="46"/>
        <v>-6.7583799999999883</v>
      </c>
      <c r="V90" s="119">
        <f t="shared" si="46"/>
        <v>-6.280900000000031</v>
      </c>
      <c r="W90" s="119">
        <f t="shared" si="46"/>
        <v>-6.767530000000022</v>
      </c>
      <c r="X90" s="119">
        <f t="shared" si="46"/>
        <v>-6.6194500000000289</v>
      </c>
      <c r="Y90" s="119">
        <f t="shared" si="46"/>
        <v>-7.8515200000000505</v>
      </c>
      <c r="Z90" s="119">
        <f t="shared" si="46"/>
        <v>-5.8794800000000578</v>
      </c>
      <c r="AA90" s="119">
        <f t="shared" si="46"/>
        <v>-8.0775200000000495</v>
      </c>
      <c r="AB90" s="119">
        <f t="shared" si="46"/>
        <v>-7.4987599999999475</v>
      </c>
      <c r="AC90" s="119">
        <f t="shared" si="46"/>
        <v>-4.1821299999999155</v>
      </c>
      <c r="AD90" s="211">
        <f t="shared" si="46"/>
        <v>-7.7314599999998563</v>
      </c>
      <c r="AE90" s="119">
        <f t="shared" si="46"/>
        <v>-7.2449400000000423</v>
      </c>
      <c r="AF90" s="119">
        <f t="shared" si="46"/>
        <v>-7.5365099999997938</v>
      </c>
      <c r="AG90" s="119">
        <f t="shared" si="46"/>
        <v>6.421359999999936</v>
      </c>
      <c r="AH90" s="119">
        <f t="shared" si="46"/>
        <v>-6.0457199999999602</v>
      </c>
      <c r="AI90" s="119">
        <f t="shared" si="46"/>
        <v>-5.3186500000000478</v>
      </c>
      <c r="AJ90" s="119"/>
    </row>
    <row r="91" spans="1:36">
      <c r="A91" s="36" t="s">
        <v>66</v>
      </c>
      <c r="B91" s="119">
        <f t="shared" ref="B91:AI91" si="47">B23-B10</f>
        <v>0</v>
      </c>
      <c r="C91" s="119">
        <f t="shared" si="47"/>
        <v>0</v>
      </c>
      <c r="D91" s="119">
        <f t="shared" si="47"/>
        <v>-6.9003699999999668E-2</v>
      </c>
      <c r="E91" s="119">
        <f t="shared" si="47"/>
        <v>-0.11397239999999886</v>
      </c>
      <c r="F91" s="119">
        <f t="shared" si="47"/>
        <v>-0.290931099999999</v>
      </c>
      <c r="G91" s="119">
        <f t="shared" si="47"/>
        <v>-0.34147619999999979</v>
      </c>
      <c r="H91" s="119">
        <f t="shared" si="47"/>
        <v>-0.34880599999999884</v>
      </c>
      <c r="I91" s="119">
        <f t="shared" si="47"/>
        <v>-0.2387439000000029</v>
      </c>
      <c r="J91" s="119">
        <f t="shared" si="47"/>
        <v>-0.15133560000000035</v>
      </c>
      <c r="K91" s="119">
        <f t="shared" si="47"/>
        <v>-0.32256080000000065</v>
      </c>
      <c r="L91" s="119">
        <f t="shared" si="47"/>
        <v>-6.8181100000000328E-2</v>
      </c>
      <c r="M91" s="119">
        <f t="shared" si="47"/>
        <v>-0.28627079999999694</v>
      </c>
      <c r="N91" s="119">
        <f t="shared" si="47"/>
        <v>-0.18298449999999988</v>
      </c>
      <c r="O91" s="119">
        <f t="shared" si="47"/>
        <v>1.447350000000025E-2</v>
      </c>
      <c r="P91" s="119">
        <f t="shared" si="47"/>
        <v>-1.0949600000000892E-2</v>
      </c>
      <c r="Q91" s="119">
        <f t="shared" si="47"/>
        <v>-5.987000000000009E-2</v>
      </c>
      <c r="R91" s="119">
        <f t="shared" si="47"/>
        <v>-6.924000000000019E-2</v>
      </c>
      <c r="S91" s="119">
        <f t="shared" si="47"/>
        <v>-7.13700000000006E-2</v>
      </c>
      <c r="T91" s="119">
        <f t="shared" si="47"/>
        <v>-6.6489999999999716E-2</v>
      </c>
      <c r="U91" s="119">
        <f t="shared" si="47"/>
        <v>-6.0880000000000045E-2</v>
      </c>
      <c r="V91" s="119">
        <f t="shared" si="47"/>
        <v>-6.2250000000000139E-2</v>
      </c>
      <c r="W91" s="119">
        <f t="shared" si="47"/>
        <v>-6.581999999999999E-2</v>
      </c>
      <c r="X91" s="119">
        <f t="shared" si="47"/>
        <v>-6.8939999999999779E-2</v>
      </c>
      <c r="Y91" s="119">
        <f t="shared" si="47"/>
        <v>-6.2109999999999888E-2</v>
      </c>
      <c r="Z91" s="119">
        <f t="shared" si="47"/>
        <v>-6.7620000000000458E-2</v>
      </c>
      <c r="AA91" s="119">
        <f t="shared" si="47"/>
        <v>-7.1150000000000491E-2</v>
      </c>
      <c r="AB91" s="119">
        <f t="shared" si="47"/>
        <v>-6.9919999999999538E-2</v>
      </c>
      <c r="AC91" s="119">
        <f t="shared" si="47"/>
        <v>-6.7179999999999573E-2</v>
      </c>
      <c r="AD91" s="211">
        <f t="shared" si="47"/>
        <v>-6.4879999999999827E-2</v>
      </c>
      <c r="AE91" s="119">
        <f t="shared" si="47"/>
        <v>-6.8909999999999583E-2</v>
      </c>
      <c r="AF91" s="119">
        <f t="shared" si="47"/>
        <v>-6.6629999999999523E-2</v>
      </c>
      <c r="AG91" s="119">
        <f t="shared" si="47"/>
        <v>-6.7809999999999926E-2</v>
      </c>
      <c r="AH91" s="119">
        <f t="shared" si="47"/>
        <v>-5.2890000000000548E-2</v>
      </c>
      <c r="AI91" s="119">
        <f t="shared" si="47"/>
        <v>-2.7520000000000433E-2</v>
      </c>
      <c r="AJ91" s="119"/>
    </row>
    <row r="92" spans="1:36">
      <c r="A92" s="12" t="s">
        <v>69</v>
      </c>
      <c r="B92" s="212">
        <f t="shared" ref="B92:AF92" si="48">B24-B11</f>
        <v>0</v>
      </c>
      <c r="C92" s="212">
        <f t="shared" si="48"/>
        <v>0</v>
      </c>
      <c r="D92" s="212">
        <f t="shared" si="48"/>
        <v>0</v>
      </c>
      <c r="E92" s="212">
        <f t="shared" si="48"/>
        <v>0</v>
      </c>
      <c r="F92" s="212">
        <f t="shared" si="48"/>
        <v>0</v>
      </c>
      <c r="G92" s="212">
        <f t="shared" si="48"/>
        <v>-4.6624000000000052</v>
      </c>
      <c r="H92" s="212">
        <f t="shared" si="48"/>
        <v>-7.4547300000000121</v>
      </c>
      <c r="I92" s="212">
        <f t="shared" si="48"/>
        <v>-9.8159700000000214</v>
      </c>
      <c r="J92" s="212">
        <f t="shared" si="48"/>
        <v>-12.159329999999954</v>
      </c>
      <c r="K92" s="212">
        <f t="shared" si="48"/>
        <v>-15.568199999999877</v>
      </c>
      <c r="L92" s="212">
        <f t="shared" si="48"/>
        <v>-15.989460000000122</v>
      </c>
      <c r="M92" s="212">
        <f t="shared" si="48"/>
        <v>-20.916250000000161</v>
      </c>
      <c r="N92" s="212">
        <f t="shared" si="48"/>
        <v>-22.188329999999951</v>
      </c>
      <c r="O92" s="212">
        <f t="shared" si="48"/>
        <v>-22.276580000000195</v>
      </c>
      <c r="P92" s="212">
        <f t="shared" si="48"/>
        <v>-25.593840000000114</v>
      </c>
      <c r="Q92" s="212">
        <f t="shared" si="48"/>
        <v>-27.293930000000387</v>
      </c>
      <c r="R92" s="212">
        <f t="shared" si="48"/>
        <v>-29.296020000000112</v>
      </c>
      <c r="S92" s="212">
        <f t="shared" si="48"/>
        <v>-32.595440000000053</v>
      </c>
      <c r="T92" s="212">
        <f t="shared" si="48"/>
        <v>-34.673400000000242</v>
      </c>
      <c r="U92" s="212">
        <f t="shared" si="48"/>
        <v>-38.684299999999553</v>
      </c>
      <c r="V92" s="212">
        <f t="shared" si="48"/>
        <v>-40.899860000000103</v>
      </c>
      <c r="W92" s="212">
        <f t="shared" si="48"/>
        <v>-42.739799999999832</v>
      </c>
      <c r="X92" s="212">
        <f t="shared" si="48"/>
        <v>-43.585920000000442</v>
      </c>
      <c r="Y92" s="212">
        <f t="shared" si="48"/>
        <v>-46.286239999999907</v>
      </c>
      <c r="Z92" s="212">
        <f t="shared" si="48"/>
        <v>-46.314550000000281</v>
      </c>
      <c r="AA92" s="212">
        <f t="shared" si="48"/>
        <v>-49.019979999999805</v>
      </c>
      <c r="AB92" s="212">
        <f t="shared" si="48"/>
        <v>-50.306160000000318</v>
      </c>
      <c r="AC92" s="212">
        <f t="shared" si="48"/>
        <v>-50.891539999999623</v>
      </c>
      <c r="AD92" s="213">
        <f t="shared" si="48"/>
        <v>-56.396180000000186</v>
      </c>
      <c r="AE92" s="212">
        <f t="shared" si="48"/>
        <v>-54.188580000000002</v>
      </c>
      <c r="AF92" s="212">
        <f t="shared" si="48"/>
        <v>-57.024390000000267</v>
      </c>
      <c r="AG92" s="212">
        <f t="shared" ref="AG92:AH92" si="49">AG24-AG11</f>
        <v>-63.166989999999714</v>
      </c>
      <c r="AH92" s="212">
        <f t="shared" si="49"/>
        <v>-53.639429999999948</v>
      </c>
      <c r="AI92" s="212">
        <f>AI24-AI11</f>
        <v>-27.930900000000292</v>
      </c>
      <c r="AJ92" s="212"/>
    </row>
    <row r="93" spans="1:36">
      <c r="A93" s="6" t="s">
        <v>61</v>
      </c>
      <c r="B93" s="15">
        <f t="shared" ref="B93:AI93" si="50">SUM(B83:B92)</f>
        <v>0</v>
      </c>
      <c r="C93" s="15">
        <f t="shared" si="50"/>
        <v>1.0200790961866668</v>
      </c>
      <c r="D93" s="15">
        <f t="shared" si="50"/>
        <v>21.699906968479649</v>
      </c>
      <c r="E93" s="15">
        <f t="shared" si="50"/>
        <v>59.608792796679246</v>
      </c>
      <c r="F93" s="15">
        <f t="shared" si="50"/>
        <v>84.971086613371241</v>
      </c>
      <c r="G93" s="15">
        <f t="shared" si="50"/>
        <v>73.873338866833421</v>
      </c>
      <c r="H93" s="15">
        <f t="shared" si="50"/>
        <v>61.447229293825956</v>
      </c>
      <c r="I93" s="15">
        <f t="shared" si="50"/>
        <v>29.408131011368027</v>
      </c>
      <c r="J93" s="15">
        <f t="shared" si="50"/>
        <v>4.1199612612195402</v>
      </c>
      <c r="K93" s="15">
        <f t="shared" si="50"/>
        <v>-7.5618620753242531</v>
      </c>
      <c r="L93" s="15">
        <f t="shared" si="50"/>
        <v>-8.6334099329832803</v>
      </c>
      <c r="M93" s="15">
        <f t="shared" si="50"/>
        <v>-24.232141047284259</v>
      </c>
      <c r="N93" s="15">
        <f t="shared" si="50"/>
        <v>-26.873688908449051</v>
      </c>
      <c r="O93" s="15">
        <f t="shared" si="50"/>
        <v>-28.317502916653488</v>
      </c>
      <c r="P93" s="15">
        <f t="shared" si="50"/>
        <v>-73.671029570430363</v>
      </c>
      <c r="Q93" s="15">
        <f t="shared" si="50"/>
        <v>-104.55785769503855</v>
      </c>
      <c r="R93" s="15">
        <f t="shared" si="50"/>
        <v>-78.724203800650614</v>
      </c>
      <c r="S93" s="15">
        <f t="shared" si="50"/>
        <v>-69.876561329078584</v>
      </c>
      <c r="T93" s="15">
        <f t="shared" si="50"/>
        <v>-103.23110068777244</v>
      </c>
      <c r="U93" s="15">
        <f t="shared" si="50"/>
        <v>-134.71834179358532</v>
      </c>
      <c r="V93" s="15">
        <f t="shared" si="50"/>
        <v>-142.80410496690553</v>
      </c>
      <c r="W93" s="15">
        <f t="shared" si="50"/>
        <v>-148.76617559712741</v>
      </c>
      <c r="X93" s="15">
        <f t="shared" si="50"/>
        <v>-151.10554594081478</v>
      </c>
      <c r="Y93" s="15">
        <f t="shared" si="50"/>
        <v>-161.03669585045753</v>
      </c>
      <c r="Z93" s="15">
        <f t="shared" si="50"/>
        <v>-159.15119282589012</v>
      </c>
      <c r="AA93" s="15">
        <f t="shared" si="50"/>
        <v>-173.12323454165139</v>
      </c>
      <c r="AB93" s="15">
        <f t="shared" si="50"/>
        <v>-142.6727679124177</v>
      </c>
      <c r="AC93" s="52">
        <f t="shared" si="50"/>
        <v>-115.96854450219226</v>
      </c>
      <c r="AD93" s="214">
        <f t="shared" si="50"/>
        <v>-138.34318462672212</v>
      </c>
      <c r="AE93" s="15">
        <f t="shared" si="50"/>
        <v>-130.1276036356723</v>
      </c>
      <c r="AF93" s="15">
        <f t="shared" si="50"/>
        <v>-139.04293390707369</v>
      </c>
      <c r="AG93" s="15">
        <f t="shared" si="50"/>
        <v>-138.87761863227678</v>
      </c>
      <c r="AH93" s="15">
        <f t="shared" si="50"/>
        <v>-131.8071033373021</v>
      </c>
      <c r="AI93" s="15">
        <f t="shared" si="50"/>
        <v>-75.602060475648585</v>
      </c>
      <c r="AJ93" s="15"/>
    </row>
    <row r="94" spans="1:36"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52"/>
      <c r="AD94" s="214"/>
      <c r="AE94" s="15"/>
      <c r="AF94" s="15"/>
      <c r="AG94" s="15"/>
      <c r="AH94" s="15"/>
      <c r="AI94" s="15"/>
      <c r="AJ94" s="15"/>
    </row>
    <row r="95" spans="1:36">
      <c r="A95" s="6" t="s">
        <v>71</v>
      </c>
      <c r="AC95" s="36"/>
      <c r="AD95" s="215"/>
    </row>
    <row r="96" spans="1:36">
      <c r="A96" s="152" t="str">
        <f>A82</f>
        <v>Clean Energy Connection-SoBra 700MWs</v>
      </c>
      <c r="B96" s="152">
        <f>$B$1</f>
        <v>2020</v>
      </c>
      <c r="C96" s="152">
        <f t="shared" ref="C96:AI96" si="51">B96+1</f>
        <v>2021</v>
      </c>
      <c r="D96" s="152">
        <f t="shared" si="51"/>
        <v>2022</v>
      </c>
      <c r="E96" s="152">
        <f t="shared" si="51"/>
        <v>2023</v>
      </c>
      <c r="F96" s="152">
        <f t="shared" si="51"/>
        <v>2024</v>
      </c>
      <c r="G96" s="152">
        <f t="shared" si="51"/>
        <v>2025</v>
      </c>
      <c r="H96" s="152">
        <f t="shared" si="51"/>
        <v>2026</v>
      </c>
      <c r="I96" s="152">
        <f t="shared" si="51"/>
        <v>2027</v>
      </c>
      <c r="J96" s="152">
        <f t="shared" si="51"/>
        <v>2028</v>
      </c>
      <c r="K96" s="152">
        <f t="shared" si="51"/>
        <v>2029</v>
      </c>
      <c r="L96" s="152">
        <f t="shared" si="51"/>
        <v>2030</v>
      </c>
      <c r="M96" s="152">
        <f t="shared" si="51"/>
        <v>2031</v>
      </c>
      <c r="N96" s="152">
        <f t="shared" si="51"/>
        <v>2032</v>
      </c>
      <c r="O96" s="152">
        <f t="shared" si="51"/>
        <v>2033</v>
      </c>
      <c r="P96" s="152">
        <f t="shared" si="51"/>
        <v>2034</v>
      </c>
      <c r="Q96" s="152">
        <f t="shared" si="51"/>
        <v>2035</v>
      </c>
      <c r="R96" s="152">
        <f t="shared" si="51"/>
        <v>2036</v>
      </c>
      <c r="S96" s="152">
        <f t="shared" si="51"/>
        <v>2037</v>
      </c>
      <c r="T96" s="152">
        <f t="shared" si="51"/>
        <v>2038</v>
      </c>
      <c r="U96" s="152">
        <f t="shared" si="51"/>
        <v>2039</v>
      </c>
      <c r="V96" s="152">
        <f t="shared" si="51"/>
        <v>2040</v>
      </c>
      <c r="W96" s="152">
        <f t="shared" si="51"/>
        <v>2041</v>
      </c>
      <c r="X96" s="152">
        <f t="shared" si="51"/>
        <v>2042</v>
      </c>
      <c r="Y96" s="152">
        <f t="shared" si="51"/>
        <v>2043</v>
      </c>
      <c r="Z96" s="152">
        <f t="shared" si="51"/>
        <v>2044</v>
      </c>
      <c r="AA96" s="152">
        <f t="shared" si="51"/>
        <v>2045</v>
      </c>
      <c r="AB96" s="152">
        <f t="shared" si="51"/>
        <v>2046</v>
      </c>
      <c r="AC96" s="209">
        <f t="shared" si="51"/>
        <v>2047</v>
      </c>
      <c r="AD96" s="210">
        <f t="shared" si="51"/>
        <v>2048</v>
      </c>
      <c r="AE96" s="152">
        <f t="shared" si="51"/>
        <v>2049</v>
      </c>
      <c r="AF96" s="152">
        <f t="shared" si="51"/>
        <v>2050</v>
      </c>
      <c r="AG96" s="152">
        <f t="shared" si="51"/>
        <v>2051</v>
      </c>
      <c r="AH96" s="152">
        <f t="shared" si="51"/>
        <v>2052</v>
      </c>
      <c r="AI96" s="152">
        <f t="shared" si="51"/>
        <v>2053</v>
      </c>
      <c r="AJ96" s="152"/>
    </row>
    <row r="97" spans="1:37">
      <c r="A97" s="6" t="s">
        <v>134</v>
      </c>
      <c r="B97" s="119">
        <f t="shared" ref="B97:AI97" si="52">B42-B29</f>
        <v>0</v>
      </c>
      <c r="C97" s="119">
        <f t="shared" si="52"/>
        <v>0</v>
      </c>
      <c r="D97" s="119">
        <f t="shared" si="52"/>
        <v>0</v>
      </c>
      <c r="E97" s="119">
        <f t="shared" si="52"/>
        <v>0</v>
      </c>
      <c r="F97" s="119">
        <f t="shared" si="52"/>
        <v>0</v>
      </c>
      <c r="G97" s="119">
        <f t="shared" si="52"/>
        <v>0</v>
      </c>
      <c r="H97" s="119">
        <f t="shared" si="52"/>
        <v>0</v>
      </c>
      <c r="I97" s="119">
        <f t="shared" si="52"/>
        <v>0</v>
      </c>
      <c r="J97" s="119">
        <f t="shared" si="52"/>
        <v>0</v>
      </c>
      <c r="K97" s="119">
        <f t="shared" si="52"/>
        <v>0</v>
      </c>
      <c r="L97" s="119">
        <f t="shared" si="52"/>
        <v>0</v>
      </c>
      <c r="M97" s="119">
        <f t="shared" si="52"/>
        <v>0</v>
      </c>
      <c r="N97" s="119">
        <f t="shared" si="52"/>
        <v>0</v>
      </c>
      <c r="O97" s="119">
        <f t="shared" si="52"/>
        <v>0</v>
      </c>
      <c r="P97" s="119">
        <f t="shared" si="52"/>
        <v>0</v>
      </c>
      <c r="Q97" s="119">
        <f t="shared" si="52"/>
        <v>0</v>
      </c>
      <c r="R97" s="119">
        <f t="shared" si="52"/>
        <v>0</v>
      </c>
      <c r="S97" s="119">
        <f t="shared" si="52"/>
        <v>0</v>
      </c>
      <c r="T97" s="119">
        <f t="shared" si="52"/>
        <v>0</v>
      </c>
      <c r="U97" s="119">
        <f t="shared" si="52"/>
        <v>0</v>
      </c>
      <c r="V97" s="119">
        <f t="shared" si="52"/>
        <v>0</v>
      </c>
      <c r="W97" s="119">
        <f t="shared" si="52"/>
        <v>0</v>
      </c>
      <c r="X97" s="119">
        <f t="shared" si="52"/>
        <v>0</v>
      </c>
      <c r="Y97" s="119">
        <f t="shared" si="52"/>
        <v>0</v>
      </c>
      <c r="Z97" s="119">
        <f t="shared" si="52"/>
        <v>0</v>
      </c>
      <c r="AA97" s="119">
        <f t="shared" si="52"/>
        <v>0</v>
      </c>
      <c r="AB97" s="119">
        <f t="shared" si="52"/>
        <v>0</v>
      </c>
      <c r="AC97" s="119">
        <f t="shared" si="52"/>
        <v>0</v>
      </c>
      <c r="AD97" s="211">
        <f t="shared" si="52"/>
        <v>0</v>
      </c>
      <c r="AE97" s="119">
        <f t="shared" si="52"/>
        <v>0</v>
      </c>
      <c r="AF97" s="119">
        <f t="shared" si="52"/>
        <v>0</v>
      </c>
      <c r="AG97" s="119">
        <f t="shared" si="52"/>
        <v>0</v>
      </c>
      <c r="AH97" s="119">
        <f t="shared" si="52"/>
        <v>0</v>
      </c>
      <c r="AI97" s="119">
        <f t="shared" si="52"/>
        <v>0</v>
      </c>
      <c r="AJ97" s="119"/>
    </row>
    <row r="98" spans="1:37">
      <c r="A98" s="6" t="s">
        <v>135</v>
      </c>
      <c r="B98" s="119">
        <f t="shared" ref="B98:AI98" si="53">B43-B30</f>
        <v>0</v>
      </c>
      <c r="C98" s="119">
        <f t="shared" si="53"/>
        <v>0</v>
      </c>
      <c r="D98" s="119">
        <f t="shared" si="53"/>
        <v>27.104402529171068</v>
      </c>
      <c r="E98" s="119">
        <f t="shared" si="53"/>
        <v>71.677271703898896</v>
      </c>
      <c r="F98" s="119">
        <f t="shared" si="53"/>
        <v>106.71659618161929</v>
      </c>
      <c r="G98" s="119">
        <f t="shared" si="53"/>
        <v>94.968223232679676</v>
      </c>
      <c r="H98" s="119">
        <f t="shared" si="53"/>
        <v>84.930290419949785</v>
      </c>
      <c r="I98" s="119">
        <f t="shared" si="53"/>
        <v>71.369318056281188</v>
      </c>
      <c r="J98" s="119">
        <f t="shared" si="53"/>
        <v>64.616065941150438</v>
      </c>
      <c r="K98" s="119">
        <f t="shared" si="53"/>
        <v>58.847825074856878</v>
      </c>
      <c r="L98" s="119">
        <f t="shared" si="53"/>
        <v>53.786374701416463</v>
      </c>
      <c r="M98" s="119">
        <f t="shared" si="53"/>
        <v>49.250786941365043</v>
      </c>
      <c r="N98" s="119">
        <f t="shared" si="53"/>
        <v>45.08657486113227</v>
      </c>
      <c r="O98" s="119">
        <f t="shared" si="53"/>
        <v>41.252032029110545</v>
      </c>
      <c r="P98" s="119">
        <f t="shared" si="53"/>
        <v>37.704265111778128</v>
      </c>
      <c r="Q98" s="119">
        <f t="shared" si="53"/>
        <v>34.471759461208883</v>
      </c>
      <c r="R98" s="119">
        <f t="shared" si="53"/>
        <v>31.510242239544308</v>
      </c>
      <c r="S98" s="119">
        <f t="shared" si="53"/>
        <v>28.771416472238894</v>
      </c>
      <c r="T98" s="119">
        <f t="shared" si="53"/>
        <v>28.186255215442095</v>
      </c>
      <c r="U98" s="119">
        <f t="shared" si="53"/>
        <v>25.599452768354144</v>
      </c>
      <c r="V98" s="119">
        <f t="shared" si="53"/>
        <v>23.223951483068507</v>
      </c>
      <c r="W98" s="119">
        <f t="shared" si="53"/>
        <v>21.051786711251751</v>
      </c>
      <c r="X98" s="119">
        <f t="shared" si="53"/>
        <v>19.118354143731811</v>
      </c>
      <c r="Y98" s="119">
        <f t="shared" si="53"/>
        <v>17.388538002102155</v>
      </c>
      <c r="Z98" s="119">
        <f t="shared" si="53"/>
        <v>15.82103716639633</v>
      </c>
      <c r="AA98" s="119">
        <f t="shared" si="53"/>
        <v>14.367151034475768</v>
      </c>
      <c r="AB98" s="119">
        <f t="shared" si="53"/>
        <v>13.070098401550514</v>
      </c>
      <c r="AC98" s="119">
        <f t="shared" si="53"/>
        <v>11.873952695715952</v>
      </c>
      <c r="AD98" s="211">
        <f t="shared" si="53"/>
        <v>10.792396380648784</v>
      </c>
      <c r="AE98" s="119">
        <f t="shared" si="53"/>
        <v>9.7892282563921427</v>
      </c>
      <c r="AF98" s="119">
        <f t="shared" si="53"/>
        <v>8.8893100063044432</v>
      </c>
      <c r="AG98" s="119">
        <f t="shared" si="53"/>
        <v>8.5564850648572275</v>
      </c>
      <c r="AH98" s="119">
        <f t="shared" si="53"/>
        <v>6.8276065268349155</v>
      </c>
      <c r="AI98" s="119">
        <f t="shared" si="53"/>
        <v>3.6792355349898176</v>
      </c>
      <c r="AJ98" s="119"/>
    </row>
    <row r="99" spans="1:37">
      <c r="A99" s="6" t="s">
        <v>60</v>
      </c>
      <c r="B99" s="119">
        <f t="shared" ref="B99:AI99" si="54">B44-B31</f>
        <v>0</v>
      </c>
      <c r="C99" s="119">
        <f t="shared" si="54"/>
        <v>0</v>
      </c>
      <c r="D99" s="119">
        <f t="shared" si="54"/>
        <v>0</v>
      </c>
      <c r="E99" s="119">
        <f t="shared" si="54"/>
        <v>0</v>
      </c>
      <c r="F99" s="119">
        <f t="shared" si="54"/>
        <v>0</v>
      </c>
      <c r="G99" s="119">
        <f t="shared" si="54"/>
        <v>0</v>
      </c>
      <c r="H99" s="119">
        <f t="shared" si="54"/>
        <v>0</v>
      </c>
      <c r="I99" s="119">
        <f t="shared" si="54"/>
        <v>-6.8065319934405428</v>
      </c>
      <c r="J99" s="119">
        <f t="shared" si="54"/>
        <v>-17.156741119315107</v>
      </c>
      <c r="K99" s="119">
        <f t="shared" si="54"/>
        <v>-13.726353422336407</v>
      </c>
      <c r="L99" s="119">
        <f t="shared" si="54"/>
        <v>-14.248865358300485</v>
      </c>
      <c r="M99" s="119">
        <f t="shared" si="54"/>
        <v>-11.279824508640477</v>
      </c>
      <c r="N99" s="119">
        <f t="shared" si="54"/>
        <v>-11.863680592843043</v>
      </c>
      <c r="O99" s="119">
        <f t="shared" si="54"/>
        <v>-9.2811218396467083</v>
      </c>
      <c r="P99" s="119">
        <f t="shared" si="54"/>
        <v>-11.19201308176531</v>
      </c>
      <c r="Q99" s="119">
        <f t="shared" si="54"/>
        <v>-14.187978567056973</v>
      </c>
      <c r="R99" s="119">
        <f t="shared" si="54"/>
        <v>-8.0090661841749977</v>
      </c>
      <c r="S99" s="119">
        <f t="shared" si="54"/>
        <v>-4.0408851685104423</v>
      </c>
      <c r="T99" s="119">
        <f t="shared" si="54"/>
        <v>-8.0679780383568698</v>
      </c>
      <c r="U99" s="119">
        <f t="shared" si="54"/>
        <v>-10.230610525944485</v>
      </c>
      <c r="V99" s="119">
        <f t="shared" si="54"/>
        <v>-9.2733521014794462</v>
      </c>
      <c r="W99" s="119">
        <f t="shared" si="54"/>
        <v>-8.400031038110825</v>
      </c>
      <c r="X99" s="119">
        <f t="shared" si="54"/>
        <v>-7.6126832420071935</v>
      </c>
      <c r="Y99" s="119">
        <f t="shared" si="54"/>
        <v>-6.9229754540364183</v>
      </c>
      <c r="Z99" s="119">
        <f t="shared" si="54"/>
        <v>-6.3108975403765442</v>
      </c>
      <c r="AA99" s="119">
        <f t="shared" si="54"/>
        <v>-5.7501154341850054</v>
      </c>
      <c r="AB99" s="119">
        <f t="shared" si="54"/>
        <v>-2.3105606931873979</v>
      </c>
      <c r="AC99" s="119">
        <f t="shared" si="54"/>
        <v>-0.1697862694786636</v>
      </c>
      <c r="AD99" s="211">
        <f t="shared" si="54"/>
        <v>-0.15832837445410064</v>
      </c>
      <c r="AE99" s="119">
        <f t="shared" si="54"/>
        <v>-0.14486076974009165</v>
      </c>
      <c r="AF99" s="119">
        <f t="shared" si="54"/>
        <v>-0.13681173878222808</v>
      </c>
      <c r="AG99" s="119">
        <f t="shared" si="54"/>
        <v>-0.12550708883797768</v>
      </c>
      <c r="AH99" s="119">
        <f t="shared" si="54"/>
        <v>-9.9581258497082104E-2</v>
      </c>
      <c r="AI99" s="119">
        <f t="shared" si="54"/>
        <v>-7.5554121779191519E-2</v>
      </c>
      <c r="AJ99" s="119"/>
    </row>
    <row r="100" spans="1:37">
      <c r="A100" s="6" t="s">
        <v>68</v>
      </c>
      <c r="B100" s="119">
        <f t="shared" ref="B100:AI100" si="55">B45-B32</f>
        <v>0</v>
      </c>
      <c r="C100" s="119">
        <f t="shared" si="55"/>
        <v>0</v>
      </c>
      <c r="D100" s="119">
        <f t="shared" si="55"/>
        <v>0</v>
      </c>
      <c r="E100" s="119">
        <f t="shared" si="55"/>
        <v>0</v>
      </c>
      <c r="F100" s="119">
        <f t="shared" si="55"/>
        <v>0</v>
      </c>
      <c r="G100" s="119">
        <f t="shared" si="55"/>
        <v>0</v>
      </c>
      <c r="H100" s="119">
        <f t="shared" si="55"/>
        <v>0</v>
      </c>
      <c r="I100" s="119">
        <f t="shared" si="55"/>
        <v>-0.16330587684247888</v>
      </c>
      <c r="J100" s="119">
        <f t="shared" si="55"/>
        <v>-0.42581547344002857</v>
      </c>
      <c r="K100" s="119">
        <f t="shared" si="55"/>
        <v>-0.36600215588460294</v>
      </c>
      <c r="L100" s="119">
        <f t="shared" si="55"/>
        <v>-0.39296000930739261</v>
      </c>
      <c r="M100" s="119">
        <f t="shared" si="55"/>
        <v>-0.33774844971718743</v>
      </c>
      <c r="N100" s="119">
        <f t="shared" si="55"/>
        <v>-0.36262822702841113</v>
      </c>
      <c r="O100" s="119">
        <f t="shared" si="55"/>
        <v>-0.31168009963181298</v>
      </c>
      <c r="P100" s="119">
        <f t="shared" si="55"/>
        <v>-0.60864539849580446</v>
      </c>
      <c r="Q100" s="119">
        <f t="shared" si="55"/>
        <v>-0.85729600384555305</v>
      </c>
      <c r="R100" s="119">
        <f t="shared" si="55"/>
        <v>-0.58334890442599452</v>
      </c>
      <c r="S100" s="119">
        <f t="shared" si="55"/>
        <v>-0.39556578567956358</v>
      </c>
      <c r="T100" s="119">
        <f t="shared" si="55"/>
        <v>-0.60165971424810927</v>
      </c>
      <c r="U100" s="119">
        <f t="shared" si="55"/>
        <v>-0.73007606582694606</v>
      </c>
      <c r="V100" s="119">
        <f t="shared" si="55"/>
        <v>-0.70133843795907858</v>
      </c>
      <c r="W100" s="119">
        <f t="shared" si="55"/>
        <v>-0.67373083929414435</v>
      </c>
      <c r="X100" s="119">
        <f t="shared" si="55"/>
        <v>-0.64721397613967468</v>
      </c>
      <c r="Y100" s="119">
        <f t="shared" si="55"/>
        <v>-0.62173529939348526</v>
      </c>
      <c r="Z100" s="119">
        <f t="shared" si="55"/>
        <v>-0.59726296340448393</v>
      </c>
      <c r="AA100" s="119">
        <f t="shared" si="55"/>
        <v>-0.57375248811864132</v>
      </c>
      <c r="AB100" s="119">
        <f t="shared" si="55"/>
        <v>-0.3904123863671245</v>
      </c>
      <c r="AC100" s="119">
        <f t="shared" si="55"/>
        <v>-0.26473626165666353</v>
      </c>
      <c r="AD100" s="211">
        <f t="shared" si="55"/>
        <v>-0.25431495837184492</v>
      </c>
      <c r="AE100" s="119">
        <f t="shared" si="55"/>
        <v>-0.24430496887774389</v>
      </c>
      <c r="AF100" s="119">
        <f t="shared" si="55"/>
        <v>-0.23468939481063344</v>
      </c>
      <c r="AG100" s="119">
        <f t="shared" si="55"/>
        <v>-0.22545071707872566</v>
      </c>
      <c r="AH100" s="119">
        <f t="shared" si="55"/>
        <v>-0.21657621141846928</v>
      </c>
      <c r="AI100" s="119">
        <f t="shared" si="55"/>
        <v>-0.20805080481709393</v>
      </c>
      <c r="AJ100" s="119"/>
    </row>
    <row r="101" spans="1:37">
      <c r="A101" s="6" t="s">
        <v>67</v>
      </c>
      <c r="B101" s="119">
        <f t="shared" ref="B101:AI101" si="56">B46-B33</f>
        <v>0</v>
      </c>
      <c r="C101" s="119">
        <f t="shared" si="56"/>
        <v>0</v>
      </c>
      <c r="D101" s="119">
        <f t="shared" si="56"/>
        <v>0</v>
      </c>
      <c r="E101" s="119">
        <f t="shared" si="56"/>
        <v>0</v>
      </c>
      <c r="F101" s="119">
        <f t="shared" si="56"/>
        <v>0</v>
      </c>
      <c r="G101" s="119">
        <f t="shared" si="56"/>
        <v>0</v>
      </c>
      <c r="H101" s="119">
        <f t="shared" si="56"/>
        <v>0</v>
      </c>
      <c r="I101" s="119">
        <f t="shared" si="56"/>
        <v>0</v>
      </c>
      <c r="J101" s="119">
        <f t="shared" si="56"/>
        <v>0</v>
      </c>
      <c r="K101" s="119">
        <f t="shared" si="56"/>
        <v>0</v>
      </c>
      <c r="L101" s="119">
        <f t="shared" si="56"/>
        <v>0</v>
      </c>
      <c r="M101" s="119">
        <f t="shared" si="56"/>
        <v>0</v>
      </c>
      <c r="N101" s="119">
        <f t="shared" si="56"/>
        <v>0</v>
      </c>
      <c r="O101" s="119">
        <f t="shared" si="56"/>
        <v>0</v>
      </c>
      <c r="P101" s="119">
        <f t="shared" si="56"/>
        <v>-10.40697230661479</v>
      </c>
      <c r="Q101" s="119">
        <f t="shared" si="56"/>
        <v>-16.720273684625397</v>
      </c>
      <c r="R101" s="119">
        <f t="shared" si="56"/>
        <v>-10.868456631186831</v>
      </c>
      <c r="S101" s="119">
        <f t="shared" si="56"/>
        <v>-6.9714385497996432</v>
      </c>
      <c r="T101" s="119">
        <f t="shared" si="56"/>
        <v>-10.964988828656743</v>
      </c>
      <c r="U101" s="119">
        <f t="shared" si="56"/>
        <v>-13.242936666713547</v>
      </c>
      <c r="V101" s="119">
        <f t="shared" si="56"/>
        <v>-12.411380037396697</v>
      </c>
      <c r="W101" s="119">
        <f t="shared" si="56"/>
        <v>-11.632020965446713</v>
      </c>
      <c r="X101" s="119">
        <f t="shared" si="56"/>
        <v>-10.901612901074714</v>
      </c>
      <c r="Y101" s="119">
        <f t="shared" si="56"/>
        <v>-10.217069260613613</v>
      </c>
      <c r="Z101" s="119">
        <f t="shared" si="56"/>
        <v>-9.5755206293738695</v>
      </c>
      <c r="AA101" s="119">
        <f t="shared" si="56"/>
        <v>-8.9742461381198382</v>
      </c>
      <c r="AB101" s="119">
        <f t="shared" si="56"/>
        <v>-5.196999863071369</v>
      </c>
      <c r="AC101" s="119">
        <f t="shared" si="56"/>
        <v>-2.7192990630778127</v>
      </c>
      <c r="AD101" s="211">
        <f t="shared" si="56"/>
        <v>-2.5485464508695372</v>
      </c>
      <c r="AE101" s="119">
        <f t="shared" si="56"/>
        <v>-2.3885158864756875</v>
      </c>
      <c r="AF101" s="119">
        <f t="shared" si="56"/>
        <v>-2.2385341016641718</v>
      </c>
      <c r="AG101" s="119">
        <f t="shared" si="56"/>
        <v>-2.097970104652461</v>
      </c>
      <c r="AH101" s="119">
        <f t="shared" si="56"/>
        <v>-1.9662325254474808</v>
      </c>
      <c r="AI101" s="119">
        <f t="shared" si="56"/>
        <v>-1.8427671278795401</v>
      </c>
      <c r="AJ101" s="119"/>
    </row>
    <row r="102" spans="1:37">
      <c r="A102" s="6" t="s">
        <v>383</v>
      </c>
      <c r="B102" s="119">
        <f t="shared" ref="B102:AI102" si="57">B47-B34</f>
        <v>0</v>
      </c>
      <c r="C102" s="119">
        <f t="shared" si="57"/>
        <v>0.95602539473914416</v>
      </c>
      <c r="D102" s="119">
        <f t="shared" si="57"/>
        <v>0.55120123026807166</v>
      </c>
      <c r="E102" s="119">
        <f t="shared" si="57"/>
        <v>0.5623101071629828</v>
      </c>
      <c r="F102" s="119">
        <f t="shared" si="57"/>
        <v>0.52054864825483194</v>
      </c>
      <c r="G102" s="119">
        <f t="shared" si="57"/>
        <v>0.47447401205225109</v>
      </c>
      <c r="H102" s="119">
        <f t="shared" si="57"/>
        <v>0.34594805194586459</v>
      </c>
      <c r="I102" s="119">
        <f t="shared" si="57"/>
        <v>0.35889584333158642</v>
      </c>
      <c r="J102" s="119">
        <f t="shared" si="57"/>
        <v>0.31198140715775902</v>
      </c>
      <c r="K102" s="119">
        <f t="shared" si="57"/>
        <v>0.30427695800079424</v>
      </c>
      <c r="L102" s="119">
        <f t="shared" si="57"/>
        <v>0.30795444784735088</v>
      </c>
      <c r="M102" s="119">
        <f t="shared" si="57"/>
        <v>0.18247509532472547</v>
      </c>
      <c r="N102" s="119">
        <f t="shared" si="57"/>
        <v>0.16938864297452635</v>
      </c>
      <c r="O102" s="119">
        <f t="shared" si="57"/>
        <v>0.18396491954915264</v>
      </c>
      <c r="P102" s="119">
        <f t="shared" si="57"/>
        <v>0.15422719438562776</v>
      </c>
      <c r="Q102" s="119">
        <f t="shared" si="57"/>
        <v>0.15098936805677604</v>
      </c>
      <c r="R102" s="119">
        <f t="shared" si="57"/>
        <v>0.15539588507457328</v>
      </c>
      <c r="S102" s="119">
        <f t="shared" si="57"/>
        <v>0.13751918551195877</v>
      </c>
      <c r="T102" s="119">
        <f t="shared" si="57"/>
        <v>0.12817027651588755</v>
      </c>
      <c r="U102" s="119">
        <f t="shared" si="57"/>
        <v>0.13758403227896901</v>
      </c>
      <c r="V102" s="119">
        <f t="shared" si="57"/>
        <v>0.11698394016848228</v>
      </c>
      <c r="W102" s="119">
        <f t="shared" si="57"/>
        <v>0.11435737038101808</v>
      </c>
      <c r="X102" s="119">
        <f t="shared" si="57"/>
        <v>0.11692608052186379</v>
      </c>
      <c r="Y102" s="119">
        <f t="shared" si="57"/>
        <v>0.10440876415134408</v>
      </c>
      <c r="Z102" s="119">
        <f t="shared" si="57"/>
        <v>9.7684384896888563E-2</v>
      </c>
      <c r="AA102" s="119">
        <f t="shared" si="57"/>
        <v>0.10368824913571693</v>
      </c>
      <c r="AB102" s="119">
        <f t="shared" si="57"/>
        <v>8.2564650928115241E-2</v>
      </c>
      <c r="AC102" s="119">
        <f t="shared" si="57"/>
        <v>8.3465961159684646E-2</v>
      </c>
      <c r="AD102" s="211">
        <f t="shared" si="57"/>
        <v>7.5842450435234077E-2</v>
      </c>
      <c r="AE102" s="119">
        <f t="shared" si="57"/>
        <v>7.5909008158437943E-2</v>
      </c>
      <c r="AF102" s="119">
        <f t="shared" si="57"/>
        <v>6.971161497164291E-2</v>
      </c>
      <c r="AG102" s="119">
        <f t="shared" si="57"/>
        <v>7.0198508240108884E-2</v>
      </c>
      <c r="AH102" s="119">
        <f t="shared" si="57"/>
        <v>6.1905223697295828E-2</v>
      </c>
      <c r="AI102" s="119">
        <f t="shared" si="57"/>
        <v>5.822845688296438E-2</v>
      </c>
      <c r="AJ102" s="119"/>
    </row>
    <row r="103" spans="1:37">
      <c r="A103" s="6" t="s">
        <v>65</v>
      </c>
      <c r="B103" s="119">
        <f t="shared" ref="B103:AI103" si="58">B48-B35</f>
        <v>0</v>
      </c>
      <c r="C103" s="119">
        <f t="shared" si="58"/>
        <v>0</v>
      </c>
      <c r="D103" s="119">
        <f t="shared" si="58"/>
        <v>-7.3073960310556458</v>
      </c>
      <c r="E103" s="119">
        <f t="shared" si="58"/>
        <v>-19.910842826671114</v>
      </c>
      <c r="F103" s="119">
        <f t="shared" si="58"/>
        <v>-37.331744855861302</v>
      </c>
      <c r="G103" s="119">
        <f t="shared" si="58"/>
        <v>-35.202494072999798</v>
      </c>
      <c r="H103" s="119">
        <f t="shared" si="58"/>
        <v>-35.223049150213456</v>
      </c>
      <c r="I103" s="119">
        <f t="shared" si="58"/>
        <v>-36.350670043837795</v>
      </c>
      <c r="J103" s="119">
        <f t="shared" si="58"/>
        <v>-34.006750597922746</v>
      </c>
      <c r="K103" s="119">
        <f t="shared" si="58"/>
        <v>-37.572113675618652</v>
      </c>
      <c r="L103" s="119">
        <f t="shared" si="58"/>
        <v>-32.556920543876799</v>
      </c>
      <c r="M103" s="119">
        <f t="shared" si="58"/>
        <v>-36.604157693365096</v>
      </c>
      <c r="N103" s="119">
        <f t="shared" si="58"/>
        <v>-32.45131141290085</v>
      </c>
      <c r="O103" s="119">
        <f t="shared" si="58"/>
        <v>-31.855055025797014</v>
      </c>
      <c r="P103" s="119">
        <f t="shared" si="58"/>
        <v>-32.287893778556167</v>
      </c>
      <c r="Q103" s="119">
        <f t="shared" si="58"/>
        <v>-29.328935683752775</v>
      </c>
      <c r="R103" s="119">
        <f t="shared" si="58"/>
        <v>-27.944853284234341</v>
      </c>
      <c r="S103" s="119">
        <f t="shared" si="58"/>
        <v>-29.030523469005175</v>
      </c>
      <c r="T103" s="119">
        <f t="shared" si="58"/>
        <v>-27.850096384292215</v>
      </c>
      <c r="U103" s="119">
        <f t="shared" si="58"/>
        <v>-27.553746440889086</v>
      </c>
      <c r="V103" s="119">
        <f t="shared" si="58"/>
        <v>-27.0760410568613</v>
      </c>
      <c r="W103" s="119">
        <f t="shared" si="58"/>
        <v>-25.871745849480476</v>
      </c>
      <c r="X103" s="119">
        <f t="shared" si="58"/>
        <v>-24.282826563313847</v>
      </c>
      <c r="Y103" s="119">
        <f t="shared" si="58"/>
        <v>-23.771436131728137</v>
      </c>
      <c r="Z103" s="119">
        <f t="shared" si="58"/>
        <v>-21.976869544425767</v>
      </c>
      <c r="AA103" s="119">
        <f t="shared" si="58"/>
        <v>-22.090763401827303</v>
      </c>
      <c r="AB103" s="119">
        <f t="shared" si="58"/>
        <v>-20.962308260529653</v>
      </c>
      <c r="AC103" s="119">
        <f t="shared" si="58"/>
        <v>-19.363551190499834</v>
      </c>
      <c r="AD103" s="211">
        <f t="shared" si="58"/>
        <v>-19.971603951096313</v>
      </c>
      <c r="AE103" s="119">
        <f t="shared" si="58"/>
        <v>-17.551878791798742</v>
      </c>
      <c r="AF103" s="119">
        <f t="shared" si="58"/>
        <v>-16.98380925018887</v>
      </c>
      <c r="AG103" s="119">
        <f t="shared" si="58"/>
        <v>-17.169247074453665</v>
      </c>
      <c r="AH103" s="119">
        <f t="shared" si="58"/>
        <v>-13.653764831027502</v>
      </c>
      <c r="AI103" s="119">
        <f t="shared" si="58"/>
        <v>-6.5904232948121262</v>
      </c>
      <c r="AJ103" s="119"/>
    </row>
    <row r="104" spans="1:37">
      <c r="A104" s="6" t="s">
        <v>52</v>
      </c>
      <c r="B104" s="119">
        <f t="shared" ref="B104:AI104" si="59">B49-B36</f>
        <v>0</v>
      </c>
      <c r="C104" s="119">
        <f t="shared" si="59"/>
        <v>0</v>
      </c>
      <c r="D104" s="119">
        <f t="shared" si="59"/>
        <v>-1.2273285029543501</v>
      </c>
      <c r="E104" s="119">
        <f t="shared" si="59"/>
        <v>-3.1648024561547174</v>
      </c>
      <c r="F104" s="119">
        <f t="shared" si="59"/>
        <v>-4.1247851627307028</v>
      </c>
      <c r="G104" s="119">
        <f t="shared" si="59"/>
        <v>-3.2067757393017189</v>
      </c>
      <c r="H104" s="119">
        <f t="shared" si="59"/>
        <v>-3.1245393630685214</v>
      </c>
      <c r="I104" s="119">
        <f t="shared" si="59"/>
        <v>-3.3444520246563201</v>
      </c>
      <c r="J104" s="119">
        <f t="shared" si="59"/>
        <v>-3.5587418968087121</v>
      </c>
      <c r="K104" s="119">
        <f t="shared" si="59"/>
        <v>-2.8413268006068506</v>
      </c>
      <c r="L104" s="119">
        <f t="shared" si="59"/>
        <v>-3.0140144075463553</v>
      </c>
      <c r="M104" s="119">
        <f t="shared" si="59"/>
        <v>-2.6960292621334077</v>
      </c>
      <c r="N104" s="119">
        <f t="shared" si="59"/>
        <v>-2.6459530340825239</v>
      </c>
      <c r="O104" s="119">
        <f t="shared" si="59"/>
        <v>-2.5943243002632101</v>
      </c>
      <c r="P104" s="119">
        <f t="shared" si="59"/>
        <v>-2.751202889710811</v>
      </c>
      <c r="Q104" s="119">
        <f t="shared" si="59"/>
        <v>-2.7142149652212595</v>
      </c>
      <c r="R104" s="119">
        <f t="shared" si="59"/>
        <v>-1.747711886294411</v>
      </c>
      <c r="S104" s="119">
        <f t="shared" si="59"/>
        <v>-0.8260600222654233</v>
      </c>
      <c r="T104" s="119">
        <f t="shared" si="59"/>
        <v>-2.1442096000906048</v>
      </c>
      <c r="U104" s="119">
        <f t="shared" si="59"/>
        <v>-1.9711452958890305</v>
      </c>
      <c r="V104" s="119">
        <f t="shared" si="59"/>
        <v>-1.7168544972940509</v>
      </c>
      <c r="W104" s="119">
        <f t="shared" si="59"/>
        <v>-1.7337137027447085</v>
      </c>
      <c r="X104" s="119">
        <f t="shared" si="59"/>
        <v>-1.589295591564877</v>
      </c>
      <c r="Y104" s="119">
        <f t="shared" si="59"/>
        <v>-1.7667377735732828</v>
      </c>
      <c r="Z104" s="119">
        <f t="shared" si="59"/>
        <v>-1.2399176758320465</v>
      </c>
      <c r="AA104" s="119">
        <f t="shared" si="59"/>
        <v>-1.5964949767227807</v>
      </c>
      <c r="AB104" s="119">
        <f t="shared" si="59"/>
        <v>-1.3890393501740448</v>
      </c>
      <c r="AC104" s="119">
        <f t="shared" si="59"/>
        <v>-0.72603608139479547</v>
      </c>
      <c r="AD104" s="211">
        <f t="shared" si="59"/>
        <v>-1.257933750498097</v>
      </c>
      <c r="AE104" s="119">
        <f t="shared" si="59"/>
        <v>-1.1047566637254675</v>
      </c>
      <c r="AF104" s="119">
        <f t="shared" si="59"/>
        <v>-1.0770545432250742</v>
      </c>
      <c r="AG104" s="119">
        <f t="shared" si="59"/>
        <v>0.86006250801760586</v>
      </c>
      <c r="AH104" s="119">
        <f t="shared" si="59"/>
        <v>-0.75890359113726902</v>
      </c>
      <c r="AI104" s="119">
        <f t="shared" si="59"/>
        <v>-0.62571356606338213</v>
      </c>
      <c r="AJ104" s="119"/>
    </row>
    <row r="105" spans="1:37">
      <c r="A105" s="36" t="s">
        <v>66</v>
      </c>
      <c r="B105" s="119">
        <f t="shared" ref="B105:AI105" si="60">B50-B37</f>
        <v>0</v>
      </c>
      <c r="C105" s="119">
        <f t="shared" si="60"/>
        <v>0</v>
      </c>
      <c r="D105" s="119">
        <f t="shared" si="60"/>
        <v>-6.0609896099127702E-2</v>
      </c>
      <c r="E105" s="119">
        <f t="shared" si="60"/>
        <v>-9.3822377800455214E-2</v>
      </c>
      <c r="F105" s="119">
        <f t="shared" si="60"/>
        <v>-0.22445664715627878</v>
      </c>
      <c r="G105" s="119">
        <f t="shared" si="60"/>
        <v>-0.24690980856892875</v>
      </c>
      <c r="H105" s="119">
        <f t="shared" si="60"/>
        <v>-0.23637276220720072</v>
      </c>
      <c r="I105" s="119">
        <f t="shared" si="60"/>
        <v>-0.15162867782947576</v>
      </c>
      <c r="J105" s="119">
        <f t="shared" si="60"/>
        <v>-9.0079454502964396E-2</v>
      </c>
      <c r="K105" s="119">
        <f t="shared" si="60"/>
        <v>-0.17994169733399623</v>
      </c>
      <c r="L105" s="119">
        <f t="shared" si="60"/>
        <v>-3.5646739253853532E-2</v>
      </c>
      <c r="M105" s="119">
        <f t="shared" si="60"/>
        <v>-0.14027117599167038</v>
      </c>
      <c r="N105" s="119">
        <f t="shared" si="60"/>
        <v>-8.403133642586047E-2</v>
      </c>
      <c r="O105" s="119">
        <f t="shared" si="60"/>
        <v>6.2292550498788124E-3</v>
      </c>
      <c r="P105" s="119">
        <f t="shared" si="60"/>
        <v>-4.4166845527731091E-3</v>
      </c>
      <c r="Q105" s="119">
        <f t="shared" si="60"/>
        <v>-2.2633043950961884E-2</v>
      </c>
      <c r="R105" s="119">
        <f t="shared" si="60"/>
        <v>-2.453162675901821E-2</v>
      </c>
      <c r="S105" s="119">
        <f t="shared" si="60"/>
        <v>-2.3698484087662508E-2</v>
      </c>
      <c r="T105" s="119">
        <f t="shared" si="60"/>
        <v>-2.0691729071485532E-2</v>
      </c>
      <c r="U105" s="119">
        <f t="shared" si="60"/>
        <v>-1.7756226434992417E-2</v>
      </c>
      <c r="V105" s="119">
        <f t="shared" si="60"/>
        <v>-1.7015744950015843E-2</v>
      </c>
      <c r="W105" s="119">
        <f t="shared" si="60"/>
        <v>-1.6861844116635827E-2</v>
      </c>
      <c r="X105" s="119">
        <f t="shared" si="60"/>
        <v>-1.6552136217130087E-2</v>
      </c>
      <c r="Y105" s="119">
        <f t="shared" si="60"/>
        <v>-1.3975903152082136E-2</v>
      </c>
      <c r="Z105" s="119">
        <f t="shared" si="60"/>
        <v>-1.4260314388306772E-2</v>
      </c>
      <c r="AA105" s="119">
        <f t="shared" si="60"/>
        <v>-1.4062560983300054E-2</v>
      </c>
      <c r="AB105" s="119">
        <f t="shared" si="60"/>
        <v>-1.2951692194998699E-2</v>
      </c>
      <c r="AC105" s="119">
        <f t="shared" si="60"/>
        <v>-1.1662742178770835E-2</v>
      </c>
      <c r="AD105" s="211">
        <f t="shared" si="60"/>
        <v>-1.0556187541850726E-2</v>
      </c>
      <c r="AE105" s="119">
        <f t="shared" si="60"/>
        <v>-1.0507855371793495E-2</v>
      </c>
      <c r="AF105" s="119">
        <f t="shared" si="60"/>
        <v>-9.5221984997150844E-3</v>
      </c>
      <c r="AG105" s="119">
        <f t="shared" si="60"/>
        <v>-9.082318802975442E-3</v>
      </c>
      <c r="AH105" s="119">
        <f t="shared" si="60"/>
        <v>-6.6391448719508861E-3</v>
      </c>
      <c r="AI105" s="119">
        <f t="shared" si="60"/>
        <v>-3.2375955060145734E-3</v>
      </c>
      <c r="AJ105" s="119"/>
    </row>
    <row r="106" spans="1:37">
      <c r="A106" s="12" t="s">
        <v>69</v>
      </c>
      <c r="B106" s="212">
        <f t="shared" ref="B106:AF106" si="61">B51-B38</f>
        <v>0</v>
      </c>
      <c r="C106" s="212">
        <f t="shared" si="61"/>
        <v>0</v>
      </c>
      <c r="D106" s="212">
        <f t="shared" si="61"/>
        <v>0</v>
      </c>
      <c r="E106" s="212">
        <f t="shared" si="61"/>
        <v>0</v>
      </c>
      <c r="F106" s="212">
        <f t="shared" si="61"/>
        <v>0</v>
      </c>
      <c r="G106" s="212">
        <f t="shared" si="61"/>
        <v>-3.3712226253887536</v>
      </c>
      <c r="H106" s="212">
        <f t="shared" si="61"/>
        <v>-5.0517913155418483</v>
      </c>
      <c r="I106" s="212">
        <f t="shared" si="61"/>
        <v>-6.2342223307644247</v>
      </c>
      <c r="J106" s="212">
        <f t="shared" si="61"/>
        <v>-7.2375952090685871</v>
      </c>
      <c r="K106" s="212">
        <f t="shared" si="61"/>
        <v>-8.6847761179755878</v>
      </c>
      <c r="L106" s="212">
        <f t="shared" si="61"/>
        <v>-8.3596790229245244</v>
      </c>
      <c r="M106" s="212">
        <f t="shared" si="61"/>
        <v>-10.248851733518848</v>
      </c>
      <c r="N106" s="212">
        <f t="shared" si="61"/>
        <v>-10.189469725348346</v>
      </c>
      <c r="O106" s="212">
        <f t="shared" si="61"/>
        <v>-9.5876255542214324</v>
      </c>
      <c r="P106" s="212">
        <f t="shared" si="61"/>
        <v>-10.323657281922152</v>
      </c>
      <c r="Q106" s="212">
        <f t="shared" si="61"/>
        <v>-10.318101173951646</v>
      </c>
      <c r="R106" s="212">
        <f t="shared" si="61"/>
        <v>-10.379535357665191</v>
      </c>
      <c r="S106" s="212">
        <f t="shared" si="61"/>
        <v>-10.823350373691369</v>
      </c>
      <c r="T106" s="212">
        <f t="shared" si="61"/>
        <v>-10.790383498078768</v>
      </c>
      <c r="U106" s="212">
        <f t="shared" si="61"/>
        <v>-11.282641101826073</v>
      </c>
      <c r="V106" s="212">
        <f t="shared" si="61"/>
        <v>-11.179784518094039</v>
      </c>
      <c r="W106" s="212">
        <f t="shared" si="61"/>
        <v>-10.94913164959263</v>
      </c>
      <c r="X106" s="212">
        <f t="shared" si="61"/>
        <v>-10.46475319102035</v>
      </c>
      <c r="Y106" s="212">
        <f t="shared" si="61"/>
        <v>-10.415263363613434</v>
      </c>
      <c r="Z106" s="212">
        <f t="shared" si="61"/>
        <v>-9.7672292776242671</v>
      </c>
      <c r="AA106" s="212">
        <f t="shared" si="61"/>
        <v>-9.6886360948719812</v>
      </c>
      <c r="AB106" s="212">
        <f t="shared" si="61"/>
        <v>-9.3185054323851091</v>
      </c>
      <c r="AC106" s="212">
        <f t="shared" si="61"/>
        <v>-8.8349941961983234</v>
      </c>
      <c r="AD106" s="213">
        <f t="shared" si="61"/>
        <v>-9.1758423662758162</v>
      </c>
      <c r="AE106" s="212">
        <f t="shared" si="61"/>
        <v>-8.2630352843254116</v>
      </c>
      <c r="AF106" s="212">
        <f t="shared" si="61"/>
        <v>-8.1494456086623757</v>
      </c>
      <c r="AG106" s="212">
        <f t="shared" ref="AG106:AH106" si="62">AG51-AG38</f>
        <v>-8.4604444920271362</v>
      </c>
      <c r="AH106" s="212">
        <f t="shared" si="62"/>
        <v>-6.7332188810524372</v>
      </c>
      <c r="AI106" s="212">
        <f>AI51-AI38</f>
        <v>-3.2859359127522509</v>
      </c>
      <c r="AJ106" s="212"/>
    </row>
    <row r="107" spans="1:37">
      <c r="A107" s="6" t="s">
        <v>61</v>
      </c>
      <c r="B107" s="119">
        <f t="shared" ref="B107:AI107" si="63">SUM(B97:B106)</f>
        <v>0</v>
      </c>
      <c r="C107" s="119">
        <f t="shared" si="63"/>
        <v>0.95602539473914416</v>
      </c>
      <c r="D107" s="119">
        <f t="shared" si="63"/>
        <v>19.060269329330016</v>
      </c>
      <c r="E107" s="119">
        <f t="shared" si="63"/>
        <v>49.070114150435593</v>
      </c>
      <c r="F107" s="119">
        <f t="shared" si="63"/>
        <v>65.556158164125847</v>
      </c>
      <c r="G107" s="119">
        <f t="shared" si="63"/>
        <v>53.415294998472731</v>
      </c>
      <c r="H107" s="119">
        <f t="shared" si="63"/>
        <v>41.640485880864624</v>
      </c>
      <c r="I107" s="119">
        <f t="shared" si="63"/>
        <v>18.677402952241724</v>
      </c>
      <c r="J107" s="119">
        <f t="shared" si="63"/>
        <v>2.4523235972500483</v>
      </c>
      <c r="K107" s="119">
        <f t="shared" si="63"/>
        <v>-4.2184118368984276</v>
      </c>
      <c r="L107" s="119">
        <f t="shared" si="63"/>
        <v>-4.5137569319455979</v>
      </c>
      <c r="M107" s="119">
        <f t="shared" si="63"/>
        <v>-11.873620786676923</v>
      </c>
      <c r="N107" s="119">
        <f t="shared" si="63"/>
        <v>-12.341110824522241</v>
      </c>
      <c r="O107" s="119">
        <f t="shared" si="63"/>
        <v>-12.187580615850605</v>
      </c>
      <c r="P107" s="119">
        <f t="shared" si="63"/>
        <v>-29.716309115454052</v>
      </c>
      <c r="Q107" s="119">
        <f t="shared" si="63"/>
        <v>-39.526684293138906</v>
      </c>
      <c r="R107" s="119">
        <f t="shared" si="63"/>
        <v>-27.891865750121898</v>
      </c>
      <c r="S107" s="119">
        <f t="shared" si="63"/>
        <v>-23.202586195288426</v>
      </c>
      <c r="T107" s="119">
        <f t="shared" si="63"/>
        <v>-32.125582300836811</v>
      </c>
      <c r="U107" s="119">
        <f t="shared" si="63"/>
        <v>-39.291875522891047</v>
      </c>
      <c r="V107" s="119">
        <f t="shared" si="63"/>
        <v>-39.034830970797636</v>
      </c>
      <c r="W107" s="119">
        <f t="shared" si="63"/>
        <v>-38.111091807153365</v>
      </c>
      <c r="X107" s="119">
        <f t="shared" si="63"/>
        <v>-36.279657377084106</v>
      </c>
      <c r="Y107" s="119">
        <f t="shared" si="63"/>
        <v>-36.236246419856954</v>
      </c>
      <c r="Z107" s="119">
        <f t="shared" si="63"/>
        <v>-33.563236394132062</v>
      </c>
      <c r="AA107" s="119">
        <f t="shared" si="63"/>
        <v>-34.217231811217367</v>
      </c>
      <c r="AB107" s="119">
        <f t="shared" si="63"/>
        <v>-26.428114625431068</v>
      </c>
      <c r="AC107" s="119">
        <f t="shared" si="63"/>
        <v>-20.132647147609227</v>
      </c>
      <c r="AD107" s="211">
        <f t="shared" si="63"/>
        <v>-22.508887208023541</v>
      </c>
      <c r="AE107" s="119">
        <f t="shared" si="63"/>
        <v>-19.842722955764359</v>
      </c>
      <c r="AF107" s="119">
        <f t="shared" si="63"/>
        <v>-19.870845214556979</v>
      </c>
      <c r="AG107" s="119">
        <f t="shared" si="63"/>
        <v>-18.600955714737999</v>
      </c>
      <c r="AH107" s="119">
        <f t="shared" si="63"/>
        <v>-16.545404692919981</v>
      </c>
      <c r="AI107" s="119">
        <f t="shared" si="63"/>
        <v>-8.8942184317368174</v>
      </c>
      <c r="AJ107" s="119"/>
    </row>
    <row r="108" spans="1:37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52"/>
      <c r="AD108" s="214"/>
      <c r="AE108" s="15"/>
      <c r="AF108" s="15"/>
      <c r="AG108" s="15"/>
      <c r="AH108" s="15"/>
      <c r="AI108" s="15"/>
      <c r="AJ108" s="15"/>
    </row>
    <row r="109" spans="1:37">
      <c r="A109" s="6" t="s">
        <v>64</v>
      </c>
      <c r="AC109" s="36"/>
      <c r="AD109" s="215"/>
    </row>
    <row r="110" spans="1:37">
      <c r="A110" s="152" t="str">
        <f>A96</f>
        <v>Clean Energy Connection-SoBra 700MWs</v>
      </c>
      <c r="B110" s="152">
        <f>$B$1</f>
        <v>2020</v>
      </c>
      <c r="C110" s="152">
        <f t="shared" ref="C110:AI110" si="64">B110+1</f>
        <v>2021</v>
      </c>
      <c r="D110" s="152">
        <f t="shared" si="64"/>
        <v>2022</v>
      </c>
      <c r="E110" s="152">
        <f t="shared" si="64"/>
        <v>2023</v>
      </c>
      <c r="F110" s="152">
        <f t="shared" si="64"/>
        <v>2024</v>
      </c>
      <c r="G110" s="152">
        <f t="shared" si="64"/>
        <v>2025</v>
      </c>
      <c r="H110" s="152">
        <f t="shared" si="64"/>
        <v>2026</v>
      </c>
      <c r="I110" s="152">
        <f t="shared" si="64"/>
        <v>2027</v>
      </c>
      <c r="J110" s="152">
        <f t="shared" si="64"/>
        <v>2028</v>
      </c>
      <c r="K110" s="152">
        <f t="shared" si="64"/>
        <v>2029</v>
      </c>
      <c r="L110" s="152">
        <f t="shared" si="64"/>
        <v>2030</v>
      </c>
      <c r="M110" s="152">
        <f t="shared" si="64"/>
        <v>2031</v>
      </c>
      <c r="N110" s="152">
        <f t="shared" si="64"/>
        <v>2032</v>
      </c>
      <c r="O110" s="152">
        <f t="shared" si="64"/>
        <v>2033</v>
      </c>
      <c r="P110" s="152">
        <f t="shared" si="64"/>
        <v>2034</v>
      </c>
      <c r="Q110" s="152">
        <f t="shared" si="64"/>
        <v>2035</v>
      </c>
      <c r="R110" s="152">
        <f t="shared" si="64"/>
        <v>2036</v>
      </c>
      <c r="S110" s="152">
        <f t="shared" si="64"/>
        <v>2037</v>
      </c>
      <c r="T110" s="152">
        <f t="shared" si="64"/>
        <v>2038</v>
      </c>
      <c r="U110" s="152">
        <f t="shared" si="64"/>
        <v>2039</v>
      </c>
      <c r="V110" s="152">
        <f t="shared" si="64"/>
        <v>2040</v>
      </c>
      <c r="W110" s="152">
        <f t="shared" si="64"/>
        <v>2041</v>
      </c>
      <c r="X110" s="152">
        <f t="shared" si="64"/>
        <v>2042</v>
      </c>
      <c r="Y110" s="152">
        <f t="shared" si="64"/>
        <v>2043</v>
      </c>
      <c r="Z110" s="152">
        <f t="shared" si="64"/>
        <v>2044</v>
      </c>
      <c r="AA110" s="152">
        <f t="shared" si="64"/>
        <v>2045</v>
      </c>
      <c r="AB110" s="152">
        <f t="shared" si="64"/>
        <v>2046</v>
      </c>
      <c r="AC110" s="209">
        <f t="shared" si="64"/>
        <v>2047</v>
      </c>
      <c r="AD110" s="210">
        <f t="shared" si="64"/>
        <v>2048</v>
      </c>
      <c r="AE110" s="152">
        <f t="shared" si="64"/>
        <v>2049</v>
      </c>
      <c r="AF110" s="152">
        <f t="shared" si="64"/>
        <v>2050</v>
      </c>
      <c r="AG110" s="152">
        <f t="shared" si="64"/>
        <v>2051</v>
      </c>
      <c r="AH110" s="152">
        <f t="shared" si="64"/>
        <v>2052</v>
      </c>
      <c r="AI110" s="152">
        <f t="shared" si="64"/>
        <v>2053</v>
      </c>
      <c r="AJ110" s="152"/>
    </row>
    <row r="111" spans="1:37">
      <c r="A111" s="6" t="s">
        <v>134</v>
      </c>
      <c r="B111" s="119">
        <f t="shared" ref="B111:AI111" si="65">B69-B56</f>
        <v>0</v>
      </c>
      <c r="C111" s="119">
        <f t="shared" si="65"/>
        <v>0</v>
      </c>
      <c r="D111" s="119">
        <f t="shared" si="65"/>
        <v>0</v>
      </c>
      <c r="E111" s="119">
        <f t="shared" si="65"/>
        <v>0</v>
      </c>
      <c r="F111" s="119">
        <f t="shared" si="65"/>
        <v>0</v>
      </c>
      <c r="G111" s="119">
        <f t="shared" si="65"/>
        <v>0</v>
      </c>
      <c r="H111" s="119">
        <f t="shared" si="65"/>
        <v>0</v>
      </c>
      <c r="I111" s="119">
        <f t="shared" si="65"/>
        <v>0</v>
      </c>
      <c r="J111" s="119">
        <f t="shared" si="65"/>
        <v>0</v>
      </c>
      <c r="K111" s="119">
        <f t="shared" si="65"/>
        <v>0</v>
      </c>
      <c r="L111" s="119">
        <f t="shared" si="65"/>
        <v>0</v>
      </c>
      <c r="M111" s="119">
        <f t="shared" si="65"/>
        <v>0</v>
      </c>
      <c r="N111" s="119">
        <f t="shared" si="65"/>
        <v>0</v>
      </c>
      <c r="O111" s="119">
        <f t="shared" si="65"/>
        <v>0</v>
      </c>
      <c r="P111" s="119">
        <f t="shared" si="65"/>
        <v>0</v>
      </c>
      <c r="Q111" s="119">
        <f t="shared" si="65"/>
        <v>0</v>
      </c>
      <c r="R111" s="119">
        <f t="shared" si="65"/>
        <v>0</v>
      </c>
      <c r="S111" s="119">
        <f t="shared" si="65"/>
        <v>0</v>
      </c>
      <c r="T111" s="119">
        <f t="shared" si="65"/>
        <v>0</v>
      </c>
      <c r="U111" s="119">
        <f t="shared" si="65"/>
        <v>0</v>
      </c>
      <c r="V111" s="119">
        <f t="shared" si="65"/>
        <v>0</v>
      </c>
      <c r="W111" s="119">
        <f t="shared" si="65"/>
        <v>0</v>
      </c>
      <c r="X111" s="119">
        <f t="shared" si="65"/>
        <v>0</v>
      </c>
      <c r="Y111" s="119">
        <f t="shared" si="65"/>
        <v>0</v>
      </c>
      <c r="Z111" s="119">
        <f t="shared" si="65"/>
        <v>0</v>
      </c>
      <c r="AA111" s="119">
        <f t="shared" si="65"/>
        <v>0</v>
      </c>
      <c r="AB111" s="119">
        <f t="shared" si="65"/>
        <v>0</v>
      </c>
      <c r="AC111" s="119">
        <f t="shared" si="65"/>
        <v>0</v>
      </c>
      <c r="AD111" s="211">
        <f t="shared" si="65"/>
        <v>0</v>
      </c>
      <c r="AE111" s="119">
        <f t="shared" si="65"/>
        <v>0</v>
      </c>
      <c r="AF111" s="119">
        <f t="shared" si="65"/>
        <v>0</v>
      </c>
      <c r="AG111" s="119">
        <f t="shared" si="65"/>
        <v>0</v>
      </c>
      <c r="AH111" s="119">
        <f t="shared" si="65"/>
        <v>0</v>
      </c>
      <c r="AI111" s="119">
        <f t="shared" si="65"/>
        <v>0</v>
      </c>
      <c r="AJ111" s="119"/>
      <c r="AK111" s="119" t="str">
        <f t="shared" ref="AK111:AK120" si="66">A111</f>
        <v>Existing Solar</v>
      </c>
    </row>
    <row r="112" spans="1:37">
      <c r="A112" s="6" t="s">
        <v>135</v>
      </c>
      <c r="B112" s="119">
        <f t="shared" ref="B112:AI112" si="67">B70-B57</f>
        <v>0</v>
      </c>
      <c r="C112" s="119">
        <f t="shared" si="67"/>
        <v>0</v>
      </c>
      <c r="D112" s="119">
        <f t="shared" si="67"/>
        <v>27.104402529171068</v>
      </c>
      <c r="E112" s="119">
        <f t="shared" si="67"/>
        <v>98.781674233069964</v>
      </c>
      <c r="F112" s="119">
        <f t="shared" si="67"/>
        <v>205.49827041468927</v>
      </c>
      <c r="G112" s="119">
        <f t="shared" si="67"/>
        <v>300.46649364736896</v>
      </c>
      <c r="H112" s="119">
        <f t="shared" si="67"/>
        <v>385.39678406731878</v>
      </c>
      <c r="I112" s="119">
        <f t="shared" si="67"/>
        <v>456.76610212359998</v>
      </c>
      <c r="J112" s="119">
        <f t="shared" si="67"/>
        <v>521.38216806475043</v>
      </c>
      <c r="K112" s="119">
        <f t="shared" si="67"/>
        <v>580.22999313960736</v>
      </c>
      <c r="L112" s="119">
        <f t="shared" si="67"/>
        <v>634.01636784102379</v>
      </c>
      <c r="M112" s="119">
        <f t="shared" si="67"/>
        <v>683.26715478238884</v>
      </c>
      <c r="N112" s="119">
        <f t="shared" si="67"/>
        <v>728.35372964352109</v>
      </c>
      <c r="O112" s="119">
        <f t="shared" si="67"/>
        <v>769.60576167263162</v>
      </c>
      <c r="P112" s="119">
        <f t="shared" si="67"/>
        <v>807.31002678440973</v>
      </c>
      <c r="Q112" s="119">
        <f t="shared" si="67"/>
        <v>841.7817862456186</v>
      </c>
      <c r="R112" s="119">
        <f t="shared" si="67"/>
        <v>873.29202848516286</v>
      </c>
      <c r="S112" s="119">
        <f t="shared" si="67"/>
        <v>902.06344495740177</v>
      </c>
      <c r="T112" s="119">
        <f t="shared" si="67"/>
        <v>930.24970017284386</v>
      </c>
      <c r="U112" s="119">
        <f t="shared" si="67"/>
        <v>955.84915294119799</v>
      </c>
      <c r="V112" s="119">
        <f t="shared" si="67"/>
        <v>979.07310442426649</v>
      </c>
      <c r="W112" s="119">
        <f t="shared" si="67"/>
        <v>1000.1248911355183</v>
      </c>
      <c r="X112" s="119">
        <f t="shared" si="67"/>
        <v>1019.2432452792501</v>
      </c>
      <c r="Y112" s="119">
        <f t="shared" si="67"/>
        <v>1036.6317832813522</v>
      </c>
      <c r="Z112" s="119">
        <f t="shared" si="67"/>
        <v>1052.4528204477485</v>
      </c>
      <c r="AA112" s="119">
        <f t="shared" si="67"/>
        <v>1066.8199714822242</v>
      </c>
      <c r="AB112" s="119">
        <f t="shared" si="67"/>
        <v>1079.8900698837747</v>
      </c>
      <c r="AC112" s="119">
        <f t="shared" si="67"/>
        <v>1091.7640225794905</v>
      </c>
      <c r="AD112" s="211">
        <f t="shared" si="67"/>
        <v>1102.5564189601394</v>
      </c>
      <c r="AE112" s="119">
        <f t="shared" si="67"/>
        <v>1112.3456472165315</v>
      </c>
      <c r="AF112" s="119">
        <f t="shared" si="67"/>
        <v>1121.2349572228359</v>
      </c>
      <c r="AG112" s="119">
        <f t="shared" si="67"/>
        <v>1129.7914422876931</v>
      </c>
      <c r="AH112" s="119">
        <f t="shared" si="67"/>
        <v>1136.619048814528</v>
      </c>
      <c r="AI112" s="119">
        <f t="shared" si="67"/>
        <v>1140.2982843495179</v>
      </c>
      <c r="AJ112" s="119"/>
      <c r="AK112" s="119" t="str">
        <f t="shared" si="66"/>
        <v>New Solar</v>
      </c>
    </row>
    <row r="113" spans="1:38">
      <c r="A113" s="6" t="s">
        <v>60</v>
      </c>
      <c r="B113" s="119">
        <f t="shared" ref="B113:AI113" si="68">B71-B58</f>
        <v>0</v>
      </c>
      <c r="C113" s="119">
        <f t="shared" si="68"/>
        <v>0</v>
      </c>
      <c r="D113" s="119">
        <f t="shared" si="68"/>
        <v>0</v>
      </c>
      <c r="E113" s="119">
        <f t="shared" si="68"/>
        <v>0</v>
      </c>
      <c r="F113" s="119">
        <f t="shared" si="68"/>
        <v>0</v>
      </c>
      <c r="G113" s="119">
        <f t="shared" si="68"/>
        <v>0</v>
      </c>
      <c r="H113" s="119">
        <f t="shared" si="68"/>
        <v>0</v>
      </c>
      <c r="I113" s="119">
        <f t="shared" si="68"/>
        <v>-6.8065319934405428</v>
      </c>
      <c r="J113" s="119">
        <f t="shared" si="68"/>
        <v>-23.963273112755651</v>
      </c>
      <c r="K113" s="119">
        <f t="shared" si="68"/>
        <v>-37.68962653509206</v>
      </c>
      <c r="L113" s="119">
        <f t="shared" si="68"/>
        <v>-51.938491893392545</v>
      </c>
      <c r="M113" s="119">
        <f t="shared" si="68"/>
        <v>-63.218316402033011</v>
      </c>
      <c r="N113" s="119">
        <f t="shared" si="68"/>
        <v>-75.08199699487605</v>
      </c>
      <c r="O113" s="119">
        <f t="shared" si="68"/>
        <v>-84.363118834522751</v>
      </c>
      <c r="P113" s="119">
        <f t="shared" si="68"/>
        <v>-95.555131916288076</v>
      </c>
      <c r="Q113" s="119">
        <f t="shared" si="68"/>
        <v>-109.74311048334511</v>
      </c>
      <c r="R113" s="119">
        <f t="shared" si="68"/>
        <v>-117.75217666752008</v>
      </c>
      <c r="S113" s="119">
        <f t="shared" si="68"/>
        <v>-121.79306183603046</v>
      </c>
      <c r="T113" s="119">
        <f t="shared" si="68"/>
        <v>-129.86103987438742</v>
      </c>
      <c r="U113" s="119">
        <f t="shared" si="68"/>
        <v>-140.0916504003319</v>
      </c>
      <c r="V113" s="119">
        <f t="shared" si="68"/>
        <v>-149.36500250181143</v>
      </c>
      <c r="W113" s="119">
        <f t="shared" si="68"/>
        <v>-157.76503353992234</v>
      </c>
      <c r="X113" s="119">
        <f t="shared" si="68"/>
        <v>-165.37771678192939</v>
      </c>
      <c r="Y113" s="119">
        <f t="shared" si="68"/>
        <v>-172.3006922359657</v>
      </c>
      <c r="Z113" s="119">
        <f t="shared" si="68"/>
        <v>-178.6115897763425</v>
      </c>
      <c r="AA113" s="119">
        <f t="shared" si="68"/>
        <v>-184.36170521052736</v>
      </c>
      <c r="AB113" s="119">
        <f t="shared" si="68"/>
        <v>-186.67226590371502</v>
      </c>
      <c r="AC113" s="119">
        <f t="shared" si="68"/>
        <v>-186.84205217319368</v>
      </c>
      <c r="AD113" s="211">
        <f t="shared" si="68"/>
        <v>-187.00038054764764</v>
      </c>
      <c r="AE113" s="119">
        <f t="shared" si="68"/>
        <v>-187.1452413173879</v>
      </c>
      <c r="AF113" s="119">
        <f t="shared" si="68"/>
        <v>-187.2820530561703</v>
      </c>
      <c r="AG113" s="119">
        <f t="shared" si="68"/>
        <v>-187.40756014500812</v>
      </c>
      <c r="AH113" s="119">
        <f t="shared" si="68"/>
        <v>-187.50714140350556</v>
      </c>
      <c r="AI113" s="119">
        <f t="shared" si="68"/>
        <v>-187.58269552528463</v>
      </c>
      <c r="AJ113" s="119"/>
      <c r="AK113" s="119" t="str">
        <f t="shared" si="66"/>
        <v>Conv Gen Capital</v>
      </c>
      <c r="AL113" s="16"/>
    </row>
    <row r="114" spans="1:38">
      <c r="A114" s="6" t="s">
        <v>68</v>
      </c>
      <c r="B114" s="119">
        <f t="shared" ref="B114:AI114" si="69">B72-B59</f>
        <v>0</v>
      </c>
      <c r="C114" s="119">
        <f t="shared" si="69"/>
        <v>0</v>
      </c>
      <c r="D114" s="119">
        <f t="shared" si="69"/>
        <v>0</v>
      </c>
      <c r="E114" s="119">
        <f t="shared" si="69"/>
        <v>0</v>
      </c>
      <c r="F114" s="119">
        <f t="shared" si="69"/>
        <v>0</v>
      </c>
      <c r="G114" s="119">
        <f t="shared" si="69"/>
        <v>0</v>
      </c>
      <c r="H114" s="119">
        <f t="shared" si="69"/>
        <v>0</v>
      </c>
      <c r="I114" s="119">
        <f t="shared" si="69"/>
        <v>-0.16330587684274178</v>
      </c>
      <c r="J114" s="119">
        <f t="shared" si="69"/>
        <v>-0.5891213502827668</v>
      </c>
      <c r="K114" s="119">
        <f t="shared" si="69"/>
        <v>-0.9551235061674106</v>
      </c>
      <c r="L114" s="119">
        <f t="shared" si="69"/>
        <v>-1.3480835154748547</v>
      </c>
      <c r="M114" s="119">
        <f t="shared" si="69"/>
        <v>-1.6858319651919373</v>
      </c>
      <c r="N114" s="119">
        <f t="shared" si="69"/>
        <v>-2.0484601922203183</v>
      </c>
      <c r="O114" s="119">
        <f t="shared" si="69"/>
        <v>-2.3601402918520762</v>
      </c>
      <c r="P114" s="119">
        <f t="shared" si="69"/>
        <v>-2.968785690347886</v>
      </c>
      <c r="Q114" s="119">
        <f t="shared" si="69"/>
        <v>-3.8260816941933626</v>
      </c>
      <c r="R114" s="119">
        <f t="shared" si="69"/>
        <v>-4.4094305986191102</v>
      </c>
      <c r="S114" s="119">
        <f t="shared" si="69"/>
        <v>-4.8049963842986472</v>
      </c>
      <c r="T114" s="119">
        <f t="shared" si="69"/>
        <v>-5.4066560985465912</v>
      </c>
      <c r="U114" s="119">
        <f t="shared" si="69"/>
        <v>-6.1367321643733703</v>
      </c>
      <c r="V114" s="119">
        <f t="shared" si="69"/>
        <v>-6.8380706023322091</v>
      </c>
      <c r="W114" s="119">
        <f t="shared" si="69"/>
        <v>-7.5118014416261758</v>
      </c>
      <c r="X114" s="119">
        <f t="shared" si="69"/>
        <v>-8.1590154177656586</v>
      </c>
      <c r="Y114" s="119">
        <f t="shared" si="69"/>
        <v>-8.7807507171592079</v>
      </c>
      <c r="Z114" s="119">
        <f t="shared" si="69"/>
        <v>-9.3780136805639813</v>
      </c>
      <c r="AA114" s="119">
        <f t="shared" si="69"/>
        <v>-9.9517661686827523</v>
      </c>
      <c r="AB114" s="119">
        <f t="shared" si="69"/>
        <v>-10.342178555049941</v>
      </c>
      <c r="AC114" s="119">
        <f t="shared" si="69"/>
        <v>-10.606914816706649</v>
      </c>
      <c r="AD114" s="211">
        <f t="shared" si="69"/>
        <v>-10.861229775078755</v>
      </c>
      <c r="AE114" s="119">
        <f t="shared" si="69"/>
        <v>-11.105534743956468</v>
      </c>
      <c r="AF114" s="119">
        <f t="shared" si="69"/>
        <v>-11.340224138767098</v>
      </c>
      <c r="AG114" s="119">
        <f t="shared" si="69"/>
        <v>-11.565674855845828</v>
      </c>
      <c r="AH114" s="119">
        <f t="shared" si="69"/>
        <v>-11.782251067264042</v>
      </c>
      <c r="AI114" s="119">
        <f t="shared" si="69"/>
        <v>-11.990301872081091</v>
      </c>
      <c r="AJ114" s="119"/>
      <c r="AK114" s="119" t="str">
        <f t="shared" si="66"/>
        <v>Fixed Costs</v>
      </c>
    </row>
    <row r="115" spans="1:38">
      <c r="A115" s="6" t="s">
        <v>67</v>
      </c>
      <c r="B115" s="119">
        <f t="shared" ref="B115:AI115" si="70">B73-B60</f>
        <v>0</v>
      </c>
      <c r="C115" s="119">
        <f t="shared" si="70"/>
        <v>0</v>
      </c>
      <c r="D115" s="119">
        <f t="shared" si="70"/>
        <v>0</v>
      </c>
      <c r="E115" s="119">
        <f t="shared" si="70"/>
        <v>0</v>
      </c>
      <c r="F115" s="119">
        <f t="shared" si="70"/>
        <v>0</v>
      </c>
      <c r="G115" s="119">
        <f t="shared" si="70"/>
        <v>0</v>
      </c>
      <c r="H115" s="119">
        <f t="shared" si="70"/>
        <v>0</v>
      </c>
      <c r="I115" s="119">
        <f t="shared" si="70"/>
        <v>0</v>
      </c>
      <c r="J115" s="119">
        <f t="shared" si="70"/>
        <v>0</v>
      </c>
      <c r="K115" s="119">
        <f t="shared" si="70"/>
        <v>0</v>
      </c>
      <c r="L115" s="119">
        <f t="shared" si="70"/>
        <v>0</v>
      </c>
      <c r="M115" s="119">
        <f t="shared" si="70"/>
        <v>0</v>
      </c>
      <c r="N115" s="119">
        <f t="shared" si="70"/>
        <v>0</v>
      </c>
      <c r="O115" s="119">
        <f t="shared" si="70"/>
        <v>0</v>
      </c>
      <c r="P115" s="119">
        <f t="shared" si="70"/>
        <v>-10.406972306614989</v>
      </c>
      <c r="Q115" s="119">
        <f t="shared" si="70"/>
        <v>-27.12724599124067</v>
      </c>
      <c r="R115" s="119">
        <f t="shared" si="70"/>
        <v>-37.995702622427416</v>
      </c>
      <c r="S115" s="119">
        <f t="shared" si="70"/>
        <v>-44.967141172227457</v>
      </c>
      <c r="T115" s="119">
        <f t="shared" si="70"/>
        <v>-55.932130000884172</v>
      </c>
      <c r="U115" s="119">
        <f t="shared" si="70"/>
        <v>-69.175066667597093</v>
      </c>
      <c r="V115" s="119">
        <f t="shared" si="70"/>
        <v>-81.58644670499325</v>
      </c>
      <c r="W115" s="119">
        <f t="shared" si="70"/>
        <v>-93.218467670440077</v>
      </c>
      <c r="X115" s="119">
        <f t="shared" si="70"/>
        <v>-104.12008057151434</v>
      </c>
      <c r="Y115" s="119">
        <f t="shared" si="70"/>
        <v>-114.33714983212849</v>
      </c>
      <c r="Z115" s="119">
        <f t="shared" si="70"/>
        <v>-123.91267046150278</v>
      </c>
      <c r="AA115" s="119">
        <f t="shared" si="70"/>
        <v>-132.88691659962296</v>
      </c>
      <c r="AB115" s="119">
        <f t="shared" si="70"/>
        <v>-138.08391646269411</v>
      </c>
      <c r="AC115" s="119">
        <f t="shared" si="70"/>
        <v>-140.80321552577152</v>
      </c>
      <c r="AD115" s="211">
        <f t="shared" si="70"/>
        <v>-143.35176197664168</v>
      </c>
      <c r="AE115" s="119">
        <f t="shared" si="70"/>
        <v>-145.74027786311763</v>
      </c>
      <c r="AF115" s="119">
        <f t="shared" si="70"/>
        <v>-147.97881196478193</v>
      </c>
      <c r="AG115" s="119">
        <f t="shared" si="70"/>
        <v>-150.07678206943456</v>
      </c>
      <c r="AH115" s="119">
        <f t="shared" si="70"/>
        <v>-152.04301459488215</v>
      </c>
      <c r="AI115" s="119">
        <f t="shared" si="70"/>
        <v>-153.88578172276175</v>
      </c>
      <c r="AJ115" s="119"/>
      <c r="AK115" s="119" t="str">
        <f t="shared" si="66"/>
        <v>Gas Reservation Costs</v>
      </c>
    </row>
    <row r="116" spans="1:38">
      <c r="A116" s="6" t="s">
        <v>383</v>
      </c>
      <c r="B116" s="119">
        <f t="shared" ref="B116:AI116" si="71">B74-B61</f>
        <v>0</v>
      </c>
      <c r="C116" s="119">
        <f t="shared" si="71"/>
        <v>0.95602539473914416</v>
      </c>
      <c r="D116" s="119">
        <f t="shared" si="71"/>
        <v>1.5072266250072159</v>
      </c>
      <c r="E116" s="119">
        <f t="shared" si="71"/>
        <v>2.0695367321701985</v>
      </c>
      <c r="F116" s="119">
        <f t="shared" si="71"/>
        <v>2.5900853804250303</v>
      </c>
      <c r="G116" s="119">
        <f t="shared" si="71"/>
        <v>3.0645593924772814</v>
      </c>
      <c r="H116" s="119">
        <f t="shared" si="71"/>
        <v>3.4105074444231458</v>
      </c>
      <c r="I116" s="119">
        <f t="shared" si="71"/>
        <v>3.7694032877547321</v>
      </c>
      <c r="J116" s="119">
        <f t="shared" si="71"/>
        <v>4.081384694912491</v>
      </c>
      <c r="K116" s="119">
        <f t="shared" si="71"/>
        <v>4.385661652913285</v>
      </c>
      <c r="L116" s="119">
        <f t="shared" si="71"/>
        <v>4.6936161007606358</v>
      </c>
      <c r="M116" s="119">
        <f t="shared" si="71"/>
        <v>4.876091196085361</v>
      </c>
      <c r="N116" s="119">
        <f t="shared" si="71"/>
        <v>5.0454798390598876</v>
      </c>
      <c r="O116" s="119">
        <f t="shared" si="71"/>
        <v>5.2294447586090405</v>
      </c>
      <c r="P116" s="119">
        <f t="shared" si="71"/>
        <v>5.3836719529946686</v>
      </c>
      <c r="Q116" s="119">
        <f t="shared" si="71"/>
        <v>5.5346613210514448</v>
      </c>
      <c r="R116" s="119">
        <f t="shared" si="71"/>
        <v>5.690057206126018</v>
      </c>
      <c r="S116" s="119">
        <f t="shared" si="71"/>
        <v>5.8275763916379768</v>
      </c>
      <c r="T116" s="119">
        <f t="shared" si="71"/>
        <v>5.9557466681538642</v>
      </c>
      <c r="U116" s="119">
        <f t="shared" si="71"/>
        <v>6.0933307004328334</v>
      </c>
      <c r="V116" s="119">
        <f t="shared" si="71"/>
        <v>6.2103146406013154</v>
      </c>
      <c r="W116" s="119">
        <f t="shared" si="71"/>
        <v>6.3246720109823338</v>
      </c>
      <c r="X116" s="119">
        <f t="shared" si="71"/>
        <v>6.4415980915041979</v>
      </c>
      <c r="Y116" s="119">
        <f t="shared" si="71"/>
        <v>6.5460068556555422</v>
      </c>
      <c r="Z116" s="119">
        <f t="shared" si="71"/>
        <v>6.6436912405524309</v>
      </c>
      <c r="AA116" s="119">
        <f t="shared" si="71"/>
        <v>6.7473794896881474</v>
      </c>
      <c r="AB116" s="119">
        <f t="shared" si="71"/>
        <v>6.8299441406162629</v>
      </c>
      <c r="AC116" s="119">
        <f t="shared" si="71"/>
        <v>6.9134101017759475</v>
      </c>
      <c r="AD116" s="211">
        <f t="shared" si="71"/>
        <v>6.9892525522111812</v>
      </c>
      <c r="AE116" s="119">
        <f t="shared" si="71"/>
        <v>7.065161560369619</v>
      </c>
      <c r="AF116" s="119">
        <f t="shared" si="71"/>
        <v>7.1348731753412622</v>
      </c>
      <c r="AG116" s="119">
        <f t="shared" si="71"/>
        <v>7.2050716835813713</v>
      </c>
      <c r="AH116" s="119">
        <f t="shared" si="71"/>
        <v>7.266976907278667</v>
      </c>
      <c r="AI116" s="119">
        <f t="shared" si="71"/>
        <v>7.325205364161631</v>
      </c>
      <c r="AJ116" s="119"/>
      <c r="AK116" s="119"/>
    </row>
    <row r="117" spans="1:38">
      <c r="A117" s="6" t="s">
        <v>65</v>
      </c>
      <c r="B117" s="119">
        <f t="shared" ref="B117:AI117" si="72">B75-B62</f>
        <v>0</v>
      </c>
      <c r="C117" s="119">
        <f t="shared" si="72"/>
        <v>0</v>
      </c>
      <c r="D117" s="119">
        <f t="shared" si="72"/>
        <v>-7.3073960310553048</v>
      </c>
      <c r="E117" s="119">
        <f t="shared" si="72"/>
        <v>-27.218238857726192</v>
      </c>
      <c r="F117" s="119">
        <f t="shared" si="72"/>
        <v>-64.549983713587608</v>
      </c>
      <c r="G117" s="119">
        <f t="shared" si="72"/>
        <v>-99.752477786587406</v>
      </c>
      <c r="H117" s="119">
        <f t="shared" si="72"/>
        <v>-134.97552693680063</v>
      </c>
      <c r="I117" s="119">
        <f t="shared" si="72"/>
        <v>-171.32619698063809</v>
      </c>
      <c r="J117" s="119">
        <f t="shared" si="72"/>
        <v>-205.33294757856129</v>
      </c>
      <c r="K117" s="119">
        <f t="shared" si="72"/>
        <v>-242.9050612541796</v>
      </c>
      <c r="L117" s="119">
        <f t="shared" si="72"/>
        <v>-275.46198179805651</v>
      </c>
      <c r="M117" s="119">
        <f t="shared" si="72"/>
        <v>-312.06613949142229</v>
      </c>
      <c r="N117" s="119">
        <f t="shared" si="72"/>
        <v>-344.51745090432451</v>
      </c>
      <c r="O117" s="119">
        <f t="shared" si="72"/>
        <v>-376.37250593012141</v>
      </c>
      <c r="P117" s="119">
        <f t="shared" si="72"/>
        <v>-408.6603997086786</v>
      </c>
      <c r="Q117" s="119">
        <f t="shared" si="72"/>
        <v>-437.98933539243262</v>
      </c>
      <c r="R117" s="119">
        <f t="shared" si="72"/>
        <v>-465.93418867666696</v>
      </c>
      <c r="S117" s="119">
        <f t="shared" si="72"/>
        <v>-494.96471214567282</v>
      </c>
      <c r="T117" s="119">
        <f t="shared" si="72"/>
        <v>-522.81480852996538</v>
      </c>
      <c r="U117" s="119">
        <f t="shared" si="72"/>
        <v>-550.36855497085526</v>
      </c>
      <c r="V117" s="119">
        <f t="shared" si="72"/>
        <v>-577.44459602771713</v>
      </c>
      <c r="W117" s="119">
        <f t="shared" si="72"/>
        <v>-603.31634187719646</v>
      </c>
      <c r="X117" s="119">
        <f t="shared" si="72"/>
        <v>-627.59916844051077</v>
      </c>
      <c r="Y117" s="119">
        <f t="shared" si="72"/>
        <v>-651.37060457223924</v>
      </c>
      <c r="Z117" s="119">
        <f t="shared" si="72"/>
        <v>-673.34747411666467</v>
      </c>
      <c r="AA117" s="119">
        <f t="shared" si="72"/>
        <v>-695.43823751849413</v>
      </c>
      <c r="AB117" s="119">
        <f t="shared" si="72"/>
        <v>-716.40054577902629</v>
      </c>
      <c r="AC117" s="119">
        <f t="shared" si="72"/>
        <v>-735.76409696952396</v>
      </c>
      <c r="AD117" s="211">
        <f t="shared" si="72"/>
        <v>-755.73570092062073</v>
      </c>
      <c r="AE117" s="119">
        <f t="shared" si="72"/>
        <v>-773.28757971241794</v>
      </c>
      <c r="AF117" s="119">
        <f t="shared" si="72"/>
        <v>-790.27138896260658</v>
      </c>
      <c r="AG117" s="119">
        <f t="shared" si="72"/>
        <v>-807.44063603705945</v>
      </c>
      <c r="AH117" s="119">
        <f t="shared" si="72"/>
        <v>-821.09440086808536</v>
      </c>
      <c r="AI117" s="119">
        <f t="shared" si="72"/>
        <v>-827.68482416289771</v>
      </c>
      <c r="AJ117" s="119"/>
      <c r="AK117" s="119" t="str">
        <f t="shared" si="66"/>
        <v>Fuel Costs</v>
      </c>
    </row>
    <row r="118" spans="1:38">
      <c r="A118" s="6" t="s">
        <v>52</v>
      </c>
      <c r="B118" s="119">
        <f t="shared" ref="B118:AI118" si="73">B76-B63</f>
        <v>0</v>
      </c>
      <c r="C118" s="119">
        <f t="shared" si="73"/>
        <v>0</v>
      </c>
      <c r="D118" s="119">
        <f t="shared" si="73"/>
        <v>-1.2273285029543217</v>
      </c>
      <c r="E118" s="119">
        <f t="shared" si="73"/>
        <v>-4.3921309591090676</v>
      </c>
      <c r="F118" s="119">
        <f t="shared" si="73"/>
        <v>-8.5169161218398131</v>
      </c>
      <c r="G118" s="119">
        <f t="shared" si="73"/>
        <v>-11.72369186114156</v>
      </c>
      <c r="H118" s="119">
        <f t="shared" si="73"/>
        <v>-14.848231224210167</v>
      </c>
      <c r="I118" s="119">
        <f t="shared" si="73"/>
        <v>-18.192683248866501</v>
      </c>
      <c r="J118" s="119">
        <f t="shared" si="73"/>
        <v>-21.751425145675171</v>
      </c>
      <c r="K118" s="119">
        <f t="shared" si="73"/>
        <v>-24.592751946282078</v>
      </c>
      <c r="L118" s="119">
        <f t="shared" si="73"/>
        <v>-27.606766353828334</v>
      </c>
      <c r="M118" s="119">
        <f t="shared" si="73"/>
        <v>-30.302795615961713</v>
      </c>
      <c r="N118" s="119">
        <f t="shared" si="73"/>
        <v>-32.948748650044308</v>
      </c>
      <c r="O118" s="119">
        <f t="shared" si="73"/>
        <v>-35.543072950307533</v>
      </c>
      <c r="P118" s="119">
        <f t="shared" si="73"/>
        <v>-38.294275840018372</v>
      </c>
      <c r="Q118" s="119">
        <f t="shared" si="73"/>
        <v>-41.008490805239489</v>
      </c>
      <c r="R118" s="119">
        <f t="shared" si="73"/>
        <v>-42.756202691533872</v>
      </c>
      <c r="S118" s="119">
        <f t="shared" si="73"/>
        <v>-43.582262713799309</v>
      </c>
      <c r="T118" s="119">
        <f t="shared" si="73"/>
        <v>-45.726472313889872</v>
      </c>
      <c r="U118" s="119">
        <f t="shared" si="73"/>
        <v>-47.697617609778717</v>
      </c>
      <c r="V118" s="119">
        <f t="shared" si="73"/>
        <v>-49.414472107072925</v>
      </c>
      <c r="W118" s="119">
        <f t="shared" si="73"/>
        <v>-51.148185809817733</v>
      </c>
      <c r="X118" s="119">
        <f t="shared" si="73"/>
        <v>-52.737481401382865</v>
      </c>
      <c r="Y118" s="119">
        <f t="shared" si="73"/>
        <v>-54.504219174956233</v>
      </c>
      <c r="Z118" s="119">
        <f t="shared" si="73"/>
        <v>-55.744136850788436</v>
      </c>
      <c r="AA118" s="119">
        <f t="shared" si="73"/>
        <v>-57.340631827511515</v>
      </c>
      <c r="AB118" s="119">
        <f t="shared" si="73"/>
        <v>-58.729671177685759</v>
      </c>
      <c r="AC118" s="119">
        <f t="shared" si="73"/>
        <v>-59.455707259080555</v>
      </c>
      <c r="AD118" s="211">
        <f t="shared" si="73"/>
        <v>-60.713641009578623</v>
      </c>
      <c r="AE118" s="119">
        <f t="shared" si="73"/>
        <v>-61.818397673303934</v>
      </c>
      <c r="AF118" s="119">
        <f t="shared" si="73"/>
        <v>-62.895452216529065</v>
      </c>
      <c r="AG118" s="119">
        <f t="shared" si="73"/>
        <v>-62.035389708511502</v>
      </c>
      <c r="AH118" s="119">
        <f t="shared" si="73"/>
        <v>-62.794293299648871</v>
      </c>
      <c r="AI118" s="119">
        <f t="shared" si="73"/>
        <v>-63.420006865712367</v>
      </c>
      <c r="AJ118" s="119"/>
      <c r="AK118" s="119" t="str">
        <f t="shared" si="66"/>
        <v>Variable Costs</v>
      </c>
    </row>
    <row r="119" spans="1:38">
      <c r="A119" s="36" t="s">
        <v>66</v>
      </c>
      <c r="B119" s="119">
        <f t="shared" ref="B119:AI119" si="74">B77-B64</f>
        <v>0</v>
      </c>
      <c r="C119" s="119">
        <f t="shared" si="74"/>
        <v>0</v>
      </c>
      <c r="D119" s="119">
        <f t="shared" si="74"/>
        <v>-6.0609896099126814E-2</v>
      </c>
      <c r="E119" s="119">
        <f t="shared" si="74"/>
        <v>-0.15443227389958381</v>
      </c>
      <c r="F119" s="119">
        <f t="shared" si="74"/>
        <v>-0.37888892105586081</v>
      </c>
      <c r="G119" s="119">
        <f t="shared" si="74"/>
        <v>-0.62579872962479044</v>
      </c>
      <c r="H119" s="119">
        <f t="shared" si="74"/>
        <v>-0.86217149183199382</v>
      </c>
      <c r="I119" s="119">
        <f t="shared" si="74"/>
        <v>-1.0138001696614722</v>
      </c>
      <c r="J119" s="119">
        <f t="shared" si="74"/>
        <v>-1.103879624164442</v>
      </c>
      <c r="K119" s="119">
        <f t="shared" si="74"/>
        <v>-1.2838213214984364</v>
      </c>
      <c r="L119" s="119">
        <f t="shared" si="74"/>
        <v>-1.3194680607522926</v>
      </c>
      <c r="M119" s="119">
        <f t="shared" si="74"/>
        <v>-1.4597392367439639</v>
      </c>
      <c r="N119" s="119">
        <f t="shared" si="74"/>
        <v>-1.543770573169823</v>
      </c>
      <c r="O119" s="119">
        <f t="shared" si="74"/>
        <v>-1.5375413181199491</v>
      </c>
      <c r="P119" s="119">
        <f t="shared" si="74"/>
        <v>-1.5419580026727289</v>
      </c>
      <c r="Q119" s="119">
        <f t="shared" si="74"/>
        <v>-1.5645910466236899</v>
      </c>
      <c r="R119" s="119">
        <f t="shared" si="74"/>
        <v>-1.589122673382704</v>
      </c>
      <c r="S119" s="119">
        <f t="shared" si="74"/>
        <v>-1.6128211574703641</v>
      </c>
      <c r="T119" s="119">
        <f t="shared" si="74"/>
        <v>-1.6335128865418511</v>
      </c>
      <c r="U119" s="119">
        <f t="shared" si="74"/>
        <v>-1.6512691129768342</v>
      </c>
      <c r="V119" s="119">
        <f t="shared" si="74"/>
        <v>-1.6682848579268494</v>
      </c>
      <c r="W119" s="119">
        <f t="shared" si="74"/>
        <v>-1.6851467020434825</v>
      </c>
      <c r="X119" s="119">
        <f t="shared" si="74"/>
        <v>-1.7016988382606115</v>
      </c>
      <c r="Y119" s="119">
        <f t="shared" si="74"/>
        <v>-1.7156747414126983</v>
      </c>
      <c r="Z119" s="119">
        <f t="shared" si="74"/>
        <v>-1.7299350558010076</v>
      </c>
      <c r="AA119" s="119">
        <f t="shared" si="74"/>
        <v>-1.7439976167843128</v>
      </c>
      <c r="AB119" s="119">
        <f t="shared" si="74"/>
        <v>-1.7569493089793013</v>
      </c>
      <c r="AC119" s="119">
        <f t="shared" si="74"/>
        <v>-1.7686120511580725</v>
      </c>
      <c r="AD119" s="211">
        <f t="shared" si="74"/>
        <v>-1.7791682386999099</v>
      </c>
      <c r="AE119" s="119">
        <f t="shared" si="74"/>
        <v>-1.7896760940716945</v>
      </c>
      <c r="AF119" s="119">
        <f t="shared" si="74"/>
        <v>-1.7991982925714041</v>
      </c>
      <c r="AG119" s="119">
        <f t="shared" si="74"/>
        <v>-1.8082806113743715</v>
      </c>
      <c r="AH119" s="119">
        <f t="shared" si="74"/>
        <v>-1.8149197562463257</v>
      </c>
      <c r="AI119" s="119">
        <f t="shared" si="74"/>
        <v>-1.8181573517523333</v>
      </c>
      <c r="AJ119" s="119"/>
      <c r="AK119" s="119" t="str">
        <f t="shared" si="66"/>
        <v>Environmental Costs</v>
      </c>
    </row>
    <row r="120" spans="1:38">
      <c r="A120" s="12" t="s">
        <v>69</v>
      </c>
      <c r="B120" s="212">
        <f t="shared" ref="B120:AF120" si="75">B78-B65</f>
        <v>0</v>
      </c>
      <c r="C120" s="212">
        <f t="shared" si="75"/>
        <v>0</v>
      </c>
      <c r="D120" s="212">
        <f t="shared" si="75"/>
        <v>0</v>
      </c>
      <c r="E120" s="212">
        <f t="shared" si="75"/>
        <v>0</v>
      </c>
      <c r="F120" s="212">
        <f t="shared" si="75"/>
        <v>0</v>
      </c>
      <c r="G120" s="212">
        <f t="shared" si="75"/>
        <v>-3.3712226253887536</v>
      </c>
      <c r="H120" s="212">
        <f t="shared" si="75"/>
        <v>-8.4230139409305878</v>
      </c>
      <c r="I120" s="212">
        <f t="shared" si="75"/>
        <v>-14.657236271695012</v>
      </c>
      <c r="J120" s="212">
        <f t="shared" si="75"/>
        <v>-21.894831480763571</v>
      </c>
      <c r="K120" s="212">
        <f t="shared" si="75"/>
        <v>-30.57960759873913</v>
      </c>
      <c r="L120" s="212">
        <f t="shared" si="75"/>
        <v>-38.939286621663655</v>
      </c>
      <c r="M120" s="212">
        <f t="shared" si="75"/>
        <v>-49.188138355182446</v>
      </c>
      <c r="N120" s="212">
        <f t="shared" si="75"/>
        <v>-59.377608080530763</v>
      </c>
      <c r="O120" s="212">
        <f t="shared" si="75"/>
        <v>-68.965233634752167</v>
      </c>
      <c r="P120" s="212">
        <f t="shared" si="75"/>
        <v>-79.288890916674291</v>
      </c>
      <c r="Q120" s="212">
        <f t="shared" si="75"/>
        <v>-89.606992090626136</v>
      </c>
      <c r="R120" s="212">
        <f t="shared" si="75"/>
        <v>-99.986527448291781</v>
      </c>
      <c r="S120" s="212">
        <f t="shared" si="75"/>
        <v>-110.80987782198326</v>
      </c>
      <c r="T120" s="212">
        <f t="shared" si="75"/>
        <v>-121.60026132006169</v>
      </c>
      <c r="U120" s="212">
        <f t="shared" si="75"/>
        <v>-132.88290242188759</v>
      </c>
      <c r="V120" s="212">
        <f t="shared" si="75"/>
        <v>-144.06268693998163</v>
      </c>
      <c r="W120" s="212">
        <f t="shared" si="75"/>
        <v>-155.01181858957443</v>
      </c>
      <c r="X120" s="212">
        <f t="shared" si="75"/>
        <v>-165.4765717805949</v>
      </c>
      <c r="Y120" s="212">
        <f t="shared" si="75"/>
        <v>-175.89183514420802</v>
      </c>
      <c r="Z120" s="212">
        <f t="shared" si="75"/>
        <v>-185.65906442183223</v>
      </c>
      <c r="AA120" s="212">
        <f t="shared" si="75"/>
        <v>-195.34770051670421</v>
      </c>
      <c r="AB120" s="212">
        <f t="shared" si="75"/>
        <v>-204.66620594908909</v>
      </c>
      <c r="AC120" s="212">
        <f t="shared" si="75"/>
        <v>-213.50120014528784</v>
      </c>
      <c r="AD120" s="213">
        <f t="shared" si="75"/>
        <v>-222.67704251156374</v>
      </c>
      <c r="AE120" s="212">
        <f t="shared" si="75"/>
        <v>-230.94007779588901</v>
      </c>
      <c r="AF120" s="212">
        <f t="shared" si="75"/>
        <v>-239.08952340455198</v>
      </c>
      <c r="AG120" s="212">
        <f t="shared" ref="AG120:AH120" si="76">AG78-AG65</f>
        <v>-247.54996789657889</v>
      </c>
      <c r="AH120" s="212">
        <f t="shared" si="76"/>
        <v>-254.28318677763127</v>
      </c>
      <c r="AI120" s="212">
        <f>AI78-AI65</f>
        <v>-257.56912269038367</v>
      </c>
      <c r="AJ120" s="212"/>
      <c r="AK120" s="212" t="str">
        <f t="shared" si="66"/>
        <v>CO2 Costs</v>
      </c>
    </row>
    <row r="121" spans="1:38">
      <c r="A121" s="6" t="s">
        <v>72</v>
      </c>
      <c r="B121" s="15">
        <f t="shared" ref="B121:AI121" si="77">SUM(B111:B120)</f>
        <v>0</v>
      </c>
      <c r="C121" s="15">
        <f t="shared" si="77"/>
        <v>0.95602539473914416</v>
      </c>
      <c r="D121" s="15">
        <f t="shared" si="77"/>
        <v>20.016294724069532</v>
      </c>
      <c r="E121" s="15">
        <f t="shared" si="77"/>
        <v>69.08640887450531</v>
      </c>
      <c r="F121" s="15">
        <f t="shared" si="77"/>
        <v>134.642567038631</v>
      </c>
      <c r="G121" s="15">
        <f t="shared" si="77"/>
        <v>188.05786203710375</v>
      </c>
      <c r="H121" s="15">
        <f t="shared" si="77"/>
        <v>229.69834791796856</v>
      </c>
      <c r="I121" s="15">
        <f t="shared" si="77"/>
        <v>248.37575087021037</v>
      </c>
      <c r="J121" s="15">
        <f t="shared" si="77"/>
        <v>250.82807446746006</v>
      </c>
      <c r="K121" s="15">
        <f t="shared" si="77"/>
        <v>246.60966263056196</v>
      </c>
      <c r="L121" s="15">
        <f t="shared" si="77"/>
        <v>242.09590569861626</v>
      </c>
      <c r="M121" s="15">
        <f t="shared" si="77"/>
        <v>230.2222849119388</v>
      </c>
      <c r="N121" s="15">
        <f t="shared" si="77"/>
        <v>217.88117408741527</v>
      </c>
      <c r="O121" s="15">
        <f t="shared" si="77"/>
        <v>205.69359347156472</v>
      </c>
      <c r="P121" s="15">
        <f t="shared" si="77"/>
        <v>175.97728435610946</v>
      </c>
      <c r="Q121" s="15">
        <f t="shared" si="77"/>
        <v>136.4506000629689</v>
      </c>
      <c r="R121" s="15">
        <f t="shared" si="77"/>
        <v>108.55873431284692</v>
      </c>
      <c r="S121" s="15">
        <f t="shared" si="77"/>
        <v>85.356148117557439</v>
      </c>
      <c r="T121" s="15">
        <f t="shared" si="77"/>
        <v>53.230565816720798</v>
      </c>
      <c r="U121" s="15">
        <f t="shared" si="77"/>
        <v>13.938690293830064</v>
      </c>
      <c r="V121" s="15">
        <f t="shared" si="77"/>
        <v>-25.096140676967664</v>
      </c>
      <c r="W121" s="15">
        <f t="shared" si="77"/>
        <v>-63.207232484120084</v>
      </c>
      <c r="X121" s="15">
        <f t="shared" si="77"/>
        <v>-99.486889861204261</v>
      </c>
      <c r="Y121" s="15">
        <f t="shared" si="77"/>
        <v>-135.72313628106187</v>
      </c>
      <c r="Z121" s="15">
        <f t="shared" si="77"/>
        <v>-169.2863726751946</v>
      </c>
      <c r="AA121" s="15">
        <f t="shared" si="77"/>
        <v>-203.50360448641493</v>
      </c>
      <c r="AB121" s="15">
        <f t="shared" si="77"/>
        <v>-229.93171911184857</v>
      </c>
      <c r="AC121" s="52">
        <f t="shared" si="77"/>
        <v>-250.06436625945577</v>
      </c>
      <c r="AD121" s="214">
        <f t="shared" si="77"/>
        <v>-272.57325346748058</v>
      </c>
      <c r="AE121" s="15">
        <f t="shared" si="77"/>
        <v>-292.41597642324354</v>
      </c>
      <c r="AF121" s="15">
        <f t="shared" si="77"/>
        <v>-312.28682163780127</v>
      </c>
      <c r="AG121" s="15">
        <f t="shared" si="77"/>
        <v>-330.88777735253814</v>
      </c>
      <c r="AH121" s="15">
        <f t="shared" si="77"/>
        <v>-347.43318204545687</v>
      </c>
      <c r="AI121" s="15">
        <f t="shared" si="77"/>
        <v>-356.32740047719403</v>
      </c>
      <c r="AJ121" s="15"/>
      <c r="AK121" s="6" t="s">
        <v>72</v>
      </c>
    </row>
    <row r="122" spans="1:38">
      <c r="A122" s="6" t="s">
        <v>73</v>
      </c>
      <c r="B122" s="15">
        <f t="shared" ref="B122:AI122" si="78">B121-B120</f>
        <v>0</v>
      </c>
      <c r="C122" s="15">
        <f t="shared" si="78"/>
        <v>0.95602539473914416</v>
      </c>
      <c r="D122" s="15">
        <f t="shared" si="78"/>
        <v>20.016294724069532</v>
      </c>
      <c r="E122" s="15">
        <f t="shared" si="78"/>
        <v>69.08640887450531</v>
      </c>
      <c r="F122" s="15">
        <f t="shared" si="78"/>
        <v>134.642567038631</v>
      </c>
      <c r="G122" s="15">
        <f t="shared" si="78"/>
        <v>191.4290846624925</v>
      </c>
      <c r="H122" s="15">
        <f t="shared" si="78"/>
        <v>238.12136185889915</v>
      </c>
      <c r="I122" s="15">
        <f t="shared" si="78"/>
        <v>263.03298714190538</v>
      </c>
      <c r="J122" s="15">
        <f t="shared" si="78"/>
        <v>272.72290594822363</v>
      </c>
      <c r="K122" s="15">
        <f t="shared" si="78"/>
        <v>277.18927022930109</v>
      </c>
      <c r="L122" s="15">
        <f t="shared" si="78"/>
        <v>281.03519232027992</v>
      </c>
      <c r="M122" s="15">
        <f t="shared" si="78"/>
        <v>279.41042326712125</v>
      </c>
      <c r="N122" s="15">
        <f t="shared" si="78"/>
        <v>277.25878216794604</v>
      </c>
      <c r="O122" s="15">
        <f t="shared" si="78"/>
        <v>274.65882710631689</v>
      </c>
      <c r="P122" s="15">
        <f t="shared" si="78"/>
        <v>255.26617527278376</v>
      </c>
      <c r="Q122" s="15">
        <f t="shared" si="78"/>
        <v>226.05759215359504</v>
      </c>
      <c r="R122" s="15">
        <f t="shared" si="78"/>
        <v>208.5452617611387</v>
      </c>
      <c r="S122" s="15">
        <f t="shared" si="78"/>
        <v>196.1660259395407</v>
      </c>
      <c r="T122" s="15">
        <f t="shared" si="78"/>
        <v>174.83082713678249</v>
      </c>
      <c r="U122" s="15">
        <f t="shared" si="78"/>
        <v>146.82159271571766</v>
      </c>
      <c r="V122" s="15">
        <f t="shared" si="78"/>
        <v>118.96654626301397</v>
      </c>
      <c r="W122" s="15">
        <f t="shared" si="78"/>
        <v>91.804586105454348</v>
      </c>
      <c r="X122" s="15">
        <f t="shared" si="78"/>
        <v>65.989681919390634</v>
      </c>
      <c r="Y122" s="15">
        <f t="shared" si="78"/>
        <v>40.168698863146147</v>
      </c>
      <c r="Z122" s="15">
        <f t="shared" si="78"/>
        <v>16.372691746637628</v>
      </c>
      <c r="AA122" s="15">
        <f t="shared" si="78"/>
        <v>-8.155903969710721</v>
      </c>
      <c r="AB122" s="15">
        <f t="shared" si="78"/>
        <v>-25.265513162759476</v>
      </c>
      <c r="AC122" s="52">
        <f t="shared" si="78"/>
        <v>-36.563166114167927</v>
      </c>
      <c r="AD122" s="214">
        <f t="shared" si="78"/>
        <v>-49.896210955916843</v>
      </c>
      <c r="AE122" s="15">
        <f t="shared" si="78"/>
        <v>-61.475898627354525</v>
      </c>
      <c r="AF122" s="15">
        <f t="shared" si="78"/>
        <v>-73.197298233249285</v>
      </c>
      <c r="AG122" s="15">
        <f t="shared" si="78"/>
        <v>-83.337809455959245</v>
      </c>
      <c r="AH122" s="15">
        <f t="shared" si="78"/>
        <v>-93.149995267825602</v>
      </c>
      <c r="AI122" s="15">
        <f t="shared" si="78"/>
        <v>-98.758277786810368</v>
      </c>
      <c r="AJ122" s="15"/>
      <c r="AK122" s="6" t="s">
        <v>73</v>
      </c>
    </row>
    <row r="123" spans="1:38">
      <c r="AG123" s="216"/>
      <c r="AH123" s="216"/>
      <c r="AI123" s="16">
        <f>Sensitivity_Summary!N23</f>
        <v>-356.3274041156983</v>
      </c>
    </row>
    <row r="124" spans="1:38">
      <c r="AI124" s="16">
        <f>Sensitivity_Summary!N21</f>
        <v>-98.758281425310997</v>
      </c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L124"/>
  <sheetViews>
    <sheetView topLeftCell="O104" workbookViewId="0">
      <selection activeCell="Z112" sqref="Z112"/>
    </sheetView>
  </sheetViews>
  <sheetFormatPr defaultColWidth="8.90625" defaultRowHeight="14.5"/>
  <cols>
    <col min="1" max="1" width="27.1796875" style="6" bestFit="1" customWidth="1"/>
    <col min="2" max="7" width="7.1796875" style="6" bestFit="1" customWidth="1"/>
    <col min="8" max="33" width="8.36328125" style="6" bestFit="1" customWidth="1"/>
    <col min="34" max="34" width="8.36328125" style="6" customWidth="1"/>
    <col min="35" max="36" width="8.36328125" style="6" bestFit="1" customWidth="1"/>
    <col min="37" max="37" width="23.453125" style="6" bestFit="1" customWidth="1"/>
    <col min="38" max="16384" width="8.90625" style="6"/>
  </cols>
  <sheetData>
    <row r="1" spans="1:36" s="152" customFormat="1">
      <c r="A1" s="152" t="s">
        <v>160</v>
      </c>
      <c r="B1" s="152">
        <v>2020</v>
      </c>
      <c r="C1" s="152">
        <f t="shared" ref="C1:AI1" si="0">B1+1</f>
        <v>2021</v>
      </c>
      <c r="D1" s="152">
        <f t="shared" si="0"/>
        <v>2022</v>
      </c>
      <c r="E1" s="152">
        <f t="shared" si="0"/>
        <v>2023</v>
      </c>
      <c r="F1" s="152">
        <f t="shared" si="0"/>
        <v>2024</v>
      </c>
      <c r="G1" s="152">
        <f t="shared" si="0"/>
        <v>2025</v>
      </c>
      <c r="H1" s="152">
        <f t="shared" si="0"/>
        <v>2026</v>
      </c>
      <c r="I1" s="152">
        <f t="shared" si="0"/>
        <v>2027</v>
      </c>
      <c r="J1" s="152">
        <f t="shared" si="0"/>
        <v>2028</v>
      </c>
      <c r="K1" s="152">
        <f t="shared" si="0"/>
        <v>2029</v>
      </c>
      <c r="L1" s="152">
        <f t="shared" si="0"/>
        <v>2030</v>
      </c>
      <c r="M1" s="152">
        <f t="shared" si="0"/>
        <v>2031</v>
      </c>
      <c r="N1" s="152">
        <f t="shared" si="0"/>
        <v>2032</v>
      </c>
      <c r="O1" s="152">
        <f t="shared" si="0"/>
        <v>2033</v>
      </c>
      <c r="P1" s="152">
        <f t="shared" si="0"/>
        <v>2034</v>
      </c>
      <c r="Q1" s="152">
        <f t="shared" si="0"/>
        <v>2035</v>
      </c>
      <c r="R1" s="152">
        <f t="shared" si="0"/>
        <v>2036</v>
      </c>
      <c r="S1" s="152">
        <f t="shared" si="0"/>
        <v>2037</v>
      </c>
      <c r="T1" s="152">
        <f t="shared" si="0"/>
        <v>2038</v>
      </c>
      <c r="U1" s="152">
        <f t="shared" si="0"/>
        <v>2039</v>
      </c>
      <c r="V1" s="152">
        <f t="shared" si="0"/>
        <v>2040</v>
      </c>
      <c r="W1" s="152">
        <f t="shared" si="0"/>
        <v>2041</v>
      </c>
      <c r="X1" s="152">
        <f t="shared" si="0"/>
        <v>2042</v>
      </c>
      <c r="Y1" s="152">
        <f t="shared" si="0"/>
        <v>2043</v>
      </c>
      <c r="Z1" s="152">
        <f t="shared" si="0"/>
        <v>2044</v>
      </c>
      <c r="AA1" s="152">
        <f t="shared" si="0"/>
        <v>2045</v>
      </c>
      <c r="AB1" s="152">
        <f t="shared" si="0"/>
        <v>2046</v>
      </c>
      <c r="AC1" s="209">
        <f t="shared" si="0"/>
        <v>2047</v>
      </c>
      <c r="AD1" s="210">
        <f t="shared" si="0"/>
        <v>2048</v>
      </c>
      <c r="AE1" s="152">
        <f t="shared" si="0"/>
        <v>2049</v>
      </c>
      <c r="AF1" s="152">
        <f t="shared" si="0"/>
        <v>2050</v>
      </c>
      <c r="AG1" s="152">
        <f t="shared" si="0"/>
        <v>2051</v>
      </c>
      <c r="AH1" s="152">
        <f t="shared" si="0"/>
        <v>2052</v>
      </c>
      <c r="AI1" s="152">
        <f t="shared" si="0"/>
        <v>2053</v>
      </c>
    </row>
    <row r="2" spans="1:36">
      <c r="A2" s="6" t="s">
        <v>134</v>
      </c>
      <c r="B2" s="16">
        <f>Hamilton!E$10/1000+Columbia!E$10/1000+Lake_Placid!E$10/1000+Trenton!E$10/1000+Debary!E$10/1000+Santa_Fe!E$10/1000+Twin_Rivers!E$10/1000+Duette!E$10/1000+Charlie_Creek!E$10/1000+Archer!E$10/1000</f>
        <v>65.260450182206341</v>
      </c>
      <c r="C2" s="16">
        <f>Hamilton!F$10/1000+Columbia!F$10/1000+Lake_Placid!F$10/1000+Trenton!F$10/1000+Debary!F$10/1000+Santa_Fe!F$10/1000+Twin_Rivers!F$10/1000+Duette!F$10/1000+Charlie_Creek!F$10/1000+Archer!F$10/1000</f>
        <v>102.08062069466152</v>
      </c>
      <c r="D2" s="16">
        <f>Hamilton!G$10/1000+Columbia!G$10/1000+Lake_Placid!G$10/1000+Trenton!G$10/1000+Debary!G$10/1000+Santa_Fe!G$10/1000+Twin_Rivers!G$10/1000+Duette!G$10/1000+Charlie_Creek!G$10/1000+Archer!G$10/1000</f>
        <v>140.1396490741636</v>
      </c>
      <c r="E2" s="16">
        <f>Hamilton!H$10/1000+Columbia!H$10/1000+Lake_Placid!H$10/1000+Trenton!H$10/1000+Debary!H$10/1000+Santa_Fe!H$10/1000+Twin_Rivers!H$10/1000+Duette!H$10/1000+Charlie_Creek!H$10/1000+Archer!H$10/1000</f>
        <v>134.04030278914058</v>
      </c>
      <c r="F2" s="16">
        <f>Hamilton!I$10/1000+Columbia!I$10/1000+Lake_Placid!I$10/1000+Trenton!I$10/1000+Debary!I$10/1000+Santa_Fe!I$10/1000+Twin_Rivers!I$10/1000+Duette!I$10/1000+Charlie_Creek!I$10/1000+Archer!I$10/1000</f>
        <v>128.64619422858411</v>
      </c>
      <c r="G2" s="16">
        <f>Hamilton!J$10/1000+Columbia!J$10/1000+Lake_Placid!J$10/1000+Trenton!J$10/1000+Debary!J$10/1000+Santa_Fe!J$10/1000+Twin_Rivers!J$10/1000+Duette!J$10/1000+Charlie_Creek!J$10/1000+Archer!J$10/1000</f>
        <v>120.64800562725537</v>
      </c>
      <c r="H2" s="16">
        <f>Hamilton!K$10/1000+Columbia!K$10/1000+Lake_Placid!K$10/1000+Trenton!K$10/1000+Debary!K$10/1000+Santa_Fe!K$10/1000+Twin_Rivers!K$10/1000+Duette!K$10/1000+Charlie_Creek!K$10/1000+Archer!K$10/1000</f>
        <v>106.55728151377239</v>
      </c>
      <c r="I2" s="16">
        <f>Hamilton!L$10/1000+Columbia!L$10/1000+Lake_Placid!L$10/1000+Trenton!L$10/1000+Debary!L$10/1000+Santa_Fe!L$10/1000+Twin_Rivers!L$10/1000+Duette!L$10/1000+Charlie_Creek!L$10/1000+Archer!L$10/1000</f>
        <v>103.56659689744981</v>
      </c>
      <c r="J2" s="16">
        <f>Hamilton!M$10/1000+Columbia!M$10/1000+Lake_Placid!M$10/1000+Trenton!M$10/1000+Debary!M$10/1000+Santa_Fe!M$10/1000+Twin_Rivers!M$10/1000+Duette!M$10/1000+Charlie_Creek!M$10/1000+Archer!M$10/1000</f>
        <v>100.82687797199034</v>
      </c>
      <c r="K2" s="16">
        <f>Hamilton!N$10/1000+Columbia!N$10/1000+Lake_Placid!N$10/1000+Trenton!N$10/1000+Debary!N$10/1000+Santa_Fe!N$10/1000+Twin_Rivers!N$10/1000+Duette!N$10/1000+Charlie_Creek!N$10/1000+Archer!N$10/1000</f>
        <v>98.309899435961768</v>
      </c>
      <c r="L2" s="16">
        <f>Hamilton!O$10/1000+Columbia!O$10/1000+Lake_Placid!O$10/1000+Trenton!O$10/1000+Debary!O$10/1000+Santa_Fe!O$10/1000+Twin_Rivers!O$10/1000+Duette!O$10/1000+Charlie_Creek!O$10/1000+Archer!O$10/1000</f>
        <v>95.755033583931194</v>
      </c>
      <c r="M2" s="16">
        <f>Hamilton!P$10/1000+Columbia!P$10/1000+Lake_Placid!P$10/1000+Trenton!P$10/1000+Debary!P$10/1000+Santa_Fe!P$10/1000+Twin_Rivers!P$10/1000+Duette!P$10/1000+Charlie_Creek!P$10/1000+Archer!P$10/1000</f>
        <v>93.237225357173344</v>
      </c>
      <c r="N2" s="16">
        <f>Hamilton!Q$10/1000+Columbia!Q$10/1000+Lake_Placid!Q$10/1000+Trenton!Q$10/1000+Debary!Q$10/1000+Santa_Fe!Q$10/1000+Twin_Rivers!Q$10/1000+Duette!Q$10/1000+Charlie_Creek!Q$10/1000+Archer!Q$10/1000</f>
        <v>90.726054168103147</v>
      </c>
      <c r="O2" s="16">
        <f>Hamilton!R$10/1000+Columbia!R$10/1000+Lake_Placid!R$10/1000+Trenton!R$10/1000+Debary!R$10/1000+Santa_Fe!R$10/1000+Twin_Rivers!R$10/1000+Duette!R$10/1000+Charlie_Creek!R$10/1000+Archer!R$10/1000</f>
        <v>88.301601526088845</v>
      </c>
      <c r="P2" s="16">
        <f>Hamilton!S$10/1000+Columbia!S$10/1000+Lake_Placid!S$10/1000+Trenton!S$10/1000+Debary!S$10/1000+Santa_Fe!S$10/1000+Twin_Rivers!S$10/1000+Duette!S$10/1000+Charlie_Creek!S$10/1000+Archer!S$10/1000</f>
        <v>85.76397260337508</v>
      </c>
      <c r="Q2" s="16">
        <f>Hamilton!T$10/1000+Columbia!T$10/1000+Lake_Placid!T$10/1000+Trenton!T$10/1000+Debary!T$10/1000+Santa_Fe!T$10/1000+Twin_Rivers!T$10/1000+Duette!T$10/1000+Charlie_Creek!T$10/1000+Archer!T$10/1000</f>
        <v>83.238224479776378</v>
      </c>
      <c r="R2" s="16">
        <f>Hamilton!U$10/1000+Columbia!U$10/1000+Lake_Placid!U$10/1000+Trenton!U$10/1000+Debary!U$10/1000+Santa_Fe!U$10/1000+Twin_Rivers!U$10/1000+Duette!U$10/1000+Charlie_Creek!U$10/1000+Archer!U$10/1000</f>
        <v>80.598791337134827</v>
      </c>
      <c r="S2" s="16">
        <f>Hamilton!V$10/1000+Columbia!V$10/1000+Lake_Placid!V$10/1000+Trenton!V$10/1000+Debary!V$10/1000+Santa_Fe!V$10/1000+Twin_Rivers!V$10/1000+Duette!V$10/1000+Charlie_Creek!V$10/1000+Archer!V$10/1000</f>
        <v>78.071339778696768</v>
      </c>
      <c r="T2" s="16">
        <f>Hamilton!W$10/1000+Columbia!W$10/1000+Lake_Placid!W$10/1000+Trenton!W$10/1000+Debary!W$10/1000+Santa_Fe!W$10/1000+Twin_Rivers!W$10/1000+Duette!W$10/1000+Charlie_Creek!W$10/1000+Archer!W$10/1000</f>
        <v>78.09258300930594</v>
      </c>
      <c r="U2" s="16">
        <f>Hamilton!X$10/1000+Columbia!X$10/1000+Lake_Placid!X$10/1000+Trenton!X$10/1000+Debary!X$10/1000+Santa_Fe!X$10/1000+Twin_Rivers!X$10/1000+Duette!X$10/1000+Charlie_Creek!X$10/1000+Archer!X$10/1000</f>
        <v>77.049132064444734</v>
      </c>
      <c r="V2" s="16">
        <f>Hamilton!Y$10/1000+Columbia!Y$10/1000+Lake_Placid!Y$10/1000+Trenton!Y$10/1000+Debary!Y$10/1000+Santa_Fe!Y$10/1000+Twin_Rivers!Y$10/1000+Duette!Y$10/1000+Charlie_Creek!Y$10/1000+Archer!Y$10/1000</f>
        <v>74.343785062889211</v>
      </c>
      <c r="W2" s="16">
        <f>Hamilton!Z$10/1000+Columbia!Z$10/1000+Lake_Placid!Z$10/1000+Trenton!Z$10/1000+Debary!Z$10/1000+Santa_Fe!Z$10/1000+Twin_Rivers!Z$10/1000+Duette!Z$10/1000+Charlie_Creek!Z$10/1000+Archer!Z$10/1000</f>
        <v>71.700748538238017</v>
      </c>
      <c r="X2" s="16">
        <f>Hamilton!AA$10/1000+Columbia!AA$10/1000+Lake_Placid!AA$10/1000+Trenton!AA$10/1000+Debary!AA$10/1000+Santa_Fe!AA$10/1000+Twin_Rivers!AA$10/1000+Duette!AA$10/1000+Charlie_Creek!AA$10/1000+Archer!AA$10/1000</f>
        <v>69.274426053501713</v>
      </c>
      <c r="Y2" s="16">
        <f>Hamilton!AB$10/1000+Columbia!AB$10/1000+Lake_Placid!AB$10/1000+Trenton!AB$10/1000+Debary!AB$10/1000+Santa_Fe!AB$10/1000+Twin_Rivers!AB$10/1000+Duette!AB$10/1000+Charlie_Creek!AB$10/1000+Archer!AB$10/1000</f>
        <v>66.777509599182792</v>
      </c>
      <c r="Z2" s="16">
        <f>Hamilton!AC$10/1000+Columbia!AC$10/1000+Lake_Placid!AC$10/1000+Trenton!AC$10/1000+Debary!AC$10/1000+Santa_Fe!AC$10/1000+Twin_Rivers!AC$10/1000+Duette!AC$10/1000+Charlie_Creek!AC$10/1000+Archer!AC$10/1000</f>
        <v>64.511486072982294</v>
      </c>
      <c r="AA2" s="16">
        <f>Hamilton!AD$10/1000+Columbia!AD$10/1000+Lake_Placid!AD$10/1000+Trenton!AD$10/1000+Debary!AD$10/1000+Santa_Fe!AD$10/1000+Twin_Rivers!AD$10/1000+Duette!AD$10/1000+Charlie_Creek!AD$10/1000+Archer!AD$10/1000</f>
        <v>62.123479086747679</v>
      </c>
      <c r="AB2" s="16">
        <f>Hamilton!AE$10/1000+Columbia!AE$10/1000+Lake_Placid!AE$10/1000+Trenton!AE$10/1000+Debary!AE$10/1000+Santa_Fe!AE$10/1000+Twin_Rivers!AE$10/1000+Duette!AE$10/1000+Charlie_Creek!AE$10/1000+Archer!AE$10/1000</f>
        <v>59.912845166921755</v>
      </c>
      <c r="AC2" s="16">
        <f>Hamilton!AF$10/1000+Columbia!AF$10/1000+Lake_Placid!AF$10/1000+Trenton!AF$10/1000+Debary!AF$10/1000+Santa_Fe!AF$10/1000+Twin_Rivers!AF$10/1000+Duette!AF$10/1000+Charlie_Creek!AF$10/1000+Archer!AF$10/1000</f>
        <v>57.650395769136487</v>
      </c>
      <c r="AD2" s="16">
        <f>Hamilton!AG$10/1000+Columbia!AG$10/1000+Lake_Placid!AG$10/1000+Trenton!AG$10/1000+Debary!AG$10/1000+Santa_Fe!AG$10/1000+Twin_Rivers!AG$10/1000+Duette!AG$10/1000+Charlie_Creek!AG$10/1000+Archer!AG$10/1000</f>
        <v>57.703514450685773</v>
      </c>
      <c r="AE2" s="16">
        <f>Hamilton!AH$10/1000+Columbia!AH$10/1000+Lake_Placid!AH$10/1000+Trenton!AH$10/1000+Debary!AH$10/1000+Santa_Fe!AH$10/1000+Twin_Rivers!AH$10/1000+Duette!AH$10/1000+Charlie_Creek!AH$10/1000+Archer!AH$10/1000</f>
        <v>52.145094362648948</v>
      </c>
      <c r="AF2" s="16">
        <f>Hamilton!AI$10/1000+Columbia!AI$10/1000+Lake_Placid!AI$10/1000+Trenton!AI$10/1000+Debary!AI$10/1000+Santa_Fe!AI$10/1000+Twin_Rivers!AI$10/1000+Duette!AI$10/1000+Charlie_Creek!AI$10/1000+Archer!AI$10/1000</f>
        <v>37.078414464395848</v>
      </c>
      <c r="AG2" s="16">
        <f>Hamilton!AJ$10/1000+Columbia!AJ$10/1000+Lake_Placid!AJ$10/1000+Trenton!AJ$10/1000+Debary!AJ$10/1000+Santa_Fe!AJ$10/1000+Twin_Rivers!AJ$10/1000+Duette!AJ$10/1000+Charlie_Creek!AJ$10/1000+Archer!AJ$10/1000</f>
        <v>21.622436034797943</v>
      </c>
      <c r="AH2" s="16">
        <f>Hamilton!AK$10/1000+Columbia!AK$10/1000+Lake_Placid!AK$10/1000+Trenton!AK$10/1000+Debary!AK$10/1000+Santa_Fe!AK$10/1000+Twin_Rivers!AK$10/1000+Duette!AK$10/1000+Charlie_Creek!AK$10/1000+Archer!AK$10/1000</f>
        <v>3.3113138854625253</v>
      </c>
      <c r="AI2" s="16">
        <f>Hamilton!AL$10/1000+Columbia!AL$10/1000+Lake_Placid!AL$10/1000+Trenton!AL$10/1000+Debary!AL$10/1000+Santa_Fe!AL$10/1000+Twin_Rivers!AL$10/1000+Duette!AL$10/1000+Charlie_Creek!AL$10/1000+Archer!AL$10/1000</f>
        <v>3.1867270656465223</v>
      </c>
      <c r="AJ2" s="16"/>
    </row>
    <row r="3" spans="1:36">
      <c r="A3" s="6" t="s">
        <v>135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19"/>
      <c r="AD3" s="211"/>
      <c r="AE3" s="16"/>
      <c r="AF3" s="16"/>
      <c r="AG3" s="16"/>
      <c r="AH3" s="16"/>
      <c r="AI3" s="16"/>
      <c r="AJ3" s="16"/>
    </row>
    <row r="4" spans="1:36">
      <c r="A4" s="6" t="s">
        <v>60</v>
      </c>
      <c r="B4" s="16">
        <f>('[9]2019Fall_SoB700_GENCAP_2048'!F$18+'[9]2019Fall_SoB700_TRANSCAP_2048'!F$18)/1000</f>
        <v>0</v>
      </c>
      <c r="C4" s="16">
        <f>('[9]2019Fall_SoB700_GENCAP_2048'!G$18+'[9]2019Fall_SoB700_TRANSCAP_2048'!G$18)/1000</f>
        <v>0</v>
      </c>
      <c r="D4" s="16">
        <f>('[9]2019Fall_SoB700_GENCAP_2048'!H$18+'[9]2019Fall_SoB700_TRANSCAP_2048'!H$18)/1000</f>
        <v>0</v>
      </c>
      <c r="E4" s="16">
        <f>('[9]2019Fall_SoB700_GENCAP_2048'!I$18+'[9]2019Fall_SoB700_TRANSCAP_2048'!I$18)/1000</f>
        <v>0</v>
      </c>
      <c r="F4" s="16">
        <f>('[9]2019Fall_SoB700_GENCAP_2048'!J$18+'[9]2019Fall_SoB700_TRANSCAP_2048'!J$18)/1000</f>
        <v>0</v>
      </c>
      <c r="G4" s="16">
        <f>('[9]2019Fall_SoB700_GENCAP_2048'!K$18+'[9]2019Fall_SoB700_TRANSCAP_2048'!K$18)/1000</f>
        <v>0</v>
      </c>
      <c r="H4" s="16">
        <f>('[9]2019Fall_SoB700_GENCAP_2048'!L$18+'[9]2019Fall_SoB700_TRANSCAP_2048'!L$18)/1000</f>
        <v>0</v>
      </c>
      <c r="I4" s="16">
        <f>('[9]2019Fall_SoB700_GENCAP_2048'!M$18+'[9]2019Fall_SoB700_TRANSCAP_2048'!M$18)/1000</f>
        <v>21.434177450472909</v>
      </c>
      <c r="J4" s="16">
        <f>('[9]2019Fall_SoB700_GENCAP_2048'!N$18+'[9]2019Fall_SoB700_TRANSCAP_2048'!N$18)/1000</f>
        <v>46.783275595120465</v>
      </c>
      <c r="K4" s="16">
        <f>('[9]2019Fall_SoB700_GENCAP_2048'!O$18+'[9]2019Fall_SoB700_TRANSCAP_2048'!O$18)/1000</f>
        <v>53.031853500100247</v>
      </c>
      <c r="L4" s="16">
        <f>('[9]2019Fall_SoB700_GENCAP_2048'!P$18+'[9]2019Fall_SoB700_TRANSCAP_2048'!P$18)/1000</f>
        <v>62.602768641587524</v>
      </c>
      <c r="M4" s="16">
        <f>('[9]2019Fall_SoB700_GENCAP_2048'!Q$18+'[9]2019Fall_SoB700_TRANSCAP_2048'!Q$18)/1000</f>
        <v>68.630002208999557</v>
      </c>
      <c r="N4" s="16">
        <f>('[9]2019Fall_SoB700_GENCAP_2048'!R$18+'[9]2019Fall_SoB700_TRANSCAP_2048'!R$18)/1000</f>
        <v>78.084648561876662</v>
      </c>
      <c r="O4" s="16">
        <f>('[9]2019Fall_SoB700_GENCAP_2048'!S$18+'[9]2019Fall_SoB700_TRANSCAP_2048'!S$18)/1000</f>
        <v>83.90167833980307</v>
      </c>
      <c r="P4" s="16">
        <f>('[9]2019Fall_SoB700_GENCAP_2048'!T$18+'[9]2019Fall_SoB700_TRANSCAP_2048'!T$18)/1000</f>
        <v>248.27907354502517</v>
      </c>
      <c r="Q4" s="16">
        <f>('[9]2019Fall_SoB700_GENCAP_2048'!U$18+'[9]2019Fall_SoB700_TRANSCAP_2048'!U$18)/1000</f>
        <v>632.97020285773101</v>
      </c>
      <c r="R4" s="16">
        <f>('[9]2019Fall_SoB700_GENCAP_2048'!V$18+'[9]2019Fall_SoB700_TRANSCAP_2048'!V$18)/1000</f>
        <v>615.72601174634895</v>
      </c>
      <c r="S4" s="16">
        <f>('[9]2019Fall_SoB700_GENCAP_2048'!W$18+'[9]2019Fall_SoB700_TRANSCAP_2048'!W$18)/1000</f>
        <v>598.82111580229616</v>
      </c>
      <c r="T4" s="16">
        <f>('[9]2019Fall_SoB700_GENCAP_2048'!X$18+'[9]2019Fall_SoB700_TRANSCAP_2048'!X$18)/1000</f>
        <v>624.69098127424638</v>
      </c>
      <c r="U4" s="16">
        <f>('[9]2019Fall_SoB700_GENCAP_2048'!Y$18+'[9]2019Fall_SoB700_TRANSCAP_2048'!Y$18)/1000</f>
        <v>637.06084355861947</v>
      </c>
      <c r="V4" s="16">
        <f>('[9]2019Fall_SoB700_GENCAP_2048'!Z$18+'[9]2019Fall_SoB700_TRANSCAP_2048'!Z$18)/1000</f>
        <v>633.33267355328871</v>
      </c>
      <c r="W4" s="16">
        <f>('[9]2019Fall_SoB700_GENCAP_2048'!AA$18+'[9]2019Fall_SoB700_TRANSCAP_2048'!AA$18)/1000</f>
        <v>625.15877162656579</v>
      </c>
      <c r="X4" s="16">
        <f>('[9]2019Fall_SoB700_GENCAP_2048'!AB$18+'[9]2019Fall_SoB700_TRANSCAP_2048'!AB$18)/1000</f>
        <v>732.67837413507004</v>
      </c>
      <c r="Y4" s="16">
        <f>('[9]2019Fall_SoB700_GENCAP_2048'!AC$18+'[9]2019Fall_SoB700_TRANSCAP_2048'!AC$18)/1000</f>
        <v>1100.7216882743105</v>
      </c>
      <c r="Z4" s="16">
        <f>('[9]2019Fall_SoB700_GENCAP_2048'!AD$18+'[9]2019Fall_SoB700_TRANSCAP_2048'!AD$18)/1000</f>
        <v>1100.1367299120557</v>
      </c>
      <c r="AA4" s="16">
        <f>('[9]2019Fall_SoB700_GENCAP_2048'!AE$18+'[9]2019Fall_SoB700_TRANSCAP_2048'!AE$18)/1000</f>
        <v>1105.5048609957257</v>
      </c>
      <c r="AB4" s="16">
        <f>('[9]2019Fall_SoB700_GENCAP_2048'!AF$18+'[9]2019Fall_SoB700_TRANSCAP_2048'!AF$18)/1000</f>
        <v>1083.7882489875949</v>
      </c>
      <c r="AC4" s="119">
        <f>('[9]2019Fall_SoB700_GENCAP_2048'!AG$18+'[9]2019Fall_SoB700_TRANSCAP_2048'!AG$18)/1000</f>
        <v>1051.106887865913</v>
      </c>
      <c r="AD4" s="211">
        <f>('[9]2019Fall_SoB700_GENCAP_2048'!AH$18+'[9]2019Fall_SoB700_TRANSCAP_2048'!AH$18)/1000</f>
        <v>1018.8083174654716</v>
      </c>
      <c r="AE4" s="16">
        <f>('[9]2019Fall_SoB700_GENCAP_2048'!AI$18+'[9]2019Fall_SoB700_TRANSCAP_2048'!AI$18)/1000</f>
        <v>987.0132304095896</v>
      </c>
      <c r="AF4" s="16">
        <f>('[9]2019Fall_SoB700_GENCAP_2048'!AJ$18+'[9]2019Fall_SoB700_TRANSCAP_2048'!AJ$18)/1000</f>
        <v>955.77733501619127</v>
      </c>
      <c r="AG4" s="16">
        <f>('[9]2019Fall_SoB700_GENCAP_2048'!AK$18+'[9]2019Fall_SoB700_TRANSCAP_2048'!AK$18)/1000</f>
        <v>924.80624485719784</v>
      </c>
      <c r="AH4" s="16">
        <f>('[9]2019Fall_SoB700_GENCAP_2048'!AL$18+'[9]2019Fall_SoB700_TRANSCAP_2048'!AL$18)/1000</f>
        <v>893.86948255701031</v>
      </c>
      <c r="AI4" s="16">
        <f>('[9]2019Fall_SoB700_GENCAP_2048'!AM$18+'[9]2019Fall_SoB700_TRANSCAP_2048'!AM$18)/1000</f>
        <v>863.11299395514084</v>
      </c>
      <c r="AJ4" s="23"/>
    </row>
    <row r="5" spans="1:36">
      <c r="A5" s="6" t="s">
        <v>68</v>
      </c>
      <c r="B5" s="16">
        <f>'[14]FOM Cost'!C$150/1000</f>
        <v>445.38108</v>
      </c>
      <c r="C5" s="16">
        <f>'[14]FOM Cost'!D$150/1000</f>
        <v>433.15770000000009</v>
      </c>
      <c r="D5" s="16">
        <f>'[14]FOM Cost'!E$150/1000</f>
        <v>436.09264999999999</v>
      </c>
      <c r="E5" s="16">
        <f>'[14]FOM Cost'!F$150/1000</f>
        <v>456.05954000000003</v>
      </c>
      <c r="F5" s="16">
        <f>'[14]FOM Cost'!G$150/1000</f>
        <v>300.44051999999999</v>
      </c>
      <c r="G5" s="16">
        <f>'[14]FOM Cost'!H$150/1000</f>
        <v>147.85322000000002</v>
      </c>
      <c r="H5" s="16">
        <f>'[14]FOM Cost'!I$150/1000</f>
        <v>57.67533000000001</v>
      </c>
      <c r="I5" s="16">
        <f>'[14]FOM Cost'!J$150/1000</f>
        <v>32.805870000000006</v>
      </c>
      <c r="J5" s="16">
        <f>'[14]FOM Cost'!K$150/1000</f>
        <v>21.746859999999998</v>
      </c>
      <c r="K5" s="16">
        <f>'[14]FOM Cost'!L$150/1000</f>
        <v>22.249190000000002</v>
      </c>
      <c r="L5" s="16">
        <f>'[14]FOM Cost'!M$150/1000</f>
        <v>22.85896</v>
      </c>
      <c r="M5" s="16">
        <f>'[14]FOM Cost'!N$150/1000</f>
        <v>23.44145</v>
      </c>
      <c r="N5" s="16">
        <f>'[14]FOM Cost'!O$150/1000</f>
        <v>24.103559999999998</v>
      </c>
      <c r="O5" s="16">
        <f>'[14]FOM Cost'!P$150/1000</f>
        <v>24.687150000000003</v>
      </c>
      <c r="P5" s="16">
        <f>'[14]FOM Cost'!Q$150/1000</f>
        <v>31.993279999999995</v>
      </c>
      <c r="Q5" s="16">
        <f>'[14]FOM Cost'!R$150/1000</f>
        <v>37.711539999999999</v>
      </c>
      <c r="R5" s="16">
        <f>'[14]FOM Cost'!S$150/1000</f>
        <v>38.342299999999994</v>
      </c>
      <c r="S5" s="16">
        <f>'[14]FOM Cost'!T$150/1000</f>
        <v>39.068809999999999</v>
      </c>
      <c r="T5" s="16">
        <f>'[14]FOM Cost'!U$150/1000</f>
        <v>41.958259999999996</v>
      </c>
      <c r="U5" s="16">
        <f>'[14]FOM Cost'!V$150/1000</f>
        <v>44.362510000000007</v>
      </c>
      <c r="V5" s="16">
        <f>'[14]FOM Cost'!W$150/1000</f>
        <v>46.055909999999997</v>
      </c>
      <c r="W5" s="16">
        <f>'[14]FOM Cost'!X$150/1000</f>
        <v>47.500499999999995</v>
      </c>
      <c r="X5" s="16">
        <f>'[14]FOM Cost'!Y$150/1000</f>
        <v>54.107329999999997</v>
      </c>
      <c r="Y5" s="16">
        <f>'[14]FOM Cost'!Z$150/1000</f>
        <v>59.410680000000006</v>
      </c>
      <c r="Z5" s="16">
        <f>'[14]FOM Cost'!AA$150/1000</f>
        <v>62.365270000000017</v>
      </c>
      <c r="AA5" s="16">
        <f>'[14]FOM Cost'!AB$150/1000</f>
        <v>65.325920000000011</v>
      </c>
      <c r="AB5" s="16">
        <f>'[14]FOM Cost'!AC$150/1000</f>
        <v>66.539740000000009</v>
      </c>
      <c r="AC5" s="119">
        <f>'[14]FOM Cost'!AD$150/1000</f>
        <v>67.969149999999999</v>
      </c>
      <c r="AD5" s="211">
        <f>'[14]FOM Cost'!AE$150/1000</f>
        <v>69.480310000000003</v>
      </c>
      <c r="AE5" s="16">
        <f>'[14]FOM Cost'!AF$150/1000</f>
        <v>68.531019999999998</v>
      </c>
      <c r="AF5" s="16">
        <f>'[14]FOM Cost'!AG$150/1000</f>
        <v>64.426320000000004</v>
      </c>
      <c r="AG5" s="16">
        <f>'[14]FOM Cost'!AH$150/1000</f>
        <v>60.653360000000006</v>
      </c>
      <c r="AH5" s="16">
        <f>'[14]FOM Cost'!AI$150/1000</f>
        <v>58.473479999999995</v>
      </c>
      <c r="AI5" s="16">
        <f>'[14]FOM Cost'!AJ$150/1000</f>
        <v>59.704849999999993</v>
      </c>
      <c r="AJ5" s="16"/>
    </row>
    <row r="6" spans="1:36">
      <c r="A6" s="6" t="s">
        <v>67</v>
      </c>
      <c r="B6" s="16">
        <f>[14]System!B$13/1000</f>
        <v>390.67816000000005</v>
      </c>
      <c r="C6" s="16">
        <f>[14]System!C$13/1000</f>
        <v>384.87225999999998</v>
      </c>
      <c r="D6" s="16">
        <f>[14]System!D$13/1000</f>
        <v>381.80251999999996</v>
      </c>
      <c r="E6" s="16">
        <f>[14]System!E$13/1000</f>
        <v>381.80251999999996</v>
      </c>
      <c r="F6" s="16">
        <f>[14]System!F$13/1000</f>
        <v>382.80076000000003</v>
      </c>
      <c r="G6" s="16">
        <f>[14]System!G$13/1000</f>
        <v>381.80250999999998</v>
      </c>
      <c r="H6" s="16">
        <f>[14]System!H$13/1000</f>
        <v>381.80251999999996</v>
      </c>
      <c r="I6" s="16">
        <f>[14]System!I$13/1000</f>
        <v>381.80250999999998</v>
      </c>
      <c r="J6" s="16">
        <f>[14]System!J$13/1000</f>
        <v>382.80076000000003</v>
      </c>
      <c r="K6" s="16">
        <f>[14]System!K$13/1000</f>
        <v>381.80251999999996</v>
      </c>
      <c r="L6" s="16">
        <f>[14]System!L$13/1000</f>
        <v>381.80251999999996</v>
      </c>
      <c r="M6" s="16">
        <f>[14]System!M$13/1000</f>
        <v>381.80250999999998</v>
      </c>
      <c r="N6" s="16">
        <f>[14]System!N$13/1000</f>
        <v>382.80076000000003</v>
      </c>
      <c r="O6" s="16">
        <f>[14]System!O$13/1000</f>
        <v>381.80251999999996</v>
      </c>
      <c r="P6" s="16">
        <f>[14]System!P$13/1000</f>
        <v>488.03607999999997</v>
      </c>
      <c r="Q6" s="16">
        <f>[14]System!Q$13/1000</f>
        <v>565.75178000000005</v>
      </c>
      <c r="R6" s="16">
        <f>[14]System!R$13/1000</f>
        <v>565.75178000000005</v>
      </c>
      <c r="S6" s="16">
        <f>[14]System!S$13/1000</f>
        <v>565.75178000000005</v>
      </c>
      <c r="T6" s="16">
        <f>[14]System!T$13/1000</f>
        <v>608.46997999999996</v>
      </c>
      <c r="U6" s="16">
        <f>[14]System!U$13/1000</f>
        <v>638.98298999999997</v>
      </c>
      <c r="V6" s="16">
        <f>[14]System!V$13/1000</f>
        <v>653.94328000000007</v>
      </c>
      <c r="W6" s="16">
        <f>[14]System!W$13/1000</f>
        <v>664.62914999999998</v>
      </c>
      <c r="X6" s="16">
        <f>[14]System!X$13/1000</f>
        <v>742.0158100000001</v>
      </c>
      <c r="Y6" s="16">
        <f>[14]System!Y$13/1000</f>
        <v>797.36162999999999</v>
      </c>
      <c r="Z6" s="16">
        <f>[14]System!Z$13/1000</f>
        <v>830.38836000000003</v>
      </c>
      <c r="AA6" s="16">
        <f>[14]System!AA$13/1000</f>
        <v>870.90499999999997</v>
      </c>
      <c r="AB6" s="16">
        <f>[14]System!AB$13/1000</f>
        <v>882.99510999999995</v>
      </c>
      <c r="AC6" s="119">
        <f>[14]System!AC$13/1000</f>
        <v>882.99513000000002</v>
      </c>
      <c r="AD6" s="211">
        <f>[14]System!AD$13/1000</f>
        <v>882.99513000000002</v>
      </c>
      <c r="AE6" s="16">
        <f>[14]System!AE$13/1000</f>
        <v>882.99513000000002</v>
      </c>
      <c r="AF6" s="16">
        <f>[14]System!AF$13/1000</f>
        <v>882.99513000000002</v>
      </c>
      <c r="AG6" s="16">
        <f>[14]System!AG$13/1000</f>
        <v>882.99513000000002</v>
      </c>
      <c r="AH6" s="16">
        <f>[14]System!AH$13/1000</f>
        <v>882.99513000000002</v>
      </c>
      <c r="AI6" s="16">
        <f>[14]System!AI$13/1000</f>
        <v>882.99513000000002</v>
      </c>
      <c r="AJ6" s="16"/>
    </row>
    <row r="7" spans="1:36">
      <c r="A7" s="6" t="s">
        <v>383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19"/>
      <c r="AD7" s="211"/>
      <c r="AE7" s="16"/>
      <c r="AF7" s="16"/>
      <c r="AG7" s="16"/>
      <c r="AH7" s="16"/>
      <c r="AI7" s="16"/>
      <c r="AJ7" s="16"/>
    </row>
    <row r="8" spans="1:36">
      <c r="A8" s="6" t="s">
        <v>65</v>
      </c>
      <c r="B8" s="16">
        <f>'[14]Fuel Cost'!C$150/1000</f>
        <v>849.92173000000025</v>
      </c>
      <c r="C8" s="16">
        <f>'[14]Fuel Cost'!D$150/1000</f>
        <v>858.9526599999997</v>
      </c>
      <c r="D8" s="16">
        <f>'[14]Fuel Cost'!E$150/1000</f>
        <v>883.70601000000011</v>
      </c>
      <c r="E8" s="16">
        <f>'[14]Fuel Cost'!F$150/1000</f>
        <v>901.71135000000004</v>
      </c>
      <c r="F8" s="16">
        <f>'[14]Fuel Cost'!G$150/1000</f>
        <v>902.36277999999993</v>
      </c>
      <c r="G8" s="16">
        <f>'[14]Fuel Cost'!H$150/1000</f>
        <v>936.08520000000021</v>
      </c>
      <c r="H8" s="16">
        <f>'[14]Fuel Cost'!I$150/1000</f>
        <v>996.61411999999984</v>
      </c>
      <c r="I8" s="16">
        <f>'[14]Fuel Cost'!J$150/1000</f>
        <v>1101.3591999999999</v>
      </c>
      <c r="J8" s="16">
        <f>'[14]Fuel Cost'!K$150/1000</f>
        <v>1220.5895199999998</v>
      </c>
      <c r="K8" s="16">
        <f>'[14]Fuel Cost'!L$150/1000</f>
        <v>1309.4205799999997</v>
      </c>
      <c r="L8" s="16">
        <f>'[14]Fuel Cost'!M$150/1000</f>
        <v>1382.9872499999994</v>
      </c>
      <c r="M8" s="16">
        <f>'[14]Fuel Cost'!N$150/1000</f>
        <v>1460.4608600000004</v>
      </c>
      <c r="N8" s="16">
        <f>'[14]Fuel Cost'!O$150/1000</f>
        <v>1515.6407300000005</v>
      </c>
      <c r="O8" s="16">
        <f>'[14]Fuel Cost'!P$150/1000</f>
        <v>1523.4389799999992</v>
      </c>
      <c r="P8" s="16">
        <f>'[14]Fuel Cost'!Q$150/1000</f>
        <v>1531.9962100000005</v>
      </c>
      <c r="Q8" s="16">
        <f>'[14]Fuel Cost'!R$150/1000</f>
        <v>1577.6951900000004</v>
      </c>
      <c r="R8" s="16">
        <f>'[14]Fuel Cost'!S$150/1000</f>
        <v>1600.50531</v>
      </c>
      <c r="S8" s="16">
        <f>'[14]Fuel Cost'!T$150/1000</f>
        <v>1727.2704000000006</v>
      </c>
      <c r="T8" s="16">
        <f>'[14]Fuel Cost'!U$150/1000</f>
        <v>1821.9640399999998</v>
      </c>
      <c r="U8" s="16">
        <f>'[14]Fuel Cost'!V$150/1000</f>
        <v>1885.0742499999997</v>
      </c>
      <c r="V8" s="16">
        <f>'[14]Fuel Cost'!W$150/1000</f>
        <v>1959.1437999999998</v>
      </c>
      <c r="W8" s="16">
        <f>'[14]Fuel Cost'!X$150/1000</f>
        <v>2059.4129200000002</v>
      </c>
      <c r="X8" s="16">
        <f>'[14]Fuel Cost'!Y$150/1000</f>
        <v>2089.22406</v>
      </c>
      <c r="Y8" s="16">
        <f>'[14]Fuel Cost'!Z$150/1000</f>
        <v>2115.8289199999999</v>
      </c>
      <c r="Z8" s="16">
        <f>'[14]Fuel Cost'!AA$150/1000</f>
        <v>2220.2157499999989</v>
      </c>
      <c r="AA8" s="16">
        <f>'[14]Fuel Cost'!AB$150/1000</f>
        <v>2341.0964899999999</v>
      </c>
      <c r="AB8" s="16">
        <f>'[14]Fuel Cost'!AC$150/1000</f>
        <v>2450.1476599999992</v>
      </c>
      <c r="AC8" s="119">
        <f>'[14]Fuel Cost'!AD$150/1000</f>
        <v>2476.6742300000001</v>
      </c>
      <c r="AD8" s="211">
        <f>'[14]Fuel Cost'!AE$150/1000</f>
        <v>2541.0791800000006</v>
      </c>
      <c r="AE8" s="16">
        <f>'[14]Fuel Cost'!AF$150/1000</f>
        <v>2533.0413700000004</v>
      </c>
      <c r="AF8" s="16">
        <f>'[14]Fuel Cost'!AG$150/1000</f>
        <v>2587.2029800000005</v>
      </c>
      <c r="AG8" s="16">
        <f>'[14]Fuel Cost'!AH$150/1000</f>
        <v>2675.98506</v>
      </c>
      <c r="AH8" s="16">
        <f>'[14]Fuel Cost'!AI$150/1000</f>
        <v>2765.51089</v>
      </c>
      <c r="AI8" s="16">
        <f>'[14]Fuel Cost'!AJ$150/1000</f>
        <v>2817.8055800000002</v>
      </c>
      <c r="AJ8" s="16"/>
    </row>
    <row r="9" spans="1:36">
      <c r="A9" s="6" t="s">
        <v>52</v>
      </c>
      <c r="B9" s="16">
        <f>('[14]Start Cost'!C$150+'[14]VOM Cost'!C$150)/1000+([14]System!B$7+[14]System!B$9)/1000</f>
        <v>86.065400000000025</v>
      </c>
      <c r="C9" s="16">
        <f>('[14]Start Cost'!D$150+'[14]VOM Cost'!D$150)/1000+([14]System!C$7+[14]System!C$9)/1000</f>
        <v>91.136569999999992</v>
      </c>
      <c r="D9" s="16">
        <f>('[14]Start Cost'!E$150+'[14]VOM Cost'!E$150)/1000+([14]System!D$7+[14]System!D$9)/1000</f>
        <v>99.004459999999966</v>
      </c>
      <c r="E9" s="16">
        <f>('[14]Start Cost'!F$150+'[14]VOM Cost'!F$150)/1000+([14]System!E$7+[14]System!E$9)/1000</f>
        <v>106.55858000000001</v>
      </c>
      <c r="F9" s="16">
        <f>('[14]Start Cost'!G$150+'[14]VOM Cost'!G$150)/1000+([14]System!F$7+[14]System!F$9)/1000</f>
        <v>116.13398000000001</v>
      </c>
      <c r="G9" s="16">
        <f>('[14]Start Cost'!H$150+'[14]VOM Cost'!H$150)/1000+([14]System!G$7+[14]System!G$9)/1000</f>
        <v>128.97212999999999</v>
      </c>
      <c r="H9" s="16">
        <f>('[14]Start Cost'!I$150+'[14]VOM Cost'!I$150)/1000+([14]System!H$7+[14]System!H$9)/1000</f>
        <v>151.61926999999997</v>
      </c>
      <c r="I9" s="16">
        <f>('[14]Start Cost'!J$150+'[14]VOM Cost'!J$150)/1000+([14]System!I$7+[14]System!I$9)/1000</f>
        <v>171.43646999999999</v>
      </c>
      <c r="J9" s="16">
        <f>('[14]Start Cost'!K$150+'[14]VOM Cost'!K$150)/1000+([14]System!J$7+[14]System!J$9)/1000</f>
        <v>195.29842000000002</v>
      </c>
      <c r="K9" s="16">
        <f>('[14]Start Cost'!L$150+'[14]VOM Cost'!L$150)/1000+([14]System!K$7+[14]System!K$9)/1000</f>
        <v>210.81583000000003</v>
      </c>
      <c r="L9" s="16">
        <f>('[14]Start Cost'!M$150+'[14]VOM Cost'!M$150)/1000+([14]System!L$7+[14]System!L$9)/1000</f>
        <v>233.51777999999996</v>
      </c>
      <c r="M9" s="16">
        <f>('[14]Start Cost'!N$150+'[14]VOM Cost'!N$150)/1000+([14]System!M$7+[14]System!M$9)/1000</f>
        <v>254.91038000000003</v>
      </c>
      <c r="N9" s="16">
        <f>('[14]Start Cost'!O$150+'[14]VOM Cost'!O$150)/1000+([14]System!N$7+[14]System!N$9)/1000</f>
        <v>267.73444000000006</v>
      </c>
      <c r="O9" s="16">
        <f>('[14]Start Cost'!P$150+'[14]VOM Cost'!P$150)/1000+([14]System!O$7+[14]System!O$9)/1000</f>
        <v>284.7484</v>
      </c>
      <c r="P9" s="16">
        <f>('[14]Start Cost'!Q$150+'[14]VOM Cost'!Q$150)/1000+([14]System!P$7+[14]System!P$9)/1000</f>
        <v>289.47895</v>
      </c>
      <c r="Q9" s="16">
        <f>('[14]Start Cost'!R$150+'[14]VOM Cost'!R$150)/1000+([14]System!Q$7+[14]System!Q$9)/1000</f>
        <v>302.72692000000006</v>
      </c>
      <c r="R9" s="16">
        <f>('[14]Start Cost'!S$150+'[14]VOM Cost'!S$150)/1000+([14]System!R$7+[14]System!R$9)/1000</f>
        <v>320.54993999999999</v>
      </c>
      <c r="S9" s="16">
        <f>('[14]Start Cost'!T$150+'[14]VOM Cost'!T$150)/1000+([14]System!S$7+[14]System!S$9)/1000</f>
        <v>358.04066999999998</v>
      </c>
      <c r="T9" s="16">
        <f>('[14]Start Cost'!U$150+'[14]VOM Cost'!U$150)/1000+([14]System!T$7+[14]System!T$9)/1000</f>
        <v>380.18842000000006</v>
      </c>
      <c r="U9" s="16">
        <f>('[14]Start Cost'!V$150+'[14]VOM Cost'!V$150)/1000+([14]System!U$7+[14]System!U$9)/1000</f>
        <v>420.63394999999997</v>
      </c>
      <c r="V9" s="16">
        <f>('[14]Start Cost'!W$150+'[14]VOM Cost'!W$150)/1000+([14]System!V$7+[14]System!V$9)/1000</f>
        <v>428.21969999999999</v>
      </c>
      <c r="W9" s="16">
        <f>('[14]Start Cost'!X$150+'[14]VOM Cost'!X$150)/1000+([14]System!W$7+[14]System!W$9)/1000</f>
        <v>454.78718999999995</v>
      </c>
      <c r="X9" s="16">
        <f>('[14]Start Cost'!Y$150+'[14]VOM Cost'!Y$150)/1000+([14]System!X$7+[14]System!X$9)/1000</f>
        <v>462.23005999999992</v>
      </c>
      <c r="Y9" s="16">
        <f>('[14]Start Cost'!Z$150+'[14]VOM Cost'!Z$150)/1000+([14]System!Y$7+[14]System!Y$9)/1000</f>
        <v>483.94347000000005</v>
      </c>
      <c r="Z9" s="16">
        <f>('[14]Start Cost'!AA$150+'[14]VOM Cost'!AA$150)/1000+([14]System!Z$7+[14]System!Z$9)/1000</f>
        <v>497.01598999999999</v>
      </c>
      <c r="AA9" s="16">
        <f>('[14]Start Cost'!AB$150+'[14]VOM Cost'!AB$150)/1000+([14]System!AA$7+[14]System!AA$9)/1000</f>
        <v>527.32308</v>
      </c>
      <c r="AB9" s="16">
        <f>('[14]Start Cost'!AC$150+'[14]VOM Cost'!AC$150)/1000+([14]System!AB$7+[14]System!AB$9)/1000</f>
        <v>543.9018299999999</v>
      </c>
      <c r="AC9" s="119">
        <f>('[14]Start Cost'!AD$150+'[14]VOM Cost'!AD$150)/1000+([14]System!AC$7+[14]System!AC$9)/1000</f>
        <v>569.4827499999999</v>
      </c>
      <c r="AD9" s="211">
        <f>('[14]Start Cost'!AE$150+'[14]VOM Cost'!AE$150)/1000+([14]System!AD$7+[14]System!AD$9)/1000</f>
        <v>589.71616000000006</v>
      </c>
      <c r="AE9" s="16">
        <f>('[14]Start Cost'!AF$150+'[14]VOM Cost'!AF$150)/1000+([14]System!AE$7+[14]System!AE$9)/1000</f>
        <v>612.19146000000012</v>
      </c>
      <c r="AF9" s="16">
        <f>('[14]Start Cost'!AG$150+'[14]VOM Cost'!AG$150)/1000+([14]System!AF$7+[14]System!AF$9)/1000</f>
        <v>631.22421000000008</v>
      </c>
      <c r="AG9" s="16">
        <f>('[14]Start Cost'!AH$150+'[14]VOM Cost'!AH$150)/1000+([14]System!AG$7+[14]System!AG$9)/1000</f>
        <v>662.51316999999995</v>
      </c>
      <c r="AH9" s="16">
        <f>('[14]Start Cost'!AI$150+'[14]VOM Cost'!AI$150)/1000+([14]System!AH$7+[14]System!AH$9)/1000</f>
        <v>676.64910999999995</v>
      </c>
      <c r="AI9" s="16">
        <f>('[14]Start Cost'!AJ$150+'[14]VOM Cost'!AJ$150)/1000+([14]System!AI$7+[14]System!AI$9)/1000</f>
        <v>706.67714999999998</v>
      </c>
      <c r="AJ9" s="16"/>
    </row>
    <row r="10" spans="1:36">
      <c r="A10" s="36" t="s">
        <v>66</v>
      </c>
      <c r="B10" s="119">
        <f>('[14]Reagent Cost'!C$150+'[14]SO2 Cost'!C$150+'[14]NOx Cost'!C$150+'[14]Lime Cost'!C$150)/1000</f>
        <v>6.2323630999999988</v>
      </c>
      <c r="C10" s="119">
        <f>('[14]Reagent Cost'!D$150+'[14]SO2 Cost'!D$150+'[14]NOx Cost'!D$150+'[14]Lime Cost'!D$150)/1000</f>
        <v>6.4714030000000013</v>
      </c>
      <c r="D10" s="119">
        <f>('[14]Reagent Cost'!E$150+'[14]SO2 Cost'!E$150+'[14]NOx Cost'!E$150+'[14]Lime Cost'!E$150)/1000</f>
        <v>6.3726332000000019</v>
      </c>
      <c r="E10" s="119">
        <f>('[14]Reagent Cost'!F$150+'[14]SO2 Cost'!F$150+'[14]NOx Cost'!F$150+'[14]Lime Cost'!F$150)/1000</f>
        <v>5.7773078000000009</v>
      </c>
      <c r="F10" s="119">
        <f>('[14]Reagent Cost'!G$150+'[14]SO2 Cost'!G$150+'[14]NOx Cost'!G$150+'[14]Lime Cost'!G$150)/1000</f>
        <v>5.7116716000000016</v>
      </c>
      <c r="G10" s="119">
        <f>('[14]Reagent Cost'!H$150+'[14]SO2 Cost'!H$150+'[14]NOx Cost'!H$150+'[14]Lime Cost'!H$150)/1000</f>
        <v>5.8987663999999986</v>
      </c>
      <c r="H10" s="119">
        <f>('[14]Reagent Cost'!I$150+'[14]SO2 Cost'!I$150+'[14]NOx Cost'!I$150+'[14]Lime Cost'!I$150)/1000</f>
        <v>5.8629835000000012</v>
      </c>
      <c r="I10" s="119">
        <f>('[14]Reagent Cost'!J$150+'[14]SO2 Cost'!J$150+'[14]NOx Cost'!J$150+'[14]Lime Cost'!J$150)/1000</f>
        <v>5.9663967000000007</v>
      </c>
      <c r="J10" s="119">
        <f>('[14]Reagent Cost'!K$150+'[14]SO2 Cost'!K$150+'[14]NOx Cost'!K$150+'[14]Lime Cost'!K$150)/1000</f>
        <v>6.4306314000000002</v>
      </c>
      <c r="K10" s="119">
        <f>('[14]Reagent Cost'!L$150+'[14]SO2 Cost'!L$150+'[14]NOx Cost'!L$150+'[14]Lime Cost'!L$150)/1000</f>
        <v>6.1492484000000003</v>
      </c>
      <c r="L10" s="119">
        <f>('[14]Reagent Cost'!M$150+'[14]SO2 Cost'!M$150+'[14]NOx Cost'!M$150+'[14]Lime Cost'!M$150)/1000</f>
        <v>6.1936952000000014</v>
      </c>
      <c r="M10" s="119">
        <f>('[14]Reagent Cost'!N$150+'[14]SO2 Cost'!N$150+'[14]NOx Cost'!N$150+'[14]Lime Cost'!N$150)/1000</f>
        <v>6.1533114999999983</v>
      </c>
      <c r="N10" s="119">
        <f>('[14]Reagent Cost'!O$150+'[14]SO2 Cost'!O$150+'[14]NOx Cost'!O$150+'[14]Lime Cost'!O$150)/1000</f>
        <v>5.736044999999999</v>
      </c>
      <c r="O10" s="119">
        <f>('[14]Reagent Cost'!P$150+'[14]SO2 Cost'!P$150+'[14]NOx Cost'!P$150+'[14]Lime Cost'!P$150)/1000</f>
        <v>5.6712933000000003</v>
      </c>
      <c r="P10" s="119">
        <f>('[14]Reagent Cost'!Q$150+'[14]SO2 Cost'!Q$150+'[14]NOx Cost'!Q$150+'[14]Lime Cost'!Q$150)/1000</f>
        <v>2.8402413000000006</v>
      </c>
      <c r="Q10" s="119">
        <f>('[14]Reagent Cost'!R$150+'[14]SO2 Cost'!R$150+'[14]NOx Cost'!R$150+'[14]Lime Cost'!R$150)/1000</f>
        <v>1.74163</v>
      </c>
      <c r="R10" s="119">
        <f>('[14]Reagent Cost'!S$150+'[14]SO2 Cost'!S$150+'[14]NOx Cost'!S$150+'[14]Lime Cost'!S$150)/1000</f>
        <v>1.7611700000000001</v>
      </c>
      <c r="S10" s="119">
        <f>('[14]Reagent Cost'!T$150+'[14]SO2 Cost'!T$150+'[14]NOx Cost'!T$150+'[14]Lime Cost'!T$150)/1000</f>
        <v>1.78321</v>
      </c>
      <c r="T10" s="119">
        <f>('[14]Reagent Cost'!U$150+'[14]SO2 Cost'!U$150+'[14]NOx Cost'!U$150+'[14]Lime Cost'!U$150)/1000</f>
        <v>1.7998000000000003</v>
      </c>
      <c r="U10" s="119">
        <f>('[14]Reagent Cost'!V$150+'[14]SO2 Cost'!V$150+'[14]NOx Cost'!V$150+'[14]Lime Cost'!V$150)/1000</f>
        <v>1.8116499999999998</v>
      </c>
      <c r="V10" s="119">
        <f>('[14]Reagent Cost'!W$150+'[14]SO2 Cost'!W$150+'[14]NOx Cost'!W$150+'[14]Lime Cost'!W$150)/1000</f>
        <v>1.8489599999999999</v>
      </c>
      <c r="W10" s="119">
        <f>('[14]Reagent Cost'!X$150+'[14]SO2 Cost'!X$150+'[14]NOx Cost'!X$150+'[14]Lime Cost'!X$150)/1000</f>
        <v>1.8628600000000002</v>
      </c>
      <c r="X10" s="119">
        <f>('[14]Reagent Cost'!Y$150+'[14]SO2 Cost'!Y$150+'[14]NOx Cost'!Y$150+'[14]Lime Cost'!Y$150)/1000</f>
        <v>1.8655200000000005</v>
      </c>
      <c r="Y10" s="119">
        <f>('[14]Reagent Cost'!Z$150+'[14]SO2 Cost'!Z$150+'[14]NOx Cost'!Z$150+'[14]Lime Cost'!Z$150)/1000</f>
        <v>1.8844300000000003</v>
      </c>
      <c r="Z10" s="119">
        <f>('[14]Reagent Cost'!AA$150+'[14]SO2 Cost'!AA$150+'[14]NOx Cost'!AA$150+'[14]Lime Cost'!AA$150)/1000</f>
        <v>1.9108200000000002</v>
      </c>
      <c r="AA10" s="119">
        <f>('[14]Reagent Cost'!AB$150+'[14]SO2 Cost'!AB$150+'[14]NOx Cost'!AB$150+'[14]Lime Cost'!AB$150)/1000</f>
        <v>1.9248800000000001</v>
      </c>
      <c r="AB10" s="119">
        <f>('[14]Reagent Cost'!AC$150+'[14]SO2 Cost'!AC$150+'[14]NOx Cost'!AC$150+'[14]Lime Cost'!AC$150)/1000</f>
        <v>1.9603199999999998</v>
      </c>
      <c r="AC10" s="119">
        <f>('[14]Reagent Cost'!AD$150+'[14]SO2 Cost'!AD$150+'[14]NOx Cost'!AD$150+'[14]Lime Cost'!AD$150)/1000</f>
        <v>1.9564399999999997</v>
      </c>
      <c r="AD10" s="211">
        <f>('[14]Reagent Cost'!AE$150+'[14]SO2 Cost'!AE$150+'[14]NOx Cost'!AE$150+'[14]Lime Cost'!AE$150)/1000</f>
        <v>1.9653499999999999</v>
      </c>
      <c r="AE10" s="119">
        <f>('[14]Reagent Cost'!AF$150+'[14]SO2 Cost'!AF$150+'[14]NOx Cost'!AF$150+'[14]Lime Cost'!AF$150)/1000</f>
        <v>1.97173</v>
      </c>
      <c r="AF10" s="119">
        <f>('[14]Reagent Cost'!AG$150+'[14]SO2 Cost'!AG$150+'[14]NOx Cost'!AG$150+'[14]Lime Cost'!AG$150)/1000</f>
        <v>2.0017599999999995</v>
      </c>
      <c r="AG10" s="119">
        <f>('[14]Reagent Cost'!AH$150+'[14]SO2 Cost'!AH$150+'[14]NOx Cost'!AH$150+'[14]Lime Cost'!AH$150)/1000</f>
        <v>2.0186000000000002</v>
      </c>
      <c r="AH10" s="119">
        <f>('[14]Reagent Cost'!AI$150+'[14]SO2 Cost'!AI$150+'[14]NOx Cost'!AI$150+'[14]Lime Cost'!AI$150)/1000</f>
        <v>2.0516299999999998</v>
      </c>
      <c r="AI10" s="119">
        <f>('[14]Reagent Cost'!AJ$150+'[14]SO2 Cost'!AJ$150+'[14]NOx Cost'!AJ$150+'[14]Lime Cost'!AJ$150)/1000</f>
        <v>2.0539200000000002</v>
      </c>
      <c r="AJ10" s="119"/>
    </row>
    <row r="11" spans="1:36">
      <c r="A11" s="12" t="s">
        <v>69</v>
      </c>
      <c r="B11" s="212">
        <f>+'[14]CO2 Cost'!C$150/1000</f>
        <v>0</v>
      </c>
      <c r="C11" s="212">
        <f>+'[14]CO2 Cost'!D$150/1000</f>
        <v>0</v>
      </c>
      <c r="D11" s="212">
        <f>+'[14]CO2 Cost'!E$150/1000</f>
        <v>0</v>
      </c>
      <c r="E11" s="212">
        <f>+'[14]CO2 Cost'!F$150/1000</f>
        <v>0</v>
      </c>
      <c r="F11" s="212">
        <f>+'[14]CO2 Cost'!G$150/1000</f>
        <v>0</v>
      </c>
      <c r="G11" s="212">
        <f>+'[14]CO2 Cost'!H$150/1000</f>
        <v>101.67539999999998</v>
      </c>
      <c r="H11" s="212">
        <f>+'[14]CO2 Cost'!I$150/1000</f>
        <v>182.66867000000002</v>
      </c>
      <c r="I11" s="212">
        <f>+'[14]CO2 Cost'!J$150/1000</f>
        <v>264.44153</v>
      </c>
      <c r="J11" s="212">
        <f>+'[14]CO2 Cost'!K$150/1000</f>
        <v>352.41189000000003</v>
      </c>
      <c r="K11" s="212">
        <f>+'[14]CO2 Cost'!L$150/1000</f>
        <v>432.14386999999999</v>
      </c>
      <c r="L11" s="212">
        <f>+'[14]CO2 Cost'!M$150/1000</f>
        <v>519.48411999999996</v>
      </c>
      <c r="M11" s="212">
        <f>+'[14]CO2 Cost'!N$150/1000</f>
        <v>594.01790999999992</v>
      </c>
      <c r="N11" s="212">
        <f>+'[14]CO2 Cost'!O$150/1000</f>
        <v>676.49613999999997</v>
      </c>
      <c r="O11" s="212">
        <f>+'[14]CO2 Cost'!P$150/1000</f>
        <v>759.70973000000004</v>
      </c>
      <c r="P11" s="212">
        <f>+'[14]CO2 Cost'!Q$150/1000</f>
        <v>792.33126000000004</v>
      </c>
      <c r="Q11" s="212">
        <f>+'[14]CO2 Cost'!R$150/1000</f>
        <v>849.80057000000011</v>
      </c>
      <c r="R11" s="212">
        <f>+'[14]CO2 Cost'!S$150/1000</f>
        <v>1035.0689400000001</v>
      </c>
      <c r="S11" s="212">
        <f>+'[14]CO2 Cost'!T$150/1000</f>
        <v>1220.7934800000003</v>
      </c>
      <c r="T11" s="212">
        <f>+'[14]CO2 Cost'!U$150/1000</f>
        <v>1409.6261400000003</v>
      </c>
      <c r="U11" s="212">
        <f>+'[14]CO2 Cost'!V$150/1000</f>
        <v>1613.3141900000001</v>
      </c>
      <c r="V11" s="212">
        <f>+'[14]CO2 Cost'!W$150/1000</f>
        <v>1807.1727800000008</v>
      </c>
      <c r="W11" s="212">
        <f>+'[14]CO2 Cost'!X$150/1000</f>
        <v>2012.9252700000002</v>
      </c>
      <c r="X11" s="212">
        <f>+'[14]CO2 Cost'!Y$150/1000</f>
        <v>2165.1684400000004</v>
      </c>
      <c r="Y11" s="212">
        <f>+'[14]CO2 Cost'!Z$150/1000</f>
        <v>2344.1101000000008</v>
      </c>
      <c r="Z11" s="212">
        <f>+'[14]CO2 Cost'!AA$150/1000</f>
        <v>2561.2706900000003</v>
      </c>
      <c r="AA11" s="212">
        <f>+'[14]CO2 Cost'!AB$150/1000</f>
        <v>2764.7929700000004</v>
      </c>
      <c r="AB11" s="212">
        <f>+'[14]CO2 Cost'!AC$150/1000</f>
        <v>2985.1798399999993</v>
      </c>
      <c r="AC11" s="212">
        <f>+'[14]CO2 Cost'!AD$150/1000</f>
        <v>3163.9370100000006</v>
      </c>
      <c r="AD11" s="213">
        <f>+'[14]CO2 Cost'!AE$150/1000</f>
        <v>3371.22622</v>
      </c>
      <c r="AE11" s="212">
        <f>+'[14]CO2 Cost'!AF$150/1000</f>
        <v>3542.0626200000002</v>
      </c>
      <c r="AF11" s="212">
        <f>+'[14]CO2 Cost'!AG$150/1000</f>
        <v>3773.7322900000004</v>
      </c>
      <c r="AG11" s="212">
        <f>+'[14]CO2 Cost'!AH$150/1000</f>
        <v>3997.4665399999999</v>
      </c>
      <c r="AH11" s="212">
        <f>+'[14]CO2 Cost'!AI$150/1000</f>
        <v>4224.5120399999987</v>
      </c>
      <c r="AI11" s="212">
        <f>+'[14]CO2 Cost'!AJ$150/1000</f>
        <v>4390.5751</v>
      </c>
      <c r="AJ11" s="212"/>
    </row>
    <row r="12" spans="1:36">
      <c r="A12" s="6" t="s">
        <v>61</v>
      </c>
      <c r="B12" s="15">
        <f t="shared" ref="B12:AG12" si="1">SUM(B2:B11)</f>
        <v>1843.5391832822065</v>
      </c>
      <c r="C12" s="15">
        <f t="shared" si="1"/>
        <v>1876.6712136946612</v>
      </c>
      <c r="D12" s="15">
        <f t="shared" si="1"/>
        <v>1947.1179222741637</v>
      </c>
      <c r="E12" s="15">
        <f t="shared" si="1"/>
        <v>1985.9496005891406</v>
      </c>
      <c r="F12" s="15">
        <f t="shared" si="1"/>
        <v>1836.0959058285841</v>
      </c>
      <c r="G12" s="15">
        <f t="shared" si="1"/>
        <v>1822.9352320272558</v>
      </c>
      <c r="H12" s="15">
        <f t="shared" si="1"/>
        <v>1882.8001750137721</v>
      </c>
      <c r="I12" s="15">
        <f t="shared" si="1"/>
        <v>2082.8127510479221</v>
      </c>
      <c r="J12" s="15">
        <f t="shared" si="1"/>
        <v>2326.8882349671107</v>
      </c>
      <c r="K12" s="15">
        <f t="shared" si="1"/>
        <v>2513.9229913360618</v>
      </c>
      <c r="L12" s="15">
        <f t="shared" si="1"/>
        <v>2705.2021274255185</v>
      </c>
      <c r="M12" s="15">
        <f t="shared" si="1"/>
        <v>2882.6536490661733</v>
      </c>
      <c r="N12" s="15">
        <f t="shared" si="1"/>
        <v>3041.3223777299809</v>
      </c>
      <c r="O12" s="15">
        <f t="shared" si="1"/>
        <v>3152.2613531658908</v>
      </c>
      <c r="P12" s="15">
        <f t="shared" si="1"/>
        <v>3470.7190674484009</v>
      </c>
      <c r="Q12" s="15">
        <f t="shared" si="1"/>
        <v>4051.6360573375077</v>
      </c>
      <c r="R12" s="15">
        <f t="shared" si="1"/>
        <v>4258.3042430834839</v>
      </c>
      <c r="S12" s="15">
        <f t="shared" si="1"/>
        <v>4589.6008055809934</v>
      </c>
      <c r="T12" s="15">
        <f t="shared" si="1"/>
        <v>4966.7902042835522</v>
      </c>
      <c r="U12" s="15">
        <f t="shared" si="1"/>
        <v>5318.2895156230643</v>
      </c>
      <c r="V12" s="15">
        <f t="shared" si="1"/>
        <v>5604.060888616179</v>
      </c>
      <c r="W12" s="15">
        <f t="shared" si="1"/>
        <v>5937.9774101648045</v>
      </c>
      <c r="X12" s="15">
        <f t="shared" si="1"/>
        <v>6316.5640201885726</v>
      </c>
      <c r="Y12" s="15">
        <f t="shared" si="1"/>
        <v>6970.0384278734937</v>
      </c>
      <c r="Z12" s="15">
        <f t="shared" si="1"/>
        <v>7337.8150959850373</v>
      </c>
      <c r="AA12" s="15">
        <f t="shared" si="1"/>
        <v>7738.9966800824732</v>
      </c>
      <c r="AB12" s="15">
        <f t="shared" si="1"/>
        <v>8074.4255941545143</v>
      </c>
      <c r="AC12" s="52">
        <f t="shared" si="1"/>
        <v>8271.7719936350495</v>
      </c>
      <c r="AD12" s="214">
        <f t="shared" si="1"/>
        <v>8532.9741819161591</v>
      </c>
      <c r="AE12" s="15">
        <f t="shared" si="1"/>
        <v>8679.9516547722396</v>
      </c>
      <c r="AF12" s="15">
        <f t="shared" si="1"/>
        <v>8934.4384394805893</v>
      </c>
      <c r="AG12" s="15">
        <f t="shared" si="1"/>
        <v>9228.0605408919964</v>
      </c>
      <c r="AH12" s="15">
        <f t="shared" ref="AH12:AI12" si="2">SUM(AH2:AH11)</f>
        <v>9507.3730764424727</v>
      </c>
      <c r="AI12" s="15">
        <f t="shared" si="2"/>
        <v>9726.1114510207881</v>
      </c>
      <c r="AJ12" s="15"/>
    </row>
    <row r="13" spans="1:36">
      <c r="AC13" s="36"/>
      <c r="AD13" s="215"/>
    </row>
    <row r="14" spans="1:36" s="152" customFormat="1">
      <c r="A14" s="152" t="s">
        <v>201</v>
      </c>
      <c r="B14" s="152">
        <f>$B$1</f>
        <v>2020</v>
      </c>
      <c r="C14" s="152">
        <f t="shared" ref="C14:AI14" si="3">B14+1</f>
        <v>2021</v>
      </c>
      <c r="D14" s="152">
        <f t="shared" si="3"/>
        <v>2022</v>
      </c>
      <c r="E14" s="152">
        <f t="shared" si="3"/>
        <v>2023</v>
      </c>
      <c r="F14" s="152">
        <f t="shared" si="3"/>
        <v>2024</v>
      </c>
      <c r="G14" s="152">
        <f t="shared" si="3"/>
        <v>2025</v>
      </c>
      <c r="H14" s="152">
        <f t="shared" si="3"/>
        <v>2026</v>
      </c>
      <c r="I14" s="152">
        <f t="shared" si="3"/>
        <v>2027</v>
      </c>
      <c r="J14" s="152">
        <f t="shared" si="3"/>
        <v>2028</v>
      </c>
      <c r="K14" s="152">
        <f t="shared" si="3"/>
        <v>2029</v>
      </c>
      <c r="L14" s="152">
        <f t="shared" si="3"/>
        <v>2030</v>
      </c>
      <c r="M14" s="152">
        <f t="shared" si="3"/>
        <v>2031</v>
      </c>
      <c r="N14" s="152">
        <f t="shared" si="3"/>
        <v>2032</v>
      </c>
      <c r="O14" s="152">
        <f t="shared" si="3"/>
        <v>2033</v>
      </c>
      <c r="P14" s="152">
        <f t="shared" si="3"/>
        <v>2034</v>
      </c>
      <c r="Q14" s="152">
        <f t="shared" si="3"/>
        <v>2035</v>
      </c>
      <c r="R14" s="152">
        <f t="shared" si="3"/>
        <v>2036</v>
      </c>
      <c r="S14" s="152">
        <f t="shared" si="3"/>
        <v>2037</v>
      </c>
      <c r="T14" s="152">
        <f t="shared" si="3"/>
        <v>2038</v>
      </c>
      <c r="U14" s="152">
        <f t="shared" si="3"/>
        <v>2039</v>
      </c>
      <c r="V14" s="152">
        <f t="shared" si="3"/>
        <v>2040</v>
      </c>
      <c r="W14" s="152">
        <f t="shared" si="3"/>
        <v>2041</v>
      </c>
      <c r="X14" s="152">
        <f t="shared" si="3"/>
        <v>2042</v>
      </c>
      <c r="Y14" s="152">
        <f t="shared" si="3"/>
        <v>2043</v>
      </c>
      <c r="Z14" s="152">
        <f t="shared" si="3"/>
        <v>2044</v>
      </c>
      <c r="AA14" s="152">
        <f t="shared" si="3"/>
        <v>2045</v>
      </c>
      <c r="AB14" s="152">
        <f t="shared" si="3"/>
        <v>2046</v>
      </c>
      <c r="AC14" s="209">
        <f t="shared" si="3"/>
        <v>2047</v>
      </c>
      <c r="AD14" s="210">
        <f t="shared" si="3"/>
        <v>2048</v>
      </c>
      <c r="AE14" s="152">
        <f t="shared" si="3"/>
        <v>2049</v>
      </c>
      <c r="AF14" s="152">
        <f t="shared" si="3"/>
        <v>2050</v>
      </c>
      <c r="AG14" s="152">
        <f t="shared" si="3"/>
        <v>2051</v>
      </c>
      <c r="AH14" s="152">
        <f t="shared" si="3"/>
        <v>2052</v>
      </c>
      <c r="AI14" s="152">
        <f t="shared" si="3"/>
        <v>2053</v>
      </c>
    </row>
    <row r="15" spans="1:36">
      <c r="A15" s="6" t="s">
        <v>134</v>
      </c>
      <c r="B15" s="16">
        <f>Hamilton!E$10/1000+Columbia!E$10/1000+Lake_Placid!E$10/1000+Trenton!E$10/1000+Debary!E$10/1000+Santa_Fe!E$10/1000+Twin_Rivers!E$10/1000+Duette!E$10/1000+Charlie_Creek!E$10/1000+Archer!E$10/1000</f>
        <v>65.260450182206341</v>
      </c>
      <c r="C15" s="16">
        <f>Hamilton!F$10/1000+Columbia!F$10/1000+Lake_Placid!F$10/1000+Trenton!F$10/1000+Debary!F$10/1000+Santa_Fe!F$10/1000+Twin_Rivers!F$10/1000+Duette!F$10/1000+Charlie_Creek!F$10/1000+Archer!F$10/1000</f>
        <v>102.08062069466152</v>
      </c>
      <c r="D15" s="16">
        <f>Hamilton!G$10/1000+Columbia!G$10/1000+Lake_Placid!G$10/1000+Trenton!G$10/1000+Debary!G$10/1000+Santa_Fe!G$10/1000+Twin_Rivers!G$10/1000+Duette!G$10/1000+Charlie_Creek!G$10/1000+Archer!G$10/1000</f>
        <v>140.1396490741636</v>
      </c>
      <c r="E15" s="16">
        <f>Hamilton!H$10/1000+Columbia!H$10/1000+Lake_Placid!H$10/1000+Trenton!H$10/1000+Debary!H$10/1000+Santa_Fe!H$10/1000+Twin_Rivers!H$10/1000+Duette!H$10/1000+Charlie_Creek!H$10/1000+Archer!H$10/1000</f>
        <v>134.04030278914058</v>
      </c>
      <c r="F15" s="16">
        <f>Hamilton!I$10/1000+Columbia!I$10/1000+Lake_Placid!I$10/1000+Trenton!I$10/1000+Debary!I$10/1000+Santa_Fe!I$10/1000+Twin_Rivers!I$10/1000+Duette!I$10/1000+Charlie_Creek!I$10/1000+Archer!I$10/1000</f>
        <v>128.64619422858411</v>
      </c>
      <c r="G15" s="16">
        <f>Hamilton!J$10/1000+Columbia!J$10/1000+Lake_Placid!J$10/1000+Trenton!J$10/1000+Debary!J$10/1000+Santa_Fe!J$10/1000+Twin_Rivers!J$10/1000+Duette!J$10/1000+Charlie_Creek!J$10/1000+Archer!J$10/1000</f>
        <v>120.64800562725537</v>
      </c>
      <c r="H15" s="16">
        <f>Hamilton!K$10/1000+Columbia!K$10/1000+Lake_Placid!K$10/1000+Trenton!K$10/1000+Debary!K$10/1000+Santa_Fe!K$10/1000+Twin_Rivers!K$10/1000+Duette!K$10/1000+Charlie_Creek!K$10/1000+Archer!K$10/1000</f>
        <v>106.55728151377239</v>
      </c>
      <c r="I15" s="16">
        <f>Hamilton!L$10/1000+Columbia!L$10/1000+Lake_Placid!L$10/1000+Trenton!L$10/1000+Debary!L$10/1000+Santa_Fe!L$10/1000+Twin_Rivers!L$10/1000+Duette!L$10/1000+Charlie_Creek!L$10/1000+Archer!L$10/1000</f>
        <v>103.56659689744981</v>
      </c>
      <c r="J15" s="16">
        <f>Hamilton!M$10/1000+Columbia!M$10/1000+Lake_Placid!M$10/1000+Trenton!M$10/1000+Debary!M$10/1000+Santa_Fe!M$10/1000+Twin_Rivers!M$10/1000+Duette!M$10/1000+Charlie_Creek!M$10/1000+Archer!M$10/1000</f>
        <v>100.82687797199034</v>
      </c>
      <c r="K15" s="16">
        <f>Hamilton!N$10/1000+Columbia!N$10/1000+Lake_Placid!N$10/1000+Trenton!N$10/1000+Debary!N$10/1000+Santa_Fe!N$10/1000+Twin_Rivers!N$10/1000+Duette!N$10/1000+Charlie_Creek!N$10/1000+Archer!N$10/1000</f>
        <v>98.309899435961768</v>
      </c>
      <c r="L15" s="16">
        <f>Hamilton!O$10/1000+Columbia!O$10/1000+Lake_Placid!O$10/1000+Trenton!O$10/1000+Debary!O$10/1000+Santa_Fe!O$10/1000+Twin_Rivers!O$10/1000+Duette!O$10/1000+Charlie_Creek!O$10/1000+Archer!O$10/1000</f>
        <v>95.755033583931194</v>
      </c>
      <c r="M15" s="16">
        <f>Hamilton!P$10/1000+Columbia!P$10/1000+Lake_Placid!P$10/1000+Trenton!P$10/1000+Debary!P$10/1000+Santa_Fe!P$10/1000+Twin_Rivers!P$10/1000+Duette!P$10/1000+Charlie_Creek!P$10/1000+Archer!P$10/1000</f>
        <v>93.237225357173344</v>
      </c>
      <c r="N15" s="16">
        <f>Hamilton!Q$10/1000+Columbia!Q$10/1000+Lake_Placid!Q$10/1000+Trenton!Q$10/1000+Debary!Q$10/1000+Santa_Fe!Q$10/1000+Twin_Rivers!Q$10/1000+Duette!Q$10/1000+Charlie_Creek!Q$10/1000+Archer!Q$10/1000</f>
        <v>90.726054168103147</v>
      </c>
      <c r="O15" s="16">
        <f>Hamilton!R$10/1000+Columbia!R$10/1000+Lake_Placid!R$10/1000+Trenton!R$10/1000+Debary!R$10/1000+Santa_Fe!R$10/1000+Twin_Rivers!R$10/1000+Duette!R$10/1000+Charlie_Creek!R$10/1000+Archer!R$10/1000</f>
        <v>88.301601526088845</v>
      </c>
      <c r="P15" s="16">
        <f>Hamilton!S$10/1000+Columbia!S$10/1000+Lake_Placid!S$10/1000+Trenton!S$10/1000+Debary!S$10/1000+Santa_Fe!S$10/1000+Twin_Rivers!S$10/1000+Duette!S$10/1000+Charlie_Creek!S$10/1000+Archer!S$10/1000</f>
        <v>85.76397260337508</v>
      </c>
      <c r="Q15" s="16">
        <f>Hamilton!T$10/1000+Columbia!T$10/1000+Lake_Placid!T$10/1000+Trenton!T$10/1000+Debary!T$10/1000+Santa_Fe!T$10/1000+Twin_Rivers!T$10/1000+Duette!T$10/1000+Charlie_Creek!T$10/1000+Archer!T$10/1000</f>
        <v>83.238224479776378</v>
      </c>
      <c r="R15" s="16">
        <f>Hamilton!U$10/1000+Columbia!U$10/1000+Lake_Placid!U$10/1000+Trenton!U$10/1000+Debary!U$10/1000+Santa_Fe!U$10/1000+Twin_Rivers!U$10/1000+Duette!U$10/1000+Charlie_Creek!U$10/1000+Archer!U$10/1000</f>
        <v>80.598791337134827</v>
      </c>
      <c r="S15" s="16">
        <f>Hamilton!V$10/1000+Columbia!V$10/1000+Lake_Placid!V$10/1000+Trenton!V$10/1000+Debary!V$10/1000+Santa_Fe!V$10/1000+Twin_Rivers!V$10/1000+Duette!V$10/1000+Charlie_Creek!V$10/1000+Archer!V$10/1000</f>
        <v>78.071339778696768</v>
      </c>
      <c r="T15" s="16">
        <f>Hamilton!W$10/1000+Columbia!W$10/1000+Lake_Placid!W$10/1000+Trenton!W$10/1000+Debary!W$10/1000+Santa_Fe!W$10/1000+Twin_Rivers!W$10/1000+Duette!W$10/1000+Charlie_Creek!W$10/1000+Archer!W$10/1000</f>
        <v>78.09258300930594</v>
      </c>
      <c r="U15" s="16">
        <f>Hamilton!X$10/1000+Columbia!X$10/1000+Lake_Placid!X$10/1000+Trenton!X$10/1000+Debary!X$10/1000+Santa_Fe!X$10/1000+Twin_Rivers!X$10/1000+Duette!X$10/1000+Charlie_Creek!X$10/1000+Archer!X$10/1000</f>
        <v>77.049132064444734</v>
      </c>
      <c r="V15" s="16">
        <f>Hamilton!Y$10/1000+Columbia!Y$10/1000+Lake_Placid!Y$10/1000+Trenton!Y$10/1000+Debary!Y$10/1000+Santa_Fe!Y$10/1000+Twin_Rivers!Y$10/1000+Duette!Y$10/1000+Charlie_Creek!Y$10/1000+Archer!Y$10/1000</f>
        <v>74.343785062889211</v>
      </c>
      <c r="W15" s="16">
        <f>Hamilton!Z$10/1000+Columbia!Z$10/1000+Lake_Placid!Z$10/1000+Trenton!Z$10/1000+Debary!Z$10/1000+Santa_Fe!Z$10/1000+Twin_Rivers!Z$10/1000+Duette!Z$10/1000+Charlie_Creek!Z$10/1000+Archer!Z$10/1000</f>
        <v>71.700748538238017</v>
      </c>
      <c r="X15" s="16">
        <f>Hamilton!AA$10/1000+Columbia!AA$10/1000+Lake_Placid!AA$10/1000+Trenton!AA$10/1000+Debary!AA$10/1000+Santa_Fe!AA$10/1000+Twin_Rivers!AA$10/1000+Duette!AA$10/1000+Charlie_Creek!AA$10/1000+Archer!AA$10/1000</f>
        <v>69.274426053501713</v>
      </c>
      <c r="Y15" s="16">
        <f>Hamilton!AB$10/1000+Columbia!AB$10/1000+Lake_Placid!AB$10/1000+Trenton!AB$10/1000+Debary!AB$10/1000+Santa_Fe!AB$10/1000+Twin_Rivers!AB$10/1000+Duette!AB$10/1000+Charlie_Creek!AB$10/1000+Archer!AB$10/1000</f>
        <v>66.777509599182792</v>
      </c>
      <c r="Z15" s="16">
        <f>Hamilton!AC$10/1000+Columbia!AC$10/1000+Lake_Placid!AC$10/1000+Trenton!AC$10/1000+Debary!AC$10/1000+Santa_Fe!AC$10/1000+Twin_Rivers!AC$10/1000+Duette!AC$10/1000+Charlie_Creek!AC$10/1000+Archer!AC$10/1000</f>
        <v>64.511486072982294</v>
      </c>
      <c r="AA15" s="16">
        <f>Hamilton!AD$10/1000+Columbia!AD$10/1000+Lake_Placid!AD$10/1000+Trenton!AD$10/1000+Debary!AD$10/1000+Santa_Fe!AD$10/1000+Twin_Rivers!AD$10/1000+Duette!AD$10/1000+Charlie_Creek!AD$10/1000+Archer!AD$10/1000</f>
        <v>62.123479086747679</v>
      </c>
      <c r="AB15" s="16">
        <f>Hamilton!AE$10/1000+Columbia!AE$10/1000+Lake_Placid!AE$10/1000+Trenton!AE$10/1000+Debary!AE$10/1000+Santa_Fe!AE$10/1000+Twin_Rivers!AE$10/1000+Duette!AE$10/1000+Charlie_Creek!AE$10/1000+Archer!AE$10/1000</f>
        <v>59.912845166921755</v>
      </c>
      <c r="AC15" s="16">
        <f>Hamilton!AF$10/1000+Columbia!AF$10/1000+Lake_Placid!AF$10/1000+Trenton!AF$10/1000+Debary!AF$10/1000+Santa_Fe!AF$10/1000+Twin_Rivers!AF$10/1000+Duette!AF$10/1000+Charlie_Creek!AF$10/1000+Archer!AF$10/1000</f>
        <v>57.650395769136487</v>
      </c>
      <c r="AD15" s="16">
        <f>Hamilton!AG$10/1000+Columbia!AG$10/1000+Lake_Placid!AG$10/1000+Trenton!AG$10/1000+Debary!AG$10/1000+Santa_Fe!AG$10/1000+Twin_Rivers!AG$10/1000+Duette!AG$10/1000+Charlie_Creek!AG$10/1000+Archer!AG$10/1000</f>
        <v>57.703514450685773</v>
      </c>
      <c r="AE15" s="16">
        <f>Hamilton!AH$10/1000+Columbia!AH$10/1000+Lake_Placid!AH$10/1000+Trenton!AH$10/1000+Debary!AH$10/1000+Santa_Fe!AH$10/1000+Twin_Rivers!AH$10/1000+Duette!AH$10/1000+Charlie_Creek!AH$10/1000+Archer!AH$10/1000</f>
        <v>52.145094362648948</v>
      </c>
      <c r="AF15" s="16">
        <f>Hamilton!AI$10/1000+Columbia!AI$10/1000+Lake_Placid!AI$10/1000+Trenton!AI$10/1000+Debary!AI$10/1000+Santa_Fe!AI$10/1000+Twin_Rivers!AI$10/1000+Duette!AI$10/1000+Charlie_Creek!AI$10/1000+Archer!AI$10/1000</f>
        <v>37.078414464395848</v>
      </c>
      <c r="AG15" s="16">
        <f>Hamilton!AJ$10/1000+Columbia!AJ$10/1000+Lake_Placid!AJ$10/1000+Trenton!AJ$10/1000+Debary!AJ$10/1000+Santa_Fe!AJ$10/1000+Twin_Rivers!AJ$10/1000+Duette!AJ$10/1000+Charlie_Creek!AJ$10/1000+Archer!AJ$10/1000</f>
        <v>21.622436034797943</v>
      </c>
      <c r="AH15" s="16">
        <f>Hamilton!AK$10/1000+Columbia!AK$10/1000+Lake_Placid!AK$10/1000+Trenton!AK$10/1000+Debary!AK$10/1000+Santa_Fe!AK$10/1000+Twin_Rivers!AK$10/1000+Duette!AK$10/1000+Charlie_Creek!AK$10/1000+Archer!AK$10/1000</f>
        <v>3.3113138854625253</v>
      </c>
      <c r="AI15" s="16">
        <f>Hamilton!AL$10/1000+Columbia!AL$10/1000+Lake_Placid!AL$10/1000+Trenton!AL$10/1000+Debary!AL$10/1000+Santa_Fe!AL$10/1000+Twin_Rivers!AL$10/1000+Duette!AL$10/1000+Charlie_Creek!AL$10/1000+Archer!AL$10/1000</f>
        <v>3.1867270656465223</v>
      </c>
      <c r="AJ15" s="16"/>
    </row>
    <row r="16" spans="1:36">
      <c r="A16" s="6" t="s">
        <v>135</v>
      </c>
      <c r="B16" s="16">
        <f>CEC_2022!E$10/1000+CEC_2023!E$10/1000+CEC_2024!E$10/1000</f>
        <v>0</v>
      </c>
      <c r="C16" s="16">
        <f>CEC_2022!F$10/1000+CEC_2023!F$10/1000+CEC_2024!F$10/1000</f>
        <v>0</v>
      </c>
      <c r="D16" s="16">
        <f>CEC_2022!G$10/1000+CEC_2023!G$10/1000+CEC_2024!G$10/1000</f>
        <v>30.858064131033437</v>
      </c>
      <c r="E16" s="16">
        <f>CEC_2022!H$10/1000+CEC_2023!H$10/1000+CEC_2024!H$10/1000</f>
        <v>87.07123900568844</v>
      </c>
      <c r="F16" s="16">
        <f>CEC_2022!I$10/1000+CEC_2023!I$10/1000+CEC_2024!I$10/1000</f>
        <v>138.32148483336081</v>
      </c>
      <c r="G16" s="16">
        <f>CEC_2022!J$10/1000+CEC_2023!J$10/1000+CEC_2024!J$10/1000</f>
        <v>131.34102763355375</v>
      </c>
      <c r="H16" s="16">
        <f>CEC_2022!K$10/1000+CEC_2023!K$10/1000+CEC_2024!K$10/1000</f>
        <v>125.32829334309196</v>
      </c>
      <c r="I16" s="16">
        <f>CEC_2022!L$10/1000+CEC_2023!L$10/1000+CEC_2024!L$10/1000</f>
        <v>112.37313136938053</v>
      </c>
      <c r="J16" s="16">
        <f>CEC_2022!M$10/1000+CEC_2023!M$10/1000+CEC_2024!M$10/1000</f>
        <v>108.5565089486837</v>
      </c>
      <c r="K16" s="16">
        <f>CEC_2022!N$10/1000+CEC_2023!N$10/1000+CEC_2024!N$10/1000</f>
        <v>105.48973259473424</v>
      </c>
      <c r="L16" s="16">
        <f>CEC_2022!O$10/1000+CEC_2023!O$10/1000+CEC_2024!O$10/1000</f>
        <v>102.87656792502673</v>
      </c>
      <c r="M16" s="16">
        <f>CEC_2022!P$10/1000+CEC_2023!P$10/1000+CEC_2024!P$10/1000</f>
        <v>100.51289638557827</v>
      </c>
      <c r="N16" s="16">
        <f>CEC_2022!Q$10/1000+CEC_2023!Q$10/1000+CEC_2024!Q$10/1000</f>
        <v>98.179378177042935</v>
      </c>
      <c r="O16" s="16">
        <f>CEC_2022!R$10/1000+CEC_2023!R$10/1000+CEC_2024!R$10/1000</f>
        <v>95.847943420614058</v>
      </c>
      <c r="P16" s="16">
        <f>CEC_2022!S$10/1000+CEC_2023!S$10/1000+CEC_2024!S$10/1000</f>
        <v>93.474328160646081</v>
      </c>
      <c r="Q16" s="16">
        <f>CEC_2022!T$10/1000+CEC_2023!T$10/1000+CEC_2024!T$10/1000</f>
        <v>91.186331074785173</v>
      </c>
      <c r="R16" s="16">
        <f>CEC_2022!U$10/1000+CEC_2023!U$10/1000+CEC_2024!U$10/1000</f>
        <v>88.936995255073953</v>
      </c>
      <c r="S16" s="16">
        <f>CEC_2022!V$10/1000+CEC_2023!V$10/1000+CEC_2024!V$10/1000</f>
        <v>86.647567246409736</v>
      </c>
      <c r="T16" s="16">
        <f>CEC_2022!W$10/1000+CEC_2023!W$10/1000+CEC_2024!W$10/1000</f>
        <v>90.572619755463975</v>
      </c>
      <c r="U16" s="16">
        <f>CEC_2022!X$10/1000+CEC_2023!X$10/1000+CEC_2024!X$10/1000</f>
        <v>87.77172842682694</v>
      </c>
      <c r="V16" s="16">
        <f>CEC_2022!Y$10/1000+CEC_2023!Y$10/1000+CEC_2024!Y$10/1000</f>
        <v>84.961956356760751</v>
      </c>
      <c r="W16" s="16">
        <f>CEC_2022!Z$10/1000+CEC_2023!Z$10/1000+CEC_2024!Z$10/1000</f>
        <v>82.175389106315691</v>
      </c>
      <c r="X16" s="16">
        <f>CEC_2022!AA$10/1000+CEC_2023!AA$10/1000+CEC_2024!AA$10/1000</f>
        <v>79.628352339490078</v>
      </c>
      <c r="Y16" s="16">
        <f>CEC_2022!AB$10/1000+CEC_2023!AB$10/1000+CEC_2024!AB$10/1000</f>
        <v>77.276014548631224</v>
      </c>
      <c r="Z16" s="16">
        <f>CEC_2022!AC$10/1000+CEC_2023!AC$10/1000+CEC_2024!AC$10/1000</f>
        <v>75.020683560031301</v>
      </c>
      <c r="AA16" s="16">
        <f>CEC_2022!AD$10/1000+CEC_2023!AD$10/1000+CEC_2024!AD$10/1000</f>
        <v>72.691083602545405</v>
      </c>
      <c r="AB16" s="16">
        <f>CEC_2022!AE$10/1000+CEC_2023!AE$10/1000+CEC_2024!AE$10/1000</f>
        <v>70.559218554413519</v>
      </c>
      <c r="AC16" s="119">
        <f>CEC_2022!AF$10/1000+CEC_2023!AF$10/1000+CEC_2024!AF$10/1000</f>
        <v>68.396619754674475</v>
      </c>
      <c r="AD16" s="211">
        <f>CEC_2022!AG$10/1000+CEC_2023!AG$10/1000+CEC_2024!AG$10/1000</f>
        <v>66.331776922346066</v>
      </c>
      <c r="AE16" s="16">
        <f>CEC_2022!AH$10/1000+CEC_2023!AH$10/1000+CEC_2024!AH$10/1000</f>
        <v>64.19727863392194</v>
      </c>
      <c r="AF16" s="16">
        <f>CEC_2022!AI$10/1000+CEC_2023!AI$10/1000+CEC_2024!AI$10/1000</f>
        <v>62.201468047298263</v>
      </c>
      <c r="AG16" s="16">
        <f>CEC_2022!AJ$10/1000+CEC_2023!AJ$10/1000+CEC_2024!AJ$10/1000</f>
        <v>63.884043803646705</v>
      </c>
      <c r="AH16" s="16">
        <f>CEC_2022!AK$10/1000+CEC_2023!AK$10/1000+CEC_2024!AK$10/1000</f>
        <v>54.391358551299618</v>
      </c>
      <c r="AI16" s="16">
        <f>CEC_2022!AL$10/1000+CEC_2023!AL$10/1000+CEC_2024!AL$10/1000</f>
        <v>31.274000020948147</v>
      </c>
      <c r="AJ16" s="16"/>
    </row>
    <row r="17" spans="1:36">
      <c r="A17" s="6" t="s">
        <v>60</v>
      </c>
      <c r="B17" s="16">
        <f>('[9]2019Fall_GenCap_CEC'!F$18+'[9]2019Fall_TrCap_CEC'!F$18)/1000</f>
        <v>0</v>
      </c>
      <c r="C17" s="16">
        <f>('[9]2019Fall_GenCap_CEC'!G$18+'[9]2019Fall_TrCap_CEC'!G$18)/1000</f>
        <v>0</v>
      </c>
      <c r="D17" s="16">
        <f>('[9]2019Fall_GenCap_CEC'!H$18+'[9]2019Fall_TrCap_CEC'!H$18)/1000</f>
        <v>0</v>
      </c>
      <c r="E17" s="16">
        <f>('[9]2019Fall_GenCap_CEC'!I$18+'[9]2019Fall_TrCap_CEC'!I$18)/1000</f>
        <v>0</v>
      </c>
      <c r="F17" s="16">
        <f>('[9]2019Fall_GenCap_CEC'!J$18+'[9]2019Fall_TrCap_CEC'!J$18)/1000</f>
        <v>0</v>
      </c>
      <c r="G17" s="16">
        <f>('[9]2019Fall_GenCap_CEC'!K$18+'[9]2019Fall_TrCap_CEC'!K$18)/1000</f>
        <v>0</v>
      </c>
      <c r="H17" s="16">
        <f>('[9]2019Fall_GenCap_CEC'!L$18+'[9]2019Fall_TrCap_CEC'!L$18)/1000</f>
        <v>0</v>
      </c>
      <c r="I17" s="16">
        <f>('[9]2019Fall_GenCap_CEC'!M$18+'[9]2019Fall_TrCap_CEC'!M$18)/1000</f>
        <v>10.717088725236454</v>
      </c>
      <c r="J17" s="16">
        <f>('[9]2019Fall_GenCap_CEC'!N$18+'[9]2019Fall_TrCap_CEC'!N$18)/1000</f>
        <v>17.959547413565073</v>
      </c>
      <c r="K17" s="16">
        <f>('[9]2019Fall_GenCap_CEC'!O$18+'[9]2019Fall_TrCap_CEC'!O$18)/1000</f>
        <v>28.426197298172987</v>
      </c>
      <c r="L17" s="16">
        <f>('[9]2019Fall_GenCap_CEC'!P$18+'[9]2019Fall_TrCap_CEC'!P$18)/1000</f>
        <v>35.349131023784736</v>
      </c>
      <c r="M17" s="16">
        <f>('[9]2019Fall_GenCap_CEC'!Q$18+'[9]2019Fall_TrCap_CEC'!Q$18)/1000</f>
        <v>45.609703397646946</v>
      </c>
      <c r="N17" s="16">
        <f>('[9]2019Fall_GenCap_CEC'!R$18+'[9]2019Fall_TrCap_CEC'!R$18)/1000</f>
        <v>52.25059957758593</v>
      </c>
      <c r="O17" s="16">
        <f>('[9]2019Fall_GenCap_CEC'!S$18+'[9]2019Fall_TrCap_CEC'!S$18)/1000</f>
        <v>62.337251153803344</v>
      </c>
      <c r="P17" s="16">
        <f>('[9]2019Fall_GenCap_CEC'!T$18+'[9]2019Fall_TrCap_CEC'!T$18)/1000</f>
        <v>220.53245388590415</v>
      </c>
      <c r="Q17" s="16">
        <f>('[9]2019Fall_GenCap_CEC'!U$18+'[9]2019Fall_TrCap_CEC'!U$18)/1000</f>
        <v>595.43948985906695</v>
      </c>
      <c r="R17" s="16">
        <f>('[9]2019Fall_GenCap_CEC'!V$18+'[9]2019Fall_TrCap_CEC'!V$18)/1000</f>
        <v>593.12059107695052</v>
      </c>
      <c r="S17" s="16">
        <f>('[9]2019Fall_GenCap_CEC'!W$18+'[9]2019Fall_TrCap_CEC'!W$18)/1000</f>
        <v>586.65164650587258</v>
      </c>
      <c r="T17" s="16">
        <f>('[9]2019Fall_GenCap_CEC'!X$18+'[9]2019Fall_TrCap_CEC'!X$18)/1000</f>
        <v>598.76565343349125</v>
      </c>
      <c r="U17" s="16">
        <f>('[9]2019Fall_GenCap_CEC'!Y$18+'[9]2019Fall_TrCap_CEC'!Y$18)/1000</f>
        <v>601.98359496079456</v>
      </c>
      <c r="V17" s="16">
        <f>('[9]2019Fall_GenCap_CEC'!Z$18+'[9]2019Fall_TrCap_CEC'!Z$18)/1000</f>
        <v>599.40726094203774</v>
      </c>
      <c r="W17" s="16">
        <f>('[9]2019Fall_GenCap_CEC'!AA$18+'[9]2019Fall_TrCap_CEC'!AA$18)/1000</f>
        <v>592.36935434195368</v>
      </c>
      <c r="X17" s="16">
        <f>('[9]2019Fall_GenCap_CEC'!AB$18+'[9]2019Fall_TrCap_CEC'!AB$18)/1000</f>
        <v>700.97138623819478</v>
      </c>
      <c r="Y17" s="16">
        <f>('[9]2019Fall_GenCap_CEC'!AC$18+'[9]2019Fall_TrCap_CEC'!AC$18)/1000</f>
        <v>1069.9554472113034</v>
      </c>
      <c r="Z17" s="16">
        <f>('[9]2019Fall_GenCap_CEC'!AD$18+'[9]2019Fall_TrCap_CEC'!AD$18)/1000</f>
        <v>1070.2115206873427</v>
      </c>
      <c r="AA17" s="16">
        <f>('[9]2019Fall_GenCap_CEC'!AE$18+'[9]2019Fall_TrCap_CEC'!AE$18)/1000</f>
        <v>1076.4119586696049</v>
      </c>
      <c r="AB17" s="16">
        <f>('[9]2019Fall_GenCap_CEC'!AF$18+'[9]2019Fall_TrCap_CEC'!AF$18)/1000</f>
        <v>1071.3146354060393</v>
      </c>
      <c r="AC17" s="119">
        <f>('[9]2019Fall_GenCap_CEC'!AG$18+'[9]2019Fall_TrCap_CEC'!AG$18)/1000</f>
        <v>1050.1288810293786</v>
      </c>
      <c r="AD17" s="211">
        <f>('[9]2019Fall_GenCap_CEC'!AH$18+'[9]2019Fall_TrCap_CEC'!AH$18)/1000</f>
        <v>1017.8352062078461</v>
      </c>
      <c r="AE17" s="16">
        <f>('[9]2019Fall_GenCap_CEC'!AI$18+'[9]2019Fall_TrCap_CEC'!AI$18)/1000</f>
        <v>986.0632405886804</v>
      </c>
      <c r="AF17" s="16">
        <f>('[9]2019Fall_GenCap_CEC'!AJ$18+'[9]2019Fall_TrCap_CEC'!AJ$18)/1000</f>
        <v>954.82001763246592</v>
      </c>
      <c r="AG17" s="16">
        <f>('[9]2019Fall_GenCap_CEC'!AK$18+'[9]2019Fall_TrCap_CEC'!AK$18)/1000</f>
        <v>923.86918947753918</v>
      </c>
      <c r="AH17" s="16">
        <f>('[9]2019Fall_GenCap_CEC'!AL$18+'[9]2019Fall_TrCap_CEC'!AL$18)/1000</f>
        <v>893.07617967486317</v>
      </c>
      <c r="AI17" s="16">
        <f>('[9]2019Fall_GenCap_CEC'!AM$18+'[9]2019Fall_TrCap_CEC'!AM$18)/1000</f>
        <v>862.47077369399312</v>
      </c>
      <c r="AJ17" s="23"/>
    </row>
    <row r="18" spans="1:36">
      <c r="A18" s="6" t="s">
        <v>68</v>
      </c>
      <c r="B18" s="16">
        <f>'[15]FOM Cost'!C$150/1000-SUM('[15]FOM Cost'!C$132:C$136)/1000</f>
        <v>445.38108</v>
      </c>
      <c r="C18" s="16">
        <f>'[15]FOM Cost'!D$150/1000-SUM('[15]FOM Cost'!D$132:D$136)/1000</f>
        <v>433.15770000000009</v>
      </c>
      <c r="D18" s="16">
        <f>'[15]FOM Cost'!E$150/1000-SUM('[15]FOM Cost'!E$132:E$136)/1000</f>
        <v>436.09264999999999</v>
      </c>
      <c r="E18" s="16">
        <f>'[15]FOM Cost'!F$150/1000-SUM('[15]FOM Cost'!F$132:F$136)/1000</f>
        <v>456.05954000000003</v>
      </c>
      <c r="F18" s="16">
        <f>'[15]FOM Cost'!G$150/1000-SUM('[15]FOM Cost'!G$132:G$136)/1000</f>
        <v>300.44051999999994</v>
      </c>
      <c r="G18" s="16">
        <f>'[15]FOM Cost'!H$150/1000-SUM('[15]FOM Cost'!H$132:H$136)/1000</f>
        <v>147.85321999999999</v>
      </c>
      <c r="H18" s="16">
        <f>'[15]FOM Cost'!I$150/1000-SUM('[15]FOM Cost'!I$132:I$136)/1000</f>
        <v>57.67533000000001</v>
      </c>
      <c r="I18" s="16">
        <f>'[15]FOM Cost'!J$150/1000-SUM('[15]FOM Cost'!J$132:J$136)/1000</f>
        <v>32.548740000000002</v>
      </c>
      <c r="J18" s="16">
        <f>'[15]FOM Cost'!K$150/1000-SUM('[15]FOM Cost'!K$132:K$136)/1000</f>
        <v>21.031479999999995</v>
      </c>
      <c r="K18" s="16">
        <f>'[15]FOM Cost'!L$150/1000-SUM('[15]FOM Cost'!L$132:L$136)/1000</f>
        <v>21.5931</v>
      </c>
      <c r="L18" s="16">
        <f>'[15]FOM Cost'!M$150/1000-SUM('[15]FOM Cost'!M$132:M$136)/1000</f>
        <v>22.107350000000007</v>
      </c>
      <c r="M18" s="16">
        <f>'[15]FOM Cost'!N$150/1000-SUM('[15]FOM Cost'!N$132:N$136)/1000</f>
        <v>22.752160000000003</v>
      </c>
      <c r="N18" s="16">
        <f>'[15]FOM Cost'!O$150/1000-SUM('[15]FOM Cost'!O$132:O$136)/1000</f>
        <v>23.31391</v>
      </c>
      <c r="O18" s="16">
        <f>'[15]FOM Cost'!P$150/1000-SUM('[15]FOM Cost'!P$132:P$136)/1000</f>
        <v>23.962970000000002</v>
      </c>
      <c r="P18" s="16">
        <f>'[15]FOM Cost'!Q$150/1000-SUM('[15]FOM Cost'!Q$132:Q$136)/1000</f>
        <v>30.484359999999999</v>
      </c>
      <c r="Q18" s="16">
        <f>'[15]FOM Cost'!R$150/1000-SUM('[15]FOM Cost'!R$132:R$136)/1000</f>
        <v>35.443780000000004</v>
      </c>
      <c r="R18" s="16">
        <f>'[15]FOM Cost'!S$150/1000-SUM('[15]FOM Cost'!S$132:S$136)/1000</f>
        <v>36.695809999999994</v>
      </c>
      <c r="S18" s="16">
        <f>'[15]FOM Cost'!T$150/1000-SUM('[15]FOM Cost'!T$132:T$136)/1000</f>
        <v>37.877529999999993</v>
      </c>
      <c r="T18" s="16">
        <f>'[15]FOM Cost'!U$150/1000-SUM('[15]FOM Cost'!U$132:U$136)/1000</f>
        <v>40.024909999999991</v>
      </c>
      <c r="U18" s="16">
        <f>'[15]FOM Cost'!V$150/1000-SUM('[15]FOM Cost'!V$132:V$136)/1000</f>
        <v>41.85933</v>
      </c>
      <c r="V18" s="16">
        <f>'[15]FOM Cost'!W$150/1000-SUM('[15]FOM Cost'!W$132:W$136)/1000</f>
        <v>43.490149999999993</v>
      </c>
      <c r="W18" s="16">
        <f>'[15]FOM Cost'!X$150/1000-SUM('[15]FOM Cost'!X$132:X$136)/1000</f>
        <v>44.870599999999996</v>
      </c>
      <c r="X18" s="16">
        <f>'[15]FOM Cost'!Y$150/1000-SUM('[15]FOM Cost'!Y$132:Y$136)/1000</f>
        <v>51.411669999999987</v>
      </c>
      <c r="Y18" s="16">
        <f>'[15]FOM Cost'!Z$150/1000-SUM('[15]FOM Cost'!Z$132:Z$136)/1000</f>
        <v>56.647639999999996</v>
      </c>
      <c r="Z18" s="16">
        <f>'[15]FOM Cost'!AA$150/1000-SUM('[15]FOM Cost'!AA$132:AA$136)/1000</f>
        <v>59.53315000000002</v>
      </c>
      <c r="AA18" s="16">
        <f>'[15]FOM Cost'!AB$150/1000-SUM('[15]FOM Cost'!AB$132:AB$136)/1000</f>
        <v>62.423000000000002</v>
      </c>
      <c r="AB18" s="16">
        <f>'[15]FOM Cost'!AC$150/1000-SUM('[15]FOM Cost'!AC$132:AC$136)/1000</f>
        <v>64.432090000000002</v>
      </c>
      <c r="AC18" s="16">
        <f>'[15]FOM Cost'!AD$150/1000-SUM('[15]FOM Cost'!AD$132:AD$136)/1000</f>
        <v>66.444210000000012</v>
      </c>
      <c r="AD18" s="16">
        <f>'[15]FOM Cost'!AE$150/1000-SUM('[15]FOM Cost'!AE$132:AE$136)/1000</f>
        <v>67.917249999999996</v>
      </c>
      <c r="AE18" s="16">
        <f>'[15]FOM Cost'!AF$150/1000-SUM('[15]FOM Cost'!AF$132:AF$136)/1000</f>
        <v>66.928879999999992</v>
      </c>
      <c r="AF18" s="16">
        <f>'[15]FOM Cost'!AG$150/1000-SUM('[15]FOM Cost'!AG$132:AG$136)/1000</f>
        <v>62.784119999999987</v>
      </c>
      <c r="AG18" s="16">
        <f>'[15]FOM Cost'!AH$150/1000-SUM('[15]FOM Cost'!AH$132:AH$136)/1000</f>
        <v>58.970110000000005</v>
      </c>
      <c r="AH18" s="16">
        <f>'[15]FOM Cost'!AI$150/1000-SUM('[15]FOM Cost'!AI$132:AI$136)/1000</f>
        <v>56.748150000000003</v>
      </c>
      <c r="AI18" s="16">
        <f>'[15]FOM Cost'!AJ$150/1000-SUM('[15]FOM Cost'!AJ$132:AJ$136)/1000</f>
        <v>57.936389999999996</v>
      </c>
      <c r="AJ18" s="16"/>
    </row>
    <row r="19" spans="1:36">
      <c r="A19" s="6" t="s">
        <v>67</v>
      </c>
      <c r="B19" s="16">
        <f>[15]System!B$13/1000</f>
        <v>390.67816000000005</v>
      </c>
      <c r="C19" s="16">
        <f>[15]System!C$13/1000</f>
        <v>384.87225999999998</v>
      </c>
      <c r="D19" s="16">
        <f>[15]System!D$13/1000</f>
        <v>381.80251999999996</v>
      </c>
      <c r="E19" s="16">
        <f>[15]System!E$13/1000</f>
        <v>381.80251999999996</v>
      </c>
      <c r="F19" s="16">
        <f>[15]System!F$13/1000</f>
        <v>382.80076000000003</v>
      </c>
      <c r="G19" s="16">
        <f>[15]System!G$13/1000</f>
        <v>381.80250999999998</v>
      </c>
      <c r="H19" s="16">
        <f>[15]System!H$13/1000</f>
        <v>381.80251999999996</v>
      </c>
      <c r="I19" s="16">
        <f>[15]System!I$13/1000</f>
        <v>381.80250999999998</v>
      </c>
      <c r="J19" s="16">
        <f>[15]System!J$13/1000</f>
        <v>382.80076000000003</v>
      </c>
      <c r="K19" s="16">
        <f>[15]System!K$13/1000</f>
        <v>381.80251999999996</v>
      </c>
      <c r="L19" s="16">
        <f>[15]System!L$13/1000</f>
        <v>381.80251999999996</v>
      </c>
      <c r="M19" s="16">
        <f>[15]System!M$13/1000</f>
        <v>381.80250999999998</v>
      </c>
      <c r="N19" s="16">
        <f>[15]System!N$13/1000</f>
        <v>382.80076000000003</v>
      </c>
      <c r="O19" s="16">
        <f>[15]System!O$13/1000</f>
        <v>381.80251999999996</v>
      </c>
      <c r="P19" s="16">
        <f>[15]System!P$13/1000</f>
        <v>462.23568999999998</v>
      </c>
      <c r="Q19" s="16">
        <f>[15]System!Q$13/1000</f>
        <v>521.52251999999999</v>
      </c>
      <c r="R19" s="16">
        <f>[15]System!R$13/1000</f>
        <v>535.07578999999998</v>
      </c>
      <c r="S19" s="16">
        <f>[15]System!S$13/1000</f>
        <v>544.75670000000002</v>
      </c>
      <c r="T19" s="16">
        <f>[15]System!T$13/1000</f>
        <v>573.23550999999998</v>
      </c>
      <c r="U19" s="16">
        <f>[15]System!U$13/1000</f>
        <v>593.57750999999996</v>
      </c>
      <c r="V19" s="16">
        <f>[15]System!V$13/1000</f>
        <v>608.53778</v>
      </c>
      <c r="W19" s="16">
        <f>[15]System!W$13/1000</f>
        <v>619.22370000000012</v>
      </c>
      <c r="X19" s="16">
        <f>[15]System!X$13/1000</f>
        <v>696.61036000000013</v>
      </c>
      <c r="Y19" s="16">
        <f>[15]System!Y$13/1000</f>
        <v>751.95618000000002</v>
      </c>
      <c r="Z19" s="16">
        <f>[15]System!Z$13/1000</f>
        <v>784.98285999999996</v>
      </c>
      <c r="AA19" s="16">
        <f>[15]System!AA$13/1000</f>
        <v>825.49950000000001</v>
      </c>
      <c r="AB19" s="16">
        <f>[15]System!AB$13/1000</f>
        <v>854.93898999999999</v>
      </c>
      <c r="AC19" s="119">
        <f>[15]System!AC$13/1000</f>
        <v>867.33136000000002</v>
      </c>
      <c r="AD19" s="211">
        <f>[15]System!AD$13/1000</f>
        <v>867.33136000000002</v>
      </c>
      <c r="AE19" s="16">
        <f>[15]System!AE$13/1000</f>
        <v>867.33136000000002</v>
      </c>
      <c r="AF19" s="16">
        <f>[15]System!AF$13/1000</f>
        <v>867.33136000000002</v>
      </c>
      <c r="AG19" s="16">
        <f>[15]System!AG$13/1000</f>
        <v>867.33136000000002</v>
      </c>
      <c r="AH19" s="16">
        <f>[15]System!AH$13/1000</f>
        <v>867.33136000000002</v>
      </c>
      <c r="AI19" s="16">
        <f>[15]System!AI$13/1000</f>
        <v>867.33136000000002</v>
      </c>
      <c r="AJ19" s="16"/>
    </row>
    <row r="20" spans="1:36">
      <c r="A20" s="6" t="s">
        <v>383</v>
      </c>
      <c r="B20" s="16">
        <f>'Program Admin Budget'!C105/1000000</f>
        <v>0</v>
      </c>
      <c r="C20" s="16">
        <f>'Program Admin Budget'!D105/1000000</f>
        <v>1.0200790961866668</v>
      </c>
      <c r="D20" s="16">
        <f>'Program Admin Budget'!E105/1000000</f>
        <v>0.6275365374466666</v>
      </c>
      <c r="E20" s="16">
        <f>'Program Admin Budget'!F105/1000000</f>
        <v>0.68307619099066674</v>
      </c>
      <c r="F20" s="16">
        <f>'Program Admin Budget'!G105/1000000</f>
        <v>0.67471288001039997</v>
      </c>
      <c r="G20" s="16">
        <f>'Program Admin Budget'!H105/1000000</f>
        <v>0.65619743327906666</v>
      </c>
      <c r="H20" s="16">
        <f>'Program Admin Budget'!I105/1000000</f>
        <v>0.51050195073344673</v>
      </c>
      <c r="I20" s="16">
        <f>'Program Admin Budget'!J105/1000000</f>
        <v>0.56509226722358352</v>
      </c>
      <c r="J20" s="16">
        <f>'Program Admin Budget'!K105/1000000</f>
        <v>0.52413609409135764</v>
      </c>
      <c r="K20" s="16">
        <f>'Program Admin Budget'!L105/1000000</f>
        <v>0.54544233186889834</v>
      </c>
      <c r="L20" s="16">
        <f>'Program Admin Budget'!M105/1000000</f>
        <v>0.58902085979309859</v>
      </c>
      <c r="M20" s="16">
        <f>'Program Admin Budget'!N105/1000000</f>
        <v>0.37240217849023277</v>
      </c>
      <c r="N20" s="16">
        <f>'Program Admin Budget'!O105/1000000</f>
        <v>0.3688563987997398</v>
      </c>
      <c r="O20" s="16">
        <f>'Program Admin Budget'!P105/1000000</f>
        <v>0.42743734873186529</v>
      </c>
      <c r="P20" s="16">
        <f>'Program Admin Budget'!Q105/1000000</f>
        <v>0.38235152804488787</v>
      </c>
      <c r="Q20" s="16">
        <f>'Program Admin Budget'!R105/1000000</f>
        <v>0.3994042288410346</v>
      </c>
      <c r="R20" s="16">
        <f>'Program Admin Budget'!S105/1000000</f>
        <v>0.43860161367439893</v>
      </c>
      <c r="S20" s="16">
        <f>'Program Admin Budget'!T105/1000000</f>
        <v>0.4141507209356976</v>
      </c>
      <c r="T20" s="16">
        <f>'Program Admin Budget'!U105/1000000</f>
        <v>0.41185739751856848</v>
      </c>
      <c r="U20" s="16">
        <f>'Program Admin Budget'!V105/1000000</f>
        <v>0.47172837741225887</v>
      </c>
      <c r="V20" s="16">
        <f>'Program Admin Budget'!W105/1000000</f>
        <v>0.42797128758569336</v>
      </c>
      <c r="W20" s="16">
        <f>'Program Admin Budget'!X105/1000000</f>
        <v>0.44639258116806418</v>
      </c>
      <c r="X20" s="16">
        <f>'Program Admin Budget'!Y105/1000000</f>
        <v>0.48699961657123941</v>
      </c>
      <c r="Y20" s="16">
        <f>'Program Admin Budget'!Z105/1000000</f>
        <v>0.46400066391944333</v>
      </c>
      <c r="Z20" s="16">
        <f>'Program Admin Budget'!AA105/1000000</f>
        <v>0.46320283879182667</v>
      </c>
      <c r="AA20" s="16">
        <f>'Program Admin Budget'!AB105/1000000</f>
        <v>0.52461418192371467</v>
      </c>
      <c r="AB20" s="16">
        <f>'Program Admin Budget'!AC105/1000000</f>
        <v>0.44572711472582627</v>
      </c>
      <c r="AC20" s="16">
        <f>'Program Admin Budget'!AD105/1000000</f>
        <v>0.48078257966760096</v>
      </c>
      <c r="AD20" s="16">
        <f>'Program Admin Budget'!AE105/1000000</f>
        <v>0.4661397085576291</v>
      </c>
      <c r="AE20" s="16">
        <f>'Program Admin Budget'!AF105/1000000</f>
        <v>0.49780755131435794</v>
      </c>
      <c r="AF20" s="16">
        <f>'Program Admin Budget'!AG105/1000000</f>
        <v>0.48779542935378872</v>
      </c>
      <c r="AG20" s="16">
        <f>'Program Admin Budget'!AH105/1000000</f>
        <v>0.52411294373440231</v>
      </c>
      <c r="AH20" s="16">
        <f>'Program Admin Budget'!AI105/1000000</f>
        <v>0.49316099354643445</v>
      </c>
      <c r="AI20" s="16">
        <f>'Program Admin Budget'!AJ105/1000000</f>
        <v>0.49494976455282746</v>
      </c>
      <c r="AJ20" s="16"/>
    </row>
    <row r="21" spans="1:36">
      <c r="A21" s="6" t="s">
        <v>65</v>
      </c>
      <c r="B21" s="16">
        <f>'[15]Fuel Cost'!C$150/1000</f>
        <v>849.92173000000025</v>
      </c>
      <c r="C21" s="16">
        <f>'[15]Fuel Cost'!D$150/1000</f>
        <v>858.9526599999997</v>
      </c>
      <c r="D21" s="16">
        <f>'[15]Fuel Cost'!E$150/1000</f>
        <v>875.40310000000011</v>
      </c>
      <c r="E21" s="16">
        <f>'[15]Fuel Cost'!F$150/1000</f>
        <v>877.48711999999989</v>
      </c>
      <c r="F21" s="16">
        <f>'[15]Fuel Cost'!G$150/1000</f>
        <v>854.37751000000026</v>
      </c>
      <c r="G21" s="16">
        <f>'[15]Fuel Cost'!H$150/1000</f>
        <v>889.0572699999999</v>
      </c>
      <c r="H21" s="16">
        <f>'[15]Fuel Cost'!I$150/1000</f>
        <v>946.75601999999992</v>
      </c>
      <c r="I21" s="16">
        <f>'[15]Fuel Cost'!J$150/1000</f>
        <v>1049.0637699999997</v>
      </c>
      <c r="J21" s="16">
        <f>'[15]Fuel Cost'!K$150/1000</f>
        <v>1170.0501799999997</v>
      </c>
      <c r="K21" s="16">
        <f>'[15]Fuel Cost'!L$150/1000</f>
        <v>1249.9281000000003</v>
      </c>
      <c r="L21" s="16">
        <f>'[15]Fuel Cost'!M$150/1000</f>
        <v>1329.0107100000002</v>
      </c>
      <c r="M21" s="16">
        <f>'[15]Fuel Cost'!N$150/1000</f>
        <v>1396.8649600000003</v>
      </c>
      <c r="N21" s="16">
        <f>'[15]Fuel Cost'!O$150/1000</f>
        <v>1455.4158300000001</v>
      </c>
      <c r="O21" s="16">
        <f>'[15]Fuel Cost'!P$150/1000</f>
        <v>1461.4665899999995</v>
      </c>
      <c r="P21" s="16">
        <f>'[15]Fuel Cost'!Q$150/1000</f>
        <v>1464.7655300000001</v>
      </c>
      <c r="Q21" s="16">
        <f>'[15]Fuel Cost'!R$150/1000</f>
        <v>1513.2298499999999</v>
      </c>
      <c r="R21" s="16">
        <f>'[15]Fuel Cost'!S$150/1000</f>
        <v>1535.6411499999997</v>
      </c>
      <c r="S21" s="16">
        <f>'[15]Fuel Cost'!T$150/1000</f>
        <v>1655.6506299999999</v>
      </c>
      <c r="T21" s="16">
        <f>'[15]Fuel Cost'!U$150/1000</f>
        <v>1748.6980399999998</v>
      </c>
      <c r="U21" s="16">
        <f>'[15]Fuel Cost'!V$150/1000</f>
        <v>1807.9159800000002</v>
      </c>
      <c r="V21" s="16">
        <f>'[15]Fuel Cost'!W$150/1000</f>
        <v>1879.52548</v>
      </c>
      <c r="W21" s="16">
        <f>'[15]Fuel Cost'!X$150/1000</f>
        <v>1977.0675100000001</v>
      </c>
      <c r="X21" s="16">
        <f>'[15]Fuel Cost'!Y$150/1000</f>
        <v>2009.0538399999998</v>
      </c>
      <c r="Y21" s="16">
        <f>'[15]Fuel Cost'!Z$150/1000</f>
        <v>2032.2168299999998</v>
      </c>
      <c r="Z21" s="16">
        <f>'[15]Fuel Cost'!AA$150/1000</f>
        <v>2137.9070100000008</v>
      </c>
      <c r="AA21" s="16">
        <f>'[15]Fuel Cost'!AB$150/1000</f>
        <v>2253.6585900000005</v>
      </c>
      <c r="AB21" s="16">
        <f>'[15]Fuel Cost'!AC$150/1000</f>
        <v>2362.1632899999995</v>
      </c>
      <c r="AC21" s="119">
        <f>'[15]Fuel Cost'!AD$150/1000</f>
        <v>2390.1862300000003</v>
      </c>
      <c r="AD21" s="211">
        <f>'[15]Fuel Cost'!AE$150/1000</f>
        <v>2447.2315100000001</v>
      </c>
      <c r="AE21" s="16">
        <f>'[15]Fuel Cost'!AF$150/1000</f>
        <v>2446.2949900000008</v>
      </c>
      <c r="AF21" s="16">
        <f>'[15]Fuel Cost'!AG$150/1000</f>
        <v>2497.9657599999996</v>
      </c>
      <c r="AG21" s="16">
        <f>'[15]Fuel Cost'!AH$150/1000</f>
        <v>2579.97073</v>
      </c>
      <c r="AH21" s="16">
        <f>'[15]Fuel Cost'!AI$150/1000</f>
        <v>2684.2277799999993</v>
      </c>
      <c r="AI21" s="16">
        <f>'[15]Fuel Cost'!AJ$150/1000</f>
        <v>2775.7763399999999</v>
      </c>
      <c r="AJ21" s="16"/>
    </row>
    <row r="22" spans="1:36">
      <c r="A22" s="6" t="s">
        <v>52</v>
      </c>
      <c r="B22" s="16">
        <f>('[15]Start Cost'!C$150+'[15]VOM Cost'!C$150)/1000+([15]System!B$7+[15]System!B$9)/1000</f>
        <v>86.065400000000025</v>
      </c>
      <c r="C22" s="16">
        <f>('[15]Start Cost'!D$150+'[15]VOM Cost'!D$150)/1000+([15]System!C$7+[15]System!C$9)/1000</f>
        <v>91.136569999999992</v>
      </c>
      <c r="D22" s="16">
        <f>('[15]Start Cost'!E$150+'[15]VOM Cost'!E$150)/1000+([15]System!D$7+[15]System!D$9)/1000</f>
        <v>97.623649999999984</v>
      </c>
      <c r="E22" s="16">
        <f>('[15]Start Cost'!F$150+'[15]VOM Cost'!F$150)/1000+([15]System!E$7+[15]System!E$9)/1000</f>
        <v>102.73019999999997</v>
      </c>
      <c r="F22" s="16">
        <f>('[15]Start Cost'!G$150+'[15]VOM Cost'!G$150)/1000+([15]System!F$7+[15]System!F$9)/1000</f>
        <v>111.13624</v>
      </c>
      <c r="G22" s="16">
        <f>('[15]Start Cost'!H$150+'[15]VOM Cost'!H$150)/1000+([15]System!G$7+[15]System!G$9)/1000</f>
        <v>124.26027000000002</v>
      </c>
      <c r="H22" s="16">
        <f>('[15]Start Cost'!I$150+'[15]VOM Cost'!I$150)/1000+([15]System!H$7+[15]System!H$9)/1000</f>
        <v>146.86616999999998</v>
      </c>
      <c r="I22" s="16">
        <f>('[15]Start Cost'!J$150+'[15]VOM Cost'!J$150)/1000+([15]System!I$7+[15]System!I$9)/1000</f>
        <v>166.49915000000004</v>
      </c>
      <c r="J22" s="16">
        <f>('[15]Start Cost'!K$150+'[15]VOM Cost'!K$150)/1000+([15]System!J$7+[15]System!J$9)/1000</f>
        <v>189.11359000000002</v>
      </c>
      <c r="K22" s="16">
        <f>('[15]Start Cost'!L$150+'[15]VOM Cost'!L$150)/1000+([15]System!K$7+[15]System!K$9)/1000</f>
        <v>203.79173999999998</v>
      </c>
      <c r="L22" s="16">
        <f>('[15]Start Cost'!M$150+'[15]VOM Cost'!M$150)/1000+([15]System!L$7+[15]System!L$9)/1000</f>
        <v>226.39364</v>
      </c>
      <c r="M22" s="16">
        <f>('[15]Start Cost'!N$150+'[15]VOM Cost'!N$150)/1000+([15]System!M$7+[15]System!M$9)/1000</f>
        <v>248.44514000000001</v>
      </c>
      <c r="N22" s="16">
        <f>('[15]Start Cost'!O$150+'[15]VOM Cost'!O$150)/1000+([15]System!N$7+[15]System!N$9)/1000</f>
        <v>260.16890000000006</v>
      </c>
      <c r="O22" s="16">
        <f>('[15]Start Cost'!P$150+'[15]VOM Cost'!P$150)/1000+([15]System!O$7+[15]System!O$9)/1000</f>
        <v>279.30847</v>
      </c>
      <c r="P22" s="16">
        <f>('[15]Start Cost'!Q$150+'[15]VOM Cost'!Q$150)/1000+([15]System!P$7+[15]System!P$9)/1000</f>
        <v>282.33940000000001</v>
      </c>
      <c r="Q22" s="16">
        <f>('[15]Start Cost'!R$150+'[15]VOM Cost'!R$150)/1000+([15]System!Q$7+[15]System!Q$9)/1000</f>
        <v>295.68863000000005</v>
      </c>
      <c r="R22" s="16">
        <f>('[15]Start Cost'!S$150+'[15]VOM Cost'!S$150)/1000+([15]System!R$7+[15]System!R$9)/1000</f>
        <v>315.60726</v>
      </c>
      <c r="S22" s="16">
        <f>('[15]Start Cost'!T$150+'[15]VOM Cost'!T$150)/1000+([15]System!S$7+[15]System!S$9)/1000</f>
        <v>355.48406999999997</v>
      </c>
      <c r="T22" s="16">
        <f>('[15]Start Cost'!U$150+'[15]VOM Cost'!U$150)/1000+([15]System!T$7+[15]System!T$9)/1000</f>
        <v>373.59166000000005</v>
      </c>
      <c r="U22" s="16">
        <f>('[15]Start Cost'!V$150+'[15]VOM Cost'!V$150)/1000+([15]System!U$7+[15]System!U$9)/1000</f>
        <v>413.93878999999998</v>
      </c>
      <c r="V22" s="16">
        <f>('[15]Start Cost'!W$150+'[15]VOM Cost'!W$150)/1000+([15]System!V$7+[15]System!V$9)/1000</f>
        <v>421.81304</v>
      </c>
      <c r="W22" s="16">
        <f>('[15]Start Cost'!X$150+'[15]VOM Cost'!X$150)/1000+([15]System!W$7+[15]System!W$9)/1000</f>
        <v>448.09451000000001</v>
      </c>
      <c r="X22" s="16">
        <f>('[15]Start Cost'!Y$150+'[15]VOM Cost'!Y$150)/1000+([15]System!X$7+[15]System!X$9)/1000</f>
        <v>455.13594000000001</v>
      </c>
      <c r="Y22" s="16">
        <f>('[15]Start Cost'!Z$150+'[15]VOM Cost'!Z$150)/1000+([15]System!Y$7+[15]System!Y$9)/1000</f>
        <v>475.95527999999996</v>
      </c>
      <c r="Z22" s="16">
        <f>('[15]Start Cost'!AA$150+'[15]VOM Cost'!AA$150)/1000+([15]System!Z$7+[15]System!Z$9)/1000</f>
        <v>491.06394</v>
      </c>
      <c r="AA22" s="16">
        <f>('[15]Start Cost'!AB$150+'[15]VOM Cost'!AB$150)/1000+([15]System!AA$7+[15]System!AA$9)/1000</f>
        <v>519.05396000000007</v>
      </c>
      <c r="AB22" s="16">
        <f>('[15]Start Cost'!AC$150+'[15]VOM Cost'!AC$150)/1000+([15]System!AB$7+[15]System!AB$9)/1000</f>
        <v>535.78972999999985</v>
      </c>
      <c r="AC22" s="119">
        <f>('[15]Start Cost'!AD$150+'[15]VOM Cost'!AD$150)/1000+([15]System!AC$7+[15]System!AC$9)/1000</f>
        <v>565.03336000000002</v>
      </c>
      <c r="AD22" s="211">
        <f>('[15]Start Cost'!AE$150+'[15]VOM Cost'!AE$150)/1000+([15]System!AD$7+[15]System!AD$9)/1000</f>
        <v>581.91125</v>
      </c>
      <c r="AE22" s="16">
        <f>('[15]Start Cost'!AF$150+'[15]VOM Cost'!AF$150)/1000+([15]System!AE$7+[15]System!AE$9)/1000</f>
        <v>604.73492999999996</v>
      </c>
      <c r="AF22" s="16">
        <f>('[15]Start Cost'!AG$150+'[15]VOM Cost'!AG$150)/1000+([15]System!AF$7+[15]System!AF$9)/1000</f>
        <v>623.50132000000008</v>
      </c>
      <c r="AG22" s="16">
        <f>('[15]Start Cost'!AH$150+'[15]VOM Cost'!AH$150)/1000+([15]System!AG$7+[15]System!AG$9)/1000</f>
        <v>668.50979000000007</v>
      </c>
      <c r="AH22" s="16">
        <f>('[15]Start Cost'!AI$150+'[15]VOM Cost'!AI$150)/1000+([15]System!AH$7+[15]System!AH$9)/1000</f>
        <v>670.40060999999992</v>
      </c>
      <c r="AI22" s="16">
        <f>('[15]Start Cost'!AJ$150+'[15]VOM Cost'!AJ$150)/1000+([15]System!AI$7+[15]System!AI$9)/1000</f>
        <v>701.60929999999996</v>
      </c>
      <c r="AJ22" s="16"/>
    </row>
    <row r="23" spans="1:36">
      <c r="A23" s="36" t="s">
        <v>66</v>
      </c>
      <c r="B23" s="119">
        <f>('[15]Reagent Cost'!C$150+'[15]SO2 Cost'!C$150+'[15]NOx Cost'!C$150+'[15]Lime Cost'!C$150)/1000</f>
        <v>6.2323630999999988</v>
      </c>
      <c r="C23" s="119">
        <f>('[15]Reagent Cost'!D$150+'[15]SO2 Cost'!D$150+'[15]NOx Cost'!D$150+'[15]Lime Cost'!D$150)/1000</f>
        <v>6.4714030000000013</v>
      </c>
      <c r="D23" s="119">
        <f>('[15]Reagent Cost'!E$150+'[15]SO2 Cost'!E$150+'[15]NOx Cost'!E$150+'[15]Lime Cost'!E$150)/1000</f>
        <v>6.3032668000000003</v>
      </c>
      <c r="E23" s="119">
        <f>('[15]Reagent Cost'!F$150+'[15]SO2 Cost'!F$150+'[15]NOx Cost'!F$150+'[15]Lime Cost'!F$150)/1000</f>
        <v>5.6610033000000017</v>
      </c>
      <c r="F23" s="119">
        <f>('[15]Reagent Cost'!G$150+'[15]SO2 Cost'!G$150+'[15]NOx Cost'!G$150+'[15]Lime Cost'!G$150)/1000</f>
        <v>5.4379036000000003</v>
      </c>
      <c r="G23" s="119">
        <f>('[15]Reagent Cost'!H$150+'[15]SO2 Cost'!H$150+'[15]NOx Cost'!H$150+'[15]Lime Cost'!H$150)/1000</f>
        <v>5.6149666999999992</v>
      </c>
      <c r="H23" s="119">
        <f>('[15]Reagent Cost'!I$150+'[15]SO2 Cost'!I$150+'[15]NOx Cost'!I$150+'[15]Lime Cost'!I$150)/1000</f>
        <v>5.6499841999999996</v>
      </c>
      <c r="I23" s="119">
        <f>('[15]Reagent Cost'!J$150+'[15]SO2 Cost'!J$150+'[15]NOx Cost'!J$150+'[15]Lime Cost'!J$150)/1000</f>
        <v>5.8943753999999995</v>
      </c>
      <c r="J23" s="119">
        <f>('[15]Reagent Cost'!K$150+'[15]SO2 Cost'!K$150+'[15]NOx Cost'!K$150+'[15]Lime Cost'!K$150)/1000</f>
        <v>6.4760521999999998</v>
      </c>
      <c r="K23" s="119">
        <f>('[15]Reagent Cost'!L$150+'[15]SO2 Cost'!L$150+'[15]NOx Cost'!L$150+'[15]Lime Cost'!L$150)/1000</f>
        <v>6.3993642999999993</v>
      </c>
      <c r="L23" s="119">
        <f>('[15]Reagent Cost'!M$150+'[15]SO2 Cost'!M$150+'[15]NOx Cost'!M$150+'[15]Lime Cost'!M$150)/1000</f>
        <v>6.5394932000000008</v>
      </c>
      <c r="M23" s="119">
        <f>('[15]Reagent Cost'!N$150+'[15]SO2 Cost'!N$150+'[15]NOx Cost'!N$150+'[15]Lime Cost'!N$150)/1000</f>
        <v>6.3908213999999992</v>
      </c>
      <c r="N23" s="119">
        <f>('[15]Reagent Cost'!O$150+'[15]SO2 Cost'!O$150+'[15]NOx Cost'!O$150+'[15]Lime Cost'!O$150)/1000</f>
        <v>6.0207808999999992</v>
      </c>
      <c r="O23" s="119">
        <f>('[15]Reagent Cost'!P$150+'[15]SO2 Cost'!P$150+'[15]NOx Cost'!P$150+'[15]Lime Cost'!P$150)/1000</f>
        <v>5.7176304000000009</v>
      </c>
      <c r="P23" s="119">
        <f>('[15]Reagent Cost'!Q$150+'[15]SO2 Cost'!Q$150+'[15]NOx Cost'!Q$150+'[15]Lime Cost'!Q$150)/1000</f>
        <v>2.6974923999999998</v>
      </c>
      <c r="Q23" s="119">
        <f>('[15]Reagent Cost'!R$150+'[15]SO2 Cost'!R$150+'[15]NOx Cost'!R$150+'[15]Lime Cost'!R$150)/1000</f>
        <v>1.6811500000000001</v>
      </c>
      <c r="R23" s="119">
        <f>('[15]Reagent Cost'!S$150+'[15]SO2 Cost'!S$150+'[15]NOx Cost'!S$150+'[15]Lime Cost'!S$150)/1000</f>
        <v>1.6919000000000002</v>
      </c>
      <c r="S23" s="119">
        <f>('[15]Reagent Cost'!T$150+'[15]SO2 Cost'!T$150+'[15]NOx Cost'!T$150+'[15]Lime Cost'!T$150)/1000</f>
        <v>1.7122500000000003</v>
      </c>
      <c r="T23" s="119">
        <f>('[15]Reagent Cost'!U$150+'[15]SO2 Cost'!U$150+'[15]NOx Cost'!U$150+'[15]Lime Cost'!U$150)/1000</f>
        <v>1.7336100000000001</v>
      </c>
      <c r="U23" s="119">
        <f>('[15]Reagent Cost'!V$150+'[15]SO2 Cost'!V$150+'[15]NOx Cost'!V$150+'[15]Lime Cost'!V$150)/1000</f>
        <v>1.7512899999999998</v>
      </c>
      <c r="V23" s="119">
        <f>('[15]Reagent Cost'!W$150+'[15]SO2 Cost'!W$150+'[15]NOx Cost'!W$150+'[15]Lime Cost'!W$150)/1000</f>
        <v>1.7873500000000002</v>
      </c>
      <c r="W23" s="119">
        <f>('[15]Reagent Cost'!X$150+'[15]SO2 Cost'!X$150+'[15]NOx Cost'!X$150+'[15]Lime Cost'!X$150)/1000</f>
        <v>1.7992900000000003</v>
      </c>
      <c r="X23" s="119">
        <f>('[15]Reagent Cost'!Y$150+'[15]SO2 Cost'!Y$150+'[15]NOx Cost'!Y$150+'[15]Lime Cost'!Y$150)/1000</f>
        <v>1.7955699999999999</v>
      </c>
      <c r="Y23" s="119">
        <f>('[15]Reagent Cost'!Z$150+'[15]SO2 Cost'!Z$150+'[15]NOx Cost'!Z$150+'[15]Lime Cost'!Z$150)/1000</f>
        <v>1.82243</v>
      </c>
      <c r="Z23" s="119">
        <f>('[15]Reagent Cost'!AA$150+'[15]SO2 Cost'!AA$150+'[15]NOx Cost'!AA$150+'[15]Lime Cost'!AA$150)/1000</f>
        <v>1.8431900000000001</v>
      </c>
      <c r="AA23" s="119">
        <f>('[15]Reagent Cost'!AB$150+'[15]SO2 Cost'!AB$150+'[15]NOx Cost'!AB$150+'[15]Lime Cost'!AB$150)/1000</f>
        <v>1.85415</v>
      </c>
      <c r="AB23" s="119">
        <f>('[15]Reagent Cost'!AC$150+'[15]SO2 Cost'!AC$150+'[15]NOx Cost'!AC$150+'[15]Lime Cost'!AC$150)/1000</f>
        <v>1.8903699999999999</v>
      </c>
      <c r="AC23" s="119">
        <f>('[15]Reagent Cost'!AD$150+'[15]SO2 Cost'!AD$150+'[15]NOx Cost'!AD$150+'[15]Lime Cost'!AD$150)/1000</f>
        <v>1.88948</v>
      </c>
      <c r="AD23" s="211">
        <f>('[15]Reagent Cost'!AE$150+'[15]SO2 Cost'!AE$150+'[15]NOx Cost'!AE$150+'[15]Lime Cost'!AE$150)/1000</f>
        <v>1.9011300000000007</v>
      </c>
      <c r="AE23" s="119">
        <f>('[15]Reagent Cost'!AF$150+'[15]SO2 Cost'!AF$150+'[15]NOx Cost'!AF$150+'[15]Lime Cost'!AF$150)/1000</f>
        <v>1.9023399999999997</v>
      </c>
      <c r="AF23" s="119">
        <f>('[15]Reagent Cost'!AG$150+'[15]SO2 Cost'!AG$150+'[15]NOx Cost'!AG$150+'[15]Lime Cost'!AG$150)/1000</f>
        <v>1.9351700000000001</v>
      </c>
      <c r="AG23" s="119">
        <f>('[15]Reagent Cost'!AH$150+'[15]SO2 Cost'!AH$150+'[15]NOx Cost'!AH$150+'[15]Lime Cost'!AH$150)/1000</f>
        <v>1.9508000000000001</v>
      </c>
      <c r="AH23" s="119">
        <f>('[15]Reagent Cost'!AI$150+'[15]SO2 Cost'!AI$150+'[15]NOx Cost'!AI$150+'[15]Lime Cost'!AI$150)/1000</f>
        <v>1.99847</v>
      </c>
      <c r="AI23" s="119">
        <f>('[15]Reagent Cost'!AJ$150+'[15]SO2 Cost'!AJ$150+'[15]NOx Cost'!AJ$150+'[15]Lime Cost'!AJ$150)/1000</f>
        <v>2.0266800000000003</v>
      </c>
      <c r="AJ23" s="119"/>
    </row>
    <row r="24" spans="1:36">
      <c r="A24" s="12" t="s">
        <v>69</v>
      </c>
      <c r="B24" s="212">
        <f>+'[15]CO2 Cost'!C$150/1000</f>
        <v>0</v>
      </c>
      <c r="C24" s="212">
        <f>+'[15]CO2 Cost'!D$150/1000</f>
        <v>0</v>
      </c>
      <c r="D24" s="212">
        <f>+'[15]CO2 Cost'!E$150/1000</f>
        <v>0</v>
      </c>
      <c r="E24" s="212">
        <f>+'[15]CO2 Cost'!F$150/1000</f>
        <v>0</v>
      </c>
      <c r="F24" s="212">
        <f>+'[15]CO2 Cost'!G$150/1000</f>
        <v>0</v>
      </c>
      <c r="G24" s="212">
        <f>+'[15]CO2 Cost'!H$150/1000</f>
        <v>97.098460000000003</v>
      </c>
      <c r="H24" s="212">
        <f>+'[15]CO2 Cost'!I$150/1000</f>
        <v>174.77066000000002</v>
      </c>
      <c r="I24" s="212">
        <f>+'[15]CO2 Cost'!J$150/1000</f>
        <v>253.80520000000001</v>
      </c>
      <c r="J24" s="212">
        <f>+'[15]CO2 Cost'!K$150/1000</f>
        <v>338.85256999999996</v>
      </c>
      <c r="K24" s="212">
        <f>+'[15]CO2 Cost'!L$150/1000</f>
        <v>417.53146000000004</v>
      </c>
      <c r="L24" s="212">
        <f>+'[15]CO2 Cost'!M$150/1000</f>
        <v>502.73579000000012</v>
      </c>
      <c r="M24" s="212">
        <f>+'[15]CO2 Cost'!N$150/1000</f>
        <v>573.46752000000004</v>
      </c>
      <c r="N24" s="212">
        <f>+'[15]CO2 Cost'!O$150/1000</f>
        <v>653.22583999999995</v>
      </c>
      <c r="O24" s="212">
        <f>+'[15]CO2 Cost'!P$150/1000</f>
        <v>731.39949000000013</v>
      </c>
      <c r="P24" s="212">
        <f>+'[15]CO2 Cost'!Q$150/1000</f>
        <v>757.45136999999954</v>
      </c>
      <c r="Q24" s="212">
        <f>+'[15]CO2 Cost'!R$150/1000</f>
        <v>814.75410000000011</v>
      </c>
      <c r="R24" s="212">
        <f>+'[15]CO2 Cost'!S$150/1000</f>
        <v>993.40416999999991</v>
      </c>
      <c r="S24" s="212">
        <f>+'[15]CO2 Cost'!T$150/1000</f>
        <v>1170.6622800000002</v>
      </c>
      <c r="T24" s="212">
        <f>+'[15]CO2 Cost'!U$150/1000</f>
        <v>1352.6290600000002</v>
      </c>
      <c r="U24" s="212">
        <f>+'[15]CO2 Cost'!V$150/1000</f>
        <v>1546.48756</v>
      </c>
      <c r="V24" s="212">
        <f>+'[15]CO2 Cost'!W$150/1000</f>
        <v>1733.4216800000002</v>
      </c>
      <c r="W24" s="212">
        <f>+'[15]CO2 Cost'!X$150/1000</f>
        <v>1932.0435400000006</v>
      </c>
      <c r="X24" s="212">
        <f>+'[15]CO2 Cost'!Y$150/1000</f>
        <v>2081.4842400000007</v>
      </c>
      <c r="Y24" s="212">
        <f>+'[15]CO2 Cost'!Z$150/1000</f>
        <v>2252.41858</v>
      </c>
      <c r="Z24" s="212">
        <f>+'[15]CO2 Cost'!AA$150/1000</f>
        <v>2467.0618999999992</v>
      </c>
      <c r="AA24" s="212">
        <f>+'[15]CO2 Cost'!AB$150/1000</f>
        <v>2663.21326</v>
      </c>
      <c r="AB24" s="212">
        <f>+'[15]CO2 Cost'!AC$150/1000</f>
        <v>2878.7604999999999</v>
      </c>
      <c r="AC24" s="212">
        <f>+'[15]CO2 Cost'!AD$150/1000</f>
        <v>3054.4849799999997</v>
      </c>
      <c r="AD24" s="213">
        <f>+'[15]CO2 Cost'!AE$150/1000</f>
        <v>3247.8033200000004</v>
      </c>
      <c r="AE24" s="212">
        <f>+'[15]CO2 Cost'!AF$150/1000</f>
        <v>3421.3417400000012</v>
      </c>
      <c r="AF24" s="212">
        <f>+'[15]CO2 Cost'!AG$150/1000</f>
        <v>3645.4571100000007</v>
      </c>
      <c r="AG24" s="212">
        <f>+'[15]CO2 Cost'!AH$150/1000</f>
        <v>3853.58311</v>
      </c>
      <c r="AH24" s="212">
        <f>+'[15]CO2 Cost'!AI$150/1000</f>
        <v>4101.2019099999989</v>
      </c>
      <c r="AI24" s="212">
        <f>+'[15]CO2 Cost'!AJ$150/1000</f>
        <v>4325.5550899999998</v>
      </c>
      <c r="AJ24" s="212"/>
    </row>
    <row r="25" spans="1:36">
      <c r="A25" s="6" t="s">
        <v>61</v>
      </c>
      <c r="B25" s="15">
        <f t="shared" ref="B25:AG25" si="4">SUM(B15:B24)</f>
        <v>1843.5391832822065</v>
      </c>
      <c r="C25" s="15">
        <f t="shared" si="4"/>
        <v>1877.6912927908479</v>
      </c>
      <c r="D25" s="15">
        <f t="shared" si="4"/>
        <v>1968.8504365426438</v>
      </c>
      <c r="E25" s="15">
        <f t="shared" si="4"/>
        <v>2045.5350012858196</v>
      </c>
      <c r="F25" s="15">
        <f t="shared" si="4"/>
        <v>1921.8353255419554</v>
      </c>
      <c r="G25" s="15">
        <f t="shared" si="4"/>
        <v>1898.3319273940879</v>
      </c>
      <c r="H25" s="15">
        <f t="shared" si="4"/>
        <v>1945.9167610075979</v>
      </c>
      <c r="I25" s="15">
        <f t="shared" si="4"/>
        <v>2116.8356546592904</v>
      </c>
      <c r="J25" s="15">
        <f t="shared" si="4"/>
        <v>2336.1917026283299</v>
      </c>
      <c r="K25" s="15">
        <f t="shared" si="4"/>
        <v>2513.8175559607384</v>
      </c>
      <c r="L25" s="15">
        <f t="shared" si="4"/>
        <v>2703.1592565925362</v>
      </c>
      <c r="M25" s="15">
        <f t="shared" si="4"/>
        <v>2869.4553387188889</v>
      </c>
      <c r="N25" s="15">
        <f t="shared" si="4"/>
        <v>3022.4709092215321</v>
      </c>
      <c r="O25" s="15">
        <f t="shared" si="4"/>
        <v>3130.571903849238</v>
      </c>
      <c r="P25" s="15">
        <f t="shared" si="4"/>
        <v>3400.1269485779694</v>
      </c>
      <c r="Q25" s="15">
        <f t="shared" si="4"/>
        <v>3952.5834796424697</v>
      </c>
      <c r="R25" s="15">
        <f t="shared" si="4"/>
        <v>4181.211059282833</v>
      </c>
      <c r="S25" s="15">
        <f t="shared" si="4"/>
        <v>4517.9281642519154</v>
      </c>
      <c r="T25" s="15">
        <f t="shared" si="4"/>
        <v>4857.7555035957803</v>
      </c>
      <c r="U25" s="15">
        <f t="shared" si="4"/>
        <v>5172.8066438294791</v>
      </c>
      <c r="V25" s="15">
        <f t="shared" si="4"/>
        <v>5447.7164536492737</v>
      </c>
      <c r="W25" s="15">
        <f t="shared" si="4"/>
        <v>5769.7910345676755</v>
      </c>
      <c r="X25" s="15">
        <f t="shared" si="4"/>
        <v>6145.8527842477588</v>
      </c>
      <c r="Y25" s="15">
        <f t="shared" si="4"/>
        <v>6785.4899120230366</v>
      </c>
      <c r="Z25" s="15">
        <f t="shared" si="4"/>
        <v>7152.5989431591479</v>
      </c>
      <c r="AA25" s="15">
        <f t="shared" si="4"/>
        <v>7537.4535955408228</v>
      </c>
      <c r="AB25" s="15">
        <f t="shared" si="4"/>
        <v>7900.2073962421</v>
      </c>
      <c r="AC25" s="52">
        <f t="shared" si="4"/>
        <v>8122.0262991328582</v>
      </c>
      <c r="AD25" s="214">
        <f t="shared" si="4"/>
        <v>8356.4324572894366</v>
      </c>
      <c r="AE25" s="15">
        <f t="shared" si="4"/>
        <v>8511.437661136566</v>
      </c>
      <c r="AF25" s="15">
        <f t="shared" si="4"/>
        <v>8753.5625355735137</v>
      </c>
      <c r="AG25" s="15">
        <f t="shared" si="4"/>
        <v>9040.215682259719</v>
      </c>
      <c r="AH25" s="15">
        <f t="shared" ref="AH25:AI25" si="5">SUM(AH15:AH24)</f>
        <v>9333.1802931051698</v>
      </c>
      <c r="AI25" s="15">
        <f t="shared" si="5"/>
        <v>9627.6616105451394</v>
      </c>
      <c r="AJ25" s="15"/>
    </row>
    <row r="26" spans="1:36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19"/>
      <c r="AD26" s="211"/>
      <c r="AE26" s="16"/>
      <c r="AF26" s="16"/>
      <c r="AG26" s="16"/>
      <c r="AH26" s="16"/>
      <c r="AI26" s="16"/>
      <c r="AJ26" s="16"/>
    </row>
    <row r="27" spans="1:36">
      <c r="A27" s="6" t="s">
        <v>62</v>
      </c>
      <c r="AC27" s="36"/>
      <c r="AD27" s="215"/>
    </row>
    <row r="28" spans="1:36">
      <c r="A28" s="152" t="str">
        <f>A1</f>
        <v>SoBra 700MWs</v>
      </c>
      <c r="B28" s="152">
        <f>$B$1</f>
        <v>2020</v>
      </c>
      <c r="C28" s="152">
        <f t="shared" ref="C28:AI28" si="6">B28+1</f>
        <v>2021</v>
      </c>
      <c r="D28" s="152">
        <f t="shared" si="6"/>
        <v>2022</v>
      </c>
      <c r="E28" s="152">
        <f t="shared" si="6"/>
        <v>2023</v>
      </c>
      <c r="F28" s="152">
        <f t="shared" si="6"/>
        <v>2024</v>
      </c>
      <c r="G28" s="152">
        <f t="shared" si="6"/>
        <v>2025</v>
      </c>
      <c r="H28" s="152">
        <f t="shared" si="6"/>
        <v>2026</v>
      </c>
      <c r="I28" s="152">
        <f t="shared" si="6"/>
        <v>2027</v>
      </c>
      <c r="J28" s="152">
        <f t="shared" si="6"/>
        <v>2028</v>
      </c>
      <c r="K28" s="152">
        <f t="shared" si="6"/>
        <v>2029</v>
      </c>
      <c r="L28" s="152">
        <f t="shared" si="6"/>
        <v>2030</v>
      </c>
      <c r="M28" s="152">
        <f t="shared" si="6"/>
        <v>2031</v>
      </c>
      <c r="N28" s="152">
        <f t="shared" si="6"/>
        <v>2032</v>
      </c>
      <c r="O28" s="152">
        <f t="shared" si="6"/>
        <v>2033</v>
      </c>
      <c r="P28" s="152">
        <f t="shared" si="6"/>
        <v>2034</v>
      </c>
      <c r="Q28" s="152">
        <f t="shared" si="6"/>
        <v>2035</v>
      </c>
      <c r="R28" s="152">
        <f t="shared" si="6"/>
        <v>2036</v>
      </c>
      <c r="S28" s="152">
        <f t="shared" si="6"/>
        <v>2037</v>
      </c>
      <c r="T28" s="152">
        <f t="shared" si="6"/>
        <v>2038</v>
      </c>
      <c r="U28" s="152">
        <f t="shared" si="6"/>
        <v>2039</v>
      </c>
      <c r="V28" s="152">
        <f t="shared" si="6"/>
        <v>2040</v>
      </c>
      <c r="W28" s="152">
        <f t="shared" si="6"/>
        <v>2041</v>
      </c>
      <c r="X28" s="152">
        <f t="shared" si="6"/>
        <v>2042</v>
      </c>
      <c r="Y28" s="152">
        <f t="shared" si="6"/>
        <v>2043</v>
      </c>
      <c r="Z28" s="152">
        <f t="shared" si="6"/>
        <v>2044</v>
      </c>
      <c r="AA28" s="152">
        <f t="shared" si="6"/>
        <v>2045</v>
      </c>
      <c r="AB28" s="152">
        <f t="shared" si="6"/>
        <v>2046</v>
      </c>
      <c r="AC28" s="209">
        <f t="shared" si="6"/>
        <v>2047</v>
      </c>
      <c r="AD28" s="210">
        <f t="shared" si="6"/>
        <v>2048</v>
      </c>
      <c r="AE28" s="152">
        <f t="shared" si="6"/>
        <v>2049</v>
      </c>
      <c r="AF28" s="152">
        <f t="shared" si="6"/>
        <v>2050</v>
      </c>
      <c r="AG28" s="152">
        <f t="shared" si="6"/>
        <v>2051</v>
      </c>
      <c r="AH28" s="152">
        <f t="shared" si="6"/>
        <v>2052</v>
      </c>
      <c r="AI28" s="152">
        <f t="shared" si="6"/>
        <v>2053</v>
      </c>
      <c r="AJ28" s="152"/>
    </row>
    <row r="29" spans="1:36">
      <c r="A29" s="6" t="s">
        <v>134</v>
      </c>
      <c r="B29" s="119">
        <f>B2/(1+'Financial Information'!$B$5)^(B$28-$B$28)</f>
        <v>65.260450182206341</v>
      </c>
      <c r="C29" s="119">
        <f>C2/(1+'Financial Information'!$B$5)^(C$28-$B$28)</f>
        <v>95.670684812241348</v>
      </c>
      <c r="D29" s="119">
        <f>D2/(1+'Financial Information'!$B$5)^(D$28-$B$28)</f>
        <v>123.09266850550476</v>
      </c>
      <c r="E29" s="119">
        <f>E2/(1+'Financial Information'!$B$5)^(E$28-$B$28)</f>
        <v>110.3423278685908</v>
      </c>
      <c r="F29" s="119">
        <f>F2/(1+'Financial Information'!$B$5)^(F$28-$B$28)</f>
        <v>99.251999617653368</v>
      </c>
      <c r="G29" s="119">
        <f>G2/(1+'Financial Information'!$B$5)^(G$28-$B$28)</f>
        <v>87.236463254682732</v>
      </c>
      <c r="H29" s="119">
        <f>H2/(1+'Financial Information'!$B$5)^(H$28-$B$28)</f>
        <v>72.209878742626842</v>
      </c>
      <c r="I29" s="119">
        <f>I2/(1+'Financial Information'!$B$5)^(I$28-$B$28)</f>
        <v>65.776198490761217</v>
      </c>
      <c r="J29" s="119">
        <f>J2/(1+'Financial Information'!$B$5)^(J$28-$B$28)</f>
        <v>60.015159466469328</v>
      </c>
      <c r="K29" s="119">
        <f>K2/(1+'Financial Information'!$B$5)^(K$28-$B$28)</f>
        <v>54.842529437059518</v>
      </c>
      <c r="L29" s="119">
        <f>L2/(1+'Financial Information'!$B$5)^(L$28-$B$28)</f>
        <v>50.063063142283596</v>
      </c>
      <c r="M29" s="119">
        <f>M2/(1+'Financial Information'!$B$5)^(M$28-$B$28)</f>
        <v>45.685746667320686</v>
      </c>
      <c r="N29" s="119">
        <f>N2/(1+'Financial Information'!$B$5)^(N$28-$B$28)</f>
        <v>41.663810762062894</v>
      </c>
      <c r="O29" s="119">
        <f>O2/(1+'Financial Information'!$B$5)^(O$28-$B$28)</f>
        <v>38.004159133502633</v>
      </c>
      <c r="P29" s="119">
        <f>P2/(1+'Financial Information'!$B$5)^(P$28-$B$28)</f>
        <v>34.594178141826397</v>
      </c>
      <c r="Q29" s="119">
        <f>Q2/(1+'Financial Information'!$B$5)^(Q$28-$B$28)</f>
        <v>31.467085235523829</v>
      </c>
      <c r="R29" s="119">
        <f>R2/(1+'Financial Information'!$B$5)^(R$28-$B$28)</f>
        <v>28.556029265028624</v>
      </c>
      <c r="S29" s="119">
        <f>S2/(1+'Financial Information'!$B$5)^(S$28-$B$28)</f>
        <v>25.923671058538908</v>
      </c>
      <c r="T29" s="119">
        <f>T2/(1+'Financial Information'!$B$5)^(T$28-$B$28)</f>
        <v>24.302460071004031</v>
      </c>
      <c r="U29" s="119">
        <f>U2/(1+'Financial Information'!$B$5)^(U$28-$B$28)</f>
        <v>22.47210636589875</v>
      </c>
      <c r="V29" s="119">
        <f>V2/(1+'Financial Information'!$B$5)^(V$28-$B$28)</f>
        <v>20.321524261026781</v>
      </c>
      <c r="W29" s="119">
        <f>W2/(1+'Financial Information'!$B$5)^(W$28-$B$28)</f>
        <v>18.368381113610976</v>
      </c>
      <c r="X29" s="119">
        <f>X2/(1+'Financial Information'!$B$5)^(X$28-$B$28)</f>
        <v>16.632430176980964</v>
      </c>
      <c r="Y29" s="119">
        <f>Y2/(1+'Financial Information'!$B$5)^(Y$28-$B$28)</f>
        <v>15.026179470220866</v>
      </c>
      <c r="Z29" s="119">
        <f>Z2/(1+'Financial Information'!$B$5)^(Z$28-$B$28)</f>
        <v>13.604762985175954</v>
      </c>
      <c r="AA29" s="119">
        <f>AA2/(1+'Financial Information'!$B$5)^(AA$28-$B$28)</f>
        <v>12.278499130739975</v>
      </c>
      <c r="AB29" s="119">
        <f>AB2/(1+'Financial Information'!$B$5)^(AB$28-$B$28)</f>
        <v>11.098008139710984</v>
      </c>
      <c r="AC29" s="119">
        <f>AC2/(1+'Financial Information'!$B$5)^(AC$28-$B$28)</f>
        <v>10.008361154503485</v>
      </c>
      <c r="AD29" s="211">
        <f>AD2/(1+'Financial Information'!$B$5)^(AD$28-$B$28)</f>
        <v>9.3885499439786422</v>
      </c>
      <c r="AE29" s="119">
        <f>AE2/(1+'Financial Information'!$B$5)^(AE$28-$B$28)</f>
        <v>7.9514309956645066</v>
      </c>
      <c r="AF29" s="119">
        <f>AF2/(1+'Financial Information'!$B$5)^(AF$28-$B$28)</f>
        <v>5.2989347528844011</v>
      </c>
      <c r="AG29" s="119">
        <f>AG2/(1+'Financial Information'!$B$5)^(AG$28-$B$28)</f>
        <v>2.8960604241996695</v>
      </c>
      <c r="AH29" s="119">
        <f>AH2/(1+'Financial Information'!$B$5)^(AH$28-$B$28)</f>
        <v>0.41566066557171555</v>
      </c>
      <c r="AI29" s="119">
        <f>AI2/(1+'Financial Information'!$B$5)^(AI$28-$B$28)</f>
        <v>0.37490309689796597</v>
      </c>
      <c r="AJ29" s="119"/>
    </row>
    <row r="30" spans="1:36">
      <c r="A30" s="6" t="s">
        <v>135</v>
      </c>
      <c r="B30" s="119">
        <f>B3/(1+'Financial Information'!$B$5)^(B$28-$B$28)</f>
        <v>0</v>
      </c>
      <c r="C30" s="119">
        <f>C3/(1+'Financial Information'!$B$5)^(C$28-$B$28)</f>
        <v>0</v>
      </c>
      <c r="D30" s="119">
        <f>D3/(1+'Financial Information'!$B$5)^(D$28-$B$28)</f>
        <v>0</v>
      </c>
      <c r="E30" s="119">
        <f>E3/(1+'Financial Information'!$B$5)^(E$28-$B$28)</f>
        <v>0</v>
      </c>
      <c r="F30" s="119">
        <f>F3/(1+'Financial Information'!$B$5)^(F$28-$B$28)</f>
        <v>0</v>
      </c>
      <c r="G30" s="119">
        <f>G3/(1+'Financial Information'!$B$5)^(G$28-$B$28)</f>
        <v>0</v>
      </c>
      <c r="H30" s="119">
        <f>H3/(1+'Financial Information'!$B$5)^(H$28-$B$28)</f>
        <v>0</v>
      </c>
      <c r="I30" s="119">
        <f>I3/(1+'Financial Information'!$B$5)^(I$28-$B$28)</f>
        <v>0</v>
      </c>
      <c r="J30" s="119">
        <f>J3/(1+'Financial Information'!$B$5)^(J$28-$B$28)</f>
        <v>0</v>
      </c>
      <c r="K30" s="119">
        <f>K3/(1+'Financial Information'!$B$5)^(K$28-$B$28)</f>
        <v>0</v>
      </c>
      <c r="L30" s="119">
        <f>L3/(1+'Financial Information'!$B$5)^(L$28-$B$28)</f>
        <v>0</v>
      </c>
      <c r="M30" s="119">
        <f>M3/(1+'Financial Information'!$B$5)^(M$28-$B$28)</f>
        <v>0</v>
      </c>
      <c r="N30" s="119">
        <f>N3/(1+'Financial Information'!$B$5)^(N$28-$B$28)</f>
        <v>0</v>
      </c>
      <c r="O30" s="119">
        <f>O3/(1+'Financial Information'!$B$5)^(O$28-$B$28)</f>
        <v>0</v>
      </c>
      <c r="P30" s="119">
        <f>P3/(1+'Financial Information'!$B$5)^(P$28-$B$28)</f>
        <v>0</v>
      </c>
      <c r="Q30" s="119">
        <f>Q3/(1+'Financial Information'!$B$5)^(Q$28-$B$28)</f>
        <v>0</v>
      </c>
      <c r="R30" s="119">
        <f>R3/(1+'Financial Information'!$B$5)^(R$28-$B$28)</f>
        <v>0</v>
      </c>
      <c r="S30" s="119">
        <f>S3/(1+'Financial Information'!$B$5)^(S$28-$B$28)</f>
        <v>0</v>
      </c>
      <c r="T30" s="119">
        <f>T3/(1+'Financial Information'!$B$5)^(T$28-$B$28)</f>
        <v>0</v>
      </c>
      <c r="U30" s="119">
        <f>U3/(1+'Financial Information'!$B$5)^(U$28-$B$28)</f>
        <v>0</v>
      </c>
      <c r="V30" s="119">
        <f>V3/(1+'Financial Information'!$B$5)^(V$28-$B$28)</f>
        <v>0</v>
      </c>
      <c r="W30" s="119">
        <f>W3/(1+'Financial Information'!$B$5)^(W$28-$B$28)</f>
        <v>0</v>
      </c>
      <c r="X30" s="119">
        <f>X3/(1+'Financial Information'!$B$5)^(X$28-$B$28)</f>
        <v>0</v>
      </c>
      <c r="Y30" s="119">
        <f>Y3/(1+'Financial Information'!$B$5)^(Y$28-$B$28)</f>
        <v>0</v>
      </c>
      <c r="Z30" s="119">
        <f>Z3/(1+'Financial Information'!$B$5)^(Z$28-$B$28)</f>
        <v>0</v>
      </c>
      <c r="AA30" s="119">
        <f>AA3/(1+'Financial Information'!$B$5)^(AA$28-$B$28)</f>
        <v>0</v>
      </c>
      <c r="AB30" s="119">
        <f>AB3/(1+'Financial Information'!$B$5)^(AB$28-$B$28)</f>
        <v>0</v>
      </c>
      <c r="AC30" s="119">
        <f>AC3/(1+'Financial Information'!$B$5)^(AC$28-$B$28)</f>
        <v>0</v>
      </c>
      <c r="AD30" s="211">
        <f>AD3/(1+'Financial Information'!$B$5)^(AD$28-$B$28)</f>
        <v>0</v>
      </c>
      <c r="AE30" s="119">
        <f>AE3/(1+'Financial Information'!$B$5)^(AE$28-$B$28)</f>
        <v>0</v>
      </c>
      <c r="AF30" s="119">
        <f>AF3/(1+'Financial Information'!$B$5)^(AF$28-$B$28)</f>
        <v>0</v>
      </c>
      <c r="AG30" s="119">
        <f>AG3/(1+'Financial Information'!$B$5)^(AG$28-$B$28)</f>
        <v>0</v>
      </c>
      <c r="AH30" s="119">
        <f>AH3/(1+'Financial Information'!$B$5)^(AH$28-$B$28)</f>
        <v>0</v>
      </c>
      <c r="AI30" s="119">
        <f>AI3/(1+'Financial Information'!$B$5)^(AI$28-$B$28)</f>
        <v>0</v>
      </c>
      <c r="AJ30" s="119"/>
    </row>
    <row r="31" spans="1:36">
      <c r="A31" s="6" t="s">
        <v>60</v>
      </c>
      <c r="B31" s="119">
        <f>B4/(1+'Financial Information'!$B$5)^(B$28-$B$28)</f>
        <v>0</v>
      </c>
      <c r="C31" s="119">
        <f>C4/(1+'Financial Information'!$B$5)^(C$28-$B$28)</f>
        <v>0</v>
      </c>
      <c r="D31" s="119">
        <f>D4/(1+'Financial Information'!$B$5)^(D$28-$B$28)</f>
        <v>0</v>
      </c>
      <c r="E31" s="119">
        <f>E4/(1+'Financial Information'!$B$5)^(E$28-$B$28)</f>
        <v>0</v>
      </c>
      <c r="F31" s="119">
        <f>F4/(1+'Financial Information'!$B$5)^(F$28-$B$28)</f>
        <v>0</v>
      </c>
      <c r="G31" s="119">
        <f>G4/(1+'Financial Information'!$B$5)^(G$28-$B$28)</f>
        <v>0</v>
      </c>
      <c r="H31" s="119">
        <f>H4/(1+'Financial Information'!$B$5)^(H$28-$B$28)</f>
        <v>0</v>
      </c>
      <c r="I31" s="119">
        <f>I4/(1+'Financial Information'!$B$5)^(I$28-$B$28)</f>
        <v>13.613063986881086</v>
      </c>
      <c r="J31" s="119">
        <f>J4/(1+'Financial Information'!$B$5)^(J$28-$B$28)</f>
        <v>27.846798410091772</v>
      </c>
      <c r="K31" s="119">
        <f>K4/(1+'Financial Information'!$B$5)^(K$28-$B$28)</f>
        <v>29.584009376142056</v>
      </c>
      <c r="L31" s="119">
        <f>L4/(1+'Financial Information'!$B$5)^(L$28-$B$28)</f>
        <v>32.730251790246399</v>
      </c>
      <c r="M31" s="119">
        <f>M4/(1+'Financial Information'!$B$5)^(M$28-$B$28)</f>
        <v>33.628337637535516</v>
      </c>
      <c r="N31" s="119">
        <f>N4/(1+'Financial Information'!$B$5)^(N$28-$B$28)</f>
        <v>35.858541969391524</v>
      </c>
      <c r="O31" s="119">
        <f>O4/(1+'Financial Information'!$B$5)^(O$28-$B$28)</f>
        <v>36.110474556361773</v>
      </c>
      <c r="P31" s="119">
        <f>P4/(1+'Financial Information'!$B$5)^(P$28-$B$28)</f>
        <v>100.14706919915011</v>
      </c>
      <c r="Q31" s="119">
        <f>Q4/(1+'Financial Information'!$B$5)^(Q$28-$B$28)</f>
        <v>239.28582630580087</v>
      </c>
      <c r="R31" s="119">
        <f>R4/(1+'Financial Information'!$B$5)^(R$28-$B$28)</f>
        <v>218.15079009214753</v>
      </c>
      <c r="S31" s="119">
        <f>S4/(1+'Financial Information'!$B$5)^(S$28-$B$28)</f>
        <v>198.83918571103962</v>
      </c>
      <c r="T31" s="119">
        <f>T4/(1+'Financial Information'!$B$5)^(T$28-$B$28)</f>
        <v>194.40421924992015</v>
      </c>
      <c r="U31" s="119">
        <f>U4/(1+'Financial Information'!$B$5)^(U$28-$B$28)</f>
        <v>185.80480602979847</v>
      </c>
      <c r="V31" s="119">
        <f>V4/(1+'Financial Information'!$B$5)^(V$28-$B$28)</f>
        <v>173.11850990673699</v>
      </c>
      <c r="W31" s="119">
        <f>W4/(1+'Financial Information'!$B$5)^(W$28-$B$28)</f>
        <v>160.15390087077935</v>
      </c>
      <c r="X31" s="119">
        <f>X4/(1+'Financial Information'!$B$5)^(X$28-$B$28)</f>
        <v>175.91227519624456</v>
      </c>
      <c r="Y31" s="119">
        <f>Y4/(1+'Financial Information'!$B$5)^(Y$28-$B$28)</f>
        <v>247.68281617643171</v>
      </c>
      <c r="Z31" s="119">
        <f>Z4/(1+'Financial Information'!$B$5)^(Z$28-$B$28)</f>
        <v>232.00673822344856</v>
      </c>
      <c r="AA31" s="119">
        <f>AA4/(1+'Financial Information'!$B$5)^(AA$28-$B$28)</f>
        <v>218.49936085856561</v>
      </c>
      <c r="AB31" s="119">
        <f>AB4/(1+'Financial Information'!$B$5)^(AB$28-$B$28)</f>
        <v>200.75646174834162</v>
      </c>
      <c r="AC31" s="119">
        <f>AC4/(1+'Financial Information'!$B$5)^(AC$28-$B$28)</f>
        <v>182.47675849226567</v>
      </c>
      <c r="AD31" s="211">
        <f>AD4/(1+'Financial Information'!$B$5)^(AD$28-$B$28)</f>
        <v>165.76343508574203</v>
      </c>
      <c r="AE31" s="119">
        <f>AE4/(1+'Financial Information'!$B$5)^(AE$28-$B$28)</f>
        <v>150.50634559847177</v>
      </c>
      <c r="AF31" s="119">
        <f>AF4/(1+'Financial Information'!$B$5)^(AF$28-$B$28)</f>
        <v>136.59164798968851</v>
      </c>
      <c r="AG31" s="119">
        <f>AG4/(1+'Financial Information'!$B$5)^(AG$28-$B$28)</f>
        <v>123.86646728765164</v>
      </c>
      <c r="AH31" s="119">
        <f>AH4/(1+'Financial Information'!$B$5)^(AH$28-$B$28)</f>
        <v>112.20512367766493</v>
      </c>
      <c r="AI31" s="119">
        <f>AI4/(1+'Financial Information'!$B$5)^(AI$28-$B$28)</f>
        <v>101.541088314386</v>
      </c>
      <c r="AJ31" s="119"/>
    </row>
    <row r="32" spans="1:36">
      <c r="A32" s="6" t="s">
        <v>68</v>
      </c>
      <c r="B32" s="119">
        <f>B5/(1+'Financial Information'!$B$5)^(B$28-$B$28)</f>
        <v>445.38108</v>
      </c>
      <c r="C32" s="119">
        <f>C5/(1+'Financial Information'!$B$5)^(C$28-$B$28)</f>
        <v>405.95848172446119</v>
      </c>
      <c r="D32" s="119">
        <f>D5/(1+'Financial Information'!$B$5)^(D$28-$B$28)</f>
        <v>383.04511506040029</v>
      </c>
      <c r="E32" s="119">
        <f>E5/(1+'Financial Information'!$B$5)^(E$28-$B$28)</f>
        <v>375.42940625433778</v>
      </c>
      <c r="F32" s="119">
        <f>F5/(1+'Financial Information'!$B$5)^(F$28-$B$28)</f>
        <v>231.79327266520858</v>
      </c>
      <c r="G32" s="119">
        <f>G5/(1+'Financial Information'!$B$5)^(G$28-$B$28)</f>
        <v>106.90762708059815</v>
      </c>
      <c r="H32" s="119">
        <f>H5/(1+'Financial Information'!$B$5)^(H$28-$B$28)</f>
        <v>39.084411000131446</v>
      </c>
      <c r="I32" s="119">
        <f>I5/(1+'Financial Information'!$B$5)^(I$28-$B$28)</f>
        <v>20.835341523471872</v>
      </c>
      <c r="J32" s="119">
        <f>J5/(1+'Financial Information'!$B$5)^(J$28-$B$28)</f>
        <v>12.944378493575401</v>
      </c>
      <c r="K32" s="119">
        <f>K5/(1+'Financial Information'!$B$5)^(K$28-$B$28)</f>
        <v>12.411790313350483</v>
      </c>
      <c r="L32" s="119">
        <f>L5/(1+'Financial Information'!$B$5)^(L$28-$B$28)</f>
        <v>11.951220891629209</v>
      </c>
      <c r="M32" s="119">
        <f>M5/(1+'Financial Information'!$B$5)^(M$28-$B$28)</f>
        <v>11.486186360781383</v>
      </c>
      <c r="N32" s="119">
        <f>N5/(1+'Financial Information'!$B$5)^(N$28-$B$28)</f>
        <v>11.06899414661301</v>
      </c>
      <c r="O32" s="119">
        <f>O5/(1+'Financial Information'!$B$5)^(O$28-$B$28)</f>
        <v>10.625111673376081</v>
      </c>
      <c r="P32" s="119">
        <f>P5/(1+'Financial Information'!$B$5)^(P$28-$B$28)</f>
        <v>12.904966900026459</v>
      </c>
      <c r="Q32" s="119">
        <f>Q5/(1+'Financial Information'!$B$5)^(Q$28-$B$28)</f>
        <v>14.256337769808884</v>
      </c>
      <c r="R32" s="119">
        <f>R5/(1+'Financial Information'!$B$5)^(R$28-$B$28)</f>
        <v>13.584618611818369</v>
      </c>
      <c r="S32" s="119">
        <f>S5/(1+'Financial Information'!$B$5)^(S$28-$B$28)</f>
        <v>12.972839738109872</v>
      </c>
      <c r="T32" s="119">
        <f>T5/(1+'Financial Information'!$B$5)^(T$28-$B$28)</f>
        <v>13.057436430003779</v>
      </c>
      <c r="U32" s="119">
        <f>U5/(1+'Financial Information'!$B$5)^(U$28-$B$28)</f>
        <v>12.938744625240075</v>
      </c>
      <c r="V32" s="119">
        <f>V5/(1+'Financial Information'!$B$5)^(V$28-$B$28)</f>
        <v>12.589166554231038</v>
      </c>
      <c r="W32" s="119">
        <f>W5/(1+'Financial Information'!$B$5)^(W$28-$B$28)</f>
        <v>12.168733309970536</v>
      </c>
      <c r="X32" s="119">
        <f>X5/(1+'Financial Information'!$B$5)^(X$28-$B$28)</f>
        <v>12.990889128303026</v>
      </c>
      <c r="Y32" s="119">
        <f>Y5/(1+'Financial Information'!$B$5)^(Y$28-$B$28)</f>
        <v>13.368506035732521</v>
      </c>
      <c r="Z32" s="119">
        <f>Z5/(1+'Financial Information'!$B$5)^(Z$28-$B$28)</f>
        <v>13.152149617149272</v>
      </c>
      <c r="AA32" s="119">
        <f>AA5/(1+'Financial Information'!$B$5)^(AA$28-$B$28)</f>
        <v>12.911450931696065</v>
      </c>
      <c r="AB32" s="119">
        <f>AB5/(1+'Financial Information'!$B$5)^(AB$28-$B$28)</f>
        <v>12.325546785115124</v>
      </c>
      <c r="AC32" s="119">
        <f>AC5/(1+'Financial Information'!$B$5)^(AC$28-$B$28)</f>
        <v>11.799742074429989</v>
      </c>
      <c r="AD32" s="211">
        <f>AD5/(1+'Financial Information'!$B$5)^(AD$28-$B$28)</f>
        <v>11.304672978204819</v>
      </c>
      <c r="AE32" s="119">
        <f>AE5/(1+'Financial Information'!$B$5)^(AE$28-$B$28)</f>
        <v>10.450065979415029</v>
      </c>
      <c r="AF32" s="119">
        <f>AF5/(1+'Financial Information'!$B$5)^(AF$28-$B$28)</f>
        <v>9.2072671116039313</v>
      </c>
      <c r="AG32" s="119">
        <f>AG5/(1+'Financial Information'!$B$5)^(AG$28-$B$28)</f>
        <v>8.1237745464037729</v>
      </c>
      <c r="AH32" s="119">
        <f>AH5/(1+'Financial Information'!$B$5)^(AH$28-$B$28)</f>
        <v>7.3400246717171145</v>
      </c>
      <c r="AI32" s="119">
        <f>AI5/(1+'Financial Information'!$B$5)^(AI$28-$B$28)</f>
        <v>7.0239881557874666</v>
      </c>
      <c r="AJ32" s="119"/>
    </row>
    <row r="33" spans="1:36">
      <c r="A33" s="6" t="s">
        <v>67</v>
      </c>
      <c r="B33" s="119">
        <f>B6/(1+'Financial Information'!$B$5)^(B$28-$B$28)</f>
        <v>390.67816000000005</v>
      </c>
      <c r="C33" s="119">
        <f>C6/(1+'Financial Information'!$B$5)^(C$28-$B$28)</f>
        <v>360.70502343017807</v>
      </c>
      <c r="D33" s="119">
        <f>D6/(1+'Financial Information'!$B$5)^(D$28-$B$28)</f>
        <v>335.3589889757389</v>
      </c>
      <c r="E33" s="119">
        <f>E6/(1+'Financial Information'!$B$5)^(E$28-$B$28)</f>
        <v>314.30083315439447</v>
      </c>
      <c r="F33" s="119">
        <f>F6/(1+'Financial Information'!$B$5)^(F$28-$B$28)</f>
        <v>295.33513302110208</v>
      </c>
      <c r="G33" s="119">
        <f>G6/(1+'Financial Information'!$B$5)^(G$28-$B$28)</f>
        <v>276.06838970105849</v>
      </c>
      <c r="H33" s="119">
        <f>H6/(1+'Financial Information'!$B$5)^(H$28-$B$28)</f>
        <v>258.73326797724263</v>
      </c>
      <c r="I33" s="119">
        <f>I6/(1+'Financial Information'!$B$5)^(I$28-$B$28)</f>
        <v>242.48665529579867</v>
      </c>
      <c r="J33" s="119">
        <f>J6/(1+'Financial Information'!$B$5)^(J$28-$B$28)</f>
        <v>227.85440863960679</v>
      </c>
      <c r="K33" s="119">
        <f>K6/(1+'Financial Information'!$B$5)^(K$28-$B$28)</f>
        <v>212.98990297394212</v>
      </c>
      <c r="L33" s="119">
        <f>L6/(1+'Financial Information'!$B$5)^(L$28-$B$28)</f>
        <v>199.61565414615006</v>
      </c>
      <c r="M33" s="119">
        <f>M6/(1+'Financial Information'!$B$5)^(M$28-$B$28)</f>
        <v>187.08120798304273</v>
      </c>
      <c r="N33" s="119">
        <f>N6/(1+'Financial Information'!$B$5)^(N$28-$B$28)</f>
        <v>175.79226353945276</v>
      </c>
      <c r="O33" s="119">
        <f>O6/(1+'Financial Information'!$B$5)^(O$28-$B$28)</f>
        <v>164.32412863276659</v>
      </c>
      <c r="P33" s="119">
        <f>P6/(1+'Financial Information'!$B$5)^(P$28-$B$28)</f>
        <v>196.8566354690318</v>
      </c>
      <c r="Q33" s="119">
        <f>Q6/(1+'Financial Information'!$B$5)^(Q$28-$B$28)</f>
        <v>213.87481045723953</v>
      </c>
      <c r="R33" s="119">
        <f>R6/(1+'Financial Information'!$B$5)^(R$28-$B$28)</f>
        <v>200.44499574249258</v>
      </c>
      <c r="S33" s="119">
        <f>S6/(1+'Financial Information'!$B$5)^(S$28-$B$28)</f>
        <v>187.85847773429484</v>
      </c>
      <c r="T33" s="119">
        <f>T6/(1+'Financial Information'!$B$5)^(T$28-$B$28)</f>
        <v>189.35623363351272</v>
      </c>
      <c r="U33" s="119">
        <f>U6/(1+'Financial Information'!$B$5)^(U$28-$B$28)</f>
        <v>186.36541817589517</v>
      </c>
      <c r="V33" s="119">
        <f>V6/(1+'Financial Information'!$B$5)^(V$28-$B$28)</f>
        <v>178.75232231737783</v>
      </c>
      <c r="W33" s="119">
        <f>W6/(1+'Financial Information'!$B$5)^(W$28-$B$28)</f>
        <v>170.2654682873318</v>
      </c>
      <c r="X33" s="119">
        <f>X6/(1+'Financial Information'!$B$5)^(X$28-$B$28)</f>
        <v>178.15414508825265</v>
      </c>
      <c r="Y33" s="119">
        <f>Y6/(1+'Financial Information'!$B$5)^(Y$28-$B$28)</f>
        <v>179.42117079482207</v>
      </c>
      <c r="Z33" s="119">
        <f>Z6/(1+'Financial Information'!$B$5)^(Z$28-$B$28)</f>
        <v>175.11977341009199</v>
      </c>
      <c r="AA33" s="119">
        <f>AA6/(1+'Financial Information'!$B$5)^(AA$28-$B$28)</f>
        <v>172.13147818918981</v>
      </c>
      <c r="AB33" s="119">
        <f>AB6/(1+'Financial Information'!$B$5)^(AB$28-$B$28)</f>
        <v>163.56236948525608</v>
      </c>
      <c r="AC33" s="119">
        <f>AC6/(1+'Financial Information'!$B$5)^(AC$28-$B$28)</f>
        <v>153.29182117148412</v>
      </c>
      <c r="AD33" s="211">
        <f>AD6/(1+'Financial Information'!$B$5)^(AD$28-$B$28)</f>
        <v>143.66618666493358</v>
      </c>
      <c r="AE33" s="119">
        <f>AE6/(1+'Financial Information'!$B$5)^(AE$28-$B$28)</f>
        <v>134.64497344417393</v>
      </c>
      <c r="AF33" s="119">
        <f>AF6/(1+'Financial Information'!$B$5)^(AF$28-$B$28)</f>
        <v>126.1902281576138</v>
      </c>
      <c r="AG33" s="119">
        <f>AG6/(1+'Financial Information'!$B$5)^(AG$28-$B$28)</f>
        <v>118.26638065380864</v>
      </c>
      <c r="AH33" s="119">
        <f>AH6/(1+'Financial Information'!$B$5)^(AH$28-$B$28)</f>
        <v>110.84009433346641</v>
      </c>
      <c r="AI33" s="119">
        <f>AI6/(1+'Financial Information'!$B$5)^(AI$28-$B$28)</f>
        <v>103.88012589828155</v>
      </c>
      <c r="AJ33" s="119"/>
    </row>
    <row r="34" spans="1:36">
      <c r="A34" s="6" t="s">
        <v>383</v>
      </c>
      <c r="B34" s="119">
        <f>B7/(1+'Financial Information'!$B$5)^(B$28-$B$28)</f>
        <v>0</v>
      </c>
      <c r="C34" s="119">
        <f>C7/(1+'Financial Information'!$B$5)^(C$28-$B$28)</f>
        <v>0</v>
      </c>
      <c r="D34" s="119">
        <f>D7/(1+'Financial Information'!$B$5)^(D$28-$B$28)</f>
        <v>0</v>
      </c>
      <c r="E34" s="119">
        <f>E7/(1+'Financial Information'!$B$5)^(E$28-$B$28)</f>
        <v>0</v>
      </c>
      <c r="F34" s="119">
        <f>F7/(1+'Financial Information'!$B$5)^(F$28-$B$28)</f>
        <v>0</v>
      </c>
      <c r="G34" s="119">
        <f>G7/(1+'Financial Information'!$B$5)^(G$28-$B$28)</f>
        <v>0</v>
      </c>
      <c r="H34" s="119">
        <f>H7/(1+'Financial Information'!$B$5)^(H$28-$B$28)</f>
        <v>0</v>
      </c>
      <c r="I34" s="119">
        <f>I7/(1+'Financial Information'!$B$5)^(I$28-$B$28)</f>
        <v>0</v>
      </c>
      <c r="J34" s="119">
        <f>J7/(1+'Financial Information'!$B$5)^(J$28-$B$28)</f>
        <v>0</v>
      </c>
      <c r="K34" s="119">
        <f>K7/(1+'Financial Information'!$B$5)^(K$28-$B$28)</f>
        <v>0</v>
      </c>
      <c r="L34" s="119">
        <f>L7/(1+'Financial Information'!$B$5)^(L$28-$B$28)</f>
        <v>0</v>
      </c>
      <c r="M34" s="119">
        <f>M7/(1+'Financial Information'!$B$5)^(M$28-$B$28)</f>
        <v>0</v>
      </c>
      <c r="N34" s="119">
        <f>N7/(1+'Financial Information'!$B$5)^(N$28-$B$28)</f>
        <v>0</v>
      </c>
      <c r="O34" s="119">
        <f>O7/(1+'Financial Information'!$B$5)^(O$28-$B$28)</f>
        <v>0</v>
      </c>
      <c r="P34" s="119">
        <f>P7/(1+'Financial Information'!$B$5)^(P$28-$B$28)</f>
        <v>0</v>
      </c>
      <c r="Q34" s="119">
        <f>Q7/(1+'Financial Information'!$B$5)^(Q$28-$B$28)</f>
        <v>0</v>
      </c>
      <c r="R34" s="119">
        <f>R7/(1+'Financial Information'!$B$5)^(R$28-$B$28)</f>
        <v>0</v>
      </c>
      <c r="S34" s="119">
        <f>S7/(1+'Financial Information'!$B$5)^(S$28-$B$28)</f>
        <v>0</v>
      </c>
      <c r="T34" s="119">
        <f>T7/(1+'Financial Information'!$B$5)^(T$28-$B$28)</f>
        <v>0</v>
      </c>
      <c r="U34" s="119">
        <f>U7/(1+'Financial Information'!$B$5)^(U$28-$B$28)</f>
        <v>0</v>
      </c>
      <c r="V34" s="119">
        <f>V7/(1+'Financial Information'!$B$5)^(V$28-$B$28)</f>
        <v>0</v>
      </c>
      <c r="W34" s="119">
        <f>W7/(1+'Financial Information'!$B$5)^(W$28-$B$28)</f>
        <v>0</v>
      </c>
      <c r="X34" s="119">
        <f>X7/(1+'Financial Information'!$B$5)^(X$28-$B$28)</f>
        <v>0</v>
      </c>
      <c r="Y34" s="119">
        <f>Y7/(1+'Financial Information'!$B$5)^(Y$28-$B$28)</f>
        <v>0</v>
      </c>
      <c r="Z34" s="119">
        <f>Z7/(1+'Financial Information'!$B$5)^(Z$28-$B$28)</f>
        <v>0</v>
      </c>
      <c r="AA34" s="119">
        <f>AA7/(1+'Financial Information'!$B$5)^(AA$28-$B$28)</f>
        <v>0</v>
      </c>
      <c r="AB34" s="119">
        <f>AB7/(1+'Financial Information'!$B$5)^(AB$28-$B$28)</f>
        <v>0</v>
      </c>
      <c r="AC34" s="119">
        <f>AC7/(1+'Financial Information'!$B$5)^(AC$28-$B$28)</f>
        <v>0</v>
      </c>
      <c r="AD34" s="211">
        <f>AD7/(1+'Financial Information'!$B$5)^(AD$28-$B$28)</f>
        <v>0</v>
      </c>
      <c r="AE34" s="119">
        <f>AE7/(1+'Financial Information'!$B$5)^(AE$28-$B$28)</f>
        <v>0</v>
      </c>
      <c r="AF34" s="119">
        <f>AF7/(1+'Financial Information'!$B$5)^(AF$28-$B$28)</f>
        <v>0</v>
      </c>
      <c r="AG34" s="119">
        <f>AG7/(1+'Financial Information'!$B$5)^(AG$28-$B$28)</f>
        <v>0</v>
      </c>
      <c r="AH34" s="119">
        <f>AH7/(1+'Financial Information'!$B$5)^(AH$28-$B$28)</f>
        <v>0</v>
      </c>
      <c r="AI34" s="119">
        <f>AI7/(1+'Financial Information'!$B$5)^(AI$28-$B$28)</f>
        <v>0</v>
      </c>
      <c r="AJ34" s="119"/>
    </row>
    <row r="35" spans="1:36">
      <c r="A35" s="6" t="s">
        <v>65</v>
      </c>
      <c r="B35" s="119">
        <f>B8/(1+'Financial Information'!$B$5)^(B$28-$B$28)</f>
        <v>849.92173000000025</v>
      </c>
      <c r="C35" s="119">
        <f>C8/(1+'Financial Information'!$B$5)^(C$28-$B$28)</f>
        <v>805.01655107778799</v>
      </c>
      <c r="D35" s="119">
        <f>D8/(1+'Financial Information'!$B$5)^(D$28-$B$28)</f>
        <v>776.20952859447937</v>
      </c>
      <c r="E35" s="119">
        <f>E8/(1+'Financial Information'!$B$5)^(E$28-$B$28)</f>
        <v>742.29114194891599</v>
      </c>
      <c r="F35" s="119">
        <f>F8/(1+'Financial Information'!$B$5)^(F$28-$B$28)</f>
        <v>696.18313104862023</v>
      </c>
      <c r="G35" s="119">
        <f>G8/(1+'Financial Information'!$B$5)^(G$28-$B$28)</f>
        <v>676.85132239437974</v>
      </c>
      <c r="H35" s="119">
        <f>H8/(1+'Financial Information'!$B$5)^(H$28-$B$28)</f>
        <v>675.36806247340598</v>
      </c>
      <c r="I35" s="119">
        <f>I8/(1+'Financial Information'!$B$5)^(I$28-$B$28)</f>
        <v>699.48442373324519</v>
      </c>
      <c r="J35" s="119">
        <f>J8/(1+'Financial Information'!$B$5)^(J$28-$B$28)</f>
        <v>726.53122023922162</v>
      </c>
      <c r="K35" s="119">
        <f>K8/(1+'Financial Information'!$B$5)^(K$28-$B$28)</f>
        <v>730.46495944102981</v>
      </c>
      <c r="L35" s="119">
        <f>L8/(1+'Financial Information'!$B$5)^(L$28-$B$28)</f>
        <v>723.05940931069574</v>
      </c>
      <c r="M35" s="119">
        <f>M8/(1+'Financial Information'!$B$5)^(M$28-$B$28)</f>
        <v>715.61808721674868</v>
      </c>
      <c r="N35" s="119">
        <f>N8/(1+'Financial Information'!$B$5)^(N$28-$B$28)</f>
        <v>696.02242858475165</v>
      </c>
      <c r="O35" s="119">
        <f>O8/(1+'Financial Information'!$B$5)^(O$28-$B$28)</f>
        <v>655.67346939902495</v>
      </c>
      <c r="P35" s="119">
        <f>P8/(1+'Financial Information'!$B$5)^(P$28-$B$28)</f>
        <v>617.95353214850093</v>
      </c>
      <c r="Q35" s="119">
        <f>Q8/(1+'Financial Information'!$B$5)^(Q$28-$B$28)</f>
        <v>596.42633333040249</v>
      </c>
      <c r="R35" s="119">
        <f>R8/(1+'Financial Information'!$B$5)^(R$28-$B$28)</f>
        <v>567.05659865318808</v>
      </c>
      <c r="S35" s="119">
        <f>S8/(1+'Financial Information'!$B$5)^(S$28-$B$28)</f>
        <v>573.54196566470648</v>
      </c>
      <c r="T35" s="119">
        <f>T8/(1+'Financial Information'!$B$5)^(T$28-$B$28)</f>
        <v>566.99633469197397</v>
      </c>
      <c r="U35" s="119">
        <f>U8/(1+'Financial Information'!$B$5)^(U$28-$B$28)</f>
        <v>549.7996916848474</v>
      </c>
      <c r="V35" s="119">
        <f>V8/(1+'Financial Information'!$B$5)^(V$28-$B$28)</f>
        <v>535.52275054144195</v>
      </c>
      <c r="W35" s="119">
        <f>W8/(1+'Financial Information'!$B$5)^(W$28-$B$28)</f>
        <v>527.58279594083626</v>
      </c>
      <c r="X35" s="119">
        <f>X8/(1+'Financial Information'!$B$5)^(X$28-$B$28)</f>
        <v>501.61185420982906</v>
      </c>
      <c r="Y35" s="119">
        <f>Y8/(1+'Financial Information'!$B$5)^(Y$28-$B$28)</f>
        <v>476.1007900868567</v>
      </c>
      <c r="Z35" s="119">
        <f>Z8/(1+'Financial Information'!$B$5)^(Z$28-$B$28)</f>
        <v>468.21908614123311</v>
      </c>
      <c r="AA35" s="119">
        <f>AA8/(1+'Financial Information'!$B$5)^(AA$28-$B$28)</f>
        <v>462.70993897982424</v>
      </c>
      <c r="AB35" s="119">
        <f>AB8/(1+'Financial Information'!$B$5)^(AB$28-$B$28)</f>
        <v>453.85523919646107</v>
      </c>
      <c r="AC35" s="119">
        <f>AC8/(1+'Financial Information'!$B$5)^(AC$28-$B$28)</f>
        <v>429.96149159416439</v>
      </c>
      <c r="AD35" s="211">
        <f>AD8/(1+'Financial Information'!$B$5)^(AD$28-$B$28)</f>
        <v>413.44186779858728</v>
      </c>
      <c r="AE35" s="119">
        <f>AE8/(1+'Financial Information'!$B$5)^(AE$28-$B$28)</f>
        <v>386.25500459628125</v>
      </c>
      <c r="AF35" s="119">
        <f>AF8/(1+'Financial Information'!$B$5)^(AF$28-$B$28)</f>
        <v>369.7412627137121</v>
      </c>
      <c r="AG35" s="119">
        <f>AG8/(1+'Financial Information'!$B$5)^(AG$28-$B$28)</f>
        <v>358.41541700220353</v>
      </c>
      <c r="AH35" s="119">
        <f>AH8/(1+'Financial Information'!$B$5)^(AH$28-$B$28)</f>
        <v>347.14742756036338</v>
      </c>
      <c r="AI35" s="119">
        <f>AI8/(1+'Financial Information'!$B$5)^(AI$28-$B$28)</f>
        <v>331.50126027000886</v>
      </c>
      <c r="AJ35" s="119"/>
    </row>
    <row r="36" spans="1:36">
      <c r="A36" s="6" t="s">
        <v>52</v>
      </c>
      <c r="B36" s="119">
        <f>B9/(1+'Financial Information'!$B$5)^(B$28-$B$28)</f>
        <v>86.065400000000025</v>
      </c>
      <c r="C36" s="119">
        <f>C9/(1+'Financial Information'!$B$5)^(C$28-$B$28)</f>
        <v>85.413842549203366</v>
      </c>
      <c r="D36" s="119">
        <f>D9/(1+'Financial Information'!$B$5)^(D$28-$B$28)</f>
        <v>86.961279379950071</v>
      </c>
      <c r="E36" s="119">
        <f>E9/(1+'Financial Information'!$B$5)^(E$28-$B$28)</f>
        <v>87.719301783941091</v>
      </c>
      <c r="F36" s="119">
        <f>F9/(1+'Financial Information'!$B$5)^(F$28-$B$28)</f>
        <v>89.598684264811823</v>
      </c>
      <c r="G36" s="119">
        <f>G9/(1+'Financial Information'!$B$5)^(G$28-$B$28)</f>
        <v>93.255354045251252</v>
      </c>
      <c r="H36" s="119">
        <f>H9/(1+'Financial Information'!$B$5)^(H$28-$B$28)</f>
        <v>102.74670061220104</v>
      </c>
      <c r="I36" s="119">
        <f>I9/(1+'Financial Information'!$B$5)^(I$28-$B$28)</f>
        <v>108.88104482607652</v>
      </c>
      <c r="J36" s="119">
        <f>J9/(1+'Financial Information'!$B$5)^(J$28-$B$28)</f>
        <v>116.24743377560054</v>
      </c>
      <c r="K36" s="119">
        <f>K9/(1+'Financial Information'!$B$5)^(K$28-$B$28)</f>
        <v>117.60436567330956</v>
      </c>
      <c r="L36" s="119">
        <f>L9/(1+'Financial Information'!$B$5)^(L$28-$B$28)</f>
        <v>122.0887814188779</v>
      </c>
      <c r="M36" s="119">
        <f>M9/(1+'Financial Information'!$B$5)^(M$28-$B$28)</f>
        <v>124.90473626749197</v>
      </c>
      <c r="N36" s="119">
        <f>N9/(1+'Financial Information'!$B$5)^(N$28-$B$28)</f>
        <v>122.95075703367938</v>
      </c>
      <c r="O36" s="119">
        <f>O9/(1+'Financial Information'!$B$5)^(O$28-$B$28)</f>
        <v>122.55296981689507</v>
      </c>
      <c r="P36" s="119">
        <f>P9/(1+'Financial Information'!$B$5)^(P$28-$B$28)</f>
        <v>116.76565416251209</v>
      </c>
      <c r="Q36" s="119">
        <f>Q9/(1+'Financial Information'!$B$5)^(Q$28-$B$28)</f>
        <v>114.4418186988363</v>
      </c>
      <c r="R36" s="119">
        <f>R9/(1+'Financial Information'!$B$5)^(R$28-$B$28)</f>
        <v>113.5703565237678</v>
      </c>
      <c r="S36" s="119">
        <f>S9/(1+'Financial Information'!$B$5)^(S$28-$B$28)</f>
        <v>118.88778367284499</v>
      </c>
      <c r="T36" s="119">
        <f>T9/(1+'Financial Information'!$B$5)^(T$28-$B$28)</f>
        <v>118.31487114988988</v>
      </c>
      <c r="U36" s="119">
        <f>U9/(1+'Financial Information'!$B$5)^(U$28-$B$28)</f>
        <v>122.6818604212431</v>
      </c>
      <c r="V36" s="119">
        <f>V9/(1+'Financial Information'!$B$5)^(V$28-$B$28)</f>
        <v>117.05184253449447</v>
      </c>
      <c r="W36" s="119">
        <f>W9/(1+'Financial Information'!$B$5)^(W$28-$B$28)</f>
        <v>116.50791103042913</v>
      </c>
      <c r="X36" s="119">
        <f>X9/(1+'Financial Information'!$B$5)^(X$28-$B$28)</f>
        <v>110.97903853745611</v>
      </c>
      <c r="Y36" s="119">
        <f>Y9/(1+'Financial Information'!$B$5)^(Y$28-$B$28)</f>
        <v>108.89626578332953</v>
      </c>
      <c r="Z36" s="119">
        <f>Z9/(1+'Financial Information'!$B$5)^(Z$28-$B$28)</f>
        <v>104.8152066461921</v>
      </c>
      <c r="AA36" s="119">
        <f>AA9/(1+'Financial Information'!$B$5)^(AA$28-$B$28)</f>
        <v>104.22365383558069</v>
      </c>
      <c r="AB36" s="119">
        <f>AB9/(1+'Financial Information'!$B$5)^(AB$28-$B$28)</f>
        <v>100.75012995504235</v>
      </c>
      <c r="AC36" s="119">
        <f>AC9/(1+'Financial Information'!$B$5)^(AC$28-$B$28)</f>
        <v>98.864699144201367</v>
      </c>
      <c r="AD36" s="211">
        <f>AD9/(1+'Financial Information'!$B$5)^(AD$28-$B$28)</f>
        <v>95.94874200709107</v>
      </c>
      <c r="AE36" s="119">
        <f>AE9/(1+'Financial Information'!$B$5)^(AE$28-$B$28)</f>
        <v>93.351027739473565</v>
      </c>
      <c r="AF36" s="119">
        <f>AF9/(1+'Financial Information'!$B$5)^(AF$28-$B$28)</f>
        <v>90.209248468346061</v>
      </c>
      <c r="AG36" s="119">
        <f>AG9/(1+'Financial Information'!$B$5)^(AG$28-$B$28)</f>
        <v>88.735523095559344</v>
      </c>
      <c r="AH36" s="119">
        <f>AH9/(1+'Financial Information'!$B$5)^(AH$28-$B$28)</f>
        <v>84.938012266337282</v>
      </c>
      <c r="AI36" s="119">
        <f>AI9/(1+'Financial Information'!$B$5)^(AI$28-$B$28)</f>
        <v>83.137164427440041</v>
      </c>
      <c r="AJ36" s="119"/>
    </row>
    <row r="37" spans="1:36">
      <c r="A37" s="36" t="s">
        <v>66</v>
      </c>
      <c r="B37" s="119">
        <f>B10/(1+'Financial Information'!$B$5)^(B$28-$B$28)</f>
        <v>6.2323630999999988</v>
      </c>
      <c r="C37" s="119">
        <f>C10/(1+'Financial Information'!$B$5)^(C$28-$B$28)</f>
        <v>6.0650449859418947</v>
      </c>
      <c r="D37" s="119">
        <f>D10/(1+'Financial Information'!$B$5)^(D$28-$B$28)</f>
        <v>5.597448196688771</v>
      </c>
      <c r="E37" s="119">
        <f>E10/(1+'Financial Information'!$B$5)^(E$28-$B$28)</f>
        <v>4.7558948928084144</v>
      </c>
      <c r="F37" s="119">
        <f>F10/(1+'Financial Information'!$B$5)^(F$28-$B$28)</f>
        <v>4.4066194951098092</v>
      </c>
      <c r="G37" s="119">
        <f>G10/(1+'Financial Information'!$B$5)^(G$28-$B$28)</f>
        <v>4.2651970550709839</v>
      </c>
      <c r="H37" s="119">
        <f>H10/(1+'Financial Information'!$B$5)^(H$28-$B$28)</f>
        <v>3.9731243289113243</v>
      </c>
      <c r="I37" s="119">
        <f>I10/(1+'Financial Information'!$B$5)^(I$28-$B$28)</f>
        <v>3.7893191952847323</v>
      </c>
      <c r="J37" s="119">
        <f>J10/(1+'Financial Information'!$B$5)^(J$28-$B$28)</f>
        <v>3.8277032543673286</v>
      </c>
      <c r="K37" s="119">
        <f>K10/(1+'Financial Information'!$B$5)^(K$28-$B$28)</f>
        <v>3.4303802397078704</v>
      </c>
      <c r="L37" s="119">
        <f>L10/(1+'Financial Information'!$B$5)^(L$28-$B$28)</f>
        <v>3.238214663774011</v>
      </c>
      <c r="M37" s="119">
        <f>M10/(1+'Financial Information'!$B$5)^(M$28-$B$28)</f>
        <v>3.0150900488211785</v>
      </c>
      <c r="N37" s="119">
        <f>N10/(1+'Financial Information'!$B$5)^(N$28-$B$28)</f>
        <v>2.6341440239412277</v>
      </c>
      <c r="O37" s="119">
        <f>O10/(1+'Financial Information'!$B$5)^(O$28-$B$28)</f>
        <v>2.4408700333967084</v>
      </c>
      <c r="P37" s="119">
        <f>P10/(1+'Financial Information'!$B$5)^(P$28-$B$28)</f>
        <v>1.1456537111727254</v>
      </c>
      <c r="Q37" s="119">
        <f>Q10/(1+'Financial Information'!$B$5)^(Q$28-$B$28)</f>
        <v>0.6583996715602769</v>
      </c>
      <c r="R37" s="119">
        <f>R10/(1+'Financial Information'!$B$5)^(R$28-$B$28)</f>
        <v>0.62397985411871904</v>
      </c>
      <c r="S37" s="119">
        <f>S10/(1+'Financial Information'!$B$5)^(S$28-$B$28)</f>
        <v>0.59211676909009781</v>
      </c>
      <c r="T37" s="119">
        <f>T10/(1+'Financial Information'!$B$5)^(T$28-$B$28)</f>
        <v>0.5600988717530424</v>
      </c>
      <c r="U37" s="119">
        <f>U10/(1+'Financial Information'!$B$5)^(U$28-$B$28)</f>
        <v>0.52838481637572299</v>
      </c>
      <c r="V37" s="119">
        <f>V10/(1+'Financial Information'!$B$5)^(V$28-$B$28)</f>
        <v>0.50540452663102353</v>
      </c>
      <c r="W37" s="119">
        <f>W10/(1+'Financial Information'!$B$5)^(W$28-$B$28)</f>
        <v>0.47722964039982141</v>
      </c>
      <c r="X37" s="119">
        <f>X10/(1+'Financial Information'!$B$5)^(X$28-$B$28)</f>
        <v>0.4479016703768578</v>
      </c>
      <c r="Y37" s="119">
        <f>Y10/(1+'Financial Information'!$B$5)^(Y$28-$B$28)</f>
        <v>0.42403173686810913</v>
      </c>
      <c r="Z37" s="119">
        <f>Z10/(1+'Financial Information'!$B$5)^(Z$28-$B$28)</f>
        <v>0.40297092486637459</v>
      </c>
      <c r="AA37" s="119">
        <f>AA10/(1+'Financial Information'!$B$5)^(AA$28-$B$28)</f>
        <v>0.38044613331742005</v>
      </c>
      <c r="AB37" s="119">
        <f>AB10/(1+'Financial Information'!$B$5)^(AB$28-$B$28)</f>
        <v>0.36312158529319283</v>
      </c>
      <c r="AC37" s="119">
        <f>AC10/(1+'Financial Information'!$B$5)^(AC$28-$B$28)</f>
        <v>0.33964655117943665</v>
      </c>
      <c r="AD37" s="211">
        <f>AD10/(1+'Financial Information'!$B$5)^(AD$28-$B$28)</f>
        <v>0.31976885304217606</v>
      </c>
      <c r="AE37" s="119">
        <f>AE10/(1+'Financial Information'!$B$5)^(AE$28-$B$28)</f>
        <v>0.30066251156909668</v>
      </c>
      <c r="AF37" s="119">
        <f>AF10/(1+'Financial Information'!$B$5)^(AF$28-$B$28)</f>
        <v>0.28607468210700654</v>
      </c>
      <c r="AG37" s="119">
        <f>AG10/(1+'Financial Information'!$B$5)^(AG$28-$B$28)</f>
        <v>0.27036674141994205</v>
      </c>
      <c r="AH37" s="119">
        <f>AH10/(1+'Financial Information'!$B$5)^(AH$28-$B$28)</f>
        <v>0.25753580627038075</v>
      </c>
      <c r="AI37" s="119">
        <f>AI10/(1+'Financial Information'!$B$5)^(AI$28-$B$28)</f>
        <v>0.24163379948086289</v>
      </c>
      <c r="AJ37" s="119"/>
    </row>
    <row r="38" spans="1:36">
      <c r="A38" s="12" t="s">
        <v>69</v>
      </c>
      <c r="B38" s="212">
        <f>B11/(1+'Financial Information'!$B$5)^(B$28-$B$28)</f>
        <v>0</v>
      </c>
      <c r="C38" s="212">
        <f>C11/(1+'Financial Information'!$B$5)^(C$28-$B$28)</f>
        <v>0</v>
      </c>
      <c r="D38" s="212">
        <f>D11/(1+'Financial Information'!$B$5)^(D$28-$B$28)</f>
        <v>0</v>
      </c>
      <c r="E38" s="212">
        <f>E11/(1+'Financial Information'!$B$5)^(E$28-$B$28)</f>
        <v>0</v>
      </c>
      <c r="F38" s="212">
        <f>F11/(1+'Financial Information'!$B$5)^(F$28-$B$28)</f>
        <v>0</v>
      </c>
      <c r="G38" s="212">
        <f>G11/(1+'Financial Information'!$B$5)^(G$28-$B$28)</f>
        <v>73.518018386550168</v>
      </c>
      <c r="H38" s="212">
        <f>H11/(1+'Financial Information'!$B$5)^(H$28-$B$28)</f>
        <v>123.78771608463065</v>
      </c>
      <c r="I38" s="212">
        <f>I11/(1+'Financial Information'!$B$5)^(I$28-$B$28)</f>
        <v>167.94950387047902</v>
      </c>
      <c r="J38" s="212">
        <f>J11/(1+'Financial Information'!$B$5)^(J$28-$B$28)</f>
        <v>209.7660485144182</v>
      </c>
      <c r="K38" s="212">
        <f>K11/(1+'Financial Information'!$B$5)^(K$28-$B$28)</f>
        <v>241.0730053381624</v>
      </c>
      <c r="L38" s="212">
        <f>L11/(1+'Financial Information'!$B$5)^(L$28-$B$28)</f>
        <v>271.59894710055113</v>
      </c>
      <c r="M38" s="212">
        <f>M11/(1+'Financial Information'!$B$5)^(M$28-$B$28)</f>
        <v>291.06563015094468</v>
      </c>
      <c r="N38" s="212">
        <f>N11/(1+'Financial Information'!$B$5)^(N$28-$B$28)</f>
        <v>310.66497288642404</v>
      </c>
      <c r="O38" s="212">
        <f>O11/(1+'Financial Information'!$B$5)^(O$28-$B$28)</f>
        <v>326.97175334537968</v>
      </c>
      <c r="P38" s="212">
        <f>P11/(1+'Financial Information'!$B$5)^(P$28-$B$28)</f>
        <v>319.59863709367283</v>
      </c>
      <c r="Q38" s="212">
        <f>Q11/(1+'Financial Information'!$B$5)^(Q$28-$B$28)</f>
        <v>321.25561467116216</v>
      </c>
      <c r="R38" s="212">
        <f>R11/(1+'Financial Information'!$B$5)^(R$28-$B$28)</f>
        <v>366.7233521942897</v>
      </c>
      <c r="S38" s="212">
        <f>S11/(1+'Financial Information'!$B$5)^(S$28-$B$28)</f>
        <v>405.36576797116277</v>
      </c>
      <c r="T38" s="212">
        <f>T11/(1+'Financial Information'!$B$5)^(T$28-$B$28)</f>
        <v>438.67652550705424</v>
      </c>
      <c r="U38" s="212">
        <f>U11/(1+'Financial Information'!$B$5)^(U$28-$B$28)</f>
        <v>470.53830598597875</v>
      </c>
      <c r="V38" s="212">
        <f>V11/(1+'Financial Information'!$B$5)^(V$28-$B$28)</f>
        <v>493.98218642716512</v>
      </c>
      <c r="W38" s="212">
        <f>W11/(1+'Financial Information'!$B$5)^(W$28-$B$28)</f>
        <v>515.67353572131742</v>
      </c>
      <c r="X38" s="212">
        <f>X11/(1+'Financial Information'!$B$5)^(X$28-$B$28)</f>
        <v>519.84570571382528</v>
      </c>
      <c r="Y38" s="212">
        <f>Y11/(1+'Financial Information'!$B$5)^(Y$28-$B$28)</f>
        <v>527.46829392074903</v>
      </c>
      <c r="Z38" s="212">
        <f>Z11/(1+'Financial Information'!$B$5)^(Z$28-$B$28)</f>
        <v>540.14382243352986</v>
      </c>
      <c r="AA38" s="212">
        <f>AA11/(1+'Financial Information'!$B$5)^(AA$28-$B$28)</f>
        <v>546.45213980075948</v>
      </c>
      <c r="AB38" s="212">
        <f>AB11/(1+'Financial Information'!$B$5)^(AB$28-$B$28)</f>
        <v>552.96239179627787</v>
      </c>
      <c r="AC38" s="212">
        <f>AC11/(1+'Financial Information'!$B$5)^(AC$28-$B$28)</f>
        <v>549.27331970082355</v>
      </c>
      <c r="AD38" s="213">
        <f>AD11/(1+'Financial Information'!$B$5)^(AD$28-$B$28)</f>
        <v>548.50949790882578</v>
      </c>
      <c r="AE38" s="212">
        <f>AE11/(1+'Financial Information'!$B$5)^(AE$28-$B$28)</f>
        <v>540.11727947752229</v>
      </c>
      <c r="AF38" s="212">
        <f>AF11/(1+'Financial Information'!$B$5)^(AF$28-$B$28)</f>
        <v>539.31003977434671</v>
      </c>
      <c r="AG38" s="212">
        <f>AG11/(1+'Financial Information'!$B$5)^(AG$28-$B$28)</f>
        <v>535.41167262213935</v>
      </c>
      <c r="AH38" s="212">
        <f>AH11/(1+'Financial Information'!$B$5)^(AH$28-$B$28)</f>
        <v>530.2920674392218</v>
      </c>
      <c r="AI38" s="212">
        <f>AI11/(1+'Financial Information'!$B$5)^(AI$28-$B$28)</f>
        <v>516.53002225942078</v>
      </c>
      <c r="AJ38" s="212"/>
    </row>
    <row r="39" spans="1:36">
      <c r="A39" s="6" t="s">
        <v>61</v>
      </c>
      <c r="B39" s="15">
        <f t="shared" ref="B39:AG39" si="7">SUM(B29:B38)</f>
        <v>1843.5391832822065</v>
      </c>
      <c r="C39" s="15">
        <f t="shared" si="7"/>
        <v>1758.829628579814</v>
      </c>
      <c r="D39" s="15">
        <f t="shared" si="7"/>
        <v>1710.2650287127622</v>
      </c>
      <c r="E39" s="15">
        <f t="shared" si="7"/>
        <v>1634.8389059029885</v>
      </c>
      <c r="F39" s="15">
        <f t="shared" si="7"/>
        <v>1416.568840112506</v>
      </c>
      <c r="G39" s="15">
        <f t="shared" si="7"/>
        <v>1318.1023719175917</v>
      </c>
      <c r="H39" s="15">
        <f t="shared" si="7"/>
        <v>1275.90316121915</v>
      </c>
      <c r="I39" s="15">
        <f t="shared" si="7"/>
        <v>1322.8155509219982</v>
      </c>
      <c r="J39" s="15">
        <f t="shared" si="7"/>
        <v>1385.0331507933508</v>
      </c>
      <c r="K39" s="15">
        <f t="shared" si="7"/>
        <v>1402.4009427927037</v>
      </c>
      <c r="L39" s="15">
        <f t="shared" si="7"/>
        <v>1414.3455424642082</v>
      </c>
      <c r="M39" s="15">
        <f t="shared" si="7"/>
        <v>1412.4850223326866</v>
      </c>
      <c r="N39" s="15">
        <f t="shared" si="7"/>
        <v>1396.6559129463164</v>
      </c>
      <c r="O39" s="15">
        <f t="shared" si="7"/>
        <v>1356.7029365907035</v>
      </c>
      <c r="P39" s="15">
        <f t="shared" si="7"/>
        <v>1399.9663268258935</v>
      </c>
      <c r="Q39" s="15">
        <f t="shared" si="7"/>
        <v>1531.6662261403344</v>
      </c>
      <c r="R39" s="15">
        <f t="shared" si="7"/>
        <v>1508.7107209368512</v>
      </c>
      <c r="S39" s="15">
        <f t="shared" si="7"/>
        <v>1523.9818083197877</v>
      </c>
      <c r="T39" s="15">
        <f t="shared" si="7"/>
        <v>1545.6681796051121</v>
      </c>
      <c r="U39" s="15">
        <f t="shared" si="7"/>
        <v>1551.1293181052774</v>
      </c>
      <c r="V39" s="15">
        <f t="shared" si="7"/>
        <v>1531.8437070691052</v>
      </c>
      <c r="W39" s="15">
        <f t="shared" si="7"/>
        <v>1521.1979559146753</v>
      </c>
      <c r="X39" s="15">
        <f t="shared" si="7"/>
        <v>1516.5742397212684</v>
      </c>
      <c r="Y39" s="15">
        <f t="shared" si="7"/>
        <v>1568.3880540050104</v>
      </c>
      <c r="Z39" s="15">
        <f t="shared" si="7"/>
        <v>1547.4645103816874</v>
      </c>
      <c r="AA39" s="15">
        <f t="shared" si="7"/>
        <v>1529.5869678596732</v>
      </c>
      <c r="AB39" s="15">
        <f t="shared" si="7"/>
        <v>1495.6732686914984</v>
      </c>
      <c r="AC39" s="52">
        <f t="shared" si="7"/>
        <v>1436.015839883052</v>
      </c>
      <c r="AD39" s="214">
        <f t="shared" si="7"/>
        <v>1388.3427212404054</v>
      </c>
      <c r="AE39" s="15">
        <f t="shared" si="7"/>
        <v>1323.5767903425713</v>
      </c>
      <c r="AF39" s="15">
        <f t="shared" si="7"/>
        <v>1276.8347036503026</v>
      </c>
      <c r="AG39" s="15">
        <f t="shared" si="7"/>
        <v>1235.9856623733858</v>
      </c>
      <c r="AH39" s="15">
        <f t="shared" ref="AH39:AI39" si="8">SUM(AH29:AH38)</f>
        <v>1193.4359464206132</v>
      </c>
      <c r="AI39" s="15">
        <f t="shared" si="8"/>
        <v>1144.2301862217037</v>
      </c>
      <c r="AJ39" s="15"/>
    </row>
    <row r="40" spans="1:36">
      <c r="AC40" s="36"/>
      <c r="AD40" s="215"/>
    </row>
    <row r="41" spans="1:36">
      <c r="A41" s="152" t="str">
        <f>A14</f>
        <v>Clean Energy Connection</v>
      </c>
      <c r="B41" s="152">
        <f>$B$1</f>
        <v>2020</v>
      </c>
      <c r="C41" s="152">
        <f t="shared" ref="C41:AI41" si="9">B41+1</f>
        <v>2021</v>
      </c>
      <c r="D41" s="152">
        <f t="shared" si="9"/>
        <v>2022</v>
      </c>
      <c r="E41" s="152">
        <f t="shared" si="9"/>
        <v>2023</v>
      </c>
      <c r="F41" s="152">
        <f t="shared" si="9"/>
        <v>2024</v>
      </c>
      <c r="G41" s="152">
        <f t="shared" si="9"/>
        <v>2025</v>
      </c>
      <c r="H41" s="152">
        <f t="shared" si="9"/>
        <v>2026</v>
      </c>
      <c r="I41" s="152">
        <f t="shared" si="9"/>
        <v>2027</v>
      </c>
      <c r="J41" s="152">
        <f t="shared" si="9"/>
        <v>2028</v>
      </c>
      <c r="K41" s="152">
        <f t="shared" si="9"/>
        <v>2029</v>
      </c>
      <c r="L41" s="152">
        <f t="shared" si="9"/>
        <v>2030</v>
      </c>
      <c r="M41" s="152">
        <f t="shared" si="9"/>
        <v>2031</v>
      </c>
      <c r="N41" s="152">
        <f t="shared" si="9"/>
        <v>2032</v>
      </c>
      <c r="O41" s="152">
        <f t="shared" si="9"/>
        <v>2033</v>
      </c>
      <c r="P41" s="152">
        <f t="shared" si="9"/>
        <v>2034</v>
      </c>
      <c r="Q41" s="152">
        <f t="shared" si="9"/>
        <v>2035</v>
      </c>
      <c r="R41" s="152">
        <f t="shared" si="9"/>
        <v>2036</v>
      </c>
      <c r="S41" s="152">
        <f t="shared" si="9"/>
        <v>2037</v>
      </c>
      <c r="T41" s="152">
        <f t="shared" si="9"/>
        <v>2038</v>
      </c>
      <c r="U41" s="152">
        <f t="shared" si="9"/>
        <v>2039</v>
      </c>
      <c r="V41" s="152">
        <f t="shared" si="9"/>
        <v>2040</v>
      </c>
      <c r="W41" s="152">
        <f t="shared" si="9"/>
        <v>2041</v>
      </c>
      <c r="X41" s="152">
        <f t="shared" si="9"/>
        <v>2042</v>
      </c>
      <c r="Y41" s="152">
        <f t="shared" si="9"/>
        <v>2043</v>
      </c>
      <c r="Z41" s="152">
        <f t="shared" si="9"/>
        <v>2044</v>
      </c>
      <c r="AA41" s="152">
        <f t="shared" si="9"/>
        <v>2045</v>
      </c>
      <c r="AB41" s="152">
        <f t="shared" si="9"/>
        <v>2046</v>
      </c>
      <c r="AC41" s="209">
        <f t="shared" si="9"/>
        <v>2047</v>
      </c>
      <c r="AD41" s="210">
        <f t="shared" si="9"/>
        <v>2048</v>
      </c>
      <c r="AE41" s="152">
        <f t="shared" si="9"/>
        <v>2049</v>
      </c>
      <c r="AF41" s="152">
        <f t="shared" si="9"/>
        <v>2050</v>
      </c>
      <c r="AG41" s="152">
        <f t="shared" si="9"/>
        <v>2051</v>
      </c>
      <c r="AH41" s="152">
        <f t="shared" si="9"/>
        <v>2052</v>
      </c>
      <c r="AI41" s="152">
        <f t="shared" si="9"/>
        <v>2053</v>
      </c>
      <c r="AJ41" s="152"/>
    </row>
    <row r="42" spans="1:36">
      <c r="A42" s="6" t="s">
        <v>134</v>
      </c>
      <c r="B42" s="119">
        <f>B15/(1+'Financial Information'!$B$5)^(B$28-$B$28)</f>
        <v>65.260450182206341</v>
      </c>
      <c r="C42" s="119">
        <f>C15/(1+'Financial Information'!$B$5)^(C$28-$B$28)</f>
        <v>95.670684812241348</v>
      </c>
      <c r="D42" s="119">
        <f>D15/(1+'Financial Information'!$B$5)^(D$28-$B$28)</f>
        <v>123.09266850550476</v>
      </c>
      <c r="E42" s="119">
        <f>E15/(1+'Financial Information'!$B$5)^(E$28-$B$28)</f>
        <v>110.3423278685908</v>
      </c>
      <c r="F42" s="119">
        <f>F15/(1+'Financial Information'!$B$5)^(F$28-$B$28)</f>
        <v>99.251999617653368</v>
      </c>
      <c r="G42" s="119">
        <f>G15/(1+'Financial Information'!$B$5)^(G$28-$B$28)</f>
        <v>87.236463254682732</v>
      </c>
      <c r="H42" s="119">
        <f>H15/(1+'Financial Information'!$B$5)^(H$28-$B$28)</f>
        <v>72.209878742626842</v>
      </c>
      <c r="I42" s="119">
        <f>I15/(1+'Financial Information'!$B$5)^(I$28-$B$28)</f>
        <v>65.776198490761217</v>
      </c>
      <c r="J42" s="119">
        <f>J15/(1+'Financial Information'!$B$5)^(J$28-$B$28)</f>
        <v>60.015159466469328</v>
      </c>
      <c r="K42" s="119">
        <f>K15/(1+'Financial Information'!$B$5)^(K$28-$B$28)</f>
        <v>54.842529437059518</v>
      </c>
      <c r="L42" s="119">
        <f>L15/(1+'Financial Information'!$B$5)^(L$28-$B$28)</f>
        <v>50.063063142283596</v>
      </c>
      <c r="M42" s="119">
        <f>M15/(1+'Financial Information'!$B$5)^(M$28-$B$28)</f>
        <v>45.685746667320686</v>
      </c>
      <c r="N42" s="119">
        <f>N15/(1+'Financial Information'!$B$5)^(N$28-$B$28)</f>
        <v>41.663810762062894</v>
      </c>
      <c r="O42" s="119">
        <f>O15/(1+'Financial Information'!$B$5)^(O$28-$B$28)</f>
        <v>38.004159133502633</v>
      </c>
      <c r="P42" s="119">
        <f>P15/(1+'Financial Information'!$B$5)^(P$28-$B$28)</f>
        <v>34.594178141826397</v>
      </c>
      <c r="Q42" s="119">
        <f>Q15/(1+'Financial Information'!$B$5)^(Q$28-$B$28)</f>
        <v>31.467085235523829</v>
      </c>
      <c r="R42" s="119">
        <f>R15/(1+'Financial Information'!$B$5)^(R$28-$B$28)</f>
        <v>28.556029265028624</v>
      </c>
      <c r="S42" s="119">
        <f>S15/(1+'Financial Information'!$B$5)^(S$28-$B$28)</f>
        <v>25.923671058538908</v>
      </c>
      <c r="T42" s="119">
        <f>T15/(1+'Financial Information'!$B$5)^(T$28-$B$28)</f>
        <v>24.302460071004031</v>
      </c>
      <c r="U42" s="119">
        <f>U15/(1+'Financial Information'!$B$5)^(U$28-$B$28)</f>
        <v>22.47210636589875</v>
      </c>
      <c r="V42" s="119">
        <f>V15/(1+'Financial Information'!$B$5)^(V$28-$B$28)</f>
        <v>20.321524261026781</v>
      </c>
      <c r="W42" s="119">
        <f>W15/(1+'Financial Information'!$B$5)^(W$28-$B$28)</f>
        <v>18.368381113610976</v>
      </c>
      <c r="X42" s="119">
        <f>X15/(1+'Financial Information'!$B$5)^(X$28-$B$28)</f>
        <v>16.632430176980964</v>
      </c>
      <c r="Y42" s="119">
        <f>Y15/(1+'Financial Information'!$B$5)^(Y$28-$B$28)</f>
        <v>15.026179470220866</v>
      </c>
      <c r="Z42" s="119">
        <f>Z15/(1+'Financial Information'!$B$5)^(Z$28-$B$28)</f>
        <v>13.604762985175954</v>
      </c>
      <c r="AA42" s="119">
        <f>AA15/(1+'Financial Information'!$B$5)^(AA$28-$B$28)</f>
        <v>12.278499130739975</v>
      </c>
      <c r="AB42" s="119">
        <f>AB15/(1+'Financial Information'!$B$5)^(AB$28-$B$28)</f>
        <v>11.098008139710984</v>
      </c>
      <c r="AC42" s="119">
        <f>AC15/(1+'Financial Information'!$B$5)^(AC$28-$B$28)</f>
        <v>10.008361154503485</v>
      </c>
      <c r="AD42" s="211">
        <f>AD15/(1+'Financial Information'!$B$5)^(AD$28-$B$28)</f>
        <v>9.3885499439786422</v>
      </c>
      <c r="AE42" s="119">
        <f>AE15/(1+'Financial Information'!$B$5)^(AE$28-$B$28)</f>
        <v>7.9514309956645066</v>
      </c>
      <c r="AF42" s="119">
        <f>AF15/(1+'Financial Information'!$B$5)^(AF$28-$B$28)</f>
        <v>5.2989347528844011</v>
      </c>
      <c r="AG42" s="119">
        <f>AG15/(1+'Financial Information'!$B$5)^(AG$28-$B$28)</f>
        <v>2.8960604241996695</v>
      </c>
      <c r="AH42" s="119">
        <f>AH15/(1+'Financial Information'!$B$5)^(AH$28-$B$28)</f>
        <v>0.41566066557171555</v>
      </c>
      <c r="AI42" s="119">
        <f>AI15/(1+'Financial Information'!$B$5)^(AI$28-$B$28)</f>
        <v>0.37490309689796597</v>
      </c>
      <c r="AJ42" s="119"/>
    </row>
    <row r="43" spans="1:36">
      <c r="A43" s="6" t="s">
        <v>135</v>
      </c>
      <c r="B43" s="119">
        <f>B16/(1+'Financial Information'!$B$5)^(B$28-$B$28)</f>
        <v>0</v>
      </c>
      <c r="C43" s="119">
        <f>C16/(1+'Financial Information'!$B$5)^(C$28-$B$28)</f>
        <v>0</v>
      </c>
      <c r="D43" s="119">
        <f>D16/(1+'Financial Information'!$B$5)^(D$28-$B$28)</f>
        <v>27.104402529171068</v>
      </c>
      <c r="E43" s="119">
        <f>E16/(1+'Financial Information'!$B$5)^(E$28-$B$28)</f>
        <v>71.677271703898896</v>
      </c>
      <c r="F43" s="119">
        <f>F16/(1+'Financial Information'!$B$5)^(F$28-$B$28)</f>
        <v>106.71659618161929</v>
      </c>
      <c r="G43" s="119">
        <f>G16/(1+'Financial Information'!$B$5)^(G$28-$B$28)</f>
        <v>94.968223232679676</v>
      </c>
      <c r="H43" s="119">
        <f>H16/(1+'Financial Information'!$B$5)^(H$28-$B$28)</f>
        <v>84.930290419949785</v>
      </c>
      <c r="I43" s="119">
        <f>I16/(1+'Financial Information'!$B$5)^(I$28-$B$28)</f>
        <v>71.369318056281188</v>
      </c>
      <c r="J43" s="119">
        <f>J16/(1+'Financial Information'!$B$5)^(J$28-$B$28)</f>
        <v>64.616065941150438</v>
      </c>
      <c r="K43" s="119">
        <f>K16/(1+'Financial Information'!$B$5)^(K$28-$B$28)</f>
        <v>58.847825074856878</v>
      </c>
      <c r="L43" s="119">
        <f>L16/(1+'Financial Information'!$B$5)^(L$28-$B$28)</f>
        <v>53.786374701416463</v>
      </c>
      <c r="M43" s="119">
        <f>M16/(1+'Financial Information'!$B$5)^(M$28-$B$28)</f>
        <v>49.250786941365043</v>
      </c>
      <c r="N43" s="119">
        <f>N16/(1+'Financial Information'!$B$5)^(N$28-$B$28)</f>
        <v>45.08657486113227</v>
      </c>
      <c r="O43" s="119">
        <f>O16/(1+'Financial Information'!$B$5)^(O$28-$B$28)</f>
        <v>41.252032029110545</v>
      </c>
      <c r="P43" s="119">
        <f>P16/(1+'Financial Information'!$B$5)^(P$28-$B$28)</f>
        <v>37.704265111778128</v>
      </c>
      <c r="Q43" s="119">
        <f>Q16/(1+'Financial Information'!$B$5)^(Q$28-$B$28)</f>
        <v>34.471759461208883</v>
      </c>
      <c r="R43" s="119">
        <f>R16/(1+'Financial Information'!$B$5)^(R$28-$B$28)</f>
        <v>31.510242239544308</v>
      </c>
      <c r="S43" s="119">
        <f>S16/(1+'Financial Information'!$B$5)^(S$28-$B$28)</f>
        <v>28.771416472238894</v>
      </c>
      <c r="T43" s="119">
        <f>T16/(1+'Financial Information'!$B$5)^(T$28-$B$28)</f>
        <v>28.186255215442095</v>
      </c>
      <c r="U43" s="119">
        <f>U16/(1+'Financial Information'!$B$5)^(U$28-$B$28)</f>
        <v>25.599452768354144</v>
      </c>
      <c r="V43" s="119">
        <f>V16/(1+'Financial Information'!$B$5)^(V$28-$B$28)</f>
        <v>23.223951483068507</v>
      </c>
      <c r="W43" s="119">
        <f>W16/(1+'Financial Information'!$B$5)^(W$28-$B$28)</f>
        <v>21.051786711251751</v>
      </c>
      <c r="X43" s="119">
        <f>X16/(1+'Financial Information'!$B$5)^(X$28-$B$28)</f>
        <v>19.118354143731811</v>
      </c>
      <c r="Y43" s="119">
        <f>Y16/(1+'Financial Information'!$B$5)^(Y$28-$B$28)</f>
        <v>17.388538002102155</v>
      </c>
      <c r="Z43" s="119">
        <f>Z16/(1+'Financial Information'!$B$5)^(Z$28-$B$28)</f>
        <v>15.82103716639633</v>
      </c>
      <c r="AA43" s="119">
        <f>AA16/(1+'Financial Information'!$B$5)^(AA$28-$B$28)</f>
        <v>14.367151034475768</v>
      </c>
      <c r="AB43" s="119">
        <f>AB16/(1+'Financial Information'!$B$5)^(AB$28-$B$28)</f>
        <v>13.070098401550514</v>
      </c>
      <c r="AC43" s="119">
        <f>AC16/(1+'Financial Information'!$B$5)^(AC$28-$B$28)</f>
        <v>11.873952695715952</v>
      </c>
      <c r="AD43" s="211">
        <f>AD16/(1+'Financial Information'!$B$5)^(AD$28-$B$28)</f>
        <v>10.792396380648784</v>
      </c>
      <c r="AE43" s="119">
        <f>AE16/(1+'Financial Information'!$B$5)^(AE$28-$B$28)</f>
        <v>9.7892282563921427</v>
      </c>
      <c r="AF43" s="119">
        <f>AF16/(1+'Financial Information'!$B$5)^(AF$28-$B$28)</f>
        <v>8.8893100063044432</v>
      </c>
      <c r="AG43" s="119">
        <f>AG16/(1+'Financial Information'!$B$5)^(AG$28-$B$28)</f>
        <v>8.5564850648572275</v>
      </c>
      <c r="AH43" s="119">
        <f>AH16/(1+'Financial Information'!$B$5)^(AH$28-$B$28)</f>
        <v>6.8276065268349155</v>
      </c>
      <c r="AI43" s="119">
        <f>AI16/(1+'Financial Information'!$B$5)^(AI$28-$B$28)</f>
        <v>3.6792355349898176</v>
      </c>
      <c r="AJ43" s="119"/>
    </row>
    <row r="44" spans="1:36">
      <c r="A44" s="6" t="s">
        <v>60</v>
      </c>
      <c r="B44" s="119">
        <f>B17/(1+'Financial Information'!$B$5)^(B$28-$B$28)</f>
        <v>0</v>
      </c>
      <c r="C44" s="119">
        <f>C17/(1+'Financial Information'!$B$5)^(C$28-$B$28)</f>
        <v>0</v>
      </c>
      <c r="D44" s="119">
        <f>D17/(1+'Financial Information'!$B$5)^(D$28-$B$28)</f>
        <v>0</v>
      </c>
      <c r="E44" s="119">
        <f>E17/(1+'Financial Information'!$B$5)^(E$28-$B$28)</f>
        <v>0</v>
      </c>
      <c r="F44" s="119">
        <f>F17/(1+'Financial Information'!$B$5)^(F$28-$B$28)</f>
        <v>0</v>
      </c>
      <c r="G44" s="119">
        <f>G17/(1+'Financial Information'!$B$5)^(G$28-$B$28)</f>
        <v>0</v>
      </c>
      <c r="H44" s="119">
        <f>H17/(1+'Financial Information'!$B$5)^(H$28-$B$28)</f>
        <v>0</v>
      </c>
      <c r="I44" s="119">
        <f>I17/(1+'Financial Information'!$B$5)^(I$28-$B$28)</f>
        <v>6.8065319934405428</v>
      </c>
      <c r="J44" s="119">
        <f>J17/(1+'Financial Information'!$B$5)^(J$28-$B$28)</f>
        <v>10.690057290776666</v>
      </c>
      <c r="K44" s="119">
        <f>K17/(1+'Financial Information'!$B$5)^(K$28-$B$28)</f>
        <v>15.857655953805649</v>
      </c>
      <c r="L44" s="119">
        <f>L17/(1+'Financial Information'!$B$5)^(L$28-$B$28)</f>
        <v>18.481386431945914</v>
      </c>
      <c r="M44" s="119">
        <f>M17/(1+'Financial Information'!$B$5)^(M$28-$B$28)</f>
        <v>22.348513128895039</v>
      </c>
      <c r="N44" s="119">
        <f>N17/(1+'Financial Information'!$B$5)^(N$28-$B$28)</f>
        <v>23.994861376548482</v>
      </c>
      <c r="O44" s="119">
        <f>O17/(1+'Financial Information'!$B$5)^(O$28-$B$28)</f>
        <v>26.829352716715064</v>
      </c>
      <c r="P44" s="119">
        <f>P17/(1+'Financial Information'!$B$5)^(P$28-$B$28)</f>
        <v>88.9550561173848</v>
      </c>
      <c r="Q44" s="119">
        <f>Q17/(1+'Financial Information'!$B$5)^(Q$28-$B$28)</f>
        <v>225.09784773874389</v>
      </c>
      <c r="R44" s="119">
        <f>R17/(1+'Financial Information'!$B$5)^(R$28-$B$28)</f>
        <v>210.14172390797253</v>
      </c>
      <c r="S44" s="119">
        <f>S17/(1+'Financial Information'!$B$5)^(S$28-$B$28)</f>
        <v>194.79830054252918</v>
      </c>
      <c r="T44" s="119">
        <f>T17/(1+'Financial Information'!$B$5)^(T$28-$B$28)</f>
        <v>186.33624121156328</v>
      </c>
      <c r="U44" s="119">
        <f>U17/(1+'Financial Information'!$B$5)^(U$28-$B$28)</f>
        <v>175.57419550385399</v>
      </c>
      <c r="V44" s="119">
        <f>V17/(1+'Financial Information'!$B$5)^(V$28-$B$28)</f>
        <v>163.84515780525754</v>
      </c>
      <c r="W44" s="119">
        <f>W17/(1+'Financial Information'!$B$5)^(W$28-$B$28)</f>
        <v>151.75386983266853</v>
      </c>
      <c r="X44" s="119">
        <f>X17/(1+'Financial Information'!$B$5)^(X$28-$B$28)</f>
        <v>168.29959195423737</v>
      </c>
      <c r="Y44" s="119">
        <f>Y17/(1+'Financial Information'!$B$5)^(Y$28-$B$28)</f>
        <v>240.7598407223953</v>
      </c>
      <c r="Z44" s="119">
        <f>Z17/(1+'Financial Information'!$B$5)^(Z$28-$B$28)</f>
        <v>225.69584068307202</v>
      </c>
      <c r="AA44" s="119">
        <f>AA17/(1+'Financial Information'!$B$5)^(AA$28-$B$28)</f>
        <v>212.7492454243806</v>
      </c>
      <c r="AB44" s="119">
        <f>AB17/(1+'Financial Information'!$B$5)^(AB$28-$B$28)</f>
        <v>198.44590105515422</v>
      </c>
      <c r="AC44" s="119">
        <f>AC17/(1+'Financial Information'!$B$5)^(AC$28-$B$28)</f>
        <v>182.30697222278701</v>
      </c>
      <c r="AD44" s="211">
        <f>AD17/(1+'Financial Information'!$B$5)^(AD$28-$B$28)</f>
        <v>165.60510671128793</v>
      </c>
      <c r="AE44" s="119">
        <f>AE17/(1+'Financial Information'!$B$5)^(AE$28-$B$28)</f>
        <v>150.36148482873168</v>
      </c>
      <c r="AF44" s="119">
        <f>AF17/(1+'Financial Information'!$B$5)^(AF$28-$B$28)</f>
        <v>136.45483625090628</v>
      </c>
      <c r="AG44" s="119">
        <f>AG17/(1+'Financial Information'!$B$5)^(AG$28-$B$28)</f>
        <v>123.74096019881367</v>
      </c>
      <c r="AH44" s="119">
        <f>AH17/(1+'Financial Information'!$B$5)^(AH$28-$B$28)</f>
        <v>112.10554241916785</v>
      </c>
      <c r="AI44" s="119">
        <f>AI17/(1+'Financial Information'!$B$5)^(AI$28-$B$28)</f>
        <v>101.46553419260681</v>
      </c>
      <c r="AJ44" s="119"/>
    </row>
    <row r="45" spans="1:36">
      <c r="A45" s="6" t="s">
        <v>68</v>
      </c>
      <c r="B45" s="119">
        <f>B18/(1+'Financial Information'!$B$5)^(B$28-$B$28)</f>
        <v>445.38108</v>
      </c>
      <c r="C45" s="119">
        <f>C18/(1+'Financial Information'!$B$5)^(C$28-$B$28)</f>
        <v>405.95848172446119</v>
      </c>
      <c r="D45" s="119">
        <f>D18/(1+'Financial Information'!$B$5)^(D$28-$B$28)</f>
        <v>383.04511506040029</v>
      </c>
      <c r="E45" s="119">
        <f>E18/(1+'Financial Information'!$B$5)^(E$28-$B$28)</f>
        <v>375.42940625433778</v>
      </c>
      <c r="F45" s="119">
        <f>F18/(1+'Financial Information'!$B$5)^(F$28-$B$28)</f>
        <v>231.79327266520852</v>
      </c>
      <c r="G45" s="119">
        <f>G18/(1+'Financial Information'!$B$5)^(G$28-$B$28)</f>
        <v>106.90762708059813</v>
      </c>
      <c r="H45" s="119">
        <f>H18/(1+'Financial Information'!$B$5)^(H$28-$B$28)</f>
        <v>39.084411000131446</v>
      </c>
      <c r="I45" s="119">
        <f>I18/(1+'Financial Information'!$B$5)^(I$28-$B$28)</f>
        <v>20.672035646629393</v>
      </c>
      <c r="J45" s="119">
        <f>J18/(1+'Financial Information'!$B$5)^(J$28-$B$28)</f>
        <v>12.518563020135373</v>
      </c>
      <c r="K45" s="119">
        <f>K18/(1+'Financial Information'!$B$5)^(K$28-$B$28)</f>
        <v>12.04578815746588</v>
      </c>
      <c r="L45" s="119">
        <f>L18/(1+'Financial Information'!$B$5)^(L$28-$B$28)</f>
        <v>11.558260882321816</v>
      </c>
      <c r="M45" s="119">
        <f>M18/(1+'Financial Information'!$B$5)^(M$28-$B$28)</f>
        <v>11.148437911064196</v>
      </c>
      <c r="N45" s="119">
        <f>N18/(1+'Financial Information'!$B$5)^(N$28-$B$28)</f>
        <v>10.706365919584599</v>
      </c>
      <c r="O45" s="119">
        <f>O18/(1+'Financial Information'!$B$5)^(O$28-$B$28)</f>
        <v>10.313431573744268</v>
      </c>
      <c r="P45" s="119">
        <f>P18/(1+'Financial Information'!$B$5)^(P$28-$B$28)</f>
        <v>12.296321501530654</v>
      </c>
      <c r="Q45" s="119">
        <f>Q18/(1+'Financial Information'!$B$5)^(Q$28-$B$28)</f>
        <v>13.399041765963331</v>
      </c>
      <c r="R45" s="119">
        <f>R18/(1+'Financial Information'!$B$5)^(R$28-$B$28)</f>
        <v>13.001269707392375</v>
      </c>
      <c r="S45" s="119">
        <f>S18/(1+'Financial Information'!$B$5)^(S$28-$B$28)</f>
        <v>12.577273952430309</v>
      </c>
      <c r="T45" s="119">
        <f>T18/(1+'Financial Information'!$B$5)^(T$28-$B$28)</f>
        <v>12.45577671575567</v>
      </c>
      <c r="U45" s="119">
        <f>U18/(1+'Financial Information'!$B$5)^(U$28-$B$28)</f>
        <v>12.208668559413129</v>
      </c>
      <c r="V45" s="119">
        <f>V18/(1+'Financial Information'!$B$5)^(V$28-$B$28)</f>
        <v>11.88782811627196</v>
      </c>
      <c r="W45" s="119">
        <f>W18/(1+'Financial Information'!$B$5)^(W$28-$B$28)</f>
        <v>11.495002470676392</v>
      </c>
      <c r="X45" s="119">
        <f>X18/(1+'Financial Information'!$B$5)^(X$28-$B$28)</f>
        <v>12.343675152163351</v>
      </c>
      <c r="Y45" s="119">
        <f>Y18/(1+'Financial Information'!$B$5)^(Y$28-$B$28)</f>
        <v>12.746770736339036</v>
      </c>
      <c r="Z45" s="119">
        <f>Z18/(1+'Financial Information'!$B$5)^(Z$28-$B$28)</f>
        <v>12.554886653744788</v>
      </c>
      <c r="AA45" s="119">
        <f>AA18/(1+'Financial Information'!$B$5)^(AA$28-$B$28)</f>
        <v>12.337698443577423</v>
      </c>
      <c r="AB45" s="119">
        <f>AB18/(1+'Financial Information'!$B$5)^(AB$28-$B$28)</f>
        <v>11.935134398748</v>
      </c>
      <c r="AC45" s="119">
        <f>AC18/(1+'Financial Information'!$B$5)^(AC$28-$B$28)</f>
        <v>11.535005812773326</v>
      </c>
      <c r="AD45" s="211">
        <f>AD18/(1+'Financial Information'!$B$5)^(AD$28-$B$28)</f>
        <v>11.050358019832974</v>
      </c>
      <c r="AE45" s="119">
        <f>AE18/(1+'Financial Information'!$B$5)^(AE$28-$B$28)</f>
        <v>10.205761010537286</v>
      </c>
      <c r="AF45" s="119">
        <f>AF18/(1+'Financial Information'!$B$5)^(AF$28-$B$28)</f>
        <v>8.9725777167932979</v>
      </c>
      <c r="AG45" s="119">
        <f>AG18/(1+'Financial Information'!$B$5)^(AG$28-$B$28)</f>
        <v>7.8983238293250473</v>
      </c>
      <c r="AH45" s="119">
        <f>AH18/(1+'Financial Information'!$B$5)^(AH$28-$B$28)</f>
        <v>7.1234484602986452</v>
      </c>
      <c r="AI45" s="119">
        <f>AI18/(1+'Financial Information'!$B$5)^(AI$28-$B$28)</f>
        <v>6.8159373509703727</v>
      </c>
      <c r="AJ45" s="119"/>
    </row>
    <row r="46" spans="1:36">
      <c r="A46" s="6" t="s">
        <v>67</v>
      </c>
      <c r="B46" s="119">
        <f>B19/(1+'Financial Information'!$B$5)^(B$28-$B$28)</f>
        <v>390.67816000000005</v>
      </c>
      <c r="C46" s="119">
        <f>C19/(1+'Financial Information'!$B$5)^(C$28-$B$28)</f>
        <v>360.70502343017807</v>
      </c>
      <c r="D46" s="119">
        <f>D19/(1+'Financial Information'!$B$5)^(D$28-$B$28)</f>
        <v>335.3589889757389</v>
      </c>
      <c r="E46" s="119">
        <f>E19/(1+'Financial Information'!$B$5)^(E$28-$B$28)</f>
        <v>314.30083315439447</v>
      </c>
      <c r="F46" s="119">
        <f>F19/(1+'Financial Information'!$B$5)^(F$28-$B$28)</f>
        <v>295.33513302110208</v>
      </c>
      <c r="G46" s="119">
        <f>G19/(1+'Financial Information'!$B$5)^(G$28-$B$28)</f>
        <v>276.06838970105849</v>
      </c>
      <c r="H46" s="119">
        <f>H19/(1+'Financial Information'!$B$5)^(H$28-$B$28)</f>
        <v>258.73326797724263</v>
      </c>
      <c r="I46" s="119">
        <f>I19/(1+'Financial Information'!$B$5)^(I$28-$B$28)</f>
        <v>242.48665529579867</v>
      </c>
      <c r="J46" s="119">
        <f>J19/(1+'Financial Information'!$B$5)^(J$28-$B$28)</f>
        <v>227.85440863960679</v>
      </c>
      <c r="K46" s="119">
        <f>K19/(1+'Financial Information'!$B$5)^(K$28-$B$28)</f>
        <v>212.98990297394212</v>
      </c>
      <c r="L46" s="119">
        <f>L19/(1+'Financial Information'!$B$5)^(L$28-$B$28)</f>
        <v>199.61565414615006</v>
      </c>
      <c r="M46" s="119">
        <f>M19/(1+'Financial Information'!$B$5)^(M$28-$B$28)</f>
        <v>187.08120798304273</v>
      </c>
      <c r="N46" s="119">
        <f>N19/(1+'Financial Information'!$B$5)^(N$28-$B$28)</f>
        <v>175.79226353945276</v>
      </c>
      <c r="O46" s="119">
        <f>O19/(1+'Financial Information'!$B$5)^(O$28-$B$28)</f>
        <v>164.32412863276659</v>
      </c>
      <c r="P46" s="119">
        <f>P19/(1+'Financial Information'!$B$5)^(P$28-$B$28)</f>
        <v>186.44966316241698</v>
      </c>
      <c r="Q46" s="119">
        <f>Q19/(1+'Financial Information'!$B$5)^(Q$28-$B$28)</f>
        <v>197.15453677261414</v>
      </c>
      <c r="R46" s="119">
        <f>R19/(1+'Financial Information'!$B$5)^(R$28-$B$28)</f>
        <v>189.57653911130575</v>
      </c>
      <c r="S46" s="119">
        <f>S19/(1+'Financial Information'!$B$5)^(S$28-$B$28)</f>
        <v>180.88703918449522</v>
      </c>
      <c r="T46" s="119">
        <f>T19/(1+'Financial Information'!$B$5)^(T$28-$B$28)</f>
        <v>178.39124480485597</v>
      </c>
      <c r="U46" s="119">
        <f>U19/(1+'Financial Information'!$B$5)^(U$28-$B$28)</f>
        <v>173.12248150918163</v>
      </c>
      <c r="V46" s="119">
        <f>V19/(1+'Financial Information'!$B$5)^(V$28-$B$28)</f>
        <v>166.34094227998114</v>
      </c>
      <c r="W46" s="119">
        <f>W19/(1+'Financial Information'!$B$5)^(W$28-$B$28)</f>
        <v>158.63344732188511</v>
      </c>
      <c r="X46" s="119">
        <f>X19/(1+'Financial Information'!$B$5)^(X$28-$B$28)</f>
        <v>167.25253218717796</v>
      </c>
      <c r="Y46" s="119">
        <f>Y19/(1+'Financial Information'!$B$5)^(Y$28-$B$28)</f>
        <v>169.20410153420846</v>
      </c>
      <c r="Z46" s="119">
        <f>Z19/(1+'Financial Information'!$B$5)^(Z$28-$B$28)</f>
        <v>165.54425278071812</v>
      </c>
      <c r="AA46" s="119">
        <f>AA19/(1+'Financial Information'!$B$5)^(AA$28-$B$28)</f>
        <v>163.15723205106997</v>
      </c>
      <c r="AB46" s="119">
        <f>AB19/(1+'Financial Information'!$B$5)^(AB$28-$B$28)</f>
        <v>158.36536962218472</v>
      </c>
      <c r="AC46" s="119">
        <f>AC19/(1+'Financial Information'!$B$5)^(AC$28-$B$28)</f>
        <v>150.5725221084063</v>
      </c>
      <c r="AD46" s="211">
        <f>AD19/(1+'Financial Information'!$B$5)^(AD$28-$B$28)</f>
        <v>141.11764021406404</v>
      </c>
      <c r="AE46" s="119">
        <f>AE19/(1+'Financial Information'!$B$5)^(AE$28-$B$28)</f>
        <v>132.25645755769824</v>
      </c>
      <c r="AF46" s="119">
        <f>AF19/(1+'Financial Information'!$B$5)^(AF$28-$B$28)</f>
        <v>123.95169405594963</v>
      </c>
      <c r="AG46" s="119">
        <f>AG19/(1+'Financial Information'!$B$5)^(AG$28-$B$28)</f>
        <v>116.16841054915618</v>
      </c>
      <c r="AH46" s="119">
        <f>AH19/(1+'Financial Information'!$B$5)^(AH$28-$B$28)</f>
        <v>108.87386180801893</v>
      </c>
      <c r="AI46" s="119">
        <f>AI19/(1+'Financial Information'!$B$5)^(AI$28-$B$28)</f>
        <v>102.03735877040201</v>
      </c>
      <c r="AJ46" s="119"/>
    </row>
    <row r="47" spans="1:36">
      <c r="A47" s="6" t="s">
        <v>383</v>
      </c>
      <c r="B47" s="119">
        <f>B20/(1+'Financial Information'!$B$5)^(B$28-$B$28)</f>
        <v>0</v>
      </c>
      <c r="C47" s="119">
        <f>C20/(1+'Financial Information'!$B$5)^(C$28-$B$28)</f>
        <v>0.95602539473914416</v>
      </c>
      <c r="D47" s="119">
        <f>D20/(1+'Financial Information'!$B$5)^(D$28-$B$28)</f>
        <v>0.55120123026807166</v>
      </c>
      <c r="E47" s="119">
        <f>E20/(1+'Financial Information'!$B$5)^(E$28-$B$28)</f>
        <v>0.5623101071629828</v>
      </c>
      <c r="F47" s="119">
        <f>F20/(1+'Financial Information'!$B$5)^(F$28-$B$28)</f>
        <v>0.52054864825483194</v>
      </c>
      <c r="G47" s="119">
        <f>G20/(1+'Financial Information'!$B$5)^(G$28-$B$28)</f>
        <v>0.47447401205225109</v>
      </c>
      <c r="H47" s="119">
        <f>H20/(1+'Financial Information'!$B$5)^(H$28-$B$28)</f>
        <v>0.34594805194586459</v>
      </c>
      <c r="I47" s="119">
        <f>I20/(1+'Financial Information'!$B$5)^(I$28-$B$28)</f>
        <v>0.35889584333158642</v>
      </c>
      <c r="J47" s="119">
        <f>J20/(1+'Financial Information'!$B$5)^(J$28-$B$28)</f>
        <v>0.31198140715775902</v>
      </c>
      <c r="K47" s="119">
        <f>K20/(1+'Financial Information'!$B$5)^(K$28-$B$28)</f>
        <v>0.30427695800079424</v>
      </c>
      <c r="L47" s="119">
        <f>L20/(1+'Financial Information'!$B$5)^(L$28-$B$28)</f>
        <v>0.30795444784735088</v>
      </c>
      <c r="M47" s="119">
        <f>M20/(1+'Financial Information'!$B$5)^(M$28-$B$28)</f>
        <v>0.18247509532472547</v>
      </c>
      <c r="N47" s="119">
        <f>N20/(1+'Financial Information'!$B$5)^(N$28-$B$28)</f>
        <v>0.16938864297452635</v>
      </c>
      <c r="O47" s="119">
        <f>O20/(1+'Financial Information'!$B$5)^(O$28-$B$28)</f>
        <v>0.18396491954915264</v>
      </c>
      <c r="P47" s="119">
        <f>P20/(1+'Financial Information'!$B$5)^(P$28-$B$28)</f>
        <v>0.15422719438562776</v>
      </c>
      <c r="Q47" s="119">
        <f>Q20/(1+'Financial Information'!$B$5)^(Q$28-$B$28)</f>
        <v>0.15098936805677604</v>
      </c>
      <c r="R47" s="119">
        <f>R20/(1+'Financial Information'!$B$5)^(R$28-$B$28)</f>
        <v>0.15539588507457328</v>
      </c>
      <c r="S47" s="119">
        <f>S20/(1+'Financial Information'!$B$5)^(S$28-$B$28)</f>
        <v>0.13751918551195877</v>
      </c>
      <c r="T47" s="119">
        <f>T20/(1+'Financial Information'!$B$5)^(T$28-$B$28)</f>
        <v>0.12817027651588755</v>
      </c>
      <c r="U47" s="119">
        <f>U20/(1+'Financial Information'!$B$5)^(U$28-$B$28)</f>
        <v>0.13758403227896901</v>
      </c>
      <c r="V47" s="119">
        <f>V20/(1+'Financial Information'!$B$5)^(V$28-$B$28)</f>
        <v>0.11698394016848228</v>
      </c>
      <c r="W47" s="119">
        <f>W20/(1+'Financial Information'!$B$5)^(W$28-$B$28)</f>
        <v>0.11435737038101808</v>
      </c>
      <c r="X47" s="119">
        <f>X20/(1+'Financial Information'!$B$5)^(X$28-$B$28)</f>
        <v>0.11692608052186379</v>
      </c>
      <c r="Y47" s="119">
        <f>Y20/(1+'Financial Information'!$B$5)^(Y$28-$B$28)</f>
        <v>0.10440876415134408</v>
      </c>
      <c r="Z47" s="119">
        <f>Z20/(1+'Financial Information'!$B$5)^(Z$28-$B$28)</f>
        <v>9.7684384896888563E-2</v>
      </c>
      <c r="AA47" s="119">
        <f>AA20/(1+'Financial Information'!$B$5)^(AA$28-$B$28)</f>
        <v>0.10368824913571693</v>
      </c>
      <c r="AB47" s="119">
        <f>AB20/(1+'Financial Information'!$B$5)^(AB$28-$B$28)</f>
        <v>8.2564650928115241E-2</v>
      </c>
      <c r="AC47" s="119">
        <f>AC20/(1+'Financial Information'!$B$5)^(AC$28-$B$28)</f>
        <v>8.3465961159684646E-2</v>
      </c>
      <c r="AD47" s="211">
        <f>AD20/(1+'Financial Information'!$B$5)^(AD$28-$B$28)</f>
        <v>7.5842450435234077E-2</v>
      </c>
      <c r="AE47" s="119">
        <f>AE20/(1+'Financial Information'!$B$5)^(AE$28-$B$28)</f>
        <v>7.5909008158437943E-2</v>
      </c>
      <c r="AF47" s="119">
        <f>AF20/(1+'Financial Information'!$B$5)^(AF$28-$B$28)</f>
        <v>6.971161497164291E-2</v>
      </c>
      <c r="AG47" s="119">
        <f>AG20/(1+'Financial Information'!$B$5)^(AG$28-$B$28)</f>
        <v>7.0198508240108884E-2</v>
      </c>
      <c r="AH47" s="119">
        <f>AH20/(1+'Financial Information'!$B$5)^(AH$28-$B$28)</f>
        <v>6.1905223697295828E-2</v>
      </c>
      <c r="AI47" s="119">
        <f>AI20/(1+'Financial Information'!$B$5)^(AI$28-$B$28)</f>
        <v>5.822845688296438E-2</v>
      </c>
      <c r="AJ47" s="119"/>
    </row>
    <row r="48" spans="1:36">
      <c r="A48" s="6" t="s">
        <v>65</v>
      </c>
      <c r="B48" s="119">
        <f>B21/(1+'Financial Information'!$B$5)^(B$28-$B$28)</f>
        <v>849.92173000000025</v>
      </c>
      <c r="C48" s="119">
        <f>C21/(1+'Financial Information'!$B$5)^(C$28-$B$28)</f>
        <v>805.01655107778799</v>
      </c>
      <c r="D48" s="119">
        <f>D21/(1+'Financial Information'!$B$5)^(D$28-$B$28)</f>
        <v>768.91660788993147</v>
      </c>
      <c r="E48" s="119">
        <f>E21/(1+'Financial Information'!$B$5)^(E$28-$B$28)</f>
        <v>722.34969244899207</v>
      </c>
      <c r="F48" s="119">
        <f>F21/(1+'Financial Information'!$B$5)^(F$28-$B$28)</f>
        <v>659.16195037357818</v>
      </c>
      <c r="G48" s="119">
        <f>G21/(1+'Financial Information'!$B$5)^(G$28-$B$28)</f>
        <v>642.8470281164972</v>
      </c>
      <c r="H48" s="119">
        <f>H21/(1+'Financial Information'!$B$5)^(H$28-$B$28)</f>
        <v>641.58109546193589</v>
      </c>
      <c r="I48" s="119">
        <f>I21/(1+'Financial Information'!$B$5)^(I$28-$B$28)</f>
        <v>666.27106453360136</v>
      </c>
      <c r="J48" s="119">
        <f>J21/(1+'Financial Information'!$B$5)^(J$28-$B$28)</f>
        <v>696.44870047427651</v>
      </c>
      <c r="K48" s="119">
        <f>K21/(1+'Financial Information'!$B$5)^(K$28-$B$28)</f>
        <v>697.27686643714117</v>
      </c>
      <c r="L48" s="119">
        <f>L21/(1+'Financial Information'!$B$5)^(L$28-$B$28)</f>
        <v>694.83915989839306</v>
      </c>
      <c r="M48" s="119">
        <f>M21/(1+'Financial Information'!$B$5)^(M$28-$B$28)</f>
        <v>684.45643300245661</v>
      </c>
      <c r="N48" s="119">
        <f>N21/(1+'Financial Information'!$B$5)^(N$28-$B$28)</f>
        <v>668.36555692013621</v>
      </c>
      <c r="O48" s="119">
        <f>O21/(1+'Financial Information'!$B$5)^(O$28-$B$28)</f>
        <v>629.00114941004233</v>
      </c>
      <c r="P48" s="119">
        <f>P21/(1+'Financial Information'!$B$5)^(P$28-$B$28)</f>
        <v>590.83503413684741</v>
      </c>
      <c r="Q48" s="119">
        <f>Q21/(1+'Financial Information'!$B$5)^(Q$28-$B$28)</f>
        <v>572.05608322962235</v>
      </c>
      <c r="R48" s="119">
        <f>R21/(1+'Financial Information'!$B$5)^(R$28-$B$28)</f>
        <v>544.07532535513417</v>
      </c>
      <c r="S48" s="119">
        <f>S21/(1+'Financial Information'!$B$5)^(S$28-$B$28)</f>
        <v>549.76054518401361</v>
      </c>
      <c r="T48" s="119">
        <f>T21/(1+'Financial Information'!$B$5)^(T$28-$B$28)</f>
        <v>544.19591023489068</v>
      </c>
      <c r="U48" s="119">
        <f>U21/(1+'Financial Information'!$B$5)^(U$28-$B$28)</f>
        <v>527.29575421026993</v>
      </c>
      <c r="V48" s="119">
        <f>V21/(1+'Financial Information'!$B$5)^(V$28-$B$28)</f>
        <v>513.75945694355062</v>
      </c>
      <c r="W48" s="119">
        <f>W21/(1+'Financial Information'!$B$5)^(W$28-$B$28)</f>
        <v>506.48745307938884</v>
      </c>
      <c r="X48" s="119">
        <f>X21/(1+'Financial Information'!$B$5)^(X$28-$B$28)</f>
        <v>482.36340045297828</v>
      </c>
      <c r="Y48" s="119">
        <f>Y21/(1+'Financial Information'!$B$5)^(Y$28-$B$28)</f>
        <v>457.28651747080164</v>
      </c>
      <c r="Z48" s="119">
        <f>Z21/(1+'Financial Information'!$B$5)^(Z$28-$B$28)</f>
        <v>450.86107801781736</v>
      </c>
      <c r="AA48" s="119">
        <f>AA21/(1+'Financial Information'!$B$5)^(AA$28-$B$28)</f>
        <v>445.42812870573181</v>
      </c>
      <c r="AB48" s="119">
        <f>AB21/(1+'Financial Information'!$B$5)^(AB$28-$B$28)</f>
        <v>437.55737766598509</v>
      </c>
      <c r="AC48" s="119">
        <f>AC21/(1+'Financial Information'!$B$5)^(AC$28-$B$28)</f>
        <v>414.94679606636544</v>
      </c>
      <c r="AD48" s="211">
        <f>AD21/(1+'Financial Information'!$B$5)^(AD$28-$B$28)</f>
        <v>398.17254589837574</v>
      </c>
      <c r="AE48" s="119">
        <f>AE21/(1+'Financial Information'!$B$5)^(AE$28-$B$28)</f>
        <v>373.02733930725731</v>
      </c>
      <c r="AF48" s="119">
        <f>AF21/(1+'Financial Information'!$B$5)^(AF$28-$B$28)</f>
        <v>356.98823071006871</v>
      </c>
      <c r="AG48" s="119">
        <f>AG21/(1+'Financial Information'!$B$5)^(AG$28-$B$28)</f>
        <v>345.55547370897114</v>
      </c>
      <c r="AH48" s="119">
        <f>AH21/(1+'Financial Information'!$B$5)^(AH$28-$B$28)</f>
        <v>336.94416904395729</v>
      </c>
      <c r="AI48" s="119">
        <f>AI21/(1+'Financial Information'!$B$5)^(AI$28-$B$28)</f>
        <v>326.55672253217426</v>
      </c>
      <c r="AJ48" s="119"/>
    </row>
    <row r="49" spans="1:36">
      <c r="A49" s="6" t="s">
        <v>52</v>
      </c>
      <c r="B49" s="119">
        <f>B22/(1+'Financial Information'!$B$5)^(B$28-$B$28)</f>
        <v>86.065400000000025</v>
      </c>
      <c r="C49" s="119">
        <f>C22/(1+'Financial Information'!$B$5)^(C$28-$B$28)</f>
        <v>85.413842549203366</v>
      </c>
      <c r="D49" s="119">
        <f>D22/(1+'Financial Information'!$B$5)^(D$28-$B$28)</f>
        <v>85.748434987074972</v>
      </c>
      <c r="E49" s="119">
        <f>E22/(1+'Financial Information'!$B$5)^(E$28-$B$28)</f>
        <v>84.567769353951803</v>
      </c>
      <c r="F49" s="119">
        <f>F22/(1+'Financial Information'!$B$5)^(F$28-$B$28)</f>
        <v>85.742871105755185</v>
      </c>
      <c r="G49" s="119">
        <f>G22/(1+'Financial Information'!$B$5)^(G$28-$B$28)</f>
        <v>89.848368578610859</v>
      </c>
      <c r="H49" s="119">
        <f>H22/(1+'Financial Information'!$B$5)^(H$28-$B$28)</f>
        <v>99.525702762258547</v>
      </c>
      <c r="I49" s="119">
        <f>I22/(1+'Financial Information'!$B$5)^(I$28-$B$28)</f>
        <v>105.74530270399084</v>
      </c>
      <c r="J49" s="119">
        <f>J22/(1+'Financial Information'!$B$5)^(J$28-$B$28)</f>
        <v>112.56603883221929</v>
      </c>
      <c r="K49" s="119">
        <f>K22/(1+'Financial Information'!$B$5)^(K$28-$B$28)</f>
        <v>113.68595191433215</v>
      </c>
      <c r="L49" s="119">
        <f>L22/(1+'Financial Information'!$B$5)^(L$28-$B$28)</f>
        <v>118.36410755782337</v>
      </c>
      <c r="M49" s="119">
        <f>M22/(1+'Financial Information'!$B$5)^(M$28-$B$28)</f>
        <v>121.73680290555495</v>
      </c>
      <c r="N49" s="119">
        <f>N22/(1+'Financial Information'!$B$5)^(N$28-$B$28)</f>
        <v>119.47646037476399</v>
      </c>
      <c r="O49" s="119">
        <f>O22/(1+'Financial Information'!$B$5)^(O$28-$B$28)</f>
        <v>120.21167632026427</v>
      </c>
      <c r="P49" s="119">
        <f>P22/(1+'Financial Information'!$B$5)^(P$28-$B$28)</f>
        <v>113.88581013179427</v>
      </c>
      <c r="Q49" s="119">
        <f>Q22/(1+'Financial Information'!$B$5)^(Q$28-$B$28)</f>
        <v>111.78108833455342</v>
      </c>
      <c r="R49" s="119">
        <f>R22/(1+'Financial Information'!$B$5)^(R$28-$B$28)</f>
        <v>111.81917251236884</v>
      </c>
      <c r="S49" s="119">
        <f>S22/(1+'Financial Information'!$B$5)^(S$28-$B$28)</f>
        <v>118.03886193516085</v>
      </c>
      <c r="T49" s="119">
        <f>T22/(1+'Financial Information'!$B$5)^(T$28-$B$28)</f>
        <v>116.26195536301044</v>
      </c>
      <c r="U49" s="119">
        <f>U22/(1+'Financial Information'!$B$5)^(U$28-$B$28)</f>
        <v>120.7291538348682</v>
      </c>
      <c r="V49" s="119">
        <f>V22/(1+'Financial Information'!$B$5)^(V$28-$B$28)</f>
        <v>115.30061213222189</v>
      </c>
      <c r="W49" s="119">
        <f>W22/(1+'Financial Information'!$B$5)^(W$28-$B$28)</f>
        <v>114.79337248769858</v>
      </c>
      <c r="X49" s="119">
        <f>X22/(1+'Financial Information'!$B$5)^(X$28-$B$28)</f>
        <v>109.27577714232025</v>
      </c>
      <c r="Y49" s="119">
        <f>Y22/(1+'Financial Information'!$B$5)^(Y$28-$B$28)</f>
        <v>107.0987747223018</v>
      </c>
      <c r="Z49" s="119">
        <f>Z22/(1+'Financial Information'!$B$5)^(Z$28-$B$28)</f>
        <v>103.5599847554065</v>
      </c>
      <c r="AA49" s="119">
        <f>AA22/(1+'Financial Information'!$B$5)^(AA$28-$B$28)</f>
        <v>102.5892897557743</v>
      </c>
      <c r="AB49" s="119">
        <f>AB22/(1+'Financial Information'!$B$5)^(AB$28-$B$28)</f>
        <v>99.247478034918643</v>
      </c>
      <c r="AC49" s="119">
        <f>AC22/(1+'Financial Information'!$B$5)^(AC$28-$B$28)</f>
        <v>98.092265556484776</v>
      </c>
      <c r="AD49" s="211">
        <f>AD22/(1+'Financial Information'!$B$5)^(AD$28-$B$28)</f>
        <v>94.67885770210853</v>
      </c>
      <c r="AE49" s="119">
        <f>AE22/(1+'Financial Information'!$B$5)^(AE$28-$B$28)</f>
        <v>92.214006424491117</v>
      </c>
      <c r="AF49" s="119">
        <f>AF22/(1+'Financial Information'!$B$5)^(AF$28-$B$28)</f>
        <v>89.105558065052278</v>
      </c>
      <c r="AG49" s="119">
        <f>AG22/(1+'Financial Information'!$B$5)^(AG$28-$B$28)</f>
        <v>89.538696883795595</v>
      </c>
      <c r="AH49" s="119">
        <f>AH22/(1+'Financial Information'!$B$5)^(AH$28-$B$28)</f>
        <v>84.153654226398075</v>
      </c>
      <c r="AI49" s="119">
        <f>AI22/(1+'Financial Information'!$B$5)^(AI$28-$B$28)</f>
        <v>82.540956273909671</v>
      </c>
      <c r="AJ49" s="119"/>
    </row>
    <row r="50" spans="1:36">
      <c r="A50" s="36" t="s">
        <v>66</v>
      </c>
      <c r="B50" s="119">
        <f>B23/(1+'Financial Information'!$B$5)^(B$28-$B$28)</f>
        <v>6.2323630999999988</v>
      </c>
      <c r="C50" s="119">
        <f>C23/(1+'Financial Information'!$B$5)^(C$28-$B$28)</f>
        <v>6.0650449859418947</v>
      </c>
      <c r="D50" s="119">
        <f>D23/(1+'Financial Information'!$B$5)^(D$28-$B$28)</f>
        <v>5.5365197204364742</v>
      </c>
      <c r="E50" s="119">
        <f>E23/(1+'Financial Information'!$B$5)^(E$28-$B$28)</f>
        <v>4.6601527241878271</v>
      </c>
      <c r="F50" s="119">
        <f>F23/(1+'Financial Information'!$B$5)^(F$28-$B$28)</f>
        <v>4.1954043744895646</v>
      </c>
      <c r="G50" s="119">
        <f>G23/(1+'Financial Information'!$B$5)^(G$28-$B$28)</f>
        <v>4.0599911590263416</v>
      </c>
      <c r="H50" s="119">
        <f>H23/(1+'Financial Information'!$B$5)^(H$28-$B$28)</f>
        <v>3.8287826808628367</v>
      </c>
      <c r="I50" s="119">
        <f>I23/(1+'Financial Information'!$B$5)^(I$28-$B$28)</f>
        <v>3.7435777355257183</v>
      </c>
      <c r="J50" s="119">
        <f>J23/(1+'Financial Information'!$B$5)^(J$28-$B$28)</f>
        <v>3.8547390667412063</v>
      </c>
      <c r="K50" s="119">
        <f>K23/(1+'Financial Information'!$B$5)^(K$28-$B$28)</f>
        <v>3.569908290159816</v>
      </c>
      <c r="L50" s="119">
        <f>L23/(1+'Financial Information'!$B$5)^(L$28-$B$28)</f>
        <v>3.4190062781730735</v>
      </c>
      <c r="M50" s="119">
        <f>M23/(1+'Financial Information'!$B$5)^(M$28-$B$28)</f>
        <v>3.1314686420366389</v>
      </c>
      <c r="N50" s="119">
        <f>N23/(1+'Financial Information'!$B$5)^(N$28-$B$28)</f>
        <v>2.7649023024042676</v>
      </c>
      <c r="O50" s="119">
        <f>O23/(1+'Financial Information'!$B$5)^(O$28-$B$28)</f>
        <v>2.4608130751054675</v>
      </c>
      <c r="P50" s="119">
        <f>P23/(1+'Financial Information'!$B$5)^(P$28-$B$28)</f>
        <v>1.0880738122215958</v>
      </c>
      <c r="Q50" s="119">
        <f>Q23/(1+'Financial Information'!$B$5)^(Q$28-$B$28)</f>
        <v>0.63553602535760156</v>
      </c>
      <c r="R50" s="119">
        <f>R23/(1+'Financial Information'!$B$5)^(R$28-$B$28)</f>
        <v>0.5994375984052992</v>
      </c>
      <c r="S50" s="119">
        <f>S23/(1+'Financial Information'!$B$5)^(S$28-$B$28)</f>
        <v>0.56855442593666494</v>
      </c>
      <c r="T50" s="119">
        <f>T23/(1+'Financial Information'!$B$5)^(T$28-$B$28)</f>
        <v>0.53950050286686946</v>
      </c>
      <c r="U50" s="119">
        <f>U23/(1+'Financial Information'!$B$5)^(U$28-$B$28)</f>
        <v>0.51078025284720552</v>
      </c>
      <c r="V50" s="119">
        <f>V23/(1+'Financial Information'!$B$5)^(V$28-$B$28)</f>
        <v>0.48856372267326498</v>
      </c>
      <c r="W50" s="119">
        <f>W23/(1+'Financial Information'!$B$5)^(W$28-$B$28)</f>
        <v>0.46094420389884089</v>
      </c>
      <c r="X50" s="119">
        <f>X23/(1+'Financial Information'!$B$5)^(X$28-$B$28)</f>
        <v>0.43110703840139708</v>
      </c>
      <c r="Y50" s="119">
        <f>Y23/(1+'Financial Information'!$B$5)^(Y$28-$B$28)</f>
        <v>0.41008058575831846</v>
      </c>
      <c r="Z50" s="119">
        <f>Z23/(1+'Financial Information'!$B$5)^(Z$28-$B$28)</f>
        <v>0.38870850158803705</v>
      </c>
      <c r="AA50" s="119">
        <f>AA23/(1+'Financial Information'!$B$5)^(AA$28-$B$28)</f>
        <v>0.36646658393795684</v>
      </c>
      <c r="AB50" s="119">
        <f>AB23/(1+'Financial Information'!$B$5)^(AB$28-$B$28)</f>
        <v>0.3501643360220234</v>
      </c>
      <c r="AC50" s="119">
        <f>AC23/(1+'Financial Information'!$B$5)^(AC$28-$B$28)</f>
        <v>0.3280220019640378</v>
      </c>
      <c r="AD50" s="211">
        <f>AD23/(1+'Financial Information'!$B$5)^(AD$28-$B$28)</f>
        <v>0.30932004965226167</v>
      </c>
      <c r="AE50" s="119">
        <f>AE23/(1+'Financial Information'!$B$5)^(AE$28-$B$28)</f>
        <v>0.29008146260307205</v>
      </c>
      <c r="AF50" s="119">
        <f>AF23/(1+'Financial Information'!$B$5)^(AF$28-$B$28)</f>
        <v>0.27655820007044601</v>
      </c>
      <c r="AG50" s="119">
        <f>AG23/(1+'Financial Information'!$B$5)^(AG$28-$B$28)</f>
        <v>0.26128576199446296</v>
      </c>
      <c r="AH50" s="119">
        <f>AH23/(1+'Financial Information'!$B$5)^(AH$28-$B$28)</f>
        <v>0.25086276899692822</v>
      </c>
      <c r="AI50" s="119">
        <f>AI23/(1+'Financial Information'!$B$5)^(AI$28-$B$28)</f>
        <v>0.23842914462679909</v>
      </c>
      <c r="AJ50" s="119"/>
    </row>
    <row r="51" spans="1:36">
      <c r="A51" s="12" t="s">
        <v>69</v>
      </c>
      <c r="B51" s="212">
        <f>B24/(1+'Financial Information'!$B$5)^(B$28-$B$28)</f>
        <v>0</v>
      </c>
      <c r="C51" s="212">
        <f>C24/(1+'Financial Information'!$B$5)^(C$28-$B$28)</f>
        <v>0</v>
      </c>
      <c r="D51" s="212">
        <f>D24/(1+'Financial Information'!$B$5)^(D$28-$B$28)</f>
        <v>0</v>
      </c>
      <c r="E51" s="212">
        <f>E24/(1+'Financial Information'!$B$5)^(E$28-$B$28)</f>
        <v>0</v>
      </c>
      <c r="F51" s="212">
        <f>F24/(1+'Financial Information'!$B$5)^(F$28-$B$28)</f>
        <v>0</v>
      </c>
      <c r="G51" s="212">
        <f>G24/(1+'Financial Information'!$B$5)^(G$28-$B$28)</f>
        <v>70.208588976150637</v>
      </c>
      <c r="H51" s="212">
        <f>H24/(1+'Financial Information'!$B$5)^(H$28-$B$28)</f>
        <v>118.43553051546012</v>
      </c>
      <c r="I51" s="212">
        <f>I24/(1+'Financial Information'!$B$5)^(I$28-$B$28)</f>
        <v>161.19426256438504</v>
      </c>
      <c r="J51" s="212">
        <f>J24/(1+'Financial Information'!$B$5)^(J$28-$B$28)</f>
        <v>201.6951375785172</v>
      </c>
      <c r="K51" s="212">
        <f>K24/(1+'Financial Information'!$B$5)^(K$28-$B$28)</f>
        <v>232.92142009426342</v>
      </c>
      <c r="L51" s="212">
        <f>L24/(1+'Financial Information'!$B$5)^(L$28-$B$28)</f>
        <v>262.8425123635422</v>
      </c>
      <c r="M51" s="212">
        <f>M24/(1+'Financial Information'!$B$5)^(M$28-$B$28)</f>
        <v>280.99604787993599</v>
      </c>
      <c r="N51" s="212">
        <f>N24/(1+'Financial Information'!$B$5)^(N$28-$B$28)</f>
        <v>299.97863383568097</v>
      </c>
      <c r="O51" s="212">
        <f>O24/(1+'Financial Information'!$B$5)^(O$28-$B$28)</f>
        <v>314.78729861892975</v>
      </c>
      <c r="P51" s="212">
        <f>P24/(1+'Financial Information'!$B$5)^(P$28-$B$28)</f>
        <v>305.52931297540266</v>
      </c>
      <c r="Q51" s="212">
        <f>Q24/(1+'Financial Information'!$B$5)^(Q$28-$B$28)</f>
        <v>308.00677057835998</v>
      </c>
      <c r="R51" s="212">
        <f>R24/(1+'Financial Information'!$B$5)^(R$28-$B$28)</f>
        <v>351.96158751144247</v>
      </c>
      <c r="S51" s="212">
        <f>S24/(1+'Financial Information'!$B$5)^(S$28-$B$28)</f>
        <v>388.71964991742288</v>
      </c>
      <c r="T51" s="212">
        <f>T24/(1+'Financial Information'!$B$5)^(T$28-$B$28)</f>
        <v>420.93899900343274</v>
      </c>
      <c r="U51" s="212">
        <f>U24/(1+'Financial Information'!$B$5)^(U$28-$B$28)</f>
        <v>451.04768880188777</v>
      </c>
      <c r="V51" s="212">
        <f>V24/(1+'Financial Information'!$B$5)^(V$28-$B$28)</f>
        <v>473.82266984269728</v>
      </c>
      <c r="W51" s="212">
        <f>W24/(1+'Financial Information'!$B$5)^(W$28-$B$28)</f>
        <v>494.95316010381788</v>
      </c>
      <c r="X51" s="212">
        <f>X24/(1+'Financial Information'!$B$5)^(X$28-$B$28)</f>
        <v>499.75356359572902</v>
      </c>
      <c r="Y51" s="212">
        <f>Y24/(1+'Financial Information'!$B$5)^(Y$28-$B$28)</f>
        <v>506.83599954967809</v>
      </c>
      <c r="Z51" s="212">
        <f>Z24/(1+'Financial Information'!$B$5)^(Z$28-$B$28)</f>
        <v>520.27622462900479</v>
      </c>
      <c r="AA51" s="212">
        <f>AA24/(1+'Financial Information'!$B$5)^(AA$28-$B$28)</f>
        <v>526.37524779034584</v>
      </c>
      <c r="AB51" s="212">
        <f>AB24/(1+'Financial Information'!$B$5)^(AB$28-$B$28)</f>
        <v>533.24971251603029</v>
      </c>
      <c r="AC51" s="212">
        <f>AC24/(1+'Financial Information'!$B$5)^(AC$28-$B$28)</f>
        <v>530.2719680063741</v>
      </c>
      <c r="AD51" s="213">
        <f>AD24/(1+'Financial Information'!$B$5)^(AD$28-$B$28)</f>
        <v>528.42818965729862</v>
      </c>
      <c r="AE51" s="212">
        <f>AE24/(1+'Financial Information'!$B$5)^(AE$28-$B$28)</f>
        <v>521.70895634016006</v>
      </c>
      <c r="AF51" s="212">
        <f>AF24/(1+'Financial Information'!$B$5)^(AF$28-$B$28)</f>
        <v>520.97803127146972</v>
      </c>
      <c r="AG51" s="212">
        <f>AG24/(1+'Financial Information'!$B$5)^(AG$28-$B$28)</f>
        <v>516.14024979769454</v>
      </c>
      <c r="AH51" s="212">
        <f>AH24/(1+'Financial Information'!$B$5)^(AH$28-$B$28)</f>
        <v>514.81326582740326</v>
      </c>
      <c r="AI51" s="212">
        <f>AI24/(1+'Financial Information'!$B$5)^(AI$28-$B$28)</f>
        <v>508.88073111926741</v>
      </c>
      <c r="AJ51" s="212"/>
    </row>
    <row r="52" spans="1:36">
      <c r="A52" s="6" t="s">
        <v>61</v>
      </c>
      <c r="B52" s="15">
        <f t="shared" ref="B52:AG52" si="10">SUM(B42:B51)</f>
        <v>1843.5391832822065</v>
      </c>
      <c r="C52" s="15">
        <f t="shared" si="10"/>
        <v>1759.785653974553</v>
      </c>
      <c r="D52" s="15">
        <f t="shared" si="10"/>
        <v>1729.3539388985259</v>
      </c>
      <c r="E52" s="15">
        <f t="shared" si="10"/>
        <v>1683.8897636155166</v>
      </c>
      <c r="F52" s="15">
        <f t="shared" si="10"/>
        <v>1482.7177759876611</v>
      </c>
      <c r="G52" s="15">
        <f t="shared" si="10"/>
        <v>1372.6191541113565</v>
      </c>
      <c r="H52" s="15">
        <f t="shared" si="10"/>
        <v>1318.674907612414</v>
      </c>
      <c r="I52" s="15">
        <f t="shared" si="10"/>
        <v>1344.4238428637454</v>
      </c>
      <c r="J52" s="15">
        <f t="shared" si="10"/>
        <v>1390.5708517170503</v>
      </c>
      <c r="K52" s="15">
        <f t="shared" si="10"/>
        <v>1402.3421252910275</v>
      </c>
      <c r="L52" s="15">
        <f t="shared" si="10"/>
        <v>1413.277479849897</v>
      </c>
      <c r="M52" s="15">
        <f t="shared" si="10"/>
        <v>1406.0179201569965</v>
      </c>
      <c r="N52" s="15">
        <f t="shared" si="10"/>
        <v>1387.9988185347411</v>
      </c>
      <c r="O52" s="15">
        <f t="shared" si="10"/>
        <v>1347.3680064297303</v>
      </c>
      <c r="P52" s="15">
        <f t="shared" si="10"/>
        <v>1371.4919422855885</v>
      </c>
      <c r="Q52" s="15">
        <f t="shared" si="10"/>
        <v>1494.2207385100041</v>
      </c>
      <c r="R52" s="15">
        <f t="shared" si="10"/>
        <v>1481.3967230936692</v>
      </c>
      <c r="S52" s="15">
        <f t="shared" si="10"/>
        <v>1500.1828318582784</v>
      </c>
      <c r="T52" s="15">
        <f t="shared" si="10"/>
        <v>1511.7365133993376</v>
      </c>
      <c r="U52" s="15">
        <f t="shared" si="10"/>
        <v>1508.6978658388537</v>
      </c>
      <c r="V52" s="15">
        <f t="shared" si="10"/>
        <v>1489.1076905269174</v>
      </c>
      <c r="W52" s="15">
        <f t="shared" si="10"/>
        <v>1478.1117746952777</v>
      </c>
      <c r="X52" s="15">
        <f t="shared" si="10"/>
        <v>1475.5873579242423</v>
      </c>
      <c r="Y52" s="15">
        <f t="shared" si="10"/>
        <v>1526.8612115579569</v>
      </c>
      <c r="Z52" s="15">
        <f t="shared" si="10"/>
        <v>1508.4044605578206</v>
      </c>
      <c r="AA52" s="15">
        <f t="shared" si="10"/>
        <v>1489.7526471691694</v>
      </c>
      <c r="AB52" s="15">
        <f t="shared" si="10"/>
        <v>1463.4018088212326</v>
      </c>
      <c r="AC52" s="52">
        <f t="shared" si="10"/>
        <v>1410.0193315865342</v>
      </c>
      <c r="AD52" s="214">
        <f t="shared" si="10"/>
        <v>1359.6188070276826</v>
      </c>
      <c r="AE52" s="15">
        <f t="shared" si="10"/>
        <v>1297.8806551916937</v>
      </c>
      <c r="AF52" s="15">
        <f t="shared" si="10"/>
        <v>1250.9854426444708</v>
      </c>
      <c r="AG52" s="15">
        <f t="shared" si="10"/>
        <v>1210.8261447270477</v>
      </c>
      <c r="AH52" s="15">
        <f t="shared" ref="AH52:AI52" si="11">SUM(AH42:AH51)</f>
        <v>1171.5699769703451</v>
      </c>
      <c r="AI52" s="15">
        <f t="shared" si="11"/>
        <v>1132.6480364727281</v>
      </c>
      <c r="AJ52" s="15"/>
    </row>
    <row r="53" spans="1:36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19"/>
      <c r="AD53" s="211"/>
      <c r="AE53" s="16"/>
      <c r="AF53" s="16"/>
      <c r="AG53" s="16"/>
      <c r="AH53" s="16"/>
      <c r="AI53" s="16"/>
      <c r="AJ53" s="16"/>
    </row>
    <row r="54" spans="1:36">
      <c r="A54" s="6" t="s">
        <v>63</v>
      </c>
      <c r="AC54" s="36"/>
      <c r="AD54" s="215"/>
    </row>
    <row r="55" spans="1:36">
      <c r="A55" s="152" t="str">
        <f>A1</f>
        <v>SoBra 700MWs</v>
      </c>
      <c r="B55" s="152">
        <f>$B$1</f>
        <v>2020</v>
      </c>
      <c r="C55" s="152">
        <f t="shared" ref="C55:AI55" si="12">B55+1</f>
        <v>2021</v>
      </c>
      <c r="D55" s="152">
        <f t="shared" si="12"/>
        <v>2022</v>
      </c>
      <c r="E55" s="152">
        <f t="shared" si="12"/>
        <v>2023</v>
      </c>
      <c r="F55" s="152">
        <f t="shared" si="12"/>
        <v>2024</v>
      </c>
      <c r="G55" s="152">
        <f t="shared" si="12"/>
        <v>2025</v>
      </c>
      <c r="H55" s="152">
        <f t="shared" si="12"/>
        <v>2026</v>
      </c>
      <c r="I55" s="152">
        <f t="shared" si="12"/>
        <v>2027</v>
      </c>
      <c r="J55" s="152">
        <f t="shared" si="12"/>
        <v>2028</v>
      </c>
      <c r="K55" s="152">
        <f t="shared" si="12"/>
        <v>2029</v>
      </c>
      <c r="L55" s="152">
        <f t="shared" si="12"/>
        <v>2030</v>
      </c>
      <c r="M55" s="152">
        <f t="shared" si="12"/>
        <v>2031</v>
      </c>
      <c r="N55" s="152">
        <f t="shared" si="12"/>
        <v>2032</v>
      </c>
      <c r="O55" s="152">
        <f t="shared" si="12"/>
        <v>2033</v>
      </c>
      <c r="P55" s="152">
        <f t="shared" si="12"/>
        <v>2034</v>
      </c>
      <c r="Q55" s="152">
        <f t="shared" si="12"/>
        <v>2035</v>
      </c>
      <c r="R55" s="152">
        <f t="shared" si="12"/>
        <v>2036</v>
      </c>
      <c r="S55" s="152">
        <f t="shared" si="12"/>
        <v>2037</v>
      </c>
      <c r="T55" s="152">
        <f t="shared" si="12"/>
        <v>2038</v>
      </c>
      <c r="U55" s="152">
        <f t="shared" si="12"/>
        <v>2039</v>
      </c>
      <c r="V55" s="152">
        <f t="shared" si="12"/>
        <v>2040</v>
      </c>
      <c r="W55" s="152">
        <f t="shared" si="12"/>
        <v>2041</v>
      </c>
      <c r="X55" s="152">
        <f t="shared" si="12"/>
        <v>2042</v>
      </c>
      <c r="Y55" s="152">
        <f t="shared" si="12"/>
        <v>2043</v>
      </c>
      <c r="Z55" s="152">
        <f t="shared" si="12"/>
        <v>2044</v>
      </c>
      <c r="AA55" s="152">
        <f t="shared" si="12"/>
        <v>2045</v>
      </c>
      <c r="AB55" s="152">
        <f t="shared" si="12"/>
        <v>2046</v>
      </c>
      <c r="AC55" s="209">
        <f t="shared" si="12"/>
        <v>2047</v>
      </c>
      <c r="AD55" s="210">
        <f t="shared" si="12"/>
        <v>2048</v>
      </c>
      <c r="AE55" s="152">
        <f t="shared" si="12"/>
        <v>2049</v>
      </c>
      <c r="AF55" s="152">
        <f t="shared" si="12"/>
        <v>2050</v>
      </c>
      <c r="AG55" s="152">
        <f t="shared" si="12"/>
        <v>2051</v>
      </c>
      <c r="AH55" s="152">
        <f t="shared" si="12"/>
        <v>2052</v>
      </c>
      <c r="AI55" s="152">
        <f t="shared" si="12"/>
        <v>2053</v>
      </c>
      <c r="AJ55" s="152"/>
    </row>
    <row r="56" spans="1:36">
      <c r="A56" s="6" t="s">
        <v>134</v>
      </c>
      <c r="B56" s="119">
        <f t="shared" ref="B56:B65" si="13">B29</f>
        <v>65.260450182206341</v>
      </c>
      <c r="C56" s="119">
        <f t="shared" ref="C56:AI56" si="14">B56+C29</f>
        <v>160.93113499444769</v>
      </c>
      <c r="D56" s="119">
        <f t="shared" si="14"/>
        <v>284.02380349995246</v>
      </c>
      <c r="E56" s="119">
        <f t="shared" si="14"/>
        <v>394.36613136854328</v>
      </c>
      <c r="F56" s="119">
        <f t="shared" si="14"/>
        <v>493.61813098619666</v>
      </c>
      <c r="G56" s="119">
        <f t="shared" si="14"/>
        <v>580.85459424087935</v>
      </c>
      <c r="H56" s="119">
        <f t="shared" si="14"/>
        <v>653.06447298350622</v>
      </c>
      <c r="I56" s="119">
        <f t="shared" si="14"/>
        <v>718.84067147426742</v>
      </c>
      <c r="J56" s="119">
        <f t="shared" si="14"/>
        <v>778.85583094073672</v>
      </c>
      <c r="K56" s="119">
        <f t="shared" si="14"/>
        <v>833.69836037779623</v>
      </c>
      <c r="L56" s="119">
        <f t="shared" si="14"/>
        <v>883.7614235200798</v>
      </c>
      <c r="M56" s="119">
        <f t="shared" si="14"/>
        <v>929.4471701874005</v>
      </c>
      <c r="N56" s="119">
        <f t="shared" si="14"/>
        <v>971.1109809494634</v>
      </c>
      <c r="O56" s="119">
        <f t="shared" si="14"/>
        <v>1009.115140082966</v>
      </c>
      <c r="P56" s="119">
        <f t="shared" si="14"/>
        <v>1043.7093182247925</v>
      </c>
      <c r="Q56" s="119">
        <f t="shared" si="14"/>
        <v>1075.1764034603164</v>
      </c>
      <c r="R56" s="119">
        <f t="shared" si="14"/>
        <v>1103.732432725345</v>
      </c>
      <c r="S56" s="119">
        <f t="shared" si="14"/>
        <v>1129.656103783884</v>
      </c>
      <c r="T56" s="119">
        <f t="shared" si="14"/>
        <v>1153.9585638548881</v>
      </c>
      <c r="U56" s="119">
        <f t="shared" si="14"/>
        <v>1176.4306702207869</v>
      </c>
      <c r="V56" s="119">
        <f t="shared" si="14"/>
        <v>1196.7521944818136</v>
      </c>
      <c r="W56" s="119">
        <f t="shared" si="14"/>
        <v>1215.1205755954245</v>
      </c>
      <c r="X56" s="119">
        <f t="shared" si="14"/>
        <v>1231.7530057724055</v>
      </c>
      <c r="Y56" s="119">
        <f t="shared" si="14"/>
        <v>1246.7791852426262</v>
      </c>
      <c r="Z56" s="119">
        <f t="shared" si="14"/>
        <v>1260.3839482278022</v>
      </c>
      <c r="AA56" s="119">
        <f t="shared" si="14"/>
        <v>1272.6624473585421</v>
      </c>
      <c r="AB56" s="119">
        <f t="shared" si="14"/>
        <v>1283.7604554982531</v>
      </c>
      <c r="AC56" s="119">
        <f t="shared" si="14"/>
        <v>1293.7688166527566</v>
      </c>
      <c r="AD56" s="211">
        <f t="shared" si="14"/>
        <v>1303.1573665967353</v>
      </c>
      <c r="AE56" s="119">
        <f t="shared" si="14"/>
        <v>1311.1087975923997</v>
      </c>
      <c r="AF56" s="119">
        <f t="shared" si="14"/>
        <v>1316.4077323452841</v>
      </c>
      <c r="AG56" s="119">
        <f t="shared" si="14"/>
        <v>1319.3037927694838</v>
      </c>
      <c r="AH56" s="119">
        <f t="shared" si="14"/>
        <v>1319.7194534350556</v>
      </c>
      <c r="AI56" s="119">
        <f t="shared" si="14"/>
        <v>1320.0943565319535</v>
      </c>
      <c r="AJ56" s="119"/>
    </row>
    <row r="57" spans="1:36">
      <c r="A57" s="6" t="s">
        <v>135</v>
      </c>
      <c r="B57" s="119">
        <f t="shared" si="13"/>
        <v>0</v>
      </c>
      <c r="C57" s="119">
        <f t="shared" ref="C57:AI57" si="15">B57+C30</f>
        <v>0</v>
      </c>
      <c r="D57" s="119">
        <f t="shared" si="15"/>
        <v>0</v>
      </c>
      <c r="E57" s="119">
        <f t="shared" si="15"/>
        <v>0</v>
      </c>
      <c r="F57" s="119">
        <f t="shared" si="15"/>
        <v>0</v>
      </c>
      <c r="G57" s="119">
        <f t="shared" si="15"/>
        <v>0</v>
      </c>
      <c r="H57" s="119">
        <f t="shared" si="15"/>
        <v>0</v>
      </c>
      <c r="I57" s="119">
        <f t="shared" si="15"/>
        <v>0</v>
      </c>
      <c r="J57" s="119">
        <f t="shared" si="15"/>
        <v>0</v>
      </c>
      <c r="K57" s="119">
        <f t="shared" si="15"/>
        <v>0</v>
      </c>
      <c r="L57" s="119">
        <f t="shared" si="15"/>
        <v>0</v>
      </c>
      <c r="M57" s="119">
        <f t="shared" si="15"/>
        <v>0</v>
      </c>
      <c r="N57" s="119">
        <f t="shared" si="15"/>
        <v>0</v>
      </c>
      <c r="O57" s="119">
        <f t="shared" si="15"/>
        <v>0</v>
      </c>
      <c r="P57" s="119">
        <f t="shared" si="15"/>
        <v>0</v>
      </c>
      <c r="Q57" s="119">
        <f t="shared" si="15"/>
        <v>0</v>
      </c>
      <c r="R57" s="119">
        <f t="shared" si="15"/>
        <v>0</v>
      </c>
      <c r="S57" s="119">
        <f t="shared" si="15"/>
        <v>0</v>
      </c>
      <c r="T57" s="119">
        <f t="shared" si="15"/>
        <v>0</v>
      </c>
      <c r="U57" s="119">
        <f t="shared" si="15"/>
        <v>0</v>
      </c>
      <c r="V57" s="119">
        <f t="shared" si="15"/>
        <v>0</v>
      </c>
      <c r="W57" s="119">
        <f t="shared" si="15"/>
        <v>0</v>
      </c>
      <c r="X57" s="119">
        <f t="shared" si="15"/>
        <v>0</v>
      </c>
      <c r="Y57" s="119">
        <f t="shared" si="15"/>
        <v>0</v>
      </c>
      <c r="Z57" s="119">
        <f t="shared" si="15"/>
        <v>0</v>
      </c>
      <c r="AA57" s="119">
        <f t="shared" si="15"/>
        <v>0</v>
      </c>
      <c r="AB57" s="119">
        <f t="shared" si="15"/>
        <v>0</v>
      </c>
      <c r="AC57" s="119">
        <f t="shared" si="15"/>
        <v>0</v>
      </c>
      <c r="AD57" s="211">
        <f t="shared" si="15"/>
        <v>0</v>
      </c>
      <c r="AE57" s="119">
        <f t="shared" si="15"/>
        <v>0</v>
      </c>
      <c r="AF57" s="119">
        <f t="shared" si="15"/>
        <v>0</v>
      </c>
      <c r="AG57" s="119">
        <f t="shared" si="15"/>
        <v>0</v>
      </c>
      <c r="AH57" s="119">
        <f t="shared" si="15"/>
        <v>0</v>
      </c>
      <c r="AI57" s="119">
        <f t="shared" si="15"/>
        <v>0</v>
      </c>
      <c r="AJ57" s="119"/>
    </row>
    <row r="58" spans="1:36">
      <c r="A58" s="36" t="s">
        <v>60</v>
      </c>
      <c r="B58" s="119">
        <f t="shared" si="13"/>
        <v>0</v>
      </c>
      <c r="C58" s="119">
        <f t="shared" ref="C58:AI58" si="16">B58+C31</f>
        <v>0</v>
      </c>
      <c r="D58" s="119">
        <f t="shared" si="16"/>
        <v>0</v>
      </c>
      <c r="E58" s="119">
        <f t="shared" si="16"/>
        <v>0</v>
      </c>
      <c r="F58" s="119">
        <f t="shared" si="16"/>
        <v>0</v>
      </c>
      <c r="G58" s="119">
        <f t="shared" si="16"/>
        <v>0</v>
      </c>
      <c r="H58" s="119">
        <f t="shared" si="16"/>
        <v>0</v>
      </c>
      <c r="I58" s="119">
        <f t="shared" si="16"/>
        <v>13.613063986881086</v>
      </c>
      <c r="J58" s="119">
        <f t="shared" si="16"/>
        <v>41.459862396972859</v>
      </c>
      <c r="K58" s="119">
        <f t="shared" si="16"/>
        <v>71.043871773114915</v>
      </c>
      <c r="L58" s="119">
        <f t="shared" si="16"/>
        <v>103.77412356336131</v>
      </c>
      <c r="M58" s="119">
        <f t="shared" si="16"/>
        <v>137.40246120089682</v>
      </c>
      <c r="N58" s="119">
        <f t="shared" si="16"/>
        <v>173.26100317028835</v>
      </c>
      <c r="O58" s="119">
        <f t="shared" si="16"/>
        <v>209.37147772665011</v>
      </c>
      <c r="P58" s="119">
        <f t="shared" si="16"/>
        <v>309.51854692580025</v>
      </c>
      <c r="Q58" s="119">
        <f t="shared" si="16"/>
        <v>548.80437323160118</v>
      </c>
      <c r="R58" s="119">
        <f t="shared" si="16"/>
        <v>766.95516332374871</v>
      </c>
      <c r="S58" s="119">
        <f t="shared" si="16"/>
        <v>965.7943490347883</v>
      </c>
      <c r="T58" s="119">
        <f t="shared" si="16"/>
        <v>1160.1985682847085</v>
      </c>
      <c r="U58" s="119">
        <f t="shared" si="16"/>
        <v>1346.003374314507</v>
      </c>
      <c r="V58" s="119">
        <f t="shared" si="16"/>
        <v>1519.121884221244</v>
      </c>
      <c r="W58" s="119">
        <f t="shared" si="16"/>
        <v>1679.2757850920234</v>
      </c>
      <c r="X58" s="119">
        <f t="shared" si="16"/>
        <v>1855.1880602882679</v>
      </c>
      <c r="Y58" s="119">
        <f t="shared" si="16"/>
        <v>2102.8708764646994</v>
      </c>
      <c r="Z58" s="119">
        <f t="shared" si="16"/>
        <v>2334.8776146881482</v>
      </c>
      <c r="AA58" s="119">
        <f t="shared" si="16"/>
        <v>2553.3769755467138</v>
      </c>
      <c r="AB58" s="119">
        <f t="shared" si="16"/>
        <v>2754.1334372950555</v>
      </c>
      <c r="AC58" s="119">
        <f t="shared" si="16"/>
        <v>2936.6101957873211</v>
      </c>
      <c r="AD58" s="211">
        <f t="shared" si="16"/>
        <v>3102.3736308730631</v>
      </c>
      <c r="AE58" s="119">
        <f t="shared" si="16"/>
        <v>3252.879976471535</v>
      </c>
      <c r="AF58" s="119">
        <f t="shared" si="16"/>
        <v>3389.4716244612237</v>
      </c>
      <c r="AG58" s="119">
        <f t="shared" si="16"/>
        <v>3513.3380917488753</v>
      </c>
      <c r="AH58" s="119">
        <f t="shared" si="16"/>
        <v>3625.5432154265404</v>
      </c>
      <c r="AI58" s="119">
        <f t="shared" si="16"/>
        <v>3727.0843037409263</v>
      </c>
      <c r="AJ58" s="119"/>
    </row>
    <row r="59" spans="1:36">
      <c r="A59" s="36" t="s">
        <v>68</v>
      </c>
      <c r="B59" s="119">
        <f t="shared" si="13"/>
        <v>445.38108</v>
      </c>
      <c r="C59" s="119">
        <f t="shared" ref="C59:AI59" si="17">B59+C32</f>
        <v>851.33956172446119</v>
      </c>
      <c r="D59" s="119">
        <f t="shared" si="17"/>
        <v>1234.3846767848615</v>
      </c>
      <c r="E59" s="119">
        <f t="shared" si="17"/>
        <v>1609.8140830391994</v>
      </c>
      <c r="F59" s="119">
        <f t="shared" si="17"/>
        <v>1841.6073557044081</v>
      </c>
      <c r="G59" s="119">
        <f t="shared" si="17"/>
        <v>1948.5149827850062</v>
      </c>
      <c r="H59" s="119">
        <f t="shared" si="17"/>
        <v>1987.5993937851376</v>
      </c>
      <c r="I59" s="119">
        <f t="shared" si="17"/>
        <v>2008.4347353086096</v>
      </c>
      <c r="J59" s="119">
        <f t="shared" si="17"/>
        <v>2021.379113802185</v>
      </c>
      <c r="K59" s="119">
        <f t="shared" si="17"/>
        <v>2033.7909041155356</v>
      </c>
      <c r="L59" s="119">
        <f t="shared" si="17"/>
        <v>2045.7421250071648</v>
      </c>
      <c r="M59" s="119">
        <f t="shared" si="17"/>
        <v>2057.2283113679459</v>
      </c>
      <c r="N59" s="119">
        <f t="shared" si="17"/>
        <v>2068.297305514559</v>
      </c>
      <c r="O59" s="119">
        <f t="shared" si="17"/>
        <v>2078.922417187935</v>
      </c>
      <c r="P59" s="119">
        <f t="shared" si="17"/>
        <v>2091.8273840879615</v>
      </c>
      <c r="Q59" s="119">
        <f t="shared" si="17"/>
        <v>2106.0837218577703</v>
      </c>
      <c r="R59" s="119">
        <f t="shared" si="17"/>
        <v>2119.6683404695887</v>
      </c>
      <c r="S59" s="119">
        <f t="shared" si="17"/>
        <v>2132.6411802076987</v>
      </c>
      <c r="T59" s="119">
        <f t="shared" si="17"/>
        <v>2145.6986166377023</v>
      </c>
      <c r="U59" s="119">
        <f t="shared" si="17"/>
        <v>2158.6373612629422</v>
      </c>
      <c r="V59" s="119">
        <f t="shared" si="17"/>
        <v>2171.2265278171731</v>
      </c>
      <c r="W59" s="119">
        <f t="shared" si="17"/>
        <v>2183.3952611271434</v>
      </c>
      <c r="X59" s="119">
        <f t="shared" si="17"/>
        <v>2196.3861502554464</v>
      </c>
      <c r="Y59" s="119">
        <f t="shared" si="17"/>
        <v>2209.7546562911789</v>
      </c>
      <c r="Z59" s="119">
        <f t="shared" si="17"/>
        <v>2222.9068059083284</v>
      </c>
      <c r="AA59" s="119">
        <f t="shared" si="17"/>
        <v>2235.8182568400243</v>
      </c>
      <c r="AB59" s="119">
        <f t="shared" si="17"/>
        <v>2248.1438036251393</v>
      </c>
      <c r="AC59" s="119">
        <f t="shared" si="17"/>
        <v>2259.9435456995693</v>
      </c>
      <c r="AD59" s="211">
        <f t="shared" si="17"/>
        <v>2271.2482186777743</v>
      </c>
      <c r="AE59" s="119">
        <f t="shared" si="17"/>
        <v>2281.6982846571891</v>
      </c>
      <c r="AF59" s="119">
        <f t="shared" si="17"/>
        <v>2290.905551768793</v>
      </c>
      <c r="AG59" s="119">
        <f t="shared" si="17"/>
        <v>2299.0293263151966</v>
      </c>
      <c r="AH59" s="119">
        <f t="shared" si="17"/>
        <v>2306.3693509869136</v>
      </c>
      <c r="AI59" s="119">
        <f t="shared" si="17"/>
        <v>2313.3933391427008</v>
      </c>
      <c r="AJ59" s="119"/>
    </row>
    <row r="60" spans="1:36">
      <c r="A60" s="36" t="s">
        <v>67</v>
      </c>
      <c r="B60" s="119">
        <f t="shared" si="13"/>
        <v>390.67816000000005</v>
      </c>
      <c r="C60" s="119">
        <f t="shared" ref="C60:AI60" si="18">B60+C33</f>
        <v>751.38318343017818</v>
      </c>
      <c r="D60" s="119">
        <f t="shared" si="18"/>
        <v>1086.742172405917</v>
      </c>
      <c r="E60" s="119">
        <f t="shared" si="18"/>
        <v>1401.0430055603115</v>
      </c>
      <c r="F60" s="119">
        <f t="shared" si="18"/>
        <v>1696.3781385814136</v>
      </c>
      <c r="G60" s="119">
        <f t="shared" si="18"/>
        <v>1972.4465282824722</v>
      </c>
      <c r="H60" s="119">
        <f t="shared" si="18"/>
        <v>2231.1797962597147</v>
      </c>
      <c r="I60" s="119">
        <f t="shared" si="18"/>
        <v>2473.6664515555135</v>
      </c>
      <c r="J60" s="119">
        <f t="shared" si="18"/>
        <v>2701.5208601951203</v>
      </c>
      <c r="K60" s="119">
        <f t="shared" si="18"/>
        <v>2914.5107631690626</v>
      </c>
      <c r="L60" s="119">
        <f t="shared" si="18"/>
        <v>3114.1264173152126</v>
      </c>
      <c r="M60" s="119">
        <f t="shared" si="18"/>
        <v>3301.2076252982552</v>
      </c>
      <c r="N60" s="119">
        <f t="shared" si="18"/>
        <v>3476.9998888377081</v>
      </c>
      <c r="O60" s="119">
        <f t="shared" si="18"/>
        <v>3641.3240174704747</v>
      </c>
      <c r="P60" s="119">
        <f t="shared" si="18"/>
        <v>3838.1806529395067</v>
      </c>
      <c r="Q60" s="119">
        <f t="shared" si="18"/>
        <v>4052.0554633967463</v>
      </c>
      <c r="R60" s="119">
        <f t="shared" si="18"/>
        <v>4252.500459139239</v>
      </c>
      <c r="S60" s="119">
        <f t="shared" si="18"/>
        <v>4440.3589368735338</v>
      </c>
      <c r="T60" s="119">
        <f t="shared" si="18"/>
        <v>4629.7151705070464</v>
      </c>
      <c r="U60" s="119">
        <f t="shared" si="18"/>
        <v>4816.0805886829412</v>
      </c>
      <c r="V60" s="119">
        <f t="shared" si="18"/>
        <v>4994.8329110003187</v>
      </c>
      <c r="W60" s="119">
        <f t="shared" si="18"/>
        <v>5165.0983792876505</v>
      </c>
      <c r="X60" s="119">
        <f t="shared" si="18"/>
        <v>5343.2525243759028</v>
      </c>
      <c r="Y60" s="119">
        <f t="shared" si="18"/>
        <v>5522.6736951707253</v>
      </c>
      <c r="Z60" s="119">
        <f t="shared" si="18"/>
        <v>5697.7934685808177</v>
      </c>
      <c r="AA60" s="119">
        <f t="shared" si="18"/>
        <v>5869.9249467700074</v>
      </c>
      <c r="AB60" s="119">
        <f t="shared" si="18"/>
        <v>6033.4873162552631</v>
      </c>
      <c r="AC60" s="119">
        <f t="shared" si="18"/>
        <v>6186.7791374267472</v>
      </c>
      <c r="AD60" s="211">
        <f t="shared" si="18"/>
        <v>6330.445324091681</v>
      </c>
      <c r="AE60" s="119">
        <f t="shared" si="18"/>
        <v>6465.0902975358549</v>
      </c>
      <c r="AF60" s="119">
        <f t="shared" si="18"/>
        <v>6591.2805256934689</v>
      </c>
      <c r="AG60" s="119">
        <f t="shared" si="18"/>
        <v>6709.5469063472774</v>
      </c>
      <c r="AH60" s="119">
        <f t="shared" si="18"/>
        <v>6820.3870006807438</v>
      </c>
      <c r="AI60" s="119">
        <f t="shared" si="18"/>
        <v>6924.267126579025</v>
      </c>
      <c r="AJ60" s="119"/>
    </row>
    <row r="61" spans="1:36">
      <c r="A61" s="6" t="s">
        <v>383</v>
      </c>
      <c r="B61" s="119">
        <f t="shared" si="13"/>
        <v>0</v>
      </c>
      <c r="C61" s="119">
        <f t="shared" ref="C61:AI61" si="19">B61+C34</f>
        <v>0</v>
      </c>
      <c r="D61" s="119">
        <f t="shared" si="19"/>
        <v>0</v>
      </c>
      <c r="E61" s="119">
        <f t="shared" si="19"/>
        <v>0</v>
      </c>
      <c r="F61" s="119">
        <f t="shared" si="19"/>
        <v>0</v>
      </c>
      <c r="G61" s="119">
        <f t="shared" si="19"/>
        <v>0</v>
      </c>
      <c r="H61" s="119">
        <f t="shared" si="19"/>
        <v>0</v>
      </c>
      <c r="I61" s="119">
        <f t="shared" si="19"/>
        <v>0</v>
      </c>
      <c r="J61" s="119">
        <f t="shared" si="19"/>
        <v>0</v>
      </c>
      <c r="K61" s="119">
        <f t="shared" si="19"/>
        <v>0</v>
      </c>
      <c r="L61" s="119">
        <f t="shared" si="19"/>
        <v>0</v>
      </c>
      <c r="M61" s="119">
        <f t="shared" si="19"/>
        <v>0</v>
      </c>
      <c r="N61" s="119">
        <f t="shared" si="19"/>
        <v>0</v>
      </c>
      <c r="O61" s="119">
        <f t="shared" si="19"/>
        <v>0</v>
      </c>
      <c r="P61" s="119">
        <f t="shared" si="19"/>
        <v>0</v>
      </c>
      <c r="Q61" s="119">
        <f t="shared" si="19"/>
        <v>0</v>
      </c>
      <c r="R61" s="119">
        <f t="shared" si="19"/>
        <v>0</v>
      </c>
      <c r="S61" s="119">
        <f t="shared" si="19"/>
        <v>0</v>
      </c>
      <c r="T61" s="119">
        <f t="shared" si="19"/>
        <v>0</v>
      </c>
      <c r="U61" s="119">
        <f t="shared" si="19"/>
        <v>0</v>
      </c>
      <c r="V61" s="119">
        <f t="shared" si="19"/>
        <v>0</v>
      </c>
      <c r="W61" s="119">
        <f t="shared" si="19"/>
        <v>0</v>
      </c>
      <c r="X61" s="119">
        <f t="shared" si="19"/>
        <v>0</v>
      </c>
      <c r="Y61" s="119">
        <f t="shared" si="19"/>
        <v>0</v>
      </c>
      <c r="Z61" s="119">
        <f t="shared" si="19"/>
        <v>0</v>
      </c>
      <c r="AA61" s="119">
        <f t="shared" si="19"/>
        <v>0</v>
      </c>
      <c r="AB61" s="119">
        <f t="shared" si="19"/>
        <v>0</v>
      </c>
      <c r="AC61" s="119">
        <f t="shared" si="19"/>
        <v>0</v>
      </c>
      <c r="AD61" s="211">
        <f t="shared" si="19"/>
        <v>0</v>
      </c>
      <c r="AE61" s="119">
        <f t="shared" si="19"/>
        <v>0</v>
      </c>
      <c r="AF61" s="119">
        <f t="shared" si="19"/>
        <v>0</v>
      </c>
      <c r="AG61" s="119">
        <f t="shared" si="19"/>
        <v>0</v>
      </c>
      <c r="AH61" s="119">
        <f t="shared" si="19"/>
        <v>0</v>
      </c>
      <c r="AI61" s="119">
        <f t="shared" si="19"/>
        <v>0</v>
      </c>
      <c r="AJ61" s="119"/>
    </row>
    <row r="62" spans="1:36">
      <c r="A62" s="36" t="s">
        <v>65</v>
      </c>
      <c r="B62" s="119">
        <f t="shared" si="13"/>
        <v>849.92173000000025</v>
      </c>
      <c r="C62" s="119">
        <f t="shared" ref="C62:AI62" si="20">B62+C35</f>
        <v>1654.9382810777884</v>
      </c>
      <c r="D62" s="119">
        <f t="shared" si="20"/>
        <v>2431.1478096722676</v>
      </c>
      <c r="E62" s="119">
        <f t="shared" si="20"/>
        <v>3173.4389516211836</v>
      </c>
      <c r="F62" s="119">
        <f t="shared" si="20"/>
        <v>3869.6220826698036</v>
      </c>
      <c r="G62" s="119">
        <f t="shared" si="20"/>
        <v>4546.4734050641837</v>
      </c>
      <c r="H62" s="119">
        <f t="shared" si="20"/>
        <v>5221.8414675375898</v>
      </c>
      <c r="I62" s="119">
        <f t="shared" si="20"/>
        <v>5921.3258912708352</v>
      </c>
      <c r="J62" s="119">
        <f t="shared" si="20"/>
        <v>6647.8571115100567</v>
      </c>
      <c r="K62" s="119">
        <f t="shared" si="20"/>
        <v>7378.3220709510861</v>
      </c>
      <c r="L62" s="119">
        <f t="shared" si="20"/>
        <v>8101.3814802617817</v>
      </c>
      <c r="M62" s="119">
        <f t="shared" si="20"/>
        <v>8816.9995674785296</v>
      </c>
      <c r="N62" s="119">
        <f t="shared" si="20"/>
        <v>9513.0219960632821</v>
      </c>
      <c r="O62" s="119">
        <f t="shared" si="20"/>
        <v>10168.695465462308</v>
      </c>
      <c r="P62" s="119">
        <f t="shared" si="20"/>
        <v>10786.64899761081</v>
      </c>
      <c r="Q62" s="119">
        <f t="shared" si="20"/>
        <v>11383.075330941212</v>
      </c>
      <c r="R62" s="119">
        <f t="shared" si="20"/>
        <v>11950.131929594399</v>
      </c>
      <c r="S62" s="119">
        <f t="shared" si="20"/>
        <v>12523.673895259106</v>
      </c>
      <c r="T62" s="119">
        <f t="shared" si="20"/>
        <v>13090.67022995108</v>
      </c>
      <c r="U62" s="119">
        <f t="shared" si="20"/>
        <v>13640.469921635928</v>
      </c>
      <c r="V62" s="119">
        <f t="shared" si="20"/>
        <v>14175.99267217737</v>
      </c>
      <c r="W62" s="119">
        <f t="shared" si="20"/>
        <v>14703.575468118206</v>
      </c>
      <c r="X62" s="119">
        <f t="shared" si="20"/>
        <v>15205.187322328034</v>
      </c>
      <c r="Y62" s="119">
        <f t="shared" si="20"/>
        <v>15681.288112414892</v>
      </c>
      <c r="Z62" s="119">
        <f t="shared" si="20"/>
        <v>16149.507198556124</v>
      </c>
      <c r="AA62" s="119">
        <f t="shared" si="20"/>
        <v>16612.21713753595</v>
      </c>
      <c r="AB62" s="119">
        <f t="shared" si="20"/>
        <v>17066.072376732413</v>
      </c>
      <c r="AC62" s="119">
        <f t="shared" si="20"/>
        <v>17496.033868326576</v>
      </c>
      <c r="AD62" s="211">
        <f t="shared" si="20"/>
        <v>17909.475736125165</v>
      </c>
      <c r="AE62" s="119">
        <f t="shared" si="20"/>
        <v>18295.730740721447</v>
      </c>
      <c r="AF62" s="119">
        <f t="shared" si="20"/>
        <v>18665.472003435159</v>
      </c>
      <c r="AG62" s="119">
        <f t="shared" si="20"/>
        <v>19023.887420437364</v>
      </c>
      <c r="AH62" s="119">
        <f t="shared" si="20"/>
        <v>19371.034847997729</v>
      </c>
      <c r="AI62" s="119">
        <f t="shared" si="20"/>
        <v>19702.536108267737</v>
      </c>
      <c r="AJ62" s="119"/>
    </row>
    <row r="63" spans="1:36">
      <c r="A63" s="36" t="s">
        <v>52</v>
      </c>
      <c r="B63" s="119">
        <f t="shared" si="13"/>
        <v>86.065400000000025</v>
      </c>
      <c r="C63" s="119">
        <f t="shared" ref="C63:AI63" si="21">B63+C36</f>
        <v>171.47924254920338</v>
      </c>
      <c r="D63" s="119">
        <f t="shared" si="21"/>
        <v>258.44052192915342</v>
      </c>
      <c r="E63" s="119">
        <f t="shared" si="21"/>
        <v>346.15982371309451</v>
      </c>
      <c r="F63" s="119">
        <f t="shared" si="21"/>
        <v>435.75850797790633</v>
      </c>
      <c r="G63" s="119">
        <f t="shared" si="21"/>
        <v>529.01386202315757</v>
      </c>
      <c r="H63" s="119">
        <f t="shared" si="21"/>
        <v>631.76056263535861</v>
      </c>
      <c r="I63" s="119">
        <f t="shared" si="21"/>
        <v>740.64160746143511</v>
      </c>
      <c r="J63" s="119">
        <f t="shared" si="21"/>
        <v>856.8890412370356</v>
      </c>
      <c r="K63" s="119">
        <f t="shared" si="21"/>
        <v>974.49340691034513</v>
      </c>
      <c r="L63" s="119">
        <f t="shared" si="21"/>
        <v>1096.5821883292231</v>
      </c>
      <c r="M63" s="119">
        <f t="shared" si="21"/>
        <v>1221.486924596715</v>
      </c>
      <c r="N63" s="119">
        <f t="shared" si="21"/>
        <v>1344.4376816303943</v>
      </c>
      <c r="O63" s="119">
        <f t="shared" si="21"/>
        <v>1466.9906514472893</v>
      </c>
      <c r="P63" s="119">
        <f t="shared" si="21"/>
        <v>1583.7563056098015</v>
      </c>
      <c r="Q63" s="119">
        <f t="shared" si="21"/>
        <v>1698.1981243086379</v>
      </c>
      <c r="R63" s="119">
        <f t="shared" si="21"/>
        <v>1811.7684808324057</v>
      </c>
      <c r="S63" s="119">
        <f t="shared" si="21"/>
        <v>1930.6562645052506</v>
      </c>
      <c r="T63" s="119">
        <f t="shared" si="21"/>
        <v>2048.9711356551406</v>
      </c>
      <c r="U63" s="119">
        <f t="shared" si="21"/>
        <v>2171.6529960763837</v>
      </c>
      <c r="V63" s="119">
        <f t="shared" si="21"/>
        <v>2288.7048386108781</v>
      </c>
      <c r="W63" s="119">
        <f t="shared" si="21"/>
        <v>2405.2127496413073</v>
      </c>
      <c r="X63" s="119">
        <f t="shared" si="21"/>
        <v>2516.1917881787635</v>
      </c>
      <c r="Y63" s="119">
        <f t="shared" si="21"/>
        <v>2625.088053962093</v>
      </c>
      <c r="Z63" s="119">
        <f t="shared" si="21"/>
        <v>2729.9032606082851</v>
      </c>
      <c r="AA63" s="119">
        <f t="shared" si="21"/>
        <v>2834.1269144438656</v>
      </c>
      <c r="AB63" s="119">
        <f t="shared" si="21"/>
        <v>2934.8770443989079</v>
      </c>
      <c r="AC63" s="119">
        <f t="shared" si="21"/>
        <v>3033.7417435431094</v>
      </c>
      <c r="AD63" s="211">
        <f t="shared" si="21"/>
        <v>3129.6904855502003</v>
      </c>
      <c r="AE63" s="119">
        <f t="shared" si="21"/>
        <v>3223.0415132896737</v>
      </c>
      <c r="AF63" s="119">
        <f t="shared" si="21"/>
        <v>3313.25076175802</v>
      </c>
      <c r="AG63" s="119">
        <f t="shared" si="21"/>
        <v>3401.9862848535795</v>
      </c>
      <c r="AH63" s="119">
        <f t="shared" si="21"/>
        <v>3486.9242971199169</v>
      </c>
      <c r="AI63" s="119">
        <f t="shared" si="21"/>
        <v>3570.0614615473569</v>
      </c>
      <c r="AJ63" s="119"/>
    </row>
    <row r="64" spans="1:36">
      <c r="A64" s="36" t="s">
        <v>66</v>
      </c>
      <c r="B64" s="119">
        <f t="shared" si="13"/>
        <v>6.2323630999999988</v>
      </c>
      <c r="C64" s="119">
        <f t="shared" ref="C64:AI64" si="22">B64+C37</f>
        <v>12.297408085941893</v>
      </c>
      <c r="D64" s="119">
        <f t="shared" si="22"/>
        <v>17.894856282630663</v>
      </c>
      <c r="E64" s="119">
        <f t="shared" si="22"/>
        <v>22.650751175439076</v>
      </c>
      <c r="F64" s="119">
        <f t="shared" si="22"/>
        <v>27.057370670548885</v>
      </c>
      <c r="G64" s="119">
        <f t="shared" si="22"/>
        <v>31.322567725619869</v>
      </c>
      <c r="H64" s="119">
        <f t="shared" si="22"/>
        <v>35.295692054531195</v>
      </c>
      <c r="I64" s="119">
        <f t="shared" si="22"/>
        <v>39.085011249815928</v>
      </c>
      <c r="J64" s="119">
        <f t="shared" si="22"/>
        <v>42.912714504183256</v>
      </c>
      <c r="K64" s="119">
        <f t="shared" si="22"/>
        <v>46.343094743891129</v>
      </c>
      <c r="L64" s="119">
        <f t="shared" si="22"/>
        <v>49.581309407665138</v>
      </c>
      <c r="M64" s="119">
        <f t="shared" si="22"/>
        <v>52.596399456486317</v>
      </c>
      <c r="N64" s="119">
        <f t="shared" si="22"/>
        <v>55.230543480427542</v>
      </c>
      <c r="O64" s="119">
        <f t="shared" si="22"/>
        <v>57.671413513824248</v>
      </c>
      <c r="P64" s="119">
        <f t="shared" si="22"/>
        <v>58.817067224996975</v>
      </c>
      <c r="Q64" s="119">
        <f t="shared" si="22"/>
        <v>59.475466896557251</v>
      </c>
      <c r="R64" s="119">
        <f t="shared" si="22"/>
        <v>60.099446750675966</v>
      </c>
      <c r="S64" s="119">
        <f t="shared" si="22"/>
        <v>60.691563519766063</v>
      </c>
      <c r="T64" s="119">
        <f t="shared" si="22"/>
        <v>61.251662391519105</v>
      </c>
      <c r="U64" s="119">
        <f t="shared" si="22"/>
        <v>61.780047207894825</v>
      </c>
      <c r="V64" s="119">
        <f t="shared" si="22"/>
        <v>62.28545173452585</v>
      </c>
      <c r="W64" s="119">
        <f t="shared" si="22"/>
        <v>62.76268137492567</v>
      </c>
      <c r="X64" s="119">
        <f t="shared" si="22"/>
        <v>63.210583045302528</v>
      </c>
      <c r="Y64" s="119">
        <f t="shared" si="22"/>
        <v>63.634614782170637</v>
      </c>
      <c r="Z64" s="119">
        <f t="shared" si="22"/>
        <v>64.03758570703701</v>
      </c>
      <c r="AA64" s="119">
        <f t="shared" si="22"/>
        <v>64.418031840354431</v>
      </c>
      <c r="AB64" s="119">
        <f t="shared" si="22"/>
        <v>64.781153425647616</v>
      </c>
      <c r="AC64" s="119">
        <f t="shared" si="22"/>
        <v>65.120799976827058</v>
      </c>
      <c r="AD64" s="211">
        <f t="shared" si="22"/>
        <v>65.440568829869235</v>
      </c>
      <c r="AE64" s="119">
        <f t="shared" si="22"/>
        <v>65.741231341438336</v>
      </c>
      <c r="AF64" s="119">
        <f t="shared" si="22"/>
        <v>66.027306023545336</v>
      </c>
      <c r="AG64" s="119">
        <f t="shared" si="22"/>
        <v>66.297672764965284</v>
      </c>
      <c r="AH64" s="119">
        <f t="shared" si="22"/>
        <v>66.555208571235667</v>
      </c>
      <c r="AI64" s="119">
        <f t="shared" si="22"/>
        <v>66.796842370716533</v>
      </c>
      <c r="AJ64" s="119"/>
    </row>
    <row r="65" spans="1:36">
      <c r="A65" s="12" t="s">
        <v>69</v>
      </c>
      <c r="B65" s="212">
        <f t="shared" si="13"/>
        <v>0</v>
      </c>
      <c r="C65" s="212">
        <f t="shared" ref="C65:AH65" si="23">B65+C38</f>
        <v>0</v>
      </c>
      <c r="D65" s="212">
        <f t="shared" si="23"/>
        <v>0</v>
      </c>
      <c r="E65" s="212">
        <f t="shared" si="23"/>
        <v>0</v>
      </c>
      <c r="F65" s="212">
        <f t="shared" si="23"/>
        <v>0</v>
      </c>
      <c r="G65" s="212">
        <f t="shared" si="23"/>
        <v>73.518018386550168</v>
      </c>
      <c r="H65" s="212">
        <f t="shared" si="23"/>
        <v>197.30573447118081</v>
      </c>
      <c r="I65" s="212">
        <f t="shared" si="23"/>
        <v>365.25523834165983</v>
      </c>
      <c r="J65" s="212">
        <f t="shared" si="23"/>
        <v>575.02128685607806</v>
      </c>
      <c r="K65" s="212">
        <f t="shared" si="23"/>
        <v>816.09429219424044</v>
      </c>
      <c r="L65" s="212">
        <f t="shared" si="23"/>
        <v>1087.6932392947915</v>
      </c>
      <c r="M65" s="212">
        <f t="shared" si="23"/>
        <v>1378.7588694457363</v>
      </c>
      <c r="N65" s="212">
        <f t="shared" si="23"/>
        <v>1689.4238423321603</v>
      </c>
      <c r="O65" s="212">
        <f t="shared" si="23"/>
        <v>2016.3955956775401</v>
      </c>
      <c r="P65" s="212">
        <f t="shared" si="23"/>
        <v>2335.9942327712129</v>
      </c>
      <c r="Q65" s="212">
        <f t="shared" si="23"/>
        <v>2657.2498474423751</v>
      </c>
      <c r="R65" s="212">
        <f t="shared" si="23"/>
        <v>3023.973199636665</v>
      </c>
      <c r="S65" s="212">
        <f t="shared" si="23"/>
        <v>3429.3389676078277</v>
      </c>
      <c r="T65" s="212">
        <f t="shared" si="23"/>
        <v>3868.0154931148818</v>
      </c>
      <c r="U65" s="212">
        <f t="shared" si="23"/>
        <v>4338.5537991008605</v>
      </c>
      <c r="V65" s="212">
        <f t="shared" si="23"/>
        <v>4832.5359855280258</v>
      </c>
      <c r="W65" s="212">
        <f t="shared" si="23"/>
        <v>5348.2095212493432</v>
      </c>
      <c r="X65" s="212">
        <f t="shared" si="23"/>
        <v>5868.055226963168</v>
      </c>
      <c r="Y65" s="212">
        <f t="shared" si="23"/>
        <v>6395.5235208839167</v>
      </c>
      <c r="Z65" s="212">
        <f t="shared" si="23"/>
        <v>6935.6673433174465</v>
      </c>
      <c r="AA65" s="212">
        <f t="shared" si="23"/>
        <v>7482.1194831182056</v>
      </c>
      <c r="AB65" s="212">
        <f t="shared" si="23"/>
        <v>8035.0818749144837</v>
      </c>
      <c r="AC65" s="212">
        <f t="shared" si="23"/>
        <v>8584.3551946153075</v>
      </c>
      <c r="AD65" s="213">
        <f t="shared" si="23"/>
        <v>9132.8646925241337</v>
      </c>
      <c r="AE65" s="212">
        <f t="shared" si="23"/>
        <v>9672.9819720016567</v>
      </c>
      <c r="AF65" s="212">
        <f t="shared" si="23"/>
        <v>10212.292011776004</v>
      </c>
      <c r="AG65" s="212">
        <f t="shared" si="23"/>
        <v>10747.703684398144</v>
      </c>
      <c r="AH65" s="212">
        <f t="shared" si="23"/>
        <v>11277.995751837367</v>
      </c>
      <c r="AI65" s="212">
        <f>AH65+AI38</f>
        <v>11794.525774096788</v>
      </c>
      <c r="AJ65" s="212"/>
    </row>
    <row r="66" spans="1:36">
      <c r="A66" s="6" t="s">
        <v>61</v>
      </c>
      <c r="B66" s="15">
        <f t="shared" ref="B66:AI66" si="24">SUM(B56:B65)</f>
        <v>1843.5391832822065</v>
      </c>
      <c r="C66" s="15">
        <f t="shared" si="24"/>
        <v>3602.3688118620203</v>
      </c>
      <c r="D66" s="15">
        <f t="shared" si="24"/>
        <v>5312.633840574782</v>
      </c>
      <c r="E66" s="15">
        <f t="shared" si="24"/>
        <v>6947.4727464777716</v>
      </c>
      <c r="F66" s="15">
        <f t="shared" si="24"/>
        <v>8364.041586590276</v>
      </c>
      <c r="G66" s="15">
        <f t="shared" si="24"/>
        <v>9682.1439585078697</v>
      </c>
      <c r="H66" s="15">
        <f t="shared" si="24"/>
        <v>10958.047119727018</v>
      </c>
      <c r="I66" s="15">
        <f t="shared" si="24"/>
        <v>12280.862670649018</v>
      </c>
      <c r="J66" s="15">
        <f t="shared" si="24"/>
        <v>13665.895821442367</v>
      </c>
      <c r="K66" s="15">
        <f t="shared" si="24"/>
        <v>15068.296764235074</v>
      </c>
      <c r="L66" s="15">
        <f t="shared" si="24"/>
        <v>16482.642306699279</v>
      </c>
      <c r="M66" s="15">
        <f t="shared" si="24"/>
        <v>17895.127329031966</v>
      </c>
      <c r="N66" s="15">
        <f t="shared" si="24"/>
        <v>19291.783241978286</v>
      </c>
      <c r="O66" s="15">
        <f t="shared" si="24"/>
        <v>20648.486178568986</v>
      </c>
      <c r="P66" s="15">
        <f t="shared" si="24"/>
        <v>22048.452505394882</v>
      </c>
      <c r="Q66" s="15">
        <f t="shared" si="24"/>
        <v>23580.118731535214</v>
      </c>
      <c r="R66" s="15">
        <f t="shared" si="24"/>
        <v>25088.829452472066</v>
      </c>
      <c r="S66" s="15">
        <f t="shared" si="24"/>
        <v>26612.811260791852</v>
      </c>
      <c r="T66" s="15">
        <f t="shared" si="24"/>
        <v>28158.479440396968</v>
      </c>
      <c r="U66" s="15">
        <f t="shared" si="24"/>
        <v>29709.608758502243</v>
      </c>
      <c r="V66" s="15">
        <f t="shared" si="24"/>
        <v>31241.452465571347</v>
      </c>
      <c r="W66" s="15">
        <f t="shared" si="24"/>
        <v>32762.650421486029</v>
      </c>
      <c r="X66" s="15">
        <f t="shared" si="24"/>
        <v>34279.224661207292</v>
      </c>
      <c r="Y66" s="15">
        <f t="shared" si="24"/>
        <v>35847.612715212301</v>
      </c>
      <c r="Z66" s="15">
        <f t="shared" si="24"/>
        <v>37395.077225593988</v>
      </c>
      <c r="AA66" s="15">
        <f t="shared" si="24"/>
        <v>38924.664193453667</v>
      </c>
      <c r="AB66" s="15">
        <f t="shared" si="24"/>
        <v>40420.337462145166</v>
      </c>
      <c r="AC66" s="52">
        <f t="shared" si="24"/>
        <v>41856.353302028219</v>
      </c>
      <c r="AD66" s="214">
        <f t="shared" si="24"/>
        <v>43244.696023268625</v>
      </c>
      <c r="AE66" s="15">
        <f t="shared" si="24"/>
        <v>44568.272813611198</v>
      </c>
      <c r="AF66" s="15">
        <f t="shared" si="24"/>
        <v>45845.107517261509</v>
      </c>
      <c r="AG66" s="15">
        <f t="shared" si="24"/>
        <v>47081.093179634889</v>
      </c>
      <c r="AH66" s="15">
        <f t="shared" si="24"/>
        <v>48274.52912605551</v>
      </c>
      <c r="AI66" s="15">
        <f t="shared" si="24"/>
        <v>49418.759312277194</v>
      </c>
      <c r="AJ66" s="15"/>
    </row>
    <row r="67" spans="1:36">
      <c r="AC67" s="36"/>
      <c r="AD67" s="215"/>
    </row>
    <row r="68" spans="1:36">
      <c r="A68" s="152" t="str">
        <f>A41</f>
        <v>Clean Energy Connection</v>
      </c>
      <c r="B68" s="152">
        <f>$B$1</f>
        <v>2020</v>
      </c>
      <c r="C68" s="152">
        <f t="shared" ref="C68:AI68" si="25">B68+1</f>
        <v>2021</v>
      </c>
      <c r="D68" s="152">
        <f t="shared" si="25"/>
        <v>2022</v>
      </c>
      <c r="E68" s="152">
        <f t="shared" si="25"/>
        <v>2023</v>
      </c>
      <c r="F68" s="152">
        <f t="shared" si="25"/>
        <v>2024</v>
      </c>
      <c r="G68" s="152">
        <f t="shared" si="25"/>
        <v>2025</v>
      </c>
      <c r="H68" s="152">
        <f t="shared" si="25"/>
        <v>2026</v>
      </c>
      <c r="I68" s="152">
        <f t="shared" si="25"/>
        <v>2027</v>
      </c>
      <c r="J68" s="152">
        <f t="shared" si="25"/>
        <v>2028</v>
      </c>
      <c r="K68" s="152">
        <f t="shared" si="25"/>
        <v>2029</v>
      </c>
      <c r="L68" s="152">
        <f t="shared" si="25"/>
        <v>2030</v>
      </c>
      <c r="M68" s="152">
        <f t="shared" si="25"/>
        <v>2031</v>
      </c>
      <c r="N68" s="152">
        <f t="shared" si="25"/>
        <v>2032</v>
      </c>
      <c r="O68" s="152">
        <f t="shared" si="25"/>
        <v>2033</v>
      </c>
      <c r="P68" s="152">
        <f t="shared" si="25"/>
        <v>2034</v>
      </c>
      <c r="Q68" s="152">
        <f t="shared" si="25"/>
        <v>2035</v>
      </c>
      <c r="R68" s="152">
        <f t="shared" si="25"/>
        <v>2036</v>
      </c>
      <c r="S68" s="152">
        <f t="shared" si="25"/>
        <v>2037</v>
      </c>
      <c r="T68" s="152">
        <f t="shared" si="25"/>
        <v>2038</v>
      </c>
      <c r="U68" s="152">
        <f t="shared" si="25"/>
        <v>2039</v>
      </c>
      <c r="V68" s="152">
        <f t="shared" si="25"/>
        <v>2040</v>
      </c>
      <c r="W68" s="152">
        <f t="shared" si="25"/>
        <v>2041</v>
      </c>
      <c r="X68" s="152">
        <f t="shared" si="25"/>
        <v>2042</v>
      </c>
      <c r="Y68" s="152">
        <f t="shared" si="25"/>
        <v>2043</v>
      </c>
      <c r="Z68" s="152">
        <f t="shared" si="25"/>
        <v>2044</v>
      </c>
      <c r="AA68" s="152">
        <f t="shared" si="25"/>
        <v>2045</v>
      </c>
      <c r="AB68" s="152">
        <f t="shared" si="25"/>
        <v>2046</v>
      </c>
      <c r="AC68" s="209">
        <f t="shared" si="25"/>
        <v>2047</v>
      </c>
      <c r="AD68" s="210">
        <f t="shared" si="25"/>
        <v>2048</v>
      </c>
      <c r="AE68" s="152">
        <f t="shared" si="25"/>
        <v>2049</v>
      </c>
      <c r="AF68" s="152">
        <f t="shared" si="25"/>
        <v>2050</v>
      </c>
      <c r="AG68" s="152">
        <f t="shared" si="25"/>
        <v>2051</v>
      </c>
      <c r="AH68" s="152">
        <f t="shared" si="25"/>
        <v>2052</v>
      </c>
      <c r="AI68" s="152">
        <f t="shared" si="25"/>
        <v>2053</v>
      </c>
      <c r="AJ68" s="152"/>
    </row>
    <row r="69" spans="1:36">
      <c r="A69" s="6" t="s">
        <v>134</v>
      </c>
      <c r="B69" s="119">
        <f t="shared" ref="B69:B78" si="26">+B42</f>
        <v>65.260450182206341</v>
      </c>
      <c r="C69" s="16">
        <f t="shared" ref="C69:AI69" si="27">B69+C42</f>
        <v>160.93113499444769</v>
      </c>
      <c r="D69" s="16">
        <f t="shared" si="27"/>
        <v>284.02380349995246</v>
      </c>
      <c r="E69" s="16">
        <f t="shared" si="27"/>
        <v>394.36613136854328</v>
      </c>
      <c r="F69" s="16">
        <f t="shared" si="27"/>
        <v>493.61813098619666</v>
      </c>
      <c r="G69" s="16">
        <f t="shared" si="27"/>
        <v>580.85459424087935</v>
      </c>
      <c r="H69" s="16">
        <f t="shared" si="27"/>
        <v>653.06447298350622</v>
      </c>
      <c r="I69" s="16">
        <f t="shared" si="27"/>
        <v>718.84067147426742</v>
      </c>
      <c r="J69" s="16">
        <f t="shared" si="27"/>
        <v>778.85583094073672</v>
      </c>
      <c r="K69" s="16">
        <f t="shared" si="27"/>
        <v>833.69836037779623</v>
      </c>
      <c r="L69" s="16">
        <f t="shared" si="27"/>
        <v>883.7614235200798</v>
      </c>
      <c r="M69" s="16">
        <f t="shared" si="27"/>
        <v>929.4471701874005</v>
      </c>
      <c r="N69" s="16">
        <f t="shared" si="27"/>
        <v>971.1109809494634</v>
      </c>
      <c r="O69" s="16">
        <f t="shared" si="27"/>
        <v>1009.115140082966</v>
      </c>
      <c r="P69" s="16">
        <f t="shared" si="27"/>
        <v>1043.7093182247925</v>
      </c>
      <c r="Q69" s="16">
        <f t="shared" si="27"/>
        <v>1075.1764034603164</v>
      </c>
      <c r="R69" s="16">
        <f t="shared" si="27"/>
        <v>1103.732432725345</v>
      </c>
      <c r="S69" s="16">
        <f t="shared" si="27"/>
        <v>1129.656103783884</v>
      </c>
      <c r="T69" s="16">
        <f t="shared" si="27"/>
        <v>1153.9585638548881</v>
      </c>
      <c r="U69" s="16">
        <f t="shared" si="27"/>
        <v>1176.4306702207869</v>
      </c>
      <c r="V69" s="16">
        <f t="shared" si="27"/>
        <v>1196.7521944818136</v>
      </c>
      <c r="W69" s="16">
        <f t="shared" si="27"/>
        <v>1215.1205755954245</v>
      </c>
      <c r="X69" s="16">
        <f t="shared" si="27"/>
        <v>1231.7530057724055</v>
      </c>
      <c r="Y69" s="16">
        <f t="shared" si="27"/>
        <v>1246.7791852426262</v>
      </c>
      <c r="Z69" s="16">
        <f t="shared" si="27"/>
        <v>1260.3839482278022</v>
      </c>
      <c r="AA69" s="16">
        <f t="shared" si="27"/>
        <v>1272.6624473585421</v>
      </c>
      <c r="AB69" s="16">
        <f t="shared" si="27"/>
        <v>1283.7604554982531</v>
      </c>
      <c r="AC69" s="119">
        <f t="shared" si="27"/>
        <v>1293.7688166527566</v>
      </c>
      <c r="AD69" s="211">
        <f t="shared" si="27"/>
        <v>1303.1573665967353</v>
      </c>
      <c r="AE69" s="16">
        <f t="shared" si="27"/>
        <v>1311.1087975923997</v>
      </c>
      <c r="AF69" s="16">
        <f t="shared" si="27"/>
        <v>1316.4077323452841</v>
      </c>
      <c r="AG69" s="16">
        <f t="shared" si="27"/>
        <v>1319.3037927694838</v>
      </c>
      <c r="AH69" s="16">
        <f t="shared" si="27"/>
        <v>1319.7194534350556</v>
      </c>
      <c r="AI69" s="16">
        <f t="shared" si="27"/>
        <v>1320.0943565319535</v>
      </c>
      <c r="AJ69" s="16"/>
    </row>
    <row r="70" spans="1:36">
      <c r="A70" s="6" t="s">
        <v>135</v>
      </c>
      <c r="B70" s="119">
        <f t="shared" si="26"/>
        <v>0</v>
      </c>
      <c r="C70" s="16">
        <f t="shared" ref="C70:AI70" si="28">B70+C43</f>
        <v>0</v>
      </c>
      <c r="D70" s="16">
        <f t="shared" si="28"/>
        <v>27.104402529171068</v>
      </c>
      <c r="E70" s="16">
        <f t="shared" si="28"/>
        <v>98.781674233069964</v>
      </c>
      <c r="F70" s="16">
        <f t="shared" si="28"/>
        <v>205.49827041468927</v>
      </c>
      <c r="G70" s="16">
        <f t="shared" si="28"/>
        <v>300.46649364736896</v>
      </c>
      <c r="H70" s="16">
        <f t="shared" si="28"/>
        <v>385.39678406731878</v>
      </c>
      <c r="I70" s="16">
        <f t="shared" si="28"/>
        <v>456.76610212359998</v>
      </c>
      <c r="J70" s="16">
        <f t="shared" si="28"/>
        <v>521.38216806475043</v>
      </c>
      <c r="K70" s="16">
        <f t="shared" si="28"/>
        <v>580.22999313960736</v>
      </c>
      <c r="L70" s="16">
        <f t="shared" si="28"/>
        <v>634.01636784102379</v>
      </c>
      <c r="M70" s="16">
        <f t="shared" si="28"/>
        <v>683.26715478238884</v>
      </c>
      <c r="N70" s="16">
        <f t="shared" si="28"/>
        <v>728.35372964352109</v>
      </c>
      <c r="O70" s="16">
        <f t="shared" si="28"/>
        <v>769.60576167263162</v>
      </c>
      <c r="P70" s="16">
        <f t="shared" si="28"/>
        <v>807.31002678440973</v>
      </c>
      <c r="Q70" s="16">
        <f t="shared" si="28"/>
        <v>841.7817862456186</v>
      </c>
      <c r="R70" s="16">
        <f t="shared" si="28"/>
        <v>873.29202848516286</v>
      </c>
      <c r="S70" s="16">
        <f t="shared" si="28"/>
        <v>902.06344495740177</v>
      </c>
      <c r="T70" s="16">
        <f t="shared" si="28"/>
        <v>930.24970017284386</v>
      </c>
      <c r="U70" s="16">
        <f t="shared" si="28"/>
        <v>955.84915294119799</v>
      </c>
      <c r="V70" s="16">
        <f t="shared" si="28"/>
        <v>979.07310442426649</v>
      </c>
      <c r="W70" s="16">
        <f t="shared" si="28"/>
        <v>1000.1248911355183</v>
      </c>
      <c r="X70" s="16">
        <f t="shared" si="28"/>
        <v>1019.2432452792501</v>
      </c>
      <c r="Y70" s="16">
        <f t="shared" si="28"/>
        <v>1036.6317832813522</v>
      </c>
      <c r="Z70" s="16">
        <f t="shared" si="28"/>
        <v>1052.4528204477485</v>
      </c>
      <c r="AA70" s="16">
        <f t="shared" si="28"/>
        <v>1066.8199714822242</v>
      </c>
      <c r="AB70" s="16">
        <f t="shared" si="28"/>
        <v>1079.8900698837747</v>
      </c>
      <c r="AC70" s="119">
        <f t="shared" si="28"/>
        <v>1091.7640225794905</v>
      </c>
      <c r="AD70" s="211">
        <f t="shared" si="28"/>
        <v>1102.5564189601394</v>
      </c>
      <c r="AE70" s="16">
        <f t="shared" si="28"/>
        <v>1112.3456472165315</v>
      </c>
      <c r="AF70" s="16">
        <f t="shared" si="28"/>
        <v>1121.2349572228359</v>
      </c>
      <c r="AG70" s="16">
        <f t="shared" si="28"/>
        <v>1129.7914422876931</v>
      </c>
      <c r="AH70" s="16">
        <f t="shared" si="28"/>
        <v>1136.619048814528</v>
      </c>
      <c r="AI70" s="16">
        <f t="shared" si="28"/>
        <v>1140.2982843495179</v>
      </c>
      <c r="AJ70" s="16"/>
    </row>
    <row r="71" spans="1:36">
      <c r="A71" s="6" t="s">
        <v>60</v>
      </c>
      <c r="B71" s="119">
        <f t="shared" si="26"/>
        <v>0</v>
      </c>
      <c r="C71" s="16">
        <f t="shared" ref="C71:AI71" si="29">B71+C44</f>
        <v>0</v>
      </c>
      <c r="D71" s="16">
        <f t="shared" si="29"/>
        <v>0</v>
      </c>
      <c r="E71" s="16">
        <f t="shared" si="29"/>
        <v>0</v>
      </c>
      <c r="F71" s="16">
        <f t="shared" si="29"/>
        <v>0</v>
      </c>
      <c r="G71" s="16">
        <f t="shared" si="29"/>
        <v>0</v>
      </c>
      <c r="H71" s="16">
        <f t="shared" si="29"/>
        <v>0</v>
      </c>
      <c r="I71" s="16">
        <f t="shared" si="29"/>
        <v>6.8065319934405428</v>
      </c>
      <c r="J71" s="16">
        <f t="shared" si="29"/>
        <v>17.496589284217208</v>
      </c>
      <c r="K71" s="16">
        <f t="shared" si="29"/>
        <v>33.354245238022855</v>
      </c>
      <c r="L71" s="16">
        <f t="shared" si="29"/>
        <v>51.83563166996877</v>
      </c>
      <c r="M71" s="16">
        <f t="shared" si="29"/>
        <v>74.184144798863812</v>
      </c>
      <c r="N71" s="16">
        <f t="shared" si="29"/>
        <v>98.179006175412297</v>
      </c>
      <c r="O71" s="16">
        <f t="shared" si="29"/>
        <v>125.00835889212736</v>
      </c>
      <c r="P71" s="16">
        <f t="shared" si="29"/>
        <v>213.96341500951218</v>
      </c>
      <c r="Q71" s="16">
        <f t="shared" si="29"/>
        <v>439.06126274825607</v>
      </c>
      <c r="R71" s="16">
        <f t="shared" si="29"/>
        <v>649.20298665622863</v>
      </c>
      <c r="S71" s="16">
        <f t="shared" si="29"/>
        <v>844.00128719875784</v>
      </c>
      <c r="T71" s="16">
        <f t="shared" si="29"/>
        <v>1030.3375284103211</v>
      </c>
      <c r="U71" s="16">
        <f t="shared" si="29"/>
        <v>1205.9117239141751</v>
      </c>
      <c r="V71" s="16">
        <f t="shared" si="29"/>
        <v>1369.7568817194326</v>
      </c>
      <c r="W71" s="16">
        <f t="shared" si="29"/>
        <v>1521.5107515521011</v>
      </c>
      <c r="X71" s="16">
        <f t="shared" si="29"/>
        <v>1689.8103435063385</v>
      </c>
      <c r="Y71" s="16">
        <f t="shared" si="29"/>
        <v>1930.5701842287338</v>
      </c>
      <c r="Z71" s="16">
        <f t="shared" si="29"/>
        <v>2156.2660249118057</v>
      </c>
      <c r="AA71" s="16">
        <f t="shared" si="29"/>
        <v>2369.0152703361864</v>
      </c>
      <c r="AB71" s="16">
        <f t="shared" si="29"/>
        <v>2567.4611713913405</v>
      </c>
      <c r="AC71" s="119">
        <f t="shared" si="29"/>
        <v>2749.7681436141274</v>
      </c>
      <c r="AD71" s="211">
        <f t="shared" si="29"/>
        <v>2915.3732503254155</v>
      </c>
      <c r="AE71" s="16">
        <f t="shared" si="29"/>
        <v>3065.7347351541471</v>
      </c>
      <c r="AF71" s="16">
        <f t="shared" si="29"/>
        <v>3202.1895714050534</v>
      </c>
      <c r="AG71" s="16">
        <f t="shared" si="29"/>
        <v>3325.9305316038672</v>
      </c>
      <c r="AH71" s="16">
        <f t="shared" si="29"/>
        <v>3438.0360740230349</v>
      </c>
      <c r="AI71" s="16">
        <f t="shared" si="29"/>
        <v>3539.5016082156417</v>
      </c>
      <c r="AJ71" s="16"/>
    </row>
    <row r="72" spans="1:36">
      <c r="A72" s="6" t="s">
        <v>68</v>
      </c>
      <c r="B72" s="119">
        <f t="shared" si="26"/>
        <v>445.38108</v>
      </c>
      <c r="C72" s="16">
        <f t="shared" ref="C72:AI72" si="30">B72+C45</f>
        <v>851.33956172446119</v>
      </c>
      <c r="D72" s="16">
        <f t="shared" si="30"/>
        <v>1234.3846767848615</v>
      </c>
      <c r="E72" s="16">
        <f t="shared" si="30"/>
        <v>1609.8140830391994</v>
      </c>
      <c r="F72" s="16">
        <f t="shared" si="30"/>
        <v>1841.6073557044078</v>
      </c>
      <c r="G72" s="16">
        <f t="shared" si="30"/>
        <v>1948.5149827850059</v>
      </c>
      <c r="H72" s="16">
        <f t="shared" si="30"/>
        <v>1987.5993937851374</v>
      </c>
      <c r="I72" s="16">
        <f t="shared" si="30"/>
        <v>2008.2714294317668</v>
      </c>
      <c r="J72" s="16">
        <f t="shared" si="30"/>
        <v>2020.7899924519022</v>
      </c>
      <c r="K72" s="16">
        <f t="shared" si="30"/>
        <v>2032.8357806093682</v>
      </c>
      <c r="L72" s="16">
        <f t="shared" si="30"/>
        <v>2044.3940414916899</v>
      </c>
      <c r="M72" s="16">
        <f t="shared" si="30"/>
        <v>2055.542479402754</v>
      </c>
      <c r="N72" s="16">
        <f t="shared" si="30"/>
        <v>2066.2488453223386</v>
      </c>
      <c r="O72" s="16">
        <f t="shared" si="30"/>
        <v>2076.5622768960829</v>
      </c>
      <c r="P72" s="16">
        <f t="shared" si="30"/>
        <v>2088.8585983976136</v>
      </c>
      <c r="Q72" s="16">
        <f t="shared" si="30"/>
        <v>2102.257640163577</v>
      </c>
      <c r="R72" s="16">
        <f t="shared" si="30"/>
        <v>2115.2589098709695</v>
      </c>
      <c r="S72" s="16">
        <f t="shared" si="30"/>
        <v>2127.8361838234</v>
      </c>
      <c r="T72" s="16">
        <f t="shared" si="30"/>
        <v>2140.2919605391558</v>
      </c>
      <c r="U72" s="16">
        <f t="shared" si="30"/>
        <v>2152.5006290985689</v>
      </c>
      <c r="V72" s="16">
        <f t="shared" si="30"/>
        <v>2164.3884572148409</v>
      </c>
      <c r="W72" s="16">
        <f t="shared" si="30"/>
        <v>2175.8834596855172</v>
      </c>
      <c r="X72" s="16">
        <f t="shared" si="30"/>
        <v>2188.2271348376808</v>
      </c>
      <c r="Y72" s="16">
        <f t="shared" si="30"/>
        <v>2200.9739055740197</v>
      </c>
      <c r="Z72" s="16">
        <f t="shared" si="30"/>
        <v>2213.5287922277644</v>
      </c>
      <c r="AA72" s="16">
        <f t="shared" si="30"/>
        <v>2225.8664906713416</v>
      </c>
      <c r="AB72" s="16">
        <f t="shared" si="30"/>
        <v>2237.8016250700894</v>
      </c>
      <c r="AC72" s="119">
        <f t="shared" si="30"/>
        <v>2249.3366308828627</v>
      </c>
      <c r="AD72" s="211">
        <f t="shared" si="30"/>
        <v>2260.3869889026955</v>
      </c>
      <c r="AE72" s="16">
        <f t="shared" si="30"/>
        <v>2270.5927499132326</v>
      </c>
      <c r="AF72" s="16">
        <f t="shared" si="30"/>
        <v>2279.5653276300259</v>
      </c>
      <c r="AG72" s="16">
        <f t="shared" si="30"/>
        <v>2287.4636514593508</v>
      </c>
      <c r="AH72" s="16">
        <f t="shared" si="30"/>
        <v>2294.5870999196495</v>
      </c>
      <c r="AI72" s="16">
        <f t="shared" si="30"/>
        <v>2301.4030372706197</v>
      </c>
      <c r="AJ72" s="16"/>
    </row>
    <row r="73" spans="1:36">
      <c r="A73" s="6" t="s">
        <v>67</v>
      </c>
      <c r="B73" s="119">
        <f t="shared" si="26"/>
        <v>390.67816000000005</v>
      </c>
      <c r="C73" s="16">
        <f t="shared" ref="C73:AI73" si="31">B73+C46</f>
        <v>751.38318343017818</v>
      </c>
      <c r="D73" s="16">
        <f t="shared" si="31"/>
        <v>1086.742172405917</v>
      </c>
      <c r="E73" s="16">
        <f t="shared" si="31"/>
        <v>1401.0430055603115</v>
      </c>
      <c r="F73" s="16">
        <f t="shared" si="31"/>
        <v>1696.3781385814136</v>
      </c>
      <c r="G73" s="16">
        <f t="shared" si="31"/>
        <v>1972.4465282824722</v>
      </c>
      <c r="H73" s="16">
        <f t="shared" si="31"/>
        <v>2231.1797962597147</v>
      </c>
      <c r="I73" s="16">
        <f t="shared" si="31"/>
        <v>2473.6664515555135</v>
      </c>
      <c r="J73" s="16">
        <f t="shared" si="31"/>
        <v>2701.5208601951203</v>
      </c>
      <c r="K73" s="16">
        <f t="shared" si="31"/>
        <v>2914.5107631690626</v>
      </c>
      <c r="L73" s="16">
        <f t="shared" si="31"/>
        <v>3114.1264173152126</v>
      </c>
      <c r="M73" s="16">
        <f t="shared" si="31"/>
        <v>3301.2076252982552</v>
      </c>
      <c r="N73" s="16">
        <f t="shared" si="31"/>
        <v>3476.9998888377081</v>
      </c>
      <c r="O73" s="16">
        <f t="shared" si="31"/>
        <v>3641.3240174704747</v>
      </c>
      <c r="P73" s="16">
        <f t="shared" si="31"/>
        <v>3827.7736806328917</v>
      </c>
      <c r="Q73" s="16">
        <f t="shared" si="31"/>
        <v>4024.9282174055056</v>
      </c>
      <c r="R73" s="16">
        <f t="shared" si="31"/>
        <v>4214.5047565168115</v>
      </c>
      <c r="S73" s="16">
        <f t="shared" si="31"/>
        <v>4395.3917957013064</v>
      </c>
      <c r="T73" s="16">
        <f t="shared" si="31"/>
        <v>4573.7830405061623</v>
      </c>
      <c r="U73" s="16">
        <f t="shared" si="31"/>
        <v>4746.9055220153441</v>
      </c>
      <c r="V73" s="16">
        <f t="shared" si="31"/>
        <v>4913.2464642953255</v>
      </c>
      <c r="W73" s="16">
        <f t="shared" si="31"/>
        <v>5071.8799116172104</v>
      </c>
      <c r="X73" s="16">
        <f t="shared" si="31"/>
        <v>5239.1324438043885</v>
      </c>
      <c r="Y73" s="16">
        <f t="shared" si="31"/>
        <v>5408.3365453385968</v>
      </c>
      <c r="Z73" s="16">
        <f t="shared" si="31"/>
        <v>5573.8807981193149</v>
      </c>
      <c r="AA73" s="16">
        <f t="shared" si="31"/>
        <v>5737.0380301703844</v>
      </c>
      <c r="AB73" s="16">
        <f t="shared" si="31"/>
        <v>5895.403399792569</v>
      </c>
      <c r="AC73" s="119">
        <f t="shared" si="31"/>
        <v>6045.9759219009757</v>
      </c>
      <c r="AD73" s="211">
        <f t="shared" si="31"/>
        <v>6187.0935621150393</v>
      </c>
      <c r="AE73" s="16">
        <f t="shared" si="31"/>
        <v>6319.3500196727373</v>
      </c>
      <c r="AF73" s="16">
        <f t="shared" si="31"/>
        <v>6443.301713728687</v>
      </c>
      <c r="AG73" s="16">
        <f t="shared" si="31"/>
        <v>6559.4701242778428</v>
      </c>
      <c r="AH73" s="16">
        <f t="shared" si="31"/>
        <v>6668.3439860858616</v>
      </c>
      <c r="AI73" s="16">
        <f t="shared" si="31"/>
        <v>6770.3813448562632</v>
      </c>
      <c r="AJ73" s="16"/>
    </row>
    <row r="74" spans="1:36">
      <c r="A74" s="6" t="s">
        <v>383</v>
      </c>
      <c r="B74" s="119">
        <f t="shared" si="26"/>
        <v>0</v>
      </c>
      <c r="C74" s="16">
        <f t="shared" ref="C74:AI74" si="32">B74+C47</f>
        <v>0.95602539473914416</v>
      </c>
      <c r="D74" s="16">
        <f t="shared" si="32"/>
        <v>1.5072266250072159</v>
      </c>
      <c r="E74" s="16">
        <f t="shared" si="32"/>
        <v>2.0695367321701985</v>
      </c>
      <c r="F74" s="16">
        <f t="shared" si="32"/>
        <v>2.5900853804250303</v>
      </c>
      <c r="G74" s="16">
        <f t="shared" si="32"/>
        <v>3.0645593924772814</v>
      </c>
      <c r="H74" s="16">
        <f t="shared" si="32"/>
        <v>3.4105074444231458</v>
      </c>
      <c r="I74" s="16">
        <f t="shared" si="32"/>
        <v>3.7694032877547321</v>
      </c>
      <c r="J74" s="16">
        <f t="shared" si="32"/>
        <v>4.081384694912491</v>
      </c>
      <c r="K74" s="16">
        <f t="shared" si="32"/>
        <v>4.385661652913285</v>
      </c>
      <c r="L74" s="16">
        <f t="shared" si="32"/>
        <v>4.6936161007606358</v>
      </c>
      <c r="M74" s="16">
        <f t="shared" si="32"/>
        <v>4.876091196085361</v>
      </c>
      <c r="N74" s="16">
        <f t="shared" si="32"/>
        <v>5.0454798390598876</v>
      </c>
      <c r="O74" s="16">
        <f t="shared" si="32"/>
        <v>5.2294447586090405</v>
      </c>
      <c r="P74" s="16">
        <f t="shared" si="32"/>
        <v>5.3836719529946686</v>
      </c>
      <c r="Q74" s="16">
        <f t="shared" si="32"/>
        <v>5.5346613210514448</v>
      </c>
      <c r="R74" s="16">
        <f t="shared" si="32"/>
        <v>5.690057206126018</v>
      </c>
      <c r="S74" s="16">
        <f t="shared" si="32"/>
        <v>5.8275763916379768</v>
      </c>
      <c r="T74" s="16">
        <f t="shared" si="32"/>
        <v>5.9557466681538642</v>
      </c>
      <c r="U74" s="16">
        <f t="shared" si="32"/>
        <v>6.0933307004328334</v>
      </c>
      <c r="V74" s="16">
        <f t="shared" si="32"/>
        <v>6.2103146406013154</v>
      </c>
      <c r="W74" s="16">
        <f t="shared" si="32"/>
        <v>6.3246720109823338</v>
      </c>
      <c r="X74" s="16">
        <f t="shared" si="32"/>
        <v>6.4415980915041979</v>
      </c>
      <c r="Y74" s="16">
        <f t="shared" si="32"/>
        <v>6.5460068556555422</v>
      </c>
      <c r="Z74" s="16">
        <f t="shared" si="32"/>
        <v>6.6436912405524309</v>
      </c>
      <c r="AA74" s="16">
        <f t="shared" si="32"/>
        <v>6.7473794896881474</v>
      </c>
      <c r="AB74" s="16">
        <f t="shared" si="32"/>
        <v>6.8299441406162629</v>
      </c>
      <c r="AC74" s="119">
        <f t="shared" si="32"/>
        <v>6.9134101017759475</v>
      </c>
      <c r="AD74" s="211">
        <f t="shared" si="32"/>
        <v>6.9892525522111812</v>
      </c>
      <c r="AE74" s="16">
        <f t="shared" si="32"/>
        <v>7.065161560369619</v>
      </c>
      <c r="AF74" s="16">
        <f t="shared" si="32"/>
        <v>7.1348731753412622</v>
      </c>
      <c r="AG74" s="16">
        <f t="shared" si="32"/>
        <v>7.2050716835813713</v>
      </c>
      <c r="AH74" s="16">
        <f t="shared" si="32"/>
        <v>7.266976907278667</v>
      </c>
      <c r="AI74" s="16">
        <f t="shared" si="32"/>
        <v>7.325205364161631</v>
      </c>
      <c r="AJ74" s="16"/>
    </row>
    <row r="75" spans="1:36">
      <c r="A75" s="6" t="s">
        <v>65</v>
      </c>
      <c r="B75" s="119">
        <f t="shared" si="26"/>
        <v>849.92173000000025</v>
      </c>
      <c r="C75" s="16">
        <f t="shared" ref="C75:AI75" si="33">B75+C48</f>
        <v>1654.9382810777884</v>
      </c>
      <c r="D75" s="16">
        <f t="shared" si="33"/>
        <v>2423.8548889677199</v>
      </c>
      <c r="E75" s="16">
        <f t="shared" si="33"/>
        <v>3146.2045814167122</v>
      </c>
      <c r="F75" s="16">
        <f t="shared" si="33"/>
        <v>3805.3665317902905</v>
      </c>
      <c r="G75" s="16">
        <f t="shared" si="33"/>
        <v>4448.2135599067879</v>
      </c>
      <c r="H75" s="16">
        <f t="shared" si="33"/>
        <v>5089.7946553687234</v>
      </c>
      <c r="I75" s="16">
        <f t="shared" si="33"/>
        <v>5756.0657199023244</v>
      </c>
      <c r="J75" s="16">
        <f t="shared" si="33"/>
        <v>6452.5144203766013</v>
      </c>
      <c r="K75" s="16">
        <f t="shared" si="33"/>
        <v>7149.7912868137428</v>
      </c>
      <c r="L75" s="16">
        <f t="shared" si="33"/>
        <v>7844.6304467121354</v>
      </c>
      <c r="M75" s="16">
        <f t="shared" si="33"/>
        <v>8529.0868797145922</v>
      </c>
      <c r="N75" s="16">
        <f t="shared" si="33"/>
        <v>9197.4524366347287</v>
      </c>
      <c r="O75" s="16">
        <f t="shared" si="33"/>
        <v>9826.4535860447704</v>
      </c>
      <c r="P75" s="16">
        <f t="shared" si="33"/>
        <v>10417.288620181618</v>
      </c>
      <c r="Q75" s="16">
        <f t="shared" si="33"/>
        <v>10989.34470341124</v>
      </c>
      <c r="R75" s="16">
        <f t="shared" si="33"/>
        <v>11533.420028766373</v>
      </c>
      <c r="S75" s="16">
        <f t="shared" si="33"/>
        <v>12083.180573950387</v>
      </c>
      <c r="T75" s="16">
        <f t="shared" si="33"/>
        <v>12627.376484185277</v>
      </c>
      <c r="U75" s="16">
        <f t="shared" si="33"/>
        <v>13154.672238395548</v>
      </c>
      <c r="V75" s="16">
        <f t="shared" si="33"/>
        <v>13668.431695339099</v>
      </c>
      <c r="W75" s="16">
        <f t="shared" si="33"/>
        <v>14174.919148418488</v>
      </c>
      <c r="X75" s="16">
        <f t="shared" si="33"/>
        <v>14657.282548871466</v>
      </c>
      <c r="Y75" s="16">
        <f t="shared" si="33"/>
        <v>15114.569066342268</v>
      </c>
      <c r="Z75" s="16">
        <f t="shared" si="33"/>
        <v>15565.430144360085</v>
      </c>
      <c r="AA75" s="16">
        <f t="shared" si="33"/>
        <v>16010.858273065816</v>
      </c>
      <c r="AB75" s="16">
        <f t="shared" si="33"/>
        <v>16448.4156507318</v>
      </c>
      <c r="AC75" s="119">
        <f t="shared" si="33"/>
        <v>16863.362446798164</v>
      </c>
      <c r="AD75" s="211">
        <f t="shared" si="33"/>
        <v>17261.534992696539</v>
      </c>
      <c r="AE75" s="16">
        <f t="shared" si="33"/>
        <v>17634.562332003796</v>
      </c>
      <c r="AF75" s="16">
        <f t="shared" si="33"/>
        <v>17991.550562713863</v>
      </c>
      <c r="AG75" s="16">
        <f t="shared" si="33"/>
        <v>18337.106036422832</v>
      </c>
      <c r="AH75" s="16">
        <f t="shared" si="33"/>
        <v>18674.050205466789</v>
      </c>
      <c r="AI75" s="16">
        <f t="shared" si="33"/>
        <v>19000.606927998964</v>
      </c>
      <c r="AJ75" s="16"/>
    </row>
    <row r="76" spans="1:36">
      <c r="A76" s="6" t="s">
        <v>52</v>
      </c>
      <c r="B76" s="119">
        <f t="shared" si="26"/>
        <v>86.065400000000025</v>
      </c>
      <c r="C76" s="16">
        <f t="shared" ref="C76:AI76" si="34">B76+C49</f>
        <v>171.47924254920338</v>
      </c>
      <c r="D76" s="16">
        <f t="shared" si="34"/>
        <v>257.22767753627835</v>
      </c>
      <c r="E76" s="16">
        <f t="shared" si="34"/>
        <v>341.79544689023015</v>
      </c>
      <c r="F76" s="16">
        <f t="shared" si="34"/>
        <v>427.53831799598532</v>
      </c>
      <c r="G76" s="16">
        <f t="shared" si="34"/>
        <v>517.38668657459618</v>
      </c>
      <c r="H76" s="16">
        <f t="shared" si="34"/>
        <v>616.91238933685474</v>
      </c>
      <c r="I76" s="16">
        <f t="shared" si="34"/>
        <v>722.65769204084563</v>
      </c>
      <c r="J76" s="16">
        <f t="shared" si="34"/>
        <v>835.22373087306494</v>
      </c>
      <c r="K76" s="16">
        <f t="shared" si="34"/>
        <v>948.90968278739706</v>
      </c>
      <c r="L76" s="16">
        <f t="shared" si="34"/>
        <v>1067.2737903452205</v>
      </c>
      <c r="M76" s="16">
        <f t="shared" si="34"/>
        <v>1189.0105932507754</v>
      </c>
      <c r="N76" s="16">
        <f t="shared" si="34"/>
        <v>1308.4870536255394</v>
      </c>
      <c r="O76" s="16">
        <f t="shared" si="34"/>
        <v>1428.6987299458037</v>
      </c>
      <c r="P76" s="16">
        <f t="shared" si="34"/>
        <v>1542.5845400775979</v>
      </c>
      <c r="Q76" s="16">
        <f t="shared" si="34"/>
        <v>1654.3656284121514</v>
      </c>
      <c r="R76" s="16">
        <f t="shared" si="34"/>
        <v>1766.1848009245202</v>
      </c>
      <c r="S76" s="16">
        <f t="shared" si="34"/>
        <v>1884.2236628596811</v>
      </c>
      <c r="T76" s="16">
        <f t="shared" si="34"/>
        <v>2000.4856182226915</v>
      </c>
      <c r="U76" s="16">
        <f t="shared" si="34"/>
        <v>2121.2147720575599</v>
      </c>
      <c r="V76" s="16">
        <f t="shared" si="34"/>
        <v>2236.5153841897818</v>
      </c>
      <c r="W76" s="16">
        <f t="shared" si="34"/>
        <v>2351.3087566774802</v>
      </c>
      <c r="X76" s="16">
        <f t="shared" si="34"/>
        <v>2460.5845338198005</v>
      </c>
      <c r="Y76" s="16">
        <f t="shared" si="34"/>
        <v>2567.6833085421022</v>
      </c>
      <c r="Z76" s="16">
        <f t="shared" si="34"/>
        <v>2671.2432932975089</v>
      </c>
      <c r="AA76" s="16">
        <f t="shared" si="34"/>
        <v>2773.8325830532831</v>
      </c>
      <c r="AB76" s="16">
        <f t="shared" si="34"/>
        <v>2873.0800610882015</v>
      </c>
      <c r="AC76" s="119">
        <f t="shared" si="34"/>
        <v>2971.1723266446861</v>
      </c>
      <c r="AD76" s="211">
        <f t="shared" si="34"/>
        <v>3065.8511843467945</v>
      </c>
      <c r="AE76" s="16">
        <f t="shared" si="34"/>
        <v>3158.0651907712854</v>
      </c>
      <c r="AF76" s="16">
        <f t="shared" si="34"/>
        <v>3247.1707488363377</v>
      </c>
      <c r="AG76" s="16">
        <f t="shared" si="34"/>
        <v>3336.7094457201333</v>
      </c>
      <c r="AH76" s="16">
        <f t="shared" si="34"/>
        <v>3420.8630999465313</v>
      </c>
      <c r="AI76" s="16">
        <f t="shared" si="34"/>
        <v>3503.4040562204409</v>
      </c>
      <c r="AJ76" s="16"/>
    </row>
    <row r="77" spans="1:36">
      <c r="A77" s="36" t="s">
        <v>66</v>
      </c>
      <c r="B77" s="119">
        <f t="shared" si="26"/>
        <v>6.2323630999999988</v>
      </c>
      <c r="C77" s="16">
        <f t="shared" ref="C77:AI77" si="35">B77+C50</f>
        <v>12.297408085941893</v>
      </c>
      <c r="D77" s="16">
        <f t="shared" si="35"/>
        <v>17.833927806378366</v>
      </c>
      <c r="E77" s="16">
        <f t="shared" si="35"/>
        <v>22.494080530566194</v>
      </c>
      <c r="F77" s="16">
        <f t="shared" si="35"/>
        <v>26.689484905055757</v>
      </c>
      <c r="G77" s="16">
        <f t="shared" si="35"/>
        <v>30.749476064082099</v>
      </c>
      <c r="H77" s="16">
        <f t="shared" si="35"/>
        <v>34.578258744944932</v>
      </c>
      <c r="I77" s="16">
        <f t="shared" si="35"/>
        <v>38.321836480470651</v>
      </c>
      <c r="J77" s="16">
        <f t="shared" si="35"/>
        <v>42.176575547211854</v>
      </c>
      <c r="K77" s="16">
        <f t="shared" si="35"/>
        <v>45.74648383737167</v>
      </c>
      <c r="L77" s="16">
        <f t="shared" si="35"/>
        <v>49.165490115544742</v>
      </c>
      <c r="M77" s="16">
        <f t="shared" si="35"/>
        <v>52.296958757581379</v>
      </c>
      <c r="N77" s="16">
        <f t="shared" si="35"/>
        <v>55.061861059985645</v>
      </c>
      <c r="O77" s="16">
        <f t="shared" si="35"/>
        <v>57.522674135091115</v>
      </c>
      <c r="P77" s="16">
        <f t="shared" si="35"/>
        <v>58.61074794731271</v>
      </c>
      <c r="Q77" s="16">
        <f t="shared" si="35"/>
        <v>59.246283972670312</v>
      </c>
      <c r="R77" s="16">
        <f t="shared" si="35"/>
        <v>59.845721571075615</v>
      </c>
      <c r="S77" s="16">
        <f t="shared" si="35"/>
        <v>60.414275997012282</v>
      </c>
      <c r="T77" s="16">
        <f t="shared" si="35"/>
        <v>60.953776499879154</v>
      </c>
      <c r="U77" s="16">
        <f t="shared" si="35"/>
        <v>61.464556752726359</v>
      </c>
      <c r="V77" s="16">
        <f t="shared" si="35"/>
        <v>61.953120475399622</v>
      </c>
      <c r="W77" s="16">
        <f t="shared" si="35"/>
        <v>62.414064679298463</v>
      </c>
      <c r="X77" s="16">
        <f t="shared" si="35"/>
        <v>62.845171717699863</v>
      </c>
      <c r="Y77" s="16">
        <f t="shared" si="35"/>
        <v>63.255252303458178</v>
      </c>
      <c r="Z77" s="16">
        <f t="shared" si="35"/>
        <v>63.643960805046213</v>
      </c>
      <c r="AA77" s="16">
        <f t="shared" si="35"/>
        <v>64.010427388984169</v>
      </c>
      <c r="AB77" s="16">
        <f t="shared" si="35"/>
        <v>64.360591725006188</v>
      </c>
      <c r="AC77" s="119">
        <f t="shared" si="35"/>
        <v>64.688613726970232</v>
      </c>
      <c r="AD77" s="211">
        <f t="shared" si="35"/>
        <v>64.997933776622489</v>
      </c>
      <c r="AE77" s="16">
        <f t="shared" si="35"/>
        <v>65.288015239225558</v>
      </c>
      <c r="AF77" s="16">
        <f t="shared" si="35"/>
        <v>65.564573439295998</v>
      </c>
      <c r="AG77" s="16">
        <f t="shared" si="35"/>
        <v>65.825859201290456</v>
      </c>
      <c r="AH77" s="16">
        <f t="shared" si="35"/>
        <v>66.07672197028738</v>
      </c>
      <c r="AI77" s="16">
        <f t="shared" si="35"/>
        <v>66.315151114914173</v>
      </c>
      <c r="AJ77" s="16"/>
    </row>
    <row r="78" spans="1:36">
      <c r="A78" s="12" t="s">
        <v>69</v>
      </c>
      <c r="B78" s="212">
        <f t="shared" si="26"/>
        <v>0</v>
      </c>
      <c r="C78" s="212">
        <f t="shared" ref="C78:AH78" si="36">B78+C51</f>
        <v>0</v>
      </c>
      <c r="D78" s="212">
        <f t="shared" si="36"/>
        <v>0</v>
      </c>
      <c r="E78" s="212">
        <f t="shared" si="36"/>
        <v>0</v>
      </c>
      <c r="F78" s="212">
        <f t="shared" si="36"/>
        <v>0</v>
      </c>
      <c r="G78" s="212">
        <f t="shared" si="36"/>
        <v>70.208588976150637</v>
      </c>
      <c r="H78" s="212">
        <f t="shared" si="36"/>
        <v>188.64411949161075</v>
      </c>
      <c r="I78" s="212">
        <f t="shared" si="36"/>
        <v>349.83838205599579</v>
      </c>
      <c r="J78" s="212">
        <f t="shared" si="36"/>
        <v>551.53351963451303</v>
      </c>
      <c r="K78" s="212">
        <f t="shared" si="36"/>
        <v>784.45493972877648</v>
      </c>
      <c r="L78" s="212">
        <f t="shared" si="36"/>
        <v>1047.2974520923187</v>
      </c>
      <c r="M78" s="212">
        <f t="shared" si="36"/>
        <v>1328.2934999722547</v>
      </c>
      <c r="N78" s="212">
        <f t="shared" si="36"/>
        <v>1628.2721338079357</v>
      </c>
      <c r="O78" s="212">
        <f t="shared" si="36"/>
        <v>1943.0594324268654</v>
      </c>
      <c r="P78" s="212">
        <f t="shared" si="36"/>
        <v>2248.5887454022682</v>
      </c>
      <c r="Q78" s="212">
        <f t="shared" si="36"/>
        <v>2556.5955159806281</v>
      </c>
      <c r="R78" s="212">
        <f t="shared" si="36"/>
        <v>2908.5571034920704</v>
      </c>
      <c r="S78" s="212">
        <f t="shared" si="36"/>
        <v>3297.2767534094933</v>
      </c>
      <c r="T78" s="212">
        <f t="shared" si="36"/>
        <v>3718.2157524129261</v>
      </c>
      <c r="U78" s="212">
        <f t="shared" si="36"/>
        <v>4169.2634412148136</v>
      </c>
      <c r="V78" s="212">
        <f t="shared" si="36"/>
        <v>4643.0861110575106</v>
      </c>
      <c r="W78" s="212">
        <f t="shared" si="36"/>
        <v>5138.0392711613285</v>
      </c>
      <c r="X78" s="212">
        <f t="shared" si="36"/>
        <v>5637.7928347570578</v>
      </c>
      <c r="Y78" s="212">
        <f t="shared" si="36"/>
        <v>6144.6288343067363</v>
      </c>
      <c r="Z78" s="212">
        <f t="shared" si="36"/>
        <v>6664.9050589357412</v>
      </c>
      <c r="AA78" s="212">
        <f t="shared" si="36"/>
        <v>7191.2803067260866</v>
      </c>
      <c r="AB78" s="212">
        <f t="shared" si="36"/>
        <v>7724.5300192421164</v>
      </c>
      <c r="AC78" s="212">
        <f t="shared" si="36"/>
        <v>8254.8019872484911</v>
      </c>
      <c r="AD78" s="213">
        <f t="shared" si="36"/>
        <v>8783.2301769057904</v>
      </c>
      <c r="AE78" s="212">
        <f t="shared" si="36"/>
        <v>9304.9391332459509</v>
      </c>
      <c r="AF78" s="212">
        <f t="shared" si="36"/>
        <v>9825.917164517421</v>
      </c>
      <c r="AG78" s="212">
        <f t="shared" si="36"/>
        <v>10342.057414315115</v>
      </c>
      <c r="AH78" s="212">
        <f t="shared" si="36"/>
        <v>10856.870680142518</v>
      </c>
      <c r="AI78" s="212">
        <f>AH78+AI51</f>
        <v>11365.751411261785</v>
      </c>
      <c r="AJ78" s="212"/>
    </row>
    <row r="79" spans="1:36">
      <c r="A79" s="6" t="s">
        <v>61</v>
      </c>
      <c r="B79" s="15">
        <f t="shared" ref="B79:AI79" si="37">SUM(B69:B78)</f>
        <v>1843.5391832822065</v>
      </c>
      <c r="C79" s="15">
        <f t="shared" si="37"/>
        <v>3603.3248372567591</v>
      </c>
      <c r="D79" s="15">
        <f t="shared" si="37"/>
        <v>5332.678776155286</v>
      </c>
      <c r="E79" s="15">
        <f t="shared" si="37"/>
        <v>7016.5685397708021</v>
      </c>
      <c r="F79" s="15">
        <f t="shared" si="37"/>
        <v>8499.2863157584634</v>
      </c>
      <c r="G79" s="15">
        <f t="shared" si="37"/>
        <v>9871.9054698698201</v>
      </c>
      <c r="H79" s="15">
        <f t="shared" si="37"/>
        <v>11190.580377482234</v>
      </c>
      <c r="I79" s="15">
        <f t="shared" si="37"/>
        <v>12535.004220345978</v>
      </c>
      <c r="J79" s="15">
        <f t="shared" si="37"/>
        <v>13925.575072063029</v>
      </c>
      <c r="K79" s="15">
        <f t="shared" si="37"/>
        <v>15327.917197354058</v>
      </c>
      <c r="L79" s="15">
        <f t="shared" si="37"/>
        <v>16741.194677203956</v>
      </c>
      <c r="M79" s="15">
        <f t="shared" si="37"/>
        <v>18147.212597360951</v>
      </c>
      <c r="N79" s="15">
        <f t="shared" si="37"/>
        <v>19535.211415895694</v>
      </c>
      <c r="O79" s="15">
        <f t="shared" si="37"/>
        <v>20882.579422325423</v>
      </c>
      <c r="P79" s="15">
        <f t="shared" si="37"/>
        <v>22254.071364611013</v>
      </c>
      <c r="Q79" s="15">
        <f t="shared" si="37"/>
        <v>23748.29210312101</v>
      </c>
      <c r="R79" s="15">
        <f t="shared" si="37"/>
        <v>25229.688826214682</v>
      </c>
      <c r="S79" s="15">
        <f t="shared" si="37"/>
        <v>26729.871658072963</v>
      </c>
      <c r="T79" s="15">
        <f t="shared" si="37"/>
        <v>28241.6081714723</v>
      </c>
      <c r="U79" s="15">
        <f t="shared" si="37"/>
        <v>29750.306037311155</v>
      </c>
      <c r="V79" s="15">
        <f t="shared" si="37"/>
        <v>31239.413727838069</v>
      </c>
      <c r="W79" s="15">
        <f t="shared" si="37"/>
        <v>32717.52550253335</v>
      </c>
      <c r="X79" s="15">
        <f t="shared" si="37"/>
        <v>34193.112860457593</v>
      </c>
      <c r="Y79" s="15">
        <f t="shared" si="37"/>
        <v>35719.974072015553</v>
      </c>
      <c r="Z79" s="15">
        <f t="shared" si="37"/>
        <v>37228.37853257337</v>
      </c>
      <c r="AA79" s="15">
        <f t="shared" si="37"/>
        <v>38718.131179742537</v>
      </c>
      <c r="AB79" s="15">
        <f t="shared" si="37"/>
        <v>40181.532988563769</v>
      </c>
      <c r="AC79" s="52">
        <f t="shared" si="37"/>
        <v>41591.552320150295</v>
      </c>
      <c r="AD79" s="214">
        <f t="shared" si="37"/>
        <v>42951.171127177979</v>
      </c>
      <c r="AE79" s="15">
        <f t="shared" si="37"/>
        <v>44249.051782369665</v>
      </c>
      <c r="AF79" s="15">
        <f t="shared" si="37"/>
        <v>45500.037225014144</v>
      </c>
      <c r="AG79" s="15">
        <f t="shared" si="37"/>
        <v>46710.863369741193</v>
      </c>
      <c r="AH79" s="15">
        <f t="shared" si="37"/>
        <v>47882.433346711536</v>
      </c>
      <c r="AI79" s="15">
        <f t="shared" si="37"/>
        <v>49015.081383184261</v>
      </c>
      <c r="AJ79" s="15"/>
    </row>
    <row r="80" spans="1:36"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52"/>
      <c r="AD80" s="214"/>
      <c r="AE80" s="15"/>
      <c r="AF80" s="15"/>
      <c r="AG80" s="15"/>
      <c r="AH80" s="15"/>
      <c r="AI80" s="15"/>
      <c r="AJ80" s="15"/>
    </row>
    <row r="81" spans="1:36">
      <c r="A81" s="6" t="s">
        <v>70</v>
      </c>
      <c r="AC81" s="36"/>
      <c r="AD81" s="215"/>
    </row>
    <row r="82" spans="1:36">
      <c r="A82" s="152" t="str">
        <f>$A$68&amp;"-"&amp;$A$55</f>
        <v>Clean Energy Connection-SoBra 700MWs</v>
      </c>
      <c r="B82" s="152">
        <f>$B$1</f>
        <v>2020</v>
      </c>
      <c r="C82" s="152">
        <f t="shared" ref="C82:AI82" si="38">B82+1</f>
        <v>2021</v>
      </c>
      <c r="D82" s="152">
        <f t="shared" si="38"/>
        <v>2022</v>
      </c>
      <c r="E82" s="152">
        <f t="shared" si="38"/>
        <v>2023</v>
      </c>
      <c r="F82" s="152">
        <f t="shared" si="38"/>
        <v>2024</v>
      </c>
      <c r="G82" s="152">
        <f t="shared" si="38"/>
        <v>2025</v>
      </c>
      <c r="H82" s="152">
        <f t="shared" si="38"/>
        <v>2026</v>
      </c>
      <c r="I82" s="152">
        <f t="shared" si="38"/>
        <v>2027</v>
      </c>
      <c r="J82" s="152">
        <f t="shared" si="38"/>
        <v>2028</v>
      </c>
      <c r="K82" s="152">
        <f t="shared" si="38"/>
        <v>2029</v>
      </c>
      <c r="L82" s="152">
        <f t="shared" si="38"/>
        <v>2030</v>
      </c>
      <c r="M82" s="152">
        <f t="shared" si="38"/>
        <v>2031</v>
      </c>
      <c r="N82" s="152">
        <f t="shared" si="38"/>
        <v>2032</v>
      </c>
      <c r="O82" s="152">
        <f t="shared" si="38"/>
        <v>2033</v>
      </c>
      <c r="P82" s="152">
        <f t="shared" si="38"/>
        <v>2034</v>
      </c>
      <c r="Q82" s="152">
        <f t="shared" si="38"/>
        <v>2035</v>
      </c>
      <c r="R82" s="152">
        <f t="shared" si="38"/>
        <v>2036</v>
      </c>
      <c r="S82" s="152">
        <f t="shared" si="38"/>
        <v>2037</v>
      </c>
      <c r="T82" s="152">
        <f t="shared" si="38"/>
        <v>2038</v>
      </c>
      <c r="U82" s="152">
        <f t="shared" si="38"/>
        <v>2039</v>
      </c>
      <c r="V82" s="152">
        <f t="shared" si="38"/>
        <v>2040</v>
      </c>
      <c r="W82" s="152">
        <f t="shared" si="38"/>
        <v>2041</v>
      </c>
      <c r="X82" s="152">
        <f t="shared" si="38"/>
        <v>2042</v>
      </c>
      <c r="Y82" s="152">
        <f t="shared" si="38"/>
        <v>2043</v>
      </c>
      <c r="Z82" s="152">
        <f t="shared" si="38"/>
        <v>2044</v>
      </c>
      <c r="AA82" s="152">
        <f t="shared" si="38"/>
        <v>2045</v>
      </c>
      <c r="AB82" s="152">
        <f t="shared" si="38"/>
        <v>2046</v>
      </c>
      <c r="AC82" s="209">
        <f t="shared" si="38"/>
        <v>2047</v>
      </c>
      <c r="AD82" s="210">
        <f t="shared" si="38"/>
        <v>2048</v>
      </c>
      <c r="AE82" s="152">
        <f t="shared" si="38"/>
        <v>2049</v>
      </c>
      <c r="AF82" s="152">
        <f t="shared" si="38"/>
        <v>2050</v>
      </c>
      <c r="AG82" s="152">
        <f t="shared" si="38"/>
        <v>2051</v>
      </c>
      <c r="AH82" s="152">
        <f t="shared" si="38"/>
        <v>2052</v>
      </c>
      <c r="AI82" s="152">
        <f t="shared" si="38"/>
        <v>2053</v>
      </c>
      <c r="AJ82" s="152"/>
    </row>
    <row r="83" spans="1:36">
      <c r="A83" s="6" t="s">
        <v>134</v>
      </c>
      <c r="B83" s="119">
        <f t="shared" ref="B83:AI83" si="39">B15-B2</f>
        <v>0</v>
      </c>
      <c r="C83" s="119">
        <f t="shared" si="39"/>
        <v>0</v>
      </c>
      <c r="D83" s="119">
        <f t="shared" si="39"/>
        <v>0</v>
      </c>
      <c r="E83" s="119">
        <f t="shared" si="39"/>
        <v>0</v>
      </c>
      <c r="F83" s="119">
        <f t="shared" si="39"/>
        <v>0</v>
      </c>
      <c r="G83" s="119">
        <f t="shared" si="39"/>
        <v>0</v>
      </c>
      <c r="H83" s="119">
        <f t="shared" si="39"/>
        <v>0</v>
      </c>
      <c r="I83" s="119">
        <f t="shared" si="39"/>
        <v>0</v>
      </c>
      <c r="J83" s="119">
        <f t="shared" si="39"/>
        <v>0</v>
      </c>
      <c r="K83" s="119">
        <f t="shared" si="39"/>
        <v>0</v>
      </c>
      <c r="L83" s="119">
        <f t="shared" si="39"/>
        <v>0</v>
      </c>
      <c r="M83" s="119">
        <f t="shared" si="39"/>
        <v>0</v>
      </c>
      <c r="N83" s="119">
        <f t="shared" si="39"/>
        <v>0</v>
      </c>
      <c r="O83" s="119">
        <f t="shared" si="39"/>
        <v>0</v>
      </c>
      <c r="P83" s="119">
        <f t="shared" si="39"/>
        <v>0</v>
      </c>
      <c r="Q83" s="119">
        <f t="shared" si="39"/>
        <v>0</v>
      </c>
      <c r="R83" s="119">
        <f t="shared" si="39"/>
        <v>0</v>
      </c>
      <c r="S83" s="119">
        <f t="shared" si="39"/>
        <v>0</v>
      </c>
      <c r="T83" s="119">
        <f t="shared" si="39"/>
        <v>0</v>
      </c>
      <c r="U83" s="119">
        <f t="shared" si="39"/>
        <v>0</v>
      </c>
      <c r="V83" s="119">
        <f t="shared" si="39"/>
        <v>0</v>
      </c>
      <c r="W83" s="119">
        <f t="shared" si="39"/>
        <v>0</v>
      </c>
      <c r="X83" s="119">
        <f t="shared" si="39"/>
        <v>0</v>
      </c>
      <c r="Y83" s="119">
        <f t="shared" si="39"/>
        <v>0</v>
      </c>
      <c r="Z83" s="119">
        <f t="shared" si="39"/>
        <v>0</v>
      </c>
      <c r="AA83" s="119">
        <f t="shared" si="39"/>
        <v>0</v>
      </c>
      <c r="AB83" s="119">
        <f t="shared" si="39"/>
        <v>0</v>
      </c>
      <c r="AC83" s="119">
        <f t="shared" si="39"/>
        <v>0</v>
      </c>
      <c r="AD83" s="211">
        <f t="shared" si="39"/>
        <v>0</v>
      </c>
      <c r="AE83" s="119">
        <f t="shared" si="39"/>
        <v>0</v>
      </c>
      <c r="AF83" s="119">
        <f t="shared" si="39"/>
        <v>0</v>
      </c>
      <c r="AG83" s="119">
        <f t="shared" si="39"/>
        <v>0</v>
      </c>
      <c r="AH83" s="119">
        <f t="shared" si="39"/>
        <v>0</v>
      </c>
      <c r="AI83" s="119">
        <f t="shared" si="39"/>
        <v>0</v>
      </c>
      <c r="AJ83" s="119"/>
    </row>
    <row r="84" spans="1:36">
      <c r="A84" s="6" t="s">
        <v>135</v>
      </c>
      <c r="B84" s="119">
        <f t="shared" ref="B84:AI84" si="40">B16-B3</f>
        <v>0</v>
      </c>
      <c r="C84" s="119">
        <f t="shared" si="40"/>
        <v>0</v>
      </c>
      <c r="D84" s="119">
        <f t="shared" si="40"/>
        <v>30.858064131033437</v>
      </c>
      <c r="E84" s="119">
        <f t="shared" si="40"/>
        <v>87.07123900568844</v>
      </c>
      <c r="F84" s="119">
        <f t="shared" si="40"/>
        <v>138.32148483336081</v>
      </c>
      <c r="G84" s="119">
        <f t="shared" si="40"/>
        <v>131.34102763355375</v>
      </c>
      <c r="H84" s="119">
        <f t="shared" si="40"/>
        <v>125.32829334309196</v>
      </c>
      <c r="I84" s="119">
        <f t="shared" si="40"/>
        <v>112.37313136938053</v>
      </c>
      <c r="J84" s="119">
        <f t="shared" si="40"/>
        <v>108.5565089486837</v>
      </c>
      <c r="K84" s="119">
        <f t="shared" si="40"/>
        <v>105.48973259473424</v>
      </c>
      <c r="L84" s="119">
        <f t="shared" si="40"/>
        <v>102.87656792502673</v>
      </c>
      <c r="M84" s="119">
        <f t="shared" si="40"/>
        <v>100.51289638557827</v>
      </c>
      <c r="N84" s="119">
        <f t="shared" si="40"/>
        <v>98.179378177042935</v>
      </c>
      <c r="O84" s="119">
        <f t="shared" si="40"/>
        <v>95.847943420614058</v>
      </c>
      <c r="P84" s="119">
        <f t="shared" si="40"/>
        <v>93.474328160646081</v>
      </c>
      <c r="Q84" s="119">
        <f t="shared" si="40"/>
        <v>91.186331074785173</v>
      </c>
      <c r="R84" s="119">
        <f t="shared" si="40"/>
        <v>88.936995255073953</v>
      </c>
      <c r="S84" s="119">
        <f t="shared" si="40"/>
        <v>86.647567246409736</v>
      </c>
      <c r="T84" s="119">
        <f t="shared" si="40"/>
        <v>90.572619755463975</v>
      </c>
      <c r="U84" s="119">
        <f t="shared" si="40"/>
        <v>87.77172842682694</v>
      </c>
      <c r="V84" s="119">
        <f t="shared" si="40"/>
        <v>84.961956356760751</v>
      </c>
      <c r="W84" s="119">
        <f t="shared" si="40"/>
        <v>82.175389106315691</v>
      </c>
      <c r="X84" s="119">
        <f t="shared" si="40"/>
        <v>79.628352339490078</v>
      </c>
      <c r="Y84" s="119">
        <f t="shared" si="40"/>
        <v>77.276014548631224</v>
      </c>
      <c r="Z84" s="119">
        <f t="shared" si="40"/>
        <v>75.020683560031301</v>
      </c>
      <c r="AA84" s="119">
        <f t="shared" si="40"/>
        <v>72.691083602545405</v>
      </c>
      <c r="AB84" s="119">
        <f t="shared" si="40"/>
        <v>70.559218554413519</v>
      </c>
      <c r="AC84" s="119">
        <f t="shared" si="40"/>
        <v>68.396619754674475</v>
      </c>
      <c r="AD84" s="211">
        <f t="shared" si="40"/>
        <v>66.331776922346066</v>
      </c>
      <c r="AE84" s="119">
        <f t="shared" si="40"/>
        <v>64.19727863392194</v>
      </c>
      <c r="AF84" s="119">
        <f t="shared" si="40"/>
        <v>62.201468047298263</v>
      </c>
      <c r="AG84" s="119">
        <f t="shared" si="40"/>
        <v>63.884043803646705</v>
      </c>
      <c r="AH84" s="119">
        <f t="shared" si="40"/>
        <v>54.391358551299618</v>
      </c>
      <c r="AI84" s="119">
        <f t="shared" si="40"/>
        <v>31.274000020948147</v>
      </c>
      <c r="AJ84" s="119"/>
    </row>
    <row r="85" spans="1:36">
      <c r="A85" s="6" t="s">
        <v>60</v>
      </c>
      <c r="B85" s="119">
        <f t="shared" ref="B85:AI85" si="41">B17-B4</f>
        <v>0</v>
      </c>
      <c r="C85" s="119">
        <f t="shared" si="41"/>
        <v>0</v>
      </c>
      <c r="D85" s="119">
        <f t="shared" si="41"/>
        <v>0</v>
      </c>
      <c r="E85" s="119">
        <f t="shared" si="41"/>
        <v>0</v>
      </c>
      <c r="F85" s="119">
        <f t="shared" si="41"/>
        <v>0</v>
      </c>
      <c r="G85" s="119">
        <f t="shared" si="41"/>
        <v>0</v>
      </c>
      <c r="H85" s="119">
        <f t="shared" si="41"/>
        <v>0</v>
      </c>
      <c r="I85" s="119">
        <f t="shared" si="41"/>
        <v>-10.717088725236454</v>
      </c>
      <c r="J85" s="119">
        <f t="shared" si="41"/>
        <v>-28.823728181555392</v>
      </c>
      <c r="K85" s="119">
        <f t="shared" si="41"/>
        <v>-24.60565620192726</v>
      </c>
      <c r="L85" s="119">
        <f t="shared" si="41"/>
        <v>-27.253637617802788</v>
      </c>
      <c r="M85" s="119">
        <f t="shared" si="41"/>
        <v>-23.02029881135261</v>
      </c>
      <c r="N85" s="119">
        <f t="shared" si="41"/>
        <v>-25.834048984290732</v>
      </c>
      <c r="O85" s="119">
        <f t="shared" si="41"/>
        <v>-21.564427185999726</v>
      </c>
      <c r="P85" s="119">
        <f t="shared" si="41"/>
        <v>-27.746619659121023</v>
      </c>
      <c r="Q85" s="119">
        <f t="shared" si="41"/>
        <v>-37.530712998664058</v>
      </c>
      <c r="R85" s="119">
        <f t="shared" si="41"/>
        <v>-22.605420669398427</v>
      </c>
      <c r="S85" s="119">
        <f t="shared" si="41"/>
        <v>-12.169469296423586</v>
      </c>
      <c r="T85" s="119">
        <f t="shared" si="41"/>
        <v>-25.925327840755131</v>
      </c>
      <c r="U85" s="119">
        <f t="shared" si="41"/>
        <v>-35.077248597824905</v>
      </c>
      <c r="V85" s="119">
        <f t="shared" si="41"/>
        <v>-33.925412611250977</v>
      </c>
      <c r="W85" s="119">
        <f t="shared" si="41"/>
        <v>-32.789417284612114</v>
      </c>
      <c r="X85" s="119">
        <f t="shared" si="41"/>
        <v>-31.706987896875262</v>
      </c>
      <c r="Y85" s="119">
        <f t="shared" si="41"/>
        <v>-30.766241063007101</v>
      </c>
      <c r="Z85" s="119">
        <f t="shared" si="41"/>
        <v>-29.925209224712944</v>
      </c>
      <c r="AA85" s="119">
        <f t="shared" si="41"/>
        <v>-29.092902326120793</v>
      </c>
      <c r="AB85" s="119">
        <f t="shared" si="41"/>
        <v>-12.473613581555583</v>
      </c>
      <c r="AC85" s="119">
        <f t="shared" si="41"/>
        <v>-0.97800683653440501</v>
      </c>
      <c r="AD85" s="211">
        <f t="shared" si="41"/>
        <v>-0.97311125762553274</v>
      </c>
      <c r="AE85" s="119">
        <f t="shared" si="41"/>
        <v>-0.94998982090919526</v>
      </c>
      <c r="AF85" s="119">
        <f t="shared" si="41"/>
        <v>-0.95731738372535347</v>
      </c>
      <c r="AG85" s="119">
        <f t="shared" si="41"/>
        <v>-0.93705537965865915</v>
      </c>
      <c r="AH85" s="119">
        <f t="shared" si="41"/>
        <v>-0.79330288214714528</v>
      </c>
      <c r="AI85" s="119">
        <f t="shared" si="41"/>
        <v>-0.64222026114771325</v>
      </c>
      <c r="AJ85" s="119"/>
    </row>
    <row r="86" spans="1:36">
      <c r="A86" s="6" t="s">
        <v>68</v>
      </c>
      <c r="B86" s="119">
        <f t="shared" ref="B86:AI86" si="42">B18-B5</f>
        <v>0</v>
      </c>
      <c r="C86" s="119">
        <f t="shared" si="42"/>
        <v>0</v>
      </c>
      <c r="D86" s="119">
        <f t="shared" si="42"/>
        <v>0</v>
      </c>
      <c r="E86" s="119">
        <f t="shared" si="42"/>
        <v>0</v>
      </c>
      <c r="F86" s="119">
        <f t="shared" si="42"/>
        <v>0</v>
      </c>
      <c r="G86" s="119">
        <f t="shared" si="42"/>
        <v>0</v>
      </c>
      <c r="H86" s="119">
        <f t="shared" si="42"/>
        <v>0</v>
      </c>
      <c r="I86" s="119">
        <f t="shared" si="42"/>
        <v>-0.25713000000000363</v>
      </c>
      <c r="J86" s="119">
        <f t="shared" si="42"/>
        <v>-0.71538000000000324</v>
      </c>
      <c r="K86" s="119">
        <f t="shared" si="42"/>
        <v>-0.6560900000000025</v>
      </c>
      <c r="L86" s="119">
        <f t="shared" si="42"/>
        <v>-0.75160999999999234</v>
      </c>
      <c r="M86" s="119">
        <f t="shared" si="42"/>
        <v>-0.68928999999999618</v>
      </c>
      <c r="N86" s="119">
        <f t="shared" si="42"/>
        <v>-0.78964999999999819</v>
      </c>
      <c r="O86" s="119">
        <f t="shared" si="42"/>
        <v>-0.72418000000000049</v>
      </c>
      <c r="P86" s="119">
        <f t="shared" si="42"/>
        <v>-1.5089199999999963</v>
      </c>
      <c r="Q86" s="119">
        <f t="shared" si="42"/>
        <v>-2.2677599999999956</v>
      </c>
      <c r="R86" s="119">
        <f t="shared" si="42"/>
        <v>-1.64649</v>
      </c>
      <c r="S86" s="119">
        <f t="shared" si="42"/>
        <v>-1.1912800000000061</v>
      </c>
      <c r="T86" s="119">
        <f t="shared" si="42"/>
        <v>-1.9333500000000043</v>
      </c>
      <c r="U86" s="119">
        <f t="shared" si="42"/>
        <v>-2.5031800000000075</v>
      </c>
      <c r="V86" s="119">
        <f t="shared" si="42"/>
        <v>-2.5657600000000045</v>
      </c>
      <c r="W86" s="119">
        <f t="shared" si="42"/>
        <v>-2.6298999999999992</v>
      </c>
      <c r="X86" s="119">
        <f t="shared" si="42"/>
        <v>-2.6956600000000108</v>
      </c>
      <c r="Y86" s="119">
        <f t="shared" si="42"/>
        <v>-2.7630400000000108</v>
      </c>
      <c r="Z86" s="119">
        <f t="shared" si="42"/>
        <v>-2.8321199999999962</v>
      </c>
      <c r="AA86" s="119">
        <f t="shared" si="42"/>
        <v>-2.9029200000000088</v>
      </c>
      <c r="AB86" s="119">
        <f t="shared" si="42"/>
        <v>-2.1076500000000067</v>
      </c>
      <c r="AC86" s="119">
        <f t="shared" si="42"/>
        <v>-1.5249399999999866</v>
      </c>
      <c r="AD86" s="211">
        <f t="shared" si="42"/>
        <v>-1.5630600000000072</v>
      </c>
      <c r="AE86" s="119">
        <f t="shared" si="42"/>
        <v>-1.6021400000000057</v>
      </c>
      <c r="AF86" s="119">
        <f t="shared" si="42"/>
        <v>-1.6422000000000168</v>
      </c>
      <c r="AG86" s="119">
        <f t="shared" si="42"/>
        <v>-1.683250000000001</v>
      </c>
      <c r="AH86" s="119">
        <f t="shared" si="42"/>
        <v>-1.7253299999999925</v>
      </c>
      <c r="AI86" s="119">
        <f t="shared" si="42"/>
        <v>-1.7684599999999975</v>
      </c>
      <c r="AJ86" s="119"/>
    </row>
    <row r="87" spans="1:36">
      <c r="A87" s="6" t="s">
        <v>67</v>
      </c>
      <c r="B87" s="119">
        <f t="shared" ref="B87:AI87" si="43">B19-B6</f>
        <v>0</v>
      </c>
      <c r="C87" s="119">
        <f t="shared" si="43"/>
        <v>0</v>
      </c>
      <c r="D87" s="119">
        <f t="shared" si="43"/>
        <v>0</v>
      </c>
      <c r="E87" s="119">
        <f t="shared" si="43"/>
        <v>0</v>
      </c>
      <c r="F87" s="119">
        <f t="shared" si="43"/>
        <v>0</v>
      </c>
      <c r="G87" s="119">
        <f t="shared" si="43"/>
        <v>0</v>
      </c>
      <c r="H87" s="119">
        <f t="shared" si="43"/>
        <v>0</v>
      </c>
      <c r="I87" s="119">
        <f t="shared" si="43"/>
        <v>0</v>
      </c>
      <c r="J87" s="119">
        <f t="shared" si="43"/>
        <v>0</v>
      </c>
      <c r="K87" s="119">
        <f t="shared" si="43"/>
        <v>0</v>
      </c>
      <c r="L87" s="119">
        <f t="shared" si="43"/>
        <v>0</v>
      </c>
      <c r="M87" s="119">
        <f t="shared" si="43"/>
        <v>0</v>
      </c>
      <c r="N87" s="119">
        <f t="shared" si="43"/>
        <v>0</v>
      </c>
      <c r="O87" s="119">
        <f t="shared" si="43"/>
        <v>0</v>
      </c>
      <c r="P87" s="119">
        <f t="shared" si="43"/>
        <v>-25.800389999999993</v>
      </c>
      <c r="Q87" s="119">
        <f t="shared" si="43"/>
        <v>-44.229260000000068</v>
      </c>
      <c r="R87" s="119">
        <f t="shared" si="43"/>
        <v>-30.67599000000007</v>
      </c>
      <c r="S87" s="119">
        <f t="shared" si="43"/>
        <v>-20.99508000000003</v>
      </c>
      <c r="T87" s="119">
        <f t="shared" si="43"/>
        <v>-35.234469999999988</v>
      </c>
      <c r="U87" s="119">
        <f t="shared" si="43"/>
        <v>-45.405480000000011</v>
      </c>
      <c r="V87" s="119">
        <f t="shared" si="43"/>
        <v>-45.405500000000075</v>
      </c>
      <c r="W87" s="119">
        <f t="shared" si="43"/>
        <v>-45.40544999999986</v>
      </c>
      <c r="X87" s="119">
        <f t="shared" si="43"/>
        <v>-45.405449999999973</v>
      </c>
      <c r="Y87" s="119">
        <f t="shared" si="43"/>
        <v>-45.405449999999973</v>
      </c>
      <c r="Z87" s="119">
        <f t="shared" si="43"/>
        <v>-45.405500000000075</v>
      </c>
      <c r="AA87" s="119">
        <f t="shared" si="43"/>
        <v>-45.405499999999961</v>
      </c>
      <c r="AB87" s="119">
        <f t="shared" si="43"/>
        <v>-28.056119999999964</v>
      </c>
      <c r="AC87" s="119">
        <f t="shared" si="43"/>
        <v>-15.66377</v>
      </c>
      <c r="AD87" s="211">
        <f t="shared" si="43"/>
        <v>-15.66377</v>
      </c>
      <c r="AE87" s="119">
        <f t="shared" si="43"/>
        <v>-15.66377</v>
      </c>
      <c r="AF87" s="119">
        <f t="shared" si="43"/>
        <v>-15.66377</v>
      </c>
      <c r="AG87" s="119">
        <f t="shared" si="43"/>
        <v>-15.66377</v>
      </c>
      <c r="AH87" s="119">
        <f t="shared" si="43"/>
        <v>-15.66377</v>
      </c>
      <c r="AI87" s="119">
        <f t="shared" si="43"/>
        <v>-15.66377</v>
      </c>
      <c r="AJ87" s="119"/>
    </row>
    <row r="88" spans="1:36">
      <c r="A88" s="6" t="s">
        <v>383</v>
      </c>
      <c r="B88" s="119">
        <f t="shared" ref="B88:AI88" si="44">B20-B7</f>
        <v>0</v>
      </c>
      <c r="C88" s="119">
        <f t="shared" si="44"/>
        <v>1.0200790961866668</v>
      </c>
      <c r="D88" s="119">
        <f t="shared" si="44"/>
        <v>0.6275365374466666</v>
      </c>
      <c r="E88" s="119">
        <f t="shared" si="44"/>
        <v>0.68307619099066674</v>
      </c>
      <c r="F88" s="119">
        <f t="shared" si="44"/>
        <v>0.67471288001039997</v>
      </c>
      <c r="G88" s="119">
        <f t="shared" si="44"/>
        <v>0.65619743327906666</v>
      </c>
      <c r="H88" s="119">
        <f t="shared" si="44"/>
        <v>0.51050195073344673</v>
      </c>
      <c r="I88" s="119">
        <f t="shared" si="44"/>
        <v>0.56509226722358352</v>
      </c>
      <c r="J88" s="119">
        <f t="shared" si="44"/>
        <v>0.52413609409135764</v>
      </c>
      <c r="K88" s="119">
        <f t="shared" si="44"/>
        <v>0.54544233186889834</v>
      </c>
      <c r="L88" s="119">
        <f t="shared" si="44"/>
        <v>0.58902085979309859</v>
      </c>
      <c r="M88" s="119">
        <f t="shared" si="44"/>
        <v>0.37240217849023277</v>
      </c>
      <c r="N88" s="119">
        <f t="shared" si="44"/>
        <v>0.3688563987997398</v>
      </c>
      <c r="O88" s="119">
        <f t="shared" si="44"/>
        <v>0.42743734873186529</v>
      </c>
      <c r="P88" s="119">
        <f t="shared" si="44"/>
        <v>0.38235152804488787</v>
      </c>
      <c r="Q88" s="119">
        <f t="shared" si="44"/>
        <v>0.3994042288410346</v>
      </c>
      <c r="R88" s="119">
        <f t="shared" si="44"/>
        <v>0.43860161367439893</v>
      </c>
      <c r="S88" s="119">
        <f t="shared" si="44"/>
        <v>0.4141507209356976</v>
      </c>
      <c r="T88" s="119">
        <f t="shared" si="44"/>
        <v>0.41185739751856848</v>
      </c>
      <c r="U88" s="119">
        <f t="shared" si="44"/>
        <v>0.47172837741225887</v>
      </c>
      <c r="V88" s="119">
        <f t="shared" si="44"/>
        <v>0.42797128758569336</v>
      </c>
      <c r="W88" s="119">
        <f t="shared" si="44"/>
        <v>0.44639258116806418</v>
      </c>
      <c r="X88" s="119">
        <f t="shared" si="44"/>
        <v>0.48699961657123941</v>
      </c>
      <c r="Y88" s="119">
        <f t="shared" si="44"/>
        <v>0.46400066391944333</v>
      </c>
      <c r="Z88" s="119">
        <f t="shared" si="44"/>
        <v>0.46320283879182667</v>
      </c>
      <c r="AA88" s="119">
        <f t="shared" si="44"/>
        <v>0.52461418192371467</v>
      </c>
      <c r="AB88" s="119">
        <f t="shared" si="44"/>
        <v>0.44572711472582627</v>
      </c>
      <c r="AC88" s="119">
        <f t="shared" si="44"/>
        <v>0.48078257966760096</v>
      </c>
      <c r="AD88" s="211">
        <f t="shared" si="44"/>
        <v>0.4661397085576291</v>
      </c>
      <c r="AE88" s="119">
        <f t="shared" si="44"/>
        <v>0.49780755131435794</v>
      </c>
      <c r="AF88" s="119">
        <f t="shared" si="44"/>
        <v>0.48779542935378872</v>
      </c>
      <c r="AG88" s="119">
        <f t="shared" si="44"/>
        <v>0.52411294373440231</v>
      </c>
      <c r="AH88" s="119">
        <f t="shared" si="44"/>
        <v>0.49316099354643445</v>
      </c>
      <c r="AI88" s="119">
        <f t="shared" si="44"/>
        <v>0.49494976455282746</v>
      </c>
      <c r="AJ88" s="119"/>
    </row>
    <row r="89" spans="1:36">
      <c r="A89" s="6" t="s">
        <v>65</v>
      </c>
      <c r="B89" s="119">
        <f t="shared" ref="B89:AI89" si="45">B21-B8</f>
        <v>0</v>
      </c>
      <c r="C89" s="119">
        <f t="shared" si="45"/>
        <v>0</v>
      </c>
      <c r="D89" s="119">
        <f t="shared" si="45"/>
        <v>-8.3029099999999971</v>
      </c>
      <c r="E89" s="119">
        <f t="shared" si="45"/>
        <v>-24.224230000000148</v>
      </c>
      <c r="F89" s="119">
        <f t="shared" si="45"/>
        <v>-47.985269999999673</v>
      </c>
      <c r="G89" s="119">
        <f t="shared" si="45"/>
        <v>-47.02793000000031</v>
      </c>
      <c r="H89" s="119">
        <f t="shared" si="45"/>
        <v>-49.858099999999922</v>
      </c>
      <c r="I89" s="119">
        <f t="shared" si="45"/>
        <v>-52.295430000000124</v>
      </c>
      <c r="J89" s="119">
        <f t="shared" si="45"/>
        <v>-50.539340000000038</v>
      </c>
      <c r="K89" s="119">
        <f t="shared" si="45"/>
        <v>-59.492479999999432</v>
      </c>
      <c r="L89" s="119">
        <f t="shared" si="45"/>
        <v>-53.976539999999204</v>
      </c>
      <c r="M89" s="119">
        <f t="shared" si="45"/>
        <v>-63.595900000000029</v>
      </c>
      <c r="N89" s="119">
        <f t="shared" si="45"/>
        <v>-60.224900000000389</v>
      </c>
      <c r="O89" s="119">
        <f t="shared" si="45"/>
        <v>-61.972389999999677</v>
      </c>
      <c r="P89" s="119">
        <f t="shared" si="45"/>
        <v>-67.230680000000348</v>
      </c>
      <c r="Q89" s="119">
        <f t="shared" si="45"/>
        <v>-64.465340000000424</v>
      </c>
      <c r="R89" s="119">
        <f t="shared" si="45"/>
        <v>-64.864160000000311</v>
      </c>
      <c r="S89" s="119">
        <f t="shared" si="45"/>
        <v>-71.619770000000699</v>
      </c>
      <c r="T89" s="119">
        <f t="shared" si="45"/>
        <v>-73.266000000000076</v>
      </c>
      <c r="U89" s="119">
        <f t="shared" si="45"/>
        <v>-77.158269999999447</v>
      </c>
      <c r="V89" s="119">
        <f t="shared" si="45"/>
        <v>-79.618319999999812</v>
      </c>
      <c r="W89" s="119">
        <f t="shared" si="45"/>
        <v>-82.345410000000129</v>
      </c>
      <c r="X89" s="119">
        <f t="shared" si="45"/>
        <v>-80.170220000000199</v>
      </c>
      <c r="Y89" s="119">
        <f t="shared" si="45"/>
        <v>-83.61209000000008</v>
      </c>
      <c r="Z89" s="119">
        <f t="shared" si="45"/>
        <v>-82.308739999998124</v>
      </c>
      <c r="AA89" s="119">
        <f t="shared" si="45"/>
        <v>-87.437899999999445</v>
      </c>
      <c r="AB89" s="119">
        <f t="shared" si="45"/>
        <v>-87.984369999999672</v>
      </c>
      <c r="AC89" s="119">
        <f t="shared" si="45"/>
        <v>-86.487999999999829</v>
      </c>
      <c r="AD89" s="211">
        <f t="shared" si="45"/>
        <v>-93.847670000000562</v>
      </c>
      <c r="AE89" s="119">
        <f t="shared" si="45"/>
        <v>-86.74637999999959</v>
      </c>
      <c r="AF89" s="119">
        <f t="shared" si="45"/>
        <v>-89.237220000000889</v>
      </c>
      <c r="AG89" s="119">
        <f t="shared" si="45"/>
        <v>-96.014329999999973</v>
      </c>
      <c r="AH89" s="119">
        <f t="shared" si="45"/>
        <v>-81.283110000000761</v>
      </c>
      <c r="AI89" s="119">
        <f t="shared" si="45"/>
        <v>-42.0292400000003</v>
      </c>
      <c r="AJ89" s="119"/>
    </row>
    <row r="90" spans="1:36">
      <c r="A90" s="6" t="s">
        <v>52</v>
      </c>
      <c r="B90" s="119">
        <f t="shared" ref="B90:AI90" si="46">B22-B9</f>
        <v>0</v>
      </c>
      <c r="C90" s="119">
        <f t="shared" si="46"/>
        <v>0</v>
      </c>
      <c r="D90" s="119">
        <f t="shared" si="46"/>
        <v>-1.3808099999999826</v>
      </c>
      <c r="E90" s="119">
        <f t="shared" si="46"/>
        <v>-3.8283800000000383</v>
      </c>
      <c r="F90" s="119">
        <f t="shared" si="46"/>
        <v>-4.9977400000000074</v>
      </c>
      <c r="G90" s="119">
        <f t="shared" si="46"/>
        <v>-4.7118599999999731</v>
      </c>
      <c r="H90" s="119">
        <f t="shared" si="46"/>
        <v>-4.7530999999999892</v>
      </c>
      <c r="I90" s="119">
        <f t="shared" si="46"/>
        <v>-4.9373199999999429</v>
      </c>
      <c r="J90" s="119">
        <f t="shared" si="46"/>
        <v>-6.1848300000000052</v>
      </c>
      <c r="K90" s="119">
        <f t="shared" si="46"/>
        <v>-7.0240900000000579</v>
      </c>
      <c r="L90" s="119">
        <f t="shared" si="46"/>
        <v>-7.1241399999999544</v>
      </c>
      <c r="M90" s="119">
        <f t="shared" si="46"/>
        <v>-6.4652400000000227</v>
      </c>
      <c r="N90" s="119">
        <f t="shared" si="46"/>
        <v>-7.5655399999999986</v>
      </c>
      <c r="O90" s="119">
        <f t="shared" si="46"/>
        <v>-5.4399300000000039</v>
      </c>
      <c r="P90" s="119">
        <f t="shared" si="46"/>
        <v>-7.1395499999999856</v>
      </c>
      <c r="Q90" s="119">
        <f t="shared" si="46"/>
        <v>-7.0382900000000177</v>
      </c>
      <c r="R90" s="119">
        <f t="shared" si="46"/>
        <v>-4.9426799999999957</v>
      </c>
      <c r="S90" s="119">
        <f t="shared" si="46"/>
        <v>-2.5566000000000031</v>
      </c>
      <c r="T90" s="119">
        <f t="shared" si="46"/>
        <v>-6.5967600000000175</v>
      </c>
      <c r="U90" s="119">
        <f t="shared" si="46"/>
        <v>-6.6951599999999871</v>
      </c>
      <c r="V90" s="119">
        <f t="shared" si="46"/>
        <v>-6.406659999999988</v>
      </c>
      <c r="W90" s="119">
        <f t="shared" si="46"/>
        <v>-6.6926799999999389</v>
      </c>
      <c r="X90" s="119">
        <f t="shared" si="46"/>
        <v>-7.0941199999999185</v>
      </c>
      <c r="Y90" s="119">
        <f t="shared" si="46"/>
        <v>-7.9881900000000883</v>
      </c>
      <c r="Z90" s="119">
        <f t="shared" si="46"/>
        <v>-5.9520499999999856</v>
      </c>
      <c r="AA90" s="119">
        <f t="shared" si="46"/>
        <v>-8.2691199999999299</v>
      </c>
      <c r="AB90" s="119">
        <f t="shared" si="46"/>
        <v>-8.1121000000000549</v>
      </c>
      <c r="AC90" s="119">
        <f t="shared" si="46"/>
        <v>-4.4493899999998803</v>
      </c>
      <c r="AD90" s="211">
        <f t="shared" si="46"/>
        <v>-7.8049100000000635</v>
      </c>
      <c r="AE90" s="119">
        <f t="shared" si="46"/>
        <v>-7.4565300000001571</v>
      </c>
      <c r="AF90" s="119">
        <f t="shared" si="46"/>
        <v>-7.7228900000000067</v>
      </c>
      <c r="AG90" s="119">
        <f t="shared" si="46"/>
        <v>5.9966200000001209</v>
      </c>
      <c r="AH90" s="119">
        <f t="shared" si="46"/>
        <v>-6.2485000000000355</v>
      </c>
      <c r="AI90" s="119">
        <f t="shared" si="46"/>
        <v>-5.0678500000000213</v>
      </c>
      <c r="AJ90" s="119"/>
    </row>
    <row r="91" spans="1:36">
      <c r="A91" s="36" t="s">
        <v>66</v>
      </c>
      <c r="B91" s="119">
        <f t="shared" ref="B91:AI91" si="47">B23-B10</f>
        <v>0</v>
      </c>
      <c r="C91" s="119">
        <f t="shared" si="47"/>
        <v>0</v>
      </c>
      <c r="D91" s="119">
        <f t="shared" si="47"/>
        <v>-6.9366400000001605E-2</v>
      </c>
      <c r="E91" s="119">
        <f t="shared" si="47"/>
        <v>-0.11630449999999914</v>
      </c>
      <c r="F91" s="119">
        <f t="shared" si="47"/>
        <v>-0.27376800000000134</v>
      </c>
      <c r="G91" s="119">
        <f t="shared" si="47"/>
        <v>-0.28379969999999943</v>
      </c>
      <c r="H91" s="119">
        <f t="shared" si="47"/>
        <v>-0.21299930000000167</v>
      </c>
      <c r="I91" s="119">
        <f t="shared" si="47"/>
        <v>-7.2021300000001176E-2</v>
      </c>
      <c r="J91" s="119">
        <f t="shared" si="47"/>
        <v>4.5420799999999595E-2</v>
      </c>
      <c r="K91" s="119">
        <f t="shared" si="47"/>
        <v>0.25011589999999906</v>
      </c>
      <c r="L91" s="119">
        <f t="shared" si="47"/>
        <v>0.34579799999999938</v>
      </c>
      <c r="M91" s="119">
        <f t="shared" si="47"/>
        <v>0.23750990000000094</v>
      </c>
      <c r="N91" s="119">
        <f t="shared" si="47"/>
        <v>0.28473590000000026</v>
      </c>
      <c r="O91" s="119">
        <f t="shared" si="47"/>
        <v>4.6337100000000575E-2</v>
      </c>
      <c r="P91" s="119">
        <f t="shared" si="47"/>
        <v>-0.14274890000000084</v>
      </c>
      <c r="Q91" s="119">
        <f t="shared" si="47"/>
        <v>-6.0479999999999867E-2</v>
      </c>
      <c r="R91" s="119">
        <f t="shared" si="47"/>
        <v>-6.9269999999999943E-2</v>
      </c>
      <c r="S91" s="119">
        <f t="shared" si="47"/>
        <v>-7.095999999999969E-2</v>
      </c>
      <c r="T91" s="119">
        <f t="shared" si="47"/>
        <v>-6.6190000000000193E-2</v>
      </c>
      <c r="U91" s="119">
        <f t="shared" si="47"/>
        <v>-6.0359999999999969E-2</v>
      </c>
      <c r="V91" s="119">
        <f t="shared" si="47"/>
        <v>-6.1609999999999721E-2</v>
      </c>
      <c r="W91" s="119">
        <f t="shared" si="47"/>
        <v>-6.3569999999999904E-2</v>
      </c>
      <c r="X91" s="119">
        <f t="shared" si="47"/>
        <v>-6.9950000000000623E-2</v>
      </c>
      <c r="Y91" s="119">
        <f t="shared" si="47"/>
        <v>-6.2000000000000277E-2</v>
      </c>
      <c r="Z91" s="119">
        <f t="shared" si="47"/>
        <v>-6.7630000000000079E-2</v>
      </c>
      <c r="AA91" s="119">
        <f t="shared" si="47"/>
        <v>-7.0730000000000182E-2</v>
      </c>
      <c r="AB91" s="119">
        <f t="shared" si="47"/>
        <v>-6.9949999999999957E-2</v>
      </c>
      <c r="AC91" s="119">
        <f t="shared" si="47"/>
        <v>-6.6959999999999686E-2</v>
      </c>
      <c r="AD91" s="211">
        <f t="shared" si="47"/>
        <v>-6.4219999999999278E-2</v>
      </c>
      <c r="AE91" s="119">
        <f t="shared" si="47"/>
        <v>-6.9390000000000285E-2</v>
      </c>
      <c r="AF91" s="119">
        <f t="shared" si="47"/>
        <v>-6.6589999999999483E-2</v>
      </c>
      <c r="AG91" s="119">
        <f t="shared" si="47"/>
        <v>-6.7800000000000082E-2</v>
      </c>
      <c r="AH91" s="119">
        <f t="shared" si="47"/>
        <v>-5.3159999999999874E-2</v>
      </c>
      <c r="AI91" s="119">
        <f t="shared" si="47"/>
        <v>-2.7239999999999931E-2</v>
      </c>
      <c r="AJ91" s="119"/>
    </row>
    <row r="92" spans="1:36">
      <c r="A92" s="12" t="s">
        <v>69</v>
      </c>
      <c r="B92" s="212">
        <f t="shared" ref="B92:AF92" si="48">B24-B11</f>
        <v>0</v>
      </c>
      <c r="C92" s="212">
        <f t="shared" si="48"/>
        <v>0</v>
      </c>
      <c r="D92" s="212">
        <f t="shared" si="48"/>
        <v>0</v>
      </c>
      <c r="E92" s="212">
        <f t="shared" si="48"/>
        <v>0</v>
      </c>
      <c r="F92" s="212">
        <f t="shared" si="48"/>
        <v>0</v>
      </c>
      <c r="G92" s="212">
        <f t="shared" si="48"/>
        <v>-4.5769399999999791</v>
      </c>
      <c r="H92" s="212">
        <f t="shared" si="48"/>
        <v>-7.8980099999999993</v>
      </c>
      <c r="I92" s="212">
        <f t="shared" si="48"/>
        <v>-10.636329999999987</v>
      </c>
      <c r="J92" s="212">
        <f t="shared" si="48"/>
        <v>-13.559320000000071</v>
      </c>
      <c r="K92" s="212">
        <f t="shared" si="48"/>
        <v>-14.612409999999954</v>
      </c>
      <c r="L92" s="212">
        <f t="shared" si="48"/>
        <v>-16.748329999999839</v>
      </c>
      <c r="M92" s="212">
        <f t="shared" si="48"/>
        <v>-20.550389999999879</v>
      </c>
      <c r="N92" s="212">
        <f t="shared" si="48"/>
        <v>-23.27030000000002</v>
      </c>
      <c r="O92" s="212">
        <f t="shared" si="48"/>
        <v>-28.310239999999908</v>
      </c>
      <c r="P92" s="212">
        <f t="shared" si="48"/>
        <v>-34.879890000000501</v>
      </c>
      <c r="Q92" s="212">
        <f t="shared" si="48"/>
        <v>-35.046469999999999</v>
      </c>
      <c r="R92" s="212">
        <f t="shared" si="48"/>
        <v>-41.664770000000203</v>
      </c>
      <c r="S92" s="212">
        <f t="shared" si="48"/>
        <v>-50.131200000000035</v>
      </c>
      <c r="T92" s="212">
        <f t="shared" si="48"/>
        <v>-56.997080000000096</v>
      </c>
      <c r="U92" s="212">
        <f t="shared" si="48"/>
        <v>-66.826630000000023</v>
      </c>
      <c r="V92" s="212">
        <f t="shared" si="48"/>
        <v>-73.751100000000633</v>
      </c>
      <c r="W92" s="212">
        <f t="shared" si="48"/>
        <v>-80.881729999999607</v>
      </c>
      <c r="X92" s="212">
        <f t="shared" si="48"/>
        <v>-83.684199999999691</v>
      </c>
      <c r="Y92" s="212">
        <f t="shared" si="48"/>
        <v>-91.691520000000764</v>
      </c>
      <c r="Z92" s="212">
        <f t="shared" si="48"/>
        <v>-94.208790000001045</v>
      </c>
      <c r="AA92" s="212">
        <f t="shared" si="48"/>
        <v>-101.57971000000043</v>
      </c>
      <c r="AB92" s="212">
        <f t="shared" si="48"/>
        <v>-106.41933999999947</v>
      </c>
      <c r="AC92" s="212">
        <f t="shared" si="48"/>
        <v>-109.45203000000083</v>
      </c>
      <c r="AD92" s="213">
        <f t="shared" si="48"/>
        <v>-123.42289999999957</v>
      </c>
      <c r="AE92" s="212">
        <f t="shared" si="48"/>
        <v>-120.72087999999894</v>
      </c>
      <c r="AF92" s="212">
        <f t="shared" si="48"/>
        <v>-128.27517999999964</v>
      </c>
      <c r="AG92" s="212">
        <f t="shared" ref="AG92:AH92" si="49">AG24-AG11</f>
        <v>-143.88342999999986</v>
      </c>
      <c r="AH92" s="212">
        <f t="shared" si="49"/>
        <v>-123.31012999999984</v>
      </c>
      <c r="AI92" s="212">
        <f>AI24-AI11</f>
        <v>-65.020010000000184</v>
      </c>
      <c r="AJ92" s="212"/>
    </row>
    <row r="93" spans="1:36">
      <c r="A93" s="6" t="s">
        <v>61</v>
      </c>
      <c r="B93" s="15">
        <f t="shared" ref="B93:AI93" si="50">SUM(B83:B92)</f>
        <v>0</v>
      </c>
      <c r="C93" s="15">
        <f t="shared" si="50"/>
        <v>1.0200790961866668</v>
      </c>
      <c r="D93" s="15">
        <f t="shared" si="50"/>
        <v>21.732514268480124</v>
      </c>
      <c r="E93" s="15">
        <f t="shared" si="50"/>
        <v>59.585400696678917</v>
      </c>
      <c r="F93" s="15">
        <f t="shared" si="50"/>
        <v>85.739419713371518</v>
      </c>
      <c r="G93" s="15">
        <f t="shared" si="50"/>
        <v>75.396695366832546</v>
      </c>
      <c r="H93" s="15">
        <f t="shared" si="50"/>
        <v>63.116585993825481</v>
      </c>
      <c r="I93" s="15">
        <f t="shared" si="50"/>
        <v>34.022903611367596</v>
      </c>
      <c r="J93" s="15">
        <f t="shared" si="50"/>
        <v>9.3034676612195391</v>
      </c>
      <c r="K93" s="15">
        <f t="shared" si="50"/>
        <v>-0.10543537532357838</v>
      </c>
      <c r="L93" s="15">
        <f t="shared" si="50"/>
        <v>-2.0428708329819507</v>
      </c>
      <c r="M93" s="15">
        <f t="shared" si="50"/>
        <v>-13.198310347284027</v>
      </c>
      <c r="N93" s="15">
        <f t="shared" si="50"/>
        <v>-18.851468508448463</v>
      </c>
      <c r="O93" s="15">
        <f t="shared" si="50"/>
        <v>-21.689449316653395</v>
      </c>
      <c r="P93" s="15">
        <f t="shared" si="50"/>
        <v>-70.59211887043088</v>
      </c>
      <c r="Q93" s="15">
        <f t="shared" si="50"/>
        <v>-99.052577695038352</v>
      </c>
      <c r="R93" s="15">
        <f t="shared" si="50"/>
        <v>-77.09318380065065</v>
      </c>
      <c r="S93" s="15">
        <f t="shared" si="50"/>
        <v>-71.672641329078928</v>
      </c>
      <c r="T93" s="15">
        <f t="shared" si="50"/>
        <v>-109.03470068777277</v>
      </c>
      <c r="U93" s="15">
        <f t="shared" si="50"/>
        <v>-145.48287179358519</v>
      </c>
      <c r="V93" s="15">
        <f t="shared" si="50"/>
        <v>-156.34443496690506</v>
      </c>
      <c r="W93" s="15">
        <f t="shared" si="50"/>
        <v>-168.18637559712789</v>
      </c>
      <c r="X93" s="15">
        <f t="shared" si="50"/>
        <v>-170.71123594081374</v>
      </c>
      <c r="Y93" s="15">
        <f t="shared" si="50"/>
        <v>-184.54851585045736</v>
      </c>
      <c r="Z93" s="15">
        <f t="shared" si="50"/>
        <v>-185.21615282588903</v>
      </c>
      <c r="AA93" s="15">
        <f t="shared" si="50"/>
        <v>-201.54308454165147</v>
      </c>
      <c r="AB93" s="15">
        <f t="shared" si="50"/>
        <v>-174.21819791241541</v>
      </c>
      <c r="AC93" s="52">
        <f t="shared" si="50"/>
        <v>-149.74569450219286</v>
      </c>
      <c r="AD93" s="214">
        <f t="shared" si="50"/>
        <v>-176.54172462672204</v>
      </c>
      <c r="AE93" s="15">
        <f t="shared" si="50"/>
        <v>-168.5139936356716</v>
      </c>
      <c r="AF93" s="15">
        <f t="shared" si="50"/>
        <v>-180.87590390707385</v>
      </c>
      <c r="AG93" s="15">
        <f t="shared" si="50"/>
        <v>-187.84485863227727</v>
      </c>
      <c r="AH93" s="15">
        <f t="shared" si="50"/>
        <v>-174.19278333730173</v>
      </c>
      <c r="AI93" s="15">
        <f t="shared" si="50"/>
        <v>-98.44984047564725</v>
      </c>
      <c r="AJ93" s="15"/>
    </row>
    <row r="94" spans="1:36"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52"/>
      <c r="AD94" s="214"/>
      <c r="AE94" s="15"/>
      <c r="AF94" s="15"/>
      <c r="AG94" s="15"/>
      <c r="AH94" s="15"/>
      <c r="AI94" s="15"/>
      <c r="AJ94" s="15"/>
    </row>
    <row r="95" spans="1:36">
      <c r="A95" s="6" t="s">
        <v>71</v>
      </c>
      <c r="AC95" s="36"/>
      <c r="AD95" s="215"/>
    </row>
    <row r="96" spans="1:36">
      <c r="A96" s="152" t="str">
        <f>A82</f>
        <v>Clean Energy Connection-SoBra 700MWs</v>
      </c>
      <c r="B96" s="152">
        <f>$B$1</f>
        <v>2020</v>
      </c>
      <c r="C96" s="152">
        <f t="shared" ref="C96:AI96" si="51">B96+1</f>
        <v>2021</v>
      </c>
      <c r="D96" s="152">
        <f t="shared" si="51"/>
        <v>2022</v>
      </c>
      <c r="E96" s="152">
        <f t="shared" si="51"/>
        <v>2023</v>
      </c>
      <c r="F96" s="152">
        <f t="shared" si="51"/>
        <v>2024</v>
      </c>
      <c r="G96" s="152">
        <f t="shared" si="51"/>
        <v>2025</v>
      </c>
      <c r="H96" s="152">
        <f t="shared" si="51"/>
        <v>2026</v>
      </c>
      <c r="I96" s="152">
        <f t="shared" si="51"/>
        <v>2027</v>
      </c>
      <c r="J96" s="152">
        <f t="shared" si="51"/>
        <v>2028</v>
      </c>
      <c r="K96" s="152">
        <f t="shared" si="51"/>
        <v>2029</v>
      </c>
      <c r="L96" s="152">
        <f t="shared" si="51"/>
        <v>2030</v>
      </c>
      <c r="M96" s="152">
        <f t="shared" si="51"/>
        <v>2031</v>
      </c>
      <c r="N96" s="152">
        <f t="shared" si="51"/>
        <v>2032</v>
      </c>
      <c r="O96" s="152">
        <f t="shared" si="51"/>
        <v>2033</v>
      </c>
      <c r="P96" s="152">
        <f t="shared" si="51"/>
        <v>2034</v>
      </c>
      <c r="Q96" s="152">
        <f t="shared" si="51"/>
        <v>2035</v>
      </c>
      <c r="R96" s="152">
        <f t="shared" si="51"/>
        <v>2036</v>
      </c>
      <c r="S96" s="152">
        <f t="shared" si="51"/>
        <v>2037</v>
      </c>
      <c r="T96" s="152">
        <f t="shared" si="51"/>
        <v>2038</v>
      </c>
      <c r="U96" s="152">
        <f t="shared" si="51"/>
        <v>2039</v>
      </c>
      <c r="V96" s="152">
        <f t="shared" si="51"/>
        <v>2040</v>
      </c>
      <c r="W96" s="152">
        <f t="shared" si="51"/>
        <v>2041</v>
      </c>
      <c r="X96" s="152">
        <f t="shared" si="51"/>
        <v>2042</v>
      </c>
      <c r="Y96" s="152">
        <f t="shared" si="51"/>
        <v>2043</v>
      </c>
      <c r="Z96" s="152">
        <f t="shared" si="51"/>
        <v>2044</v>
      </c>
      <c r="AA96" s="152">
        <f t="shared" si="51"/>
        <v>2045</v>
      </c>
      <c r="AB96" s="152">
        <f t="shared" si="51"/>
        <v>2046</v>
      </c>
      <c r="AC96" s="209">
        <f t="shared" si="51"/>
        <v>2047</v>
      </c>
      <c r="AD96" s="210">
        <f t="shared" si="51"/>
        <v>2048</v>
      </c>
      <c r="AE96" s="152">
        <f t="shared" si="51"/>
        <v>2049</v>
      </c>
      <c r="AF96" s="152">
        <f t="shared" si="51"/>
        <v>2050</v>
      </c>
      <c r="AG96" s="152">
        <f t="shared" si="51"/>
        <v>2051</v>
      </c>
      <c r="AH96" s="152">
        <f t="shared" si="51"/>
        <v>2052</v>
      </c>
      <c r="AI96" s="152">
        <f t="shared" si="51"/>
        <v>2053</v>
      </c>
      <c r="AJ96" s="152"/>
    </row>
    <row r="97" spans="1:37">
      <c r="A97" s="6" t="s">
        <v>134</v>
      </c>
      <c r="B97" s="119">
        <f t="shared" ref="B97:AI97" si="52">B42-B29</f>
        <v>0</v>
      </c>
      <c r="C97" s="119">
        <f t="shared" si="52"/>
        <v>0</v>
      </c>
      <c r="D97" s="119">
        <f t="shared" si="52"/>
        <v>0</v>
      </c>
      <c r="E97" s="119">
        <f t="shared" si="52"/>
        <v>0</v>
      </c>
      <c r="F97" s="119">
        <f t="shared" si="52"/>
        <v>0</v>
      </c>
      <c r="G97" s="119">
        <f t="shared" si="52"/>
        <v>0</v>
      </c>
      <c r="H97" s="119">
        <f t="shared" si="52"/>
        <v>0</v>
      </c>
      <c r="I97" s="119">
        <f t="shared" si="52"/>
        <v>0</v>
      </c>
      <c r="J97" s="119">
        <f t="shared" si="52"/>
        <v>0</v>
      </c>
      <c r="K97" s="119">
        <f t="shared" si="52"/>
        <v>0</v>
      </c>
      <c r="L97" s="119">
        <f t="shared" si="52"/>
        <v>0</v>
      </c>
      <c r="M97" s="119">
        <f t="shared" si="52"/>
        <v>0</v>
      </c>
      <c r="N97" s="119">
        <f t="shared" si="52"/>
        <v>0</v>
      </c>
      <c r="O97" s="119">
        <f t="shared" si="52"/>
        <v>0</v>
      </c>
      <c r="P97" s="119">
        <f t="shared" si="52"/>
        <v>0</v>
      </c>
      <c r="Q97" s="119">
        <f t="shared" si="52"/>
        <v>0</v>
      </c>
      <c r="R97" s="119">
        <f t="shared" si="52"/>
        <v>0</v>
      </c>
      <c r="S97" s="119">
        <f t="shared" si="52"/>
        <v>0</v>
      </c>
      <c r="T97" s="119">
        <f t="shared" si="52"/>
        <v>0</v>
      </c>
      <c r="U97" s="119">
        <f t="shared" si="52"/>
        <v>0</v>
      </c>
      <c r="V97" s="119">
        <f t="shared" si="52"/>
        <v>0</v>
      </c>
      <c r="W97" s="119">
        <f t="shared" si="52"/>
        <v>0</v>
      </c>
      <c r="X97" s="119">
        <f t="shared" si="52"/>
        <v>0</v>
      </c>
      <c r="Y97" s="119">
        <f t="shared" si="52"/>
        <v>0</v>
      </c>
      <c r="Z97" s="119">
        <f t="shared" si="52"/>
        <v>0</v>
      </c>
      <c r="AA97" s="119">
        <f t="shared" si="52"/>
        <v>0</v>
      </c>
      <c r="AB97" s="119">
        <f t="shared" si="52"/>
        <v>0</v>
      </c>
      <c r="AC97" s="119">
        <f t="shared" si="52"/>
        <v>0</v>
      </c>
      <c r="AD97" s="211">
        <f t="shared" si="52"/>
        <v>0</v>
      </c>
      <c r="AE97" s="119">
        <f t="shared" si="52"/>
        <v>0</v>
      </c>
      <c r="AF97" s="119">
        <f t="shared" si="52"/>
        <v>0</v>
      </c>
      <c r="AG97" s="119">
        <f t="shared" si="52"/>
        <v>0</v>
      </c>
      <c r="AH97" s="119">
        <f t="shared" si="52"/>
        <v>0</v>
      </c>
      <c r="AI97" s="119">
        <f t="shared" si="52"/>
        <v>0</v>
      </c>
      <c r="AJ97" s="119"/>
    </row>
    <row r="98" spans="1:37">
      <c r="A98" s="6" t="s">
        <v>135</v>
      </c>
      <c r="B98" s="119">
        <f t="shared" ref="B98:AI98" si="53">B43-B30</f>
        <v>0</v>
      </c>
      <c r="C98" s="119">
        <f t="shared" si="53"/>
        <v>0</v>
      </c>
      <c r="D98" s="119">
        <f t="shared" si="53"/>
        <v>27.104402529171068</v>
      </c>
      <c r="E98" s="119">
        <f t="shared" si="53"/>
        <v>71.677271703898896</v>
      </c>
      <c r="F98" s="119">
        <f t="shared" si="53"/>
        <v>106.71659618161929</v>
      </c>
      <c r="G98" s="119">
        <f t="shared" si="53"/>
        <v>94.968223232679676</v>
      </c>
      <c r="H98" s="119">
        <f t="shared" si="53"/>
        <v>84.930290419949785</v>
      </c>
      <c r="I98" s="119">
        <f t="shared" si="53"/>
        <v>71.369318056281188</v>
      </c>
      <c r="J98" s="119">
        <f t="shared" si="53"/>
        <v>64.616065941150438</v>
      </c>
      <c r="K98" s="119">
        <f t="shared" si="53"/>
        <v>58.847825074856878</v>
      </c>
      <c r="L98" s="119">
        <f t="shared" si="53"/>
        <v>53.786374701416463</v>
      </c>
      <c r="M98" s="119">
        <f t="shared" si="53"/>
        <v>49.250786941365043</v>
      </c>
      <c r="N98" s="119">
        <f t="shared" si="53"/>
        <v>45.08657486113227</v>
      </c>
      <c r="O98" s="119">
        <f t="shared" si="53"/>
        <v>41.252032029110545</v>
      </c>
      <c r="P98" s="119">
        <f t="shared" si="53"/>
        <v>37.704265111778128</v>
      </c>
      <c r="Q98" s="119">
        <f t="shared" si="53"/>
        <v>34.471759461208883</v>
      </c>
      <c r="R98" s="119">
        <f t="shared" si="53"/>
        <v>31.510242239544308</v>
      </c>
      <c r="S98" s="119">
        <f t="shared" si="53"/>
        <v>28.771416472238894</v>
      </c>
      <c r="T98" s="119">
        <f t="shared" si="53"/>
        <v>28.186255215442095</v>
      </c>
      <c r="U98" s="119">
        <f t="shared" si="53"/>
        <v>25.599452768354144</v>
      </c>
      <c r="V98" s="119">
        <f t="shared" si="53"/>
        <v>23.223951483068507</v>
      </c>
      <c r="W98" s="119">
        <f t="shared" si="53"/>
        <v>21.051786711251751</v>
      </c>
      <c r="X98" s="119">
        <f t="shared" si="53"/>
        <v>19.118354143731811</v>
      </c>
      <c r="Y98" s="119">
        <f t="shared" si="53"/>
        <v>17.388538002102155</v>
      </c>
      <c r="Z98" s="119">
        <f t="shared" si="53"/>
        <v>15.82103716639633</v>
      </c>
      <c r="AA98" s="119">
        <f t="shared" si="53"/>
        <v>14.367151034475768</v>
      </c>
      <c r="AB98" s="119">
        <f t="shared" si="53"/>
        <v>13.070098401550514</v>
      </c>
      <c r="AC98" s="119">
        <f t="shared" si="53"/>
        <v>11.873952695715952</v>
      </c>
      <c r="AD98" s="211">
        <f t="shared" si="53"/>
        <v>10.792396380648784</v>
      </c>
      <c r="AE98" s="119">
        <f t="shared" si="53"/>
        <v>9.7892282563921427</v>
      </c>
      <c r="AF98" s="119">
        <f t="shared" si="53"/>
        <v>8.8893100063044432</v>
      </c>
      <c r="AG98" s="119">
        <f t="shared" si="53"/>
        <v>8.5564850648572275</v>
      </c>
      <c r="AH98" s="119">
        <f t="shared" si="53"/>
        <v>6.8276065268349155</v>
      </c>
      <c r="AI98" s="119">
        <f t="shared" si="53"/>
        <v>3.6792355349898176</v>
      </c>
      <c r="AJ98" s="119"/>
    </row>
    <row r="99" spans="1:37">
      <c r="A99" s="6" t="s">
        <v>60</v>
      </c>
      <c r="B99" s="119">
        <f t="shared" ref="B99:AI99" si="54">B44-B31</f>
        <v>0</v>
      </c>
      <c r="C99" s="119">
        <f t="shared" si="54"/>
        <v>0</v>
      </c>
      <c r="D99" s="119">
        <f t="shared" si="54"/>
        <v>0</v>
      </c>
      <c r="E99" s="119">
        <f t="shared" si="54"/>
        <v>0</v>
      </c>
      <c r="F99" s="119">
        <f t="shared" si="54"/>
        <v>0</v>
      </c>
      <c r="G99" s="119">
        <f t="shared" si="54"/>
        <v>0</v>
      </c>
      <c r="H99" s="119">
        <f t="shared" si="54"/>
        <v>0</v>
      </c>
      <c r="I99" s="119">
        <f t="shared" si="54"/>
        <v>-6.8065319934405428</v>
      </c>
      <c r="J99" s="119">
        <f t="shared" si="54"/>
        <v>-17.156741119315107</v>
      </c>
      <c r="K99" s="119">
        <f t="shared" si="54"/>
        <v>-13.726353422336407</v>
      </c>
      <c r="L99" s="119">
        <f t="shared" si="54"/>
        <v>-14.248865358300485</v>
      </c>
      <c r="M99" s="119">
        <f t="shared" si="54"/>
        <v>-11.279824508640477</v>
      </c>
      <c r="N99" s="119">
        <f t="shared" si="54"/>
        <v>-11.863680592843043</v>
      </c>
      <c r="O99" s="119">
        <f t="shared" si="54"/>
        <v>-9.2811218396467083</v>
      </c>
      <c r="P99" s="119">
        <f t="shared" si="54"/>
        <v>-11.19201308176531</v>
      </c>
      <c r="Q99" s="119">
        <f t="shared" si="54"/>
        <v>-14.187978567056973</v>
      </c>
      <c r="R99" s="119">
        <f t="shared" si="54"/>
        <v>-8.0090661841749977</v>
      </c>
      <c r="S99" s="119">
        <f t="shared" si="54"/>
        <v>-4.0408851685104423</v>
      </c>
      <c r="T99" s="119">
        <f t="shared" si="54"/>
        <v>-8.0679780383568698</v>
      </c>
      <c r="U99" s="119">
        <f t="shared" si="54"/>
        <v>-10.230610525944485</v>
      </c>
      <c r="V99" s="119">
        <f t="shared" si="54"/>
        <v>-9.2733521014794462</v>
      </c>
      <c r="W99" s="119">
        <f t="shared" si="54"/>
        <v>-8.400031038110825</v>
      </c>
      <c r="X99" s="119">
        <f t="shared" si="54"/>
        <v>-7.6126832420071935</v>
      </c>
      <c r="Y99" s="119">
        <f t="shared" si="54"/>
        <v>-6.9229754540364183</v>
      </c>
      <c r="Z99" s="119">
        <f t="shared" si="54"/>
        <v>-6.3108975403765442</v>
      </c>
      <c r="AA99" s="119">
        <f t="shared" si="54"/>
        <v>-5.7501154341850054</v>
      </c>
      <c r="AB99" s="119">
        <f t="shared" si="54"/>
        <v>-2.3105606931873979</v>
      </c>
      <c r="AC99" s="119">
        <f t="shared" si="54"/>
        <v>-0.1697862694786636</v>
      </c>
      <c r="AD99" s="211">
        <f t="shared" si="54"/>
        <v>-0.15832837445410064</v>
      </c>
      <c r="AE99" s="119">
        <f t="shared" si="54"/>
        <v>-0.14486076974009165</v>
      </c>
      <c r="AF99" s="119">
        <f t="shared" si="54"/>
        <v>-0.13681173878222808</v>
      </c>
      <c r="AG99" s="119">
        <f t="shared" si="54"/>
        <v>-0.12550708883797768</v>
      </c>
      <c r="AH99" s="119">
        <f t="shared" si="54"/>
        <v>-9.9581258497082104E-2</v>
      </c>
      <c r="AI99" s="119">
        <f t="shared" si="54"/>
        <v>-7.5554121779191519E-2</v>
      </c>
      <c r="AJ99" s="119"/>
    </row>
    <row r="100" spans="1:37">
      <c r="A100" s="6" t="s">
        <v>68</v>
      </c>
      <c r="B100" s="119">
        <f t="shared" ref="B100:AI100" si="55">B45-B32</f>
        <v>0</v>
      </c>
      <c r="C100" s="119">
        <f t="shared" si="55"/>
        <v>0</v>
      </c>
      <c r="D100" s="119">
        <f t="shared" si="55"/>
        <v>0</v>
      </c>
      <c r="E100" s="119">
        <f t="shared" si="55"/>
        <v>0</v>
      </c>
      <c r="F100" s="119">
        <f t="shared" si="55"/>
        <v>0</v>
      </c>
      <c r="G100" s="119">
        <f t="shared" si="55"/>
        <v>0</v>
      </c>
      <c r="H100" s="119">
        <f t="shared" si="55"/>
        <v>0</v>
      </c>
      <c r="I100" s="119">
        <f t="shared" si="55"/>
        <v>-0.16330587684247888</v>
      </c>
      <c r="J100" s="119">
        <f t="shared" si="55"/>
        <v>-0.42581547344002857</v>
      </c>
      <c r="K100" s="119">
        <f t="shared" si="55"/>
        <v>-0.36600215588460294</v>
      </c>
      <c r="L100" s="119">
        <f t="shared" si="55"/>
        <v>-0.39296000930739261</v>
      </c>
      <c r="M100" s="119">
        <f t="shared" si="55"/>
        <v>-0.33774844971718743</v>
      </c>
      <c r="N100" s="119">
        <f t="shared" si="55"/>
        <v>-0.36262822702841113</v>
      </c>
      <c r="O100" s="119">
        <f t="shared" si="55"/>
        <v>-0.31168009963181298</v>
      </c>
      <c r="P100" s="119">
        <f t="shared" si="55"/>
        <v>-0.60864539849580446</v>
      </c>
      <c r="Q100" s="119">
        <f t="shared" si="55"/>
        <v>-0.85729600384555305</v>
      </c>
      <c r="R100" s="119">
        <f t="shared" si="55"/>
        <v>-0.58334890442599452</v>
      </c>
      <c r="S100" s="119">
        <f t="shared" si="55"/>
        <v>-0.39556578567956358</v>
      </c>
      <c r="T100" s="119">
        <f t="shared" si="55"/>
        <v>-0.60165971424810927</v>
      </c>
      <c r="U100" s="119">
        <f t="shared" si="55"/>
        <v>-0.73007606582694606</v>
      </c>
      <c r="V100" s="119">
        <f t="shared" si="55"/>
        <v>-0.70133843795907858</v>
      </c>
      <c r="W100" s="119">
        <f t="shared" si="55"/>
        <v>-0.67373083929414435</v>
      </c>
      <c r="X100" s="119">
        <f t="shared" si="55"/>
        <v>-0.64721397613967468</v>
      </c>
      <c r="Y100" s="119">
        <f t="shared" si="55"/>
        <v>-0.62173529939348526</v>
      </c>
      <c r="Z100" s="119">
        <f t="shared" si="55"/>
        <v>-0.59726296340448393</v>
      </c>
      <c r="AA100" s="119">
        <f t="shared" si="55"/>
        <v>-0.57375248811864132</v>
      </c>
      <c r="AB100" s="119">
        <f t="shared" si="55"/>
        <v>-0.3904123863671245</v>
      </c>
      <c r="AC100" s="119">
        <f t="shared" si="55"/>
        <v>-0.26473626165666353</v>
      </c>
      <c r="AD100" s="211">
        <f t="shared" si="55"/>
        <v>-0.25431495837184492</v>
      </c>
      <c r="AE100" s="119">
        <f t="shared" si="55"/>
        <v>-0.24430496887774389</v>
      </c>
      <c r="AF100" s="119">
        <f t="shared" si="55"/>
        <v>-0.23468939481063344</v>
      </c>
      <c r="AG100" s="119">
        <f t="shared" si="55"/>
        <v>-0.22545071707872566</v>
      </c>
      <c r="AH100" s="119">
        <f t="shared" si="55"/>
        <v>-0.21657621141846928</v>
      </c>
      <c r="AI100" s="119">
        <f t="shared" si="55"/>
        <v>-0.20805080481709393</v>
      </c>
      <c r="AJ100" s="119"/>
    </row>
    <row r="101" spans="1:37">
      <c r="A101" s="6" t="s">
        <v>67</v>
      </c>
      <c r="B101" s="119">
        <f t="shared" ref="B101:AI101" si="56">B46-B33</f>
        <v>0</v>
      </c>
      <c r="C101" s="119">
        <f t="shared" si="56"/>
        <v>0</v>
      </c>
      <c r="D101" s="119">
        <f t="shared" si="56"/>
        <v>0</v>
      </c>
      <c r="E101" s="119">
        <f t="shared" si="56"/>
        <v>0</v>
      </c>
      <c r="F101" s="119">
        <f t="shared" si="56"/>
        <v>0</v>
      </c>
      <c r="G101" s="119">
        <f t="shared" si="56"/>
        <v>0</v>
      </c>
      <c r="H101" s="119">
        <f t="shared" si="56"/>
        <v>0</v>
      </c>
      <c r="I101" s="119">
        <f t="shared" si="56"/>
        <v>0</v>
      </c>
      <c r="J101" s="119">
        <f t="shared" si="56"/>
        <v>0</v>
      </c>
      <c r="K101" s="119">
        <f t="shared" si="56"/>
        <v>0</v>
      </c>
      <c r="L101" s="119">
        <f t="shared" si="56"/>
        <v>0</v>
      </c>
      <c r="M101" s="119">
        <f t="shared" si="56"/>
        <v>0</v>
      </c>
      <c r="N101" s="119">
        <f t="shared" si="56"/>
        <v>0</v>
      </c>
      <c r="O101" s="119">
        <f t="shared" si="56"/>
        <v>0</v>
      </c>
      <c r="P101" s="119">
        <f t="shared" si="56"/>
        <v>-10.406972306614819</v>
      </c>
      <c r="Q101" s="119">
        <f t="shared" si="56"/>
        <v>-16.720273684625397</v>
      </c>
      <c r="R101" s="119">
        <f t="shared" si="56"/>
        <v>-10.868456631186831</v>
      </c>
      <c r="S101" s="119">
        <f t="shared" si="56"/>
        <v>-6.9714385497996147</v>
      </c>
      <c r="T101" s="119">
        <f t="shared" si="56"/>
        <v>-10.964988828656743</v>
      </c>
      <c r="U101" s="119">
        <f t="shared" si="56"/>
        <v>-13.242936666713547</v>
      </c>
      <c r="V101" s="119">
        <f t="shared" si="56"/>
        <v>-12.411380037396697</v>
      </c>
      <c r="W101" s="119">
        <f t="shared" si="56"/>
        <v>-11.632020965446685</v>
      </c>
      <c r="X101" s="119">
        <f t="shared" si="56"/>
        <v>-10.901612901074685</v>
      </c>
      <c r="Y101" s="119">
        <f t="shared" si="56"/>
        <v>-10.217069260613613</v>
      </c>
      <c r="Z101" s="119">
        <f t="shared" si="56"/>
        <v>-9.5755206293738695</v>
      </c>
      <c r="AA101" s="119">
        <f t="shared" si="56"/>
        <v>-8.9742461381198382</v>
      </c>
      <c r="AB101" s="119">
        <f t="shared" si="56"/>
        <v>-5.196999863071369</v>
      </c>
      <c r="AC101" s="119">
        <f t="shared" si="56"/>
        <v>-2.7192990630778127</v>
      </c>
      <c r="AD101" s="211">
        <f t="shared" si="56"/>
        <v>-2.5485464508695372</v>
      </c>
      <c r="AE101" s="119">
        <f t="shared" si="56"/>
        <v>-2.3885158864756875</v>
      </c>
      <c r="AF101" s="119">
        <f t="shared" si="56"/>
        <v>-2.2385341016641718</v>
      </c>
      <c r="AG101" s="119">
        <f t="shared" si="56"/>
        <v>-2.097970104652461</v>
      </c>
      <c r="AH101" s="119">
        <f t="shared" si="56"/>
        <v>-1.9662325254474808</v>
      </c>
      <c r="AI101" s="119">
        <f t="shared" si="56"/>
        <v>-1.8427671278795401</v>
      </c>
      <c r="AJ101" s="119"/>
    </row>
    <row r="102" spans="1:37">
      <c r="A102" s="6" t="s">
        <v>383</v>
      </c>
      <c r="B102" s="119">
        <f t="shared" ref="B102:AI102" si="57">B47-B34</f>
        <v>0</v>
      </c>
      <c r="C102" s="119">
        <f t="shared" si="57"/>
        <v>0.95602539473914416</v>
      </c>
      <c r="D102" s="119">
        <f t="shared" si="57"/>
        <v>0.55120123026807166</v>
      </c>
      <c r="E102" s="119">
        <f t="shared" si="57"/>
        <v>0.5623101071629828</v>
      </c>
      <c r="F102" s="119">
        <f t="shared" si="57"/>
        <v>0.52054864825483194</v>
      </c>
      <c r="G102" s="119">
        <f t="shared" si="57"/>
        <v>0.47447401205225109</v>
      </c>
      <c r="H102" s="119">
        <f t="shared" si="57"/>
        <v>0.34594805194586459</v>
      </c>
      <c r="I102" s="119">
        <f t="shared" si="57"/>
        <v>0.35889584333158642</v>
      </c>
      <c r="J102" s="119">
        <f t="shared" si="57"/>
        <v>0.31198140715775902</v>
      </c>
      <c r="K102" s="119">
        <f t="shared" si="57"/>
        <v>0.30427695800079424</v>
      </c>
      <c r="L102" s="119">
        <f t="shared" si="57"/>
        <v>0.30795444784735088</v>
      </c>
      <c r="M102" s="119">
        <f t="shared" si="57"/>
        <v>0.18247509532472547</v>
      </c>
      <c r="N102" s="119">
        <f t="shared" si="57"/>
        <v>0.16938864297452635</v>
      </c>
      <c r="O102" s="119">
        <f t="shared" si="57"/>
        <v>0.18396491954915264</v>
      </c>
      <c r="P102" s="119">
        <f t="shared" si="57"/>
        <v>0.15422719438562776</v>
      </c>
      <c r="Q102" s="119">
        <f t="shared" si="57"/>
        <v>0.15098936805677604</v>
      </c>
      <c r="R102" s="119">
        <f t="shared" si="57"/>
        <v>0.15539588507457328</v>
      </c>
      <c r="S102" s="119">
        <f t="shared" si="57"/>
        <v>0.13751918551195877</v>
      </c>
      <c r="T102" s="119">
        <f t="shared" si="57"/>
        <v>0.12817027651588755</v>
      </c>
      <c r="U102" s="119">
        <f t="shared" si="57"/>
        <v>0.13758403227896901</v>
      </c>
      <c r="V102" s="119">
        <f t="shared" si="57"/>
        <v>0.11698394016848228</v>
      </c>
      <c r="W102" s="119">
        <f t="shared" si="57"/>
        <v>0.11435737038101808</v>
      </c>
      <c r="X102" s="119">
        <f t="shared" si="57"/>
        <v>0.11692608052186379</v>
      </c>
      <c r="Y102" s="119">
        <f t="shared" si="57"/>
        <v>0.10440876415134408</v>
      </c>
      <c r="Z102" s="119">
        <f t="shared" si="57"/>
        <v>9.7684384896888563E-2</v>
      </c>
      <c r="AA102" s="119">
        <f t="shared" si="57"/>
        <v>0.10368824913571693</v>
      </c>
      <c r="AB102" s="119">
        <f t="shared" si="57"/>
        <v>8.2564650928115241E-2</v>
      </c>
      <c r="AC102" s="119">
        <f t="shared" si="57"/>
        <v>8.3465961159684646E-2</v>
      </c>
      <c r="AD102" s="211">
        <f t="shared" si="57"/>
        <v>7.5842450435234077E-2</v>
      </c>
      <c r="AE102" s="119">
        <f t="shared" si="57"/>
        <v>7.5909008158437943E-2</v>
      </c>
      <c r="AF102" s="119">
        <f t="shared" si="57"/>
        <v>6.971161497164291E-2</v>
      </c>
      <c r="AG102" s="119">
        <f t="shared" si="57"/>
        <v>7.0198508240108884E-2</v>
      </c>
      <c r="AH102" s="119">
        <f t="shared" si="57"/>
        <v>6.1905223697295828E-2</v>
      </c>
      <c r="AI102" s="119">
        <f t="shared" si="57"/>
        <v>5.822845688296438E-2</v>
      </c>
      <c r="AJ102" s="119"/>
    </row>
    <row r="103" spans="1:37">
      <c r="A103" s="6" t="s">
        <v>65</v>
      </c>
      <c r="B103" s="119">
        <f t="shared" ref="B103:AI103" si="58">B48-B35</f>
        <v>0</v>
      </c>
      <c r="C103" s="119">
        <f t="shared" si="58"/>
        <v>0</v>
      </c>
      <c r="D103" s="119">
        <f t="shared" si="58"/>
        <v>-7.2929207045478961</v>
      </c>
      <c r="E103" s="119">
        <f t="shared" si="58"/>
        <v>-19.94144949992392</v>
      </c>
      <c r="F103" s="119">
        <f t="shared" si="58"/>
        <v>-37.021180675042046</v>
      </c>
      <c r="G103" s="119">
        <f t="shared" si="58"/>
        <v>-34.004294277882536</v>
      </c>
      <c r="H103" s="119">
        <f t="shared" si="58"/>
        <v>-33.786967011470097</v>
      </c>
      <c r="I103" s="119">
        <f t="shared" si="58"/>
        <v>-33.213359199643833</v>
      </c>
      <c r="J103" s="119">
        <f t="shared" si="58"/>
        <v>-30.082519764945118</v>
      </c>
      <c r="K103" s="119">
        <f t="shared" si="58"/>
        <v>-33.188093003888639</v>
      </c>
      <c r="L103" s="119">
        <f t="shared" si="58"/>
        <v>-28.220249412302678</v>
      </c>
      <c r="M103" s="119">
        <f t="shared" si="58"/>
        <v>-31.161654214292071</v>
      </c>
      <c r="N103" s="119">
        <f t="shared" si="58"/>
        <v>-27.656871664615437</v>
      </c>
      <c r="O103" s="119">
        <f t="shared" si="58"/>
        <v>-26.672319988982622</v>
      </c>
      <c r="P103" s="119">
        <f t="shared" si="58"/>
        <v>-27.118498011653514</v>
      </c>
      <c r="Q103" s="119">
        <f t="shared" si="58"/>
        <v>-24.37025010078014</v>
      </c>
      <c r="R103" s="119">
        <f t="shared" si="58"/>
        <v>-22.981273298053907</v>
      </c>
      <c r="S103" s="119">
        <f t="shared" si="58"/>
        <v>-23.781420480692873</v>
      </c>
      <c r="T103" s="119">
        <f t="shared" si="58"/>
        <v>-22.800424457083295</v>
      </c>
      <c r="U103" s="119">
        <f t="shared" si="58"/>
        <v>-22.503937474577469</v>
      </c>
      <c r="V103" s="119">
        <f t="shared" si="58"/>
        <v>-21.763293597891334</v>
      </c>
      <c r="W103" s="119">
        <f t="shared" si="58"/>
        <v>-21.095342861447421</v>
      </c>
      <c r="X103" s="119">
        <f t="shared" si="58"/>
        <v>-19.248453756850779</v>
      </c>
      <c r="Y103" s="119">
        <f t="shared" si="58"/>
        <v>-18.814272616055064</v>
      </c>
      <c r="Z103" s="119">
        <f t="shared" si="58"/>
        <v>-17.358008123415743</v>
      </c>
      <c r="AA103" s="119">
        <f t="shared" si="58"/>
        <v>-17.281810274092436</v>
      </c>
      <c r="AB103" s="119">
        <f t="shared" si="58"/>
        <v>-16.297861530475984</v>
      </c>
      <c r="AC103" s="119">
        <f t="shared" si="58"/>
        <v>-15.014695527798949</v>
      </c>
      <c r="AD103" s="211">
        <f t="shared" si="58"/>
        <v>-15.269321900211537</v>
      </c>
      <c r="AE103" s="119">
        <f t="shared" si="58"/>
        <v>-13.227665289023946</v>
      </c>
      <c r="AF103" s="119">
        <f t="shared" si="58"/>
        <v>-12.753032003643398</v>
      </c>
      <c r="AG103" s="119">
        <f t="shared" si="58"/>
        <v>-12.859943293232391</v>
      </c>
      <c r="AH103" s="119">
        <f t="shared" si="58"/>
        <v>-10.203258516406095</v>
      </c>
      <c r="AI103" s="119">
        <f t="shared" si="58"/>
        <v>-4.9445377378345938</v>
      </c>
      <c r="AJ103" s="119"/>
    </row>
    <row r="104" spans="1:37">
      <c r="A104" s="6" t="s">
        <v>52</v>
      </c>
      <c r="B104" s="119">
        <f t="shared" ref="B104:AI104" si="59">B49-B36</f>
        <v>0</v>
      </c>
      <c r="C104" s="119">
        <f t="shared" si="59"/>
        <v>0</v>
      </c>
      <c r="D104" s="119">
        <f t="shared" si="59"/>
        <v>-1.2128443928750983</v>
      </c>
      <c r="E104" s="119">
        <f t="shared" si="59"/>
        <v>-3.1515324299892882</v>
      </c>
      <c r="F104" s="119">
        <f t="shared" si="59"/>
        <v>-3.8558131590566376</v>
      </c>
      <c r="G104" s="119">
        <f t="shared" si="59"/>
        <v>-3.4069854666403927</v>
      </c>
      <c r="H104" s="119">
        <f t="shared" si="59"/>
        <v>-3.2209978499424921</v>
      </c>
      <c r="I104" s="119">
        <f t="shared" si="59"/>
        <v>-3.1357421220856736</v>
      </c>
      <c r="J104" s="119">
        <f t="shared" si="59"/>
        <v>-3.6813949433812496</v>
      </c>
      <c r="K104" s="119">
        <f t="shared" si="59"/>
        <v>-3.9184137589774082</v>
      </c>
      <c r="L104" s="119">
        <f t="shared" si="59"/>
        <v>-3.7246738610545265</v>
      </c>
      <c r="M104" s="119">
        <f t="shared" si="59"/>
        <v>-3.1679333619370169</v>
      </c>
      <c r="N104" s="119">
        <f t="shared" si="59"/>
        <v>-3.4742966589153923</v>
      </c>
      <c r="O104" s="119">
        <f t="shared" si="59"/>
        <v>-2.3412934966307972</v>
      </c>
      <c r="P104" s="119">
        <f t="shared" si="59"/>
        <v>-2.8798440307178197</v>
      </c>
      <c r="Q104" s="119">
        <f t="shared" si="59"/>
        <v>-2.6607303642828839</v>
      </c>
      <c r="R104" s="119">
        <f t="shared" si="59"/>
        <v>-1.7511840113989621</v>
      </c>
      <c r="S104" s="119">
        <f t="shared" si="59"/>
        <v>-0.8489217376841367</v>
      </c>
      <c r="T104" s="119">
        <f t="shared" si="59"/>
        <v>-2.0529157868794385</v>
      </c>
      <c r="U104" s="119">
        <f t="shared" si="59"/>
        <v>-1.9527065863749016</v>
      </c>
      <c r="V104" s="119">
        <f t="shared" si="59"/>
        <v>-1.7512304022725829</v>
      </c>
      <c r="W104" s="119">
        <f t="shared" si="59"/>
        <v>-1.7145385427305513</v>
      </c>
      <c r="X104" s="119">
        <f t="shared" si="59"/>
        <v>-1.7032613951358542</v>
      </c>
      <c r="Y104" s="119">
        <f t="shared" si="59"/>
        <v>-1.7974910610277277</v>
      </c>
      <c r="Z104" s="119">
        <f t="shared" si="59"/>
        <v>-1.2552218907855917</v>
      </c>
      <c r="AA104" s="119">
        <f t="shared" si="59"/>
        <v>-1.6343640798063888</v>
      </c>
      <c r="AB104" s="119">
        <f t="shared" si="59"/>
        <v>-1.5026519201237107</v>
      </c>
      <c r="AC104" s="119">
        <f t="shared" si="59"/>
        <v>-0.77243358771659132</v>
      </c>
      <c r="AD104" s="211">
        <f t="shared" si="59"/>
        <v>-1.2698843049825399</v>
      </c>
      <c r="AE104" s="119">
        <f t="shared" si="59"/>
        <v>-1.137021314982448</v>
      </c>
      <c r="AF104" s="119">
        <f t="shared" si="59"/>
        <v>-1.1036904032937827</v>
      </c>
      <c r="AG104" s="119">
        <f t="shared" si="59"/>
        <v>0.80317378823625063</v>
      </c>
      <c r="AH104" s="119">
        <f t="shared" si="59"/>
        <v>-0.78435803993920672</v>
      </c>
      <c r="AI104" s="119">
        <f t="shared" si="59"/>
        <v>-0.5962081535303696</v>
      </c>
      <c r="AJ104" s="119"/>
    </row>
    <row r="105" spans="1:37">
      <c r="A105" s="36" t="s">
        <v>66</v>
      </c>
      <c r="B105" s="119">
        <f t="shared" ref="B105:AI105" si="60">B50-B37</f>
        <v>0</v>
      </c>
      <c r="C105" s="119">
        <f t="shared" si="60"/>
        <v>0</v>
      </c>
      <c r="D105" s="119">
        <f t="shared" si="60"/>
        <v>-6.0928476252296804E-2</v>
      </c>
      <c r="E105" s="119">
        <f t="shared" si="60"/>
        <v>-9.5742168620587265E-2</v>
      </c>
      <c r="F105" s="119">
        <f t="shared" si="60"/>
        <v>-0.21121512062024461</v>
      </c>
      <c r="G105" s="119">
        <f t="shared" si="60"/>
        <v>-0.20520589604464234</v>
      </c>
      <c r="H105" s="119">
        <f t="shared" si="60"/>
        <v>-0.14434164804848759</v>
      </c>
      <c r="I105" s="119">
        <f t="shared" si="60"/>
        <v>-4.5741459759014003E-2</v>
      </c>
      <c r="J105" s="119">
        <f t="shared" si="60"/>
        <v>2.7035812373877643E-2</v>
      </c>
      <c r="K105" s="119">
        <f t="shared" si="60"/>
        <v>0.13952805045194561</v>
      </c>
      <c r="L105" s="119">
        <f t="shared" si="60"/>
        <v>0.18079161439906244</v>
      </c>
      <c r="M105" s="119">
        <f t="shared" si="60"/>
        <v>0.1163785932154604</v>
      </c>
      <c r="N105" s="119">
        <f t="shared" si="60"/>
        <v>0.13075827846303989</v>
      </c>
      <c r="O105" s="119">
        <f t="shared" si="60"/>
        <v>1.9943041708759157E-2</v>
      </c>
      <c r="P105" s="119">
        <f t="shared" si="60"/>
        <v>-5.7579898951129582E-2</v>
      </c>
      <c r="Q105" s="119">
        <f t="shared" si="60"/>
        <v>-2.2863646202675336E-2</v>
      </c>
      <c r="R105" s="119">
        <f t="shared" si="60"/>
        <v>-2.4542255713419836E-2</v>
      </c>
      <c r="S105" s="119">
        <f t="shared" si="60"/>
        <v>-2.3562343153432863E-2</v>
      </c>
      <c r="T105" s="119">
        <f t="shared" si="60"/>
        <v>-2.0598368886172946E-2</v>
      </c>
      <c r="U105" s="119">
        <f t="shared" si="60"/>
        <v>-1.760456352851747E-2</v>
      </c>
      <c r="V105" s="119">
        <f t="shared" si="60"/>
        <v>-1.6840803957758554E-2</v>
      </c>
      <c r="W105" s="119">
        <f t="shared" si="60"/>
        <v>-1.6285436500980521E-2</v>
      </c>
      <c r="X105" s="119">
        <f t="shared" si="60"/>
        <v>-1.6794631975460717E-2</v>
      </c>
      <c r="Y105" s="119">
        <f t="shared" si="60"/>
        <v>-1.3951151109790672E-2</v>
      </c>
      <c r="Z105" s="119">
        <f t="shared" si="60"/>
        <v>-1.4262423278337544E-2</v>
      </c>
      <c r="AA105" s="119">
        <f t="shared" si="60"/>
        <v>-1.3979549379463219E-2</v>
      </c>
      <c r="AB105" s="119">
        <f t="shared" si="60"/>
        <v>-1.2957249271169424E-2</v>
      </c>
      <c r="AC105" s="119">
        <f t="shared" si="60"/>
        <v>-1.1624549215398849E-2</v>
      </c>
      <c r="AD105" s="211">
        <f t="shared" si="60"/>
        <v>-1.0448803389914385E-2</v>
      </c>
      <c r="AE105" s="119">
        <f t="shared" si="60"/>
        <v>-1.0581048966024631E-2</v>
      </c>
      <c r="AF105" s="119">
        <f t="shared" si="60"/>
        <v>-9.5164820365605252E-3</v>
      </c>
      <c r="AG105" s="119">
        <f t="shared" si="60"/>
        <v>-9.0809794254790854E-3</v>
      </c>
      <c r="AH105" s="119">
        <f t="shared" si="60"/>
        <v>-6.6730372734525312E-3</v>
      </c>
      <c r="AI105" s="119">
        <f t="shared" si="60"/>
        <v>-3.2046548540637931E-3</v>
      </c>
      <c r="AJ105" s="119"/>
    </row>
    <row r="106" spans="1:37">
      <c r="A106" s="12" t="s">
        <v>69</v>
      </c>
      <c r="B106" s="212">
        <f t="shared" ref="B106:AF106" si="61">B51-B38</f>
        <v>0</v>
      </c>
      <c r="C106" s="212">
        <f t="shared" si="61"/>
        <v>0</v>
      </c>
      <c r="D106" s="212">
        <f t="shared" si="61"/>
        <v>0</v>
      </c>
      <c r="E106" s="212">
        <f t="shared" si="61"/>
        <v>0</v>
      </c>
      <c r="F106" s="212">
        <f t="shared" si="61"/>
        <v>0</v>
      </c>
      <c r="G106" s="212">
        <f t="shared" si="61"/>
        <v>-3.309429410399531</v>
      </c>
      <c r="H106" s="212">
        <f t="shared" si="61"/>
        <v>-5.3521855691705298</v>
      </c>
      <c r="I106" s="212">
        <f t="shared" si="61"/>
        <v>-6.7552413060939784</v>
      </c>
      <c r="J106" s="212">
        <f t="shared" si="61"/>
        <v>-8.0709109359009972</v>
      </c>
      <c r="K106" s="212">
        <f t="shared" si="61"/>
        <v>-8.1515852438989782</v>
      </c>
      <c r="L106" s="212">
        <f t="shared" si="61"/>
        <v>-8.7564347370089308</v>
      </c>
      <c r="M106" s="212">
        <f t="shared" si="61"/>
        <v>-10.069582271008699</v>
      </c>
      <c r="N106" s="212">
        <f t="shared" si="61"/>
        <v>-10.686339050743072</v>
      </c>
      <c r="O106" s="212">
        <f t="shared" si="61"/>
        <v>-12.184454726449928</v>
      </c>
      <c r="P106" s="212">
        <f t="shared" si="61"/>
        <v>-14.069324118270174</v>
      </c>
      <c r="Q106" s="212">
        <f t="shared" si="61"/>
        <v>-13.248844092802187</v>
      </c>
      <c r="R106" s="212">
        <f t="shared" si="61"/>
        <v>-14.761764682847229</v>
      </c>
      <c r="S106" s="212">
        <f t="shared" si="61"/>
        <v>-16.646118053739883</v>
      </c>
      <c r="T106" s="212">
        <f t="shared" si="61"/>
        <v>-17.737526503621496</v>
      </c>
      <c r="U106" s="212">
        <f t="shared" si="61"/>
        <v>-19.490617184090979</v>
      </c>
      <c r="V106" s="212">
        <f t="shared" si="61"/>
        <v>-20.159516584467838</v>
      </c>
      <c r="W106" s="212">
        <f t="shared" si="61"/>
        <v>-20.720375617499542</v>
      </c>
      <c r="X106" s="212">
        <f t="shared" si="61"/>
        <v>-20.092142118096262</v>
      </c>
      <c r="Y106" s="212">
        <f t="shared" si="61"/>
        <v>-20.632294371070941</v>
      </c>
      <c r="Z106" s="212">
        <f t="shared" si="61"/>
        <v>-19.867597804525076</v>
      </c>
      <c r="AA106" s="212">
        <f t="shared" si="61"/>
        <v>-20.076892010413644</v>
      </c>
      <c r="AB106" s="212">
        <f t="shared" si="61"/>
        <v>-19.712679280247585</v>
      </c>
      <c r="AC106" s="212">
        <f t="shared" si="61"/>
        <v>-19.001351694449454</v>
      </c>
      <c r="AD106" s="213">
        <f t="shared" si="61"/>
        <v>-20.081308251527162</v>
      </c>
      <c r="AE106" s="212">
        <f t="shared" si="61"/>
        <v>-18.408323137362231</v>
      </c>
      <c r="AF106" s="212">
        <f t="shared" si="61"/>
        <v>-18.332008502876988</v>
      </c>
      <c r="AG106" s="212">
        <f t="shared" ref="AG106:AH106" si="62">AG51-AG38</f>
        <v>-19.271422824444812</v>
      </c>
      <c r="AH106" s="212">
        <f t="shared" si="62"/>
        <v>-15.47880161181854</v>
      </c>
      <c r="AI106" s="212">
        <f>AI51-AI38</f>
        <v>-7.6492911401533661</v>
      </c>
      <c r="AJ106" s="212"/>
    </row>
    <row r="107" spans="1:37">
      <c r="A107" s="6" t="s">
        <v>61</v>
      </c>
      <c r="B107" s="119">
        <f t="shared" ref="B107:AI107" si="63">SUM(B97:B106)</f>
        <v>0</v>
      </c>
      <c r="C107" s="119">
        <f t="shared" si="63"/>
        <v>0.95602539473914416</v>
      </c>
      <c r="D107" s="119">
        <f t="shared" si="63"/>
        <v>19.088910185763847</v>
      </c>
      <c r="E107" s="119">
        <f t="shared" si="63"/>
        <v>49.050857712528085</v>
      </c>
      <c r="F107" s="119">
        <f t="shared" si="63"/>
        <v>66.148935875155203</v>
      </c>
      <c r="G107" s="119">
        <f t="shared" si="63"/>
        <v>54.516782193764826</v>
      </c>
      <c r="H107" s="119">
        <f t="shared" si="63"/>
        <v>42.771746393264046</v>
      </c>
      <c r="I107" s="119">
        <f t="shared" si="63"/>
        <v>21.60829194174724</v>
      </c>
      <c r="J107" s="119">
        <f t="shared" si="63"/>
        <v>5.5377009236995711</v>
      </c>
      <c r="K107" s="119">
        <f t="shared" si="63"/>
        <v>-5.8817501676420747E-2</v>
      </c>
      <c r="L107" s="119">
        <f t="shared" si="63"/>
        <v>-1.0680626143111382</v>
      </c>
      <c r="M107" s="119">
        <f t="shared" si="63"/>
        <v>-6.4671021756902274</v>
      </c>
      <c r="N107" s="119">
        <f t="shared" si="63"/>
        <v>-8.6570944115755228</v>
      </c>
      <c r="O107" s="119">
        <f t="shared" si="63"/>
        <v>-9.3349301609734159</v>
      </c>
      <c r="P107" s="119">
        <f t="shared" si="63"/>
        <v>-28.474384540304811</v>
      </c>
      <c r="Q107" s="119">
        <f t="shared" si="63"/>
        <v>-37.445487630330149</v>
      </c>
      <c r="R107" s="119">
        <f t="shared" si="63"/>
        <v>-27.313997843182456</v>
      </c>
      <c r="S107" s="119">
        <f t="shared" si="63"/>
        <v>-23.798976461509092</v>
      </c>
      <c r="T107" s="119">
        <f t="shared" si="63"/>
        <v>-33.931666205774135</v>
      </c>
      <c r="U107" s="119">
        <f t="shared" si="63"/>
        <v>-42.431452266423733</v>
      </c>
      <c r="V107" s="119">
        <f t="shared" si="63"/>
        <v>-42.736016542187741</v>
      </c>
      <c r="W107" s="119">
        <f t="shared" si="63"/>
        <v>-43.086181219397375</v>
      </c>
      <c r="X107" s="119">
        <f t="shared" si="63"/>
        <v>-40.986881797026236</v>
      </c>
      <c r="Y107" s="119">
        <f t="shared" si="63"/>
        <v>-41.526842447053539</v>
      </c>
      <c r="Z107" s="119">
        <f t="shared" si="63"/>
        <v>-39.060049823866429</v>
      </c>
      <c r="AA107" s="119">
        <f t="shared" si="63"/>
        <v>-39.83432069050393</v>
      </c>
      <c r="AB107" s="119">
        <f t="shared" si="63"/>
        <v>-32.271459870265709</v>
      </c>
      <c r="AC107" s="119">
        <f t="shared" si="63"/>
        <v>-25.996508296517895</v>
      </c>
      <c r="AD107" s="211">
        <f t="shared" si="63"/>
        <v>-28.723914212722619</v>
      </c>
      <c r="AE107" s="119">
        <f t="shared" si="63"/>
        <v>-25.696135150877591</v>
      </c>
      <c r="AF107" s="119">
        <f t="shared" si="63"/>
        <v>-25.849261005831675</v>
      </c>
      <c r="AG107" s="119">
        <f t="shared" si="63"/>
        <v>-25.159517646338259</v>
      </c>
      <c r="AH107" s="119">
        <f t="shared" si="63"/>
        <v>-21.865969450268114</v>
      </c>
      <c r="AI107" s="119">
        <f t="shared" si="63"/>
        <v>-11.582149748975436</v>
      </c>
      <c r="AJ107" s="119"/>
    </row>
    <row r="108" spans="1:37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52"/>
      <c r="AD108" s="214"/>
      <c r="AE108" s="15"/>
      <c r="AF108" s="15"/>
      <c r="AG108" s="15"/>
      <c r="AH108" s="15"/>
      <c r="AI108" s="15"/>
      <c r="AJ108" s="15"/>
    </row>
    <row r="109" spans="1:37">
      <c r="A109" s="6" t="s">
        <v>64</v>
      </c>
      <c r="AC109" s="36"/>
      <c r="AD109" s="215"/>
    </row>
    <row r="110" spans="1:37">
      <c r="A110" s="152" t="str">
        <f>A96</f>
        <v>Clean Energy Connection-SoBra 700MWs</v>
      </c>
      <c r="B110" s="152">
        <f>$B$1</f>
        <v>2020</v>
      </c>
      <c r="C110" s="152">
        <f t="shared" ref="C110:AI110" si="64">B110+1</f>
        <v>2021</v>
      </c>
      <c r="D110" s="152">
        <f t="shared" si="64"/>
        <v>2022</v>
      </c>
      <c r="E110" s="152">
        <f t="shared" si="64"/>
        <v>2023</v>
      </c>
      <c r="F110" s="152">
        <f t="shared" si="64"/>
        <v>2024</v>
      </c>
      <c r="G110" s="152">
        <f t="shared" si="64"/>
        <v>2025</v>
      </c>
      <c r="H110" s="152">
        <f t="shared" si="64"/>
        <v>2026</v>
      </c>
      <c r="I110" s="152">
        <f t="shared" si="64"/>
        <v>2027</v>
      </c>
      <c r="J110" s="152">
        <f t="shared" si="64"/>
        <v>2028</v>
      </c>
      <c r="K110" s="152">
        <f t="shared" si="64"/>
        <v>2029</v>
      </c>
      <c r="L110" s="152">
        <f t="shared" si="64"/>
        <v>2030</v>
      </c>
      <c r="M110" s="152">
        <f t="shared" si="64"/>
        <v>2031</v>
      </c>
      <c r="N110" s="152">
        <f t="shared" si="64"/>
        <v>2032</v>
      </c>
      <c r="O110" s="152">
        <f t="shared" si="64"/>
        <v>2033</v>
      </c>
      <c r="P110" s="152">
        <f t="shared" si="64"/>
        <v>2034</v>
      </c>
      <c r="Q110" s="152">
        <f t="shared" si="64"/>
        <v>2035</v>
      </c>
      <c r="R110" s="152">
        <f t="shared" si="64"/>
        <v>2036</v>
      </c>
      <c r="S110" s="152">
        <f t="shared" si="64"/>
        <v>2037</v>
      </c>
      <c r="T110" s="152">
        <f t="shared" si="64"/>
        <v>2038</v>
      </c>
      <c r="U110" s="152">
        <f t="shared" si="64"/>
        <v>2039</v>
      </c>
      <c r="V110" s="152">
        <f t="shared" si="64"/>
        <v>2040</v>
      </c>
      <c r="W110" s="152">
        <f t="shared" si="64"/>
        <v>2041</v>
      </c>
      <c r="X110" s="152">
        <f t="shared" si="64"/>
        <v>2042</v>
      </c>
      <c r="Y110" s="152">
        <f t="shared" si="64"/>
        <v>2043</v>
      </c>
      <c r="Z110" s="152">
        <f t="shared" si="64"/>
        <v>2044</v>
      </c>
      <c r="AA110" s="152">
        <f t="shared" si="64"/>
        <v>2045</v>
      </c>
      <c r="AB110" s="152">
        <f t="shared" si="64"/>
        <v>2046</v>
      </c>
      <c r="AC110" s="209">
        <f t="shared" si="64"/>
        <v>2047</v>
      </c>
      <c r="AD110" s="210">
        <f t="shared" si="64"/>
        <v>2048</v>
      </c>
      <c r="AE110" s="152">
        <f t="shared" si="64"/>
        <v>2049</v>
      </c>
      <c r="AF110" s="152">
        <f t="shared" si="64"/>
        <v>2050</v>
      </c>
      <c r="AG110" s="152">
        <f t="shared" si="64"/>
        <v>2051</v>
      </c>
      <c r="AH110" s="152">
        <f t="shared" si="64"/>
        <v>2052</v>
      </c>
      <c r="AI110" s="152">
        <f t="shared" si="64"/>
        <v>2053</v>
      </c>
      <c r="AJ110" s="152"/>
    </row>
    <row r="111" spans="1:37">
      <c r="A111" s="6" t="s">
        <v>134</v>
      </c>
      <c r="B111" s="119">
        <f t="shared" ref="B111:AI111" si="65">B69-B56</f>
        <v>0</v>
      </c>
      <c r="C111" s="119">
        <f t="shared" si="65"/>
        <v>0</v>
      </c>
      <c r="D111" s="119">
        <f t="shared" si="65"/>
        <v>0</v>
      </c>
      <c r="E111" s="119">
        <f t="shared" si="65"/>
        <v>0</v>
      </c>
      <c r="F111" s="119">
        <f t="shared" si="65"/>
        <v>0</v>
      </c>
      <c r="G111" s="119">
        <f t="shared" si="65"/>
        <v>0</v>
      </c>
      <c r="H111" s="119">
        <f t="shared" si="65"/>
        <v>0</v>
      </c>
      <c r="I111" s="119">
        <f t="shared" si="65"/>
        <v>0</v>
      </c>
      <c r="J111" s="119">
        <f t="shared" si="65"/>
        <v>0</v>
      </c>
      <c r="K111" s="119">
        <f t="shared" si="65"/>
        <v>0</v>
      </c>
      <c r="L111" s="119">
        <f t="shared" si="65"/>
        <v>0</v>
      </c>
      <c r="M111" s="119">
        <f t="shared" si="65"/>
        <v>0</v>
      </c>
      <c r="N111" s="119">
        <f t="shared" si="65"/>
        <v>0</v>
      </c>
      <c r="O111" s="119">
        <f t="shared" si="65"/>
        <v>0</v>
      </c>
      <c r="P111" s="119">
        <f t="shared" si="65"/>
        <v>0</v>
      </c>
      <c r="Q111" s="119">
        <f t="shared" si="65"/>
        <v>0</v>
      </c>
      <c r="R111" s="119">
        <f t="shared" si="65"/>
        <v>0</v>
      </c>
      <c r="S111" s="119">
        <f t="shared" si="65"/>
        <v>0</v>
      </c>
      <c r="T111" s="119">
        <f t="shared" si="65"/>
        <v>0</v>
      </c>
      <c r="U111" s="119">
        <f t="shared" si="65"/>
        <v>0</v>
      </c>
      <c r="V111" s="119">
        <f t="shared" si="65"/>
        <v>0</v>
      </c>
      <c r="W111" s="119">
        <f t="shared" si="65"/>
        <v>0</v>
      </c>
      <c r="X111" s="119">
        <f t="shared" si="65"/>
        <v>0</v>
      </c>
      <c r="Y111" s="119">
        <f t="shared" si="65"/>
        <v>0</v>
      </c>
      <c r="Z111" s="119">
        <f t="shared" si="65"/>
        <v>0</v>
      </c>
      <c r="AA111" s="119">
        <f t="shared" si="65"/>
        <v>0</v>
      </c>
      <c r="AB111" s="119">
        <f t="shared" si="65"/>
        <v>0</v>
      </c>
      <c r="AC111" s="119">
        <f t="shared" si="65"/>
        <v>0</v>
      </c>
      <c r="AD111" s="211">
        <f t="shared" si="65"/>
        <v>0</v>
      </c>
      <c r="AE111" s="119">
        <f t="shared" si="65"/>
        <v>0</v>
      </c>
      <c r="AF111" s="119">
        <f t="shared" si="65"/>
        <v>0</v>
      </c>
      <c r="AG111" s="119">
        <f t="shared" si="65"/>
        <v>0</v>
      </c>
      <c r="AH111" s="119">
        <f t="shared" si="65"/>
        <v>0</v>
      </c>
      <c r="AI111" s="119">
        <f t="shared" si="65"/>
        <v>0</v>
      </c>
      <c r="AJ111" s="119"/>
      <c r="AK111" s="119" t="str">
        <f t="shared" ref="AK111:AK120" si="66">A111</f>
        <v>Existing Solar</v>
      </c>
    </row>
    <row r="112" spans="1:37">
      <c r="A112" s="6" t="s">
        <v>135</v>
      </c>
      <c r="B112" s="119">
        <f t="shared" ref="B112:AI112" si="67">B70-B57</f>
        <v>0</v>
      </c>
      <c r="C112" s="119">
        <f t="shared" si="67"/>
        <v>0</v>
      </c>
      <c r="D112" s="119">
        <f t="shared" si="67"/>
        <v>27.104402529171068</v>
      </c>
      <c r="E112" s="119">
        <f t="shared" si="67"/>
        <v>98.781674233069964</v>
      </c>
      <c r="F112" s="119">
        <f t="shared" si="67"/>
        <v>205.49827041468927</v>
      </c>
      <c r="G112" s="119">
        <f t="shared" si="67"/>
        <v>300.46649364736896</v>
      </c>
      <c r="H112" s="119">
        <f t="shared" si="67"/>
        <v>385.39678406731878</v>
      </c>
      <c r="I112" s="119">
        <f t="shared" si="67"/>
        <v>456.76610212359998</v>
      </c>
      <c r="J112" s="119">
        <f t="shared" si="67"/>
        <v>521.38216806475043</v>
      </c>
      <c r="K112" s="119">
        <f t="shared" si="67"/>
        <v>580.22999313960736</v>
      </c>
      <c r="L112" s="119">
        <f t="shared" si="67"/>
        <v>634.01636784102379</v>
      </c>
      <c r="M112" s="119">
        <f t="shared" si="67"/>
        <v>683.26715478238884</v>
      </c>
      <c r="N112" s="119">
        <f t="shared" si="67"/>
        <v>728.35372964352109</v>
      </c>
      <c r="O112" s="119">
        <f t="shared" si="67"/>
        <v>769.60576167263162</v>
      </c>
      <c r="P112" s="119">
        <f t="shared" si="67"/>
        <v>807.31002678440973</v>
      </c>
      <c r="Q112" s="119">
        <f t="shared" si="67"/>
        <v>841.7817862456186</v>
      </c>
      <c r="R112" s="119">
        <f t="shared" si="67"/>
        <v>873.29202848516286</v>
      </c>
      <c r="S112" s="119">
        <f t="shared" si="67"/>
        <v>902.06344495740177</v>
      </c>
      <c r="T112" s="119">
        <f t="shared" si="67"/>
        <v>930.24970017284386</v>
      </c>
      <c r="U112" s="119">
        <f t="shared" si="67"/>
        <v>955.84915294119799</v>
      </c>
      <c r="V112" s="119">
        <f t="shared" si="67"/>
        <v>979.07310442426649</v>
      </c>
      <c r="W112" s="119">
        <f t="shared" si="67"/>
        <v>1000.1248911355183</v>
      </c>
      <c r="X112" s="119">
        <f t="shared" si="67"/>
        <v>1019.2432452792501</v>
      </c>
      <c r="Y112" s="119">
        <f t="shared" si="67"/>
        <v>1036.6317832813522</v>
      </c>
      <c r="Z112" s="119">
        <f t="shared" si="67"/>
        <v>1052.4528204477485</v>
      </c>
      <c r="AA112" s="119">
        <f t="shared" si="67"/>
        <v>1066.8199714822242</v>
      </c>
      <c r="AB112" s="119">
        <f t="shared" si="67"/>
        <v>1079.8900698837747</v>
      </c>
      <c r="AC112" s="119">
        <f t="shared" si="67"/>
        <v>1091.7640225794905</v>
      </c>
      <c r="AD112" s="211">
        <f t="shared" si="67"/>
        <v>1102.5564189601394</v>
      </c>
      <c r="AE112" s="119">
        <f t="shared" si="67"/>
        <v>1112.3456472165315</v>
      </c>
      <c r="AF112" s="119">
        <f t="shared" si="67"/>
        <v>1121.2349572228359</v>
      </c>
      <c r="AG112" s="119">
        <f t="shared" si="67"/>
        <v>1129.7914422876931</v>
      </c>
      <c r="AH112" s="119">
        <f t="shared" si="67"/>
        <v>1136.619048814528</v>
      </c>
      <c r="AI112" s="119">
        <f t="shared" si="67"/>
        <v>1140.2982843495179</v>
      </c>
      <c r="AJ112" s="119"/>
      <c r="AK112" s="119" t="str">
        <f t="shared" si="66"/>
        <v>New Solar</v>
      </c>
    </row>
    <row r="113" spans="1:38">
      <c r="A113" s="6" t="s">
        <v>60</v>
      </c>
      <c r="B113" s="119">
        <f t="shared" ref="B113:AI113" si="68">B71-B58</f>
        <v>0</v>
      </c>
      <c r="C113" s="119">
        <f t="shared" si="68"/>
        <v>0</v>
      </c>
      <c r="D113" s="119">
        <f t="shared" si="68"/>
        <v>0</v>
      </c>
      <c r="E113" s="119">
        <f t="shared" si="68"/>
        <v>0</v>
      </c>
      <c r="F113" s="119">
        <f t="shared" si="68"/>
        <v>0</v>
      </c>
      <c r="G113" s="119">
        <f t="shared" si="68"/>
        <v>0</v>
      </c>
      <c r="H113" s="119">
        <f t="shared" si="68"/>
        <v>0</v>
      </c>
      <c r="I113" s="119">
        <f t="shared" si="68"/>
        <v>-6.8065319934405428</v>
      </c>
      <c r="J113" s="119">
        <f t="shared" si="68"/>
        <v>-23.963273112755651</v>
      </c>
      <c r="K113" s="119">
        <f t="shared" si="68"/>
        <v>-37.68962653509206</v>
      </c>
      <c r="L113" s="119">
        <f t="shared" si="68"/>
        <v>-51.938491893392545</v>
      </c>
      <c r="M113" s="119">
        <f t="shared" si="68"/>
        <v>-63.218316402033011</v>
      </c>
      <c r="N113" s="119">
        <f t="shared" si="68"/>
        <v>-75.08199699487605</v>
      </c>
      <c r="O113" s="119">
        <f t="shared" si="68"/>
        <v>-84.363118834522751</v>
      </c>
      <c r="P113" s="119">
        <f t="shared" si="68"/>
        <v>-95.555131916288076</v>
      </c>
      <c r="Q113" s="119">
        <f t="shared" si="68"/>
        <v>-109.74311048334511</v>
      </c>
      <c r="R113" s="119">
        <f t="shared" si="68"/>
        <v>-117.75217666752008</v>
      </c>
      <c r="S113" s="119">
        <f t="shared" si="68"/>
        <v>-121.79306183603046</v>
      </c>
      <c r="T113" s="119">
        <f t="shared" si="68"/>
        <v>-129.86103987438742</v>
      </c>
      <c r="U113" s="119">
        <f t="shared" si="68"/>
        <v>-140.0916504003319</v>
      </c>
      <c r="V113" s="119">
        <f t="shared" si="68"/>
        <v>-149.36500250181143</v>
      </c>
      <c r="W113" s="119">
        <f t="shared" si="68"/>
        <v>-157.76503353992234</v>
      </c>
      <c r="X113" s="119">
        <f t="shared" si="68"/>
        <v>-165.37771678192939</v>
      </c>
      <c r="Y113" s="119">
        <f t="shared" si="68"/>
        <v>-172.3006922359657</v>
      </c>
      <c r="Z113" s="119">
        <f t="shared" si="68"/>
        <v>-178.6115897763425</v>
      </c>
      <c r="AA113" s="119">
        <f t="shared" si="68"/>
        <v>-184.36170521052736</v>
      </c>
      <c r="AB113" s="119">
        <f t="shared" si="68"/>
        <v>-186.67226590371502</v>
      </c>
      <c r="AC113" s="119">
        <f t="shared" si="68"/>
        <v>-186.84205217319368</v>
      </c>
      <c r="AD113" s="211">
        <f t="shared" si="68"/>
        <v>-187.00038054764764</v>
      </c>
      <c r="AE113" s="119">
        <f t="shared" si="68"/>
        <v>-187.1452413173879</v>
      </c>
      <c r="AF113" s="119">
        <f t="shared" si="68"/>
        <v>-187.2820530561703</v>
      </c>
      <c r="AG113" s="119">
        <f t="shared" si="68"/>
        <v>-187.40756014500812</v>
      </c>
      <c r="AH113" s="119">
        <f t="shared" si="68"/>
        <v>-187.50714140350556</v>
      </c>
      <c r="AI113" s="119">
        <f t="shared" si="68"/>
        <v>-187.58269552528463</v>
      </c>
      <c r="AJ113" s="119"/>
      <c r="AK113" s="119" t="str">
        <f t="shared" si="66"/>
        <v>Conv Gen Capital</v>
      </c>
      <c r="AL113" s="16"/>
    </row>
    <row r="114" spans="1:38">
      <c r="A114" s="6" t="s">
        <v>68</v>
      </c>
      <c r="B114" s="119">
        <f t="shared" ref="B114:AI114" si="69">B72-B59</f>
        <v>0</v>
      </c>
      <c r="C114" s="119">
        <f t="shared" si="69"/>
        <v>0</v>
      </c>
      <c r="D114" s="119">
        <f t="shared" si="69"/>
        <v>0</v>
      </c>
      <c r="E114" s="119">
        <f t="shared" si="69"/>
        <v>0</v>
      </c>
      <c r="F114" s="119">
        <f t="shared" si="69"/>
        <v>0</v>
      </c>
      <c r="G114" s="119">
        <f t="shared" si="69"/>
        <v>0</v>
      </c>
      <c r="H114" s="119">
        <f t="shared" si="69"/>
        <v>0</v>
      </c>
      <c r="I114" s="119">
        <f t="shared" si="69"/>
        <v>-0.16330587684274178</v>
      </c>
      <c r="J114" s="119">
        <f t="shared" si="69"/>
        <v>-0.5891213502827668</v>
      </c>
      <c r="K114" s="119">
        <f t="shared" si="69"/>
        <v>-0.9551235061674106</v>
      </c>
      <c r="L114" s="119">
        <f t="shared" si="69"/>
        <v>-1.3480835154748547</v>
      </c>
      <c r="M114" s="119">
        <f t="shared" si="69"/>
        <v>-1.6858319651919373</v>
      </c>
      <c r="N114" s="119">
        <f t="shared" si="69"/>
        <v>-2.0484601922203183</v>
      </c>
      <c r="O114" s="119">
        <f t="shared" si="69"/>
        <v>-2.3601402918520762</v>
      </c>
      <c r="P114" s="119">
        <f t="shared" si="69"/>
        <v>-2.968785690347886</v>
      </c>
      <c r="Q114" s="119">
        <f t="shared" si="69"/>
        <v>-3.8260816941933626</v>
      </c>
      <c r="R114" s="119">
        <f t="shared" si="69"/>
        <v>-4.4094305986191102</v>
      </c>
      <c r="S114" s="119">
        <f t="shared" si="69"/>
        <v>-4.8049963842986472</v>
      </c>
      <c r="T114" s="119">
        <f t="shared" si="69"/>
        <v>-5.4066560985465912</v>
      </c>
      <c r="U114" s="119">
        <f t="shared" si="69"/>
        <v>-6.1367321643733703</v>
      </c>
      <c r="V114" s="119">
        <f t="shared" si="69"/>
        <v>-6.8380706023322091</v>
      </c>
      <c r="W114" s="119">
        <f t="shared" si="69"/>
        <v>-7.5118014416261758</v>
      </c>
      <c r="X114" s="119">
        <f t="shared" si="69"/>
        <v>-8.1590154177656586</v>
      </c>
      <c r="Y114" s="119">
        <f t="shared" si="69"/>
        <v>-8.7807507171592079</v>
      </c>
      <c r="Z114" s="119">
        <f t="shared" si="69"/>
        <v>-9.3780136805639813</v>
      </c>
      <c r="AA114" s="119">
        <f t="shared" si="69"/>
        <v>-9.9517661686827523</v>
      </c>
      <c r="AB114" s="119">
        <f t="shared" si="69"/>
        <v>-10.342178555049941</v>
      </c>
      <c r="AC114" s="119">
        <f t="shared" si="69"/>
        <v>-10.606914816706649</v>
      </c>
      <c r="AD114" s="211">
        <f t="shared" si="69"/>
        <v>-10.861229775078755</v>
      </c>
      <c r="AE114" s="119">
        <f t="shared" si="69"/>
        <v>-11.105534743956468</v>
      </c>
      <c r="AF114" s="119">
        <f t="shared" si="69"/>
        <v>-11.340224138767098</v>
      </c>
      <c r="AG114" s="119">
        <f t="shared" si="69"/>
        <v>-11.565674855845828</v>
      </c>
      <c r="AH114" s="119">
        <f t="shared" si="69"/>
        <v>-11.782251067264042</v>
      </c>
      <c r="AI114" s="119">
        <f t="shared" si="69"/>
        <v>-11.990301872081091</v>
      </c>
      <c r="AJ114" s="119"/>
      <c r="AK114" s="119" t="str">
        <f t="shared" si="66"/>
        <v>Fixed Costs</v>
      </c>
    </row>
    <row r="115" spans="1:38">
      <c r="A115" s="6" t="s">
        <v>67</v>
      </c>
      <c r="B115" s="119">
        <f t="shared" ref="B115:AI115" si="70">B73-B60</f>
        <v>0</v>
      </c>
      <c r="C115" s="119">
        <f t="shared" si="70"/>
        <v>0</v>
      </c>
      <c r="D115" s="119">
        <f t="shared" si="70"/>
        <v>0</v>
      </c>
      <c r="E115" s="119">
        <f t="shared" si="70"/>
        <v>0</v>
      </c>
      <c r="F115" s="119">
        <f t="shared" si="70"/>
        <v>0</v>
      </c>
      <c r="G115" s="119">
        <f t="shared" si="70"/>
        <v>0</v>
      </c>
      <c r="H115" s="119">
        <f t="shared" si="70"/>
        <v>0</v>
      </c>
      <c r="I115" s="119">
        <f t="shared" si="70"/>
        <v>0</v>
      </c>
      <c r="J115" s="119">
        <f t="shared" si="70"/>
        <v>0</v>
      </c>
      <c r="K115" s="119">
        <f t="shared" si="70"/>
        <v>0</v>
      </c>
      <c r="L115" s="119">
        <f t="shared" si="70"/>
        <v>0</v>
      </c>
      <c r="M115" s="119">
        <f t="shared" si="70"/>
        <v>0</v>
      </c>
      <c r="N115" s="119">
        <f t="shared" si="70"/>
        <v>0</v>
      </c>
      <c r="O115" s="119">
        <f t="shared" si="70"/>
        <v>0</v>
      </c>
      <c r="P115" s="119">
        <f t="shared" si="70"/>
        <v>-10.406972306614989</v>
      </c>
      <c r="Q115" s="119">
        <f t="shared" si="70"/>
        <v>-27.12724599124067</v>
      </c>
      <c r="R115" s="119">
        <f t="shared" si="70"/>
        <v>-37.995702622427416</v>
      </c>
      <c r="S115" s="119">
        <f t="shared" si="70"/>
        <v>-44.967141172227457</v>
      </c>
      <c r="T115" s="119">
        <f t="shared" si="70"/>
        <v>-55.932130000884172</v>
      </c>
      <c r="U115" s="119">
        <f t="shared" si="70"/>
        <v>-69.175066667597093</v>
      </c>
      <c r="V115" s="119">
        <f t="shared" si="70"/>
        <v>-81.58644670499325</v>
      </c>
      <c r="W115" s="119">
        <f t="shared" si="70"/>
        <v>-93.218467670440077</v>
      </c>
      <c r="X115" s="119">
        <f t="shared" si="70"/>
        <v>-104.12008057151434</v>
      </c>
      <c r="Y115" s="119">
        <f t="shared" si="70"/>
        <v>-114.33714983212849</v>
      </c>
      <c r="Z115" s="119">
        <f t="shared" si="70"/>
        <v>-123.91267046150278</v>
      </c>
      <c r="AA115" s="119">
        <f t="shared" si="70"/>
        <v>-132.88691659962296</v>
      </c>
      <c r="AB115" s="119">
        <f t="shared" si="70"/>
        <v>-138.08391646269411</v>
      </c>
      <c r="AC115" s="119">
        <f t="shared" si="70"/>
        <v>-140.80321552577152</v>
      </c>
      <c r="AD115" s="211">
        <f t="shared" si="70"/>
        <v>-143.35176197664168</v>
      </c>
      <c r="AE115" s="119">
        <f t="shared" si="70"/>
        <v>-145.74027786311763</v>
      </c>
      <c r="AF115" s="119">
        <f t="shared" si="70"/>
        <v>-147.97881196478193</v>
      </c>
      <c r="AG115" s="119">
        <f t="shared" si="70"/>
        <v>-150.07678206943456</v>
      </c>
      <c r="AH115" s="119">
        <f t="shared" si="70"/>
        <v>-152.04301459488215</v>
      </c>
      <c r="AI115" s="119">
        <f t="shared" si="70"/>
        <v>-153.88578172276175</v>
      </c>
      <c r="AJ115" s="119"/>
      <c r="AK115" s="119" t="str">
        <f t="shared" si="66"/>
        <v>Gas Reservation Costs</v>
      </c>
    </row>
    <row r="116" spans="1:38">
      <c r="A116" s="6" t="s">
        <v>383</v>
      </c>
      <c r="B116" s="119">
        <f t="shared" ref="B116:AI116" si="71">B74-B61</f>
        <v>0</v>
      </c>
      <c r="C116" s="119">
        <f t="shared" si="71"/>
        <v>0.95602539473914416</v>
      </c>
      <c r="D116" s="119">
        <f t="shared" si="71"/>
        <v>1.5072266250072159</v>
      </c>
      <c r="E116" s="119">
        <f t="shared" si="71"/>
        <v>2.0695367321701985</v>
      </c>
      <c r="F116" s="119">
        <f t="shared" si="71"/>
        <v>2.5900853804250303</v>
      </c>
      <c r="G116" s="119">
        <f t="shared" si="71"/>
        <v>3.0645593924772814</v>
      </c>
      <c r="H116" s="119">
        <f t="shared" si="71"/>
        <v>3.4105074444231458</v>
      </c>
      <c r="I116" s="119">
        <f t="shared" si="71"/>
        <v>3.7694032877547321</v>
      </c>
      <c r="J116" s="119">
        <f t="shared" si="71"/>
        <v>4.081384694912491</v>
      </c>
      <c r="K116" s="119">
        <f t="shared" si="71"/>
        <v>4.385661652913285</v>
      </c>
      <c r="L116" s="119">
        <f t="shared" si="71"/>
        <v>4.6936161007606358</v>
      </c>
      <c r="M116" s="119">
        <f t="shared" si="71"/>
        <v>4.876091196085361</v>
      </c>
      <c r="N116" s="119">
        <f t="shared" si="71"/>
        <v>5.0454798390598876</v>
      </c>
      <c r="O116" s="119">
        <f t="shared" si="71"/>
        <v>5.2294447586090405</v>
      </c>
      <c r="P116" s="119">
        <f t="shared" si="71"/>
        <v>5.3836719529946686</v>
      </c>
      <c r="Q116" s="119">
        <f t="shared" si="71"/>
        <v>5.5346613210514448</v>
      </c>
      <c r="R116" s="119">
        <f t="shared" si="71"/>
        <v>5.690057206126018</v>
      </c>
      <c r="S116" s="119">
        <f t="shared" si="71"/>
        <v>5.8275763916379768</v>
      </c>
      <c r="T116" s="119">
        <f t="shared" si="71"/>
        <v>5.9557466681538642</v>
      </c>
      <c r="U116" s="119">
        <f t="shared" si="71"/>
        <v>6.0933307004328334</v>
      </c>
      <c r="V116" s="119">
        <f t="shared" si="71"/>
        <v>6.2103146406013154</v>
      </c>
      <c r="W116" s="119">
        <f t="shared" si="71"/>
        <v>6.3246720109823338</v>
      </c>
      <c r="X116" s="119">
        <f t="shared" si="71"/>
        <v>6.4415980915041979</v>
      </c>
      <c r="Y116" s="119">
        <f t="shared" si="71"/>
        <v>6.5460068556555422</v>
      </c>
      <c r="Z116" s="119">
        <f t="shared" si="71"/>
        <v>6.6436912405524309</v>
      </c>
      <c r="AA116" s="119">
        <f t="shared" si="71"/>
        <v>6.7473794896881474</v>
      </c>
      <c r="AB116" s="119">
        <f t="shared" si="71"/>
        <v>6.8299441406162629</v>
      </c>
      <c r="AC116" s="119">
        <f t="shared" si="71"/>
        <v>6.9134101017759475</v>
      </c>
      <c r="AD116" s="211">
        <f t="shared" si="71"/>
        <v>6.9892525522111812</v>
      </c>
      <c r="AE116" s="119">
        <f t="shared" si="71"/>
        <v>7.065161560369619</v>
      </c>
      <c r="AF116" s="119">
        <f t="shared" si="71"/>
        <v>7.1348731753412622</v>
      </c>
      <c r="AG116" s="119">
        <f t="shared" si="71"/>
        <v>7.2050716835813713</v>
      </c>
      <c r="AH116" s="119">
        <f t="shared" si="71"/>
        <v>7.266976907278667</v>
      </c>
      <c r="AI116" s="119">
        <f t="shared" si="71"/>
        <v>7.325205364161631</v>
      </c>
      <c r="AJ116" s="119"/>
      <c r="AK116" s="119"/>
    </row>
    <row r="117" spans="1:38">
      <c r="A117" s="6" t="s">
        <v>65</v>
      </c>
      <c r="B117" s="119">
        <f t="shared" ref="B117:AI117" si="72">B75-B62</f>
        <v>0</v>
      </c>
      <c r="C117" s="119">
        <f t="shared" si="72"/>
        <v>0</v>
      </c>
      <c r="D117" s="119">
        <f t="shared" si="72"/>
        <v>-7.2929207045476687</v>
      </c>
      <c r="E117" s="119">
        <f t="shared" si="72"/>
        <v>-27.234370204471361</v>
      </c>
      <c r="F117" s="119">
        <f t="shared" si="72"/>
        <v>-64.255550879513066</v>
      </c>
      <c r="G117" s="119">
        <f t="shared" si="72"/>
        <v>-98.25984515739583</v>
      </c>
      <c r="H117" s="119">
        <f t="shared" si="72"/>
        <v>-132.04681216886638</v>
      </c>
      <c r="I117" s="119">
        <f t="shared" si="72"/>
        <v>-165.26017136851078</v>
      </c>
      <c r="J117" s="119">
        <f t="shared" si="72"/>
        <v>-195.34269113345545</v>
      </c>
      <c r="K117" s="119">
        <f t="shared" si="72"/>
        <v>-228.53078413734329</v>
      </c>
      <c r="L117" s="119">
        <f t="shared" si="72"/>
        <v>-256.75103354964631</v>
      </c>
      <c r="M117" s="119">
        <f t="shared" si="72"/>
        <v>-287.91268776393736</v>
      </c>
      <c r="N117" s="119">
        <f t="shared" si="72"/>
        <v>-315.56955942855348</v>
      </c>
      <c r="O117" s="119">
        <f t="shared" si="72"/>
        <v>-342.24187941753735</v>
      </c>
      <c r="P117" s="119">
        <f t="shared" si="72"/>
        <v>-369.36037742919143</v>
      </c>
      <c r="Q117" s="119">
        <f t="shared" si="72"/>
        <v>-393.73062752997248</v>
      </c>
      <c r="R117" s="119">
        <f t="shared" si="72"/>
        <v>-416.71190082802605</v>
      </c>
      <c r="S117" s="119">
        <f t="shared" si="72"/>
        <v>-440.49332130871881</v>
      </c>
      <c r="T117" s="119">
        <f t="shared" si="72"/>
        <v>-463.29374576580267</v>
      </c>
      <c r="U117" s="119">
        <f t="shared" si="72"/>
        <v>-485.79768324038014</v>
      </c>
      <c r="V117" s="119">
        <f t="shared" si="72"/>
        <v>-507.56097683827102</v>
      </c>
      <c r="W117" s="119">
        <f t="shared" si="72"/>
        <v>-528.65631969971764</v>
      </c>
      <c r="X117" s="119">
        <f t="shared" si="72"/>
        <v>-547.90477345656836</v>
      </c>
      <c r="Y117" s="119">
        <f t="shared" si="72"/>
        <v>-566.71904607262331</v>
      </c>
      <c r="Z117" s="119">
        <f t="shared" si="72"/>
        <v>-584.07705419603917</v>
      </c>
      <c r="AA117" s="119">
        <f t="shared" si="72"/>
        <v>-601.35886447013399</v>
      </c>
      <c r="AB117" s="119">
        <f t="shared" si="72"/>
        <v>-617.65672600061225</v>
      </c>
      <c r="AC117" s="119">
        <f t="shared" si="72"/>
        <v>-632.67142152841188</v>
      </c>
      <c r="AD117" s="211">
        <f t="shared" si="72"/>
        <v>-647.94074342862586</v>
      </c>
      <c r="AE117" s="119">
        <f t="shared" si="72"/>
        <v>-661.16840871765089</v>
      </c>
      <c r="AF117" s="119">
        <f t="shared" si="72"/>
        <v>-673.92144072129668</v>
      </c>
      <c r="AG117" s="119">
        <f t="shared" si="72"/>
        <v>-686.7813840145318</v>
      </c>
      <c r="AH117" s="119">
        <f t="shared" si="72"/>
        <v>-696.98464253094062</v>
      </c>
      <c r="AI117" s="119">
        <f t="shared" si="72"/>
        <v>-701.92918026877305</v>
      </c>
      <c r="AJ117" s="119"/>
      <c r="AK117" s="119" t="str">
        <f t="shared" si="66"/>
        <v>Fuel Costs</v>
      </c>
    </row>
    <row r="118" spans="1:38">
      <c r="A118" s="6" t="s">
        <v>52</v>
      </c>
      <c r="B118" s="119">
        <f t="shared" ref="B118:AI118" si="73">B76-B63</f>
        <v>0</v>
      </c>
      <c r="C118" s="119">
        <f t="shared" si="73"/>
        <v>0</v>
      </c>
      <c r="D118" s="119">
        <f t="shared" si="73"/>
        <v>-1.2128443928750698</v>
      </c>
      <c r="E118" s="119">
        <f t="shared" si="73"/>
        <v>-4.364376822864358</v>
      </c>
      <c r="F118" s="119">
        <f t="shared" si="73"/>
        <v>-8.2201899819210098</v>
      </c>
      <c r="G118" s="119">
        <f t="shared" si="73"/>
        <v>-11.627175448561388</v>
      </c>
      <c r="H118" s="119">
        <f t="shared" si="73"/>
        <v>-14.848173298503866</v>
      </c>
      <c r="I118" s="119">
        <f t="shared" si="73"/>
        <v>-17.983915420589483</v>
      </c>
      <c r="J118" s="119">
        <f t="shared" si="73"/>
        <v>-21.665310363970661</v>
      </c>
      <c r="K118" s="119">
        <f t="shared" si="73"/>
        <v>-25.58372412294807</v>
      </c>
      <c r="L118" s="119">
        <f t="shared" si="73"/>
        <v>-29.308397984002568</v>
      </c>
      <c r="M118" s="119">
        <f t="shared" si="73"/>
        <v>-32.47633134593957</v>
      </c>
      <c r="N118" s="119">
        <f t="shared" si="73"/>
        <v>-35.950628004854934</v>
      </c>
      <c r="O118" s="119">
        <f t="shared" si="73"/>
        <v>-38.291921501485604</v>
      </c>
      <c r="P118" s="119">
        <f t="shared" si="73"/>
        <v>-41.171765532203608</v>
      </c>
      <c r="Q118" s="119">
        <f t="shared" si="73"/>
        <v>-43.832495896486535</v>
      </c>
      <c r="R118" s="119">
        <f t="shared" si="73"/>
        <v>-45.583679907885426</v>
      </c>
      <c r="S118" s="119">
        <f t="shared" si="73"/>
        <v>-46.432601645569548</v>
      </c>
      <c r="T118" s="119">
        <f t="shared" si="73"/>
        <v>-48.485517432449114</v>
      </c>
      <c r="U118" s="119">
        <f t="shared" si="73"/>
        <v>-50.438224018823803</v>
      </c>
      <c r="V118" s="119">
        <f t="shared" si="73"/>
        <v>-52.189454421096343</v>
      </c>
      <c r="W118" s="119">
        <f t="shared" si="73"/>
        <v>-53.903992963827022</v>
      </c>
      <c r="X118" s="119">
        <f t="shared" si="73"/>
        <v>-55.607254358963019</v>
      </c>
      <c r="Y118" s="119">
        <f t="shared" si="73"/>
        <v>-57.404745419990832</v>
      </c>
      <c r="Z118" s="119">
        <f t="shared" si="73"/>
        <v>-58.65996731077621</v>
      </c>
      <c r="AA118" s="119">
        <f t="shared" si="73"/>
        <v>-60.294331390582556</v>
      </c>
      <c r="AB118" s="119">
        <f t="shared" si="73"/>
        <v>-61.79698331070631</v>
      </c>
      <c r="AC118" s="119">
        <f t="shared" si="73"/>
        <v>-62.569416898423242</v>
      </c>
      <c r="AD118" s="211">
        <f t="shared" si="73"/>
        <v>-63.839301203405739</v>
      </c>
      <c r="AE118" s="119">
        <f t="shared" si="73"/>
        <v>-64.976322518388315</v>
      </c>
      <c r="AF118" s="119">
        <f t="shared" si="73"/>
        <v>-66.080012921682282</v>
      </c>
      <c r="AG118" s="119">
        <f t="shared" si="73"/>
        <v>-65.276839133446174</v>
      </c>
      <c r="AH118" s="119">
        <f t="shared" si="73"/>
        <v>-66.061197173385608</v>
      </c>
      <c r="AI118" s="119">
        <f t="shared" si="73"/>
        <v>-66.657405326915978</v>
      </c>
      <c r="AJ118" s="119"/>
      <c r="AK118" s="119" t="str">
        <f t="shared" si="66"/>
        <v>Variable Costs</v>
      </c>
    </row>
    <row r="119" spans="1:38">
      <c r="A119" s="36" t="s">
        <v>66</v>
      </c>
      <c r="B119" s="119">
        <f t="shared" ref="B119:AI119" si="74">B77-B64</f>
        <v>0</v>
      </c>
      <c r="C119" s="119">
        <f t="shared" si="74"/>
        <v>0</v>
      </c>
      <c r="D119" s="119">
        <f t="shared" si="74"/>
        <v>-6.0928476252296804E-2</v>
      </c>
      <c r="E119" s="119">
        <f t="shared" si="74"/>
        <v>-0.15667064487288229</v>
      </c>
      <c r="F119" s="119">
        <f t="shared" si="74"/>
        <v>-0.36788576549312779</v>
      </c>
      <c r="G119" s="119">
        <f t="shared" si="74"/>
        <v>-0.57309166153777014</v>
      </c>
      <c r="H119" s="119">
        <f t="shared" si="74"/>
        <v>-0.71743330958626217</v>
      </c>
      <c r="I119" s="119">
        <f t="shared" si="74"/>
        <v>-0.76317476934527662</v>
      </c>
      <c r="J119" s="119">
        <f t="shared" si="74"/>
        <v>-0.73613895697140208</v>
      </c>
      <c r="K119" s="119">
        <f t="shared" si="74"/>
        <v>-0.59661090651945869</v>
      </c>
      <c r="L119" s="119">
        <f t="shared" si="74"/>
        <v>-0.41581929212039626</v>
      </c>
      <c r="M119" s="119">
        <f t="shared" si="74"/>
        <v>-0.29944069890493807</v>
      </c>
      <c r="N119" s="119">
        <f t="shared" si="74"/>
        <v>-0.16868242044189685</v>
      </c>
      <c r="O119" s="119">
        <f t="shared" si="74"/>
        <v>-0.14873937873313281</v>
      </c>
      <c r="P119" s="119">
        <f t="shared" si="74"/>
        <v>-0.2063192776842655</v>
      </c>
      <c r="Q119" s="119">
        <f t="shared" si="74"/>
        <v>-0.22918292388693828</v>
      </c>
      <c r="R119" s="119">
        <f t="shared" si="74"/>
        <v>-0.25372517960035168</v>
      </c>
      <c r="S119" s="119">
        <f t="shared" si="74"/>
        <v>-0.27728752275378099</v>
      </c>
      <c r="T119" s="119">
        <f t="shared" si="74"/>
        <v>-0.29788589163995027</v>
      </c>
      <c r="U119" s="119">
        <f t="shared" si="74"/>
        <v>-0.31549045516846519</v>
      </c>
      <c r="V119" s="119">
        <f t="shared" si="74"/>
        <v>-0.33233125912622796</v>
      </c>
      <c r="W119" s="119">
        <f t="shared" si="74"/>
        <v>-0.34861669562720721</v>
      </c>
      <c r="X119" s="119">
        <f t="shared" si="74"/>
        <v>-0.36541132760266493</v>
      </c>
      <c r="Y119" s="119">
        <f t="shared" si="74"/>
        <v>-0.37936247871245854</v>
      </c>
      <c r="Z119" s="119">
        <f t="shared" si="74"/>
        <v>-0.39362490199079758</v>
      </c>
      <c r="AA119" s="119">
        <f t="shared" si="74"/>
        <v>-0.40760445137026124</v>
      </c>
      <c r="AB119" s="119">
        <f t="shared" si="74"/>
        <v>-0.42056170064142862</v>
      </c>
      <c r="AC119" s="119">
        <f t="shared" si="74"/>
        <v>-0.43218624985682652</v>
      </c>
      <c r="AD119" s="211">
        <f t="shared" si="74"/>
        <v>-0.44263505324674668</v>
      </c>
      <c r="AE119" s="119">
        <f t="shared" si="74"/>
        <v>-0.45321610221277808</v>
      </c>
      <c r="AF119" s="119">
        <f t="shared" si="74"/>
        <v>-0.46273258424933772</v>
      </c>
      <c r="AG119" s="119">
        <f t="shared" si="74"/>
        <v>-0.47181356367482863</v>
      </c>
      <c r="AH119" s="119">
        <f t="shared" si="74"/>
        <v>-0.47848660094828688</v>
      </c>
      <c r="AI119" s="119">
        <f t="shared" si="74"/>
        <v>-0.48169125580236027</v>
      </c>
      <c r="AJ119" s="119"/>
      <c r="AK119" s="119" t="str">
        <f t="shared" si="66"/>
        <v>Environmental Costs</v>
      </c>
    </row>
    <row r="120" spans="1:38">
      <c r="A120" s="12" t="s">
        <v>69</v>
      </c>
      <c r="B120" s="212">
        <f t="shared" ref="B120:AF120" si="75">B78-B65</f>
        <v>0</v>
      </c>
      <c r="C120" s="212">
        <f t="shared" si="75"/>
        <v>0</v>
      </c>
      <c r="D120" s="212">
        <f t="shared" si="75"/>
        <v>0</v>
      </c>
      <c r="E120" s="212">
        <f t="shared" si="75"/>
        <v>0</v>
      </c>
      <c r="F120" s="212">
        <f t="shared" si="75"/>
        <v>0</v>
      </c>
      <c r="G120" s="212">
        <f t="shared" si="75"/>
        <v>-3.309429410399531</v>
      </c>
      <c r="H120" s="212">
        <f t="shared" si="75"/>
        <v>-8.6616149795700608</v>
      </c>
      <c r="I120" s="212">
        <f t="shared" si="75"/>
        <v>-15.416856285664039</v>
      </c>
      <c r="J120" s="212">
        <f t="shared" si="75"/>
        <v>-23.487767221565036</v>
      </c>
      <c r="K120" s="212">
        <f t="shared" si="75"/>
        <v>-31.639352465463958</v>
      </c>
      <c r="L120" s="212">
        <f t="shared" si="75"/>
        <v>-40.395787202472775</v>
      </c>
      <c r="M120" s="212">
        <f t="shared" si="75"/>
        <v>-50.465369473481587</v>
      </c>
      <c r="N120" s="212">
        <f t="shared" si="75"/>
        <v>-61.151708524224659</v>
      </c>
      <c r="O120" s="212">
        <f t="shared" si="75"/>
        <v>-73.336163250674645</v>
      </c>
      <c r="P120" s="212">
        <f t="shared" si="75"/>
        <v>-87.405487368944705</v>
      </c>
      <c r="Q120" s="212">
        <f t="shared" si="75"/>
        <v>-100.65433146174701</v>
      </c>
      <c r="R120" s="212">
        <f t="shared" si="75"/>
        <v>-115.41609614459458</v>
      </c>
      <c r="S120" s="212">
        <f t="shared" si="75"/>
        <v>-132.06221419833446</v>
      </c>
      <c r="T120" s="212">
        <f t="shared" si="75"/>
        <v>-149.79974070195567</v>
      </c>
      <c r="U120" s="212">
        <f t="shared" si="75"/>
        <v>-169.29035788604688</v>
      </c>
      <c r="V120" s="212">
        <f t="shared" si="75"/>
        <v>-189.44987447051517</v>
      </c>
      <c r="W120" s="212">
        <f t="shared" si="75"/>
        <v>-210.17025008801465</v>
      </c>
      <c r="X120" s="212">
        <f t="shared" si="75"/>
        <v>-230.26239220611023</v>
      </c>
      <c r="Y120" s="212">
        <f t="shared" si="75"/>
        <v>-250.89468657718044</v>
      </c>
      <c r="Z120" s="212">
        <f t="shared" si="75"/>
        <v>-270.76228438170529</v>
      </c>
      <c r="AA120" s="212">
        <f t="shared" si="75"/>
        <v>-290.83917639211904</v>
      </c>
      <c r="AB120" s="212">
        <f t="shared" si="75"/>
        <v>-310.55185567236731</v>
      </c>
      <c r="AC120" s="212">
        <f t="shared" si="75"/>
        <v>-329.55320736681642</v>
      </c>
      <c r="AD120" s="213">
        <f t="shared" si="75"/>
        <v>-349.63451561834336</v>
      </c>
      <c r="AE120" s="212">
        <f t="shared" si="75"/>
        <v>-368.04283875570582</v>
      </c>
      <c r="AF120" s="212">
        <f t="shared" si="75"/>
        <v>-386.37484725858303</v>
      </c>
      <c r="AG120" s="212">
        <f t="shared" ref="AG120:AH120" si="76">AG78-AG65</f>
        <v>-405.64627008302887</v>
      </c>
      <c r="AH120" s="212">
        <f t="shared" si="76"/>
        <v>-421.12507169484888</v>
      </c>
      <c r="AI120" s="212">
        <f>AI78-AI65</f>
        <v>-428.77436283500356</v>
      </c>
      <c r="AJ120" s="212"/>
      <c r="AK120" s="212" t="str">
        <f t="shared" si="66"/>
        <v>CO2 Costs</v>
      </c>
    </row>
    <row r="121" spans="1:38">
      <c r="A121" s="6" t="s">
        <v>72</v>
      </c>
      <c r="B121" s="15">
        <f t="shared" ref="B121:AI121" si="77">SUM(B111:B120)</f>
        <v>0</v>
      </c>
      <c r="C121" s="15">
        <f t="shared" si="77"/>
        <v>0.95602539473914416</v>
      </c>
      <c r="D121" s="15">
        <f t="shared" si="77"/>
        <v>20.04493558050325</v>
      </c>
      <c r="E121" s="15">
        <f t="shared" si="77"/>
        <v>69.095793293031562</v>
      </c>
      <c r="F121" s="15">
        <f t="shared" si="77"/>
        <v>135.24472916818709</v>
      </c>
      <c r="G121" s="15">
        <f t="shared" si="77"/>
        <v>189.76151136195173</v>
      </c>
      <c r="H121" s="15">
        <f t="shared" si="77"/>
        <v>232.53325775521537</v>
      </c>
      <c r="I121" s="15">
        <f t="shared" si="77"/>
        <v>254.14154969696187</v>
      </c>
      <c r="J121" s="15">
        <f t="shared" si="77"/>
        <v>259.679250620662</v>
      </c>
      <c r="K121" s="15">
        <f t="shared" si="77"/>
        <v>259.6204331189864</v>
      </c>
      <c r="L121" s="15">
        <f t="shared" si="77"/>
        <v>258.55237050467503</v>
      </c>
      <c r="M121" s="15">
        <f t="shared" si="77"/>
        <v>252.08526832898576</v>
      </c>
      <c r="N121" s="15">
        <f t="shared" si="77"/>
        <v>243.42817391740971</v>
      </c>
      <c r="O121" s="15">
        <f t="shared" si="77"/>
        <v>234.09324375643507</v>
      </c>
      <c r="P121" s="15">
        <f t="shared" si="77"/>
        <v>205.61885921612947</v>
      </c>
      <c r="Q121" s="15">
        <f t="shared" si="77"/>
        <v>168.1733715857979</v>
      </c>
      <c r="R121" s="15">
        <f t="shared" si="77"/>
        <v>140.85937374261584</v>
      </c>
      <c r="S121" s="15">
        <f t="shared" si="77"/>
        <v>117.06039728110659</v>
      </c>
      <c r="T121" s="15">
        <f t="shared" si="77"/>
        <v>83.128731075332155</v>
      </c>
      <c r="U121" s="15">
        <f t="shared" si="77"/>
        <v>40.697278808909175</v>
      </c>
      <c r="V121" s="15">
        <f t="shared" si="77"/>
        <v>-2.038737733277884</v>
      </c>
      <c r="W121" s="15">
        <f t="shared" si="77"/>
        <v>-45.124918952674506</v>
      </c>
      <c r="X121" s="15">
        <f t="shared" si="77"/>
        <v>-86.111800749699398</v>
      </c>
      <c r="Y121" s="15">
        <f t="shared" si="77"/>
        <v>-127.63864319675272</v>
      </c>
      <c r="Z121" s="15">
        <f t="shared" si="77"/>
        <v>-166.69869302061971</v>
      </c>
      <c r="AA121" s="15">
        <f t="shared" si="77"/>
        <v>-206.53301371112661</v>
      </c>
      <c r="AB121" s="15">
        <f t="shared" si="77"/>
        <v>-238.80447358139543</v>
      </c>
      <c r="AC121" s="52">
        <f t="shared" si="77"/>
        <v>-264.80098187791373</v>
      </c>
      <c r="AD121" s="214">
        <f t="shared" si="77"/>
        <v>-293.52489609063929</v>
      </c>
      <c r="AE121" s="15">
        <f t="shared" si="77"/>
        <v>-319.22103124151874</v>
      </c>
      <c r="AF121" s="15">
        <f t="shared" si="77"/>
        <v>-345.07029224735356</v>
      </c>
      <c r="AG121" s="15">
        <f t="shared" si="77"/>
        <v>-370.22980989369557</v>
      </c>
      <c r="AH121" s="15">
        <f t="shared" si="77"/>
        <v>-392.09577934396839</v>
      </c>
      <c r="AI121" s="15">
        <f t="shared" si="77"/>
        <v>-403.67792909294292</v>
      </c>
      <c r="AJ121" s="15"/>
      <c r="AK121" s="6" t="s">
        <v>72</v>
      </c>
    </row>
    <row r="122" spans="1:38">
      <c r="A122" s="6" t="s">
        <v>73</v>
      </c>
      <c r="B122" s="15">
        <f t="shared" ref="B122:AI122" si="78">B121-B120</f>
        <v>0</v>
      </c>
      <c r="C122" s="15">
        <f t="shared" si="78"/>
        <v>0.95602539473914416</v>
      </c>
      <c r="D122" s="15">
        <f t="shared" si="78"/>
        <v>20.04493558050325</v>
      </c>
      <c r="E122" s="15">
        <f t="shared" si="78"/>
        <v>69.095793293031562</v>
      </c>
      <c r="F122" s="15">
        <f t="shared" si="78"/>
        <v>135.24472916818709</v>
      </c>
      <c r="G122" s="15">
        <f t="shared" si="78"/>
        <v>193.07094077235126</v>
      </c>
      <c r="H122" s="15">
        <f t="shared" si="78"/>
        <v>241.19487273478543</v>
      </c>
      <c r="I122" s="15">
        <f t="shared" si="78"/>
        <v>269.55840598262591</v>
      </c>
      <c r="J122" s="15">
        <f t="shared" si="78"/>
        <v>283.16701784222704</v>
      </c>
      <c r="K122" s="15">
        <f t="shared" si="78"/>
        <v>291.25978558445036</v>
      </c>
      <c r="L122" s="15">
        <f t="shared" si="78"/>
        <v>298.9481577071478</v>
      </c>
      <c r="M122" s="15">
        <f t="shared" si="78"/>
        <v>302.55063780246735</v>
      </c>
      <c r="N122" s="15">
        <f t="shared" si="78"/>
        <v>304.57988244163437</v>
      </c>
      <c r="O122" s="15">
        <f t="shared" si="78"/>
        <v>307.42940700710972</v>
      </c>
      <c r="P122" s="15">
        <f t="shared" si="78"/>
        <v>293.02434658507417</v>
      </c>
      <c r="Q122" s="15">
        <f t="shared" si="78"/>
        <v>268.8277030475449</v>
      </c>
      <c r="R122" s="15">
        <f t="shared" si="78"/>
        <v>256.27546988721042</v>
      </c>
      <c r="S122" s="15">
        <f t="shared" si="78"/>
        <v>249.12261147944105</v>
      </c>
      <c r="T122" s="15">
        <f t="shared" si="78"/>
        <v>232.92847177728783</v>
      </c>
      <c r="U122" s="15">
        <f t="shared" si="78"/>
        <v>209.98763669495605</v>
      </c>
      <c r="V122" s="15">
        <f t="shared" si="78"/>
        <v>187.41113673723729</v>
      </c>
      <c r="W122" s="15">
        <f t="shared" si="78"/>
        <v>165.04533113534015</v>
      </c>
      <c r="X122" s="15">
        <f t="shared" si="78"/>
        <v>144.15059145641084</v>
      </c>
      <c r="Y122" s="15">
        <f t="shared" si="78"/>
        <v>123.25604338042771</v>
      </c>
      <c r="Z122" s="15">
        <f t="shared" si="78"/>
        <v>104.06359136108557</v>
      </c>
      <c r="AA122" s="15">
        <f t="shared" si="78"/>
        <v>84.306162680992429</v>
      </c>
      <c r="AB122" s="15">
        <f t="shared" si="78"/>
        <v>71.747382090971882</v>
      </c>
      <c r="AC122" s="52">
        <f t="shared" si="78"/>
        <v>64.752225488902695</v>
      </c>
      <c r="AD122" s="214">
        <f t="shared" si="78"/>
        <v>56.109619527704069</v>
      </c>
      <c r="AE122" s="15">
        <f t="shared" si="78"/>
        <v>48.821807514187071</v>
      </c>
      <c r="AF122" s="15">
        <f t="shared" si="78"/>
        <v>41.304555011229468</v>
      </c>
      <c r="AG122" s="15">
        <f t="shared" si="78"/>
        <v>35.416460189333293</v>
      </c>
      <c r="AH122" s="15">
        <f t="shared" si="78"/>
        <v>29.029292350880496</v>
      </c>
      <c r="AI122" s="15">
        <f t="shared" si="78"/>
        <v>25.09643374206064</v>
      </c>
      <c r="AJ122" s="15"/>
      <c r="AK122" s="6" t="s">
        <v>73</v>
      </c>
    </row>
    <row r="123" spans="1:38">
      <c r="AG123" s="216"/>
      <c r="AH123" s="216"/>
      <c r="AI123" s="16">
        <f>Sensitivity_Summary!O23</f>
        <v>-403.67793273142888</v>
      </c>
    </row>
    <row r="124" spans="1:38">
      <c r="AI124" s="16">
        <f>Sensitivity_Summary!O21</f>
        <v>25.096430103571038</v>
      </c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L124"/>
  <sheetViews>
    <sheetView zoomScale="90" zoomScaleNormal="90" workbookViewId="0">
      <pane xSplit="1" ySplit="1" topLeftCell="X118" activePane="bottomRight" state="frozen"/>
      <selection activeCell="Z112" sqref="Z112"/>
      <selection pane="topRight" activeCell="Z112" sqref="Z112"/>
      <selection pane="bottomLeft" activeCell="Z112" sqref="Z112"/>
      <selection pane="bottomRight" activeCell="Z112" sqref="Z112"/>
    </sheetView>
  </sheetViews>
  <sheetFormatPr defaultColWidth="8.90625" defaultRowHeight="14.5"/>
  <cols>
    <col min="1" max="1" width="27.1796875" style="6" bestFit="1" customWidth="1"/>
    <col min="2" max="7" width="7.1796875" style="6" bestFit="1" customWidth="1"/>
    <col min="8" max="33" width="8.36328125" style="6" bestFit="1" customWidth="1"/>
    <col min="34" max="34" width="8.36328125" style="6" customWidth="1"/>
    <col min="35" max="36" width="8.36328125" style="6" bestFit="1" customWidth="1"/>
    <col min="37" max="37" width="23.453125" style="6" bestFit="1" customWidth="1"/>
    <col min="38" max="16384" width="8.90625" style="6"/>
  </cols>
  <sheetData>
    <row r="1" spans="1:36" s="152" customFormat="1">
      <c r="A1" s="152" t="s">
        <v>160</v>
      </c>
      <c r="B1" s="152">
        <v>2020</v>
      </c>
      <c r="C1" s="152">
        <f t="shared" ref="C1:AH1" si="0">B1+1</f>
        <v>2021</v>
      </c>
      <c r="D1" s="152">
        <f t="shared" si="0"/>
        <v>2022</v>
      </c>
      <c r="E1" s="152">
        <f t="shared" si="0"/>
        <v>2023</v>
      </c>
      <c r="F1" s="152">
        <f t="shared" si="0"/>
        <v>2024</v>
      </c>
      <c r="G1" s="152">
        <f t="shared" si="0"/>
        <v>2025</v>
      </c>
      <c r="H1" s="152">
        <f t="shared" si="0"/>
        <v>2026</v>
      </c>
      <c r="I1" s="152">
        <f t="shared" si="0"/>
        <v>2027</v>
      </c>
      <c r="J1" s="152">
        <f t="shared" si="0"/>
        <v>2028</v>
      </c>
      <c r="K1" s="152">
        <f t="shared" si="0"/>
        <v>2029</v>
      </c>
      <c r="L1" s="152">
        <f t="shared" si="0"/>
        <v>2030</v>
      </c>
      <c r="M1" s="152">
        <f t="shared" si="0"/>
        <v>2031</v>
      </c>
      <c r="N1" s="152">
        <f t="shared" si="0"/>
        <v>2032</v>
      </c>
      <c r="O1" s="152">
        <f t="shared" si="0"/>
        <v>2033</v>
      </c>
      <c r="P1" s="152">
        <f t="shared" si="0"/>
        <v>2034</v>
      </c>
      <c r="Q1" s="152">
        <f t="shared" si="0"/>
        <v>2035</v>
      </c>
      <c r="R1" s="152">
        <f t="shared" si="0"/>
        <v>2036</v>
      </c>
      <c r="S1" s="152">
        <f t="shared" si="0"/>
        <v>2037</v>
      </c>
      <c r="T1" s="152">
        <f t="shared" si="0"/>
        <v>2038</v>
      </c>
      <c r="U1" s="152">
        <f t="shared" si="0"/>
        <v>2039</v>
      </c>
      <c r="V1" s="152">
        <f t="shared" si="0"/>
        <v>2040</v>
      </c>
      <c r="W1" s="152">
        <f t="shared" si="0"/>
        <v>2041</v>
      </c>
      <c r="X1" s="152">
        <f t="shared" si="0"/>
        <v>2042</v>
      </c>
      <c r="Y1" s="152">
        <f t="shared" si="0"/>
        <v>2043</v>
      </c>
      <c r="Z1" s="152">
        <f t="shared" si="0"/>
        <v>2044</v>
      </c>
      <c r="AA1" s="152">
        <f t="shared" si="0"/>
        <v>2045</v>
      </c>
      <c r="AB1" s="152">
        <f t="shared" si="0"/>
        <v>2046</v>
      </c>
      <c r="AC1" s="209">
        <f t="shared" si="0"/>
        <v>2047</v>
      </c>
      <c r="AD1" s="210">
        <f t="shared" si="0"/>
        <v>2048</v>
      </c>
      <c r="AE1" s="152">
        <f t="shared" si="0"/>
        <v>2049</v>
      </c>
      <c r="AF1" s="152">
        <f t="shared" si="0"/>
        <v>2050</v>
      </c>
      <c r="AG1" s="152">
        <f t="shared" si="0"/>
        <v>2051</v>
      </c>
      <c r="AH1" s="152">
        <f t="shared" si="0"/>
        <v>2052</v>
      </c>
      <c r="AI1" s="152">
        <f t="shared" ref="AI1" si="1">AH1+1</f>
        <v>2053</v>
      </c>
    </row>
    <row r="2" spans="1:36">
      <c r="A2" s="6" t="s">
        <v>134</v>
      </c>
      <c r="B2" s="16">
        <f>Hamilton!E$10/1000+Columbia!E$10/1000+Lake_Placid!E$10/1000+Trenton!E$10/1000+Debary!E$10/1000+Santa_Fe!E$10/1000+Twin_Rivers!E$10/1000+Duette!E$10/1000+Charlie_Creek!E$10/1000+Archer!E$10/1000</f>
        <v>65.260450182206341</v>
      </c>
      <c r="C2" s="16">
        <f>Hamilton!F$10/1000+Columbia!F$10/1000+Lake_Placid!F$10/1000+Trenton!F$10/1000+Debary!F$10/1000+Santa_Fe!F$10/1000+Twin_Rivers!F$10/1000+Duette!F$10/1000+Charlie_Creek!F$10/1000+Archer!F$10/1000</f>
        <v>102.08062069466152</v>
      </c>
      <c r="D2" s="16">
        <f>Hamilton!G$10/1000+Columbia!G$10/1000+Lake_Placid!G$10/1000+Trenton!G$10/1000+Debary!G$10/1000+Santa_Fe!G$10/1000+Twin_Rivers!G$10/1000+Duette!G$10/1000+Charlie_Creek!G$10/1000+Archer!G$10/1000</f>
        <v>140.1396490741636</v>
      </c>
      <c r="E2" s="16">
        <f>Hamilton!H$10/1000+Columbia!H$10/1000+Lake_Placid!H$10/1000+Trenton!H$10/1000+Debary!H$10/1000+Santa_Fe!H$10/1000+Twin_Rivers!H$10/1000+Duette!H$10/1000+Charlie_Creek!H$10/1000+Archer!H$10/1000</f>
        <v>134.04030278914058</v>
      </c>
      <c r="F2" s="16">
        <f>Hamilton!I$10/1000+Columbia!I$10/1000+Lake_Placid!I$10/1000+Trenton!I$10/1000+Debary!I$10/1000+Santa_Fe!I$10/1000+Twin_Rivers!I$10/1000+Duette!I$10/1000+Charlie_Creek!I$10/1000+Archer!I$10/1000</f>
        <v>128.64619422858411</v>
      </c>
      <c r="G2" s="16">
        <f>Hamilton!J$10/1000+Columbia!J$10/1000+Lake_Placid!J$10/1000+Trenton!J$10/1000+Debary!J$10/1000+Santa_Fe!J$10/1000+Twin_Rivers!J$10/1000+Duette!J$10/1000+Charlie_Creek!J$10/1000+Archer!J$10/1000</f>
        <v>120.64800562725537</v>
      </c>
      <c r="H2" s="16">
        <f>Hamilton!K$10/1000+Columbia!K$10/1000+Lake_Placid!K$10/1000+Trenton!K$10/1000+Debary!K$10/1000+Santa_Fe!K$10/1000+Twin_Rivers!K$10/1000+Duette!K$10/1000+Charlie_Creek!K$10/1000+Archer!K$10/1000</f>
        <v>106.55728151377239</v>
      </c>
      <c r="I2" s="16">
        <f>Hamilton!L$10/1000+Columbia!L$10/1000+Lake_Placid!L$10/1000+Trenton!L$10/1000+Debary!L$10/1000+Santa_Fe!L$10/1000+Twin_Rivers!L$10/1000+Duette!L$10/1000+Charlie_Creek!L$10/1000+Archer!L$10/1000</f>
        <v>103.56659689744981</v>
      </c>
      <c r="J2" s="16">
        <f>Hamilton!M$10/1000+Columbia!M$10/1000+Lake_Placid!M$10/1000+Trenton!M$10/1000+Debary!M$10/1000+Santa_Fe!M$10/1000+Twin_Rivers!M$10/1000+Duette!M$10/1000+Charlie_Creek!M$10/1000+Archer!M$10/1000</f>
        <v>100.82687797199034</v>
      </c>
      <c r="K2" s="16">
        <f>Hamilton!N$10/1000+Columbia!N$10/1000+Lake_Placid!N$10/1000+Trenton!N$10/1000+Debary!N$10/1000+Santa_Fe!N$10/1000+Twin_Rivers!N$10/1000+Duette!N$10/1000+Charlie_Creek!N$10/1000+Archer!N$10/1000</f>
        <v>98.309899435961768</v>
      </c>
      <c r="L2" s="16">
        <f>Hamilton!O$10/1000+Columbia!O$10/1000+Lake_Placid!O$10/1000+Trenton!O$10/1000+Debary!O$10/1000+Santa_Fe!O$10/1000+Twin_Rivers!O$10/1000+Duette!O$10/1000+Charlie_Creek!O$10/1000+Archer!O$10/1000</f>
        <v>95.755033583931194</v>
      </c>
      <c r="M2" s="16">
        <f>Hamilton!P$10/1000+Columbia!P$10/1000+Lake_Placid!P$10/1000+Trenton!P$10/1000+Debary!P$10/1000+Santa_Fe!P$10/1000+Twin_Rivers!P$10/1000+Duette!P$10/1000+Charlie_Creek!P$10/1000+Archer!P$10/1000</f>
        <v>93.237225357173344</v>
      </c>
      <c r="N2" s="16">
        <f>Hamilton!Q$10/1000+Columbia!Q$10/1000+Lake_Placid!Q$10/1000+Trenton!Q$10/1000+Debary!Q$10/1000+Santa_Fe!Q$10/1000+Twin_Rivers!Q$10/1000+Duette!Q$10/1000+Charlie_Creek!Q$10/1000+Archer!Q$10/1000</f>
        <v>90.726054168103147</v>
      </c>
      <c r="O2" s="16">
        <f>Hamilton!R$10/1000+Columbia!R$10/1000+Lake_Placid!R$10/1000+Trenton!R$10/1000+Debary!R$10/1000+Santa_Fe!R$10/1000+Twin_Rivers!R$10/1000+Duette!R$10/1000+Charlie_Creek!R$10/1000+Archer!R$10/1000</f>
        <v>88.301601526088845</v>
      </c>
      <c r="P2" s="16">
        <f>Hamilton!S$10/1000+Columbia!S$10/1000+Lake_Placid!S$10/1000+Trenton!S$10/1000+Debary!S$10/1000+Santa_Fe!S$10/1000+Twin_Rivers!S$10/1000+Duette!S$10/1000+Charlie_Creek!S$10/1000+Archer!S$10/1000</f>
        <v>85.76397260337508</v>
      </c>
      <c r="Q2" s="16">
        <f>Hamilton!T$10/1000+Columbia!T$10/1000+Lake_Placid!T$10/1000+Trenton!T$10/1000+Debary!T$10/1000+Santa_Fe!T$10/1000+Twin_Rivers!T$10/1000+Duette!T$10/1000+Charlie_Creek!T$10/1000+Archer!T$10/1000</f>
        <v>83.238224479776378</v>
      </c>
      <c r="R2" s="16">
        <f>Hamilton!U$10/1000+Columbia!U$10/1000+Lake_Placid!U$10/1000+Trenton!U$10/1000+Debary!U$10/1000+Santa_Fe!U$10/1000+Twin_Rivers!U$10/1000+Duette!U$10/1000+Charlie_Creek!U$10/1000+Archer!U$10/1000</f>
        <v>80.598791337134827</v>
      </c>
      <c r="S2" s="16">
        <f>Hamilton!V$10/1000+Columbia!V$10/1000+Lake_Placid!V$10/1000+Trenton!V$10/1000+Debary!V$10/1000+Santa_Fe!V$10/1000+Twin_Rivers!V$10/1000+Duette!V$10/1000+Charlie_Creek!V$10/1000+Archer!V$10/1000</f>
        <v>78.071339778696768</v>
      </c>
      <c r="T2" s="16">
        <f>Hamilton!W$10/1000+Columbia!W$10/1000+Lake_Placid!W$10/1000+Trenton!W$10/1000+Debary!W$10/1000+Santa_Fe!W$10/1000+Twin_Rivers!W$10/1000+Duette!W$10/1000+Charlie_Creek!W$10/1000+Archer!W$10/1000</f>
        <v>78.09258300930594</v>
      </c>
      <c r="U2" s="16">
        <f>Hamilton!X$10/1000+Columbia!X$10/1000+Lake_Placid!X$10/1000+Trenton!X$10/1000+Debary!X$10/1000+Santa_Fe!X$10/1000+Twin_Rivers!X$10/1000+Duette!X$10/1000+Charlie_Creek!X$10/1000+Archer!X$10/1000</f>
        <v>77.049132064444734</v>
      </c>
      <c r="V2" s="16">
        <f>Hamilton!Y$10/1000+Columbia!Y$10/1000+Lake_Placid!Y$10/1000+Trenton!Y$10/1000+Debary!Y$10/1000+Santa_Fe!Y$10/1000+Twin_Rivers!Y$10/1000+Duette!Y$10/1000+Charlie_Creek!Y$10/1000+Archer!Y$10/1000</f>
        <v>74.343785062889211</v>
      </c>
      <c r="W2" s="16">
        <f>Hamilton!Z$10/1000+Columbia!Z$10/1000+Lake_Placid!Z$10/1000+Trenton!Z$10/1000+Debary!Z$10/1000+Santa_Fe!Z$10/1000+Twin_Rivers!Z$10/1000+Duette!Z$10/1000+Charlie_Creek!Z$10/1000+Archer!Z$10/1000</f>
        <v>71.700748538238017</v>
      </c>
      <c r="X2" s="16">
        <f>Hamilton!AA$10/1000+Columbia!AA$10/1000+Lake_Placid!AA$10/1000+Trenton!AA$10/1000+Debary!AA$10/1000+Santa_Fe!AA$10/1000+Twin_Rivers!AA$10/1000+Duette!AA$10/1000+Charlie_Creek!AA$10/1000+Archer!AA$10/1000</f>
        <v>69.274426053501713</v>
      </c>
      <c r="Y2" s="16">
        <f>Hamilton!AB$10/1000+Columbia!AB$10/1000+Lake_Placid!AB$10/1000+Trenton!AB$10/1000+Debary!AB$10/1000+Santa_Fe!AB$10/1000+Twin_Rivers!AB$10/1000+Duette!AB$10/1000+Charlie_Creek!AB$10/1000+Archer!AB$10/1000</f>
        <v>66.777509599182792</v>
      </c>
      <c r="Z2" s="16">
        <f>Hamilton!AC$10/1000+Columbia!AC$10/1000+Lake_Placid!AC$10/1000+Trenton!AC$10/1000+Debary!AC$10/1000+Santa_Fe!AC$10/1000+Twin_Rivers!AC$10/1000+Duette!AC$10/1000+Charlie_Creek!AC$10/1000+Archer!AC$10/1000</f>
        <v>64.511486072982294</v>
      </c>
      <c r="AA2" s="16">
        <f>Hamilton!AD$10/1000+Columbia!AD$10/1000+Lake_Placid!AD$10/1000+Trenton!AD$10/1000+Debary!AD$10/1000+Santa_Fe!AD$10/1000+Twin_Rivers!AD$10/1000+Duette!AD$10/1000+Charlie_Creek!AD$10/1000+Archer!AD$10/1000</f>
        <v>62.123479086747679</v>
      </c>
      <c r="AB2" s="16">
        <f>Hamilton!AE$10/1000+Columbia!AE$10/1000+Lake_Placid!AE$10/1000+Trenton!AE$10/1000+Debary!AE$10/1000+Santa_Fe!AE$10/1000+Twin_Rivers!AE$10/1000+Duette!AE$10/1000+Charlie_Creek!AE$10/1000+Archer!AE$10/1000</f>
        <v>59.912845166921755</v>
      </c>
      <c r="AC2" s="16">
        <f>Hamilton!AF$10/1000+Columbia!AF$10/1000+Lake_Placid!AF$10/1000+Trenton!AF$10/1000+Debary!AF$10/1000+Santa_Fe!AF$10/1000+Twin_Rivers!AF$10/1000+Duette!AF$10/1000+Charlie_Creek!AF$10/1000+Archer!AF$10/1000</f>
        <v>57.650395769136487</v>
      </c>
      <c r="AD2" s="16">
        <f>Hamilton!AG$10/1000+Columbia!AG$10/1000+Lake_Placid!AG$10/1000+Trenton!AG$10/1000+Debary!AG$10/1000+Santa_Fe!AG$10/1000+Twin_Rivers!AG$10/1000+Duette!AG$10/1000+Charlie_Creek!AG$10/1000+Archer!AG$10/1000</f>
        <v>57.703514450685773</v>
      </c>
      <c r="AE2" s="16">
        <f>Hamilton!AH$10/1000+Columbia!AH$10/1000+Lake_Placid!AH$10/1000+Trenton!AH$10/1000+Debary!AH$10/1000+Santa_Fe!AH$10/1000+Twin_Rivers!AH$10/1000+Duette!AH$10/1000+Charlie_Creek!AH$10/1000+Archer!AH$10/1000</f>
        <v>52.145094362648948</v>
      </c>
      <c r="AF2" s="16">
        <f>Hamilton!AI$10/1000+Columbia!AI$10/1000+Lake_Placid!AI$10/1000+Trenton!AI$10/1000+Debary!AI$10/1000+Santa_Fe!AI$10/1000+Twin_Rivers!AI$10/1000+Duette!AI$10/1000+Charlie_Creek!AI$10/1000+Archer!AI$10/1000</f>
        <v>37.078414464395848</v>
      </c>
      <c r="AG2" s="16">
        <f>Hamilton!AJ$10/1000+Columbia!AJ$10/1000+Lake_Placid!AJ$10/1000+Trenton!AJ$10/1000+Debary!AJ$10/1000+Santa_Fe!AJ$10/1000+Twin_Rivers!AJ$10/1000+Duette!AJ$10/1000+Charlie_Creek!AJ$10/1000+Archer!AJ$10/1000</f>
        <v>21.622436034797943</v>
      </c>
      <c r="AH2" s="16">
        <f>Hamilton!AK$10/1000+Columbia!AK$10/1000+Lake_Placid!AK$10/1000+Trenton!AK$10/1000+Debary!AK$10/1000+Santa_Fe!AK$10/1000+Twin_Rivers!AK$10/1000+Duette!AK$10/1000+Charlie_Creek!AK$10/1000+Archer!AK$10/1000</f>
        <v>3.3113138854625253</v>
      </c>
      <c r="AI2" s="16">
        <f>Hamilton!AL$10/1000+Columbia!AL$10/1000+Lake_Placid!AL$10/1000+Trenton!AL$10/1000+Debary!AL$10/1000+Santa_Fe!AL$10/1000+Twin_Rivers!AL$10/1000+Duette!AL$10/1000+Charlie_Creek!AL$10/1000+Archer!AL$10/1000</f>
        <v>3.1867270656465223</v>
      </c>
      <c r="AJ2" s="16"/>
    </row>
    <row r="3" spans="1:36">
      <c r="A3" s="6" t="s">
        <v>135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19"/>
      <c r="AD3" s="211"/>
      <c r="AE3" s="16"/>
      <c r="AF3" s="16"/>
      <c r="AG3" s="16"/>
      <c r="AH3" s="16"/>
      <c r="AI3" s="16"/>
      <c r="AJ3" s="16"/>
    </row>
    <row r="4" spans="1:36">
      <c r="A4" s="6" t="s">
        <v>60</v>
      </c>
      <c r="B4" s="16">
        <f>('[9]2019Fall_SoB700_GENCAP_2048'!F$18+'[9]2019Fall_SoB700_TRANSCAP_2048'!F$18)/1000</f>
        <v>0</v>
      </c>
      <c r="C4" s="16">
        <f>('[9]2019Fall_SoB700_GENCAP_2048'!G$18+'[9]2019Fall_SoB700_TRANSCAP_2048'!G$18)/1000</f>
        <v>0</v>
      </c>
      <c r="D4" s="16">
        <f>('[9]2019Fall_SoB700_GENCAP_2048'!H$18+'[9]2019Fall_SoB700_TRANSCAP_2048'!H$18)/1000</f>
        <v>0</v>
      </c>
      <c r="E4" s="16">
        <f>('[9]2019Fall_SoB700_GENCAP_2048'!I$18+'[9]2019Fall_SoB700_TRANSCAP_2048'!I$18)/1000</f>
        <v>0</v>
      </c>
      <c r="F4" s="16">
        <f>('[9]2019Fall_SoB700_GENCAP_2048'!J$18+'[9]2019Fall_SoB700_TRANSCAP_2048'!J$18)/1000</f>
        <v>0</v>
      </c>
      <c r="G4" s="16">
        <f>('[9]2019Fall_SoB700_GENCAP_2048'!K$18+'[9]2019Fall_SoB700_TRANSCAP_2048'!K$18)/1000</f>
        <v>0</v>
      </c>
      <c r="H4" s="16">
        <f>('[9]2019Fall_SoB700_GENCAP_2048'!L$18+'[9]2019Fall_SoB700_TRANSCAP_2048'!L$18)/1000</f>
        <v>0</v>
      </c>
      <c r="I4" s="16">
        <f>('[9]2019Fall_SoB700_GENCAP_2048'!M$18+'[9]2019Fall_SoB700_TRANSCAP_2048'!M$18)/1000</f>
        <v>21.434177450472909</v>
      </c>
      <c r="J4" s="16">
        <f>('[9]2019Fall_SoB700_GENCAP_2048'!N$18+'[9]2019Fall_SoB700_TRANSCAP_2048'!N$18)/1000</f>
        <v>46.783275595120465</v>
      </c>
      <c r="K4" s="16">
        <f>('[9]2019Fall_SoB700_GENCAP_2048'!O$18+'[9]2019Fall_SoB700_TRANSCAP_2048'!O$18)/1000</f>
        <v>53.031853500100247</v>
      </c>
      <c r="L4" s="16">
        <f>('[9]2019Fall_SoB700_GENCAP_2048'!P$18+'[9]2019Fall_SoB700_TRANSCAP_2048'!P$18)/1000</f>
        <v>62.602768641587524</v>
      </c>
      <c r="M4" s="16">
        <f>('[9]2019Fall_SoB700_GENCAP_2048'!Q$18+'[9]2019Fall_SoB700_TRANSCAP_2048'!Q$18)/1000</f>
        <v>68.630002208999557</v>
      </c>
      <c r="N4" s="16">
        <f>('[9]2019Fall_SoB700_GENCAP_2048'!R$18+'[9]2019Fall_SoB700_TRANSCAP_2048'!R$18)/1000</f>
        <v>78.084648561876662</v>
      </c>
      <c r="O4" s="16">
        <f>('[9]2019Fall_SoB700_GENCAP_2048'!S$18+'[9]2019Fall_SoB700_TRANSCAP_2048'!S$18)/1000</f>
        <v>83.90167833980307</v>
      </c>
      <c r="P4" s="16">
        <f>('[9]2019Fall_SoB700_GENCAP_2048'!T$18+'[9]2019Fall_SoB700_TRANSCAP_2048'!T$18)/1000</f>
        <v>248.27907354502517</v>
      </c>
      <c r="Q4" s="16">
        <f>('[9]2019Fall_SoB700_GENCAP_2048'!U$18+'[9]2019Fall_SoB700_TRANSCAP_2048'!U$18)/1000</f>
        <v>632.97020285773101</v>
      </c>
      <c r="R4" s="16">
        <f>('[9]2019Fall_SoB700_GENCAP_2048'!V$18+'[9]2019Fall_SoB700_TRANSCAP_2048'!V$18)/1000</f>
        <v>615.72601174634895</v>
      </c>
      <c r="S4" s="16">
        <f>('[9]2019Fall_SoB700_GENCAP_2048'!W$18+'[9]2019Fall_SoB700_TRANSCAP_2048'!W$18)/1000</f>
        <v>598.82111580229616</v>
      </c>
      <c r="T4" s="16">
        <f>('[9]2019Fall_SoB700_GENCAP_2048'!X$18+'[9]2019Fall_SoB700_TRANSCAP_2048'!X$18)/1000</f>
        <v>624.69098127424638</v>
      </c>
      <c r="U4" s="16">
        <f>('[9]2019Fall_SoB700_GENCAP_2048'!Y$18+'[9]2019Fall_SoB700_TRANSCAP_2048'!Y$18)/1000</f>
        <v>637.06084355861947</v>
      </c>
      <c r="V4" s="16">
        <f>('[9]2019Fall_SoB700_GENCAP_2048'!Z$18+'[9]2019Fall_SoB700_TRANSCAP_2048'!Z$18)/1000</f>
        <v>633.33267355328871</v>
      </c>
      <c r="W4" s="16">
        <f>('[9]2019Fall_SoB700_GENCAP_2048'!AA$18+'[9]2019Fall_SoB700_TRANSCAP_2048'!AA$18)/1000</f>
        <v>625.15877162656579</v>
      </c>
      <c r="X4" s="16">
        <f>('[9]2019Fall_SoB700_GENCAP_2048'!AB$18+'[9]2019Fall_SoB700_TRANSCAP_2048'!AB$18)/1000</f>
        <v>732.67837413507004</v>
      </c>
      <c r="Y4" s="16">
        <f>('[9]2019Fall_SoB700_GENCAP_2048'!AC$18+'[9]2019Fall_SoB700_TRANSCAP_2048'!AC$18)/1000</f>
        <v>1100.7216882743105</v>
      </c>
      <c r="Z4" s="16">
        <f>('[9]2019Fall_SoB700_GENCAP_2048'!AD$18+'[9]2019Fall_SoB700_TRANSCAP_2048'!AD$18)/1000</f>
        <v>1100.1367299120557</v>
      </c>
      <c r="AA4" s="16">
        <f>('[9]2019Fall_SoB700_GENCAP_2048'!AE$18+'[9]2019Fall_SoB700_TRANSCAP_2048'!AE$18)/1000</f>
        <v>1105.5048609957257</v>
      </c>
      <c r="AB4" s="16">
        <f>('[9]2019Fall_SoB700_GENCAP_2048'!AF$18+'[9]2019Fall_SoB700_TRANSCAP_2048'!AF$18)/1000</f>
        <v>1083.7882489875949</v>
      </c>
      <c r="AC4" s="119">
        <f>('[9]2019Fall_SoB700_GENCAP_2048'!AG$18+'[9]2019Fall_SoB700_TRANSCAP_2048'!AG$18)/1000</f>
        <v>1051.106887865913</v>
      </c>
      <c r="AD4" s="211">
        <f>('[9]2019Fall_SoB700_GENCAP_2048'!AH$18+'[9]2019Fall_SoB700_TRANSCAP_2048'!AH$18)/1000</f>
        <v>1018.8083174654716</v>
      </c>
      <c r="AE4" s="16">
        <f>('[9]2019Fall_SoB700_GENCAP_2048'!AI$18+'[9]2019Fall_SoB700_TRANSCAP_2048'!AI$18)/1000</f>
        <v>987.0132304095896</v>
      </c>
      <c r="AF4" s="16">
        <f>('[9]2019Fall_SoB700_GENCAP_2048'!AJ$18+'[9]2019Fall_SoB700_TRANSCAP_2048'!AJ$18)/1000</f>
        <v>955.77733501619127</v>
      </c>
      <c r="AG4" s="16">
        <f>('[9]2019Fall_SoB700_GENCAP_2048'!AK$18+'[9]2019Fall_SoB700_TRANSCAP_2048'!AK$18)/1000</f>
        <v>924.80624485719784</v>
      </c>
      <c r="AH4" s="16">
        <f>('[9]2019Fall_SoB700_GENCAP_2048'!AL$18+'[9]2019Fall_SoB700_TRANSCAP_2048'!AL$18)/1000</f>
        <v>893.86948255701031</v>
      </c>
      <c r="AI4" s="16">
        <f>('[9]2019Fall_SoB700_GENCAP_2048'!AM$18+'[9]2019Fall_SoB700_TRANSCAP_2048'!AM$18)/1000</f>
        <v>863.11299395514084</v>
      </c>
      <c r="AJ4" s="23"/>
    </row>
    <row r="5" spans="1:36">
      <c r="A5" s="6" t="s">
        <v>68</v>
      </c>
      <c r="B5" s="16">
        <f>'[16]FOM Cost'!C$150/1000</f>
        <v>445.38108</v>
      </c>
      <c r="C5" s="16">
        <f>'[16]FOM Cost'!D$150/1000</f>
        <v>433.15770000000009</v>
      </c>
      <c r="D5" s="16">
        <f>'[16]FOM Cost'!E$150/1000</f>
        <v>436.09264999999999</v>
      </c>
      <c r="E5" s="16">
        <f>'[16]FOM Cost'!F$150/1000</f>
        <v>456.05954000000003</v>
      </c>
      <c r="F5" s="16">
        <f>'[16]FOM Cost'!G$150/1000</f>
        <v>300.44051999999999</v>
      </c>
      <c r="G5" s="16">
        <f>'[16]FOM Cost'!H$150/1000</f>
        <v>147.85322000000002</v>
      </c>
      <c r="H5" s="16">
        <f>'[16]FOM Cost'!I$150/1000</f>
        <v>57.67533000000001</v>
      </c>
      <c r="I5" s="16">
        <f>'[16]FOM Cost'!J$150/1000</f>
        <v>32.805870000000006</v>
      </c>
      <c r="J5" s="16">
        <f>'[16]FOM Cost'!K$150/1000</f>
        <v>21.746859999999998</v>
      </c>
      <c r="K5" s="16">
        <f>'[16]FOM Cost'!L$150/1000</f>
        <v>22.249190000000002</v>
      </c>
      <c r="L5" s="16">
        <f>'[16]FOM Cost'!M$150/1000</f>
        <v>22.85896</v>
      </c>
      <c r="M5" s="16">
        <f>'[16]FOM Cost'!N$150/1000</f>
        <v>23.44145</v>
      </c>
      <c r="N5" s="16">
        <f>'[16]FOM Cost'!O$150/1000</f>
        <v>24.103559999999998</v>
      </c>
      <c r="O5" s="16">
        <f>'[16]FOM Cost'!P$150/1000</f>
        <v>24.687150000000003</v>
      </c>
      <c r="P5" s="16">
        <f>'[16]FOM Cost'!Q$150/1000</f>
        <v>31.993279999999995</v>
      </c>
      <c r="Q5" s="16">
        <f>'[16]FOM Cost'!R$150/1000</f>
        <v>37.711539999999999</v>
      </c>
      <c r="R5" s="16">
        <f>'[16]FOM Cost'!S$150/1000</f>
        <v>38.342299999999994</v>
      </c>
      <c r="S5" s="16">
        <f>'[16]FOM Cost'!T$150/1000</f>
        <v>39.068809999999999</v>
      </c>
      <c r="T5" s="16">
        <f>'[16]FOM Cost'!U$150/1000</f>
        <v>41.958259999999996</v>
      </c>
      <c r="U5" s="16">
        <f>'[16]FOM Cost'!V$150/1000</f>
        <v>44.362510000000007</v>
      </c>
      <c r="V5" s="16">
        <f>'[16]FOM Cost'!W$150/1000</f>
        <v>46.055909999999997</v>
      </c>
      <c r="W5" s="16">
        <f>'[16]FOM Cost'!X$150/1000</f>
        <v>47.500499999999995</v>
      </c>
      <c r="X5" s="16">
        <f>'[16]FOM Cost'!Y$150/1000</f>
        <v>54.107329999999997</v>
      </c>
      <c r="Y5" s="16">
        <f>'[16]FOM Cost'!Z$150/1000</f>
        <v>59.410680000000006</v>
      </c>
      <c r="Z5" s="16">
        <f>'[16]FOM Cost'!AA$150/1000</f>
        <v>62.365270000000017</v>
      </c>
      <c r="AA5" s="16">
        <f>'[16]FOM Cost'!AB$150/1000</f>
        <v>65.325920000000011</v>
      </c>
      <c r="AB5" s="16">
        <f>'[16]FOM Cost'!AC$150/1000</f>
        <v>66.539740000000009</v>
      </c>
      <c r="AC5" s="119">
        <f>'[16]FOM Cost'!AD$150/1000</f>
        <v>67.969149999999999</v>
      </c>
      <c r="AD5" s="211">
        <f>'[16]FOM Cost'!AE$150/1000</f>
        <v>69.480310000000003</v>
      </c>
      <c r="AE5" s="16">
        <f>'[16]FOM Cost'!AF$150/1000</f>
        <v>68.531019999999998</v>
      </c>
      <c r="AF5" s="16">
        <f>'[16]FOM Cost'!AG$150/1000</f>
        <v>64.426320000000004</v>
      </c>
      <c r="AG5" s="16">
        <f>'[16]FOM Cost'!AH$150/1000</f>
        <v>60.653360000000006</v>
      </c>
      <c r="AH5" s="16">
        <f>'[16]FOM Cost'!AI$150/1000</f>
        <v>58.473479999999995</v>
      </c>
      <c r="AI5" s="16">
        <f>'[16]FOM Cost'!AJ$150/1000</f>
        <v>59.704849999999993</v>
      </c>
      <c r="AJ5" s="16"/>
    </row>
    <row r="6" spans="1:36">
      <c r="A6" s="6" t="s">
        <v>67</v>
      </c>
      <c r="B6" s="16">
        <f>[16]System!B$13/1000</f>
        <v>390.67815999999999</v>
      </c>
      <c r="C6" s="16">
        <f>[16]System!C$13/1000</f>
        <v>384.87225999999998</v>
      </c>
      <c r="D6" s="16">
        <f>[16]System!D$13/1000</f>
        <v>381.80252000000002</v>
      </c>
      <c r="E6" s="16">
        <f>[16]System!E$13/1000</f>
        <v>381.80252000000002</v>
      </c>
      <c r="F6" s="16">
        <f>[16]System!F$13/1000</f>
        <v>382.80076000000003</v>
      </c>
      <c r="G6" s="16">
        <f>[16]System!G$13/1000</f>
        <v>381.80250999999998</v>
      </c>
      <c r="H6" s="16">
        <f>[16]System!H$13/1000</f>
        <v>381.80252000000002</v>
      </c>
      <c r="I6" s="16">
        <f>[16]System!I$13/1000</f>
        <v>381.80250999999998</v>
      </c>
      <c r="J6" s="16">
        <f>[16]System!J$13/1000</f>
        <v>382.80076000000003</v>
      </c>
      <c r="K6" s="16">
        <f>[16]System!K$13/1000</f>
        <v>381.80252000000002</v>
      </c>
      <c r="L6" s="16">
        <f>[16]System!L$13/1000</f>
        <v>381.80252000000002</v>
      </c>
      <c r="M6" s="16">
        <f>[16]System!M$13/1000</f>
        <v>381.80250999999998</v>
      </c>
      <c r="N6" s="16">
        <f>[16]System!N$13/1000</f>
        <v>382.80076000000003</v>
      </c>
      <c r="O6" s="16">
        <f>[16]System!O$13/1000</f>
        <v>381.80252000000002</v>
      </c>
      <c r="P6" s="16">
        <f>[16]System!P$13/1000</f>
        <v>488.03607999999997</v>
      </c>
      <c r="Q6" s="16">
        <f>[16]System!Q$13/1000</f>
        <v>565.75178000000005</v>
      </c>
      <c r="R6" s="16">
        <f>[16]System!R$13/1000</f>
        <v>565.75178000000005</v>
      </c>
      <c r="S6" s="16">
        <f>[16]System!S$13/1000</f>
        <v>565.75178000000005</v>
      </c>
      <c r="T6" s="16">
        <f>[16]System!T$13/1000</f>
        <v>608.46997999999996</v>
      </c>
      <c r="U6" s="16">
        <f>[16]System!U$13/1000</f>
        <v>638.98298999999997</v>
      </c>
      <c r="V6" s="16">
        <f>[16]System!V$13/1000</f>
        <v>653.94328000000007</v>
      </c>
      <c r="W6" s="16">
        <f>[16]System!W$13/1000</f>
        <v>664.62914999999998</v>
      </c>
      <c r="X6" s="16">
        <f>[16]System!X$13/1000</f>
        <v>742.0158100000001</v>
      </c>
      <c r="Y6" s="16">
        <f>[16]System!Y$13/1000</f>
        <v>797.36162999999999</v>
      </c>
      <c r="Z6" s="16">
        <f>[16]System!Z$13/1000</f>
        <v>830.38836000000003</v>
      </c>
      <c r="AA6" s="16">
        <f>[16]System!AA$13/1000</f>
        <v>870.90499999999997</v>
      </c>
      <c r="AB6" s="16">
        <f>[16]System!AB$13/1000</f>
        <v>882.99510999999995</v>
      </c>
      <c r="AC6" s="119">
        <f>[16]System!AC$13/1000</f>
        <v>882.99513000000002</v>
      </c>
      <c r="AD6" s="211">
        <f>[16]System!AD$13/1000</f>
        <v>882.99513000000002</v>
      </c>
      <c r="AE6" s="16">
        <f>[16]System!AE$13/1000</f>
        <v>882.99513000000002</v>
      </c>
      <c r="AF6" s="16">
        <f>[16]System!AF$13/1000</f>
        <v>882.99513000000002</v>
      </c>
      <c r="AG6" s="16">
        <f>[16]System!AG$13/1000</f>
        <v>882.99513000000002</v>
      </c>
      <c r="AH6" s="16">
        <f>[16]System!AH$13/1000</f>
        <v>882.99513000000002</v>
      </c>
      <c r="AI6" s="16">
        <f>[16]System!AI$13/1000</f>
        <v>882.99513000000002</v>
      </c>
      <c r="AJ6" s="16"/>
    </row>
    <row r="7" spans="1:36">
      <c r="A7" s="6" t="s">
        <v>383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19"/>
      <c r="AD7" s="211"/>
      <c r="AE7" s="16"/>
      <c r="AF7" s="16"/>
      <c r="AG7" s="16"/>
      <c r="AH7" s="16"/>
      <c r="AI7" s="16"/>
      <c r="AJ7" s="16"/>
    </row>
    <row r="8" spans="1:36">
      <c r="A8" s="6" t="s">
        <v>65</v>
      </c>
      <c r="B8" s="16">
        <f>'[16]Fuel Cost'!C$150/1000</f>
        <v>849.84470000000033</v>
      </c>
      <c r="C8" s="16">
        <f>'[16]Fuel Cost'!D$150/1000</f>
        <v>858.9478899999998</v>
      </c>
      <c r="D8" s="16">
        <f>'[16]Fuel Cost'!E$150/1000</f>
        <v>883.70543000000009</v>
      </c>
      <c r="E8" s="16">
        <f>'[16]Fuel Cost'!F$150/1000</f>
        <v>901.69484999999963</v>
      </c>
      <c r="F8" s="16">
        <f>'[16]Fuel Cost'!G$150/1000</f>
        <v>912.93234999999993</v>
      </c>
      <c r="G8" s="16">
        <f>'[16]Fuel Cost'!H$150/1000</f>
        <v>972.19386999999949</v>
      </c>
      <c r="H8" s="16">
        <f>'[16]Fuel Cost'!I$150/1000</f>
        <v>1055.5968500000001</v>
      </c>
      <c r="I8" s="16">
        <f>'[16]Fuel Cost'!J$150/1000</f>
        <v>1186.6254400000003</v>
      </c>
      <c r="J8" s="16">
        <f>'[16]Fuel Cost'!K$150/1000</f>
        <v>1360.0813499999999</v>
      </c>
      <c r="K8" s="16">
        <f>'[16]Fuel Cost'!L$150/1000</f>
        <v>1477.2554600000001</v>
      </c>
      <c r="L8" s="16">
        <f>'[16]Fuel Cost'!M$150/1000</f>
        <v>1569.2413100000003</v>
      </c>
      <c r="M8" s="16">
        <f>'[16]Fuel Cost'!N$150/1000</f>
        <v>1645.5244</v>
      </c>
      <c r="N8" s="16">
        <f>'[16]Fuel Cost'!O$150/1000</f>
        <v>1749.9169499999998</v>
      </c>
      <c r="O8" s="16">
        <f>'[16]Fuel Cost'!P$150/1000</f>
        <v>1766.2819000000004</v>
      </c>
      <c r="P8" s="16">
        <f>'[16]Fuel Cost'!Q$150/1000</f>
        <v>1818.4072100000003</v>
      </c>
      <c r="Q8" s="16">
        <f>'[16]Fuel Cost'!R$150/1000</f>
        <v>1881.0679599999999</v>
      </c>
      <c r="R8" s="16">
        <f>'[16]Fuel Cost'!S$150/1000</f>
        <v>1939.4082200000005</v>
      </c>
      <c r="S8" s="16">
        <f>'[16]Fuel Cost'!T$150/1000</f>
        <v>2101.4334899999999</v>
      </c>
      <c r="T8" s="16">
        <f>'[16]Fuel Cost'!U$150/1000</f>
        <v>2221.1232800000002</v>
      </c>
      <c r="U8" s="16">
        <f>'[16]Fuel Cost'!V$150/1000</f>
        <v>2304.4850400000005</v>
      </c>
      <c r="V8" s="16">
        <f>'[16]Fuel Cost'!W$150/1000</f>
        <v>2425.9369300000008</v>
      </c>
      <c r="W8" s="16">
        <f>'[16]Fuel Cost'!X$150/1000</f>
        <v>2544.3074300000003</v>
      </c>
      <c r="X8" s="16">
        <f>'[16]Fuel Cost'!Y$150/1000</f>
        <v>2602.2639899999999</v>
      </c>
      <c r="Y8" s="16">
        <f>'[16]Fuel Cost'!Z$150/1000</f>
        <v>2662.6130300000004</v>
      </c>
      <c r="Z8" s="16">
        <f>'[16]Fuel Cost'!AA$150/1000</f>
        <v>2804.8172300000006</v>
      </c>
      <c r="AA8" s="16">
        <f>'[16]Fuel Cost'!AB$150/1000</f>
        <v>2982.0409700000005</v>
      </c>
      <c r="AB8" s="16">
        <f>'[16]Fuel Cost'!AC$150/1000</f>
        <v>3133.3736699999995</v>
      </c>
      <c r="AC8" s="119">
        <f>'[16]Fuel Cost'!AD$150/1000</f>
        <v>3176.2042499999993</v>
      </c>
      <c r="AD8" s="211">
        <f>'[16]Fuel Cost'!AE$150/1000</f>
        <v>3310.3029300000007</v>
      </c>
      <c r="AE8" s="16">
        <f>'[16]Fuel Cost'!AF$150/1000</f>
        <v>3354.4795800000006</v>
      </c>
      <c r="AF8" s="16">
        <f>'[16]Fuel Cost'!AG$150/1000</f>
        <v>3434.7976200000007</v>
      </c>
      <c r="AG8" s="16">
        <f>'[16]Fuel Cost'!AH$150/1000</f>
        <v>3553.1086500000001</v>
      </c>
      <c r="AH8" s="16">
        <f>'[16]Fuel Cost'!AI$150/1000</f>
        <v>3673.6167</v>
      </c>
      <c r="AI8" s="16">
        <f>'[16]Fuel Cost'!AJ$150/1000</f>
        <v>3743.8552200000004</v>
      </c>
      <c r="AJ8" s="16"/>
    </row>
    <row r="9" spans="1:36">
      <c r="A9" s="6" t="s">
        <v>52</v>
      </c>
      <c r="B9" s="16">
        <f>('[16]Start Cost'!C$150+'[16]VOM Cost'!C$150)/1000+([16]System!B$7+[16]System!B$9)/1000</f>
        <v>86.065810000000013</v>
      </c>
      <c r="C9" s="16">
        <f>('[16]Start Cost'!D$150+'[16]VOM Cost'!D$150)/1000+([16]System!C$7+[16]System!C$9)/1000</f>
        <v>91.133150000000001</v>
      </c>
      <c r="D9" s="16">
        <f>('[16]Start Cost'!E$150+'[16]VOM Cost'!E$150)/1000+([16]System!D$7+[16]System!D$9)/1000</f>
        <v>99.022519999999972</v>
      </c>
      <c r="E9" s="16">
        <f>('[16]Start Cost'!F$150+'[16]VOM Cost'!F$150)/1000+([16]System!E$7+[16]System!E$9)/1000</f>
        <v>106.55790999999998</v>
      </c>
      <c r="F9" s="16">
        <f>('[16]Start Cost'!G$150+'[16]VOM Cost'!G$150)/1000+([16]System!F$7+[16]System!F$9)/1000</f>
        <v>116.85017000000002</v>
      </c>
      <c r="G9" s="16">
        <f>('[16]Start Cost'!H$150+'[16]VOM Cost'!H$150)/1000+([16]System!G$7+[16]System!G$9)/1000</f>
        <v>129.35568000000001</v>
      </c>
      <c r="H9" s="16">
        <f>('[16]Start Cost'!I$150+'[16]VOM Cost'!I$150)/1000+([16]System!H$7+[16]System!H$9)/1000</f>
        <v>151.06778000000003</v>
      </c>
      <c r="I9" s="16">
        <f>('[16]Start Cost'!J$150+'[16]VOM Cost'!J$150)/1000+([16]System!I$7+[16]System!I$9)/1000</f>
        <v>171.14570999999998</v>
      </c>
      <c r="J9" s="16">
        <f>('[16]Start Cost'!K$150+'[16]VOM Cost'!K$150)/1000+([16]System!J$7+[16]System!J$9)/1000</f>
        <v>194.59822000000003</v>
      </c>
      <c r="K9" s="16">
        <f>('[16]Start Cost'!L$150+'[16]VOM Cost'!L$150)/1000+([16]System!K$7+[16]System!K$9)/1000</f>
        <v>208.46202000000002</v>
      </c>
      <c r="L9" s="16">
        <f>('[16]Start Cost'!M$150+'[16]VOM Cost'!M$150)/1000+([16]System!L$7+[16]System!L$9)/1000</f>
        <v>231.50171999999995</v>
      </c>
      <c r="M9" s="16">
        <f>('[16]Start Cost'!N$150+'[16]VOM Cost'!N$150)/1000+([16]System!M$7+[16]System!M$9)/1000</f>
        <v>253.18827999999999</v>
      </c>
      <c r="N9" s="16">
        <f>('[16]Start Cost'!O$150+'[16]VOM Cost'!O$150)/1000+([16]System!N$7+[16]System!N$9)/1000</f>
        <v>265.75748000000004</v>
      </c>
      <c r="O9" s="16">
        <f>('[16]Start Cost'!P$150+'[16]VOM Cost'!P$150)/1000+([16]System!O$7+[16]System!O$9)/1000</f>
        <v>284.32351</v>
      </c>
      <c r="P9" s="16">
        <f>('[16]Start Cost'!Q$150+'[16]VOM Cost'!Q$150)/1000+([16]System!P$7+[16]System!P$9)/1000</f>
        <v>289.79771999999997</v>
      </c>
      <c r="Q9" s="16">
        <f>('[16]Start Cost'!R$150+'[16]VOM Cost'!R$150)/1000+([16]System!Q$7+[16]System!Q$9)/1000</f>
        <v>303.96681999999998</v>
      </c>
      <c r="R9" s="16">
        <f>('[16]Start Cost'!S$150+'[16]VOM Cost'!S$150)/1000+([16]System!R$7+[16]System!R$9)/1000</f>
        <v>321.91547999999995</v>
      </c>
      <c r="S9" s="16">
        <f>('[16]Start Cost'!T$150+'[16]VOM Cost'!T$150)/1000+([16]System!S$7+[16]System!S$9)/1000</f>
        <v>359.68061999999998</v>
      </c>
      <c r="T9" s="16">
        <f>('[16]Start Cost'!U$150+'[16]VOM Cost'!U$150)/1000+([16]System!T$7+[16]System!T$9)/1000</f>
        <v>381.91392000000002</v>
      </c>
      <c r="U9" s="16">
        <f>('[16]Start Cost'!V$150+'[16]VOM Cost'!V$150)/1000+([16]System!U$7+[16]System!U$9)/1000</f>
        <v>422.05538000000001</v>
      </c>
      <c r="V9" s="16">
        <f>('[16]Start Cost'!W$150+'[16]VOM Cost'!W$150)/1000+([16]System!V$7+[16]System!V$9)/1000</f>
        <v>429.81025</v>
      </c>
      <c r="W9" s="16">
        <f>('[16]Start Cost'!X$150+'[16]VOM Cost'!X$150)/1000+([16]System!W$7+[16]System!W$9)/1000</f>
        <v>456.32112999999998</v>
      </c>
      <c r="X9" s="16">
        <f>('[16]Start Cost'!Y$150+'[16]VOM Cost'!Y$150)/1000+([16]System!X$7+[16]System!X$9)/1000</f>
        <v>463.76044999999999</v>
      </c>
      <c r="Y9" s="16">
        <f>('[16]Start Cost'!Z$150+'[16]VOM Cost'!Z$150)/1000+([16]System!Y$7+[16]System!Y$9)/1000</f>
        <v>485.45027000000005</v>
      </c>
      <c r="Z9" s="16">
        <f>('[16]Start Cost'!AA$150+'[16]VOM Cost'!AA$150)/1000+([16]System!Z$7+[16]System!Z$9)/1000</f>
        <v>499.01107999999999</v>
      </c>
      <c r="AA9" s="16">
        <f>('[16]Start Cost'!AB$150+'[16]VOM Cost'!AB$150)/1000+([16]System!AA$7+[16]System!AA$9)/1000</f>
        <v>529.50464999999986</v>
      </c>
      <c r="AB9" s="16">
        <f>('[16]Start Cost'!AC$150+'[16]VOM Cost'!AC$150)/1000+([16]System!AB$7+[16]System!AB$9)/1000</f>
        <v>546.15577000000008</v>
      </c>
      <c r="AC9" s="119">
        <f>('[16]Start Cost'!AD$150+'[16]VOM Cost'!AD$150)/1000+([16]System!AC$7+[16]System!AC$9)/1000</f>
        <v>571.59148000000005</v>
      </c>
      <c r="AD9" s="211">
        <f>('[16]Start Cost'!AE$150+'[16]VOM Cost'!AE$150)/1000+([16]System!AD$7+[16]System!AD$9)/1000</f>
        <v>592.03322000000003</v>
      </c>
      <c r="AE9" s="16">
        <f>('[16]Start Cost'!AF$150+'[16]VOM Cost'!AF$150)/1000+([16]System!AE$7+[16]System!AE$9)/1000</f>
        <v>614.61969000000011</v>
      </c>
      <c r="AF9" s="16">
        <f>('[16]Start Cost'!AG$150+'[16]VOM Cost'!AG$150)/1000+([16]System!AF$7+[16]System!AF$9)/1000</f>
        <v>633.61197000000004</v>
      </c>
      <c r="AG9" s="16">
        <f>('[16]Start Cost'!AH$150+'[16]VOM Cost'!AH$150)/1000+([16]System!AG$7+[16]System!AG$9)/1000</f>
        <v>665.02041999999994</v>
      </c>
      <c r="AH9" s="16">
        <f>('[16]Start Cost'!AI$150+'[16]VOM Cost'!AI$150)/1000+([16]System!AH$7+[16]System!AH$9)/1000</f>
        <v>679.20963999999992</v>
      </c>
      <c r="AI9" s="16">
        <f>('[16]Start Cost'!AJ$150+'[16]VOM Cost'!AJ$150)/1000+([16]System!AI$7+[16]System!AI$9)/1000</f>
        <v>709.22146999999995</v>
      </c>
      <c r="AJ9" s="16"/>
    </row>
    <row r="10" spans="1:36">
      <c r="A10" s="36" t="s">
        <v>66</v>
      </c>
      <c r="B10" s="374">
        <f>('[16]Reagent Cost'!C$150+'[16]SO2 Cost'!C$150+'[16]NOx Cost'!C$150+'[16]Lime Cost'!C$150)/1000</f>
        <v>6.2319722000000004</v>
      </c>
      <c r="C10" s="374">
        <f>('[16]Reagent Cost'!D$150+'[16]SO2 Cost'!D$150+'[16]NOx Cost'!D$150+'[16]Lime Cost'!D$150)/1000</f>
        <v>6.4714661999999992</v>
      </c>
      <c r="D10" s="374">
        <f>('[16]Reagent Cost'!E$150+'[16]SO2 Cost'!E$150+'[16]NOx Cost'!E$150+'[16]Lime Cost'!E$150)/1000</f>
        <v>6.3726694999999998</v>
      </c>
      <c r="E10" s="374">
        <f>('[16]Reagent Cost'!F$150+'[16]SO2 Cost'!F$150+'[16]NOx Cost'!F$150+'[16]Lime Cost'!F$150)/1000</f>
        <v>5.7776034000000003</v>
      </c>
      <c r="F10" s="374">
        <f>('[16]Reagent Cost'!G$150+'[16]SO2 Cost'!G$150+'[16]NOx Cost'!G$150+'[16]Lime Cost'!G$150)/1000</f>
        <v>5.7882728999999982</v>
      </c>
      <c r="G10" s="119">
        <f>('[16]Reagent Cost'!H$150+'[16]SO2 Cost'!H$150+'[16]NOx Cost'!H$150+'[16]Lime Cost'!H$150)/1000</f>
        <v>6.2669002000000003</v>
      </c>
      <c r="H10" s="119">
        <f>('[16]Reagent Cost'!I$150+'[16]SO2 Cost'!I$150+'[16]NOx Cost'!I$150+'[16]Lime Cost'!I$150)/1000</f>
        <v>6.3836471000000001</v>
      </c>
      <c r="I10" s="119">
        <f>('[16]Reagent Cost'!J$150+'[16]SO2 Cost'!J$150+'[16]NOx Cost'!J$150+'[16]Lime Cost'!J$150)/1000</f>
        <v>6.6588471000000009</v>
      </c>
      <c r="J10" s="119">
        <f>('[16]Reagent Cost'!K$150+'[16]SO2 Cost'!K$150+'[16]NOx Cost'!K$150+'[16]Lime Cost'!K$150)/1000</f>
        <v>7.4039569999999992</v>
      </c>
      <c r="K10" s="119">
        <f>('[16]Reagent Cost'!L$150+'[16]SO2 Cost'!L$150+'[16]NOx Cost'!L$150+'[16]Lime Cost'!L$150)/1000</f>
        <v>7.9273167000000013</v>
      </c>
      <c r="L10" s="119">
        <f>('[16]Reagent Cost'!M$150+'[16]SO2 Cost'!M$150+'[16]NOx Cost'!M$150+'[16]Lime Cost'!M$150)/1000</f>
        <v>8.0411725000000018</v>
      </c>
      <c r="M10" s="119">
        <f>('[16]Reagent Cost'!N$150+'[16]SO2 Cost'!N$150+'[16]NOx Cost'!N$150+'[16]Lime Cost'!N$150)/1000</f>
        <v>7.5959173000000009</v>
      </c>
      <c r="N10" s="119">
        <f>('[16]Reagent Cost'!O$150+'[16]SO2 Cost'!O$150+'[16]NOx Cost'!O$150+'[16]Lime Cost'!O$150)/1000</f>
        <v>7.2382410000000013</v>
      </c>
      <c r="O10" s="119">
        <f>('[16]Reagent Cost'!P$150+'[16]SO2 Cost'!P$150+'[16]NOx Cost'!P$150+'[16]Lime Cost'!P$150)/1000</f>
        <v>6.4267388000000016</v>
      </c>
      <c r="P10" s="119">
        <f>('[16]Reagent Cost'!Q$150+'[16]SO2 Cost'!Q$150+'[16]NOx Cost'!Q$150+'[16]Lime Cost'!Q$150)/1000</f>
        <v>3.0127061000000008</v>
      </c>
      <c r="Q10" s="119">
        <f>('[16]Reagent Cost'!R$150+'[16]SO2 Cost'!R$150+'[16]NOx Cost'!R$150+'[16]Lime Cost'!R$150)/1000</f>
        <v>1.7402400000000002</v>
      </c>
      <c r="R10" s="119">
        <f>('[16]Reagent Cost'!S$150+'[16]SO2 Cost'!S$150+'[16]NOx Cost'!S$150+'[16]Lime Cost'!S$150)/1000</f>
        <v>1.7601600000000002</v>
      </c>
      <c r="S10" s="119">
        <f>('[16]Reagent Cost'!T$150+'[16]SO2 Cost'!T$150+'[16]NOx Cost'!T$150+'[16]Lime Cost'!T$150)/1000</f>
        <v>1.7842899999999999</v>
      </c>
      <c r="T10" s="119">
        <f>('[16]Reagent Cost'!U$150+'[16]SO2 Cost'!U$150+'[16]NOx Cost'!U$150+'[16]Lime Cost'!U$150)/1000</f>
        <v>1.8007</v>
      </c>
      <c r="U10" s="119">
        <f>('[16]Reagent Cost'!V$150+'[16]SO2 Cost'!V$150+'[16]NOx Cost'!V$150+'[16]Lime Cost'!V$150)/1000</f>
        <v>1.8124500000000003</v>
      </c>
      <c r="V10" s="119">
        <f>('[16]Reagent Cost'!W$150+'[16]SO2 Cost'!W$150+'[16]NOx Cost'!W$150+'[16]Lime Cost'!W$150)/1000</f>
        <v>1.8492899999999999</v>
      </c>
      <c r="W10" s="119">
        <f>('[16]Reagent Cost'!X$150+'[16]SO2 Cost'!X$150+'[16]NOx Cost'!X$150+'[16]Lime Cost'!X$150)/1000</f>
        <v>1.8621800000000004</v>
      </c>
      <c r="X10" s="119">
        <f>('[16]Reagent Cost'!Y$150+'[16]SO2 Cost'!Y$150+'[16]NOx Cost'!Y$150+'[16]Lime Cost'!Y$150)/1000</f>
        <v>1.86537</v>
      </c>
      <c r="Y10" s="119">
        <f>('[16]Reagent Cost'!Z$150+'[16]SO2 Cost'!Z$150+'[16]NOx Cost'!Z$150+'[16]Lime Cost'!Z$150)/1000</f>
        <v>1.8840600000000001</v>
      </c>
      <c r="Z10" s="119">
        <f>('[16]Reagent Cost'!AA$150+'[16]SO2 Cost'!AA$150+'[16]NOx Cost'!AA$150+'[16]Lime Cost'!AA$150)/1000</f>
        <v>1.9078800000000002</v>
      </c>
      <c r="AA10" s="119">
        <f>('[16]Reagent Cost'!AB$150+'[16]SO2 Cost'!AB$150+'[16]NOx Cost'!AB$150+'[16]Lime Cost'!AB$150)/1000</f>
        <v>1.9211699999999998</v>
      </c>
      <c r="AB10" s="119">
        <f>('[16]Reagent Cost'!AC$150+'[16]SO2 Cost'!AC$150+'[16]NOx Cost'!AC$150+'[16]Lime Cost'!AC$150)/1000</f>
        <v>1.9569199999999998</v>
      </c>
      <c r="AC10" s="119">
        <f>('[16]Reagent Cost'!AD$150+'[16]SO2 Cost'!AD$150+'[16]NOx Cost'!AD$150+'[16]Lime Cost'!AD$150)/1000</f>
        <v>1.9551200000000002</v>
      </c>
      <c r="AD10" s="211">
        <f>('[16]Reagent Cost'!AE$150+'[16]SO2 Cost'!AE$150+'[16]NOx Cost'!AE$150+'[16]Lime Cost'!AE$150)/1000</f>
        <v>1.9644499999999998</v>
      </c>
      <c r="AE10" s="119">
        <f>('[16]Reagent Cost'!AF$150+'[16]SO2 Cost'!AF$150+'[16]NOx Cost'!AF$150+'[16]Lime Cost'!AF$150)/1000</f>
        <v>1.9716600000000002</v>
      </c>
      <c r="AF10" s="119">
        <f>('[16]Reagent Cost'!AG$150+'[16]SO2 Cost'!AG$150+'[16]NOx Cost'!AG$150+'[16]Lime Cost'!AG$150)/1000</f>
        <v>2.0016100000000003</v>
      </c>
      <c r="AG10" s="119">
        <f>('[16]Reagent Cost'!AH$150+'[16]SO2 Cost'!AH$150+'[16]NOx Cost'!AH$150+'[16]Lime Cost'!AH$150)/1000</f>
        <v>2.0186000000000002</v>
      </c>
      <c r="AH10" s="119">
        <f>('[16]Reagent Cost'!AI$150+'[16]SO2 Cost'!AI$150+'[16]NOx Cost'!AI$150+'[16]Lime Cost'!AI$150)/1000</f>
        <v>2.0516700000000001</v>
      </c>
      <c r="AI10" s="119">
        <f>('[16]Reagent Cost'!AJ$150+'[16]SO2 Cost'!AJ$150+'[16]NOx Cost'!AJ$150+'[16]Lime Cost'!AJ$150)/1000</f>
        <v>2.0539800000000001</v>
      </c>
      <c r="AJ10" s="119"/>
    </row>
    <row r="11" spans="1:36">
      <c r="A11" s="12" t="s">
        <v>69</v>
      </c>
      <c r="B11" s="212">
        <f>+'[16]CO2 Cost'!C$150/1000</f>
        <v>0</v>
      </c>
      <c r="C11" s="212">
        <f>+'[16]CO2 Cost'!D$150/1000</f>
        <v>0</v>
      </c>
      <c r="D11" s="212">
        <f>+'[16]CO2 Cost'!E$150/1000</f>
        <v>0</v>
      </c>
      <c r="E11" s="212">
        <f>+'[16]CO2 Cost'!F$150/1000</f>
        <v>0</v>
      </c>
      <c r="F11" s="212">
        <f>+'[16]CO2 Cost'!G$150/1000</f>
        <v>0</v>
      </c>
      <c r="G11" s="212">
        <f>+'[16]CO2 Cost'!H$150/1000</f>
        <v>102.26755000000001</v>
      </c>
      <c r="H11" s="212">
        <f>+'[16]CO2 Cost'!I$150/1000</f>
        <v>184.19938999999997</v>
      </c>
      <c r="I11" s="212">
        <f>+'[16]CO2 Cost'!J$150/1000</f>
        <v>267.38494000000014</v>
      </c>
      <c r="J11" s="212">
        <f>+'[16]CO2 Cost'!K$150/1000</f>
        <v>357.72956999999997</v>
      </c>
      <c r="K11" s="212">
        <f>+'[16]CO2 Cost'!L$150/1000</f>
        <v>445.20018999999996</v>
      </c>
      <c r="L11" s="212">
        <f>+'[16]CO2 Cost'!M$150/1000</f>
        <v>534.21271000000002</v>
      </c>
      <c r="M11" s="212">
        <f>+'[16]CO2 Cost'!N$150/1000</f>
        <v>605.3725800000002</v>
      </c>
      <c r="N11" s="212">
        <f>+'[16]CO2 Cost'!O$150/1000</f>
        <v>689.97613000000001</v>
      </c>
      <c r="O11" s="212">
        <f>+'[16]CO2 Cost'!P$150/1000</f>
        <v>766.67876999999976</v>
      </c>
      <c r="P11" s="212">
        <f>+'[16]CO2 Cost'!Q$150/1000</f>
        <v>794.3244000000002</v>
      </c>
      <c r="Q11" s="212">
        <f>+'[16]CO2 Cost'!R$150/1000</f>
        <v>849.52986999999996</v>
      </c>
      <c r="R11" s="212">
        <f>+'[16]CO2 Cost'!S$150/1000</f>
        <v>1034.7275100000002</v>
      </c>
      <c r="S11" s="212">
        <f>+'[16]CO2 Cost'!T$150/1000</f>
        <v>1220.3885599999999</v>
      </c>
      <c r="T11" s="212">
        <f>+'[16]CO2 Cost'!U$150/1000</f>
        <v>1409.2305000000001</v>
      </c>
      <c r="U11" s="212">
        <f>+'[16]CO2 Cost'!V$150/1000</f>
        <v>1613.06194</v>
      </c>
      <c r="V11" s="212">
        <f>+'[16]CO2 Cost'!W$150/1000</f>
        <v>1807.0167100000006</v>
      </c>
      <c r="W11" s="212">
        <f>+'[16]CO2 Cost'!X$150/1000</f>
        <v>2012.69498</v>
      </c>
      <c r="X11" s="212">
        <f>+'[16]CO2 Cost'!Y$150/1000</f>
        <v>2165.0020200000004</v>
      </c>
      <c r="Y11" s="212">
        <f>+'[16]CO2 Cost'!Z$150/1000</f>
        <v>2343.9227799999994</v>
      </c>
      <c r="Z11" s="212">
        <f>+'[16]CO2 Cost'!AA$150/1000</f>
        <v>2560.9115499999998</v>
      </c>
      <c r="AA11" s="212">
        <f>+'[16]CO2 Cost'!AB$150/1000</f>
        <v>2764.4250500000007</v>
      </c>
      <c r="AB11" s="212">
        <f>+'[16]CO2 Cost'!AC$150/1000</f>
        <v>2984.86726</v>
      </c>
      <c r="AC11" s="212">
        <f>+'[16]CO2 Cost'!AD$150/1000</f>
        <v>3163.7646099999997</v>
      </c>
      <c r="AD11" s="213">
        <f>+'[16]CO2 Cost'!AE$150/1000</f>
        <v>3371.0876500000004</v>
      </c>
      <c r="AE11" s="212">
        <f>+'[16]CO2 Cost'!AF$150/1000</f>
        <v>3542.1120699999997</v>
      </c>
      <c r="AF11" s="212">
        <f>+'[16]CO2 Cost'!AG$150/1000</f>
        <v>3773.6081300000005</v>
      </c>
      <c r="AG11" s="212">
        <f>+'[16]CO2 Cost'!AH$150/1000</f>
        <v>3997.4264899999994</v>
      </c>
      <c r="AH11" s="212">
        <f>+'[16]CO2 Cost'!AI$150/1000</f>
        <v>4224.4436799999994</v>
      </c>
      <c r="AI11" s="212">
        <f>+'[16]CO2 Cost'!AJ$150/1000</f>
        <v>4390.5213800000001</v>
      </c>
      <c r="AJ11" s="212"/>
    </row>
    <row r="12" spans="1:36">
      <c r="A12" s="6" t="s">
        <v>61</v>
      </c>
      <c r="B12" s="15">
        <f t="shared" ref="B12:AG12" si="2">SUM(B2:B11)</f>
        <v>1843.4621723822067</v>
      </c>
      <c r="C12" s="15">
        <f t="shared" si="2"/>
        <v>1876.6630868946615</v>
      </c>
      <c r="D12" s="15">
        <f t="shared" si="2"/>
        <v>1947.1354385741638</v>
      </c>
      <c r="E12" s="15">
        <f t="shared" si="2"/>
        <v>1985.9327261891403</v>
      </c>
      <c r="F12" s="15">
        <f t="shared" si="2"/>
        <v>1847.4582671285839</v>
      </c>
      <c r="G12" s="15">
        <f t="shared" si="2"/>
        <v>1860.387735827255</v>
      </c>
      <c r="H12" s="15">
        <f t="shared" si="2"/>
        <v>1943.2827986137727</v>
      </c>
      <c r="I12" s="15">
        <f t="shared" si="2"/>
        <v>2171.4240914479233</v>
      </c>
      <c r="J12" s="15">
        <f t="shared" si="2"/>
        <v>2471.9708705671105</v>
      </c>
      <c r="K12" s="15">
        <f t="shared" si="2"/>
        <v>2694.2384496360623</v>
      </c>
      <c r="L12" s="15">
        <f t="shared" si="2"/>
        <v>2906.0161947255183</v>
      </c>
      <c r="M12" s="15">
        <f t="shared" si="2"/>
        <v>3078.7923648661731</v>
      </c>
      <c r="N12" s="15">
        <f t="shared" si="2"/>
        <v>3288.6038237299799</v>
      </c>
      <c r="O12" s="15">
        <f t="shared" si="2"/>
        <v>3402.4038686658923</v>
      </c>
      <c r="P12" s="15">
        <f t="shared" si="2"/>
        <v>3759.6144422484003</v>
      </c>
      <c r="Q12" s="15">
        <f t="shared" si="2"/>
        <v>4355.9766373375078</v>
      </c>
      <c r="R12" s="15">
        <f t="shared" si="2"/>
        <v>4598.2302530834841</v>
      </c>
      <c r="S12" s="15">
        <f t="shared" si="2"/>
        <v>4965.0000055809924</v>
      </c>
      <c r="T12" s="15">
        <f t="shared" si="2"/>
        <v>5367.2802042835519</v>
      </c>
      <c r="U12" s="15">
        <f t="shared" si="2"/>
        <v>5738.8702856230648</v>
      </c>
      <c r="V12" s="15">
        <f t="shared" si="2"/>
        <v>6072.2888286161797</v>
      </c>
      <c r="W12" s="15">
        <f t="shared" si="2"/>
        <v>6424.1748901648043</v>
      </c>
      <c r="X12" s="15">
        <f t="shared" si="2"/>
        <v>6830.9677701885721</v>
      </c>
      <c r="Y12" s="15">
        <f t="shared" si="2"/>
        <v>7518.1416478734936</v>
      </c>
      <c r="Z12" s="15">
        <f t="shared" si="2"/>
        <v>7924.049585985038</v>
      </c>
      <c r="AA12" s="15">
        <f t="shared" si="2"/>
        <v>8381.7511000824743</v>
      </c>
      <c r="AB12" s="15">
        <f t="shared" si="2"/>
        <v>8759.5895641545158</v>
      </c>
      <c r="AC12" s="52">
        <f t="shared" si="2"/>
        <v>8973.2370236350489</v>
      </c>
      <c r="AD12" s="214">
        <f t="shared" si="2"/>
        <v>9304.3755219161594</v>
      </c>
      <c r="AE12" s="15">
        <f t="shared" si="2"/>
        <v>9503.8674747722398</v>
      </c>
      <c r="AF12" s="15">
        <f t="shared" si="2"/>
        <v>9784.2965294805872</v>
      </c>
      <c r="AG12" s="15">
        <f t="shared" si="2"/>
        <v>10107.651330891995</v>
      </c>
      <c r="AH12" s="15">
        <f t="shared" ref="AH12" si="3">SUM(AH2:AH11)</f>
        <v>10417.971096442472</v>
      </c>
      <c r="AI12" s="15">
        <f t="shared" ref="AI12" si="4">SUM(AI2:AI11)</f>
        <v>10654.651751020789</v>
      </c>
      <c r="AJ12" s="15"/>
    </row>
    <row r="13" spans="1:36">
      <c r="AC13" s="36"/>
      <c r="AD13" s="215"/>
    </row>
    <row r="14" spans="1:36" s="152" customFormat="1">
      <c r="A14" s="152" t="s">
        <v>201</v>
      </c>
      <c r="B14" s="152">
        <f>$B$1</f>
        <v>2020</v>
      </c>
      <c r="C14" s="152">
        <f t="shared" ref="C14:AH14" si="5">B14+1</f>
        <v>2021</v>
      </c>
      <c r="D14" s="152">
        <f t="shared" si="5"/>
        <v>2022</v>
      </c>
      <c r="E14" s="152">
        <f t="shared" si="5"/>
        <v>2023</v>
      </c>
      <c r="F14" s="152">
        <f t="shared" si="5"/>
        <v>2024</v>
      </c>
      <c r="G14" s="152">
        <f t="shared" si="5"/>
        <v>2025</v>
      </c>
      <c r="H14" s="152">
        <f t="shared" si="5"/>
        <v>2026</v>
      </c>
      <c r="I14" s="152">
        <f t="shared" si="5"/>
        <v>2027</v>
      </c>
      <c r="J14" s="152">
        <f t="shared" si="5"/>
        <v>2028</v>
      </c>
      <c r="K14" s="152">
        <f t="shared" si="5"/>
        <v>2029</v>
      </c>
      <c r="L14" s="152">
        <f t="shared" si="5"/>
        <v>2030</v>
      </c>
      <c r="M14" s="152">
        <f t="shared" si="5"/>
        <v>2031</v>
      </c>
      <c r="N14" s="152">
        <f t="shared" si="5"/>
        <v>2032</v>
      </c>
      <c r="O14" s="152">
        <f t="shared" si="5"/>
        <v>2033</v>
      </c>
      <c r="P14" s="152">
        <f t="shared" si="5"/>
        <v>2034</v>
      </c>
      <c r="Q14" s="152">
        <f t="shared" si="5"/>
        <v>2035</v>
      </c>
      <c r="R14" s="152">
        <f t="shared" si="5"/>
        <v>2036</v>
      </c>
      <c r="S14" s="152">
        <f t="shared" si="5"/>
        <v>2037</v>
      </c>
      <c r="T14" s="152">
        <f t="shared" si="5"/>
        <v>2038</v>
      </c>
      <c r="U14" s="152">
        <f t="shared" si="5"/>
        <v>2039</v>
      </c>
      <c r="V14" s="152">
        <f t="shared" si="5"/>
        <v>2040</v>
      </c>
      <c r="W14" s="152">
        <f t="shared" si="5"/>
        <v>2041</v>
      </c>
      <c r="X14" s="152">
        <f t="shared" si="5"/>
        <v>2042</v>
      </c>
      <c r="Y14" s="152">
        <f t="shared" si="5"/>
        <v>2043</v>
      </c>
      <c r="Z14" s="152">
        <f t="shared" si="5"/>
        <v>2044</v>
      </c>
      <c r="AA14" s="152">
        <f t="shared" si="5"/>
        <v>2045</v>
      </c>
      <c r="AB14" s="152">
        <f t="shared" si="5"/>
        <v>2046</v>
      </c>
      <c r="AC14" s="209">
        <f t="shared" si="5"/>
        <v>2047</v>
      </c>
      <c r="AD14" s="210">
        <f t="shared" si="5"/>
        <v>2048</v>
      </c>
      <c r="AE14" s="152">
        <f t="shared" si="5"/>
        <v>2049</v>
      </c>
      <c r="AF14" s="152">
        <f t="shared" si="5"/>
        <v>2050</v>
      </c>
      <c r="AG14" s="152">
        <f t="shared" si="5"/>
        <v>2051</v>
      </c>
      <c r="AH14" s="152">
        <f t="shared" si="5"/>
        <v>2052</v>
      </c>
      <c r="AI14" s="152">
        <f t="shared" ref="AI14" si="6">AH14+1</f>
        <v>2053</v>
      </c>
    </row>
    <row r="15" spans="1:36">
      <c r="A15" s="6" t="s">
        <v>134</v>
      </c>
      <c r="B15" s="16">
        <f>Hamilton!E$10/1000+Columbia!E$10/1000+Lake_Placid!E$10/1000+Trenton!E$10/1000+Debary!E$10/1000+Santa_Fe!E$10/1000+Twin_Rivers!E$10/1000+Duette!E$10/1000+Charlie_Creek!E$10/1000+Archer!E$10/1000</f>
        <v>65.260450182206341</v>
      </c>
      <c r="C15" s="16">
        <f>Hamilton!F$10/1000+Columbia!F$10/1000+Lake_Placid!F$10/1000+Trenton!F$10/1000+Debary!F$10/1000+Santa_Fe!F$10/1000+Twin_Rivers!F$10/1000+Duette!F$10/1000+Charlie_Creek!F$10/1000+Archer!F$10/1000</f>
        <v>102.08062069466152</v>
      </c>
      <c r="D15" s="16">
        <f>Hamilton!G$10/1000+Columbia!G$10/1000+Lake_Placid!G$10/1000+Trenton!G$10/1000+Debary!G$10/1000+Santa_Fe!G$10/1000+Twin_Rivers!G$10/1000+Duette!G$10/1000+Charlie_Creek!G$10/1000+Archer!G$10/1000</f>
        <v>140.1396490741636</v>
      </c>
      <c r="E15" s="16">
        <f>Hamilton!H$10/1000+Columbia!H$10/1000+Lake_Placid!H$10/1000+Trenton!H$10/1000+Debary!H$10/1000+Santa_Fe!H$10/1000+Twin_Rivers!H$10/1000+Duette!H$10/1000+Charlie_Creek!H$10/1000+Archer!H$10/1000</f>
        <v>134.04030278914058</v>
      </c>
      <c r="F15" s="16">
        <f>Hamilton!I$10/1000+Columbia!I$10/1000+Lake_Placid!I$10/1000+Trenton!I$10/1000+Debary!I$10/1000+Santa_Fe!I$10/1000+Twin_Rivers!I$10/1000+Duette!I$10/1000+Charlie_Creek!I$10/1000+Archer!I$10/1000</f>
        <v>128.64619422858411</v>
      </c>
      <c r="G15" s="16">
        <f>Hamilton!J$10/1000+Columbia!J$10/1000+Lake_Placid!J$10/1000+Trenton!J$10/1000+Debary!J$10/1000+Santa_Fe!J$10/1000+Twin_Rivers!J$10/1000+Duette!J$10/1000+Charlie_Creek!J$10/1000+Archer!J$10/1000</f>
        <v>120.64800562725537</v>
      </c>
      <c r="H15" s="16">
        <f>Hamilton!K$10/1000+Columbia!K$10/1000+Lake_Placid!K$10/1000+Trenton!K$10/1000+Debary!K$10/1000+Santa_Fe!K$10/1000+Twin_Rivers!K$10/1000+Duette!K$10/1000+Charlie_Creek!K$10/1000+Archer!K$10/1000</f>
        <v>106.55728151377239</v>
      </c>
      <c r="I15" s="16">
        <f>Hamilton!L$10/1000+Columbia!L$10/1000+Lake_Placid!L$10/1000+Trenton!L$10/1000+Debary!L$10/1000+Santa_Fe!L$10/1000+Twin_Rivers!L$10/1000+Duette!L$10/1000+Charlie_Creek!L$10/1000+Archer!L$10/1000</f>
        <v>103.56659689744981</v>
      </c>
      <c r="J15" s="16">
        <f>Hamilton!M$10/1000+Columbia!M$10/1000+Lake_Placid!M$10/1000+Trenton!M$10/1000+Debary!M$10/1000+Santa_Fe!M$10/1000+Twin_Rivers!M$10/1000+Duette!M$10/1000+Charlie_Creek!M$10/1000+Archer!M$10/1000</f>
        <v>100.82687797199034</v>
      </c>
      <c r="K15" s="16">
        <f>Hamilton!N$10/1000+Columbia!N$10/1000+Lake_Placid!N$10/1000+Trenton!N$10/1000+Debary!N$10/1000+Santa_Fe!N$10/1000+Twin_Rivers!N$10/1000+Duette!N$10/1000+Charlie_Creek!N$10/1000+Archer!N$10/1000</f>
        <v>98.309899435961768</v>
      </c>
      <c r="L15" s="16">
        <f>Hamilton!O$10/1000+Columbia!O$10/1000+Lake_Placid!O$10/1000+Trenton!O$10/1000+Debary!O$10/1000+Santa_Fe!O$10/1000+Twin_Rivers!O$10/1000+Duette!O$10/1000+Charlie_Creek!O$10/1000+Archer!O$10/1000</f>
        <v>95.755033583931194</v>
      </c>
      <c r="M15" s="16">
        <f>Hamilton!P$10/1000+Columbia!P$10/1000+Lake_Placid!P$10/1000+Trenton!P$10/1000+Debary!P$10/1000+Santa_Fe!P$10/1000+Twin_Rivers!P$10/1000+Duette!P$10/1000+Charlie_Creek!P$10/1000+Archer!P$10/1000</f>
        <v>93.237225357173344</v>
      </c>
      <c r="N15" s="16">
        <f>Hamilton!Q$10/1000+Columbia!Q$10/1000+Lake_Placid!Q$10/1000+Trenton!Q$10/1000+Debary!Q$10/1000+Santa_Fe!Q$10/1000+Twin_Rivers!Q$10/1000+Duette!Q$10/1000+Charlie_Creek!Q$10/1000+Archer!Q$10/1000</f>
        <v>90.726054168103147</v>
      </c>
      <c r="O15" s="16">
        <f>Hamilton!R$10/1000+Columbia!R$10/1000+Lake_Placid!R$10/1000+Trenton!R$10/1000+Debary!R$10/1000+Santa_Fe!R$10/1000+Twin_Rivers!R$10/1000+Duette!R$10/1000+Charlie_Creek!R$10/1000+Archer!R$10/1000</f>
        <v>88.301601526088845</v>
      </c>
      <c r="P15" s="16">
        <f>Hamilton!S$10/1000+Columbia!S$10/1000+Lake_Placid!S$10/1000+Trenton!S$10/1000+Debary!S$10/1000+Santa_Fe!S$10/1000+Twin_Rivers!S$10/1000+Duette!S$10/1000+Charlie_Creek!S$10/1000+Archer!S$10/1000</f>
        <v>85.76397260337508</v>
      </c>
      <c r="Q15" s="16">
        <f>Hamilton!T$10/1000+Columbia!T$10/1000+Lake_Placid!T$10/1000+Trenton!T$10/1000+Debary!T$10/1000+Santa_Fe!T$10/1000+Twin_Rivers!T$10/1000+Duette!T$10/1000+Charlie_Creek!T$10/1000+Archer!T$10/1000</f>
        <v>83.238224479776378</v>
      </c>
      <c r="R15" s="16">
        <f>Hamilton!U$10/1000+Columbia!U$10/1000+Lake_Placid!U$10/1000+Trenton!U$10/1000+Debary!U$10/1000+Santa_Fe!U$10/1000+Twin_Rivers!U$10/1000+Duette!U$10/1000+Charlie_Creek!U$10/1000+Archer!U$10/1000</f>
        <v>80.598791337134827</v>
      </c>
      <c r="S15" s="16">
        <f>Hamilton!V$10/1000+Columbia!V$10/1000+Lake_Placid!V$10/1000+Trenton!V$10/1000+Debary!V$10/1000+Santa_Fe!V$10/1000+Twin_Rivers!V$10/1000+Duette!V$10/1000+Charlie_Creek!V$10/1000+Archer!V$10/1000</f>
        <v>78.071339778696768</v>
      </c>
      <c r="T15" s="16">
        <f>Hamilton!W$10/1000+Columbia!W$10/1000+Lake_Placid!W$10/1000+Trenton!W$10/1000+Debary!W$10/1000+Santa_Fe!W$10/1000+Twin_Rivers!W$10/1000+Duette!W$10/1000+Charlie_Creek!W$10/1000+Archer!W$10/1000</f>
        <v>78.09258300930594</v>
      </c>
      <c r="U15" s="16">
        <f>Hamilton!X$10/1000+Columbia!X$10/1000+Lake_Placid!X$10/1000+Trenton!X$10/1000+Debary!X$10/1000+Santa_Fe!X$10/1000+Twin_Rivers!X$10/1000+Duette!X$10/1000+Charlie_Creek!X$10/1000+Archer!X$10/1000</f>
        <v>77.049132064444734</v>
      </c>
      <c r="V15" s="16">
        <f>Hamilton!Y$10/1000+Columbia!Y$10/1000+Lake_Placid!Y$10/1000+Trenton!Y$10/1000+Debary!Y$10/1000+Santa_Fe!Y$10/1000+Twin_Rivers!Y$10/1000+Duette!Y$10/1000+Charlie_Creek!Y$10/1000+Archer!Y$10/1000</f>
        <v>74.343785062889211</v>
      </c>
      <c r="W15" s="16">
        <f>Hamilton!Z$10/1000+Columbia!Z$10/1000+Lake_Placid!Z$10/1000+Trenton!Z$10/1000+Debary!Z$10/1000+Santa_Fe!Z$10/1000+Twin_Rivers!Z$10/1000+Duette!Z$10/1000+Charlie_Creek!Z$10/1000+Archer!Z$10/1000</f>
        <v>71.700748538238017</v>
      </c>
      <c r="X15" s="16">
        <f>Hamilton!AA$10/1000+Columbia!AA$10/1000+Lake_Placid!AA$10/1000+Trenton!AA$10/1000+Debary!AA$10/1000+Santa_Fe!AA$10/1000+Twin_Rivers!AA$10/1000+Duette!AA$10/1000+Charlie_Creek!AA$10/1000+Archer!AA$10/1000</f>
        <v>69.274426053501713</v>
      </c>
      <c r="Y15" s="16">
        <f>Hamilton!AB$10/1000+Columbia!AB$10/1000+Lake_Placid!AB$10/1000+Trenton!AB$10/1000+Debary!AB$10/1000+Santa_Fe!AB$10/1000+Twin_Rivers!AB$10/1000+Duette!AB$10/1000+Charlie_Creek!AB$10/1000+Archer!AB$10/1000</f>
        <v>66.777509599182792</v>
      </c>
      <c r="Z15" s="16">
        <f>Hamilton!AC$10/1000+Columbia!AC$10/1000+Lake_Placid!AC$10/1000+Trenton!AC$10/1000+Debary!AC$10/1000+Santa_Fe!AC$10/1000+Twin_Rivers!AC$10/1000+Duette!AC$10/1000+Charlie_Creek!AC$10/1000+Archer!AC$10/1000</f>
        <v>64.511486072982294</v>
      </c>
      <c r="AA15" s="16">
        <f>Hamilton!AD$10/1000+Columbia!AD$10/1000+Lake_Placid!AD$10/1000+Trenton!AD$10/1000+Debary!AD$10/1000+Santa_Fe!AD$10/1000+Twin_Rivers!AD$10/1000+Duette!AD$10/1000+Charlie_Creek!AD$10/1000+Archer!AD$10/1000</f>
        <v>62.123479086747679</v>
      </c>
      <c r="AB15" s="16">
        <f>Hamilton!AE$10/1000+Columbia!AE$10/1000+Lake_Placid!AE$10/1000+Trenton!AE$10/1000+Debary!AE$10/1000+Santa_Fe!AE$10/1000+Twin_Rivers!AE$10/1000+Duette!AE$10/1000+Charlie_Creek!AE$10/1000+Archer!AE$10/1000</f>
        <v>59.912845166921755</v>
      </c>
      <c r="AC15" s="16">
        <f>Hamilton!AF$10/1000+Columbia!AF$10/1000+Lake_Placid!AF$10/1000+Trenton!AF$10/1000+Debary!AF$10/1000+Santa_Fe!AF$10/1000+Twin_Rivers!AF$10/1000+Duette!AF$10/1000+Charlie_Creek!AF$10/1000+Archer!AF$10/1000</f>
        <v>57.650395769136487</v>
      </c>
      <c r="AD15" s="16">
        <f>Hamilton!AG$10/1000+Columbia!AG$10/1000+Lake_Placid!AG$10/1000+Trenton!AG$10/1000+Debary!AG$10/1000+Santa_Fe!AG$10/1000+Twin_Rivers!AG$10/1000+Duette!AG$10/1000+Charlie_Creek!AG$10/1000+Archer!AG$10/1000</f>
        <v>57.703514450685773</v>
      </c>
      <c r="AE15" s="16">
        <f>Hamilton!AH$10/1000+Columbia!AH$10/1000+Lake_Placid!AH$10/1000+Trenton!AH$10/1000+Debary!AH$10/1000+Santa_Fe!AH$10/1000+Twin_Rivers!AH$10/1000+Duette!AH$10/1000+Charlie_Creek!AH$10/1000+Archer!AH$10/1000</f>
        <v>52.145094362648948</v>
      </c>
      <c r="AF15" s="16">
        <f>Hamilton!AI$10/1000+Columbia!AI$10/1000+Lake_Placid!AI$10/1000+Trenton!AI$10/1000+Debary!AI$10/1000+Santa_Fe!AI$10/1000+Twin_Rivers!AI$10/1000+Duette!AI$10/1000+Charlie_Creek!AI$10/1000+Archer!AI$10/1000</f>
        <v>37.078414464395848</v>
      </c>
      <c r="AG15" s="16">
        <f>Hamilton!AJ$10/1000+Columbia!AJ$10/1000+Lake_Placid!AJ$10/1000+Trenton!AJ$10/1000+Debary!AJ$10/1000+Santa_Fe!AJ$10/1000+Twin_Rivers!AJ$10/1000+Duette!AJ$10/1000+Charlie_Creek!AJ$10/1000+Archer!AJ$10/1000</f>
        <v>21.622436034797943</v>
      </c>
      <c r="AH15" s="16">
        <f>Hamilton!AK$10/1000+Columbia!AK$10/1000+Lake_Placid!AK$10/1000+Trenton!AK$10/1000+Debary!AK$10/1000+Santa_Fe!AK$10/1000+Twin_Rivers!AK$10/1000+Duette!AK$10/1000+Charlie_Creek!AK$10/1000+Archer!AK$10/1000</f>
        <v>3.3113138854625253</v>
      </c>
      <c r="AI15" s="16">
        <f>Hamilton!AL$10/1000+Columbia!AL$10/1000+Lake_Placid!AL$10/1000+Trenton!AL$10/1000+Debary!AL$10/1000+Santa_Fe!AL$10/1000+Twin_Rivers!AL$10/1000+Duette!AL$10/1000+Charlie_Creek!AL$10/1000+Archer!AL$10/1000</f>
        <v>3.1867270656465223</v>
      </c>
      <c r="AJ15" s="16"/>
    </row>
    <row r="16" spans="1:36">
      <c r="A16" s="6" t="s">
        <v>135</v>
      </c>
      <c r="B16" s="16">
        <f>CEC_2022!E$10/1000+CEC_2023!E$10/1000+CEC_2024!E$10/1000</f>
        <v>0</v>
      </c>
      <c r="C16" s="16">
        <f>CEC_2022!F$10/1000+CEC_2023!F$10/1000+CEC_2024!F$10/1000</f>
        <v>0</v>
      </c>
      <c r="D16" s="16">
        <f>CEC_2022!G$10/1000+CEC_2023!G$10/1000+CEC_2024!G$10/1000</f>
        <v>30.858064131033437</v>
      </c>
      <c r="E16" s="16">
        <f>CEC_2022!H$10/1000+CEC_2023!H$10/1000+CEC_2024!H$10/1000</f>
        <v>87.07123900568844</v>
      </c>
      <c r="F16" s="16">
        <f>CEC_2022!I$10/1000+CEC_2023!I$10/1000+CEC_2024!I$10/1000</f>
        <v>138.32148483336081</v>
      </c>
      <c r="G16" s="16">
        <f>CEC_2022!J$10/1000+CEC_2023!J$10/1000+CEC_2024!J$10/1000</f>
        <v>131.34102763355375</v>
      </c>
      <c r="H16" s="16">
        <f>CEC_2022!K$10/1000+CEC_2023!K$10/1000+CEC_2024!K$10/1000</f>
        <v>125.32829334309196</v>
      </c>
      <c r="I16" s="16">
        <f>CEC_2022!L$10/1000+CEC_2023!L$10/1000+CEC_2024!L$10/1000</f>
        <v>112.37313136938053</v>
      </c>
      <c r="J16" s="16">
        <f>CEC_2022!M$10/1000+CEC_2023!M$10/1000+CEC_2024!M$10/1000</f>
        <v>108.5565089486837</v>
      </c>
      <c r="K16" s="16">
        <f>CEC_2022!N$10/1000+CEC_2023!N$10/1000+CEC_2024!N$10/1000</f>
        <v>105.48973259473424</v>
      </c>
      <c r="L16" s="16">
        <f>CEC_2022!O$10/1000+CEC_2023!O$10/1000+CEC_2024!O$10/1000</f>
        <v>102.87656792502673</v>
      </c>
      <c r="M16" s="16">
        <f>CEC_2022!P$10/1000+CEC_2023!P$10/1000+CEC_2024!P$10/1000</f>
        <v>100.51289638557827</v>
      </c>
      <c r="N16" s="16">
        <f>CEC_2022!Q$10/1000+CEC_2023!Q$10/1000+CEC_2024!Q$10/1000</f>
        <v>98.179378177042935</v>
      </c>
      <c r="O16" s="16">
        <f>CEC_2022!R$10/1000+CEC_2023!R$10/1000+CEC_2024!R$10/1000</f>
        <v>95.847943420614058</v>
      </c>
      <c r="P16" s="16">
        <f>CEC_2022!S$10/1000+CEC_2023!S$10/1000+CEC_2024!S$10/1000</f>
        <v>93.474328160646081</v>
      </c>
      <c r="Q16" s="16">
        <f>CEC_2022!T$10/1000+CEC_2023!T$10/1000+CEC_2024!T$10/1000</f>
        <v>91.186331074785173</v>
      </c>
      <c r="R16" s="16">
        <f>CEC_2022!U$10/1000+CEC_2023!U$10/1000+CEC_2024!U$10/1000</f>
        <v>88.936995255073953</v>
      </c>
      <c r="S16" s="16">
        <f>CEC_2022!V$10/1000+CEC_2023!V$10/1000+CEC_2024!V$10/1000</f>
        <v>86.647567246409736</v>
      </c>
      <c r="T16" s="16">
        <f>CEC_2022!W$10/1000+CEC_2023!W$10/1000+CEC_2024!W$10/1000</f>
        <v>90.572619755463975</v>
      </c>
      <c r="U16" s="16">
        <f>CEC_2022!X$10/1000+CEC_2023!X$10/1000+CEC_2024!X$10/1000</f>
        <v>87.77172842682694</v>
      </c>
      <c r="V16" s="16">
        <f>CEC_2022!Y$10/1000+CEC_2023!Y$10/1000+CEC_2024!Y$10/1000</f>
        <v>84.961956356760751</v>
      </c>
      <c r="W16" s="16">
        <f>CEC_2022!Z$10/1000+CEC_2023!Z$10/1000+CEC_2024!Z$10/1000</f>
        <v>82.175389106315691</v>
      </c>
      <c r="X16" s="16">
        <f>CEC_2022!AA$10/1000+CEC_2023!AA$10/1000+CEC_2024!AA$10/1000</f>
        <v>79.628352339490078</v>
      </c>
      <c r="Y16" s="16">
        <f>CEC_2022!AB$10/1000+CEC_2023!AB$10/1000+CEC_2024!AB$10/1000</f>
        <v>77.276014548631224</v>
      </c>
      <c r="Z16" s="16">
        <f>CEC_2022!AC$10/1000+CEC_2023!AC$10/1000+CEC_2024!AC$10/1000</f>
        <v>75.020683560031301</v>
      </c>
      <c r="AA16" s="16">
        <f>CEC_2022!AD$10/1000+CEC_2023!AD$10/1000+CEC_2024!AD$10/1000</f>
        <v>72.691083602545405</v>
      </c>
      <c r="AB16" s="16">
        <f>CEC_2022!AE$10/1000+CEC_2023!AE$10/1000+CEC_2024!AE$10/1000</f>
        <v>70.559218554413519</v>
      </c>
      <c r="AC16" s="119">
        <f>CEC_2022!AF$10/1000+CEC_2023!AF$10/1000+CEC_2024!AF$10/1000</f>
        <v>68.396619754674475</v>
      </c>
      <c r="AD16" s="211">
        <f>CEC_2022!AG$10/1000+CEC_2023!AG$10/1000+CEC_2024!AG$10/1000</f>
        <v>66.331776922346066</v>
      </c>
      <c r="AE16" s="16">
        <f>CEC_2022!AH$10/1000+CEC_2023!AH$10/1000+CEC_2024!AH$10/1000</f>
        <v>64.19727863392194</v>
      </c>
      <c r="AF16" s="16">
        <f>CEC_2022!AI$10/1000+CEC_2023!AI$10/1000+CEC_2024!AI$10/1000</f>
        <v>62.201468047298263</v>
      </c>
      <c r="AG16" s="16">
        <f>CEC_2022!AJ$10/1000+CEC_2023!AJ$10/1000+CEC_2024!AJ$10/1000</f>
        <v>63.884043803646705</v>
      </c>
      <c r="AH16" s="16">
        <f>CEC_2022!AK$10/1000+CEC_2023!AK$10/1000+CEC_2024!AK$10/1000</f>
        <v>54.391358551299618</v>
      </c>
      <c r="AI16" s="16">
        <f>CEC_2022!AL$10/1000+CEC_2023!AL$10/1000+CEC_2024!AL$10/1000</f>
        <v>31.274000020948147</v>
      </c>
      <c r="AJ16" s="16"/>
    </row>
    <row r="17" spans="1:36">
      <c r="A17" s="6" t="s">
        <v>60</v>
      </c>
      <c r="B17" s="16">
        <f>('[9]2019Fall_GenCap_CEC'!F$18+'[9]2019Fall_TrCap_CEC'!F$18)/1000</f>
        <v>0</v>
      </c>
      <c r="C17" s="16">
        <f>('[9]2019Fall_GenCap_CEC'!G$18+'[9]2019Fall_TrCap_CEC'!G$18)/1000</f>
        <v>0</v>
      </c>
      <c r="D17" s="16">
        <f>('[9]2019Fall_GenCap_CEC'!H$18+'[9]2019Fall_TrCap_CEC'!H$18)/1000</f>
        <v>0</v>
      </c>
      <c r="E17" s="16">
        <f>('[9]2019Fall_GenCap_CEC'!I$18+'[9]2019Fall_TrCap_CEC'!I$18)/1000</f>
        <v>0</v>
      </c>
      <c r="F17" s="16">
        <f>('[9]2019Fall_GenCap_CEC'!J$18+'[9]2019Fall_TrCap_CEC'!J$18)/1000</f>
        <v>0</v>
      </c>
      <c r="G17" s="16">
        <f>('[9]2019Fall_GenCap_CEC'!K$18+'[9]2019Fall_TrCap_CEC'!K$18)/1000</f>
        <v>0</v>
      </c>
      <c r="H17" s="16">
        <f>('[9]2019Fall_GenCap_CEC'!L$18+'[9]2019Fall_TrCap_CEC'!L$18)/1000</f>
        <v>0</v>
      </c>
      <c r="I17" s="16">
        <f>('[9]2019Fall_GenCap_CEC'!M$18+'[9]2019Fall_TrCap_CEC'!M$18)/1000</f>
        <v>10.717088725236454</v>
      </c>
      <c r="J17" s="16">
        <f>('[9]2019Fall_GenCap_CEC'!N$18+'[9]2019Fall_TrCap_CEC'!N$18)/1000</f>
        <v>17.959547413565073</v>
      </c>
      <c r="K17" s="16">
        <f>('[9]2019Fall_GenCap_CEC'!O$18+'[9]2019Fall_TrCap_CEC'!O$18)/1000</f>
        <v>28.426197298172987</v>
      </c>
      <c r="L17" s="16">
        <f>('[9]2019Fall_GenCap_CEC'!P$18+'[9]2019Fall_TrCap_CEC'!P$18)/1000</f>
        <v>35.349131023784736</v>
      </c>
      <c r="M17" s="16">
        <f>('[9]2019Fall_GenCap_CEC'!Q$18+'[9]2019Fall_TrCap_CEC'!Q$18)/1000</f>
        <v>45.609703397646946</v>
      </c>
      <c r="N17" s="16">
        <f>('[9]2019Fall_GenCap_CEC'!R$18+'[9]2019Fall_TrCap_CEC'!R$18)/1000</f>
        <v>52.25059957758593</v>
      </c>
      <c r="O17" s="16">
        <f>('[9]2019Fall_GenCap_CEC'!S$18+'[9]2019Fall_TrCap_CEC'!S$18)/1000</f>
        <v>62.337251153803344</v>
      </c>
      <c r="P17" s="16">
        <f>('[9]2019Fall_GenCap_CEC'!T$18+'[9]2019Fall_TrCap_CEC'!T$18)/1000</f>
        <v>220.53245388590415</v>
      </c>
      <c r="Q17" s="16">
        <f>('[9]2019Fall_GenCap_CEC'!U$18+'[9]2019Fall_TrCap_CEC'!U$18)/1000</f>
        <v>595.43948985906695</v>
      </c>
      <c r="R17" s="16">
        <f>('[9]2019Fall_GenCap_CEC'!V$18+'[9]2019Fall_TrCap_CEC'!V$18)/1000</f>
        <v>593.12059107695052</v>
      </c>
      <c r="S17" s="16">
        <f>('[9]2019Fall_GenCap_CEC'!W$18+'[9]2019Fall_TrCap_CEC'!W$18)/1000</f>
        <v>586.65164650587258</v>
      </c>
      <c r="T17" s="16">
        <f>('[9]2019Fall_GenCap_CEC'!X$18+'[9]2019Fall_TrCap_CEC'!X$18)/1000</f>
        <v>598.76565343349125</v>
      </c>
      <c r="U17" s="16">
        <f>('[9]2019Fall_GenCap_CEC'!Y$18+'[9]2019Fall_TrCap_CEC'!Y$18)/1000</f>
        <v>601.98359496079456</v>
      </c>
      <c r="V17" s="16">
        <f>('[9]2019Fall_GenCap_CEC'!Z$18+'[9]2019Fall_TrCap_CEC'!Z$18)/1000</f>
        <v>599.40726094203774</v>
      </c>
      <c r="W17" s="16">
        <f>('[9]2019Fall_GenCap_CEC'!AA$18+'[9]2019Fall_TrCap_CEC'!AA$18)/1000</f>
        <v>592.36935434195368</v>
      </c>
      <c r="X17" s="16">
        <f>('[9]2019Fall_GenCap_CEC'!AB$18+'[9]2019Fall_TrCap_CEC'!AB$18)/1000</f>
        <v>700.97138623819478</v>
      </c>
      <c r="Y17" s="16">
        <f>('[9]2019Fall_GenCap_CEC'!AC$18+'[9]2019Fall_TrCap_CEC'!AC$18)/1000</f>
        <v>1069.9554472113034</v>
      </c>
      <c r="Z17" s="16">
        <f>('[9]2019Fall_GenCap_CEC'!AD$18+'[9]2019Fall_TrCap_CEC'!AD$18)/1000</f>
        <v>1070.2115206873427</v>
      </c>
      <c r="AA17" s="16">
        <f>('[9]2019Fall_GenCap_CEC'!AE$18+'[9]2019Fall_TrCap_CEC'!AE$18)/1000</f>
        <v>1076.4119586696049</v>
      </c>
      <c r="AB17" s="16">
        <f>('[9]2019Fall_GenCap_CEC'!AF$18+'[9]2019Fall_TrCap_CEC'!AF$18)/1000</f>
        <v>1071.3146354060393</v>
      </c>
      <c r="AC17" s="119">
        <f>('[9]2019Fall_GenCap_CEC'!AG$18+'[9]2019Fall_TrCap_CEC'!AG$18)/1000</f>
        <v>1050.1288810293786</v>
      </c>
      <c r="AD17" s="211">
        <f>('[9]2019Fall_GenCap_CEC'!AH$18+'[9]2019Fall_TrCap_CEC'!AH$18)/1000</f>
        <v>1017.8352062078461</v>
      </c>
      <c r="AE17" s="16">
        <f>('[9]2019Fall_GenCap_CEC'!AI$18+'[9]2019Fall_TrCap_CEC'!AI$18)/1000</f>
        <v>986.0632405886804</v>
      </c>
      <c r="AF17" s="16">
        <f>('[9]2019Fall_GenCap_CEC'!AJ$18+'[9]2019Fall_TrCap_CEC'!AJ$18)/1000</f>
        <v>954.82001763246592</v>
      </c>
      <c r="AG17" s="16">
        <f>('[9]2019Fall_GenCap_CEC'!AK$18+'[9]2019Fall_TrCap_CEC'!AK$18)/1000</f>
        <v>923.86918947753918</v>
      </c>
      <c r="AH17" s="16">
        <f>('[9]2019Fall_GenCap_CEC'!AL$18+'[9]2019Fall_TrCap_CEC'!AL$18)/1000</f>
        <v>893.07617967486317</v>
      </c>
      <c r="AI17" s="16">
        <f>('[9]2019Fall_GenCap_CEC'!AM$18+'[9]2019Fall_TrCap_CEC'!AM$18)/1000</f>
        <v>862.47077369399312</v>
      </c>
      <c r="AJ17" s="23"/>
    </row>
    <row r="18" spans="1:36">
      <c r="A18" s="6" t="s">
        <v>68</v>
      </c>
      <c r="B18" s="16">
        <f>'[17]FOM Cost'!C$150/1000-SUM('[17]FOM Cost'!C$132:C$136)/1000</f>
        <v>445.38108</v>
      </c>
      <c r="C18" s="16">
        <f>'[17]FOM Cost'!D$150/1000-SUM('[17]FOM Cost'!D$132:D$136)/1000</f>
        <v>433.15770000000009</v>
      </c>
      <c r="D18" s="16">
        <f>'[17]FOM Cost'!E$150/1000-SUM('[17]FOM Cost'!E$132:E$136)/1000</f>
        <v>436.09264999999999</v>
      </c>
      <c r="E18" s="16">
        <f>'[17]FOM Cost'!F$150/1000-SUM('[17]FOM Cost'!F$132:F$136)/1000</f>
        <v>456.05954000000003</v>
      </c>
      <c r="F18" s="16">
        <f>'[17]FOM Cost'!G$150/1000-SUM('[17]FOM Cost'!G$132:G$136)/1000</f>
        <v>300.44051999999994</v>
      </c>
      <c r="G18" s="16">
        <f>'[17]FOM Cost'!H$150/1000-SUM('[17]FOM Cost'!H$132:H$136)/1000</f>
        <v>147.85321999999999</v>
      </c>
      <c r="H18" s="16">
        <f>'[17]FOM Cost'!I$150/1000-SUM('[17]FOM Cost'!I$132:I$136)/1000</f>
        <v>57.67533000000001</v>
      </c>
      <c r="I18" s="16">
        <f>'[17]FOM Cost'!J$150/1000-SUM('[17]FOM Cost'!J$132:J$136)/1000</f>
        <v>32.548740000000002</v>
      </c>
      <c r="J18" s="16">
        <f>'[17]FOM Cost'!K$150/1000-SUM('[17]FOM Cost'!K$132:K$136)/1000</f>
        <v>21.031479999999995</v>
      </c>
      <c r="K18" s="16">
        <f>'[17]FOM Cost'!L$150/1000-SUM('[17]FOM Cost'!L$132:L$136)/1000</f>
        <v>21.5931</v>
      </c>
      <c r="L18" s="16">
        <f>'[17]FOM Cost'!M$150/1000-SUM('[17]FOM Cost'!M$132:M$136)/1000</f>
        <v>22.107350000000007</v>
      </c>
      <c r="M18" s="16">
        <f>'[17]FOM Cost'!N$150/1000-SUM('[17]FOM Cost'!N$132:N$136)/1000</f>
        <v>22.752160000000003</v>
      </c>
      <c r="N18" s="16">
        <f>'[17]FOM Cost'!O$150/1000-SUM('[17]FOM Cost'!O$132:O$136)/1000</f>
        <v>23.31391</v>
      </c>
      <c r="O18" s="16">
        <f>'[17]FOM Cost'!P$150/1000-SUM('[17]FOM Cost'!P$132:P$136)/1000</f>
        <v>23.962970000000002</v>
      </c>
      <c r="P18" s="16">
        <f>'[17]FOM Cost'!Q$150/1000-SUM('[17]FOM Cost'!Q$132:Q$136)/1000</f>
        <v>30.484359999999999</v>
      </c>
      <c r="Q18" s="16">
        <f>'[17]FOM Cost'!R$150/1000-SUM('[17]FOM Cost'!R$132:R$136)/1000</f>
        <v>35.443780000000004</v>
      </c>
      <c r="R18" s="16">
        <f>'[17]FOM Cost'!S$150/1000-SUM('[17]FOM Cost'!S$132:S$136)/1000</f>
        <v>36.695809999999994</v>
      </c>
      <c r="S18" s="16">
        <f>'[17]FOM Cost'!T$150/1000-SUM('[17]FOM Cost'!T$132:T$136)/1000</f>
        <v>37.877529999999993</v>
      </c>
      <c r="T18" s="16">
        <f>'[17]FOM Cost'!U$150/1000-SUM('[17]FOM Cost'!U$132:U$136)/1000</f>
        <v>40.024909999999991</v>
      </c>
      <c r="U18" s="16">
        <f>'[17]FOM Cost'!V$150/1000-SUM('[17]FOM Cost'!V$132:V$136)/1000</f>
        <v>41.85933</v>
      </c>
      <c r="V18" s="16">
        <f>'[17]FOM Cost'!W$150/1000-SUM('[17]FOM Cost'!W$132:W$136)/1000</f>
        <v>43.490149999999993</v>
      </c>
      <c r="W18" s="16">
        <f>'[17]FOM Cost'!X$150/1000-SUM('[17]FOM Cost'!X$132:X$136)/1000</f>
        <v>44.870599999999996</v>
      </c>
      <c r="X18" s="16">
        <f>'[17]FOM Cost'!Y$150/1000-SUM('[17]FOM Cost'!Y$132:Y$136)/1000</f>
        <v>51.411669999999987</v>
      </c>
      <c r="Y18" s="16">
        <f>'[17]FOM Cost'!Z$150/1000-SUM('[17]FOM Cost'!Z$132:Z$136)/1000</f>
        <v>56.647639999999996</v>
      </c>
      <c r="Z18" s="16">
        <f>'[17]FOM Cost'!AA$150/1000-SUM('[17]FOM Cost'!AA$132:AA$136)/1000</f>
        <v>59.53315000000002</v>
      </c>
      <c r="AA18" s="16">
        <f>'[17]FOM Cost'!AB$150/1000-SUM('[17]FOM Cost'!AB$132:AB$136)/1000</f>
        <v>62.423000000000002</v>
      </c>
      <c r="AB18" s="16">
        <f>'[17]FOM Cost'!AC$150/1000-SUM('[17]FOM Cost'!AC$132:AC$136)/1000</f>
        <v>64.432090000000002</v>
      </c>
      <c r="AC18" s="16">
        <f>'[17]FOM Cost'!AD$150/1000-SUM('[17]FOM Cost'!AD$132:AD$136)/1000</f>
        <v>66.444210000000012</v>
      </c>
      <c r="AD18" s="16">
        <f>'[17]FOM Cost'!AE$150/1000-SUM('[17]FOM Cost'!AE$132:AE$136)/1000</f>
        <v>67.917249999999996</v>
      </c>
      <c r="AE18" s="16">
        <f>'[17]FOM Cost'!AF$150/1000-SUM('[17]FOM Cost'!AF$132:AF$136)/1000</f>
        <v>66.928879999999992</v>
      </c>
      <c r="AF18" s="16">
        <f>'[17]FOM Cost'!AG$150/1000-SUM('[17]FOM Cost'!AG$132:AG$136)/1000</f>
        <v>62.784119999999987</v>
      </c>
      <c r="AG18" s="16">
        <f>'[17]FOM Cost'!AH$150/1000-SUM('[17]FOM Cost'!AH$132:AH$136)/1000</f>
        <v>58.970110000000005</v>
      </c>
      <c r="AH18" s="16">
        <f>'[17]FOM Cost'!AI$150/1000-SUM('[17]FOM Cost'!AI$132:AI$136)/1000</f>
        <v>56.748150000000003</v>
      </c>
      <c r="AI18" s="16">
        <f>'[17]FOM Cost'!AJ$150/1000-SUM('[17]FOM Cost'!AJ$132:AJ$136)/1000</f>
        <v>57.936389999999996</v>
      </c>
      <c r="AJ18" s="16"/>
    </row>
    <row r="19" spans="1:36">
      <c r="A19" s="6" t="s">
        <v>67</v>
      </c>
      <c r="B19" s="16">
        <f>[17]System!B$13/1000</f>
        <v>390.67815999999999</v>
      </c>
      <c r="C19" s="16">
        <f>[17]System!C$13/1000</f>
        <v>384.87225999999998</v>
      </c>
      <c r="D19" s="16">
        <f>[17]System!D$13/1000</f>
        <v>381.80252000000002</v>
      </c>
      <c r="E19" s="16">
        <f>[17]System!E$13/1000</f>
        <v>381.80252000000002</v>
      </c>
      <c r="F19" s="16">
        <f>[17]System!F$13/1000</f>
        <v>382.80076000000003</v>
      </c>
      <c r="G19" s="16">
        <f>[17]System!G$13/1000</f>
        <v>381.80250999999998</v>
      </c>
      <c r="H19" s="16">
        <f>[17]System!H$13/1000</f>
        <v>381.80252000000002</v>
      </c>
      <c r="I19" s="16">
        <f>[17]System!I$13/1000</f>
        <v>381.80250999999998</v>
      </c>
      <c r="J19" s="16">
        <f>[17]System!J$13/1000</f>
        <v>382.80076000000003</v>
      </c>
      <c r="K19" s="16">
        <f>[17]System!K$13/1000</f>
        <v>381.80252000000002</v>
      </c>
      <c r="L19" s="16">
        <f>[17]System!L$13/1000</f>
        <v>381.80252000000002</v>
      </c>
      <c r="M19" s="16">
        <f>[17]System!M$13/1000</f>
        <v>381.80250999999998</v>
      </c>
      <c r="N19" s="16">
        <f>[17]System!N$13/1000</f>
        <v>382.80076000000003</v>
      </c>
      <c r="O19" s="16">
        <f>[17]System!O$13/1000</f>
        <v>381.80252000000002</v>
      </c>
      <c r="P19" s="16">
        <f>[17]System!P$13/1000</f>
        <v>462.23569000000003</v>
      </c>
      <c r="Q19" s="16">
        <f>[17]System!Q$13/1000</f>
        <v>521.52251999999999</v>
      </c>
      <c r="R19" s="16">
        <f>[17]System!R$13/1000</f>
        <v>535.07578999999998</v>
      </c>
      <c r="S19" s="16">
        <f>[17]System!S$13/1000</f>
        <v>544.75669999999991</v>
      </c>
      <c r="T19" s="16">
        <f>[17]System!T$13/1000</f>
        <v>573.23550999999998</v>
      </c>
      <c r="U19" s="16">
        <f>[17]System!U$13/1000</f>
        <v>593.57750999999996</v>
      </c>
      <c r="V19" s="16">
        <f>[17]System!V$13/1000</f>
        <v>608.53778</v>
      </c>
      <c r="W19" s="16">
        <f>[17]System!W$13/1000</f>
        <v>619.22370000000001</v>
      </c>
      <c r="X19" s="16">
        <f>[17]System!X$13/1000</f>
        <v>696.61036000000001</v>
      </c>
      <c r="Y19" s="16">
        <f>[17]System!Y$13/1000</f>
        <v>751.95618000000002</v>
      </c>
      <c r="Z19" s="16">
        <f>[17]System!Z$13/1000</f>
        <v>784.98285999999996</v>
      </c>
      <c r="AA19" s="16">
        <f>[17]System!AA$13/1000</f>
        <v>825.49950000000001</v>
      </c>
      <c r="AB19" s="16">
        <f>[17]System!AB$13/1000</f>
        <v>854.93898999999999</v>
      </c>
      <c r="AC19" s="119">
        <f>[17]System!AC$13/1000</f>
        <v>867.33136000000002</v>
      </c>
      <c r="AD19" s="211">
        <f>[17]System!AD$13/1000</f>
        <v>867.33136000000002</v>
      </c>
      <c r="AE19" s="16">
        <f>[17]System!AE$13/1000</f>
        <v>867.33136000000002</v>
      </c>
      <c r="AF19" s="16">
        <f>[17]System!AF$13/1000</f>
        <v>867.33136000000002</v>
      </c>
      <c r="AG19" s="16">
        <f>[17]System!AG$13/1000</f>
        <v>867.33136000000002</v>
      </c>
      <c r="AH19" s="16">
        <f>[17]System!AH$13/1000</f>
        <v>867.33136000000002</v>
      </c>
      <c r="AI19" s="16">
        <f>[17]System!AI$13/1000</f>
        <v>867.33136000000002</v>
      </c>
      <c r="AJ19" s="16"/>
    </row>
    <row r="20" spans="1:36">
      <c r="A20" s="6" t="s">
        <v>383</v>
      </c>
      <c r="B20" s="16">
        <f>'Program Admin Budget'!C105/1000000</f>
        <v>0</v>
      </c>
      <c r="C20" s="16">
        <f>'Program Admin Budget'!D105/1000000</f>
        <v>1.0200790961866668</v>
      </c>
      <c r="D20" s="16">
        <f>'Program Admin Budget'!E105/1000000</f>
        <v>0.6275365374466666</v>
      </c>
      <c r="E20" s="16">
        <f>'Program Admin Budget'!F105/1000000</f>
        <v>0.68307619099066674</v>
      </c>
      <c r="F20" s="16">
        <f>'Program Admin Budget'!G105/1000000</f>
        <v>0.67471288001039997</v>
      </c>
      <c r="G20" s="16">
        <f>'Program Admin Budget'!H105/1000000</f>
        <v>0.65619743327906666</v>
      </c>
      <c r="H20" s="16">
        <f>'Program Admin Budget'!I105/1000000</f>
        <v>0.51050195073344673</v>
      </c>
      <c r="I20" s="16">
        <f>'Program Admin Budget'!J105/1000000</f>
        <v>0.56509226722358352</v>
      </c>
      <c r="J20" s="16">
        <f>'Program Admin Budget'!K105/1000000</f>
        <v>0.52413609409135764</v>
      </c>
      <c r="K20" s="16">
        <f>'Program Admin Budget'!L105/1000000</f>
        <v>0.54544233186889834</v>
      </c>
      <c r="L20" s="16">
        <f>'Program Admin Budget'!M105/1000000</f>
        <v>0.58902085979309859</v>
      </c>
      <c r="M20" s="16">
        <f>'Program Admin Budget'!N105/1000000</f>
        <v>0.37240217849023277</v>
      </c>
      <c r="N20" s="16">
        <f>'Program Admin Budget'!O105/1000000</f>
        <v>0.3688563987997398</v>
      </c>
      <c r="O20" s="16">
        <f>'Program Admin Budget'!P105/1000000</f>
        <v>0.42743734873186529</v>
      </c>
      <c r="P20" s="16">
        <f>'Program Admin Budget'!Q105/1000000</f>
        <v>0.38235152804488787</v>
      </c>
      <c r="Q20" s="16">
        <f>'Program Admin Budget'!R105/1000000</f>
        <v>0.3994042288410346</v>
      </c>
      <c r="R20" s="16">
        <f>'Program Admin Budget'!S105/1000000</f>
        <v>0.43860161367439893</v>
      </c>
      <c r="S20" s="16">
        <f>'Program Admin Budget'!T105/1000000</f>
        <v>0.4141507209356976</v>
      </c>
      <c r="T20" s="16">
        <f>'Program Admin Budget'!U105/1000000</f>
        <v>0.41185739751856848</v>
      </c>
      <c r="U20" s="16">
        <f>'Program Admin Budget'!V105/1000000</f>
        <v>0.47172837741225887</v>
      </c>
      <c r="V20" s="16">
        <f>'Program Admin Budget'!W105/1000000</f>
        <v>0.42797128758569336</v>
      </c>
      <c r="W20" s="16">
        <f>'Program Admin Budget'!X105/1000000</f>
        <v>0.44639258116806418</v>
      </c>
      <c r="X20" s="16">
        <f>'Program Admin Budget'!Y105/1000000</f>
        <v>0.48699961657123941</v>
      </c>
      <c r="Y20" s="16">
        <f>'Program Admin Budget'!Z105/1000000</f>
        <v>0.46400066391944333</v>
      </c>
      <c r="Z20" s="16">
        <f>'Program Admin Budget'!AA105/1000000</f>
        <v>0.46320283879182667</v>
      </c>
      <c r="AA20" s="16">
        <f>'Program Admin Budget'!AB105/1000000</f>
        <v>0.52461418192371467</v>
      </c>
      <c r="AB20" s="16">
        <f>'Program Admin Budget'!AC105/1000000</f>
        <v>0.44572711472582627</v>
      </c>
      <c r="AC20" s="16">
        <f>'Program Admin Budget'!AD105/1000000</f>
        <v>0.48078257966760096</v>
      </c>
      <c r="AD20" s="16">
        <f>'Program Admin Budget'!AE105/1000000</f>
        <v>0.4661397085576291</v>
      </c>
      <c r="AE20" s="16">
        <f>'Program Admin Budget'!AF105/1000000</f>
        <v>0.49780755131435794</v>
      </c>
      <c r="AF20" s="16">
        <f>'Program Admin Budget'!AG105/1000000</f>
        <v>0.48779542935378872</v>
      </c>
      <c r="AG20" s="16">
        <f>'Program Admin Budget'!AH105/1000000</f>
        <v>0.52411294373440231</v>
      </c>
      <c r="AH20" s="16">
        <f>'Program Admin Budget'!AI105/1000000</f>
        <v>0.49316099354643445</v>
      </c>
      <c r="AI20" s="16">
        <f>'Program Admin Budget'!AJ105/1000000</f>
        <v>0.49494976455282746</v>
      </c>
      <c r="AJ20" s="16"/>
    </row>
    <row r="21" spans="1:36">
      <c r="A21" s="6" t="s">
        <v>65</v>
      </c>
      <c r="B21" s="16">
        <f>'[17]Fuel Cost'!C$150/1000</f>
        <v>849.84470000000033</v>
      </c>
      <c r="C21" s="16">
        <f>'[17]Fuel Cost'!D$150/1000</f>
        <v>858.9478899999998</v>
      </c>
      <c r="D21" s="16">
        <f>'[17]Fuel Cost'!E$150/1000</f>
        <v>875.38603999999964</v>
      </c>
      <c r="E21" s="16">
        <f>'[17]Fuel Cost'!F$150/1000</f>
        <v>877.50779999999975</v>
      </c>
      <c r="F21" s="16">
        <f>'[17]Fuel Cost'!G$150/1000</f>
        <v>864.54453999999998</v>
      </c>
      <c r="G21" s="16">
        <f>'[17]Fuel Cost'!H$150/1000</f>
        <v>923.5088300000001</v>
      </c>
      <c r="H21" s="16">
        <f>'[17]Fuel Cost'!I$150/1000</f>
        <v>1003.8506400000002</v>
      </c>
      <c r="I21" s="16">
        <f>'[17]Fuel Cost'!J$150/1000</f>
        <v>1129.6532100000002</v>
      </c>
      <c r="J21" s="16">
        <f>'[17]Fuel Cost'!K$150/1000</f>
        <v>1302.9621600000005</v>
      </c>
      <c r="K21" s="16">
        <f>'[17]Fuel Cost'!L$150/1000</f>
        <v>1410.1394500000001</v>
      </c>
      <c r="L21" s="16">
        <f>'[17]Fuel Cost'!M$150/1000</f>
        <v>1506.7956199999999</v>
      </c>
      <c r="M21" s="16">
        <f>'[17]Fuel Cost'!N$150/1000</f>
        <v>1572.2594799999997</v>
      </c>
      <c r="N21" s="16">
        <f>'[17]Fuel Cost'!O$150/1000</f>
        <v>1678.3401700000006</v>
      </c>
      <c r="O21" s="16">
        <f>'[17]Fuel Cost'!P$150/1000</f>
        <v>1692.7167500000003</v>
      </c>
      <c r="P21" s="16">
        <f>'[17]Fuel Cost'!Q$150/1000</f>
        <v>1739.0898600000003</v>
      </c>
      <c r="Q21" s="16">
        <f>'[17]Fuel Cost'!R$150/1000</f>
        <v>1803.4695999999999</v>
      </c>
      <c r="R21" s="16">
        <f>'[17]Fuel Cost'!S$150/1000</f>
        <v>1860.4976999999997</v>
      </c>
      <c r="S21" s="16">
        <f>'[17]Fuel Cost'!T$150/1000</f>
        <v>2013.4862800000005</v>
      </c>
      <c r="T21" s="16">
        <f>'[17]Fuel Cost'!U$150/1000</f>
        <v>2131.1944000000003</v>
      </c>
      <c r="U21" s="16">
        <f>'[17]Fuel Cost'!V$150/1000</f>
        <v>2209.40814</v>
      </c>
      <c r="V21" s="16">
        <f>'[17]Fuel Cost'!W$150/1000</f>
        <v>2326.6303599999992</v>
      </c>
      <c r="W21" s="16">
        <f>'[17]Fuel Cost'!X$150/1000</f>
        <v>2442.3216300000004</v>
      </c>
      <c r="X21" s="16">
        <f>'[17]Fuel Cost'!Y$150/1000</f>
        <v>2501.8181600000003</v>
      </c>
      <c r="Y21" s="16">
        <f>'[17]Fuel Cost'!Z$150/1000</f>
        <v>2557.0653500000012</v>
      </c>
      <c r="Z21" s="16">
        <f>'[17]Fuel Cost'!AA$150/1000</f>
        <v>2700.4764300000006</v>
      </c>
      <c r="AA21" s="16">
        <f>'[17]Fuel Cost'!AB$150/1000</f>
        <v>2870.6227799999992</v>
      </c>
      <c r="AB21" s="16">
        <f>'[17]Fuel Cost'!AC$150/1000</f>
        <v>3020.6877499999996</v>
      </c>
      <c r="AC21" s="119">
        <f>'[17]Fuel Cost'!AD$150/1000</f>
        <v>3065.0192800000004</v>
      </c>
      <c r="AD21" s="211">
        <f>'[17]Fuel Cost'!AE$150/1000</f>
        <v>3187.9065000000001</v>
      </c>
      <c r="AE21" s="16">
        <f>'[17]Fuel Cost'!AF$150/1000</f>
        <v>3239.1346899999994</v>
      </c>
      <c r="AF21" s="16">
        <f>'[17]Fuel Cost'!AG$150/1000</f>
        <v>3316.1685399999997</v>
      </c>
      <c r="AG21" s="16">
        <f>'[17]Fuel Cost'!AH$150/1000</f>
        <v>3424.9899700000001</v>
      </c>
      <c r="AH21" s="16">
        <f>'[17]Fuel Cost'!AI$150/1000</f>
        <v>3565.3097900000007</v>
      </c>
      <c r="AI21" s="16">
        <f>'[17]Fuel Cost'!AJ$150/1000</f>
        <v>3687.7761499999997</v>
      </c>
      <c r="AJ21" s="16"/>
    </row>
    <row r="22" spans="1:36">
      <c r="A22" s="6" t="s">
        <v>52</v>
      </c>
      <c r="B22" s="16">
        <f>('[17]Start Cost'!C$150+'[17]VOM Cost'!C$150)/1000+([17]System!B$7+[17]System!B$9)/1000</f>
        <v>86.065810000000013</v>
      </c>
      <c r="C22" s="16">
        <f>('[17]Start Cost'!D$150+'[17]VOM Cost'!D$150)/1000+([17]System!C$7+[17]System!C$9)/1000</f>
        <v>91.133150000000001</v>
      </c>
      <c r="D22" s="16">
        <f>('[17]Start Cost'!E$150+'[17]VOM Cost'!E$150)/1000+([17]System!D$7+[17]System!D$9)/1000</f>
        <v>97.62521999999997</v>
      </c>
      <c r="E22" s="16">
        <f>('[17]Start Cost'!F$150+'[17]VOM Cost'!F$150)/1000+([17]System!E$7+[17]System!E$9)/1000</f>
        <v>102.71341000000001</v>
      </c>
      <c r="F22" s="16">
        <f>('[17]Start Cost'!G$150+'[17]VOM Cost'!G$150)/1000+([17]System!F$7+[17]System!F$9)/1000</f>
        <v>111.5038</v>
      </c>
      <c r="G22" s="16">
        <f>('[17]Start Cost'!H$150+'[17]VOM Cost'!H$150)/1000+([17]System!G$7+[17]System!G$9)/1000</f>
        <v>124.92071000000001</v>
      </c>
      <c r="H22" s="16">
        <f>('[17]Start Cost'!I$150+'[17]VOM Cost'!I$150)/1000+([17]System!H$7+[17]System!H$9)/1000</f>
        <v>146.44118</v>
      </c>
      <c r="I22" s="16">
        <f>('[17]Start Cost'!J$150+'[17]VOM Cost'!J$150)/1000+([17]System!I$7+[17]System!I$9)/1000</f>
        <v>166.04507000000001</v>
      </c>
      <c r="J22" s="16">
        <f>('[17]Start Cost'!K$150+'[17]VOM Cost'!K$150)/1000+([17]System!J$7+[17]System!J$9)/1000</f>
        <v>188.51525000000004</v>
      </c>
      <c r="K22" s="16">
        <f>('[17]Start Cost'!L$150+'[17]VOM Cost'!L$150)/1000+([17]System!K$7+[17]System!K$9)/1000</f>
        <v>203.21409000000003</v>
      </c>
      <c r="L22" s="16">
        <f>('[17]Start Cost'!M$150+'[17]VOM Cost'!M$150)/1000+([17]System!L$7+[17]System!L$9)/1000</f>
        <v>225.73948999999999</v>
      </c>
      <c r="M22" s="16">
        <f>('[17]Start Cost'!N$150+'[17]VOM Cost'!N$150)/1000+([17]System!M$7+[17]System!M$9)/1000</f>
        <v>246.49571</v>
      </c>
      <c r="N22" s="16">
        <f>('[17]Start Cost'!O$150+'[17]VOM Cost'!O$150)/1000+([17]System!N$7+[17]System!N$9)/1000</f>
        <v>259.3813300000001</v>
      </c>
      <c r="O22" s="16">
        <f>('[17]Start Cost'!P$150+'[17]VOM Cost'!P$150)/1000+([17]System!O$7+[17]System!O$9)/1000</f>
        <v>278.56420000000003</v>
      </c>
      <c r="P22" s="16">
        <f>('[17]Start Cost'!Q$150+'[17]VOM Cost'!Q$150)/1000+([17]System!P$7+[17]System!P$9)/1000</f>
        <v>282.93997000000002</v>
      </c>
      <c r="Q22" s="16">
        <f>('[17]Start Cost'!R$150+'[17]VOM Cost'!R$150)/1000+([17]System!Q$7+[17]System!Q$9)/1000</f>
        <v>296.89669000000004</v>
      </c>
      <c r="R22" s="16">
        <f>('[17]Start Cost'!S$150+'[17]VOM Cost'!S$150)/1000+([17]System!R$7+[17]System!R$9)/1000</f>
        <v>316.81247000000002</v>
      </c>
      <c r="S22" s="16">
        <f>('[17]Start Cost'!T$150+'[17]VOM Cost'!T$150)/1000+([17]System!S$7+[17]System!S$9)/1000</f>
        <v>357.30599000000001</v>
      </c>
      <c r="T22" s="16">
        <f>('[17]Start Cost'!U$150+'[17]VOM Cost'!U$150)/1000+([17]System!T$7+[17]System!T$9)/1000</f>
        <v>375.06981999999999</v>
      </c>
      <c r="U22" s="16">
        <f>('[17]Start Cost'!V$150+'[17]VOM Cost'!V$150)/1000+([17]System!U$7+[17]System!U$9)/1000</f>
        <v>415.28683999999998</v>
      </c>
      <c r="V22" s="16">
        <f>('[17]Start Cost'!W$150+'[17]VOM Cost'!W$150)/1000+([17]System!V$7+[17]System!V$9)/1000</f>
        <v>423.29134000000005</v>
      </c>
      <c r="W22" s="16">
        <f>('[17]Start Cost'!X$150+'[17]VOM Cost'!X$150)/1000+([17]System!W$7+[17]System!W$9)/1000</f>
        <v>449.62477999999999</v>
      </c>
      <c r="X22" s="16">
        <f>('[17]Start Cost'!Y$150+'[17]VOM Cost'!Y$150)/1000+([17]System!X$7+[17]System!X$9)/1000</f>
        <v>456.62119000000001</v>
      </c>
      <c r="Y22" s="16">
        <f>('[17]Start Cost'!Z$150+'[17]VOM Cost'!Z$150)/1000+([17]System!Y$7+[17]System!Y$9)/1000</f>
        <v>477.56728999999996</v>
      </c>
      <c r="Z22" s="16">
        <f>('[17]Start Cost'!AA$150+'[17]VOM Cost'!AA$150)/1000+([17]System!Z$7+[17]System!Z$9)/1000</f>
        <v>493.29046999999997</v>
      </c>
      <c r="AA22" s="16">
        <f>('[17]Start Cost'!AB$150+'[17]VOM Cost'!AB$150)/1000+([17]System!AA$7+[17]System!AA$9)/1000</f>
        <v>521.51936000000001</v>
      </c>
      <c r="AB22" s="16">
        <f>('[17]Start Cost'!AC$150+'[17]VOM Cost'!AC$150)/1000+([17]System!AB$7+[17]System!AB$9)/1000</f>
        <v>537.97528</v>
      </c>
      <c r="AC22" s="119">
        <f>('[17]Start Cost'!AD$150+'[17]VOM Cost'!AD$150)/1000+([17]System!AC$7+[17]System!AC$9)/1000</f>
        <v>567.27413000000013</v>
      </c>
      <c r="AD22" s="211">
        <f>('[17]Start Cost'!AE$150+'[17]VOM Cost'!AE$150)/1000+([17]System!AD$7+[17]System!AD$9)/1000</f>
        <v>584.24097999999992</v>
      </c>
      <c r="AE22" s="16">
        <f>('[17]Start Cost'!AF$150+'[17]VOM Cost'!AF$150)/1000+([17]System!AE$7+[17]System!AE$9)/1000</f>
        <v>607.21744000000001</v>
      </c>
      <c r="AF22" s="16">
        <f>('[17]Start Cost'!AG$150+'[17]VOM Cost'!AG$150)/1000+([17]System!AF$7+[17]System!AF$9)/1000</f>
        <v>626.11673999999994</v>
      </c>
      <c r="AG22" s="16">
        <f>('[17]Start Cost'!AH$150+'[17]VOM Cost'!AH$150)/1000+([17]System!AG$7+[17]System!AG$9)/1000</f>
        <v>670.98975999999993</v>
      </c>
      <c r="AH22" s="16">
        <f>('[17]Start Cost'!AI$150+'[17]VOM Cost'!AI$150)/1000+([17]System!AH$7+[17]System!AH$9)/1000</f>
        <v>673.0362100000001</v>
      </c>
      <c r="AI22" s="16">
        <f>('[17]Start Cost'!AJ$150+'[17]VOM Cost'!AJ$150)/1000+([17]System!AI$7+[17]System!AI$9)/1000</f>
        <v>704.21002999999985</v>
      </c>
      <c r="AJ22" s="16"/>
    </row>
    <row r="23" spans="1:36">
      <c r="A23" s="36" t="s">
        <v>66</v>
      </c>
      <c r="B23" s="374">
        <f>('[17]Reagent Cost'!C$150+'[17]SO2 Cost'!C$150+'[17]NOx Cost'!C$150+'[17]Lime Cost'!C$150)/1000</f>
        <v>6.2319722000000004</v>
      </c>
      <c r="C23" s="374">
        <f>('[17]Reagent Cost'!D$150+'[17]SO2 Cost'!D$150+'[17]NOx Cost'!D$150+'[17]Lime Cost'!D$150)/1000</f>
        <v>6.4714661999999992</v>
      </c>
      <c r="D23" s="374">
        <f>('[17]Reagent Cost'!E$150+'[17]SO2 Cost'!E$150+'[17]NOx Cost'!E$150+'[17]Lime Cost'!E$150)/1000</f>
        <v>6.3036658000000001</v>
      </c>
      <c r="E23" s="374">
        <f>('[17]Reagent Cost'!F$150+'[17]SO2 Cost'!F$150+'[17]NOx Cost'!F$150+'[17]Lime Cost'!F$150)/1000</f>
        <v>5.6636310000000014</v>
      </c>
      <c r="F23" s="374">
        <f>('[17]Reagent Cost'!G$150+'[17]SO2 Cost'!G$150+'[17]NOx Cost'!G$150+'[17]Lime Cost'!G$150)/1000</f>
        <v>5.4973417999999992</v>
      </c>
      <c r="G23" s="374">
        <f>('[17]Reagent Cost'!H$150+'[17]SO2 Cost'!H$150+'[17]NOx Cost'!H$150+'[17]Lime Cost'!H$150)/1000</f>
        <v>5.9254240000000005</v>
      </c>
      <c r="H23" s="119">
        <f>('[17]Reagent Cost'!I$150+'[17]SO2 Cost'!I$150+'[17]NOx Cost'!I$150+'[17]Lime Cost'!I$150)/1000</f>
        <v>6.1032783999999989</v>
      </c>
      <c r="I23" s="119">
        <f>('[17]Reagent Cost'!J$150+'[17]SO2 Cost'!J$150+'[17]NOx Cost'!J$150+'[17]Lime Cost'!J$150)/1000</f>
        <v>6.4847778000000007</v>
      </c>
      <c r="J23" s="119">
        <f>('[17]Reagent Cost'!K$150+'[17]SO2 Cost'!K$150+'[17]NOx Cost'!K$150+'[17]Lime Cost'!K$150)/1000</f>
        <v>7.3321081000000001</v>
      </c>
      <c r="K23" s="119">
        <f>('[17]Reagent Cost'!L$150+'[17]SO2 Cost'!L$150+'[17]NOx Cost'!L$150+'[17]Lime Cost'!L$150)/1000</f>
        <v>7.547326299999999</v>
      </c>
      <c r="L23" s="119">
        <f>('[17]Reagent Cost'!M$150+'[17]SO2 Cost'!M$150+'[17]NOx Cost'!M$150+'[17]Lime Cost'!M$150)/1000</f>
        <v>8.1173807</v>
      </c>
      <c r="M23" s="119">
        <f>('[17]Reagent Cost'!N$150+'[17]SO2 Cost'!N$150+'[17]NOx Cost'!N$150+'[17]Lime Cost'!N$150)/1000</f>
        <v>7.6266854999999998</v>
      </c>
      <c r="N23" s="119">
        <f>('[17]Reagent Cost'!O$150+'[17]SO2 Cost'!O$150+'[17]NOx Cost'!O$150+'[17]Lime Cost'!O$150)/1000</f>
        <v>7.351955600000001</v>
      </c>
      <c r="O23" s="119">
        <f>('[17]Reagent Cost'!P$150+'[17]SO2 Cost'!P$150+'[17]NOx Cost'!P$150+'[17]Lime Cost'!P$150)/1000</f>
        <v>6.4641424000000001</v>
      </c>
      <c r="P23" s="119">
        <f>('[17]Reagent Cost'!Q$150+'[17]SO2 Cost'!Q$150+'[17]NOx Cost'!Q$150+'[17]Lime Cost'!Q$150)/1000</f>
        <v>2.9753381000000001</v>
      </c>
      <c r="Q23" s="119">
        <f>('[17]Reagent Cost'!R$150+'[17]SO2 Cost'!R$150+'[17]NOx Cost'!R$150+'[17]Lime Cost'!R$150)/1000</f>
        <v>1.6802000000000001</v>
      </c>
      <c r="R23" s="119">
        <f>('[17]Reagent Cost'!S$150+'[17]SO2 Cost'!S$150+'[17]NOx Cost'!S$150+'[17]Lime Cost'!S$150)/1000</f>
        <v>1.6908999999999998</v>
      </c>
      <c r="S23" s="119">
        <f>('[17]Reagent Cost'!T$150+'[17]SO2 Cost'!T$150+'[17]NOx Cost'!T$150+'[17]Lime Cost'!T$150)/1000</f>
        <v>1.71424</v>
      </c>
      <c r="T23" s="119">
        <f>('[17]Reagent Cost'!U$150+'[17]SO2 Cost'!U$150+'[17]NOx Cost'!U$150+'[17]Lime Cost'!U$150)/1000</f>
        <v>1.7341299999999999</v>
      </c>
      <c r="U23" s="119">
        <f>('[17]Reagent Cost'!V$150+'[17]SO2 Cost'!V$150+'[17]NOx Cost'!V$150+'[17]Lime Cost'!V$150)/1000</f>
        <v>1.7513700000000003</v>
      </c>
      <c r="V23" s="119">
        <f>('[17]Reagent Cost'!W$150+'[17]SO2 Cost'!W$150+'[17]NOx Cost'!W$150+'[17]Lime Cost'!W$150)/1000</f>
        <v>1.78749</v>
      </c>
      <c r="W23" s="119">
        <f>('[17]Reagent Cost'!X$150+'[17]SO2 Cost'!X$150+'[17]NOx Cost'!X$150+'[17]Lime Cost'!X$150)/1000</f>
        <v>1.79938</v>
      </c>
      <c r="X23" s="119">
        <f>('[17]Reagent Cost'!Y$150+'[17]SO2 Cost'!Y$150+'[17]NOx Cost'!Y$150+'[17]Lime Cost'!Y$150)/1000</f>
        <v>1.7955399999999999</v>
      </c>
      <c r="Y23" s="119">
        <f>('[17]Reagent Cost'!Z$150+'[17]SO2 Cost'!Z$150+'[17]NOx Cost'!Z$150+'[17]Lime Cost'!Z$150)/1000</f>
        <v>1.82193</v>
      </c>
      <c r="Z23" s="119">
        <f>('[17]Reagent Cost'!AA$150+'[17]SO2 Cost'!AA$150+'[17]NOx Cost'!AA$150+'[17]Lime Cost'!AA$150)/1000</f>
        <v>1.8406800000000003</v>
      </c>
      <c r="AA23" s="119">
        <f>('[17]Reagent Cost'!AB$150+'[17]SO2 Cost'!AB$150+'[17]NOx Cost'!AB$150+'[17]Lime Cost'!AB$150)/1000</f>
        <v>1.8510199999999999</v>
      </c>
      <c r="AB23" s="119">
        <f>('[17]Reagent Cost'!AC$150+'[17]SO2 Cost'!AC$150+'[17]NOx Cost'!AC$150+'[17]Lime Cost'!AC$150)/1000</f>
        <v>1.8873399999999998</v>
      </c>
      <c r="AC23" s="119">
        <f>('[17]Reagent Cost'!AD$150+'[17]SO2 Cost'!AD$150+'[17]NOx Cost'!AD$150+'[17]Lime Cost'!AD$150)/1000</f>
        <v>1.8878499999999998</v>
      </c>
      <c r="AD23" s="211">
        <f>('[17]Reagent Cost'!AE$150+'[17]SO2 Cost'!AE$150+'[17]NOx Cost'!AE$150+'[17]Lime Cost'!AE$150)/1000</f>
        <v>1.90036</v>
      </c>
      <c r="AE23" s="119">
        <f>('[17]Reagent Cost'!AF$150+'[17]SO2 Cost'!AF$150+'[17]NOx Cost'!AF$150+'[17]Lime Cost'!AF$150)/1000</f>
        <v>1.9022699999999999</v>
      </c>
      <c r="AF23" s="119">
        <f>('[17]Reagent Cost'!AG$150+'[17]SO2 Cost'!AG$150+'[17]NOx Cost'!AG$150+'[17]Lime Cost'!AG$150)/1000</f>
        <v>1.9350800000000001</v>
      </c>
      <c r="AG23" s="119">
        <f>('[17]Reagent Cost'!AH$150+'[17]SO2 Cost'!AH$150+'[17]NOx Cost'!AH$150+'[17]Lime Cost'!AH$150)/1000</f>
        <v>1.9508300000000003</v>
      </c>
      <c r="AH23" s="119">
        <f>('[17]Reagent Cost'!AI$150+'[17]SO2 Cost'!AI$150+'[17]NOx Cost'!AI$150+'[17]Lime Cost'!AI$150)/1000</f>
        <v>1.9984999999999999</v>
      </c>
      <c r="AI23" s="119">
        <f>('[17]Reagent Cost'!AJ$150+'[17]SO2 Cost'!AJ$150+'[17]NOx Cost'!AJ$150+'[17]Lime Cost'!AJ$150)/1000</f>
        <v>2.0265000000000004</v>
      </c>
      <c r="AJ23" s="119"/>
    </row>
    <row r="24" spans="1:36">
      <c r="A24" s="12" t="s">
        <v>69</v>
      </c>
      <c r="B24" s="212">
        <f>+'[17]CO2 Cost'!C$150/1000</f>
        <v>0</v>
      </c>
      <c r="C24" s="212">
        <f>+'[17]CO2 Cost'!D$150/1000</f>
        <v>0</v>
      </c>
      <c r="D24" s="212">
        <f>+'[17]CO2 Cost'!E$150/1000</f>
        <v>0</v>
      </c>
      <c r="E24" s="212">
        <f>+'[17]CO2 Cost'!F$150/1000</f>
        <v>0</v>
      </c>
      <c r="F24" s="212">
        <f>+'[17]CO2 Cost'!G$150/1000</f>
        <v>0</v>
      </c>
      <c r="G24" s="212">
        <f>+'[17]CO2 Cost'!H$150/1000</f>
        <v>97.605150000000009</v>
      </c>
      <c r="H24" s="212">
        <f>+'[17]CO2 Cost'!I$150/1000</f>
        <v>176.10045000000002</v>
      </c>
      <c r="I24" s="212">
        <f>+'[17]CO2 Cost'!J$150/1000</f>
        <v>256.17451</v>
      </c>
      <c r="J24" s="212">
        <f>+'[17]CO2 Cost'!K$150/1000</f>
        <v>343.53634999999997</v>
      </c>
      <c r="K24" s="212">
        <f>+'[17]CO2 Cost'!L$150/1000</f>
        <v>425.55002999999994</v>
      </c>
      <c r="L24" s="212">
        <f>+'[17]CO2 Cost'!M$150/1000</f>
        <v>515.72596999999996</v>
      </c>
      <c r="M24" s="212">
        <f>+'[17]CO2 Cost'!N$150/1000</f>
        <v>582.98306999999988</v>
      </c>
      <c r="N24" s="212">
        <f>+'[17]CO2 Cost'!O$150/1000</f>
        <v>665.26233000000025</v>
      </c>
      <c r="O24" s="212">
        <f>+'[17]CO2 Cost'!P$150/1000</f>
        <v>738.66903000000002</v>
      </c>
      <c r="P24" s="212">
        <f>+'[17]CO2 Cost'!Q$150/1000</f>
        <v>761.3131199999998</v>
      </c>
      <c r="Q24" s="212">
        <f>+'[17]CO2 Cost'!R$150/1000</f>
        <v>814.40692999999999</v>
      </c>
      <c r="R24" s="212">
        <f>+'[17]CO2 Cost'!S$150/1000</f>
        <v>993.12838000000022</v>
      </c>
      <c r="S24" s="212">
        <f>+'[17]CO2 Cost'!T$150/1000</f>
        <v>1170.0626200000004</v>
      </c>
      <c r="T24" s="212">
        <f>+'[17]CO2 Cost'!U$150/1000</f>
        <v>1352.3217600000005</v>
      </c>
      <c r="U24" s="212">
        <f>+'[17]CO2 Cost'!V$150/1000</f>
        <v>1546.1828899999998</v>
      </c>
      <c r="V24" s="212">
        <f>+'[17]CO2 Cost'!W$150/1000</f>
        <v>1733.2626900000002</v>
      </c>
      <c r="W24" s="212">
        <f>+'[17]CO2 Cost'!X$150/1000</f>
        <v>1932.0488000000003</v>
      </c>
      <c r="X24" s="212">
        <f>+'[17]CO2 Cost'!Y$150/1000</f>
        <v>2081.40969</v>
      </c>
      <c r="Y24" s="212">
        <f>+'[17]CO2 Cost'!Z$150/1000</f>
        <v>2252.13436</v>
      </c>
      <c r="Z24" s="212">
        <f>+'[17]CO2 Cost'!AA$150/1000</f>
        <v>2466.6423200000004</v>
      </c>
      <c r="AA24" s="212">
        <f>+'[17]CO2 Cost'!AB$150/1000</f>
        <v>2662.9929000000002</v>
      </c>
      <c r="AB24" s="212">
        <f>+'[17]CO2 Cost'!AC$150/1000</f>
        <v>2878.4512500000005</v>
      </c>
      <c r="AC24" s="212">
        <f>+'[17]CO2 Cost'!AD$150/1000</f>
        <v>3054.2980599999996</v>
      </c>
      <c r="AD24" s="213">
        <f>+'[17]CO2 Cost'!AE$150/1000</f>
        <v>3247.6542000000004</v>
      </c>
      <c r="AE24" s="212">
        <f>+'[17]CO2 Cost'!AF$150/1000</f>
        <v>3421.3014200000011</v>
      </c>
      <c r="AF24" s="212">
        <f>+'[17]CO2 Cost'!AG$150/1000</f>
        <v>3645.3358800000005</v>
      </c>
      <c r="AG24" s="212">
        <f>+'[17]CO2 Cost'!AH$150/1000</f>
        <v>3853.5498699999989</v>
      </c>
      <c r="AH24" s="212">
        <f>+'[17]CO2 Cost'!AI$150/1000</f>
        <v>4101.1741199999988</v>
      </c>
      <c r="AI24" s="212">
        <f>+'[17]CO2 Cost'!AJ$150/1000</f>
        <v>4325.4047599999994</v>
      </c>
      <c r="AJ24" s="212"/>
    </row>
    <row r="25" spans="1:36">
      <c r="A25" s="6" t="s">
        <v>61</v>
      </c>
      <c r="B25" s="15">
        <f t="shared" ref="B25:AG25" si="7">SUM(B15:B24)</f>
        <v>1843.4621723822067</v>
      </c>
      <c r="C25" s="15">
        <f t="shared" si="7"/>
        <v>1877.6831659908482</v>
      </c>
      <c r="D25" s="15">
        <f t="shared" si="7"/>
        <v>1968.8353455426432</v>
      </c>
      <c r="E25" s="15">
        <f t="shared" si="7"/>
        <v>2045.5415189858193</v>
      </c>
      <c r="F25" s="15">
        <f t="shared" si="7"/>
        <v>1932.4293537419551</v>
      </c>
      <c r="G25" s="15">
        <f t="shared" si="7"/>
        <v>1934.2610746940886</v>
      </c>
      <c r="H25" s="15">
        <f t="shared" si="7"/>
        <v>2004.369475207598</v>
      </c>
      <c r="I25" s="15">
        <f t="shared" si="7"/>
        <v>2199.9307270592908</v>
      </c>
      <c r="J25" s="15">
        <f t="shared" si="7"/>
        <v>2474.0451785283308</v>
      </c>
      <c r="K25" s="15">
        <f t="shared" si="7"/>
        <v>2682.6177879607376</v>
      </c>
      <c r="L25" s="15">
        <f t="shared" si="7"/>
        <v>2894.8580840925356</v>
      </c>
      <c r="M25" s="15">
        <f t="shared" si="7"/>
        <v>3053.6518428188883</v>
      </c>
      <c r="N25" s="15">
        <f t="shared" si="7"/>
        <v>3257.9753439215328</v>
      </c>
      <c r="O25" s="15">
        <f t="shared" si="7"/>
        <v>3369.0938458492383</v>
      </c>
      <c r="P25" s="15">
        <f t="shared" si="7"/>
        <v>3679.1914442779703</v>
      </c>
      <c r="Q25" s="15">
        <f t="shared" si="7"/>
        <v>4243.6831696424688</v>
      </c>
      <c r="R25" s="15">
        <f t="shared" si="7"/>
        <v>4506.9960292828337</v>
      </c>
      <c r="S25" s="15">
        <f t="shared" si="7"/>
        <v>4876.9880642519147</v>
      </c>
      <c r="T25" s="15">
        <f t="shared" si="7"/>
        <v>5241.4232435957801</v>
      </c>
      <c r="U25" s="15">
        <f t="shared" si="7"/>
        <v>5575.3422638294787</v>
      </c>
      <c r="V25" s="15">
        <f t="shared" si="7"/>
        <v>5896.1407836492726</v>
      </c>
      <c r="W25" s="15">
        <f t="shared" si="7"/>
        <v>6236.5807745676766</v>
      </c>
      <c r="X25" s="15">
        <f t="shared" si="7"/>
        <v>6640.0277742477574</v>
      </c>
      <c r="Y25" s="15">
        <f t="shared" si="7"/>
        <v>7311.6657220230381</v>
      </c>
      <c r="Z25" s="15">
        <f t="shared" si="7"/>
        <v>7716.9728031591494</v>
      </c>
      <c r="AA25" s="15">
        <f t="shared" si="7"/>
        <v>8156.6596955408213</v>
      </c>
      <c r="AB25" s="15">
        <f t="shared" si="7"/>
        <v>8560.6051262421006</v>
      </c>
      <c r="AC25" s="52">
        <f t="shared" si="7"/>
        <v>8798.911569132857</v>
      </c>
      <c r="AD25" s="214">
        <f t="shared" si="7"/>
        <v>9099.287287289435</v>
      </c>
      <c r="AE25" s="15">
        <f t="shared" si="7"/>
        <v>9306.7194811365662</v>
      </c>
      <c r="AF25" s="15">
        <f t="shared" si="7"/>
        <v>9574.2594155735133</v>
      </c>
      <c r="AG25" s="15">
        <f t="shared" si="7"/>
        <v>9887.6816822597175</v>
      </c>
      <c r="AH25" s="15">
        <f t="shared" ref="AH25" si="8">SUM(AH15:AH24)</f>
        <v>10216.87014310517</v>
      </c>
      <c r="AI25" s="15">
        <f t="shared" ref="AI25" si="9">SUM(AI15:AI24)</f>
        <v>10542.111640545139</v>
      </c>
      <c r="AJ25" s="15"/>
    </row>
    <row r="26" spans="1:36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19"/>
      <c r="AD26" s="211"/>
      <c r="AE26" s="16"/>
      <c r="AF26" s="16"/>
      <c r="AG26" s="16"/>
      <c r="AH26" s="16"/>
      <c r="AI26" s="16"/>
      <c r="AJ26" s="16"/>
    </row>
    <row r="27" spans="1:36">
      <c r="A27" s="6" t="s">
        <v>62</v>
      </c>
      <c r="AC27" s="36"/>
      <c r="AD27" s="215"/>
    </row>
    <row r="28" spans="1:36">
      <c r="A28" s="152" t="str">
        <f>A1</f>
        <v>SoBra 700MWs</v>
      </c>
      <c r="B28" s="152">
        <f>$B$1</f>
        <v>2020</v>
      </c>
      <c r="C28" s="152">
        <f t="shared" ref="C28:AH28" si="10">B28+1</f>
        <v>2021</v>
      </c>
      <c r="D28" s="152">
        <f t="shared" si="10"/>
        <v>2022</v>
      </c>
      <c r="E28" s="152">
        <f t="shared" si="10"/>
        <v>2023</v>
      </c>
      <c r="F28" s="152">
        <f t="shared" si="10"/>
        <v>2024</v>
      </c>
      <c r="G28" s="152">
        <f t="shared" si="10"/>
        <v>2025</v>
      </c>
      <c r="H28" s="152">
        <f t="shared" si="10"/>
        <v>2026</v>
      </c>
      <c r="I28" s="152">
        <f t="shared" si="10"/>
        <v>2027</v>
      </c>
      <c r="J28" s="152">
        <f t="shared" si="10"/>
        <v>2028</v>
      </c>
      <c r="K28" s="152">
        <f t="shared" si="10"/>
        <v>2029</v>
      </c>
      <c r="L28" s="152">
        <f t="shared" si="10"/>
        <v>2030</v>
      </c>
      <c r="M28" s="152">
        <f t="shared" si="10"/>
        <v>2031</v>
      </c>
      <c r="N28" s="152">
        <f t="shared" si="10"/>
        <v>2032</v>
      </c>
      <c r="O28" s="152">
        <f t="shared" si="10"/>
        <v>2033</v>
      </c>
      <c r="P28" s="152">
        <f t="shared" si="10"/>
        <v>2034</v>
      </c>
      <c r="Q28" s="152">
        <f t="shared" si="10"/>
        <v>2035</v>
      </c>
      <c r="R28" s="152">
        <f t="shared" si="10"/>
        <v>2036</v>
      </c>
      <c r="S28" s="152">
        <f t="shared" si="10"/>
        <v>2037</v>
      </c>
      <c r="T28" s="152">
        <f t="shared" si="10"/>
        <v>2038</v>
      </c>
      <c r="U28" s="152">
        <f t="shared" si="10"/>
        <v>2039</v>
      </c>
      <c r="V28" s="152">
        <f t="shared" si="10"/>
        <v>2040</v>
      </c>
      <c r="W28" s="152">
        <f t="shared" si="10"/>
        <v>2041</v>
      </c>
      <c r="X28" s="152">
        <f t="shared" si="10"/>
        <v>2042</v>
      </c>
      <c r="Y28" s="152">
        <f t="shared" si="10"/>
        <v>2043</v>
      </c>
      <c r="Z28" s="152">
        <f t="shared" si="10"/>
        <v>2044</v>
      </c>
      <c r="AA28" s="152">
        <f t="shared" si="10"/>
        <v>2045</v>
      </c>
      <c r="AB28" s="152">
        <f t="shared" si="10"/>
        <v>2046</v>
      </c>
      <c r="AC28" s="209">
        <f t="shared" si="10"/>
        <v>2047</v>
      </c>
      <c r="AD28" s="210">
        <f t="shared" si="10"/>
        <v>2048</v>
      </c>
      <c r="AE28" s="152">
        <f t="shared" si="10"/>
        <v>2049</v>
      </c>
      <c r="AF28" s="152">
        <f t="shared" si="10"/>
        <v>2050</v>
      </c>
      <c r="AG28" s="152">
        <f t="shared" si="10"/>
        <v>2051</v>
      </c>
      <c r="AH28" s="152">
        <f t="shared" si="10"/>
        <v>2052</v>
      </c>
      <c r="AI28" s="152">
        <f t="shared" ref="AI28" si="11">AH28+1</f>
        <v>2053</v>
      </c>
      <c r="AJ28" s="152"/>
    </row>
    <row r="29" spans="1:36">
      <c r="A29" s="6" t="s">
        <v>134</v>
      </c>
      <c r="B29" s="119">
        <f>B2/(1+'Financial Information'!$B$5)^(B$28-$B$28)</f>
        <v>65.260450182206341</v>
      </c>
      <c r="C29" s="119">
        <f>C2/(1+'Financial Information'!$B$5)^(C$28-$B$28)</f>
        <v>95.670684812241348</v>
      </c>
      <c r="D29" s="119">
        <f>D2/(1+'Financial Information'!$B$5)^(D$28-$B$28)</f>
        <v>123.09266850550476</v>
      </c>
      <c r="E29" s="119">
        <f>E2/(1+'Financial Information'!$B$5)^(E$28-$B$28)</f>
        <v>110.3423278685908</v>
      </c>
      <c r="F29" s="119">
        <f>F2/(1+'Financial Information'!$B$5)^(F$28-$B$28)</f>
        <v>99.251999617653368</v>
      </c>
      <c r="G29" s="119">
        <f>G2/(1+'Financial Information'!$B$5)^(G$28-$B$28)</f>
        <v>87.236463254682732</v>
      </c>
      <c r="H29" s="119">
        <f>H2/(1+'Financial Information'!$B$5)^(H$28-$B$28)</f>
        <v>72.209878742626842</v>
      </c>
      <c r="I29" s="119">
        <f>I2/(1+'Financial Information'!$B$5)^(I$28-$B$28)</f>
        <v>65.776198490761217</v>
      </c>
      <c r="J29" s="119">
        <f>J2/(1+'Financial Information'!$B$5)^(J$28-$B$28)</f>
        <v>60.015159466469328</v>
      </c>
      <c r="K29" s="119">
        <f>K2/(1+'Financial Information'!$B$5)^(K$28-$B$28)</f>
        <v>54.842529437059518</v>
      </c>
      <c r="L29" s="119">
        <f>L2/(1+'Financial Information'!$B$5)^(L$28-$B$28)</f>
        <v>50.063063142283596</v>
      </c>
      <c r="M29" s="119">
        <f>M2/(1+'Financial Information'!$B$5)^(M$28-$B$28)</f>
        <v>45.685746667320686</v>
      </c>
      <c r="N29" s="119">
        <f>N2/(1+'Financial Information'!$B$5)^(N$28-$B$28)</f>
        <v>41.663810762062894</v>
      </c>
      <c r="O29" s="119">
        <f>O2/(1+'Financial Information'!$B$5)^(O$28-$B$28)</f>
        <v>38.004159133502633</v>
      </c>
      <c r="P29" s="119">
        <f>P2/(1+'Financial Information'!$B$5)^(P$28-$B$28)</f>
        <v>34.594178141826397</v>
      </c>
      <c r="Q29" s="119">
        <f>Q2/(1+'Financial Information'!$B$5)^(Q$28-$B$28)</f>
        <v>31.467085235523829</v>
      </c>
      <c r="R29" s="119">
        <f>R2/(1+'Financial Information'!$B$5)^(R$28-$B$28)</f>
        <v>28.556029265028624</v>
      </c>
      <c r="S29" s="119">
        <f>S2/(1+'Financial Information'!$B$5)^(S$28-$B$28)</f>
        <v>25.923671058538908</v>
      </c>
      <c r="T29" s="119">
        <f>T2/(1+'Financial Information'!$B$5)^(T$28-$B$28)</f>
        <v>24.302460071004031</v>
      </c>
      <c r="U29" s="119">
        <f>U2/(1+'Financial Information'!$B$5)^(U$28-$B$28)</f>
        <v>22.47210636589875</v>
      </c>
      <c r="V29" s="119">
        <f>V2/(1+'Financial Information'!$B$5)^(V$28-$B$28)</f>
        <v>20.321524261026781</v>
      </c>
      <c r="W29" s="119">
        <f>W2/(1+'Financial Information'!$B$5)^(W$28-$B$28)</f>
        <v>18.368381113610976</v>
      </c>
      <c r="X29" s="119">
        <f>X2/(1+'Financial Information'!$B$5)^(X$28-$B$28)</f>
        <v>16.632430176980964</v>
      </c>
      <c r="Y29" s="119">
        <f>Y2/(1+'Financial Information'!$B$5)^(Y$28-$B$28)</f>
        <v>15.026179470220866</v>
      </c>
      <c r="Z29" s="119">
        <f>Z2/(1+'Financial Information'!$B$5)^(Z$28-$B$28)</f>
        <v>13.604762985175954</v>
      </c>
      <c r="AA29" s="119">
        <f>AA2/(1+'Financial Information'!$B$5)^(AA$28-$B$28)</f>
        <v>12.278499130739975</v>
      </c>
      <c r="AB29" s="119">
        <f>AB2/(1+'Financial Information'!$B$5)^(AB$28-$B$28)</f>
        <v>11.098008139710984</v>
      </c>
      <c r="AC29" s="119">
        <f>AC2/(1+'Financial Information'!$B$5)^(AC$28-$B$28)</f>
        <v>10.008361154503485</v>
      </c>
      <c r="AD29" s="211">
        <f>AD2/(1+'Financial Information'!$B$5)^(AD$28-$B$28)</f>
        <v>9.3885499439786422</v>
      </c>
      <c r="AE29" s="119">
        <f>AE2/(1+'Financial Information'!$B$5)^(AE$28-$B$28)</f>
        <v>7.9514309956645066</v>
      </c>
      <c r="AF29" s="119">
        <f>AF2/(1+'Financial Information'!$B$5)^(AF$28-$B$28)</f>
        <v>5.2989347528844011</v>
      </c>
      <c r="AG29" s="119">
        <f>AG2/(1+'Financial Information'!$B$5)^(AG$28-$B$28)</f>
        <v>2.8960604241996695</v>
      </c>
      <c r="AH29" s="119">
        <f>AH2/(1+'Financial Information'!$B$5)^(AH$28-$B$28)</f>
        <v>0.41566066557171555</v>
      </c>
      <c r="AI29" s="119">
        <f>AI2/(1+'Financial Information'!$B$5)^(AI$28-$B$28)</f>
        <v>0.37490309689796597</v>
      </c>
      <c r="AJ29" s="119"/>
    </row>
    <row r="30" spans="1:36">
      <c r="A30" s="6" t="s">
        <v>135</v>
      </c>
      <c r="B30" s="119">
        <f>B3/(1+'Financial Information'!$B$5)^(B$28-$B$28)</f>
        <v>0</v>
      </c>
      <c r="C30" s="119">
        <f>C3/(1+'Financial Information'!$B$5)^(C$28-$B$28)</f>
        <v>0</v>
      </c>
      <c r="D30" s="119">
        <f>D3/(1+'Financial Information'!$B$5)^(D$28-$B$28)</f>
        <v>0</v>
      </c>
      <c r="E30" s="119">
        <f>E3/(1+'Financial Information'!$B$5)^(E$28-$B$28)</f>
        <v>0</v>
      </c>
      <c r="F30" s="119">
        <f>F3/(1+'Financial Information'!$B$5)^(F$28-$B$28)</f>
        <v>0</v>
      </c>
      <c r="G30" s="119">
        <f>G3/(1+'Financial Information'!$B$5)^(G$28-$B$28)</f>
        <v>0</v>
      </c>
      <c r="H30" s="119">
        <f>H3/(1+'Financial Information'!$B$5)^(H$28-$B$28)</f>
        <v>0</v>
      </c>
      <c r="I30" s="119">
        <f>I3/(1+'Financial Information'!$B$5)^(I$28-$B$28)</f>
        <v>0</v>
      </c>
      <c r="J30" s="119">
        <f>J3/(1+'Financial Information'!$B$5)^(J$28-$B$28)</f>
        <v>0</v>
      </c>
      <c r="K30" s="119">
        <f>K3/(1+'Financial Information'!$B$5)^(K$28-$B$28)</f>
        <v>0</v>
      </c>
      <c r="L30" s="119">
        <f>L3/(1+'Financial Information'!$B$5)^(L$28-$B$28)</f>
        <v>0</v>
      </c>
      <c r="M30" s="119">
        <f>M3/(1+'Financial Information'!$B$5)^(M$28-$B$28)</f>
        <v>0</v>
      </c>
      <c r="N30" s="119">
        <f>N3/(1+'Financial Information'!$B$5)^(N$28-$B$28)</f>
        <v>0</v>
      </c>
      <c r="O30" s="119">
        <f>O3/(1+'Financial Information'!$B$5)^(O$28-$B$28)</f>
        <v>0</v>
      </c>
      <c r="P30" s="119">
        <f>P3/(1+'Financial Information'!$B$5)^(P$28-$B$28)</f>
        <v>0</v>
      </c>
      <c r="Q30" s="119">
        <f>Q3/(1+'Financial Information'!$B$5)^(Q$28-$B$28)</f>
        <v>0</v>
      </c>
      <c r="R30" s="119">
        <f>R3/(1+'Financial Information'!$B$5)^(R$28-$B$28)</f>
        <v>0</v>
      </c>
      <c r="S30" s="119">
        <f>S3/(1+'Financial Information'!$B$5)^(S$28-$B$28)</f>
        <v>0</v>
      </c>
      <c r="T30" s="119">
        <f>T3/(1+'Financial Information'!$B$5)^(T$28-$B$28)</f>
        <v>0</v>
      </c>
      <c r="U30" s="119">
        <f>U3/(1+'Financial Information'!$B$5)^(U$28-$B$28)</f>
        <v>0</v>
      </c>
      <c r="V30" s="119">
        <f>V3/(1+'Financial Information'!$B$5)^(V$28-$B$28)</f>
        <v>0</v>
      </c>
      <c r="W30" s="119">
        <f>W3/(1+'Financial Information'!$B$5)^(W$28-$B$28)</f>
        <v>0</v>
      </c>
      <c r="X30" s="119">
        <f>X3/(1+'Financial Information'!$B$5)^(X$28-$B$28)</f>
        <v>0</v>
      </c>
      <c r="Y30" s="119">
        <f>Y3/(1+'Financial Information'!$B$5)^(Y$28-$B$28)</f>
        <v>0</v>
      </c>
      <c r="Z30" s="119">
        <f>Z3/(1+'Financial Information'!$B$5)^(Z$28-$B$28)</f>
        <v>0</v>
      </c>
      <c r="AA30" s="119">
        <f>AA3/(1+'Financial Information'!$B$5)^(AA$28-$B$28)</f>
        <v>0</v>
      </c>
      <c r="AB30" s="119">
        <f>AB3/(1+'Financial Information'!$B$5)^(AB$28-$B$28)</f>
        <v>0</v>
      </c>
      <c r="AC30" s="119">
        <f>AC3/(1+'Financial Information'!$B$5)^(AC$28-$B$28)</f>
        <v>0</v>
      </c>
      <c r="AD30" s="211">
        <f>AD3/(1+'Financial Information'!$B$5)^(AD$28-$B$28)</f>
        <v>0</v>
      </c>
      <c r="AE30" s="119">
        <f>AE3/(1+'Financial Information'!$B$5)^(AE$28-$B$28)</f>
        <v>0</v>
      </c>
      <c r="AF30" s="119">
        <f>AF3/(1+'Financial Information'!$B$5)^(AF$28-$B$28)</f>
        <v>0</v>
      </c>
      <c r="AG30" s="119">
        <f>AG3/(1+'Financial Information'!$B$5)^(AG$28-$B$28)</f>
        <v>0</v>
      </c>
      <c r="AH30" s="119">
        <f>AH3/(1+'Financial Information'!$B$5)^(AH$28-$B$28)</f>
        <v>0</v>
      </c>
      <c r="AI30" s="119">
        <f>AI3/(1+'Financial Information'!$B$5)^(AI$28-$B$28)</f>
        <v>0</v>
      </c>
      <c r="AJ30" s="119"/>
    </row>
    <row r="31" spans="1:36">
      <c r="A31" s="6" t="s">
        <v>60</v>
      </c>
      <c r="B31" s="119">
        <f>B4/(1+'Financial Information'!$B$5)^(B$28-$B$28)</f>
        <v>0</v>
      </c>
      <c r="C31" s="119">
        <f>C4/(1+'Financial Information'!$B$5)^(C$28-$B$28)</f>
        <v>0</v>
      </c>
      <c r="D31" s="119">
        <f>D4/(1+'Financial Information'!$B$5)^(D$28-$B$28)</f>
        <v>0</v>
      </c>
      <c r="E31" s="119">
        <f>E4/(1+'Financial Information'!$B$5)^(E$28-$B$28)</f>
        <v>0</v>
      </c>
      <c r="F31" s="119">
        <f>F4/(1+'Financial Information'!$B$5)^(F$28-$B$28)</f>
        <v>0</v>
      </c>
      <c r="G31" s="119">
        <f>G4/(1+'Financial Information'!$B$5)^(G$28-$B$28)</f>
        <v>0</v>
      </c>
      <c r="H31" s="119">
        <f>H4/(1+'Financial Information'!$B$5)^(H$28-$B$28)</f>
        <v>0</v>
      </c>
      <c r="I31" s="119">
        <f>I4/(1+'Financial Information'!$B$5)^(I$28-$B$28)</f>
        <v>13.613063986881086</v>
      </c>
      <c r="J31" s="119">
        <f>J4/(1+'Financial Information'!$B$5)^(J$28-$B$28)</f>
        <v>27.846798410091772</v>
      </c>
      <c r="K31" s="119">
        <f>K4/(1+'Financial Information'!$B$5)^(K$28-$B$28)</f>
        <v>29.584009376142056</v>
      </c>
      <c r="L31" s="119">
        <f>L4/(1+'Financial Information'!$B$5)^(L$28-$B$28)</f>
        <v>32.730251790246399</v>
      </c>
      <c r="M31" s="119">
        <f>M4/(1+'Financial Information'!$B$5)^(M$28-$B$28)</f>
        <v>33.628337637535516</v>
      </c>
      <c r="N31" s="119">
        <f>N4/(1+'Financial Information'!$B$5)^(N$28-$B$28)</f>
        <v>35.858541969391524</v>
      </c>
      <c r="O31" s="119">
        <f>O4/(1+'Financial Information'!$B$5)^(O$28-$B$28)</f>
        <v>36.110474556361773</v>
      </c>
      <c r="P31" s="119">
        <f>P4/(1+'Financial Information'!$B$5)^(P$28-$B$28)</f>
        <v>100.14706919915011</v>
      </c>
      <c r="Q31" s="119">
        <f>Q4/(1+'Financial Information'!$B$5)^(Q$28-$B$28)</f>
        <v>239.28582630580087</v>
      </c>
      <c r="R31" s="119">
        <f>R4/(1+'Financial Information'!$B$5)^(R$28-$B$28)</f>
        <v>218.15079009214753</v>
      </c>
      <c r="S31" s="119">
        <f>S4/(1+'Financial Information'!$B$5)^(S$28-$B$28)</f>
        <v>198.83918571103962</v>
      </c>
      <c r="T31" s="119">
        <f>T4/(1+'Financial Information'!$B$5)^(T$28-$B$28)</f>
        <v>194.40421924992015</v>
      </c>
      <c r="U31" s="119">
        <f>U4/(1+'Financial Information'!$B$5)^(U$28-$B$28)</f>
        <v>185.80480602979847</v>
      </c>
      <c r="V31" s="119">
        <f>V4/(1+'Financial Information'!$B$5)^(V$28-$B$28)</f>
        <v>173.11850990673699</v>
      </c>
      <c r="W31" s="119">
        <f>W4/(1+'Financial Information'!$B$5)^(W$28-$B$28)</f>
        <v>160.15390087077935</v>
      </c>
      <c r="X31" s="119">
        <f>X4/(1+'Financial Information'!$B$5)^(X$28-$B$28)</f>
        <v>175.91227519624456</v>
      </c>
      <c r="Y31" s="119">
        <f>Y4/(1+'Financial Information'!$B$5)^(Y$28-$B$28)</f>
        <v>247.68281617643171</v>
      </c>
      <c r="Z31" s="119">
        <f>Z4/(1+'Financial Information'!$B$5)^(Z$28-$B$28)</f>
        <v>232.00673822344856</v>
      </c>
      <c r="AA31" s="119">
        <f>AA4/(1+'Financial Information'!$B$5)^(AA$28-$B$28)</f>
        <v>218.49936085856561</v>
      </c>
      <c r="AB31" s="119">
        <f>AB4/(1+'Financial Information'!$B$5)^(AB$28-$B$28)</f>
        <v>200.75646174834162</v>
      </c>
      <c r="AC31" s="119">
        <f>AC4/(1+'Financial Information'!$B$5)^(AC$28-$B$28)</f>
        <v>182.47675849226567</v>
      </c>
      <c r="AD31" s="211">
        <f>AD4/(1+'Financial Information'!$B$5)^(AD$28-$B$28)</f>
        <v>165.76343508574203</v>
      </c>
      <c r="AE31" s="119">
        <f>AE4/(1+'Financial Information'!$B$5)^(AE$28-$B$28)</f>
        <v>150.50634559847177</v>
      </c>
      <c r="AF31" s="119">
        <f>AF4/(1+'Financial Information'!$B$5)^(AF$28-$B$28)</f>
        <v>136.59164798968851</v>
      </c>
      <c r="AG31" s="119">
        <f>AG4/(1+'Financial Information'!$B$5)^(AG$28-$B$28)</f>
        <v>123.86646728765164</v>
      </c>
      <c r="AH31" s="119">
        <f>AH4/(1+'Financial Information'!$B$5)^(AH$28-$B$28)</f>
        <v>112.20512367766493</v>
      </c>
      <c r="AI31" s="119">
        <f>AI4/(1+'Financial Information'!$B$5)^(AI$28-$B$28)</f>
        <v>101.541088314386</v>
      </c>
      <c r="AJ31" s="119"/>
    </row>
    <row r="32" spans="1:36">
      <c r="A32" s="6" t="s">
        <v>68</v>
      </c>
      <c r="B32" s="119">
        <f>B5/(1+'Financial Information'!$B$5)^(B$28-$B$28)</f>
        <v>445.38108</v>
      </c>
      <c r="C32" s="119">
        <f>C5/(1+'Financial Information'!$B$5)^(C$28-$B$28)</f>
        <v>405.95848172446119</v>
      </c>
      <c r="D32" s="119">
        <f>D5/(1+'Financial Information'!$B$5)^(D$28-$B$28)</f>
        <v>383.04511506040029</v>
      </c>
      <c r="E32" s="119">
        <f>E5/(1+'Financial Information'!$B$5)^(E$28-$B$28)</f>
        <v>375.42940625433778</v>
      </c>
      <c r="F32" s="119">
        <f>F5/(1+'Financial Information'!$B$5)^(F$28-$B$28)</f>
        <v>231.79327266520858</v>
      </c>
      <c r="G32" s="119">
        <f>G5/(1+'Financial Information'!$B$5)^(G$28-$B$28)</f>
        <v>106.90762708059815</v>
      </c>
      <c r="H32" s="119">
        <f>H5/(1+'Financial Information'!$B$5)^(H$28-$B$28)</f>
        <v>39.084411000131446</v>
      </c>
      <c r="I32" s="119">
        <f>I5/(1+'Financial Information'!$B$5)^(I$28-$B$28)</f>
        <v>20.835341523471872</v>
      </c>
      <c r="J32" s="119">
        <f>J5/(1+'Financial Information'!$B$5)^(J$28-$B$28)</f>
        <v>12.944378493575401</v>
      </c>
      <c r="K32" s="119">
        <f>K5/(1+'Financial Information'!$B$5)^(K$28-$B$28)</f>
        <v>12.411790313350483</v>
      </c>
      <c r="L32" s="119">
        <f>L5/(1+'Financial Information'!$B$5)^(L$28-$B$28)</f>
        <v>11.951220891629209</v>
      </c>
      <c r="M32" s="119">
        <f>M5/(1+'Financial Information'!$B$5)^(M$28-$B$28)</f>
        <v>11.486186360781383</v>
      </c>
      <c r="N32" s="119">
        <f>N5/(1+'Financial Information'!$B$5)^(N$28-$B$28)</f>
        <v>11.06899414661301</v>
      </c>
      <c r="O32" s="119">
        <f>O5/(1+'Financial Information'!$B$5)^(O$28-$B$28)</f>
        <v>10.625111673376081</v>
      </c>
      <c r="P32" s="119">
        <f>P5/(1+'Financial Information'!$B$5)^(P$28-$B$28)</f>
        <v>12.904966900026459</v>
      </c>
      <c r="Q32" s="119">
        <f>Q5/(1+'Financial Information'!$B$5)^(Q$28-$B$28)</f>
        <v>14.256337769808884</v>
      </c>
      <c r="R32" s="119">
        <f>R5/(1+'Financial Information'!$B$5)^(R$28-$B$28)</f>
        <v>13.584618611818369</v>
      </c>
      <c r="S32" s="119">
        <f>S5/(1+'Financial Information'!$B$5)^(S$28-$B$28)</f>
        <v>12.972839738109872</v>
      </c>
      <c r="T32" s="119">
        <f>T5/(1+'Financial Information'!$B$5)^(T$28-$B$28)</f>
        <v>13.057436430003779</v>
      </c>
      <c r="U32" s="119">
        <f>U5/(1+'Financial Information'!$B$5)^(U$28-$B$28)</f>
        <v>12.938744625240075</v>
      </c>
      <c r="V32" s="119">
        <f>V5/(1+'Financial Information'!$B$5)^(V$28-$B$28)</f>
        <v>12.589166554231038</v>
      </c>
      <c r="W32" s="119">
        <f>W5/(1+'Financial Information'!$B$5)^(W$28-$B$28)</f>
        <v>12.168733309970536</v>
      </c>
      <c r="X32" s="119">
        <f>X5/(1+'Financial Information'!$B$5)^(X$28-$B$28)</f>
        <v>12.990889128303026</v>
      </c>
      <c r="Y32" s="119">
        <f>Y5/(1+'Financial Information'!$B$5)^(Y$28-$B$28)</f>
        <v>13.368506035732521</v>
      </c>
      <c r="Z32" s="119">
        <f>Z5/(1+'Financial Information'!$B$5)^(Z$28-$B$28)</f>
        <v>13.152149617149272</v>
      </c>
      <c r="AA32" s="119">
        <f>AA5/(1+'Financial Information'!$B$5)^(AA$28-$B$28)</f>
        <v>12.911450931696065</v>
      </c>
      <c r="AB32" s="119">
        <f>AB5/(1+'Financial Information'!$B$5)^(AB$28-$B$28)</f>
        <v>12.325546785115124</v>
      </c>
      <c r="AC32" s="119">
        <f>AC5/(1+'Financial Information'!$B$5)^(AC$28-$B$28)</f>
        <v>11.799742074429989</v>
      </c>
      <c r="AD32" s="211">
        <f>AD5/(1+'Financial Information'!$B$5)^(AD$28-$B$28)</f>
        <v>11.304672978204819</v>
      </c>
      <c r="AE32" s="119">
        <f>AE5/(1+'Financial Information'!$B$5)^(AE$28-$B$28)</f>
        <v>10.450065979415029</v>
      </c>
      <c r="AF32" s="119">
        <f>AF5/(1+'Financial Information'!$B$5)^(AF$28-$B$28)</f>
        <v>9.2072671116039313</v>
      </c>
      <c r="AG32" s="119">
        <f>AG5/(1+'Financial Information'!$B$5)^(AG$28-$B$28)</f>
        <v>8.1237745464037729</v>
      </c>
      <c r="AH32" s="119">
        <f>AH5/(1+'Financial Information'!$B$5)^(AH$28-$B$28)</f>
        <v>7.3400246717171145</v>
      </c>
      <c r="AI32" s="119">
        <f>AI5/(1+'Financial Information'!$B$5)^(AI$28-$B$28)</f>
        <v>7.0239881557874666</v>
      </c>
      <c r="AJ32" s="119"/>
    </row>
    <row r="33" spans="1:36">
      <c r="A33" s="6" t="s">
        <v>67</v>
      </c>
      <c r="B33" s="119">
        <f>B6/(1+'Financial Information'!$B$5)^(B$28-$B$28)</f>
        <v>390.67815999999999</v>
      </c>
      <c r="C33" s="119">
        <f>C6/(1+'Financial Information'!$B$5)^(C$28-$B$28)</f>
        <v>360.70502343017807</v>
      </c>
      <c r="D33" s="119">
        <f>D6/(1+'Financial Information'!$B$5)^(D$28-$B$28)</f>
        <v>335.35898897573895</v>
      </c>
      <c r="E33" s="119">
        <f>E6/(1+'Financial Information'!$B$5)^(E$28-$B$28)</f>
        <v>314.30083315439452</v>
      </c>
      <c r="F33" s="119">
        <f>F6/(1+'Financial Information'!$B$5)^(F$28-$B$28)</f>
        <v>295.33513302110208</v>
      </c>
      <c r="G33" s="119">
        <f>G6/(1+'Financial Information'!$B$5)^(G$28-$B$28)</f>
        <v>276.06838970105849</v>
      </c>
      <c r="H33" s="119">
        <f>H6/(1+'Financial Information'!$B$5)^(H$28-$B$28)</f>
        <v>258.73326797724269</v>
      </c>
      <c r="I33" s="119">
        <f>I6/(1+'Financial Information'!$B$5)^(I$28-$B$28)</f>
        <v>242.48665529579867</v>
      </c>
      <c r="J33" s="119">
        <f>J6/(1+'Financial Information'!$B$5)^(J$28-$B$28)</f>
        <v>227.85440863960679</v>
      </c>
      <c r="K33" s="119">
        <f>K6/(1+'Financial Information'!$B$5)^(K$28-$B$28)</f>
        <v>212.98990297394215</v>
      </c>
      <c r="L33" s="119">
        <f>L6/(1+'Financial Information'!$B$5)^(L$28-$B$28)</f>
        <v>199.61565414615009</v>
      </c>
      <c r="M33" s="119">
        <f>M6/(1+'Financial Information'!$B$5)^(M$28-$B$28)</f>
        <v>187.08120798304273</v>
      </c>
      <c r="N33" s="119">
        <f>N6/(1+'Financial Information'!$B$5)^(N$28-$B$28)</f>
        <v>175.79226353945276</v>
      </c>
      <c r="O33" s="119">
        <f>O6/(1+'Financial Information'!$B$5)^(O$28-$B$28)</f>
        <v>164.32412863276659</v>
      </c>
      <c r="P33" s="119">
        <f>P6/(1+'Financial Information'!$B$5)^(P$28-$B$28)</f>
        <v>196.8566354690318</v>
      </c>
      <c r="Q33" s="119">
        <f>Q6/(1+'Financial Information'!$B$5)^(Q$28-$B$28)</f>
        <v>213.87481045723953</v>
      </c>
      <c r="R33" s="119">
        <f>R6/(1+'Financial Information'!$B$5)^(R$28-$B$28)</f>
        <v>200.44499574249258</v>
      </c>
      <c r="S33" s="119">
        <f>S6/(1+'Financial Information'!$B$5)^(S$28-$B$28)</f>
        <v>187.85847773429484</v>
      </c>
      <c r="T33" s="119">
        <f>T6/(1+'Financial Information'!$B$5)^(T$28-$B$28)</f>
        <v>189.35623363351272</v>
      </c>
      <c r="U33" s="119">
        <f>U6/(1+'Financial Information'!$B$5)^(U$28-$B$28)</f>
        <v>186.36541817589517</v>
      </c>
      <c r="V33" s="119">
        <f>V6/(1+'Financial Information'!$B$5)^(V$28-$B$28)</f>
        <v>178.75232231737783</v>
      </c>
      <c r="W33" s="119">
        <f>W6/(1+'Financial Information'!$B$5)^(W$28-$B$28)</f>
        <v>170.2654682873318</v>
      </c>
      <c r="X33" s="119">
        <f>X6/(1+'Financial Information'!$B$5)^(X$28-$B$28)</f>
        <v>178.15414508825265</v>
      </c>
      <c r="Y33" s="119">
        <f>Y6/(1+'Financial Information'!$B$5)^(Y$28-$B$28)</f>
        <v>179.42117079482207</v>
      </c>
      <c r="Z33" s="119">
        <f>Z6/(1+'Financial Information'!$B$5)^(Z$28-$B$28)</f>
        <v>175.11977341009199</v>
      </c>
      <c r="AA33" s="119">
        <f>AA6/(1+'Financial Information'!$B$5)^(AA$28-$B$28)</f>
        <v>172.13147818918981</v>
      </c>
      <c r="AB33" s="119">
        <f>AB6/(1+'Financial Information'!$B$5)^(AB$28-$B$28)</f>
        <v>163.56236948525608</v>
      </c>
      <c r="AC33" s="119">
        <f>AC6/(1+'Financial Information'!$B$5)^(AC$28-$B$28)</f>
        <v>153.29182117148412</v>
      </c>
      <c r="AD33" s="211">
        <f>AD6/(1+'Financial Information'!$B$5)^(AD$28-$B$28)</f>
        <v>143.66618666493358</v>
      </c>
      <c r="AE33" s="119">
        <f>AE6/(1+'Financial Information'!$B$5)^(AE$28-$B$28)</f>
        <v>134.64497344417393</v>
      </c>
      <c r="AF33" s="119">
        <f>AF6/(1+'Financial Information'!$B$5)^(AF$28-$B$28)</f>
        <v>126.1902281576138</v>
      </c>
      <c r="AG33" s="119">
        <f>AG6/(1+'Financial Information'!$B$5)^(AG$28-$B$28)</f>
        <v>118.26638065380864</v>
      </c>
      <c r="AH33" s="119">
        <f>AH6/(1+'Financial Information'!$B$5)^(AH$28-$B$28)</f>
        <v>110.84009433346641</v>
      </c>
      <c r="AI33" s="119">
        <f>AI6/(1+'Financial Information'!$B$5)^(AI$28-$B$28)</f>
        <v>103.88012589828155</v>
      </c>
      <c r="AJ33" s="119"/>
    </row>
    <row r="34" spans="1:36">
      <c r="A34" s="6" t="s">
        <v>383</v>
      </c>
      <c r="B34" s="119">
        <f>B7/(1+'Financial Information'!$B$5)^(B$28-$B$28)</f>
        <v>0</v>
      </c>
      <c r="C34" s="119">
        <f>C7/(1+'Financial Information'!$B$5)^(C$28-$B$28)</f>
        <v>0</v>
      </c>
      <c r="D34" s="119">
        <f>D7/(1+'Financial Information'!$B$5)^(D$28-$B$28)</f>
        <v>0</v>
      </c>
      <c r="E34" s="119">
        <f>E7/(1+'Financial Information'!$B$5)^(E$28-$B$28)</f>
        <v>0</v>
      </c>
      <c r="F34" s="119">
        <f>F7/(1+'Financial Information'!$B$5)^(F$28-$B$28)</f>
        <v>0</v>
      </c>
      <c r="G34" s="119">
        <f>G7/(1+'Financial Information'!$B$5)^(G$28-$B$28)</f>
        <v>0</v>
      </c>
      <c r="H34" s="119">
        <f>H7/(1+'Financial Information'!$B$5)^(H$28-$B$28)</f>
        <v>0</v>
      </c>
      <c r="I34" s="119">
        <f>I7/(1+'Financial Information'!$B$5)^(I$28-$B$28)</f>
        <v>0</v>
      </c>
      <c r="J34" s="119">
        <f>J7/(1+'Financial Information'!$B$5)^(J$28-$B$28)</f>
        <v>0</v>
      </c>
      <c r="K34" s="119">
        <f>K7/(1+'Financial Information'!$B$5)^(K$28-$B$28)</f>
        <v>0</v>
      </c>
      <c r="L34" s="119">
        <f>L7/(1+'Financial Information'!$B$5)^(L$28-$B$28)</f>
        <v>0</v>
      </c>
      <c r="M34" s="119">
        <f>M7/(1+'Financial Information'!$B$5)^(M$28-$B$28)</f>
        <v>0</v>
      </c>
      <c r="N34" s="119">
        <f>N7/(1+'Financial Information'!$B$5)^(N$28-$B$28)</f>
        <v>0</v>
      </c>
      <c r="O34" s="119">
        <f>O7/(1+'Financial Information'!$B$5)^(O$28-$B$28)</f>
        <v>0</v>
      </c>
      <c r="P34" s="119">
        <f>P7/(1+'Financial Information'!$B$5)^(P$28-$B$28)</f>
        <v>0</v>
      </c>
      <c r="Q34" s="119">
        <f>Q7/(1+'Financial Information'!$B$5)^(Q$28-$B$28)</f>
        <v>0</v>
      </c>
      <c r="R34" s="119">
        <f>R7/(1+'Financial Information'!$B$5)^(R$28-$B$28)</f>
        <v>0</v>
      </c>
      <c r="S34" s="119">
        <f>S7/(1+'Financial Information'!$B$5)^(S$28-$B$28)</f>
        <v>0</v>
      </c>
      <c r="T34" s="119">
        <f>T7/(1+'Financial Information'!$B$5)^(T$28-$B$28)</f>
        <v>0</v>
      </c>
      <c r="U34" s="119">
        <f>U7/(1+'Financial Information'!$B$5)^(U$28-$B$28)</f>
        <v>0</v>
      </c>
      <c r="V34" s="119">
        <f>V7/(1+'Financial Information'!$B$5)^(V$28-$B$28)</f>
        <v>0</v>
      </c>
      <c r="W34" s="119">
        <f>W7/(1+'Financial Information'!$B$5)^(W$28-$B$28)</f>
        <v>0</v>
      </c>
      <c r="X34" s="119">
        <f>X7/(1+'Financial Information'!$B$5)^(X$28-$B$28)</f>
        <v>0</v>
      </c>
      <c r="Y34" s="119">
        <f>Y7/(1+'Financial Information'!$B$5)^(Y$28-$B$28)</f>
        <v>0</v>
      </c>
      <c r="Z34" s="119">
        <f>Z7/(1+'Financial Information'!$B$5)^(Z$28-$B$28)</f>
        <v>0</v>
      </c>
      <c r="AA34" s="119">
        <f>AA7/(1+'Financial Information'!$B$5)^(AA$28-$B$28)</f>
        <v>0</v>
      </c>
      <c r="AB34" s="119">
        <f>AB7/(1+'Financial Information'!$B$5)^(AB$28-$B$28)</f>
        <v>0</v>
      </c>
      <c r="AC34" s="119">
        <f>AC7/(1+'Financial Information'!$B$5)^(AC$28-$B$28)</f>
        <v>0</v>
      </c>
      <c r="AD34" s="211">
        <f>AD7/(1+'Financial Information'!$B$5)^(AD$28-$B$28)</f>
        <v>0</v>
      </c>
      <c r="AE34" s="119">
        <f>AE7/(1+'Financial Information'!$B$5)^(AE$28-$B$28)</f>
        <v>0</v>
      </c>
      <c r="AF34" s="119">
        <f>AF7/(1+'Financial Information'!$B$5)^(AF$28-$B$28)</f>
        <v>0</v>
      </c>
      <c r="AG34" s="119">
        <f>AG7/(1+'Financial Information'!$B$5)^(AG$28-$B$28)</f>
        <v>0</v>
      </c>
      <c r="AH34" s="119">
        <f>AH7/(1+'Financial Information'!$B$5)^(AH$28-$B$28)</f>
        <v>0</v>
      </c>
      <c r="AI34" s="119">
        <f>AI7/(1+'Financial Information'!$B$5)^(AI$28-$B$28)</f>
        <v>0</v>
      </c>
      <c r="AJ34" s="119"/>
    </row>
    <row r="35" spans="1:36">
      <c r="A35" s="6" t="s">
        <v>65</v>
      </c>
      <c r="B35" s="119">
        <f>B8/(1+'Financial Information'!$B$5)^(B$28-$B$28)</f>
        <v>849.84470000000033</v>
      </c>
      <c r="C35" s="119">
        <f>C8/(1+'Financial Information'!$B$5)^(C$28-$B$28)</f>
        <v>805.01208059981241</v>
      </c>
      <c r="D35" s="119">
        <f>D8/(1+'Financial Information'!$B$5)^(D$28-$B$28)</f>
        <v>776.2090191473086</v>
      </c>
      <c r="E35" s="119">
        <f>E8/(1+'Financial Information'!$B$5)^(E$28-$B$28)</f>
        <v>742.27755910575627</v>
      </c>
      <c r="F35" s="119">
        <f>F8/(1+'Financial Information'!$B$5)^(F$28-$B$28)</f>
        <v>704.33767432049319</v>
      </c>
      <c r="G35" s="119">
        <f>G8/(1+'Financial Information'!$B$5)^(G$28-$B$28)</f>
        <v>702.96027170732873</v>
      </c>
      <c r="H35" s="119">
        <f>H8/(1+'Financial Information'!$B$5)^(H$28-$B$28)</f>
        <v>715.33844948687943</v>
      </c>
      <c r="I35" s="119">
        <f>I8/(1+'Financial Information'!$B$5)^(I$28-$B$28)</f>
        <v>753.63787952705059</v>
      </c>
      <c r="J35" s="119">
        <f>J8/(1+'Financial Information'!$B$5)^(J$28-$B$28)</f>
        <v>809.56091023959311</v>
      </c>
      <c r="K35" s="119">
        <f>K8/(1+'Financial Information'!$B$5)^(K$28-$B$28)</f>
        <v>824.09224824688499</v>
      </c>
      <c r="L35" s="119">
        <f>L8/(1+'Financial Information'!$B$5)^(L$28-$B$28)</f>
        <v>820.43756706690033</v>
      </c>
      <c r="M35" s="119">
        <f>M8/(1+'Financial Information'!$B$5)^(M$28-$B$28)</f>
        <v>806.29824177313981</v>
      </c>
      <c r="N35" s="119">
        <f>N8/(1+'Financial Information'!$B$5)^(N$28-$B$28)</f>
        <v>803.60828344895481</v>
      </c>
      <c r="O35" s="119">
        <f>O8/(1+'Financial Information'!$B$5)^(O$28-$B$28)</f>
        <v>760.19072408774946</v>
      </c>
      <c r="P35" s="119">
        <f>P8/(1+'Financial Information'!$B$5)^(P$28-$B$28)</f>
        <v>733.48168289776697</v>
      </c>
      <c r="Q35" s="119">
        <f>Q8/(1+'Financial Information'!$B$5)^(Q$28-$B$28)</f>
        <v>711.11230688869625</v>
      </c>
      <c r="R35" s="119">
        <f>R8/(1+'Financial Information'!$B$5)^(R$28-$B$28)</f>
        <v>687.12938455245364</v>
      </c>
      <c r="S35" s="119">
        <f>S8/(1+'Financial Information'!$B$5)^(S$28-$B$28)</f>
        <v>697.78321597373747</v>
      </c>
      <c r="T35" s="119">
        <f>T8/(1+'Financial Information'!$B$5)^(T$28-$B$28)</f>
        <v>691.21493674431429</v>
      </c>
      <c r="U35" s="119">
        <f>U8/(1+'Financial Information'!$B$5)^(U$28-$B$28)</f>
        <v>672.12480595092927</v>
      </c>
      <c r="V35" s="119">
        <f>V8/(1+'Financial Information'!$B$5)^(V$28-$B$28)</f>
        <v>663.11845888681682</v>
      </c>
      <c r="W35" s="119">
        <f>W8/(1+'Financial Information'!$B$5)^(W$28-$B$28)</f>
        <v>651.80363520903006</v>
      </c>
      <c r="X35" s="119">
        <f>X8/(1+'Financial Information'!$B$5)^(X$28-$B$28)</f>
        <v>624.7900788426532</v>
      </c>
      <c r="Y35" s="119">
        <f>Y8/(1+'Financial Information'!$B$5)^(Y$28-$B$28)</f>
        <v>599.13736658754044</v>
      </c>
      <c r="Z35" s="119">
        <f>Z8/(1+'Financial Information'!$B$5)^(Z$28-$B$28)</f>
        <v>591.50510945784697</v>
      </c>
      <c r="AA35" s="119">
        <f>AA8/(1+'Financial Information'!$B$5)^(AA$28-$B$28)</f>
        <v>589.39048482535475</v>
      </c>
      <c r="AB35" s="119">
        <f>AB8/(1+'Financial Information'!$B$5)^(AB$28-$B$28)</f>
        <v>580.41320517382337</v>
      </c>
      <c r="AC35" s="119">
        <f>AC8/(1+'Financial Information'!$B$5)^(AC$28-$B$28)</f>
        <v>551.40296628262001</v>
      </c>
      <c r="AD35" s="211">
        <f>AD8/(1+'Financial Information'!$B$5)^(AD$28-$B$28)</f>
        <v>538.59707998486533</v>
      </c>
      <c r="AE35" s="119">
        <f>AE8/(1+'Financial Information'!$B$5)^(AE$28-$B$28)</f>
        <v>511.51336923922076</v>
      </c>
      <c r="AF35" s="119">
        <f>AF8/(1+'Financial Information'!$B$5)^(AF$28-$B$28)</f>
        <v>490.87235095286309</v>
      </c>
      <c r="AG35" s="119">
        <f>AG8/(1+'Financial Information'!$B$5)^(AG$28-$B$28)</f>
        <v>475.89537680150073</v>
      </c>
      <c r="AH35" s="119">
        <f>AH8/(1+'Financial Information'!$B$5)^(AH$28-$B$28)</f>
        <v>461.1396005921319</v>
      </c>
      <c r="AI35" s="119">
        <f>AI8/(1+'Financial Information'!$B$5)^(AI$28-$B$28)</f>
        <v>440.44654198550177</v>
      </c>
      <c r="AJ35" s="119"/>
    </row>
    <row r="36" spans="1:36">
      <c r="A36" s="6" t="s">
        <v>52</v>
      </c>
      <c r="B36" s="119">
        <f>B9/(1+'Financial Information'!$B$5)^(B$28-$B$28)</f>
        <v>86.065810000000013</v>
      </c>
      <c r="C36" s="119">
        <f>C9/(1+'Financial Information'!$B$5)^(C$28-$B$28)</f>
        <v>85.41063730084349</v>
      </c>
      <c r="D36" s="119">
        <f>D9/(1+'Financial Information'!$B$5)^(D$28-$B$28)</f>
        <v>86.977142510819149</v>
      </c>
      <c r="E36" s="119">
        <f>E9/(1+'Financial Information'!$B$5)^(E$28-$B$28)</f>
        <v>87.718750238188534</v>
      </c>
      <c r="F36" s="119">
        <f>F9/(1+'Financial Information'!$B$5)^(F$28-$B$28)</f>
        <v>90.151232982109008</v>
      </c>
      <c r="G36" s="119">
        <f>G9/(1+'Financial Information'!$B$5)^(G$28-$B$28)</f>
        <v>93.532685985446832</v>
      </c>
      <c r="H36" s="119">
        <f>H9/(1+'Financial Information'!$B$5)^(H$28-$B$28)</f>
        <v>102.37297649441169</v>
      </c>
      <c r="I36" s="119">
        <f>I9/(1+'Financial Information'!$B$5)^(I$28-$B$28)</f>
        <v>108.69638019436991</v>
      </c>
      <c r="J36" s="119">
        <f>J9/(1+'Financial Information'!$B$5)^(J$28-$B$28)</f>
        <v>115.83065389008138</v>
      </c>
      <c r="K36" s="119">
        <f>K9/(1+'Financial Information'!$B$5)^(K$28-$B$28)</f>
        <v>116.29128433608031</v>
      </c>
      <c r="L36" s="119">
        <f>L9/(1+'Financial Information'!$B$5)^(L$28-$B$28)</f>
        <v>121.03473616087936</v>
      </c>
      <c r="M36" s="119">
        <f>M9/(1+'Financial Information'!$B$5)^(M$28-$B$28)</f>
        <v>124.06091638724131</v>
      </c>
      <c r="N36" s="119">
        <f>N9/(1+'Financial Information'!$B$5)^(N$28-$B$28)</f>
        <v>122.04288455890436</v>
      </c>
      <c r="O36" s="119">
        <f>O9/(1+'Financial Information'!$B$5)^(O$28-$B$28)</f>
        <v>122.37010125171436</v>
      </c>
      <c r="P36" s="119">
        <f>P9/(1+'Financial Information'!$B$5)^(P$28-$B$28)</f>
        <v>116.89423479878074</v>
      </c>
      <c r="Q36" s="119">
        <f>Q9/(1+'Financial Information'!$B$5)^(Q$28-$B$28)</f>
        <v>114.9105461281798</v>
      </c>
      <c r="R36" s="119">
        <f>R9/(1+'Financial Information'!$B$5)^(R$28-$B$28)</f>
        <v>114.05416527022228</v>
      </c>
      <c r="S36" s="119">
        <f>S9/(1+'Financial Information'!$B$5)^(S$28-$B$28)</f>
        <v>119.43233080720904</v>
      </c>
      <c r="T36" s="119">
        <f>T9/(1+'Financial Information'!$B$5)^(T$28-$B$28)</f>
        <v>118.85184781574712</v>
      </c>
      <c r="U36" s="119">
        <f>U9/(1+'Financial Information'!$B$5)^(U$28-$B$28)</f>
        <v>123.09643389268679</v>
      </c>
      <c r="V36" s="119">
        <f>V9/(1+'Financial Information'!$B$5)^(V$28-$B$28)</f>
        <v>117.48661190204865</v>
      </c>
      <c r="W36" s="119">
        <f>W9/(1+'Financial Information'!$B$5)^(W$28-$B$28)</f>
        <v>116.90087756285503</v>
      </c>
      <c r="X36" s="119">
        <f>X9/(1+'Financial Information'!$B$5)^(X$28-$B$28)</f>
        <v>111.34647723408121</v>
      </c>
      <c r="Y36" s="119">
        <f>Y9/(1+'Financial Information'!$B$5)^(Y$28-$B$28)</f>
        <v>109.2353237590107</v>
      </c>
      <c r="Z36" s="119">
        <f>Z9/(1+'Financial Information'!$B$5)^(Z$28-$B$28)</f>
        <v>105.23594918734806</v>
      </c>
      <c r="AA36" s="119">
        <f>AA9/(1+'Financial Information'!$B$5)^(AA$28-$B$28)</f>
        <v>104.65483389410964</v>
      </c>
      <c r="AB36" s="119">
        <f>AB9/(1+'Financial Information'!$B$5)^(AB$28-$B$28)</f>
        <v>101.16764049717619</v>
      </c>
      <c r="AC36" s="119">
        <f>AC9/(1+'Financial Information'!$B$5)^(AC$28-$B$28)</f>
        <v>99.230783906253194</v>
      </c>
      <c r="AD36" s="211">
        <f>AD9/(1+'Financial Information'!$B$5)^(AD$28-$B$28)</f>
        <v>96.325735223887008</v>
      </c>
      <c r="AE36" s="119">
        <f>AE9/(1+'Financial Information'!$B$5)^(AE$28-$B$28)</f>
        <v>93.721300408889476</v>
      </c>
      <c r="AF36" s="119">
        <f>AF9/(1+'Financial Information'!$B$5)^(AF$28-$B$28)</f>
        <v>90.550487019894604</v>
      </c>
      <c r="AG36" s="119">
        <f>AG9/(1+'Financial Information'!$B$5)^(AG$28-$B$28)</f>
        <v>89.071338518340056</v>
      </c>
      <c r="AH36" s="119">
        <f>AH9/(1+'Financial Information'!$B$5)^(AH$28-$B$28)</f>
        <v>85.259428973067784</v>
      </c>
      <c r="AI36" s="119">
        <f>AI9/(1+'Financial Information'!$B$5)^(AI$28-$B$28)</f>
        <v>83.436491425908898</v>
      </c>
      <c r="AJ36" s="119"/>
    </row>
    <row r="37" spans="1:36">
      <c r="A37" s="36" t="s">
        <v>66</v>
      </c>
      <c r="B37" s="119">
        <f>B10/(1+'Financial Information'!$B$5)^(B$28-$B$28)</f>
        <v>6.2319722000000004</v>
      </c>
      <c r="C37" s="119">
        <f>C10/(1+'Financial Information'!$B$5)^(C$28-$B$28)</f>
        <v>6.0651042174320517</v>
      </c>
      <c r="D37" s="119">
        <f>D10/(1+'Financial Information'!$B$5)^(D$28-$B$28)</f>
        <v>5.597480081054802</v>
      </c>
      <c r="E37" s="119">
        <f>E10/(1+'Financial Information'!$B$5)^(E$28-$B$28)</f>
        <v>4.7561382315016223</v>
      </c>
      <c r="F37" s="119">
        <f>F10/(1+'Financial Information'!$B$5)^(F$28-$B$28)</f>
        <v>4.4657182678632603</v>
      </c>
      <c r="G37" s="119">
        <f>G10/(1+'Financial Information'!$B$5)^(G$28-$B$28)</f>
        <v>4.5313820661662012</v>
      </c>
      <c r="H37" s="119">
        <f>H10/(1+'Financial Information'!$B$5)^(H$28-$B$28)</f>
        <v>4.3259585499761712</v>
      </c>
      <c r="I37" s="119">
        <f>I10/(1+'Financial Information'!$B$5)^(I$28-$B$28)</f>
        <v>4.2291014833955094</v>
      </c>
      <c r="J37" s="119">
        <f>J10/(1+'Financial Information'!$B$5)^(J$28-$B$28)</f>
        <v>4.40705562817607</v>
      </c>
      <c r="K37" s="119">
        <f>K10/(1+'Financial Information'!$B$5)^(K$28-$B$28)</f>
        <v>4.4222820079257499</v>
      </c>
      <c r="L37" s="119">
        <f>L10/(1+'Financial Information'!$B$5)^(L$28-$B$28)</f>
        <v>4.2041207813126364</v>
      </c>
      <c r="M37" s="119">
        <f>M10/(1+'Financial Information'!$B$5)^(M$28-$B$28)</f>
        <v>3.7219592511932222</v>
      </c>
      <c r="N37" s="119">
        <f>N10/(1+'Financial Information'!$B$5)^(N$28-$B$28)</f>
        <v>3.3239922758619191</v>
      </c>
      <c r="O37" s="119">
        <f>O10/(1+'Financial Information'!$B$5)^(O$28-$B$28)</f>
        <v>2.7660065032058778</v>
      </c>
      <c r="P37" s="119">
        <f>P10/(1+'Financial Information'!$B$5)^(P$28-$B$28)</f>
        <v>1.2152199618172259</v>
      </c>
      <c r="Q37" s="119">
        <f>Q10/(1+'Financial Information'!$B$5)^(Q$28-$B$28)</f>
        <v>0.65787420085555282</v>
      </c>
      <c r="R37" s="119">
        <f>R10/(1+'Financial Information'!$B$5)^(R$28-$B$28)</f>
        <v>0.62362201265386341</v>
      </c>
      <c r="S37" s="119">
        <f>S10/(1+'Financial Information'!$B$5)^(S$28-$B$28)</f>
        <v>0.59247538423392121</v>
      </c>
      <c r="T37" s="119">
        <f>T10/(1+'Financial Information'!$B$5)^(T$28-$B$28)</f>
        <v>0.5603789523089806</v>
      </c>
      <c r="U37" s="119">
        <f>U10/(1+'Financial Information'!$B$5)^(U$28-$B$28)</f>
        <v>0.52861814392414619</v>
      </c>
      <c r="V37" s="119">
        <f>V10/(1+'Financial Information'!$B$5)^(V$28-$B$28)</f>
        <v>0.50549473058015615</v>
      </c>
      <c r="W37" s="119">
        <f>W10/(1+'Financial Information'!$B$5)^(W$28-$B$28)</f>
        <v>0.47705543720931232</v>
      </c>
      <c r="X37" s="119">
        <f>X10/(1+'Financial Information'!$B$5)^(X$28-$B$28)</f>
        <v>0.44786565615532342</v>
      </c>
      <c r="Y37" s="119">
        <f>Y10/(1+'Financial Information'!$B$5)^(Y$28-$B$28)</f>
        <v>0.42394847999858293</v>
      </c>
      <c r="Z37" s="119">
        <f>Z10/(1+'Financial Information'!$B$5)^(Z$28-$B$28)</f>
        <v>0.40235091119731781</v>
      </c>
      <c r="AA37" s="119">
        <f>AA10/(1+'Financial Information'!$B$5)^(AA$28-$B$28)</f>
        <v>0.37971286415019523</v>
      </c>
      <c r="AB37" s="119">
        <f>AB10/(1+'Financial Information'!$B$5)^(AB$28-$B$28)</f>
        <v>0.36249178332718884</v>
      </c>
      <c r="AC37" s="119">
        <f>AC10/(1+'Financial Information'!$B$5)^(AC$28-$B$28)</f>
        <v>0.33941739339920485</v>
      </c>
      <c r="AD37" s="211">
        <f>AD10/(1+'Financial Information'!$B$5)^(AD$28-$B$28)</f>
        <v>0.31962242010771758</v>
      </c>
      <c r="AE37" s="119">
        <f>AE10/(1+'Financial Information'!$B$5)^(AE$28-$B$28)</f>
        <v>0.30065183750327135</v>
      </c>
      <c r="AF37" s="119">
        <f>AF10/(1+'Financial Information'!$B$5)^(AF$28-$B$28)</f>
        <v>0.28605324537017707</v>
      </c>
      <c r="AG37" s="119">
        <f>AG10/(1+'Financial Information'!$B$5)^(AG$28-$B$28)</f>
        <v>0.27036674141994205</v>
      </c>
      <c r="AH37" s="119">
        <f>AH10/(1+'Financial Information'!$B$5)^(AH$28-$B$28)</f>
        <v>0.25754082736689954</v>
      </c>
      <c r="AI37" s="119">
        <f>AI10/(1+'Financial Information'!$B$5)^(AI$28-$B$28)</f>
        <v>0.24164085819199518</v>
      </c>
      <c r="AJ37" s="119"/>
    </row>
    <row r="38" spans="1:36">
      <c r="A38" s="12" t="s">
        <v>69</v>
      </c>
      <c r="B38" s="212">
        <f>B11/(1+'Financial Information'!$B$5)^(B$28-$B$28)</f>
        <v>0</v>
      </c>
      <c r="C38" s="212">
        <f>C11/(1+'Financial Information'!$B$5)^(C$28-$B$28)</f>
        <v>0</v>
      </c>
      <c r="D38" s="212">
        <f>D11/(1+'Financial Information'!$B$5)^(D$28-$B$28)</f>
        <v>0</v>
      </c>
      <c r="E38" s="212">
        <f>E11/(1+'Financial Information'!$B$5)^(E$28-$B$28)</f>
        <v>0</v>
      </c>
      <c r="F38" s="212">
        <f>F11/(1+'Financial Information'!$B$5)^(F$28-$B$28)</f>
        <v>0</v>
      </c>
      <c r="G38" s="212">
        <f>G11/(1+'Financial Information'!$B$5)^(G$28-$B$28)</f>
        <v>73.946181881236171</v>
      </c>
      <c r="H38" s="212">
        <f>H11/(1+'Financial Information'!$B$5)^(H$28-$B$28)</f>
        <v>124.82502769786491</v>
      </c>
      <c r="I38" s="212">
        <f>I11/(1+'Financial Information'!$B$5)^(I$28-$B$28)</f>
        <v>169.81889348256996</v>
      </c>
      <c r="J38" s="212">
        <f>J11/(1+'Financial Information'!$B$5)^(J$28-$B$28)</f>
        <v>212.93128996204399</v>
      </c>
      <c r="K38" s="212">
        <f>K11/(1+'Financial Information'!$B$5)^(K$28-$B$28)</f>
        <v>248.3565202033779</v>
      </c>
      <c r="L38" s="212">
        <f>L11/(1+'Financial Information'!$B$5)^(L$28-$B$28)</f>
        <v>279.29941258595562</v>
      </c>
      <c r="M38" s="212">
        <f>M11/(1+'Financial Information'!$B$5)^(M$28-$B$28)</f>
        <v>296.62935831985817</v>
      </c>
      <c r="N38" s="212">
        <f>N11/(1+'Financial Information'!$B$5)^(N$28-$B$28)</f>
        <v>316.85534187782628</v>
      </c>
      <c r="O38" s="212">
        <f>O11/(1+'Financial Information'!$B$5)^(O$28-$B$28)</f>
        <v>329.97116106381708</v>
      </c>
      <c r="P38" s="212">
        <f>P11/(1+'Financial Information'!$B$5)^(P$28-$B$28)</f>
        <v>320.40259985482516</v>
      </c>
      <c r="Q38" s="212">
        <f>Q11/(1+'Financial Information'!$B$5)^(Q$28-$B$28)</f>
        <v>321.15328019650826</v>
      </c>
      <c r="R38" s="212">
        <f>R11/(1+'Financial Information'!$B$5)^(R$28-$B$28)</f>
        <v>366.60238406424452</v>
      </c>
      <c r="S38" s="212">
        <f>S11/(1+'Financial Information'!$B$5)^(S$28-$B$28)</f>
        <v>405.23131385631359</v>
      </c>
      <c r="T38" s="212">
        <f>T11/(1+'Financial Information'!$B$5)^(T$28-$B$28)</f>
        <v>438.55340209466368</v>
      </c>
      <c r="U38" s="212">
        <f>U11/(1+'Financial Information'!$B$5)^(U$28-$B$28)</f>
        <v>470.4647348933666</v>
      </c>
      <c r="V38" s="212">
        <f>V11/(1+'Financial Information'!$B$5)^(V$28-$B$28)</f>
        <v>493.93952542613135</v>
      </c>
      <c r="W38" s="212">
        <f>W11/(1+'Financial Information'!$B$5)^(W$28-$B$28)</f>
        <v>515.61453976140217</v>
      </c>
      <c r="X38" s="212">
        <f>X11/(1+'Financial Information'!$B$5)^(X$28-$B$28)</f>
        <v>519.80574913550709</v>
      </c>
      <c r="Y38" s="212">
        <f>Y11/(1+'Financial Information'!$B$5)^(Y$28-$B$28)</f>
        <v>527.42614344291189</v>
      </c>
      <c r="Z38" s="212">
        <f>Z11/(1+'Financial Information'!$B$5)^(Z$28-$B$28)</f>
        <v>540.06808375696335</v>
      </c>
      <c r="AA38" s="212">
        <f>AA11/(1+'Financial Information'!$B$5)^(AA$28-$B$28)</f>
        <v>546.37942163579851</v>
      </c>
      <c r="AB38" s="212">
        <f>AB11/(1+'Financial Information'!$B$5)^(AB$28-$B$28)</f>
        <v>552.9044907672976</v>
      </c>
      <c r="AC38" s="212">
        <f>AC11/(1+'Financial Information'!$B$5)^(AC$28-$B$28)</f>
        <v>549.24339030588999</v>
      </c>
      <c r="AD38" s="213">
        <f>AD11/(1+'Financial Information'!$B$5)^(AD$28-$B$28)</f>
        <v>548.48695211801714</v>
      </c>
      <c r="AE38" s="212">
        <f>AE11/(1+'Financial Information'!$B$5)^(AE$28-$B$28)</f>
        <v>540.12481994259451</v>
      </c>
      <c r="AF38" s="212">
        <f>AF11/(1+'Financial Information'!$B$5)^(AF$28-$B$28)</f>
        <v>539.29229587271493</v>
      </c>
      <c r="AG38" s="212">
        <f>AG11/(1+'Financial Information'!$B$5)^(AG$28-$B$28)</f>
        <v>535.40630841526627</v>
      </c>
      <c r="AH38" s="212">
        <f>AH11/(1+'Financial Information'!$B$5)^(AH$28-$B$28)</f>
        <v>530.28348638527132</v>
      </c>
      <c r="AI38" s="212">
        <f>AI11/(1+'Financial Information'!$B$5)^(AI$28-$B$28)</f>
        <v>516.52370236005368</v>
      </c>
      <c r="AJ38" s="212"/>
    </row>
    <row r="39" spans="1:36">
      <c r="A39" s="6" t="s">
        <v>61</v>
      </c>
      <c r="B39" s="15">
        <f t="shared" ref="B39:AG39" si="12">SUM(B29:B38)</f>
        <v>1843.4621723822067</v>
      </c>
      <c r="C39" s="15">
        <f t="shared" si="12"/>
        <v>1758.8220120849685</v>
      </c>
      <c r="D39" s="15">
        <f t="shared" si="12"/>
        <v>1710.2804142808266</v>
      </c>
      <c r="E39" s="15">
        <f t="shared" si="12"/>
        <v>1634.8250148527695</v>
      </c>
      <c r="F39" s="15">
        <f t="shared" si="12"/>
        <v>1425.3350308744293</v>
      </c>
      <c r="G39" s="15">
        <f t="shared" si="12"/>
        <v>1345.1830016765171</v>
      </c>
      <c r="H39" s="15">
        <f t="shared" si="12"/>
        <v>1316.889969949133</v>
      </c>
      <c r="I39" s="15">
        <f t="shared" si="12"/>
        <v>1379.0935139842989</v>
      </c>
      <c r="J39" s="15">
        <f t="shared" si="12"/>
        <v>1471.3906547296378</v>
      </c>
      <c r="K39" s="15">
        <f t="shared" si="12"/>
        <v>1502.9905668947631</v>
      </c>
      <c r="L39" s="15">
        <f t="shared" si="12"/>
        <v>1519.3360265653573</v>
      </c>
      <c r="M39" s="15">
        <f t="shared" si="12"/>
        <v>1508.5919543801128</v>
      </c>
      <c r="N39" s="15">
        <f t="shared" si="12"/>
        <v>1510.2141125790677</v>
      </c>
      <c r="O39" s="15">
        <f t="shared" si="12"/>
        <v>1464.3618669024941</v>
      </c>
      <c r="P39" s="15">
        <f t="shared" si="12"/>
        <v>1516.4965872232247</v>
      </c>
      <c r="Q39" s="15">
        <f t="shared" si="12"/>
        <v>1646.7180671826127</v>
      </c>
      <c r="R39" s="15">
        <f t="shared" si="12"/>
        <v>1629.1459896110612</v>
      </c>
      <c r="S39" s="15">
        <f t="shared" si="12"/>
        <v>1648.6335102634773</v>
      </c>
      <c r="T39" s="15">
        <f t="shared" si="12"/>
        <v>1670.3009149914747</v>
      </c>
      <c r="U39" s="15">
        <f t="shared" si="12"/>
        <v>1673.7956680777393</v>
      </c>
      <c r="V39" s="15">
        <f t="shared" si="12"/>
        <v>1659.8316139849499</v>
      </c>
      <c r="W39" s="15">
        <f t="shared" si="12"/>
        <v>1645.7525915521892</v>
      </c>
      <c r="X39" s="15">
        <f t="shared" si="12"/>
        <v>1640.0799104581779</v>
      </c>
      <c r="Y39" s="15">
        <f t="shared" si="12"/>
        <v>1691.7214547466688</v>
      </c>
      <c r="Z39" s="15">
        <f t="shared" si="12"/>
        <v>1671.0949175492215</v>
      </c>
      <c r="AA39" s="15">
        <f t="shared" si="12"/>
        <v>1656.6252423296046</v>
      </c>
      <c r="AB39" s="15">
        <f t="shared" si="12"/>
        <v>1622.5902143800483</v>
      </c>
      <c r="AC39" s="52">
        <f t="shared" si="12"/>
        <v>1557.7932407808457</v>
      </c>
      <c r="AD39" s="214">
        <f t="shared" si="12"/>
        <v>1513.8522344197363</v>
      </c>
      <c r="AE39" s="15">
        <f t="shared" si="12"/>
        <v>1449.2129574459332</v>
      </c>
      <c r="AF39" s="15">
        <f t="shared" si="12"/>
        <v>1398.2892651026334</v>
      </c>
      <c r="AG39" s="15">
        <f t="shared" si="12"/>
        <v>1353.7960733885907</v>
      </c>
      <c r="AH39" s="15">
        <f t="shared" ref="AH39" si="13">SUM(AH29:AH38)</f>
        <v>1307.740960126258</v>
      </c>
      <c r="AI39" s="15">
        <f t="shared" ref="AI39" si="14">SUM(AI29:AI38)</f>
        <v>1253.4684820950092</v>
      </c>
      <c r="AJ39" s="15"/>
    </row>
    <row r="40" spans="1:36">
      <c r="AC40" s="36"/>
      <c r="AD40" s="215"/>
    </row>
    <row r="41" spans="1:36">
      <c r="A41" s="152" t="str">
        <f>A14</f>
        <v>Clean Energy Connection</v>
      </c>
      <c r="B41" s="152">
        <f>$B$1</f>
        <v>2020</v>
      </c>
      <c r="C41" s="152">
        <f t="shared" ref="C41:AH41" si="15">B41+1</f>
        <v>2021</v>
      </c>
      <c r="D41" s="152">
        <f t="shared" si="15"/>
        <v>2022</v>
      </c>
      <c r="E41" s="152">
        <f t="shared" si="15"/>
        <v>2023</v>
      </c>
      <c r="F41" s="152">
        <f t="shared" si="15"/>
        <v>2024</v>
      </c>
      <c r="G41" s="152">
        <f t="shared" si="15"/>
        <v>2025</v>
      </c>
      <c r="H41" s="152">
        <f t="shared" si="15"/>
        <v>2026</v>
      </c>
      <c r="I41" s="152">
        <f t="shared" si="15"/>
        <v>2027</v>
      </c>
      <c r="J41" s="152">
        <f t="shared" si="15"/>
        <v>2028</v>
      </c>
      <c r="K41" s="152">
        <f t="shared" si="15"/>
        <v>2029</v>
      </c>
      <c r="L41" s="152">
        <f t="shared" si="15"/>
        <v>2030</v>
      </c>
      <c r="M41" s="152">
        <f t="shared" si="15"/>
        <v>2031</v>
      </c>
      <c r="N41" s="152">
        <f t="shared" si="15"/>
        <v>2032</v>
      </c>
      <c r="O41" s="152">
        <f t="shared" si="15"/>
        <v>2033</v>
      </c>
      <c r="P41" s="152">
        <f t="shared" si="15"/>
        <v>2034</v>
      </c>
      <c r="Q41" s="152">
        <f t="shared" si="15"/>
        <v>2035</v>
      </c>
      <c r="R41" s="152">
        <f t="shared" si="15"/>
        <v>2036</v>
      </c>
      <c r="S41" s="152">
        <f t="shared" si="15"/>
        <v>2037</v>
      </c>
      <c r="T41" s="152">
        <f t="shared" si="15"/>
        <v>2038</v>
      </c>
      <c r="U41" s="152">
        <f t="shared" si="15"/>
        <v>2039</v>
      </c>
      <c r="V41" s="152">
        <f t="shared" si="15"/>
        <v>2040</v>
      </c>
      <c r="W41" s="152">
        <f t="shared" si="15"/>
        <v>2041</v>
      </c>
      <c r="X41" s="152">
        <f t="shared" si="15"/>
        <v>2042</v>
      </c>
      <c r="Y41" s="152">
        <f t="shared" si="15"/>
        <v>2043</v>
      </c>
      <c r="Z41" s="152">
        <f t="shared" si="15"/>
        <v>2044</v>
      </c>
      <c r="AA41" s="152">
        <f t="shared" si="15"/>
        <v>2045</v>
      </c>
      <c r="AB41" s="152">
        <f t="shared" si="15"/>
        <v>2046</v>
      </c>
      <c r="AC41" s="209">
        <f t="shared" si="15"/>
        <v>2047</v>
      </c>
      <c r="AD41" s="210">
        <f t="shared" si="15"/>
        <v>2048</v>
      </c>
      <c r="AE41" s="152">
        <f t="shared" si="15"/>
        <v>2049</v>
      </c>
      <c r="AF41" s="152">
        <f t="shared" si="15"/>
        <v>2050</v>
      </c>
      <c r="AG41" s="152">
        <f t="shared" si="15"/>
        <v>2051</v>
      </c>
      <c r="AH41" s="152">
        <f t="shared" si="15"/>
        <v>2052</v>
      </c>
      <c r="AI41" s="152">
        <f t="shared" ref="AI41" si="16">AH41+1</f>
        <v>2053</v>
      </c>
      <c r="AJ41" s="152"/>
    </row>
    <row r="42" spans="1:36">
      <c r="A42" s="6" t="s">
        <v>134</v>
      </c>
      <c r="B42" s="119">
        <f>B15/(1+'Financial Information'!$B$5)^(B$28-$B$28)</f>
        <v>65.260450182206341</v>
      </c>
      <c r="C42" s="119">
        <f>C15/(1+'Financial Information'!$B$5)^(C$28-$B$28)</f>
        <v>95.670684812241348</v>
      </c>
      <c r="D42" s="119">
        <f>D15/(1+'Financial Information'!$B$5)^(D$28-$B$28)</f>
        <v>123.09266850550476</v>
      </c>
      <c r="E42" s="119">
        <f>E15/(1+'Financial Information'!$B$5)^(E$28-$B$28)</f>
        <v>110.3423278685908</v>
      </c>
      <c r="F42" s="119">
        <f>F15/(1+'Financial Information'!$B$5)^(F$28-$B$28)</f>
        <v>99.251999617653368</v>
      </c>
      <c r="G42" s="119">
        <f>G15/(1+'Financial Information'!$B$5)^(G$28-$B$28)</f>
        <v>87.236463254682732</v>
      </c>
      <c r="H42" s="119">
        <f>H15/(1+'Financial Information'!$B$5)^(H$28-$B$28)</f>
        <v>72.209878742626842</v>
      </c>
      <c r="I42" s="119">
        <f>I15/(1+'Financial Information'!$B$5)^(I$28-$B$28)</f>
        <v>65.776198490761217</v>
      </c>
      <c r="J42" s="119">
        <f>J15/(1+'Financial Information'!$B$5)^(J$28-$B$28)</f>
        <v>60.015159466469328</v>
      </c>
      <c r="K42" s="119">
        <f>K15/(1+'Financial Information'!$B$5)^(K$28-$B$28)</f>
        <v>54.842529437059518</v>
      </c>
      <c r="L42" s="119">
        <f>L15/(1+'Financial Information'!$B$5)^(L$28-$B$28)</f>
        <v>50.063063142283596</v>
      </c>
      <c r="M42" s="119">
        <f>M15/(1+'Financial Information'!$B$5)^(M$28-$B$28)</f>
        <v>45.685746667320686</v>
      </c>
      <c r="N42" s="119">
        <f>N15/(1+'Financial Information'!$B$5)^(N$28-$B$28)</f>
        <v>41.663810762062894</v>
      </c>
      <c r="O42" s="119">
        <f>O15/(1+'Financial Information'!$B$5)^(O$28-$B$28)</f>
        <v>38.004159133502633</v>
      </c>
      <c r="P42" s="119">
        <f>P15/(1+'Financial Information'!$B$5)^(P$28-$B$28)</f>
        <v>34.594178141826397</v>
      </c>
      <c r="Q42" s="119">
        <f>Q15/(1+'Financial Information'!$B$5)^(Q$28-$B$28)</f>
        <v>31.467085235523829</v>
      </c>
      <c r="R42" s="119">
        <f>R15/(1+'Financial Information'!$B$5)^(R$28-$B$28)</f>
        <v>28.556029265028624</v>
      </c>
      <c r="S42" s="119">
        <f>S15/(1+'Financial Information'!$B$5)^(S$28-$B$28)</f>
        <v>25.923671058538908</v>
      </c>
      <c r="T42" s="119">
        <f>T15/(1+'Financial Information'!$B$5)^(T$28-$B$28)</f>
        <v>24.302460071004031</v>
      </c>
      <c r="U42" s="119">
        <f>U15/(1+'Financial Information'!$B$5)^(U$28-$B$28)</f>
        <v>22.47210636589875</v>
      </c>
      <c r="V42" s="119">
        <f>V15/(1+'Financial Information'!$B$5)^(V$28-$B$28)</f>
        <v>20.321524261026781</v>
      </c>
      <c r="W42" s="119">
        <f>W15/(1+'Financial Information'!$B$5)^(W$28-$B$28)</f>
        <v>18.368381113610976</v>
      </c>
      <c r="X42" s="119">
        <f>X15/(1+'Financial Information'!$B$5)^(X$28-$B$28)</f>
        <v>16.632430176980964</v>
      </c>
      <c r="Y42" s="119">
        <f>Y15/(1+'Financial Information'!$B$5)^(Y$28-$B$28)</f>
        <v>15.026179470220866</v>
      </c>
      <c r="Z42" s="119">
        <f>Z15/(1+'Financial Information'!$B$5)^(Z$28-$B$28)</f>
        <v>13.604762985175954</v>
      </c>
      <c r="AA42" s="119">
        <f>AA15/(1+'Financial Information'!$B$5)^(AA$28-$B$28)</f>
        <v>12.278499130739975</v>
      </c>
      <c r="AB42" s="119">
        <f>AB15/(1+'Financial Information'!$B$5)^(AB$28-$B$28)</f>
        <v>11.098008139710984</v>
      </c>
      <c r="AC42" s="119">
        <f>AC15/(1+'Financial Information'!$B$5)^(AC$28-$B$28)</f>
        <v>10.008361154503485</v>
      </c>
      <c r="AD42" s="211">
        <f>AD15/(1+'Financial Information'!$B$5)^(AD$28-$B$28)</f>
        <v>9.3885499439786422</v>
      </c>
      <c r="AE42" s="119">
        <f>AE15/(1+'Financial Information'!$B$5)^(AE$28-$B$28)</f>
        <v>7.9514309956645066</v>
      </c>
      <c r="AF42" s="119">
        <f>AF15/(1+'Financial Information'!$B$5)^(AF$28-$B$28)</f>
        <v>5.2989347528844011</v>
      </c>
      <c r="AG42" s="119">
        <f>AG15/(1+'Financial Information'!$B$5)^(AG$28-$B$28)</f>
        <v>2.8960604241996695</v>
      </c>
      <c r="AH42" s="119">
        <f>AH15/(1+'Financial Information'!$B$5)^(AH$28-$B$28)</f>
        <v>0.41566066557171555</v>
      </c>
      <c r="AI42" s="119">
        <f>AI15/(1+'Financial Information'!$B$5)^(AI$28-$B$28)</f>
        <v>0.37490309689796597</v>
      </c>
      <c r="AJ42" s="119"/>
    </row>
    <row r="43" spans="1:36">
      <c r="A43" s="6" t="s">
        <v>135</v>
      </c>
      <c r="B43" s="119">
        <f>B16/(1+'Financial Information'!$B$5)^(B$28-$B$28)</f>
        <v>0</v>
      </c>
      <c r="C43" s="119">
        <f>C16/(1+'Financial Information'!$B$5)^(C$28-$B$28)</f>
        <v>0</v>
      </c>
      <c r="D43" s="119">
        <f>D16/(1+'Financial Information'!$B$5)^(D$28-$B$28)</f>
        <v>27.104402529171068</v>
      </c>
      <c r="E43" s="119">
        <f>E16/(1+'Financial Information'!$B$5)^(E$28-$B$28)</f>
        <v>71.677271703898896</v>
      </c>
      <c r="F43" s="119">
        <f>F16/(1+'Financial Information'!$B$5)^(F$28-$B$28)</f>
        <v>106.71659618161929</v>
      </c>
      <c r="G43" s="119">
        <f>G16/(1+'Financial Information'!$B$5)^(G$28-$B$28)</f>
        <v>94.968223232679676</v>
      </c>
      <c r="H43" s="119">
        <f>H16/(1+'Financial Information'!$B$5)^(H$28-$B$28)</f>
        <v>84.930290419949785</v>
      </c>
      <c r="I43" s="119">
        <f>I16/(1+'Financial Information'!$B$5)^(I$28-$B$28)</f>
        <v>71.369318056281188</v>
      </c>
      <c r="J43" s="119">
        <f>J16/(1+'Financial Information'!$B$5)^(J$28-$B$28)</f>
        <v>64.616065941150438</v>
      </c>
      <c r="K43" s="119">
        <f>K16/(1+'Financial Information'!$B$5)^(K$28-$B$28)</f>
        <v>58.847825074856878</v>
      </c>
      <c r="L43" s="119">
        <f>L16/(1+'Financial Information'!$B$5)^(L$28-$B$28)</f>
        <v>53.786374701416463</v>
      </c>
      <c r="M43" s="119">
        <f>M16/(1+'Financial Information'!$B$5)^(M$28-$B$28)</f>
        <v>49.250786941365043</v>
      </c>
      <c r="N43" s="119">
        <f>N16/(1+'Financial Information'!$B$5)^(N$28-$B$28)</f>
        <v>45.08657486113227</v>
      </c>
      <c r="O43" s="119">
        <f>O16/(1+'Financial Information'!$B$5)^(O$28-$B$28)</f>
        <v>41.252032029110545</v>
      </c>
      <c r="P43" s="119">
        <f>P16/(1+'Financial Information'!$B$5)^(P$28-$B$28)</f>
        <v>37.704265111778128</v>
      </c>
      <c r="Q43" s="119">
        <f>Q16/(1+'Financial Information'!$B$5)^(Q$28-$B$28)</f>
        <v>34.471759461208883</v>
      </c>
      <c r="R43" s="119">
        <f>R16/(1+'Financial Information'!$B$5)^(R$28-$B$28)</f>
        <v>31.510242239544308</v>
      </c>
      <c r="S43" s="119">
        <f>S16/(1+'Financial Information'!$B$5)^(S$28-$B$28)</f>
        <v>28.771416472238894</v>
      </c>
      <c r="T43" s="119">
        <f>T16/(1+'Financial Information'!$B$5)^(T$28-$B$28)</f>
        <v>28.186255215442095</v>
      </c>
      <c r="U43" s="119">
        <f>U16/(1+'Financial Information'!$B$5)^(U$28-$B$28)</f>
        <v>25.599452768354144</v>
      </c>
      <c r="V43" s="119">
        <f>V16/(1+'Financial Information'!$B$5)^(V$28-$B$28)</f>
        <v>23.223951483068507</v>
      </c>
      <c r="W43" s="119">
        <f>W16/(1+'Financial Information'!$B$5)^(W$28-$B$28)</f>
        <v>21.051786711251751</v>
      </c>
      <c r="X43" s="119">
        <f>X16/(1+'Financial Information'!$B$5)^(X$28-$B$28)</f>
        <v>19.118354143731811</v>
      </c>
      <c r="Y43" s="119">
        <f>Y16/(1+'Financial Information'!$B$5)^(Y$28-$B$28)</f>
        <v>17.388538002102155</v>
      </c>
      <c r="Z43" s="119">
        <f>Z16/(1+'Financial Information'!$B$5)^(Z$28-$B$28)</f>
        <v>15.82103716639633</v>
      </c>
      <c r="AA43" s="119">
        <f>AA16/(1+'Financial Information'!$B$5)^(AA$28-$B$28)</f>
        <v>14.367151034475768</v>
      </c>
      <c r="AB43" s="119">
        <f>AB16/(1+'Financial Information'!$B$5)^(AB$28-$B$28)</f>
        <v>13.070098401550514</v>
      </c>
      <c r="AC43" s="119">
        <f>AC16/(1+'Financial Information'!$B$5)^(AC$28-$B$28)</f>
        <v>11.873952695715952</v>
      </c>
      <c r="AD43" s="211">
        <f>AD16/(1+'Financial Information'!$B$5)^(AD$28-$B$28)</f>
        <v>10.792396380648784</v>
      </c>
      <c r="AE43" s="119">
        <f>AE16/(1+'Financial Information'!$B$5)^(AE$28-$B$28)</f>
        <v>9.7892282563921427</v>
      </c>
      <c r="AF43" s="119">
        <f>AF16/(1+'Financial Information'!$B$5)^(AF$28-$B$28)</f>
        <v>8.8893100063044432</v>
      </c>
      <c r="AG43" s="119">
        <f>AG16/(1+'Financial Information'!$B$5)^(AG$28-$B$28)</f>
        <v>8.5564850648572275</v>
      </c>
      <c r="AH43" s="119">
        <f>AH16/(1+'Financial Information'!$B$5)^(AH$28-$B$28)</f>
        <v>6.8276065268349155</v>
      </c>
      <c r="AI43" s="119">
        <f>AI16/(1+'Financial Information'!$B$5)^(AI$28-$B$28)</f>
        <v>3.6792355349898176</v>
      </c>
      <c r="AJ43" s="119"/>
    </row>
    <row r="44" spans="1:36">
      <c r="A44" s="6" t="s">
        <v>60</v>
      </c>
      <c r="B44" s="119">
        <f>B17/(1+'Financial Information'!$B$5)^(B$28-$B$28)</f>
        <v>0</v>
      </c>
      <c r="C44" s="119">
        <f>C17/(1+'Financial Information'!$B$5)^(C$28-$B$28)</f>
        <v>0</v>
      </c>
      <c r="D44" s="119">
        <f>D17/(1+'Financial Information'!$B$5)^(D$28-$B$28)</f>
        <v>0</v>
      </c>
      <c r="E44" s="119">
        <f>E17/(1+'Financial Information'!$B$5)^(E$28-$B$28)</f>
        <v>0</v>
      </c>
      <c r="F44" s="119">
        <f>F17/(1+'Financial Information'!$B$5)^(F$28-$B$28)</f>
        <v>0</v>
      </c>
      <c r="G44" s="119">
        <f>G17/(1+'Financial Information'!$B$5)^(G$28-$B$28)</f>
        <v>0</v>
      </c>
      <c r="H44" s="119">
        <f>H17/(1+'Financial Information'!$B$5)^(H$28-$B$28)</f>
        <v>0</v>
      </c>
      <c r="I44" s="119">
        <f>I17/(1+'Financial Information'!$B$5)^(I$28-$B$28)</f>
        <v>6.8065319934405428</v>
      </c>
      <c r="J44" s="119">
        <f>J17/(1+'Financial Information'!$B$5)^(J$28-$B$28)</f>
        <v>10.690057290776666</v>
      </c>
      <c r="K44" s="119">
        <f>K17/(1+'Financial Information'!$B$5)^(K$28-$B$28)</f>
        <v>15.857655953805649</v>
      </c>
      <c r="L44" s="119">
        <f>L17/(1+'Financial Information'!$B$5)^(L$28-$B$28)</f>
        <v>18.481386431945914</v>
      </c>
      <c r="M44" s="119">
        <f>M17/(1+'Financial Information'!$B$5)^(M$28-$B$28)</f>
        <v>22.348513128895039</v>
      </c>
      <c r="N44" s="119">
        <f>N17/(1+'Financial Information'!$B$5)^(N$28-$B$28)</f>
        <v>23.994861376548482</v>
      </c>
      <c r="O44" s="119">
        <f>O17/(1+'Financial Information'!$B$5)^(O$28-$B$28)</f>
        <v>26.829352716715064</v>
      </c>
      <c r="P44" s="119">
        <f>P17/(1+'Financial Information'!$B$5)^(P$28-$B$28)</f>
        <v>88.9550561173848</v>
      </c>
      <c r="Q44" s="119">
        <f>Q17/(1+'Financial Information'!$B$5)^(Q$28-$B$28)</f>
        <v>225.09784773874389</v>
      </c>
      <c r="R44" s="119">
        <f>R17/(1+'Financial Information'!$B$5)^(R$28-$B$28)</f>
        <v>210.14172390797253</v>
      </c>
      <c r="S44" s="119">
        <f>S17/(1+'Financial Information'!$B$5)^(S$28-$B$28)</f>
        <v>194.79830054252918</v>
      </c>
      <c r="T44" s="119">
        <f>T17/(1+'Financial Information'!$B$5)^(T$28-$B$28)</f>
        <v>186.33624121156328</v>
      </c>
      <c r="U44" s="119">
        <f>U17/(1+'Financial Information'!$B$5)^(U$28-$B$28)</f>
        <v>175.57419550385399</v>
      </c>
      <c r="V44" s="119">
        <f>V17/(1+'Financial Information'!$B$5)^(V$28-$B$28)</f>
        <v>163.84515780525754</v>
      </c>
      <c r="W44" s="119">
        <f>W17/(1+'Financial Information'!$B$5)^(W$28-$B$28)</f>
        <v>151.75386983266853</v>
      </c>
      <c r="X44" s="119">
        <f>X17/(1+'Financial Information'!$B$5)^(X$28-$B$28)</f>
        <v>168.29959195423737</v>
      </c>
      <c r="Y44" s="119">
        <f>Y17/(1+'Financial Information'!$B$5)^(Y$28-$B$28)</f>
        <v>240.7598407223953</v>
      </c>
      <c r="Z44" s="119">
        <f>Z17/(1+'Financial Information'!$B$5)^(Z$28-$B$28)</f>
        <v>225.69584068307202</v>
      </c>
      <c r="AA44" s="119">
        <f>AA17/(1+'Financial Information'!$B$5)^(AA$28-$B$28)</f>
        <v>212.7492454243806</v>
      </c>
      <c r="AB44" s="119">
        <f>AB17/(1+'Financial Information'!$B$5)^(AB$28-$B$28)</f>
        <v>198.44590105515422</v>
      </c>
      <c r="AC44" s="119">
        <f>AC17/(1+'Financial Information'!$B$5)^(AC$28-$B$28)</f>
        <v>182.30697222278701</v>
      </c>
      <c r="AD44" s="211">
        <f>AD17/(1+'Financial Information'!$B$5)^(AD$28-$B$28)</f>
        <v>165.60510671128793</v>
      </c>
      <c r="AE44" s="119">
        <f>AE17/(1+'Financial Information'!$B$5)^(AE$28-$B$28)</f>
        <v>150.36148482873168</v>
      </c>
      <c r="AF44" s="119">
        <f>AF17/(1+'Financial Information'!$B$5)^(AF$28-$B$28)</f>
        <v>136.45483625090628</v>
      </c>
      <c r="AG44" s="119">
        <f>AG17/(1+'Financial Information'!$B$5)^(AG$28-$B$28)</f>
        <v>123.74096019881367</v>
      </c>
      <c r="AH44" s="119">
        <f>AH17/(1+'Financial Information'!$B$5)^(AH$28-$B$28)</f>
        <v>112.10554241916785</v>
      </c>
      <c r="AI44" s="119">
        <f>AI17/(1+'Financial Information'!$B$5)^(AI$28-$B$28)</f>
        <v>101.46553419260681</v>
      </c>
      <c r="AJ44" s="119"/>
    </row>
    <row r="45" spans="1:36">
      <c r="A45" s="6" t="s">
        <v>68</v>
      </c>
      <c r="B45" s="119">
        <f>B18/(1+'Financial Information'!$B$5)^(B$28-$B$28)</f>
        <v>445.38108</v>
      </c>
      <c r="C45" s="119">
        <f>C18/(1+'Financial Information'!$B$5)^(C$28-$B$28)</f>
        <v>405.95848172446119</v>
      </c>
      <c r="D45" s="119">
        <f>D18/(1+'Financial Information'!$B$5)^(D$28-$B$28)</f>
        <v>383.04511506040029</v>
      </c>
      <c r="E45" s="119">
        <f>E18/(1+'Financial Information'!$B$5)^(E$28-$B$28)</f>
        <v>375.42940625433778</v>
      </c>
      <c r="F45" s="119">
        <f>F18/(1+'Financial Information'!$B$5)^(F$28-$B$28)</f>
        <v>231.79327266520852</v>
      </c>
      <c r="G45" s="119">
        <f>G18/(1+'Financial Information'!$B$5)^(G$28-$B$28)</f>
        <v>106.90762708059813</v>
      </c>
      <c r="H45" s="119">
        <f>H18/(1+'Financial Information'!$B$5)^(H$28-$B$28)</f>
        <v>39.084411000131446</v>
      </c>
      <c r="I45" s="119">
        <f>I18/(1+'Financial Information'!$B$5)^(I$28-$B$28)</f>
        <v>20.672035646629393</v>
      </c>
      <c r="J45" s="119">
        <f>J18/(1+'Financial Information'!$B$5)^(J$28-$B$28)</f>
        <v>12.518563020135373</v>
      </c>
      <c r="K45" s="119">
        <f>K18/(1+'Financial Information'!$B$5)^(K$28-$B$28)</f>
        <v>12.04578815746588</v>
      </c>
      <c r="L45" s="119">
        <f>L18/(1+'Financial Information'!$B$5)^(L$28-$B$28)</f>
        <v>11.558260882321816</v>
      </c>
      <c r="M45" s="119">
        <f>M18/(1+'Financial Information'!$B$5)^(M$28-$B$28)</f>
        <v>11.148437911064196</v>
      </c>
      <c r="N45" s="119">
        <f>N18/(1+'Financial Information'!$B$5)^(N$28-$B$28)</f>
        <v>10.706365919584599</v>
      </c>
      <c r="O45" s="119">
        <f>O18/(1+'Financial Information'!$B$5)^(O$28-$B$28)</f>
        <v>10.313431573744268</v>
      </c>
      <c r="P45" s="119">
        <f>P18/(1+'Financial Information'!$B$5)^(P$28-$B$28)</f>
        <v>12.296321501530654</v>
      </c>
      <c r="Q45" s="119">
        <f>Q18/(1+'Financial Information'!$B$5)^(Q$28-$B$28)</f>
        <v>13.399041765963331</v>
      </c>
      <c r="R45" s="119">
        <f>R18/(1+'Financial Information'!$B$5)^(R$28-$B$28)</f>
        <v>13.001269707392375</v>
      </c>
      <c r="S45" s="119">
        <f>S18/(1+'Financial Information'!$B$5)^(S$28-$B$28)</f>
        <v>12.577273952430309</v>
      </c>
      <c r="T45" s="119">
        <f>T18/(1+'Financial Information'!$B$5)^(T$28-$B$28)</f>
        <v>12.45577671575567</v>
      </c>
      <c r="U45" s="119">
        <f>U18/(1+'Financial Information'!$B$5)^(U$28-$B$28)</f>
        <v>12.208668559413129</v>
      </c>
      <c r="V45" s="119">
        <f>V18/(1+'Financial Information'!$B$5)^(V$28-$B$28)</f>
        <v>11.88782811627196</v>
      </c>
      <c r="W45" s="119">
        <f>W18/(1+'Financial Information'!$B$5)^(W$28-$B$28)</f>
        <v>11.495002470676392</v>
      </c>
      <c r="X45" s="119">
        <f>X18/(1+'Financial Information'!$B$5)^(X$28-$B$28)</f>
        <v>12.343675152163351</v>
      </c>
      <c r="Y45" s="119">
        <f>Y18/(1+'Financial Information'!$B$5)^(Y$28-$B$28)</f>
        <v>12.746770736339036</v>
      </c>
      <c r="Z45" s="119">
        <f>Z18/(1+'Financial Information'!$B$5)^(Z$28-$B$28)</f>
        <v>12.554886653744788</v>
      </c>
      <c r="AA45" s="119">
        <f>AA18/(1+'Financial Information'!$B$5)^(AA$28-$B$28)</f>
        <v>12.337698443577423</v>
      </c>
      <c r="AB45" s="119">
        <f>AB18/(1+'Financial Information'!$B$5)^(AB$28-$B$28)</f>
        <v>11.935134398748</v>
      </c>
      <c r="AC45" s="119">
        <f>AC18/(1+'Financial Information'!$B$5)^(AC$28-$B$28)</f>
        <v>11.535005812773326</v>
      </c>
      <c r="AD45" s="211">
        <f>AD18/(1+'Financial Information'!$B$5)^(AD$28-$B$28)</f>
        <v>11.050358019832974</v>
      </c>
      <c r="AE45" s="119">
        <f>AE18/(1+'Financial Information'!$B$5)^(AE$28-$B$28)</f>
        <v>10.205761010537286</v>
      </c>
      <c r="AF45" s="119">
        <f>AF18/(1+'Financial Information'!$B$5)^(AF$28-$B$28)</f>
        <v>8.9725777167932979</v>
      </c>
      <c r="AG45" s="119">
        <f>AG18/(1+'Financial Information'!$B$5)^(AG$28-$B$28)</f>
        <v>7.8983238293250473</v>
      </c>
      <c r="AH45" s="119">
        <f>AH18/(1+'Financial Information'!$B$5)^(AH$28-$B$28)</f>
        <v>7.1234484602986452</v>
      </c>
      <c r="AI45" s="119">
        <f>AI18/(1+'Financial Information'!$B$5)^(AI$28-$B$28)</f>
        <v>6.8159373509703727</v>
      </c>
      <c r="AJ45" s="119"/>
    </row>
    <row r="46" spans="1:36">
      <c r="A46" s="6" t="s">
        <v>67</v>
      </c>
      <c r="B46" s="119">
        <f>B19/(1+'Financial Information'!$B$5)^(B$28-$B$28)</f>
        <v>390.67815999999999</v>
      </c>
      <c r="C46" s="119">
        <f>C19/(1+'Financial Information'!$B$5)^(C$28-$B$28)</f>
        <v>360.70502343017807</v>
      </c>
      <c r="D46" s="119">
        <f>D19/(1+'Financial Information'!$B$5)^(D$28-$B$28)</f>
        <v>335.35898897573895</v>
      </c>
      <c r="E46" s="119">
        <f>E19/(1+'Financial Information'!$B$5)^(E$28-$B$28)</f>
        <v>314.30083315439452</v>
      </c>
      <c r="F46" s="119">
        <f>F19/(1+'Financial Information'!$B$5)^(F$28-$B$28)</f>
        <v>295.33513302110208</v>
      </c>
      <c r="G46" s="119">
        <f>G19/(1+'Financial Information'!$B$5)^(G$28-$B$28)</f>
        <v>276.06838970105849</v>
      </c>
      <c r="H46" s="119">
        <f>H19/(1+'Financial Information'!$B$5)^(H$28-$B$28)</f>
        <v>258.73326797724269</v>
      </c>
      <c r="I46" s="119">
        <f>I19/(1+'Financial Information'!$B$5)^(I$28-$B$28)</f>
        <v>242.48665529579867</v>
      </c>
      <c r="J46" s="119">
        <f>J19/(1+'Financial Information'!$B$5)^(J$28-$B$28)</f>
        <v>227.85440863960679</v>
      </c>
      <c r="K46" s="119">
        <f>K19/(1+'Financial Information'!$B$5)^(K$28-$B$28)</f>
        <v>212.98990297394215</v>
      </c>
      <c r="L46" s="119">
        <f>L19/(1+'Financial Information'!$B$5)^(L$28-$B$28)</f>
        <v>199.61565414615009</v>
      </c>
      <c r="M46" s="119">
        <f>M19/(1+'Financial Information'!$B$5)^(M$28-$B$28)</f>
        <v>187.08120798304273</v>
      </c>
      <c r="N46" s="119">
        <f>N19/(1+'Financial Information'!$B$5)^(N$28-$B$28)</f>
        <v>175.79226353945276</v>
      </c>
      <c r="O46" s="119">
        <f>O19/(1+'Financial Information'!$B$5)^(O$28-$B$28)</f>
        <v>164.32412863276659</v>
      </c>
      <c r="P46" s="119">
        <f>P19/(1+'Financial Information'!$B$5)^(P$28-$B$28)</f>
        <v>186.44966316241701</v>
      </c>
      <c r="Q46" s="119">
        <f>Q19/(1+'Financial Information'!$B$5)^(Q$28-$B$28)</f>
        <v>197.15453677261414</v>
      </c>
      <c r="R46" s="119">
        <f>R19/(1+'Financial Information'!$B$5)^(R$28-$B$28)</f>
        <v>189.57653911130575</v>
      </c>
      <c r="S46" s="119">
        <f>S19/(1+'Financial Information'!$B$5)^(S$28-$B$28)</f>
        <v>180.88703918449519</v>
      </c>
      <c r="T46" s="119">
        <f>T19/(1+'Financial Information'!$B$5)^(T$28-$B$28)</f>
        <v>178.39124480485597</v>
      </c>
      <c r="U46" s="119">
        <f>U19/(1+'Financial Information'!$B$5)^(U$28-$B$28)</f>
        <v>173.12248150918163</v>
      </c>
      <c r="V46" s="119">
        <f>V19/(1+'Financial Information'!$B$5)^(V$28-$B$28)</f>
        <v>166.34094227998114</v>
      </c>
      <c r="W46" s="119">
        <f>W19/(1+'Financial Information'!$B$5)^(W$28-$B$28)</f>
        <v>158.63344732188509</v>
      </c>
      <c r="X46" s="119">
        <f>X19/(1+'Financial Information'!$B$5)^(X$28-$B$28)</f>
        <v>167.25253218717793</v>
      </c>
      <c r="Y46" s="119">
        <f>Y19/(1+'Financial Information'!$B$5)^(Y$28-$B$28)</f>
        <v>169.20410153420846</v>
      </c>
      <c r="Z46" s="119">
        <f>Z19/(1+'Financial Information'!$B$5)^(Z$28-$B$28)</f>
        <v>165.54425278071812</v>
      </c>
      <c r="AA46" s="119">
        <f>AA19/(1+'Financial Information'!$B$5)^(AA$28-$B$28)</f>
        <v>163.15723205106997</v>
      </c>
      <c r="AB46" s="119">
        <f>AB19/(1+'Financial Information'!$B$5)^(AB$28-$B$28)</f>
        <v>158.36536962218472</v>
      </c>
      <c r="AC46" s="119">
        <f>AC19/(1+'Financial Information'!$B$5)^(AC$28-$B$28)</f>
        <v>150.5725221084063</v>
      </c>
      <c r="AD46" s="211">
        <f>AD19/(1+'Financial Information'!$B$5)^(AD$28-$B$28)</f>
        <v>141.11764021406404</v>
      </c>
      <c r="AE46" s="119">
        <f>AE19/(1+'Financial Information'!$B$5)^(AE$28-$B$28)</f>
        <v>132.25645755769824</v>
      </c>
      <c r="AF46" s="119">
        <f>AF19/(1+'Financial Information'!$B$5)^(AF$28-$B$28)</f>
        <v>123.95169405594963</v>
      </c>
      <c r="AG46" s="119">
        <f>AG19/(1+'Financial Information'!$B$5)^(AG$28-$B$28)</f>
        <v>116.16841054915618</v>
      </c>
      <c r="AH46" s="119">
        <f>AH19/(1+'Financial Information'!$B$5)^(AH$28-$B$28)</f>
        <v>108.87386180801893</v>
      </c>
      <c r="AI46" s="119">
        <f>AI19/(1+'Financial Information'!$B$5)^(AI$28-$B$28)</f>
        <v>102.03735877040201</v>
      </c>
      <c r="AJ46" s="119"/>
    </row>
    <row r="47" spans="1:36">
      <c r="A47" s="6" t="s">
        <v>383</v>
      </c>
      <c r="B47" s="119">
        <f>B20/(1+'Financial Information'!$B$5)^(B$28-$B$28)</f>
        <v>0</v>
      </c>
      <c r="C47" s="119">
        <f>C20/(1+'Financial Information'!$B$5)^(C$28-$B$28)</f>
        <v>0.95602539473914416</v>
      </c>
      <c r="D47" s="119">
        <f>D20/(1+'Financial Information'!$B$5)^(D$28-$B$28)</f>
        <v>0.55120123026807166</v>
      </c>
      <c r="E47" s="119">
        <f>E20/(1+'Financial Information'!$B$5)^(E$28-$B$28)</f>
        <v>0.5623101071629828</v>
      </c>
      <c r="F47" s="119">
        <f>F20/(1+'Financial Information'!$B$5)^(F$28-$B$28)</f>
        <v>0.52054864825483194</v>
      </c>
      <c r="G47" s="119">
        <f>G20/(1+'Financial Information'!$B$5)^(G$28-$B$28)</f>
        <v>0.47447401205225109</v>
      </c>
      <c r="H47" s="119">
        <f>H20/(1+'Financial Information'!$B$5)^(H$28-$B$28)</f>
        <v>0.34594805194586459</v>
      </c>
      <c r="I47" s="119">
        <f>I20/(1+'Financial Information'!$B$5)^(I$28-$B$28)</f>
        <v>0.35889584333158642</v>
      </c>
      <c r="J47" s="119">
        <f>J20/(1+'Financial Information'!$B$5)^(J$28-$B$28)</f>
        <v>0.31198140715775902</v>
      </c>
      <c r="K47" s="119">
        <f>K20/(1+'Financial Information'!$B$5)^(K$28-$B$28)</f>
        <v>0.30427695800079424</v>
      </c>
      <c r="L47" s="119">
        <f>L20/(1+'Financial Information'!$B$5)^(L$28-$B$28)</f>
        <v>0.30795444784735088</v>
      </c>
      <c r="M47" s="119">
        <f>M20/(1+'Financial Information'!$B$5)^(M$28-$B$28)</f>
        <v>0.18247509532472547</v>
      </c>
      <c r="N47" s="119">
        <f>N20/(1+'Financial Information'!$B$5)^(N$28-$B$28)</f>
        <v>0.16938864297452635</v>
      </c>
      <c r="O47" s="119">
        <f>O20/(1+'Financial Information'!$B$5)^(O$28-$B$28)</f>
        <v>0.18396491954915264</v>
      </c>
      <c r="P47" s="119">
        <f>P20/(1+'Financial Information'!$B$5)^(P$28-$B$28)</f>
        <v>0.15422719438562776</v>
      </c>
      <c r="Q47" s="119">
        <f>Q20/(1+'Financial Information'!$B$5)^(Q$28-$B$28)</f>
        <v>0.15098936805677604</v>
      </c>
      <c r="R47" s="119">
        <f>R20/(1+'Financial Information'!$B$5)^(R$28-$B$28)</f>
        <v>0.15539588507457328</v>
      </c>
      <c r="S47" s="119">
        <f>S20/(1+'Financial Information'!$B$5)^(S$28-$B$28)</f>
        <v>0.13751918551195877</v>
      </c>
      <c r="T47" s="119">
        <f>T20/(1+'Financial Information'!$B$5)^(T$28-$B$28)</f>
        <v>0.12817027651588755</v>
      </c>
      <c r="U47" s="119">
        <f>U20/(1+'Financial Information'!$B$5)^(U$28-$B$28)</f>
        <v>0.13758403227896901</v>
      </c>
      <c r="V47" s="119">
        <f>V20/(1+'Financial Information'!$B$5)^(V$28-$B$28)</f>
        <v>0.11698394016848228</v>
      </c>
      <c r="W47" s="119">
        <f>W20/(1+'Financial Information'!$B$5)^(W$28-$B$28)</f>
        <v>0.11435737038101808</v>
      </c>
      <c r="X47" s="119">
        <f>X20/(1+'Financial Information'!$B$5)^(X$28-$B$28)</f>
        <v>0.11692608052186379</v>
      </c>
      <c r="Y47" s="119">
        <f>Y20/(1+'Financial Information'!$B$5)^(Y$28-$B$28)</f>
        <v>0.10440876415134408</v>
      </c>
      <c r="Z47" s="119">
        <f>Z20/(1+'Financial Information'!$B$5)^(Z$28-$B$28)</f>
        <v>9.7684384896888563E-2</v>
      </c>
      <c r="AA47" s="119">
        <f>AA20/(1+'Financial Information'!$B$5)^(AA$28-$B$28)</f>
        <v>0.10368824913571693</v>
      </c>
      <c r="AB47" s="119">
        <f>AB20/(1+'Financial Information'!$B$5)^(AB$28-$B$28)</f>
        <v>8.2564650928115241E-2</v>
      </c>
      <c r="AC47" s="119">
        <f>AC20/(1+'Financial Information'!$B$5)^(AC$28-$B$28)</f>
        <v>8.3465961159684646E-2</v>
      </c>
      <c r="AD47" s="211">
        <f>AD20/(1+'Financial Information'!$B$5)^(AD$28-$B$28)</f>
        <v>7.5842450435234077E-2</v>
      </c>
      <c r="AE47" s="119">
        <f>AE20/(1+'Financial Information'!$B$5)^(AE$28-$B$28)</f>
        <v>7.5909008158437943E-2</v>
      </c>
      <c r="AF47" s="119">
        <f>AF20/(1+'Financial Information'!$B$5)^(AF$28-$B$28)</f>
        <v>6.971161497164291E-2</v>
      </c>
      <c r="AG47" s="119">
        <f>AG20/(1+'Financial Information'!$B$5)^(AG$28-$B$28)</f>
        <v>7.0198508240108884E-2</v>
      </c>
      <c r="AH47" s="119">
        <f>AH20/(1+'Financial Information'!$B$5)^(AH$28-$B$28)</f>
        <v>6.1905223697295828E-2</v>
      </c>
      <c r="AI47" s="119">
        <f>AI20/(1+'Financial Information'!$B$5)^(AI$28-$B$28)</f>
        <v>5.822845688296438E-2</v>
      </c>
      <c r="AJ47" s="119"/>
    </row>
    <row r="48" spans="1:36">
      <c r="A48" s="6" t="s">
        <v>65</v>
      </c>
      <c r="B48" s="119">
        <f>B21/(1+'Financial Information'!$B$5)^(B$28-$B$28)</f>
        <v>849.84470000000033</v>
      </c>
      <c r="C48" s="119">
        <f>C21/(1+'Financial Information'!$B$5)^(C$28-$B$28)</f>
        <v>805.01208059981241</v>
      </c>
      <c r="D48" s="119">
        <f>D21/(1+'Financial Information'!$B$5)^(D$28-$B$28)</f>
        <v>768.90162311625295</v>
      </c>
      <c r="E48" s="119">
        <f>E21/(1+'Financial Information'!$B$5)^(E$28-$B$28)</f>
        <v>722.36671627908515</v>
      </c>
      <c r="F48" s="119">
        <f>F21/(1+'Financial Information'!$B$5)^(F$28-$B$28)</f>
        <v>667.00592946463189</v>
      </c>
      <c r="G48" s="119">
        <f>G21/(1+'Financial Information'!$B$5)^(G$28-$B$28)</f>
        <v>667.75777763432893</v>
      </c>
      <c r="H48" s="119">
        <f>H21/(1+'Financial Information'!$B$5)^(H$28-$B$28)</f>
        <v>680.27198104466834</v>
      </c>
      <c r="I48" s="119">
        <f>I21/(1+'Financial Information'!$B$5)^(I$28-$B$28)</f>
        <v>717.45423710562443</v>
      </c>
      <c r="J48" s="119">
        <f>J21/(1+'Financial Information'!$B$5)^(J$28-$B$28)</f>
        <v>775.56186786720286</v>
      </c>
      <c r="K48" s="119">
        <f>K21/(1+'Financial Information'!$B$5)^(K$28-$B$28)</f>
        <v>786.65134173349134</v>
      </c>
      <c r="L48" s="119">
        <f>L21/(1+'Financial Information'!$B$5)^(L$28-$B$28)</f>
        <v>787.78943981525777</v>
      </c>
      <c r="M48" s="119">
        <f>M21/(1+'Financial Information'!$B$5)^(M$28-$B$28)</f>
        <v>770.39881896321367</v>
      </c>
      <c r="N48" s="119">
        <f>N21/(1+'Financial Information'!$B$5)^(N$28-$B$28)</f>
        <v>770.73832735726558</v>
      </c>
      <c r="O48" s="119">
        <f>O21/(1+'Financial Information'!$B$5)^(O$28-$B$28)</f>
        <v>728.52899180927</v>
      </c>
      <c r="P48" s="119">
        <f>P21/(1+'Financial Information'!$B$5)^(P$28-$B$28)</f>
        <v>701.48784618118725</v>
      </c>
      <c r="Q48" s="119">
        <f>Q21/(1+'Financial Information'!$B$5)^(Q$28-$B$28)</f>
        <v>681.77729615873864</v>
      </c>
      <c r="R48" s="119">
        <f>R21/(1+'Financial Information'!$B$5)^(R$28-$B$28)</f>
        <v>659.17150725609224</v>
      </c>
      <c r="S48" s="119">
        <f>S21/(1+'Financial Information'!$B$5)^(S$28-$B$28)</f>
        <v>668.58025174872307</v>
      </c>
      <c r="T48" s="119">
        <f>T21/(1+'Financial Information'!$B$5)^(T$28-$B$28)</f>
        <v>663.22901373841648</v>
      </c>
      <c r="U48" s="119">
        <f>U21/(1+'Financial Information'!$B$5)^(U$28-$B$28)</f>
        <v>644.39473096510244</v>
      </c>
      <c r="V48" s="119">
        <f>V21/(1+'Financial Information'!$B$5)^(V$28-$B$28)</f>
        <v>635.97347467828808</v>
      </c>
      <c r="W48" s="119">
        <f>W21/(1+'Financial Information'!$B$5)^(W$28-$B$28)</f>
        <v>625.67679440516497</v>
      </c>
      <c r="X48" s="119">
        <f>X21/(1+'Financial Information'!$B$5)^(X$28-$B$28)</f>
        <v>600.67355635059221</v>
      </c>
      <c r="Y48" s="119">
        <f>Y21/(1+'Financial Information'!$B$5)^(Y$28-$B$28)</f>
        <v>575.38717895902732</v>
      </c>
      <c r="Z48" s="119">
        <f>Z21/(1+'Financial Information'!$B$5)^(Z$28-$B$28)</f>
        <v>569.50078216522002</v>
      </c>
      <c r="AA48" s="119">
        <f>AA21/(1+'Financial Information'!$B$5)^(AA$28-$B$28)</f>
        <v>567.36904994799818</v>
      </c>
      <c r="AB48" s="119">
        <f>AB21/(1+'Financial Information'!$B$5)^(AB$28-$B$28)</f>
        <v>559.53973048059891</v>
      </c>
      <c r="AC48" s="119">
        <f>AC21/(1+'Financial Information'!$B$5)^(AC$28-$B$28)</f>
        <v>532.10076861568996</v>
      </c>
      <c r="AD48" s="211">
        <f>AD21/(1+'Financial Information'!$B$5)^(AD$28-$B$28)</f>
        <v>518.68278174915304</v>
      </c>
      <c r="AE48" s="119">
        <f>AE21/(1+'Financial Information'!$B$5)^(AE$28-$B$28)</f>
        <v>493.9248128323793</v>
      </c>
      <c r="AF48" s="119">
        <f>AF21/(1+'Financial Information'!$B$5)^(AF$28-$B$28)</f>
        <v>473.91888183086695</v>
      </c>
      <c r="AG48" s="119">
        <f>AG21/(1+'Financial Information'!$B$5)^(AG$28-$B$28)</f>
        <v>458.73544911566682</v>
      </c>
      <c r="AH48" s="119">
        <f>AH21/(1+'Financial Information'!$B$5)^(AH$28-$B$28)</f>
        <v>447.54411437312388</v>
      </c>
      <c r="AI48" s="119">
        <f>AI21/(1+'Financial Information'!$B$5)^(AI$28-$B$28)</f>
        <v>433.84910939053538</v>
      </c>
      <c r="AJ48" s="119"/>
    </row>
    <row r="49" spans="1:36">
      <c r="A49" s="6" t="s">
        <v>52</v>
      </c>
      <c r="B49" s="119">
        <f>B22/(1+'Financial Information'!$B$5)^(B$28-$B$28)</f>
        <v>86.065810000000013</v>
      </c>
      <c r="C49" s="119">
        <f>C22/(1+'Financial Information'!$B$5)^(C$28-$B$28)</f>
        <v>85.41063730084349</v>
      </c>
      <c r="D49" s="119">
        <f>D22/(1+'Financial Information'!$B$5)^(D$28-$B$28)</f>
        <v>85.749814007864799</v>
      </c>
      <c r="E49" s="119">
        <f>E22/(1+'Financial Information'!$B$5)^(E$28-$B$28)</f>
        <v>84.553947782033816</v>
      </c>
      <c r="F49" s="119">
        <f>F22/(1+'Financial Information'!$B$5)^(F$28-$B$28)</f>
        <v>86.026447819378305</v>
      </c>
      <c r="G49" s="119">
        <f>G22/(1+'Financial Information'!$B$5)^(G$28-$B$28)</f>
        <v>90.325910246145114</v>
      </c>
      <c r="H49" s="119">
        <f>H22/(1+'Financial Information'!$B$5)^(H$28-$B$28)</f>
        <v>99.237702956606014</v>
      </c>
      <c r="I49" s="119">
        <f>I22/(1+'Financial Information'!$B$5)^(I$28-$B$28)</f>
        <v>105.45691188006272</v>
      </c>
      <c r="J49" s="119">
        <f>J22/(1+'Financial Information'!$B$5)^(J$28-$B$28)</f>
        <v>112.20988905115455</v>
      </c>
      <c r="K49" s="119">
        <f>K22/(1+'Financial Information'!$B$5)^(K$28-$B$28)</f>
        <v>113.3637077933324</v>
      </c>
      <c r="L49" s="119">
        <f>L22/(1+'Financial Information'!$B$5)^(L$28-$B$28)</f>
        <v>118.02210200961561</v>
      </c>
      <c r="M49" s="119">
        <f>M22/(1+'Financial Information'!$B$5)^(M$28-$B$28)</f>
        <v>120.78159252917901</v>
      </c>
      <c r="N49" s="119">
        <f>N22/(1+'Financial Information'!$B$5)^(N$28-$B$28)</f>
        <v>119.11478733891171</v>
      </c>
      <c r="O49" s="119">
        <f>O22/(1+'Financial Information'!$B$5)^(O$28-$B$28)</f>
        <v>119.89134967805798</v>
      </c>
      <c r="P49" s="119">
        <f>P22/(1+'Financial Information'!$B$5)^(P$28-$B$28)</f>
        <v>114.12805900315567</v>
      </c>
      <c r="Q49" s="119">
        <f>Q22/(1+'Financial Information'!$B$5)^(Q$28-$B$28)</f>
        <v>112.23777908243046</v>
      </c>
      <c r="R49" s="119">
        <f>R22/(1+'Financial Information'!$B$5)^(R$28-$B$28)</f>
        <v>112.2461765835161</v>
      </c>
      <c r="S49" s="119">
        <f>S22/(1+'Financial Information'!$B$5)^(S$28-$B$28)</f>
        <v>118.64383240074855</v>
      </c>
      <c r="T49" s="119">
        <f>T22/(1+'Financial Information'!$B$5)^(T$28-$B$28)</f>
        <v>116.72195966808349</v>
      </c>
      <c r="U49" s="119">
        <f>U22/(1+'Financial Information'!$B$5)^(U$28-$B$28)</f>
        <v>121.12232533693279</v>
      </c>
      <c r="V49" s="119">
        <f>V22/(1+'Financial Information'!$B$5)^(V$28-$B$28)</f>
        <v>115.70469848980598</v>
      </c>
      <c r="W49" s="119">
        <f>W22/(1+'Financial Information'!$B$5)^(W$28-$B$28)</f>
        <v>115.18539883525803</v>
      </c>
      <c r="X49" s="119">
        <f>X22/(1+'Financial Information'!$B$5)^(X$28-$B$28)</f>
        <v>109.63237795921164</v>
      </c>
      <c r="Y49" s="119">
        <f>Y22/(1+'Financial Information'!$B$5)^(Y$28-$B$28)</f>
        <v>107.46150690134201</v>
      </c>
      <c r="Z49" s="119">
        <f>Z22/(1+'Financial Information'!$B$5)^(Z$28-$B$28)</f>
        <v>104.02953544743544</v>
      </c>
      <c r="AA49" s="119">
        <f>AA22/(1+'Financial Information'!$B$5)^(AA$28-$B$28)</f>
        <v>103.07656787029612</v>
      </c>
      <c r="AB49" s="119">
        <f>AB22/(1+'Financial Information'!$B$5)^(AB$28-$B$28)</f>
        <v>99.652320295742172</v>
      </c>
      <c r="AC49" s="119">
        <f>AC22/(1+'Financial Information'!$B$5)^(AC$28-$B$28)</f>
        <v>98.481273040734948</v>
      </c>
      <c r="AD49" s="211">
        <f>AD22/(1+'Financial Information'!$B$5)^(AD$28-$B$28)</f>
        <v>95.057912369215117</v>
      </c>
      <c r="AE49" s="119">
        <f>AE22/(1+'Financial Information'!$B$5)^(AE$28-$B$28)</f>
        <v>92.592556069521322</v>
      </c>
      <c r="AF49" s="119">
        <f>AF22/(1+'Financial Information'!$B$5)^(AF$28-$B$28)</f>
        <v>89.479331866644998</v>
      </c>
      <c r="AG49" s="119">
        <f>AG22/(1+'Financial Information'!$B$5)^(AG$28-$B$28)</f>
        <v>89.870858484766146</v>
      </c>
      <c r="AH49" s="119">
        <f>AH22/(1+'Financial Information'!$B$5)^(AH$28-$B$28)</f>
        <v>84.4844942760202</v>
      </c>
      <c r="AI49" s="119">
        <f>AI22/(1+'Financial Information'!$B$5)^(AI$28-$B$28)</f>
        <v>82.846919637294732</v>
      </c>
      <c r="AJ49" s="119"/>
    </row>
    <row r="50" spans="1:36">
      <c r="A50" s="36" t="s">
        <v>66</v>
      </c>
      <c r="B50" s="119">
        <f>B23/(1+'Financial Information'!$B$5)^(B$28-$B$28)</f>
        <v>6.2319722000000004</v>
      </c>
      <c r="C50" s="119">
        <f>C23/(1+'Financial Information'!$B$5)^(C$28-$B$28)</f>
        <v>6.0651042174320517</v>
      </c>
      <c r="D50" s="119">
        <f>D23/(1+'Financial Information'!$B$5)^(D$28-$B$28)</f>
        <v>5.5368701849556743</v>
      </c>
      <c r="E50" s="119">
        <f>E23/(1+'Financial Information'!$B$5)^(E$28-$B$28)</f>
        <v>4.6623158537011671</v>
      </c>
      <c r="F50" s="119">
        <f>F23/(1+'Financial Information'!$B$5)^(F$28-$B$28)</f>
        <v>4.2412616207069815</v>
      </c>
      <c r="G50" s="119">
        <f>G23/(1+'Financial Information'!$B$5)^(G$28-$B$28)</f>
        <v>4.2844722575972725</v>
      </c>
      <c r="H50" s="119">
        <f>H23/(1+'Financial Information'!$B$5)^(H$28-$B$28)</f>
        <v>4.1359631827650496</v>
      </c>
      <c r="I50" s="119">
        <f>I23/(1+'Financial Information'!$B$5)^(I$28-$B$28)</f>
        <v>4.1185483014725284</v>
      </c>
      <c r="J50" s="119">
        <f>J23/(1+'Financial Information'!$B$5)^(J$28-$B$28)</f>
        <v>4.3642890238963234</v>
      </c>
      <c r="K50" s="119">
        <f>K23/(1+'Financial Information'!$B$5)^(K$28-$B$28)</f>
        <v>4.2103030025828048</v>
      </c>
      <c r="L50" s="119">
        <f>L23/(1+'Financial Information'!$B$5)^(L$28-$B$28)</f>
        <v>4.2439642839021428</v>
      </c>
      <c r="M50" s="119">
        <f>M23/(1+'Financial Information'!$B$5)^(M$28-$B$28)</f>
        <v>3.7370355062536293</v>
      </c>
      <c r="N50" s="119">
        <f>N23/(1+'Financial Information'!$B$5)^(N$28-$B$28)</f>
        <v>3.3762130366866452</v>
      </c>
      <c r="O50" s="119">
        <f>O23/(1+'Financial Information'!$B$5)^(O$28-$B$28)</f>
        <v>2.7821046525259199</v>
      </c>
      <c r="P50" s="119">
        <f>P23/(1+'Financial Information'!$B$5)^(P$28-$B$28)</f>
        <v>1.2001470214022327</v>
      </c>
      <c r="Q50" s="119">
        <f>Q23/(1+'Financial Information'!$B$5)^(Q$28-$B$28)</f>
        <v>0.63517689070329364</v>
      </c>
      <c r="R50" s="119">
        <f>R23/(1+'Financial Information'!$B$5)^(R$28-$B$28)</f>
        <v>0.59908329992524401</v>
      </c>
      <c r="S50" s="119">
        <f>S23/(1+'Financial Information'!$B$5)^(S$28-$B$28)</f>
        <v>0.56921520754426536</v>
      </c>
      <c r="T50" s="119">
        <f>T23/(1+'Financial Information'!$B$5)^(T$28-$B$28)</f>
        <v>0.53966232718807827</v>
      </c>
      <c r="U50" s="119">
        <f>U23/(1+'Financial Information'!$B$5)^(U$28-$B$28)</f>
        <v>0.51080358560204797</v>
      </c>
      <c r="V50" s="119">
        <f>V23/(1+'Financial Information'!$B$5)^(V$28-$B$28)</f>
        <v>0.4886019910153212</v>
      </c>
      <c r="W50" s="119">
        <f>W23/(1+'Financial Information'!$B$5)^(W$28-$B$28)</f>
        <v>0.46096726020346701</v>
      </c>
      <c r="X50" s="119">
        <f>X23/(1+'Financial Information'!$B$5)^(X$28-$B$28)</f>
        <v>0.43109983555709025</v>
      </c>
      <c r="Y50" s="119">
        <f>Y23/(1+'Financial Information'!$B$5)^(Y$28-$B$28)</f>
        <v>0.40996807647517497</v>
      </c>
      <c r="Z50" s="119">
        <f>Z23/(1+'Financial Information'!$B$5)^(Z$28-$B$28)</f>
        <v>0.3881791701903049</v>
      </c>
      <c r="AA50" s="119">
        <f>AA23/(1+'Financial Information'!$B$5)^(AA$28-$B$28)</f>
        <v>0.36584794984269708</v>
      </c>
      <c r="AB50" s="119">
        <f>AB23/(1+'Financial Information'!$B$5)^(AB$28-$B$28)</f>
        <v>0.34960307132879048</v>
      </c>
      <c r="AC50" s="119">
        <f>AC23/(1+'Financial Information'!$B$5)^(AC$28-$B$28)</f>
        <v>0.32773902682632716</v>
      </c>
      <c r="AD50" s="211">
        <f>AD23/(1+'Financial Information'!$B$5)^(AD$28-$B$28)</f>
        <v>0.3091947681416693</v>
      </c>
      <c r="AE50" s="119">
        <f>AE23/(1+'Financial Information'!$B$5)^(AE$28-$B$28)</f>
        <v>0.29007078853724677</v>
      </c>
      <c r="AF50" s="119">
        <f>AF23/(1+'Financial Information'!$B$5)^(AF$28-$B$28)</f>
        <v>0.27654533802834824</v>
      </c>
      <c r="AG50" s="119">
        <f>AG23/(1+'Financial Information'!$B$5)^(AG$28-$B$28)</f>
        <v>0.26128978012695214</v>
      </c>
      <c r="AH50" s="119">
        <f>AH23/(1+'Financial Information'!$B$5)^(AH$28-$B$28)</f>
        <v>0.25086653481931731</v>
      </c>
      <c r="AI50" s="119">
        <f>AI23/(1+'Financial Information'!$B$5)^(AI$28-$B$28)</f>
        <v>0.23840796849340223</v>
      </c>
      <c r="AJ50" s="119"/>
    </row>
    <row r="51" spans="1:36">
      <c r="A51" s="12" t="s">
        <v>69</v>
      </c>
      <c r="B51" s="212">
        <f>B24/(1+'Financial Information'!$B$5)^(B$28-$B$28)</f>
        <v>0</v>
      </c>
      <c r="C51" s="212">
        <f>C24/(1+'Financial Information'!$B$5)^(C$28-$B$28)</f>
        <v>0</v>
      </c>
      <c r="D51" s="212">
        <f>D24/(1+'Financial Information'!$B$5)^(D$28-$B$28)</f>
        <v>0</v>
      </c>
      <c r="E51" s="212">
        <f>E24/(1+'Financial Information'!$B$5)^(E$28-$B$28)</f>
        <v>0</v>
      </c>
      <c r="F51" s="212">
        <f>F24/(1+'Financial Information'!$B$5)^(F$28-$B$28)</f>
        <v>0</v>
      </c>
      <c r="G51" s="212">
        <f>G24/(1+'Financial Information'!$B$5)^(G$28-$B$28)</f>
        <v>70.574959255847418</v>
      </c>
      <c r="H51" s="212">
        <f>H24/(1+'Financial Information'!$B$5)^(H$28-$B$28)</f>
        <v>119.33667939321884</v>
      </c>
      <c r="I51" s="212">
        <f>I24/(1+'Financial Information'!$B$5)^(I$28-$B$28)</f>
        <v>162.69903543049031</v>
      </c>
      <c r="J51" s="212">
        <f>J24/(1+'Financial Information'!$B$5)^(J$28-$B$28)</f>
        <v>204.48306287442838</v>
      </c>
      <c r="K51" s="212">
        <f>K24/(1+'Financial Information'!$B$5)^(K$28-$B$28)</f>
        <v>237.39460808236191</v>
      </c>
      <c r="L51" s="212">
        <f>L24/(1+'Financial Information'!$B$5)^(L$28-$B$28)</f>
        <v>269.63409477157921</v>
      </c>
      <c r="M51" s="212">
        <f>M24/(1+'Financial Information'!$B$5)^(M$28-$B$28)</f>
        <v>285.65861698830304</v>
      </c>
      <c r="N51" s="212">
        <f>N24/(1+'Financial Information'!$B$5)^(N$28-$B$28)</f>
        <v>305.50610933539014</v>
      </c>
      <c r="O51" s="212">
        <f>O24/(1+'Financial Information'!$B$5)^(O$28-$B$28)</f>
        <v>317.91603864416851</v>
      </c>
      <c r="P51" s="212">
        <f>P24/(1+'Financial Information'!$B$5)^(P$28-$B$28)</f>
        <v>307.08700746393839</v>
      </c>
      <c r="Q51" s="212">
        <f>Q24/(1+'Financial Information'!$B$5)^(Q$28-$B$28)</f>
        <v>307.87552765421668</v>
      </c>
      <c r="R51" s="212">
        <f>R24/(1+'Financial Information'!$B$5)^(R$28-$B$28)</f>
        <v>351.86387553362817</v>
      </c>
      <c r="S51" s="212">
        <f>S24/(1+'Financial Information'!$B$5)^(S$28-$B$28)</f>
        <v>388.52053217932558</v>
      </c>
      <c r="T51" s="212">
        <f>T24/(1+'Financial Information'!$B$5)^(T$28-$B$28)</f>
        <v>420.84336705361079</v>
      </c>
      <c r="U51" s="212">
        <f>U24/(1+'Financial Information'!$B$5)^(U$28-$B$28)</f>
        <v>450.9588289216652</v>
      </c>
      <c r="V51" s="212">
        <f>V24/(1+'Financial Information'!$B$5)^(V$28-$B$28)</f>
        <v>473.77921067338644</v>
      </c>
      <c r="W51" s="212">
        <f>W24/(1+'Financial Information'!$B$5)^(W$28-$B$28)</f>
        <v>494.9545076167326</v>
      </c>
      <c r="X51" s="212">
        <f>X24/(1+'Financial Information'!$B$5)^(X$28-$B$28)</f>
        <v>499.73566452762634</v>
      </c>
      <c r="Y51" s="212">
        <f>Y24/(1+'Financial Information'!$B$5)^(Y$28-$B$28)</f>
        <v>506.77204477276803</v>
      </c>
      <c r="Z51" s="212">
        <f>Z24/(1+'Financial Information'!$B$5)^(Z$28-$B$28)</f>
        <v>520.18773982109246</v>
      </c>
      <c r="AA51" s="212">
        <f>AA24/(1+'Financial Information'!$B$5)^(AA$28-$B$28)</f>
        <v>526.33169436886612</v>
      </c>
      <c r="AB51" s="212">
        <f>AB24/(1+'Financial Information'!$B$5)^(AB$28-$B$28)</f>
        <v>533.19242832250484</v>
      </c>
      <c r="AC51" s="212">
        <f>AC24/(1+'Financial Information'!$B$5)^(AC$28-$B$28)</f>
        <v>530.23951787585827</v>
      </c>
      <c r="AD51" s="213">
        <f>AD24/(1+'Financial Information'!$B$5)^(AD$28-$B$28)</f>
        <v>528.40392734709144</v>
      </c>
      <c r="AE51" s="212">
        <f>AE24/(1+'Financial Information'!$B$5)^(AE$28-$B$28)</f>
        <v>521.70280807824463</v>
      </c>
      <c r="AF51" s="212">
        <f>AF24/(1+'Financial Information'!$B$5)^(AF$28-$B$28)</f>
        <v>520.96070610076401</v>
      </c>
      <c r="AG51" s="212">
        <f>AG24/(1+'Financial Information'!$B$5)^(AG$28-$B$28)</f>
        <v>516.13579770689637</v>
      </c>
      <c r="AH51" s="212">
        <f>AH24/(1+'Financial Information'!$B$5)^(AH$28-$B$28)</f>
        <v>514.80977742059679</v>
      </c>
      <c r="AI51" s="212">
        <f>AI24/(1+'Financial Information'!$B$5)^(AI$28-$B$28)</f>
        <v>508.86304551852538</v>
      </c>
      <c r="AJ51" s="212"/>
    </row>
    <row r="52" spans="1:36">
      <c r="A52" s="6" t="s">
        <v>61</v>
      </c>
      <c r="B52" s="15">
        <f t="shared" ref="B52:AG52" si="17">SUM(B42:B51)</f>
        <v>1843.4621723822067</v>
      </c>
      <c r="C52" s="15">
        <f t="shared" si="17"/>
        <v>1759.7780374797078</v>
      </c>
      <c r="D52" s="15">
        <f t="shared" si="17"/>
        <v>1729.3406836101565</v>
      </c>
      <c r="E52" s="15">
        <f t="shared" si="17"/>
        <v>1683.8951290032051</v>
      </c>
      <c r="F52" s="15">
        <f t="shared" si="17"/>
        <v>1490.8911890385552</v>
      </c>
      <c r="G52" s="15">
        <f t="shared" si="17"/>
        <v>1398.5982966749903</v>
      </c>
      <c r="H52" s="15">
        <f t="shared" si="17"/>
        <v>1358.2861227691549</v>
      </c>
      <c r="I52" s="15">
        <f t="shared" si="17"/>
        <v>1397.1983680438927</v>
      </c>
      <c r="J52" s="15">
        <f t="shared" si="17"/>
        <v>1472.6253445819784</v>
      </c>
      <c r="K52" s="15">
        <f t="shared" si="17"/>
        <v>1496.5079391668994</v>
      </c>
      <c r="L52" s="15">
        <f t="shared" si="17"/>
        <v>1513.5022946323199</v>
      </c>
      <c r="M52" s="15">
        <f t="shared" si="17"/>
        <v>1496.2732317139619</v>
      </c>
      <c r="N52" s="15">
        <f t="shared" si="17"/>
        <v>1496.14870217001</v>
      </c>
      <c r="O52" s="15">
        <f t="shared" si="17"/>
        <v>1450.0255537894109</v>
      </c>
      <c r="P52" s="15">
        <f t="shared" si="17"/>
        <v>1484.0567708990061</v>
      </c>
      <c r="Q52" s="15">
        <f t="shared" si="17"/>
        <v>1604.2670401282003</v>
      </c>
      <c r="R52" s="15">
        <f t="shared" si="17"/>
        <v>1596.8218427894799</v>
      </c>
      <c r="S52" s="15">
        <f t="shared" si="17"/>
        <v>1619.4090519320857</v>
      </c>
      <c r="T52" s="15">
        <f t="shared" si="17"/>
        <v>1631.1341510824357</v>
      </c>
      <c r="U52" s="15">
        <f t="shared" si="17"/>
        <v>1626.1011775482832</v>
      </c>
      <c r="V52" s="15">
        <f t="shared" si="17"/>
        <v>1611.6823737182699</v>
      </c>
      <c r="W52" s="15">
        <f t="shared" si="17"/>
        <v>1597.6945129378328</v>
      </c>
      <c r="X52" s="15">
        <f t="shared" si="17"/>
        <v>1594.2362083678006</v>
      </c>
      <c r="Y52" s="15">
        <f t="shared" si="17"/>
        <v>1645.2605379390297</v>
      </c>
      <c r="Z52" s="15">
        <f t="shared" si="17"/>
        <v>1627.4247012579424</v>
      </c>
      <c r="AA52" s="15">
        <f t="shared" si="17"/>
        <v>1612.1366744703823</v>
      </c>
      <c r="AB52" s="15">
        <f t="shared" si="17"/>
        <v>1585.7311584384513</v>
      </c>
      <c r="AC52" s="52">
        <f t="shared" si="17"/>
        <v>1527.5295785144554</v>
      </c>
      <c r="AD52" s="214">
        <f t="shared" si="17"/>
        <v>1480.483709953849</v>
      </c>
      <c r="AE52" s="15">
        <f t="shared" si="17"/>
        <v>1419.1505194258648</v>
      </c>
      <c r="AF52" s="15">
        <f t="shared" si="17"/>
        <v>1368.272529534114</v>
      </c>
      <c r="AG52" s="15">
        <f t="shared" si="17"/>
        <v>1324.3338336620482</v>
      </c>
      <c r="AH52" s="15">
        <f t="shared" ref="AH52" si="18">SUM(AH42:AH51)</f>
        <v>1282.4972777081496</v>
      </c>
      <c r="AI52" s="15">
        <f t="shared" ref="AI52" si="19">SUM(AI42:AI51)</f>
        <v>1240.2286799175988</v>
      </c>
      <c r="AJ52" s="15"/>
    </row>
    <row r="53" spans="1:36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19"/>
      <c r="AD53" s="211"/>
      <c r="AE53" s="16"/>
      <c r="AF53" s="16"/>
      <c r="AG53" s="16"/>
      <c r="AH53" s="16"/>
      <c r="AI53" s="16"/>
      <c r="AJ53" s="16"/>
    </row>
    <row r="54" spans="1:36">
      <c r="A54" s="6" t="s">
        <v>63</v>
      </c>
      <c r="AC54" s="36"/>
      <c r="AD54" s="215"/>
    </row>
    <row r="55" spans="1:36">
      <c r="A55" s="152" t="str">
        <f>A1</f>
        <v>SoBra 700MWs</v>
      </c>
      <c r="B55" s="152">
        <f>$B$1</f>
        <v>2020</v>
      </c>
      <c r="C55" s="152">
        <f t="shared" ref="C55:AH55" si="20">B55+1</f>
        <v>2021</v>
      </c>
      <c r="D55" s="152">
        <f t="shared" si="20"/>
        <v>2022</v>
      </c>
      <c r="E55" s="152">
        <f t="shared" si="20"/>
        <v>2023</v>
      </c>
      <c r="F55" s="152">
        <f t="shared" si="20"/>
        <v>2024</v>
      </c>
      <c r="G55" s="152">
        <f t="shared" si="20"/>
        <v>2025</v>
      </c>
      <c r="H55" s="152">
        <f t="shared" si="20"/>
        <v>2026</v>
      </c>
      <c r="I55" s="152">
        <f t="shared" si="20"/>
        <v>2027</v>
      </c>
      <c r="J55" s="152">
        <f t="shared" si="20"/>
        <v>2028</v>
      </c>
      <c r="K55" s="152">
        <f t="shared" si="20"/>
        <v>2029</v>
      </c>
      <c r="L55" s="152">
        <f t="shared" si="20"/>
        <v>2030</v>
      </c>
      <c r="M55" s="152">
        <f t="shared" si="20"/>
        <v>2031</v>
      </c>
      <c r="N55" s="152">
        <f t="shared" si="20"/>
        <v>2032</v>
      </c>
      <c r="O55" s="152">
        <f t="shared" si="20"/>
        <v>2033</v>
      </c>
      <c r="P55" s="152">
        <f t="shared" si="20"/>
        <v>2034</v>
      </c>
      <c r="Q55" s="152">
        <f t="shared" si="20"/>
        <v>2035</v>
      </c>
      <c r="R55" s="152">
        <f t="shared" si="20"/>
        <v>2036</v>
      </c>
      <c r="S55" s="152">
        <f t="shared" si="20"/>
        <v>2037</v>
      </c>
      <c r="T55" s="152">
        <f t="shared" si="20"/>
        <v>2038</v>
      </c>
      <c r="U55" s="152">
        <f t="shared" si="20"/>
        <v>2039</v>
      </c>
      <c r="V55" s="152">
        <f t="shared" si="20"/>
        <v>2040</v>
      </c>
      <c r="W55" s="152">
        <f t="shared" si="20"/>
        <v>2041</v>
      </c>
      <c r="X55" s="152">
        <f t="shared" si="20"/>
        <v>2042</v>
      </c>
      <c r="Y55" s="152">
        <f t="shared" si="20"/>
        <v>2043</v>
      </c>
      <c r="Z55" s="152">
        <f t="shared" si="20"/>
        <v>2044</v>
      </c>
      <c r="AA55" s="152">
        <f t="shared" si="20"/>
        <v>2045</v>
      </c>
      <c r="AB55" s="152">
        <f t="shared" si="20"/>
        <v>2046</v>
      </c>
      <c r="AC55" s="209">
        <f t="shared" si="20"/>
        <v>2047</v>
      </c>
      <c r="AD55" s="210">
        <f t="shared" si="20"/>
        <v>2048</v>
      </c>
      <c r="AE55" s="152">
        <f t="shared" si="20"/>
        <v>2049</v>
      </c>
      <c r="AF55" s="152">
        <f t="shared" si="20"/>
        <v>2050</v>
      </c>
      <c r="AG55" s="152">
        <f t="shared" si="20"/>
        <v>2051</v>
      </c>
      <c r="AH55" s="152">
        <f t="shared" si="20"/>
        <v>2052</v>
      </c>
      <c r="AI55" s="152">
        <f t="shared" ref="AI55" si="21">AH55+1</f>
        <v>2053</v>
      </c>
      <c r="AJ55" s="152"/>
    </row>
    <row r="56" spans="1:36">
      <c r="A56" s="6" t="s">
        <v>134</v>
      </c>
      <c r="B56" s="119">
        <f t="shared" ref="B56:B65" si="22">B29</f>
        <v>65.260450182206341</v>
      </c>
      <c r="C56" s="119">
        <f t="shared" ref="C56:AH56" si="23">B56+C29</f>
        <v>160.93113499444769</v>
      </c>
      <c r="D56" s="119">
        <f t="shared" si="23"/>
        <v>284.02380349995246</v>
      </c>
      <c r="E56" s="119">
        <f t="shared" si="23"/>
        <v>394.36613136854328</v>
      </c>
      <c r="F56" s="119">
        <f t="shared" si="23"/>
        <v>493.61813098619666</v>
      </c>
      <c r="G56" s="119">
        <f t="shared" si="23"/>
        <v>580.85459424087935</v>
      </c>
      <c r="H56" s="119">
        <f t="shared" si="23"/>
        <v>653.06447298350622</v>
      </c>
      <c r="I56" s="119">
        <f t="shared" si="23"/>
        <v>718.84067147426742</v>
      </c>
      <c r="J56" s="119">
        <f t="shared" si="23"/>
        <v>778.85583094073672</v>
      </c>
      <c r="K56" s="119">
        <f t="shared" si="23"/>
        <v>833.69836037779623</v>
      </c>
      <c r="L56" s="119">
        <f t="shared" si="23"/>
        <v>883.7614235200798</v>
      </c>
      <c r="M56" s="119">
        <f t="shared" si="23"/>
        <v>929.4471701874005</v>
      </c>
      <c r="N56" s="119">
        <f t="shared" si="23"/>
        <v>971.1109809494634</v>
      </c>
      <c r="O56" s="119">
        <f t="shared" si="23"/>
        <v>1009.115140082966</v>
      </c>
      <c r="P56" s="119">
        <f t="shared" si="23"/>
        <v>1043.7093182247925</v>
      </c>
      <c r="Q56" s="119">
        <f t="shared" si="23"/>
        <v>1075.1764034603164</v>
      </c>
      <c r="R56" s="119">
        <f t="shared" si="23"/>
        <v>1103.732432725345</v>
      </c>
      <c r="S56" s="119">
        <f t="shared" si="23"/>
        <v>1129.656103783884</v>
      </c>
      <c r="T56" s="119">
        <f t="shared" si="23"/>
        <v>1153.9585638548881</v>
      </c>
      <c r="U56" s="119">
        <f t="shared" si="23"/>
        <v>1176.4306702207869</v>
      </c>
      <c r="V56" s="119">
        <f t="shared" si="23"/>
        <v>1196.7521944818136</v>
      </c>
      <c r="W56" s="119">
        <f t="shared" si="23"/>
        <v>1215.1205755954245</v>
      </c>
      <c r="X56" s="119">
        <f t="shared" si="23"/>
        <v>1231.7530057724055</v>
      </c>
      <c r="Y56" s="119">
        <f t="shared" si="23"/>
        <v>1246.7791852426262</v>
      </c>
      <c r="Z56" s="119">
        <f t="shared" si="23"/>
        <v>1260.3839482278022</v>
      </c>
      <c r="AA56" s="119">
        <f t="shared" si="23"/>
        <v>1272.6624473585421</v>
      </c>
      <c r="AB56" s="119">
        <f t="shared" si="23"/>
        <v>1283.7604554982531</v>
      </c>
      <c r="AC56" s="119">
        <f t="shared" si="23"/>
        <v>1293.7688166527566</v>
      </c>
      <c r="AD56" s="211">
        <f t="shared" si="23"/>
        <v>1303.1573665967353</v>
      </c>
      <c r="AE56" s="119">
        <f t="shared" si="23"/>
        <v>1311.1087975923997</v>
      </c>
      <c r="AF56" s="119">
        <f t="shared" si="23"/>
        <v>1316.4077323452841</v>
      </c>
      <c r="AG56" s="119">
        <f t="shared" si="23"/>
        <v>1319.3037927694838</v>
      </c>
      <c r="AH56" s="119">
        <f t="shared" si="23"/>
        <v>1319.7194534350556</v>
      </c>
      <c r="AI56" s="119">
        <f t="shared" ref="AI56:AI65" si="24">AH56+AI29</f>
        <v>1320.0943565319535</v>
      </c>
      <c r="AJ56" s="119"/>
    </row>
    <row r="57" spans="1:36">
      <c r="A57" s="6" t="s">
        <v>135</v>
      </c>
      <c r="B57" s="119">
        <f t="shared" si="22"/>
        <v>0</v>
      </c>
      <c r="C57" s="119">
        <f t="shared" ref="C57:AH57" si="25">B57+C30</f>
        <v>0</v>
      </c>
      <c r="D57" s="119">
        <f t="shared" si="25"/>
        <v>0</v>
      </c>
      <c r="E57" s="119">
        <f t="shared" si="25"/>
        <v>0</v>
      </c>
      <c r="F57" s="119">
        <f t="shared" si="25"/>
        <v>0</v>
      </c>
      <c r="G57" s="119">
        <f t="shared" si="25"/>
        <v>0</v>
      </c>
      <c r="H57" s="119">
        <f t="shared" si="25"/>
        <v>0</v>
      </c>
      <c r="I57" s="119">
        <f t="shared" si="25"/>
        <v>0</v>
      </c>
      <c r="J57" s="119">
        <f t="shared" si="25"/>
        <v>0</v>
      </c>
      <c r="K57" s="119">
        <f t="shared" si="25"/>
        <v>0</v>
      </c>
      <c r="L57" s="119">
        <f t="shared" si="25"/>
        <v>0</v>
      </c>
      <c r="M57" s="119">
        <f t="shared" si="25"/>
        <v>0</v>
      </c>
      <c r="N57" s="119">
        <f t="shared" si="25"/>
        <v>0</v>
      </c>
      <c r="O57" s="119">
        <f t="shared" si="25"/>
        <v>0</v>
      </c>
      <c r="P57" s="119">
        <f t="shared" si="25"/>
        <v>0</v>
      </c>
      <c r="Q57" s="119">
        <f t="shared" si="25"/>
        <v>0</v>
      </c>
      <c r="R57" s="119">
        <f t="shared" si="25"/>
        <v>0</v>
      </c>
      <c r="S57" s="119">
        <f t="shared" si="25"/>
        <v>0</v>
      </c>
      <c r="T57" s="119">
        <f t="shared" si="25"/>
        <v>0</v>
      </c>
      <c r="U57" s="119">
        <f t="shared" si="25"/>
        <v>0</v>
      </c>
      <c r="V57" s="119">
        <f t="shared" si="25"/>
        <v>0</v>
      </c>
      <c r="W57" s="119">
        <f t="shared" si="25"/>
        <v>0</v>
      </c>
      <c r="X57" s="119">
        <f t="shared" si="25"/>
        <v>0</v>
      </c>
      <c r="Y57" s="119">
        <f t="shared" si="25"/>
        <v>0</v>
      </c>
      <c r="Z57" s="119">
        <f t="shared" si="25"/>
        <v>0</v>
      </c>
      <c r="AA57" s="119">
        <f t="shared" si="25"/>
        <v>0</v>
      </c>
      <c r="AB57" s="119">
        <f t="shared" si="25"/>
        <v>0</v>
      </c>
      <c r="AC57" s="119">
        <f t="shared" si="25"/>
        <v>0</v>
      </c>
      <c r="AD57" s="211">
        <f t="shared" si="25"/>
        <v>0</v>
      </c>
      <c r="AE57" s="119">
        <f t="shared" si="25"/>
        <v>0</v>
      </c>
      <c r="AF57" s="119">
        <f t="shared" si="25"/>
        <v>0</v>
      </c>
      <c r="AG57" s="119">
        <f t="shared" si="25"/>
        <v>0</v>
      </c>
      <c r="AH57" s="119">
        <f t="shared" si="25"/>
        <v>0</v>
      </c>
      <c r="AI57" s="119">
        <f t="shared" si="24"/>
        <v>0</v>
      </c>
      <c r="AJ57" s="119"/>
    </row>
    <row r="58" spans="1:36">
      <c r="A58" s="36" t="s">
        <v>60</v>
      </c>
      <c r="B58" s="119">
        <f t="shared" si="22"/>
        <v>0</v>
      </c>
      <c r="C58" s="119">
        <f t="shared" ref="C58:AH58" si="26">B58+C31</f>
        <v>0</v>
      </c>
      <c r="D58" s="119">
        <f t="shared" si="26"/>
        <v>0</v>
      </c>
      <c r="E58" s="119">
        <f t="shared" si="26"/>
        <v>0</v>
      </c>
      <c r="F58" s="119">
        <f t="shared" si="26"/>
        <v>0</v>
      </c>
      <c r="G58" s="119">
        <f t="shared" si="26"/>
        <v>0</v>
      </c>
      <c r="H58" s="119">
        <f t="shared" si="26"/>
        <v>0</v>
      </c>
      <c r="I58" s="119">
        <f t="shared" si="26"/>
        <v>13.613063986881086</v>
      </c>
      <c r="J58" s="119">
        <f t="shared" si="26"/>
        <v>41.459862396972859</v>
      </c>
      <c r="K58" s="119">
        <f t="shared" si="26"/>
        <v>71.043871773114915</v>
      </c>
      <c r="L58" s="119">
        <f t="shared" si="26"/>
        <v>103.77412356336131</v>
      </c>
      <c r="M58" s="119">
        <f t="shared" si="26"/>
        <v>137.40246120089682</v>
      </c>
      <c r="N58" s="119">
        <f t="shared" si="26"/>
        <v>173.26100317028835</v>
      </c>
      <c r="O58" s="119">
        <f t="shared" si="26"/>
        <v>209.37147772665011</v>
      </c>
      <c r="P58" s="119">
        <f t="shared" si="26"/>
        <v>309.51854692580025</v>
      </c>
      <c r="Q58" s="119">
        <f t="shared" si="26"/>
        <v>548.80437323160118</v>
      </c>
      <c r="R58" s="119">
        <f t="shared" si="26"/>
        <v>766.95516332374871</v>
      </c>
      <c r="S58" s="119">
        <f t="shared" si="26"/>
        <v>965.7943490347883</v>
      </c>
      <c r="T58" s="119">
        <f t="shared" si="26"/>
        <v>1160.1985682847085</v>
      </c>
      <c r="U58" s="119">
        <f t="shared" si="26"/>
        <v>1346.003374314507</v>
      </c>
      <c r="V58" s="119">
        <f t="shared" si="26"/>
        <v>1519.121884221244</v>
      </c>
      <c r="W58" s="119">
        <f t="shared" si="26"/>
        <v>1679.2757850920234</v>
      </c>
      <c r="X58" s="119">
        <f t="shared" si="26"/>
        <v>1855.1880602882679</v>
      </c>
      <c r="Y58" s="119">
        <f t="shared" si="26"/>
        <v>2102.8708764646994</v>
      </c>
      <c r="Z58" s="119">
        <f t="shared" si="26"/>
        <v>2334.8776146881482</v>
      </c>
      <c r="AA58" s="119">
        <f t="shared" si="26"/>
        <v>2553.3769755467138</v>
      </c>
      <c r="AB58" s="119">
        <f t="shared" si="26"/>
        <v>2754.1334372950555</v>
      </c>
      <c r="AC58" s="119">
        <f t="shared" si="26"/>
        <v>2936.6101957873211</v>
      </c>
      <c r="AD58" s="211">
        <f t="shared" si="26"/>
        <v>3102.3736308730631</v>
      </c>
      <c r="AE58" s="119">
        <f t="shared" si="26"/>
        <v>3252.879976471535</v>
      </c>
      <c r="AF58" s="119">
        <f t="shared" si="26"/>
        <v>3389.4716244612237</v>
      </c>
      <c r="AG58" s="119">
        <f t="shared" si="26"/>
        <v>3513.3380917488753</v>
      </c>
      <c r="AH58" s="119">
        <f t="shared" si="26"/>
        <v>3625.5432154265404</v>
      </c>
      <c r="AI58" s="119">
        <f t="shared" si="24"/>
        <v>3727.0843037409263</v>
      </c>
      <c r="AJ58" s="119"/>
    </row>
    <row r="59" spans="1:36">
      <c r="A59" s="36" t="s">
        <v>68</v>
      </c>
      <c r="B59" s="119">
        <f t="shared" si="22"/>
        <v>445.38108</v>
      </c>
      <c r="C59" s="119">
        <f t="shared" ref="C59:AH59" si="27">B59+C32</f>
        <v>851.33956172446119</v>
      </c>
      <c r="D59" s="119">
        <f t="shared" si="27"/>
        <v>1234.3846767848615</v>
      </c>
      <c r="E59" s="119">
        <f t="shared" si="27"/>
        <v>1609.8140830391994</v>
      </c>
      <c r="F59" s="119">
        <f t="shared" si="27"/>
        <v>1841.6073557044081</v>
      </c>
      <c r="G59" s="119">
        <f t="shared" si="27"/>
        <v>1948.5149827850062</v>
      </c>
      <c r="H59" s="119">
        <f t="shared" si="27"/>
        <v>1987.5993937851376</v>
      </c>
      <c r="I59" s="119">
        <f t="shared" si="27"/>
        <v>2008.4347353086096</v>
      </c>
      <c r="J59" s="119">
        <f t="shared" si="27"/>
        <v>2021.379113802185</v>
      </c>
      <c r="K59" s="119">
        <f t="shared" si="27"/>
        <v>2033.7909041155356</v>
      </c>
      <c r="L59" s="119">
        <f t="shared" si="27"/>
        <v>2045.7421250071648</v>
      </c>
      <c r="M59" s="119">
        <f t="shared" si="27"/>
        <v>2057.2283113679459</v>
      </c>
      <c r="N59" s="119">
        <f t="shared" si="27"/>
        <v>2068.297305514559</v>
      </c>
      <c r="O59" s="119">
        <f t="shared" si="27"/>
        <v>2078.922417187935</v>
      </c>
      <c r="P59" s="119">
        <f t="shared" si="27"/>
        <v>2091.8273840879615</v>
      </c>
      <c r="Q59" s="119">
        <f t="shared" si="27"/>
        <v>2106.0837218577703</v>
      </c>
      <c r="R59" s="119">
        <f t="shared" si="27"/>
        <v>2119.6683404695887</v>
      </c>
      <c r="S59" s="119">
        <f t="shared" si="27"/>
        <v>2132.6411802076987</v>
      </c>
      <c r="T59" s="119">
        <f t="shared" si="27"/>
        <v>2145.6986166377023</v>
      </c>
      <c r="U59" s="119">
        <f t="shared" si="27"/>
        <v>2158.6373612629422</v>
      </c>
      <c r="V59" s="119">
        <f t="shared" si="27"/>
        <v>2171.2265278171731</v>
      </c>
      <c r="W59" s="119">
        <f t="shared" si="27"/>
        <v>2183.3952611271434</v>
      </c>
      <c r="X59" s="119">
        <f t="shared" si="27"/>
        <v>2196.3861502554464</v>
      </c>
      <c r="Y59" s="119">
        <f t="shared" si="27"/>
        <v>2209.7546562911789</v>
      </c>
      <c r="Z59" s="119">
        <f t="shared" si="27"/>
        <v>2222.9068059083284</v>
      </c>
      <c r="AA59" s="119">
        <f t="shared" si="27"/>
        <v>2235.8182568400243</v>
      </c>
      <c r="AB59" s="119">
        <f t="shared" si="27"/>
        <v>2248.1438036251393</v>
      </c>
      <c r="AC59" s="119">
        <f t="shared" si="27"/>
        <v>2259.9435456995693</v>
      </c>
      <c r="AD59" s="211">
        <f t="shared" si="27"/>
        <v>2271.2482186777743</v>
      </c>
      <c r="AE59" s="119">
        <f t="shared" si="27"/>
        <v>2281.6982846571891</v>
      </c>
      <c r="AF59" s="119">
        <f t="shared" si="27"/>
        <v>2290.905551768793</v>
      </c>
      <c r="AG59" s="119">
        <f t="shared" si="27"/>
        <v>2299.0293263151966</v>
      </c>
      <c r="AH59" s="119">
        <f t="shared" si="27"/>
        <v>2306.3693509869136</v>
      </c>
      <c r="AI59" s="119">
        <f t="shared" si="24"/>
        <v>2313.3933391427008</v>
      </c>
      <c r="AJ59" s="119"/>
    </row>
    <row r="60" spans="1:36">
      <c r="A60" s="36" t="s">
        <v>67</v>
      </c>
      <c r="B60" s="119">
        <f t="shared" si="22"/>
        <v>390.67815999999999</v>
      </c>
      <c r="C60" s="119">
        <f t="shared" ref="C60:AH60" si="28">B60+C33</f>
        <v>751.38318343017806</v>
      </c>
      <c r="D60" s="119">
        <f t="shared" si="28"/>
        <v>1086.742172405917</v>
      </c>
      <c r="E60" s="119">
        <f t="shared" si="28"/>
        <v>1401.0430055603115</v>
      </c>
      <c r="F60" s="119">
        <f t="shared" si="28"/>
        <v>1696.3781385814136</v>
      </c>
      <c r="G60" s="119">
        <f t="shared" si="28"/>
        <v>1972.4465282824722</v>
      </c>
      <c r="H60" s="119">
        <f t="shared" si="28"/>
        <v>2231.1797962597147</v>
      </c>
      <c r="I60" s="119">
        <f t="shared" si="28"/>
        <v>2473.6664515555135</v>
      </c>
      <c r="J60" s="119">
        <f t="shared" si="28"/>
        <v>2701.5208601951203</v>
      </c>
      <c r="K60" s="119">
        <f t="shared" si="28"/>
        <v>2914.5107631690626</v>
      </c>
      <c r="L60" s="119">
        <f t="shared" si="28"/>
        <v>3114.1264173152126</v>
      </c>
      <c r="M60" s="119">
        <f t="shared" si="28"/>
        <v>3301.2076252982552</v>
      </c>
      <c r="N60" s="119">
        <f t="shared" si="28"/>
        <v>3476.9998888377081</v>
      </c>
      <c r="O60" s="119">
        <f t="shared" si="28"/>
        <v>3641.3240174704747</v>
      </c>
      <c r="P60" s="119">
        <f t="shared" si="28"/>
        <v>3838.1806529395067</v>
      </c>
      <c r="Q60" s="119">
        <f t="shared" si="28"/>
        <v>4052.0554633967463</v>
      </c>
      <c r="R60" s="119">
        <f t="shared" si="28"/>
        <v>4252.500459139239</v>
      </c>
      <c r="S60" s="119">
        <f t="shared" si="28"/>
        <v>4440.3589368735338</v>
      </c>
      <c r="T60" s="119">
        <f t="shared" si="28"/>
        <v>4629.7151705070464</v>
      </c>
      <c r="U60" s="119">
        <f t="shared" si="28"/>
        <v>4816.0805886829412</v>
      </c>
      <c r="V60" s="119">
        <f t="shared" si="28"/>
        <v>4994.8329110003187</v>
      </c>
      <c r="W60" s="119">
        <f t="shared" si="28"/>
        <v>5165.0983792876505</v>
      </c>
      <c r="X60" s="119">
        <f t="shared" si="28"/>
        <v>5343.2525243759028</v>
      </c>
      <c r="Y60" s="119">
        <f t="shared" si="28"/>
        <v>5522.6736951707253</v>
      </c>
      <c r="Z60" s="119">
        <f t="shared" si="28"/>
        <v>5697.7934685808177</v>
      </c>
      <c r="AA60" s="119">
        <f t="shared" si="28"/>
        <v>5869.9249467700074</v>
      </c>
      <c r="AB60" s="119">
        <f t="shared" si="28"/>
        <v>6033.4873162552631</v>
      </c>
      <c r="AC60" s="119">
        <f t="shared" si="28"/>
        <v>6186.7791374267472</v>
      </c>
      <c r="AD60" s="211">
        <f t="shared" si="28"/>
        <v>6330.445324091681</v>
      </c>
      <c r="AE60" s="119">
        <f t="shared" si="28"/>
        <v>6465.0902975358549</v>
      </c>
      <c r="AF60" s="119">
        <f t="shared" si="28"/>
        <v>6591.2805256934689</v>
      </c>
      <c r="AG60" s="119">
        <f t="shared" si="28"/>
        <v>6709.5469063472774</v>
      </c>
      <c r="AH60" s="119">
        <f t="shared" si="28"/>
        <v>6820.3870006807438</v>
      </c>
      <c r="AI60" s="119">
        <f t="shared" si="24"/>
        <v>6924.267126579025</v>
      </c>
      <c r="AJ60" s="119"/>
    </row>
    <row r="61" spans="1:36">
      <c r="A61" s="6" t="s">
        <v>383</v>
      </c>
      <c r="B61" s="119">
        <f t="shared" si="22"/>
        <v>0</v>
      </c>
      <c r="C61" s="119">
        <f t="shared" ref="C61" si="29">B61+C34</f>
        <v>0</v>
      </c>
      <c r="D61" s="119">
        <f t="shared" ref="D61" si="30">C61+D34</f>
        <v>0</v>
      </c>
      <c r="E61" s="119">
        <f t="shared" ref="E61" si="31">D61+E34</f>
        <v>0</v>
      </c>
      <c r="F61" s="119">
        <f t="shared" ref="F61" si="32">E61+F34</f>
        <v>0</v>
      </c>
      <c r="G61" s="119">
        <f t="shared" ref="G61" si="33">F61+G34</f>
        <v>0</v>
      </c>
      <c r="H61" s="119">
        <f t="shared" ref="H61" si="34">G61+H34</f>
        <v>0</v>
      </c>
      <c r="I61" s="119">
        <f t="shared" ref="I61" si="35">H61+I34</f>
        <v>0</v>
      </c>
      <c r="J61" s="119">
        <f t="shared" ref="J61" si="36">I61+J34</f>
        <v>0</v>
      </c>
      <c r="K61" s="119">
        <f t="shared" ref="K61" si="37">J61+K34</f>
        <v>0</v>
      </c>
      <c r="L61" s="119">
        <f t="shared" ref="L61" si="38">K61+L34</f>
        <v>0</v>
      </c>
      <c r="M61" s="119">
        <f t="shared" ref="M61" si="39">L61+M34</f>
        <v>0</v>
      </c>
      <c r="N61" s="119">
        <f t="shared" ref="N61" si="40">M61+N34</f>
        <v>0</v>
      </c>
      <c r="O61" s="119">
        <f t="shared" ref="O61" si="41">N61+O34</f>
        <v>0</v>
      </c>
      <c r="P61" s="119">
        <f t="shared" ref="P61" si="42">O61+P34</f>
        <v>0</v>
      </c>
      <c r="Q61" s="119">
        <f t="shared" ref="Q61" si="43">P61+Q34</f>
        <v>0</v>
      </c>
      <c r="R61" s="119">
        <f t="shared" ref="R61" si="44">Q61+R34</f>
        <v>0</v>
      </c>
      <c r="S61" s="119">
        <f t="shared" ref="S61" si="45">R61+S34</f>
        <v>0</v>
      </c>
      <c r="T61" s="119">
        <f t="shared" ref="T61" si="46">S61+T34</f>
        <v>0</v>
      </c>
      <c r="U61" s="119">
        <f t="shared" ref="U61" si="47">T61+U34</f>
        <v>0</v>
      </c>
      <c r="V61" s="119">
        <f t="shared" ref="V61" si="48">U61+V34</f>
        <v>0</v>
      </c>
      <c r="W61" s="119">
        <f t="shared" ref="W61" si="49">V61+W34</f>
        <v>0</v>
      </c>
      <c r="X61" s="119">
        <f t="shared" ref="X61" si="50">W61+X34</f>
        <v>0</v>
      </c>
      <c r="Y61" s="119">
        <f t="shared" ref="Y61" si="51">X61+Y34</f>
        <v>0</v>
      </c>
      <c r="Z61" s="119">
        <f t="shared" ref="Z61" si="52">Y61+Z34</f>
        <v>0</v>
      </c>
      <c r="AA61" s="119">
        <f t="shared" ref="AA61" si="53">Z61+AA34</f>
        <v>0</v>
      </c>
      <c r="AB61" s="119">
        <f t="shared" ref="AB61" si="54">AA61+AB34</f>
        <v>0</v>
      </c>
      <c r="AC61" s="119">
        <f t="shared" ref="AC61" si="55">AB61+AC34</f>
        <v>0</v>
      </c>
      <c r="AD61" s="211">
        <f t="shared" ref="AD61" si="56">AC61+AD34</f>
        <v>0</v>
      </c>
      <c r="AE61" s="119">
        <f t="shared" ref="AE61" si="57">AD61+AE34</f>
        <v>0</v>
      </c>
      <c r="AF61" s="119">
        <f t="shared" ref="AF61" si="58">AE61+AF34</f>
        <v>0</v>
      </c>
      <c r="AG61" s="119">
        <f t="shared" ref="AG61" si="59">AF61+AG34</f>
        <v>0</v>
      </c>
      <c r="AH61" s="119">
        <f t="shared" ref="AH61" si="60">AG61+AH34</f>
        <v>0</v>
      </c>
      <c r="AI61" s="119">
        <f t="shared" si="24"/>
        <v>0</v>
      </c>
      <c r="AJ61" s="119"/>
    </row>
    <row r="62" spans="1:36">
      <c r="A62" s="36" t="s">
        <v>65</v>
      </c>
      <c r="B62" s="119">
        <f t="shared" si="22"/>
        <v>849.84470000000033</v>
      </c>
      <c r="C62" s="119">
        <f t="shared" ref="C62:AH62" si="61">B62+C35</f>
        <v>1654.8567805998127</v>
      </c>
      <c r="D62" s="119">
        <f t="shared" si="61"/>
        <v>2431.0657997471212</v>
      </c>
      <c r="E62" s="119">
        <f t="shared" si="61"/>
        <v>3173.3433588528774</v>
      </c>
      <c r="F62" s="119">
        <f t="shared" si="61"/>
        <v>3877.6810331733705</v>
      </c>
      <c r="G62" s="119">
        <f t="shared" si="61"/>
        <v>4580.641304880699</v>
      </c>
      <c r="H62" s="119">
        <f t="shared" si="61"/>
        <v>5295.9797543675786</v>
      </c>
      <c r="I62" s="119">
        <f t="shared" si="61"/>
        <v>6049.6176338946289</v>
      </c>
      <c r="J62" s="119">
        <f t="shared" si="61"/>
        <v>6859.1785441342217</v>
      </c>
      <c r="K62" s="119">
        <f t="shared" si="61"/>
        <v>7683.2707923811067</v>
      </c>
      <c r="L62" s="119">
        <f t="shared" si="61"/>
        <v>8503.7083594480064</v>
      </c>
      <c r="M62" s="119">
        <f t="shared" si="61"/>
        <v>9310.0066012211464</v>
      </c>
      <c r="N62" s="119">
        <f t="shared" si="61"/>
        <v>10113.614884670102</v>
      </c>
      <c r="O62" s="119">
        <f t="shared" si="61"/>
        <v>10873.805608757852</v>
      </c>
      <c r="P62" s="119">
        <f t="shared" si="61"/>
        <v>11607.287291655619</v>
      </c>
      <c r="Q62" s="119">
        <f t="shared" si="61"/>
        <v>12318.399598544314</v>
      </c>
      <c r="R62" s="119">
        <f t="shared" si="61"/>
        <v>13005.528983096769</v>
      </c>
      <c r="S62" s="119">
        <f t="shared" si="61"/>
        <v>13703.312199070506</v>
      </c>
      <c r="T62" s="119">
        <f t="shared" si="61"/>
        <v>14394.52713581482</v>
      </c>
      <c r="U62" s="119">
        <f t="shared" si="61"/>
        <v>15066.651941765749</v>
      </c>
      <c r="V62" s="119">
        <f t="shared" si="61"/>
        <v>15729.770400652566</v>
      </c>
      <c r="W62" s="119">
        <f t="shared" si="61"/>
        <v>16381.574035861595</v>
      </c>
      <c r="X62" s="119">
        <f t="shared" si="61"/>
        <v>17006.364114704247</v>
      </c>
      <c r="Y62" s="119">
        <f t="shared" si="61"/>
        <v>17605.501481291787</v>
      </c>
      <c r="Z62" s="119">
        <f t="shared" si="61"/>
        <v>18197.006590749636</v>
      </c>
      <c r="AA62" s="119">
        <f t="shared" si="61"/>
        <v>18786.397075574991</v>
      </c>
      <c r="AB62" s="119">
        <f t="shared" si="61"/>
        <v>19366.810280748814</v>
      </c>
      <c r="AC62" s="119">
        <f t="shared" si="61"/>
        <v>19918.213247031435</v>
      </c>
      <c r="AD62" s="211">
        <f t="shared" si="61"/>
        <v>20456.810327016301</v>
      </c>
      <c r="AE62" s="119">
        <f t="shared" si="61"/>
        <v>20968.32369625552</v>
      </c>
      <c r="AF62" s="119">
        <f t="shared" si="61"/>
        <v>21459.196047208385</v>
      </c>
      <c r="AG62" s="119">
        <f t="shared" si="61"/>
        <v>21935.091424009886</v>
      </c>
      <c r="AH62" s="119">
        <f t="shared" si="61"/>
        <v>22396.231024602017</v>
      </c>
      <c r="AI62" s="119">
        <f t="shared" si="24"/>
        <v>22836.677566587518</v>
      </c>
      <c r="AJ62" s="119"/>
    </row>
    <row r="63" spans="1:36">
      <c r="A63" s="36" t="s">
        <v>52</v>
      </c>
      <c r="B63" s="119">
        <f t="shared" si="22"/>
        <v>86.065810000000013</v>
      </c>
      <c r="C63" s="119">
        <f t="shared" ref="C63:AH63" si="62">B63+C36</f>
        <v>171.47644730084352</v>
      </c>
      <c r="D63" s="119">
        <f t="shared" si="62"/>
        <v>258.45358981166265</v>
      </c>
      <c r="E63" s="119">
        <f t="shared" si="62"/>
        <v>346.17234004985119</v>
      </c>
      <c r="F63" s="119">
        <f t="shared" si="62"/>
        <v>436.32357303196022</v>
      </c>
      <c r="G63" s="119">
        <f t="shared" si="62"/>
        <v>529.85625901740707</v>
      </c>
      <c r="H63" s="119">
        <f t="shared" si="62"/>
        <v>632.22923551181873</v>
      </c>
      <c r="I63" s="119">
        <f t="shared" si="62"/>
        <v>740.92561570618864</v>
      </c>
      <c r="J63" s="119">
        <f t="shared" si="62"/>
        <v>856.75626959627004</v>
      </c>
      <c r="K63" s="119">
        <f t="shared" si="62"/>
        <v>973.04755393235041</v>
      </c>
      <c r="L63" s="119">
        <f t="shared" si="62"/>
        <v>1094.0822900932299</v>
      </c>
      <c r="M63" s="119">
        <f t="shared" si="62"/>
        <v>1218.1432064804712</v>
      </c>
      <c r="N63" s="119">
        <f t="shared" si="62"/>
        <v>1340.1860910393757</v>
      </c>
      <c r="O63" s="119">
        <f t="shared" si="62"/>
        <v>1462.5561922910902</v>
      </c>
      <c r="P63" s="119">
        <f t="shared" si="62"/>
        <v>1579.4504270898708</v>
      </c>
      <c r="Q63" s="119">
        <f t="shared" si="62"/>
        <v>1694.3609732180505</v>
      </c>
      <c r="R63" s="119">
        <f t="shared" si="62"/>
        <v>1808.4151384882728</v>
      </c>
      <c r="S63" s="119">
        <f t="shared" si="62"/>
        <v>1927.8474692954819</v>
      </c>
      <c r="T63" s="119">
        <f t="shared" si="62"/>
        <v>2046.699317111229</v>
      </c>
      <c r="U63" s="119">
        <f t="shared" si="62"/>
        <v>2169.7957510039159</v>
      </c>
      <c r="V63" s="119">
        <f t="shared" si="62"/>
        <v>2287.2823629059644</v>
      </c>
      <c r="W63" s="119">
        <f t="shared" si="62"/>
        <v>2404.1832404688193</v>
      </c>
      <c r="X63" s="119">
        <f t="shared" si="62"/>
        <v>2515.5297177029006</v>
      </c>
      <c r="Y63" s="119">
        <f t="shared" si="62"/>
        <v>2624.7650414619111</v>
      </c>
      <c r="Z63" s="119">
        <f t="shared" si="62"/>
        <v>2730.0009906492592</v>
      </c>
      <c r="AA63" s="119">
        <f t="shared" si="62"/>
        <v>2834.6558245433689</v>
      </c>
      <c r="AB63" s="119">
        <f t="shared" si="62"/>
        <v>2935.8234650405452</v>
      </c>
      <c r="AC63" s="119">
        <f t="shared" si="62"/>
        <v>3035.0542489467985</v>
      </c>
      <c r="AD63" s="211">
        <f t="shared" si="62"/>
        <v>3131.3799841706855</v>
      </c>
      <c r="AE63" s="119">
        <f t="shared" si="62"/>
        <v>3225.1012845795749</v>
      </c>
      <c r="AF63" s="119">
        <f t="shared" si="62"/>
        <v>3315.6517715994696</v>
      </c>
      <c r="AG63" s="119">
        <f t="shared" si="62"/>
        <v>3404.7231101178095</v>
      </c>
      <c r="AH63" s="119">
        <f t="shared" si="62"/>
        <v>3489.9825390908773</v>
      </c>
      <c r="AI63" s="119">
        <f t="shared" si="24"/>
        <v>3573.4190305167863</v>
      </c>
      <c r="AJ63" s="119"/>
    </row>
    <row r="64" spans="1:36">
      <c r="A64" s="36" t="s">
        <v>66</v>
      </c>
      <c r="B64" s="119">
        <f t="shared" si="22"/>
        <v>6.2319722000000004</v>
      </c>
      <c r="C64" s="119">
        <f t="shared" ref="C64:AH64" si="63">B64+C37</f>
        <v>12.297076417432052</v>
      </c>
      <c r="D64" s="119">
        <f t="shared" si="63"/>
        <v>17.894556498486853</v>
      </c>
      <c r="E64" s="119">
        <f t="shared" si="63"/>
        <v>22.650694729988476</v>
      </c>
      <c r="F64" s="119">
        <f t="shared" si="63"/>
        <v>27.116412997851736</v>
      </c>
      <c r="G64" s="119">
        <f t="shared" si="63"/>
        <v>31.647795064017938</v>
      </c>
      <c r="H64" s="119">
        <f t="shared" si="63"/>
        <v>35.973753613994106</v>
      </c>
      <c r="I64" s="119">
        <f t="shared" si="63"/>
        <v>40.202855097389616</v>
      </c>
      <c r="J64" s="119">
        <f t="shared" si="63"/>
        <v>44.609910725565683</v>
      </c>
      <c r="K64" s="119">
        <f t="shared" si="63"/>
        <v>49.032192733491435</v>
      </c>
      <c r="L64" s="119">
        <f t="shared" si="63"/>
        <v>53.236313514804074</v>
      </c>
      <c r="M64" s="119">
        <f t="shared" si="63"/>
        <v>56.958272765997293</v>
      </c>
      <c r="N64" s="119">
        <f t="shared" si="63"/>
        <v>60.282265041859212</v>
      </c>
      <c r="O64" s="119">
        <f t="shared" si="63"/>
        <v>63.048271545065091</v>
      </c>
      <c r="P64" s="119">
        <f t="shared" si="63"/>
        <v>64.263491506882318</v>
      </c>
      <c r="Q64" s="119">
        <f t="shared" si="63"/>
        <v>64.921365707737877</v>
      </c>
      <c r="R64" s="119">
        <f t="shared" si="63"/>
        <v>65.544987720391745</v>
      </c>
      <c r="S64" s="119">
        <f t="shared" si="63"/>
        <v>66.137463104625667</v>
      </c>
      <c r="T64" s="119">
        <f t="shared" si="63"/>
        <v>66.697842056934647</v>
      </c>
      <c r="U64" s="119">
        <f t="shared" si="63"/>
        <v>67.226460200858796</v>
      </c>
      <c r="V64" s="119">
        <f t="shared" si="63"/>
        <v>67.731954931438949</v>
      </c>
      <c r="W64" s="119">
        <f t="shared" si="63"/>
        <v>68.209010368648265</v>
      </c>
      <c r="X64" s="119">
        <f t="shared" si="63"/>
        <v>68.656876024803594</v>
      </c>
      <c r="Y64" s="119">
        <f t="shared" si="63"/>
        <v>69.08082450480218</v>
      </c>
      <c r="Z64" s="119">
        <f t="shared" si="63"/>
        <v>69.483175415999497</v>
      </c>
      <c r="AA64" s="119">
        <f t="shared" si="63"/>
        <v>69.86288828014969</v>
      </c>
      <c r="AB64" s="119">
        <f t="shared" si="63"/>
        <v>70.225380063476877</v>
      </c>
      <c r="AC64" s="119">
        <f t="shared" si="63"/>
        <v>70.564797456876079</v>
      </c>
      <c r="AD64" s="211">
        <f t="shared" si="63"/>
        <v>70.884419876983799</v>
      </c>
      <c r="AE64" s="119">
        <f t="shared" si="63"/>
        <v>71.185071714487066</v>
      </c>
      <c r="AF64" s="119">
        <f t="shared" si="63"/>
        <v>71.471124959857249</v>
      </c>
      <c r="AG64" s="119">
        <f t="shared" si="63"/>
        <v>71.741491701277198</v>
      </c>
      <c r="AH64" s="119">
        <f t="shared" si="63"/>
        <v>71.999032528644094</v>
      </c>
      <c r="AI64" s="119">
        <f t="shared" si="24"/>
        <v>72.240673386836093</v>
      </c>
      <c r="AJ64" s="119"/>
    </row>
    <row r="65" spans="1:36">
      <c r="A65" s="12" t="s">
        <v>69</v>
      </c>
      <c r="B65" s="212">
        <f t="shared" si="22"/>
        <v>0</v>
      </c>
      <c r="C65" s="212">
        <f t="shared" ref="C65:AH65" si="64">B65+C38</f>
        <v>0</v>
      </c>
      <c r="D65" s="212">
        <f t="shared" si="64"/>
        <v>0</v>
      </c>
      <c r="E65" s="212">
        <f t="shared" si="64"/>
        <v>0</v>
      </c>
      <c r="F65" s="212">
        <f t="shared" si="64"/>
        <v>0</v>
      </c>
      <c r="G65" s="212">
        <f t="shared" si="64"/>
        <v>73.946181881236171</v>
      </c>
      <c r="H65" s="212">
        <f t="shared" si="64"/>
        <v>198.77120957910108</v>
      </c>
      <c r="I65" s="212">
        <f t="shared" si="64"/>
        <v>368.59010306167102</v>
      </c>
      <c r="J65" s="212">
        <f t="shared" si="64"/>
        <v>581.52139302371506</v>
      </c>
      <c r="K65" s="212">
        <f t="shared" si="64"/>
        <v>829.8779132270929</v>
      </c>
      <c r="L65" s="212">
        <f t="shared" si="64"/>
        <v>1109.1773258130486</v>
      </c>
      <c r="M65" s="212">
        <f t="shared" si="64"/>
        <v>1405.8066841329069</v>
      </c>
      <c r="N65" s="212">
        <f t="shared" si="64"/>
        <v>1722.6620260107331</v>
      </c>
      <c r="O65" s="212">
        <f t="shared" si="64"/>
        <v>2052.6331870745503</v>
      </c>
      <c r="P65" s="212">
        <f t="shared" si="64"/>
        <v>2373.0357869293753</v>
      </c>
      <c r="Q65" s="212">
        <f t="shared" si="64"/>
        <v>2694.1890671258834</v>
      </c>
      <c r="R65" s="212">
        <f t="shared" si="64"/>
        <v>3060.7914511901281</v>
      </c>
      <c r="S65" s="212">
        <f t="shared" si="64"/>
        <v>3466.0227650464417</v>
      </c>
      <c r="T65" s="212">
        <f t="shared" si="64"/>
        <v>3904.5761671411055</v>
      </c>
      <c r="U65" s="212">
        <f t="shared" si="64"/>
        <v>4375.0409020344723</v>
      </c>
      <c r="V65" s="212">
        <f t="shared" si="64"/>
        <v>4868.980427460604</v>
      </c>
      <c r="W65" s="212">
        <f t="shared" si="64"/>
        <v>5384.5949672220058</v>
      </c>
      <c r="X65" s="212">
        <f t="shared" si="64"/>
        <v>5904.4007163575134</v>
      </c>
      <c r="Y65" s="212">
        <f t="shared" si="64"/>
        <v>6431.8268598004252</v>
      </c>
      <c r="Z65" s="212">
        <f t="shared" si="64"/>
        <v>6971.8949435573886</v>
      </c>
      <c r="AA65" s="212">
        <f t="shared" si="64"/>
        <v>7518.2743651931869</v>
      </c>
      <c r="AB65" s="212">
        <f t="shared" si="64"/>
        <v>8071.1788559604847</v>
      </c>
      <c r="AC65" s="212">
        <f t="shared" si="64"/>
        <v>8620.4222462663747</v>
      </c>
      <c r="AD65" s="213">
        <f t="shared" si="64"/>
        <v>9168.9091983843919</v>
      </c>
      <c r="AE65" s="212">
        <f t="shared" si="64"/>
        <v>9709.0340183269873</v>
      </c>
      <c r="AF65" s="212">
        <f t="shared" si="64"/>
        <v>10248.326314199701</v>
      </c>
      <c r="AG65" s="212">
        <f t="shared" si="64"/>
        <v>10783.732622614967</v>
      </c>
      <c r="AH65" s="212">
        <f t="shared" si="64"/>
        <v>11314.016109000238</v>
      </c>
      <c r="AI65" s="212">
        <f t="shared" si="24"/>
        <v>11830.539811360291</v>
      </c>
      <c r="AJ65" s="212"/>
    </row>
    <row r="66" spans="1:36">
      <c r="A66" s="6" t="s">
        <v>61</v>
      </c>
      <c r="B66" s="15">
        <f t="shared" ref="B66:AG66" si="65">SUM(B56:B65)</f>
        <v>1843.4621723822067</v>
      </c>
      <c r="C66" s="15">
        <f t="shared" si="65"/>
        <v>3602.2841844671752</v>
      </c>
      <c r="D66" s="15">
        <f t="shared" si="65"/>
        <v>5312.564598748002</v>
      </c>
      <c r="E66" s="15">
        <f t="shared" si="65"/>
        <v>6947.3896136007716</v>
      </c>
      <c r="F66" s="15">
        <f t="shared" si="65"/>
        <v>8372.7246444752</v>
      </c>
      <c r="G66" s="15">
        <f t="shared" si="65"/>
        <v>9717.9076461517197</v>
      </c>
      <c r="H66" s="15">
        <f t="shared" si="65"/>
        <v>11034.797616100852</v>
      </c>
      <c r="I66" s="15">
        <f t="shared" si="65"/>
        <v>12413.891130085149</v>
      </c>
      <c r="J66" s="15">
        <f t="shared" si="65"/>
        <v>13885.281784814786</v>
      </c>
      <c r="K66" s="15">
        <f t="shared" si="65"/>
        <v>15388.272351709551</v>
      </c>
      <c r="L66" s="15">
        <f t="shared" si="65"/>
        <v>16907.608378274908</v>
      </c>
      <c r="M66" s="15">
        <f t="shared" si="65"/>
        <v>18416.200332655018</v>
      </c>
      <c r="N66" s="15">
        <f t="shared" si="65"/>
        <v>19926.414445234092</v>
      </c>
      <c r="O66" s="15">
        <f t="shared" si="65"/>
        <v>21390.776312136579</v>
      </c>
      <c r="P66" s="15">
        <f t="shared" si="65"/>
        <v>22907.27289935981</v>
      </c>
      <c r="Q66" s="15">
        <f t="shared" si="65"/>
        <v>24553.990966542424</v>
      </c>
      <c r="R66" s="15">
        <f t="shared" si="65"/>
        <v>26183.136956153481</v>
      </c>
      <c r="S66" s="15">
        <f t="shared" si="65"/>
        <v>27831.770466416958</v>
      </c>
      <c r="T66" s="15">
        <f t="shared" si="65"/>
        <v>29502.071381408437</v>
      </c>
      <c r="U66" s="15">
        <f t="shared" si="65"/>
        <v>31175.867049486173</v>
      </c>
      <c r="V66" s="15">
        <f t="shared" si="65"/>
        <v>32835.698663471121</v>
      </c>
      <c r="W66" s="15">
        <f t="shared" si="65"/>
        <v>34481.451255023312</v>
      </c>
      <c r="X66" s="15">
        <f t="shared" si="65"/>
        <v>36121.531165481487</v>
      </c>
      <c r="Y66" s="15">
        <f t="shared" si="65"/>
        <v>37813.252620228159</v>
      </c>
      <c r="Z66" s="15">
        <f t="shared" si="65"/>
        <v>39484.347537777379</v>
      </c>
      <c r="AA66" s="15">
        <f t="shared" si="65"/>
        <v>41140.972780106982</v>
      </c>
      <c r="AB66" s="15">
        <f t="shared" si="65"/>
        <v>42763.562994487031</v>
      </c>
      <c r="AC66" s="52">
        <f t="shared" si="65"/>
        <v>44321.356235267878</v>
      </c>
      <c r="AD66" s="214">
        <f t="shared" si="65"/>
        <v>45835.208469687612</v>
      </c>
      <c r="AE66" s="15">
        <f t="shared" si="65"/>
        <v>47284.421427133551</v>
      </c>
      <c r="AF66" s="15">
        <f t="shared" si="65"/>
        <v>48682.710692236178</v>
      </c>
      <c r="AG66" s="15">
        <f t="shared" si="65"/>
        <v>50036.506765624777</v>
      </c>
      <c r="AH66" s="15">
        <f t="shared" ref="AH66" si="66">SUM(AH56:AH65)</f>
        <v>51344.247725751025</v>
      </c>
      <c r="AI66" s="15">
        <f t="shared" ref="AI66" si="67">SUM(AI56:AI65)</f>
        <v>52597.716207846039</v>
      </c>
      <c r="AJ66" s="15"/>
    </row>
    <row r="67" spans="1:36">
      <c r="AC67" s="36"/>
      <c r="AD67" s="215"/>
    </row>
    <row r="68" spans="1:36">
      <c r="A68" s="152" t="str">
        <f>A41</f>
        <v>Clean Energy Connection</v>
      </c>
      <c r="B68" s="152">
        <f>$B$1</f>
        <v>2020</v>
      </c>
      <c r="C68" s="152">
        <f t="shared" ref="C68:AH68" si="68">B68+1</f>
        <v>2021</v>
      </c>
      <c r="D68" s="152">
        <f t="shared" si="68"/>
        <v>2022</v>
      </c>
      <c r="E68" s="152">
        <f t="shared" si="68"/>
        <v>2023</v>
      </c>
      <c r="F68" s="152">
        <f t="shared" si="68"/>
        <v>2024</v>
      </c>
      <c r="G68" s="152">
        <f t="shared" si="68"/>
        <v>2025</v>
      </c>
      <c r="H68" s="152">
        <f t="shared" si="68"/>
        <v>2026</v>
      </c>
      <c r="I68" s="152">
        <f t="shared" si="68"/>
        <v>2027</v>
      </c>
      <c r="J68" s="152">
        <f t="shared" si="68"/>
        <v>2028</v>
      </c>
      <c r="K68" s="152">
        <f t="shared" si="68"/>
        <v>2029</v>
      </c>
      <c r="L68" s="152">
        <f t="shared" si="68"/>
        <v>2030</v>
      </c>
      <c r="M68" s="152">
        <f t="shared" si="68"/>
        <v>2031</v>
      </c>
      <c r="N68" s="152">
        <f t="shared" si="68"/>
        <v>2032</v>
      </c>
      <c r="O68" s="152">
        <f t="shared" si="68"/>
        <v>2033</v>
      </c>
      <c r="P68" s="152">
        <f t="shared" si="68"/>
        <v>2034</v>
      </c>
      <c r="Q68" s="152">
        <f t="shared" si="68"/>
        <v>2035</v>
      </c>
      <c r="R68" s="152">
        <f t="shared" si="68"/>
        <v>2036</v>
      </c>
      <c r="S68" s="152">
        <f t="shared" si="68"/>
        <v>2037</v>
      </c>
      <c r="T68" s="152">
        <f t="shared" si="68"/>
        <v>2038</v>
      </c>
      <c r="U68" s="152">
        <f t="shared" si="68"/>
        <v>2039</v>
      </c>
      <c r="V68" s="152">
        <f t="shared" si="68"/>
        <v>2040</v>
      </c>
      <c r="W68" s="152">
        <f t="shared" si="68"/>
        <v>2041</v>
      </c>
      <c r="X68" s="152">
        <f t="shared" si="68"/>
        <v>2042</v>
      </c>
      <c r="Y68" s="152">
        <f t="shared" si="68"/>
        <v>2043</v>
      </c>
      <c r="Z68" s="152">
        <f t="shared" si="68"/>
        <v>2044</v>
      </c>
      <c r="AA68" s="152">
        <f t="shared" si="68"/>
        <v>2045</v>
      </c>
      <c r="AB68" s="152">
        <f t="shared" si="68"/>
        <v>2046</v>
      </c>
      <c r="AC68" s="209">
        <f t="shared" si="68"/>
        <v>2047</v>
      </c>
      <c r="AD68" s="210">
        <f t="shared" si="68"/>
        <v>2048</v>
      </c>
      <c r="AE68" s="152">
        <f t="shared" si="68"/>
        <v>2049</v>
      </c>
      <c r="AF68" s="152">
        <f t="shared" si="68"/>
        <v>2050</v>
      </c>
      <c r="AG68" s="152">
        <f t="shared" si="68"/>
        <v>2051</v>
      </c>
      <c r="AH68" s="152">
        <f t="shared" si="68"/>
        <v>2052</v>
      </c>
      <c r="AI68" s="152">
        <f t="shared" ref="AI68" si="69">AH68+1</f>
        <v>2053</v>
      </c>
      <c r="AJ68" s="152"/>
    </row>
    <row r="69" spans="1:36">
      <c r="A69" s="6" t="s">
        <v>134</v>
      </c>
      <c r="B69" s="119">
        <f t="shared" ref="B69:B78" si="70">+B42</f>
        <v>65.260450182206341</v>
      </c>
      <c r="C69" s="16">
        <f t="shared" ref="C69:AH69" si="71">B69+C42</f>
        <v>160.93113499444769</v>
      </c>
      <c r="D69" s="16">
        <f t="shared" si="71"/>
        <v>284.02380349995246</v>
      </c>
      <c r="E69" s="16">
        <f t="shared" si="71"/>
        <v>394.36613136854328</v>
      </c>
      <c r="F69" s="16">
        <f t="shared" si="71"/>
        <v>493.61813098619666</v>
      </c>
      <c r="G69" s="16">
        <f t="shared" si="71"/>
        <v>580.85459424087935</v>
      </c>
      <c r="H69" s="16">
        <f t="shared" si="71"/>
        <v>653.06447298350622</v>
      </c>
      <c r="I69" s="16">
        <f t="shared" si="71"/>
        <v>718.84067147426742</v>
      </c>
      <c r="J69" s="16">
        <f t="shared" si="71"/>
        <v>778.85583094073672</v>
      </c>
      <c r="K69" s="16">
        <f t="shared" si="71"/>
        <v>833.69836037779623</v>
      </c>
      <c r="L69" s="16">
        <f t="shared" si="71"/>
        <v>883.7614235200798</v>
      </c>
      <c r="M69" s="16">
        <f t="shared" si="71"/>
        <v>929.4471701874005</v>
      </c>
      <c r="N69" s="16">
        <f t="shared" si="71"/>
        <v>971.1109809494634</v>
      </c>
      <c r="O69" s="16">
        <f t="shared" si="71"/>
        <v>1009.115140082966</v>
      </c>
      <c r="P69" s="16">
        <f t="shared" si="71"/>
        <v>1043.7093182247925</v>
      </c>
      <c r="Q69" s="16">
        <f t="shared" si="71"/>
        <v>1075.1764034603164</v>
      </c>
      <c r="R69" s="16">
        <f t="shared" si="71"/>
        <v>1103.732432725345</v>
      </c>
      <c r="S69" s="16">
        <f t="shared" si="71"/>
        <v>1129.656103783884</v>
      </c>
      <c r="T69" s="16">
        <f t="shared" si="71"/>
        <v>1153.9585638548881</v>
      </c>
      <c r="U69" s="16">
        <f t="shared" si="71"/>
        <v>1176.4306702207869</v>
      </c>
      <c r="V69" s="16">
        <f t="shared" si="71"/>
        <v>1196.7521944818136</v>
      </c>
      <c r="W69" s="16">
        <f t="shared" si="71"/>
        <v>1215.1205755954245</v>
      </c>
      <c r="X69" s="16">
        <f t="shared" si="71"/>
        <v>1231.7530057724055</v>
      </c>
      <c r="Y69" s="16">
        <f t="shared" si="71"/>
        <v>1246.7791852426262</v>
      </c>
      <c r="Z69" s="16">
        <f t="shared" si="71"/>
        <v>1260.3839482278022</v>
      </c>
      <c r="AA69" s="16">
        <f t="shared" si="71"/>
        <v>1272.6624473585421</v>
      </c>
      <c r="AB69" s="16">
        <f t="shared" si="71"/>
        <v>1283.7604554982531</v>
      </c>
      <c r="AC69" s="119">
        <f t="shared" si="71"/>
        <v>1293.7688166527566</v>
      </c>
      <c r="AD69" s="211">
        <f t="shared" si="71"/>
        <v>1303.1573665967353</v>
      </c>
      <c r="AE69" s="16">
        <f t="shared" si="71"/>
        <v>1311.1087975923997</v>
      </c>
      <c r="AF69" s="16">
        <f t="shared" si="71"/>
        <v>1316.4077323452841</v>
      </c>
      <c r="AG69" s="16">
        <f t="shared" si="71"/>
        <v>1319.3037927694838</v>
      </c>
      <c r="AH69" s="16">
        <f t="shared" si="71"/>
        <v>1319.7194534350556</v>
      </c>
      <c r="AI69" s="16">
        <f t="shared" ref="AI69:AI78" si="72">AH69+AI42</f>
        <v>1320.0943565319535</v>
      </c>
      <c r="AJ69" s="16"/>
    </row>
    <row r="70" spans="1:36">
      <c r="A70" s="6" t="s">
        <v>135</v>
      </c>
      <c r="B70" s="119">
        <f t="shared" si="70"/>
        <v>0</v>
      </c>
      <c r="C70" s="16">
        <f t="shared" ref="C70:AH70" si="73">B70+C43</f>
        <v>0</v>
      </c>
      <c r="D70" s="16">
        <f t="shared" si="73"/>
        <v>27.104402529171068</v>
      </c>
      <c r="E70" s="16">
        <f t="shared" si="73"/>
        <v>98.781674233069964</v>
      </c>
      <c r="F70" s="16">
        <f t="shared" si="73"/>
        <v>205.49827041468927</v>
      </c>
      <c r="G70" s="16">
        <f t="shared" si="73"/>
        <v>300.46649364736896</v>
      </c>
      <c r="H70" s="16">
        <f t="shared" si="73"/>
        <v>385.39678406731878</v>
      </c>
      <c r="I70" s="16">
        <f t="shared" si="73"/>
        <v>456.76610212359998</v>
      </c>
      <c r="J70" s="16">
        <f t="shared" si="73"/>
        <v>521.38216806475043</v>
      </c>
      <c r="K70" s="16">
        <f t="shared" si="73"/>
        <v>580.22999313960736</v>
      </c>
      <c r="L70" s="16">
        <f t="shared" si="73"/>
        <v>634.01636784102379</v>
      </c>
      <c r="M70" s="16">
        <f t="shared" si="73"/>
        <v>683.26715478238884</v>
      </c>
      <c r="N70" s="16">
        <f t="shared" si="73"/>
        <v>728.35372964352109</v>
      </c>
      <c r="O70" s="16">
        <f t="shared" si="73"/>
        <v>769.60576167263162</v>
      </c>
      <c r="P70" s="16">
        <f t="shared" si="73"/>
        <v>807.31002678440973</v>
      </c>
      <c r="Q70" s="16">
        <f t="shared" si="73"/>
        <v>841.7817862456186</v>
      </c>
      <c r="R70" s="16">
        <f t="shared" si="73"/>
        <v>873.29202848516286</v>
      </c>
      <c r="S70" s="16">
        <f t="shared" si="73"/>
        <v>902.06344495740177</v>
      </c>
      <c r="T70" s="16">
        <f t="shared" si="73"/>
        <v>930.24970017284386</v>
      </c>
      <c r="U70" s="16">
        <f t="shared" si="73"/>
        <v>955.84915294119799</v>
      </c>
      <c r="V70" s="16">
        <f t="shared" si="73"/>
        <v>979.07310442426649</v>
      </c>
      <c r="W70" s="16">
        <f t="shared" si="73"/>
        <v>1000.1248911355183</v>
      </c>
      <c r="X70" s="16">
        <f t="shared" si="73"/>
        <v>1019.2432452792501</v>
      </c>
      <c r="Y70" s="16">
        <f t="shared" si="73"/>
        <v>1036.6317832813522</v>
      </c>
      <c r="Z70" s="16">
        <f t="shared" si="73"/>
        <v>1052.4528204477485</v>
      </c>
      <c r="AA70" s="16">
        <f t="shared" si="73"/>
        <v>1066.8199714822242</v>
      </c>
      <c r="AB70" s="16">
        <f t="shared" si="73"/>
        <v>1079.8900698837747</v>
      </c>
      <c r="AC70" s="119">
        <f t="shared" si="73"/>
        <v>1091.7640225794905</v>
      </c>
      <c r="AD70" s="211">
        <f t="shared" si="73"/>
        <v>1102.5564189601394</v>
      </c>
      <c r="AE70" s="16">
        <f t="shared" si="73"/>
        <v>1112.3456472165315</v>
      </c>
      <c r="AF70" s="16">
        <f t="shared" si="73"/>
        <v>1121.2349572228359</v>
      </c>
      <c r="AG70" s="16">
        <f t="shared" si="73"/>
        <v>1129.7914422876931</v>
      </c>
      <c r="AH70" s="16">
        <f t="shared" si="73"/>
        <v>1136.619048814528</v>
      </c>
      <c r="AI70" s="16">
        <f t="shared" si="72"/>
        <v>1140.2982843495179</v>
      </c>
      <c r="AJ70" s="16"/>
    </row>
    <row r="71" spans="1:36">
      <c r="A71" s="6" t="s">
        <v>60</v>
      </c>
      <c r="B71" s="119">
        <f t="shared" si="70"/>
        <v>0</v>
      </c>
      <c r="C71" s="16">
        <f t="shared" ref="C71:AH71" si="74">B71+C44</f>
        <v>0</v>
      </c>
      <c r="D71" s="16">
        <f t="shared" si="74"/>
        <v>0</v>
      </c>
      <c r="E71" s="16">
        <f t="shared" si="74"/>
        <v>0</v>
      </c>
      <c r="F71" s="16">
        <f t="shared" si="74"/>
        <v>0</v>
      </c>
      <c r="G71" s="16">
        <f t="shared" si="74"/>
        <v>0</v>
      </c>
      <c r="H71" s="16">
        <f t="shared" si="74"/>
        <v>0</v>
      </c>
      <c r="I71" s="16">
        <f t="shared" si="74"/>
        <v>6.8065319934405428</v>
      </c>
      <c r="J71" s="16">
        <f t="shared" si="74"/>
        <v>17.496589284217208</v>
      </c>
      <c r="K71" s="16">
        <f t="shared" si="74"/>
        <v>33.354245238022855</v>
      </c>
      <c r="L71" s="16">
        <f t="shared" si="74"/>
        <v>51.83563166996877</v>
      </c>
      <c r="M71" s="16">
        <f t="shared" si="74"/>
        <v>74.184144798863812</v>
      </c>
      <c r="N71" s="16">
        <f t="shared" si="74"/>
        <v>98.179006175412297</v>
      </c>
      <c r="O71" s="16">
        <f t="shared" si="74"/>
        <v>125.00835889212736</v>
      </c>
      <c r="P71" s="16">
        <f t="shared" si="74"/>
        <v>213.96341500951218</v>
      </c>
      <c r="Q71" s="16">
        <f t="shared" si="74"/>
        <v>439.06126274825607</v>
      </c>
      <c r="R71" s="16">
        <f t="shared" si="74"/>
        <v>649.20298665622863</v>
      </c>
      <c r="S71" s="16">
        <f t="shared" si="74"/>
        <v>844.00128719875784</v>
      </c>
      <c r="T71" s="16">
        <f t="shared" si="74"/>
        <v>1030.3375284103211</v>
      </c>
      <c r="U71" s="16">
        <f t="shared" si="74"/>
        <v>1205.9117239141751</v>
      </c>
      <c r="V71" s="16">
        <f t="shared" si="74"/>
        <v>1369.7568817194326</v>
      </c>
      <c r="W71" s="16">
        <f t="shared" si="74"/>
        <v>1521.5107515521011</v>
      </c>
      <c r="X71" s="16">
        <f t="shared" si="74"/>
        <v>1689.8103435063385</v>
      </c>
      <c r="Y71" s="16">
        <f t="shared" si="74"/>
        <v>1930.5701842287338</v>
      </c>
      <c r="Z71" s="16">
        <f t="shared" si="74"/>
        <v>2156.2660249118057</v>
      </c>
      <c r="AA71" s="16">
        <f t="shared" si="74"/>
        <v>2369.0152703361864</v>
      </c>
      <c r="AB71" s="16">
        <f t="shared" si="74"/>
        <v>2567.4611713913405</v>
      </c>
      <c r="AC71" s="119">
        <f t="shared" si="74"/>
        <v>2749.7681436141274</v>
      </c>
      <c r="AD71" s="211">
        <f t="shared" si="74"/>
        <v>2915.3732503254155</v>
      </c>
      <c r="AE71" s="16">
        <f t="shared" si="74"/>
        <v>3065.7347351541471</v>
      </c>
      <c r="AF71" s="16">
        <f t="shared" si="74"/>
        <v>3202.1895714050534</v>
      </c>
      <c r="AG71" s="16">
        <f t="shared" si="74"/>
        <v>3325.9305316038672</v>
      </c>
      <c r="AH71" s="16">
        <f t="shared" si="74"/>
        <v>3438.0360740230349</v>
      </c>
      <c r="AI71" s="16">
        <f t="shared" si="72"/>
        <v>3539.5016082156417</v>
      </c>
      <c r="AJ71" s="16"/>
    </row>
    <row r="72" spans="1:36">
      <c r="A72" s="6" t="s">
        <v>68</v>
      </c>
      <c r="B72" s="119">
        <f t="shared" si="70"/>
        <v>445.38108</v>
      </c>
      <c r="C72" s="16">
        <f t="shared" ref="C72:AH72" si="75">B72+C45</f>
        <v>851.33956172446119</v>
      </c>
      <c r="D72" s="16">
        <f t="shared" si="75"/>
        <v>1234.3846767848615</v>
      </c>
      <c r="E72" s="16">
        <f t="shared" si="75"/>
        <v>1609.8140830391994</v>
      </c>
      <c r="F72" s="16">
        <f t="shared" si="75"/>
        <v>1841.6073557044078</v>
      </c>
      <c r="G72" s="16">
        <f t="shared" si="75"/>
        <v>1948.5149827850059</v>
      </c>
      <c r="H72" s="16">
        <f t="shared" si="75"/>
        <v>1987.5993937851374</v>
      </c>
      <c r="I72" s="16">
        <f t="shared" si="75"/>
        <v>2008.2714294317668</v>
      </c>
      <c r="J72" s="16">
        <f t="shared" si="75"/>
        <v>2020.7899924519022</v>
      </c>
      <c r="K72" s="16">
        <f t="shared" si="75"/>
        <v>2032.8357806093682</v>
      </c>
      <c r="L72" s="16">
        <f t="shared" si="75"/>
        <v>2044.3940414916899</v>
      </c>
      <c r="M72" s="16">
        <f t="shared" si="75"/>
        <v>2055.542479402754</v>
      </c>
      <c r="N72" s="16">
        <f t="shared" si="75"/>
        <v>2066.2488453223386</v>
      </c>
      <c r="O72" s="16">
        <f t="shared" si="75"/>
        <v>2076.5622768960829</v>
      </c>
      <c r="P72" s="16">
        <f t="shared" si="75"/>
        <v>2088.8585983976136</v>
      </c>
      <c r="Q72" s="16">
        <f t="shared" si="75"/>
        <v>2102.257640163577</v>
      </c>
      <c r="R72" s="16">
        <f t="shared" si="75"/>
        <v>2115.2589098709695</v>
      </c>
      <c r="S72" s="16">
        <f t="shared" si="75"/>
        <v>2127.8361838234</v>
      </c>
      <c r="T72" s="16">
        <f t="shared" si="75"/>
        <v>2140.2919605391558</v>
      </c>
      <c r="U72" s="16">
        <f t="shared" si="75"/>
        <v>2152.5006290985689</v>
      </c>
      <c r="V72" s="16">
        <f t="shared" si="75"/>
        <v>2164.3884572148409</v>
      </c>
      <c r="W72" s="16">
        <f t="shared" si="75"/>
        <v>2175.8834596855172</v>
      </c>
      <c r="X72" s="16">
        <f t="shared" si="75"/>
        <v>2188.2271348376808</v>
      </c>
      <c r="Y72" s="16">
        <f t="shared" si="75"/>
        <v>2200.9739055740197</v>
      </c>
      <c r="Z72" s="16">
        <f t="shared" si="75"/>
        <v>2213.5287922277644</v>
      </c>
      <c r="AA72" s="16">
        <f t="shared" si="75"/>
        <v>2225.8664906713416</v>
      </c>
      <c r="AB72" s="16">
        <f t="shared" si="75"/>
        <v>2237.8016250700894</v>
      </c>
      <c r="AC72" s="119">
        <f t="shared" si="75"/>
        <v>2249.3366308828627</v>
      </c>
      <c r="AD72" s="211">
        <f t="shared" si="75"/>
        <v>2260.3869889026955</v>
      </c>
      <c r="AE72" s="16">
        <f t="shared" si="75"/>
        <v>2270.5927499132326</v>
      </c>
      <c r="AF72" s="16">
        <f t="shared" si="75"/>
        <v>2279.5653276300259</v>
      </c>
      <c r="AG72" s="16">
        <f t="shared" si="75"/>
        <v>2287.4636514593508</v>
      </c>
      <c r="AH72" s="16">
        <f t="shared" si="75"/>
        <v>2294.5870999196495</v>
      </c>
      <c r="AI72" s="16">
        <f t="shared" si="72"/>
        <v>2301.4030372706197</v>
      </c>
      <c r="AJ72" s="16"/>
    </row>
    <row r="73" spans="1:36">
      <c r="A73" s="6" t="s">
        <v>67</v>
      </c>
      <c r="B73" s="119">
        <f t="shared" si="70"/>
        <v>390.67815999999999</v>
      </c>
      <c r="C73" s="16">
        <f t="shared" ref="C73:AH73" si="76">B73+C46</f>
        <v>751.38318343017806</v>
      </c>
      <c r="D73" s="16">
        <f t="shared" si="76"/>
        <v>1086.742172405917</v>
      </c>
      <c r="E73" s="16">
        <f t="shared" si="76"/>
        <v>1401.0430055603115</v>
      </c>
      <c r="F73" s="16">
        <f t="shared" si="76"/>
        <v>1696.3781385814136</v>
      </c>
      <c r="G73" s="16">
        <f t="shared" si="76"/>
        <v>1972.4465282824722</v>
      </c>
      <c r="H73" s="16">
        <f t="shared" si="76"/>
        <v>2231.1797962597147</v>
      </c>
      <c r="I73" s="16">
        <f t="shared" si="76"/>
        <v>2473.6664515555135</v>
      </c>
      <c r="J73" s="16">
        <f t="shared" si="76"/>
        <v>2701.5208601951203</v>
      </c>
      <c r="K73" s="16">
        <f t="shared" si="76"/>
        <v>2914.5107631690626</v>
      </c>
      <c r="L73" s="16">
        <f t="shared" si="76"/>
        <v>3114.1264173152126</v>
      </c>
      <c r="M73" s="16">
        <f t="shared" si="76"/>
        <v>3301.2076252982552</v>
      </c>
      <c r="N73" s="16">
        <f t="shared" si="76"/>
        <v>3476.9998888377081</v>
      </c>
      <c r="O73" s="16">
        <f t="shared" si="76"/>
        <v>3641.3240174704747</v>
      </c>
      <c r="P73" s="16">
        <f t="shared" si="76"/>
        <v>3827.7736806328917</v>
      </c>
      <c r="Q73" s="16">
        <f t="shared" si="76"/>
        <v>4024.9282174055056</v>
      </c>
      <c r="R73" s="16">
        <f t="shared" si="76"/>
        <v>4214.5047565168115</v>
      </c>
      <c r="S73" s="16">
        <f t="shared" si="76"/>
        <v>4395.3917957013064</v>
      </c>
      <c r="T73" s="16">
        <f t="shared" si="76"/>
        <v>4573.7830405061623</v>
      </c>
      <c r="U73" s="16">
        <f t="shared" si="76"/>
        <v>4746.9055220153441</v>
      </c>
      <c r="V73" s="16">
        <f t="shared" si="76"/>
        <v>4913.2464642953255</v>
      </c>
      <c r="W73" s="16">
        <f t="shared" si="76"/>
        <v>5071.8799116172104</v>
      </c>
      <c r="X73" s="16">
        <f t="shared" si="76"/>
        <v>5239.1324438043885</v>
      </c>
      <c r="Y73" s="16">
        <f t="shared" si="76"/>
        <v>5408.3365453385968</v>
      </c>
      <c r="Z73" s="16">
        <f t="shared" si="76"/>
        <v>5573.8807981193149</v>
      </c>
      <c r="AA73" s="16">
        <f t="shared" si="76"/>
        <v>5737.0380301703844</v>
      </c>
      <c r="AB73" s="16">
        <f t="shared" si="76"/>
        <v>5895.403399792569</v>
      </c>
      <c r="AC73" s="119">
        <f t="shared" si="76"/>
        <v>6045.9759219009757</v>
      </c>
      <c r="AD73" s="211">
        <f t="shared" si="76"/>
        <v>6187.0935621150393</v>
      </c>
      <c r="AE73" s="16">
        <f t="shared" si="76"/>
        <v>6319.3500196727373</v>
      </c>
      <c r="AF73" s="16">
        <f t="shared" si="76"/>
        <v>6443.301713728687</v>
      </c>
      <c r="AG73" s="16">
        <f t="shared" si="76"/>
        <v>6559.4701242778428</v>
      </c>
      <c r="AH73" s="16">
        <f t="shared" si="76"/>
        <v>6668.3439860858616</v>
      </c>
      <c r="AI73" s="16">
        <f t="shared" si="72"/>
        <v>6770.3813448562632</v>
      </c>
      <c r="AJ73" s="16"/>
    </row>
    <row r="74" spans="1:36">
      <c r="A74" s="6" t="s">
        <v>383</v>
      </c>
      <c r="B74" s="119">
        <f t="shared" si="70"/>
        <v>0</v>
      </c>
      <c r="C74" s="16">
        <f t="shared" ref="C74" si="77">B74+C47</f>
        <v>0.95602539473914416</v>
      </c>
      <c r="D74" s="16">
        <f t="shared" ref="D74" si="78">C74+D47</f>
        <v>1.5072266250072159</v>
      </c>
      <c r="E74" s="16">
        <f t="shared" ref="E74" si="79">D74+E47</f>
        <v>2.0695367321701985</v>
      </c>
      <c r="F74" s="16">
        <f t="shared" ref="F74" si="80">E74+F47</f>
        <v>2.5900853804250303</v>
      </c>
      <c r="G74" s="16">
        <f t="shared" ref="G74" si="81">F74+G47</f>
        <v>3.0645593924772814</v>
      </c>
      <c r="H74" s="16">
        <f t="shared" ref="H74" si="82">G74+H47</f>
        <v>3.4105074444231458</v>
      </c>
      <c r="I74" s="16">
        <f t="shared" ref="I74" si="83">H74+I47</f>
        <v>3.7694032877547321</v>
      </c>
      <c r="J74" s="16">
        <f t="shared" ref="J74" si="84">I74+J47</f>
        <v>4.081384694912491</v>
      </c>
      <c r="K74" s="16">
        <f t="shared" ref="K74" si="85">J74+K47</f>
        <v>4.385661652913285</v>
      </c>
      <c r="L74" s="16">
        <f t="shared" ref="L74" si="86">K74+L47</f>
        <v>4.6936161007606358</v>
      </c>
      <c r="M74" s="16">
        <f t="shared" ref="M74" si="87">L74+M47</f>
        <v>4.876091196085361</v>
      </c>
      <c r="N74" s="16">
        <f t="shared" ref="N74" si="88">M74+N47</f>
        <v>5.0454798390598876</v>
      </c>
      <c r="O74" s="16">
        <f t="shared" ref="O74" si="89">N74+O47</f>
        <v>5.2294447586090405</v>
      </c>
      <c r="P74" s="16">
        <f t="shared" ref="P74" si="90">O74+P47</f>
        <v>5.3836719529946686</v>
      </c>
      <c r="Q74" s="16">
        <f t="shared" ref="Q74" si="91">P74+Q47</f>
        <v>5.5346613210514448</v>
      </c>
      <c r="R74" s="16">
        <f t="shared" ref="R74" si="92">Q74+R47</f>
        <v>5.690057206126018</v>
      </c>
      <c r="S74" s="16">
        <f t="shared" ref="S74" si="93">R74+S47</f>
        <v>5.8275763916379768</v>
      </c>
      <c r="T74" s="16">
        <f t="shared" ref="T74" si="94">S74+T47</f>
        <v>5.9557466681538642</v>
      </c>
      <c r="U74" s="16">
        <f t="shared" ref="U74" si="95">T74+U47</f>
        <v>6.0933307004328334</v>
      </c>
      <c r="V74" s="16">
        <f t="shared" ref="V74" si="96">U74+V47</f>
        <v>6.2103146406013154</v>
      </c>
      <c r="W74" s="16">
        <f t="shared" ref="W74" si="97">V74+W47</f>
        <v>6.3246720109823338</v>
      </c>
      <c r="X74" s="16">
        <f t="shared" ref="X74" si="98">W74+X47</f>
        <v>6.4415980915041979</v>
      </c>
      <c r="Y74" s="16">
        <f t="shared" ref="Y74" si="99">X74+Y47</f>
        <v>6.5460068556555422</v>
      </c>
      <c r="Z74" s="16">
        <f t="shared" ref="Z74" si="100">Y74+Z47</f>
        <v>6.6436912405524309</v>
      </c>
      <c r="AA74" s="16">
        <f t="shared" ref="AA74" si="101">Z74+AA47</f>
        <v>6.7473794896881474</v>
      </c>
      <c r="AB74" s="16">
        <f t="shared" ref="AB74" si="102">AA74+AB47</f>
        <v>6.8299441406162629</v>
      </c>
      <c r="AC74" s="119">
        <f t="shared" ref="AC74" si="103">AB74+AC47</f>
        <v>6.9134101017759475</v>
      </c>
      <c r="AD74" s="211">
        <f t="shared" ref="AD74" si="104">AC74+AD47</f>
        <v>6.9892525522111812</v>
      </c>
      <c r="AE74" s="16">
        <f t="shared" ref="AE74" si="105">AD74+AE47</f>
        <v>7.065161560369619</v>
      </c>
      <c r="AF74" s="16">
        <f t="shared" ref="AF74" si="106">AE74+AF47</f>
        <v>7.1348731753412622</v>
      </c>
      <c r="AG74" s="16">
        <f t="shared" ref="AG74" si="107">AF74+AG47</f>
        <v>7.2050716835813713</v>
      </c>
      <c r="AH74" s="16">
        <f t="shared" ref="AH74" si="108">AG74+AH47</f>
        <v>7.266976907278667</v>
      </c>
      <c r="AI74" s="16">
        <f t="shared" si="72"/>
        <v>7.325205364161631</v>
      </c>
      <c r="AJ74" s="16"/>
    </row>
    <row r="75" spans="1:36">
      <c r="A75" s="6" t="s">
        <v>65</v>
      </c>
      <c r="B75" s="119">
        <f t="shared" si="70"/>
        <v>849.84470000000033</v>
      </c>
      <c r="C75" s="16">
        <f t="shared" ref="C75:AH75" si="109">B75+C48</f>
        <v>1654.8567805998127</v>
      </c>
      <c r="D75" s="16">
        <f t="shared" si="109"/>
        <v>2423.7584037160659</v>
      </c>
      <c r="E75" s="16">
        <f t="shared" si="109"/>
        <v>3146.1251199951512</v>
      </c>
      <c r="F75" s="16">
        <f t="shared" si="109"/>
        <v>3813.1310494597828</v>
      </c>
      <c r="G75" s="16">
        <f t="shared" si="109"/>
        <v>4480.8888270941115</v>
      </c>
      <c r="H75" s="16">
        <f t="shared" si="109"/>
        <v>5161.1608081387803</v>
      </c>
      <c r="I75" s="16">
        <f t="shared" si="109"/>
        <v>5878.6150452444044</v>
      </c>
      <c r="J75" s="16">
        <f t="shared" si="109"/>
        <v>6654.1769131116071</v>
      </c>
      <c r="K75" s="16">
        <f t="shared" si="109"/>
        <v>7440.8282548450989</v>
      </c>
      <c r="L75" s="16">
        <f t="shared" si="109"/>
        <v>8228.6176946603573</v>
      </c>
      <c r="M75" s="16">
        <f t="shared" si="109"/>
        <v>8999.0165136235701</v>
      </c>
      <c r="N75" s="16">
        <f t="shared" si="109"/>
        <v>9769.7548409808351</v>
      </c>
      <c r="O75" s="16">
        <f t="shared" si="109"/>
        <v>10498.283832790104</v>
      </c>
      <c r="P75" s="16">
        <f t="shared" si="109"/>
        <v>11199.771678971292</v>
      </c>
      <c r="Q75" s="16">
        <f t="shared" si="109"/>
        <v>11881.54897513003</v>
      </c>
      <c r="R75" s="16">
        <f t="shared" si="109"/>
        <v>12540.720482386123</v>
      </c>
      <c r="S75" s="16">
        <f t="shared" si="109"/>
        <v>13209.300734134846</v>
      </c>
      <c r="T75" s="16">
        <f t="shared" si="109"/>
        <v>13872.529747873263</v>
      </c>
      <c r="U75" s="16">
        <f t="shared" si="109"/>
        <v>14516.924478838366</v>
      </c>
      <c r="V75" s="16">
        <f t="shared" si="109"/>
        <v>15152.897953516655</v>
      </c>
      <c r="W75" s="16">
        <f t="shared" si="109"/>
        <v>15778.574747921819</v>
      </c>
      <c r="X75" s="16">
        <f t="shared" si="109"/>
        <v>16379.248304272411</v>
      </c>
      <c r="Y75" s="16">
        <f t="shared" si="109"/>
        <v>16954.635483231439</v>
      </c>
      <c r="Z75" s="16">
        <f t="shared" si="109"/>
        <v>17524.136265396661</v>
      </c>
      <c r="AA75" s="16">
        <f t="shared" si="109"/>
        <v>18091.505315344661</v>
      </c>
      <c r="AB75" s="16">
        <f t="shared" si="109"/>
        <v>18651.04504582526</v>
      </c>
      <c r="AC75" s="119">
        <f t="shared" si="109"/>
        <v>19183.145814440948</v>
      </c>
      <c r="AD75" s="211">
        <f t="shared" si="109"/>
        <v>19701.828596190102</v>
      </c>
      <c r="AE75" s="16">
        <f t="shared" si="109"/>
        <v>20195.75340902248</v>
      </c>
      <c r="AF75" s="16">
        <f t="shared" si="109"/>
        <v>20669.672290853348</v>
      </c>
      <c r="AG75" s="16">
        <f t="shared" si="109"/>
        <v>21128.407739969014</v>
      </c>
      <c r="AH75" s="16">
        <f t="shared" si="109"/>
        <v>21575.951854342136</v>
      </c>
      <c r="AI75" s="16">
        <f t="shared" si="72"/>
        <v>22009.800963732672</v>
      </c>
      <c r="AJ75" s="16"/>
    </row>
    <row r="76" spans="1:36">
      <c r="A76" s="6" t="s">
        <v>52</v>
      </c>
      <c r="B76" s="119">
        <f t="shared" si="70"/>
        <v>86.065810000000013</v>
      </c>
      <c r="C76" s="16">
        <f t="shared" ref="C76:AH76" si="110">B76+C49</f>
        <v>171.47644730084352</v>
      </c>
      <c r="D76" s="16">
        <f t="shared" si="110"/>
        <v>257.22626130870833</v>
      </c>
      <c r="E76" s="16">
        <f t="shared" si="110"/>
        <v>341.78020909074212</v>
      </c>
      <c r="F76" s="16">
        <f t="shared" si="110"/>
        <v>427.80665691012041</v>
      </c>
      <c r="G76" s="16">
        <f t="shared" si="110"/>
        <v>518.13256715626551</v>
      </c>
      <c r="H76" s="16">
        <f t="shared" si="110"/>
        <v>617.37027011287148</v>
      </c>
      <c r="I76" s="16">
        <f t="shared" si="110"/>
        <v>722.82718199293424</v>
      </c>
      <c r="J76" s="16">
        <f t="shared" si="110"/>
        <v>835.03707104408875</v>
      </c>
      <c r="K76" s="16">
        <f t="shared" si="110"/>
        <v>948.40077883742117</v>
      </c>
      <c r="L76" s="16">
        <f t="shared" si="110"/>
        <v>1066.4228808470368</v>
      </c>
      <c r="M76" s="16">
        <f t="shared" si="110"/>
        <v>1187.2044733762159</v>
      </c>
      <c r="N76" s="16">
        <f t="shared" si="110"/>
        <v>1306.3192607151277</v>
      </c>
      <c r="O76" s="16">
        <f t="shared" si="110"/>
        <v>1426.2106103931858</v>
      </c>
      <c r="P76" s="16">
        <f t="shared" si="110"/>
        <v>1540.3386693963414</v>
      </c>
      <c r="Q76" s="16">
        <f t="shared" si="110"/>
        <v>1652.5764484787719</v>
      </c>
      <c r="R76" s="16">
        <f t="shared" si="110"/>
        <v>1764.8226250622879</v>
      </c>
      <c r="S76" s="16">
        <f t="shared" si="110"/>
        <v>1883.4664574630365</v>
      </c>
      <c r="T76" s="16">
        <f t="shared" si="110"/>
        <v>2000.1884171311199</v>
      </c>
      <c r="U76" s="16">
        <f t="shared" si="110"/>
        <v>2121.3107424680525</v>
      </c>
      <c r="V76" s="16">
        <f t="shared" si="110"/>
        <v>2237.0154409578586</v>
      </c>
      <c r="W76" s="16">
        <f t="shared" si="110"/>
        <v>2352.2008397931168</v>
      </c>
      <c r="X76" s="16">
        <f t="shared" si="110"/>
        <v>2461.8332177523284</v>
      </c>
      <c r="Y76" s="16">
        <f t="shared" si="110"/>
        <v>2569.2947246536705</v>
      </c>
      <c r="Z76" s="16">
        <f t="shared" si="110"/>
        <v>2673.3242601011061</v>
      </c>
      <c r="AA76" s="16">
        <f t="shared" si="110"/>
        <v>2776.4008279714021</v>
      </c>
      <c r="AB76" s="16">
        <f t="shared" si="110"/>
        <v>2876.0531482671445</v>
      </c>
      <c r="AC76" s="119">
        <f t="shared" si="110"/>
        <v>2974.5344213078793</v>
      </c>
      <c r="AD76" s="211">
        <f t="shared" si="110"/>
        <v>3069.5923336770943</v>
      </c>
      <c r="AE76" s="16">
        <f t="shared" si="110"/>
        <v>3162.1848897466157</v>
      </c>
      <c r="AF76" s="16">
        <f t="shared" si="110"/>
        <v>3251.6642216132605</v>
      </c>
      <c r="AG76" s="16">
        <f t="shared" si="110"/>
        <v>3341.5350800980268</v>
      </c>
      <c r="AH76" s="16">
        <f t="shared" si="110"/>
        <v>3426.0195743740469</v>
      </c>
      <c r="AI76" s="16">
        <f t="shared" si="72"/>
        <v>3508.8664940113417</v>
      </c>
      <c r="AJ76" s="16"/>
    </row>
    <row r="77" spans="1:36">
      <c r="A77" s="36" t="s">
        <v>66</v>
      </c>
      <c r="B77" s="119">
        <f t="shared" si="70"/>
        <v>6.2319722000000004</v>
      </c>
      <c r="C77" s="16">
        <f t="shared" ref="C77:AH77" si="111">B77+C50</f>
        <v>12.297076417432052</v>
      </c>
      <c r="D77" s="16">
        <f t="shared" si="111"/>
        <v>17.833946602387726</v>
      </c>
      <c r="E77" s="16">
        <f t="shared" si="111"/>
        <v>22.496262456088893</v>
      </c>
      <c r="F77" s="16">
        <f t="shared" si="111"/>
        <v>26.737524076795875</v>
      </c>
      <c r="G77" s="16">
        <f t="shared" si="111"/>
        <v>31.021996334393148</v>
      </c>
      <c r="H77" s="16">
        <f t="shared" si="111"/>
        <v>35.157959517158197</v>
      </c>
      <c r="I77" s="16">
        <f t="shared" si="111"/>
        <v>39.276507818630726</v>
      </c>
      <c r="J77" s="16">
        <f t="shared" si="111"/>
        <v>43.640796842527052</v>
      </c>
      <c r="K77" s="16">
        <f t="shared" si="111"/>
        <v>47.851099845109857</v>
      </c>
      <c r="L77" s="16">
        <f t="shared" si="111"/>
        <v>52.095064129012002</v>
      </c>
      <c r="M77" s="16">
        <f t="shared" si="111"/>
        <v>55.832099635265628</v>
      </c>
      <c r="N77" s="16">
        <f t="shared" si="111"/>
        <v>59.208312671952271</v>
      </c>
      <c r="O77" s="16">
        <f t="shared" si="111"/>
        <v>61.990417324478187</v>
      </c>
      <c r="P77" s="16">
        <f t="shared" si="111"/>
        <v>63.190564345880418</v>
      </c>
      <c r="Q77" s="16">
        <f t="shared" si="111"/>
        <v>63.82574123658371</v>
      </c>
      <c r="R77" s="16">
        <f t="shared" si="111"/>
        <v>64.42482453650895</v>
      </c>
      <c r="S77" s="16">
        <f t="shared" si="111"/>
        <v>64.994039744053211</v>
      </c>
      <c r="T77" s="16">
        <f t="shared" si="111"/>
        <v>65.533702071241294</v>
      </c>
      <c r="U77" s="16">
        <f t="shared" si="111"/>
        <v>66.044505656843342</v>
      </c>
      <c r="V77" s="16">
        <f t="shared" si="111"/>
        <v>66.533107647858657</v>
      </c>
      <c r="W77" s="16">
        <f t="shared" si="111"/>
        <v>66.994074908062117</v>
      </c>
      <c r="X77" s="16">
        <f t="shared" si="111"/>
        <v>67.425174743619209</v>
      </c>
      <c r="Y77" s="16">
        <f t="shared" si="111"/>
        <v>67.83514282009439</v>
      </c>
      <c r="Z77" s="16">
        <f t="shared" si="111"/>
        <v>68.223321990284688</v>
      </c>
      <c r="AA77" s="16">
        <f t="shared" si="111"/>
        <v>68.589169940127391</v>
      </c>
      <c r="AB77" s="16">
        <f t="shared" si="111"/>
        <v>68.938773011456178</v>
      </c>
      <c r="AC77" s="119">
        <f t="shared" si="111"/>
        <v>69.266512038282499</v>
      </c>
      <c r="AD77" s="211">
        <f t="shared" si="111"/>
        <v>69.575706806424165</v>
      </c>
      <c r="AE77" s="16">
        <f t="shared" si="111"/>
        <v>69.865777594961415</v>
      </c>
      <c r="AF77" s="16">
        <f t="shared" si="111"/>
        <v>70.142322932989757</v>
      </c>
      <c r="AG77" s="16">
        <f t="shared" si="111"/>
        <v>70.403612713116715</v>
      </c>
      <c r="AH77" s="16">
        <f t="shared" si="111"/>
        <v>70.654479247936038</v>
      </c>
      <c r="AI77" s="16">
        <f t="shared" si="72"/>
        <v>70.892887216429443</v>
      </c>
      <c r="AJ77" s="16"/>
    </row>
    <row r="78" spans="1:36">
      <c r="A78" s="12" t="s">
        <v>69</v>
      </c>
      <c r="B78" s="212">
        <f t="shared" si="70"/>
        <v>0</v>
      </c>
      <c r="C78" s="212">
        <f t="shared" ref="C78:AH78" si="112">B78+C51</f>
        <v>0</v>
      </c>
      <c r="D78" s="212">
        <f t="shared" si="112"/>
        <v>0</v>
      </c>
      <c r="E78" s="212">
        <f t="shared" si="112"/>
        <v>0</v>
      </c>
      <c r="F78" s="212">
        <f t="shared" si="112"/>
        <v>0</v>
      </c>
      <c r="G78" s="212">
        <f t="shared" si="112"/>
        <v>70.574959255847418</v>
      </c>
      <c r="H78" s="212">
        <f t="shared" si="112"/>
        <v>189.91163864906628</v>
      </c>
      <c r="I78" s="212">
        <f t="shared" si="112"/>
        <v>352.61067407955659</v>
      </c>
      <c r="J78" s="212">
        <f t="shared" si="112"/>
        <v>557.09373695398494</v>
      </c>
      <c r="K78" s="212">
        <f t="shared" si="112"/>
        <v>794.4883450363468</v>
      </c>
      <c r="L78" s="212">
        <f t="shared" si="112"/>
        <v>1064.122439807926</v>
      </c>
      <c r="M78" s="212">
        <f t="shared" si="112"/>
        <v>1349.781056796229</v>
      </c>
      <c r="N78" s="212">
        <f t="shared" si="112"/>
        <v>1655.2871661316192</v>
      </c>
      <c r="O78" s="212">
        <f t="shared" si="112"/>
        <v>1973.2032047757878</v>
      </c>
      <c r="P78" s="212">
        <f t="shared" si="112"/>
        <v>2280.2902122397263</v>
      </c>
      <c r="Q78" s="212">
        <f t="shared" si="112"/>
        <v>2588.1657398939428</v>
      </c>
      <c r="R78" s="212">
        <f t="shared" si="112"/>
        <v>2940.0296154275711</v>
      </c>
      <c r="S78" s="212">
        <f t="shared" si="112"/>
        <v>3328.5501476068966</v>
      </c>
      <c r="T78" s="212">
        <f t="shared" si="112"/>
        <v>3749.3935146605072</v>
      </c>
      <c r="U78" s="212">
        <f t="shared" si="112"/>
        <v>4200.3523435821726</v>
      </c>
      <c r="V78" s="212">
        <f t="shared" si="112"/>
        <v>4674.1315542555594</v>
      </c>
      <c r="W78" s="212">
        <f t="shared" si="112"/>
        <v>5169.0860618722918</v>
      </c>
      <c r="X78" s="212">
        <f t="shared" si="112"/>
        <v>5668.8217263999177</v>
      </c>
      <c r="Y78" s="212">
        <f t="shared" si="112"/>
        <v>6175.5937711726856</v>
      </c>
      <c r="Z78" s="212">
        <f t="shared" si="112"/>
        <v>6695.7815109937783</v>
      </c>
      <c r="AA78" s="212">
        <f t="shared" si="112"/>
        <v>7222.1132053626443</v>
      </c>
      <c r="AB78" s="212">
        <f t="shared" si="112"/>
        <v>7755.3056336851496</v>
      </c>
      <c r="AC78" s="212">
        <f t="shared" si="112"/>
        <v>8285.5451515610075</v>
      </c>
      <c r="AD78" s="213">
        <f t="shared" si="112"/>
        <v>8813.9490789080992</v>
      </c>
      <c r="AE78" s="212">
        <f t="shared" si="112"/>
        <v>9335.651886986343</v>
      </c>
      <c r="AF78" s="212">
        <f t="shared" si="112"/>
        <v>9856.6125930871076</v>
      </c>
      <c r="AG78" s="212">
        <f t="shared" si="112"/>
        <v>10372.748390794004</v>
      </c>
      <c r="AH78" s="212">
        <f t="shared" si="112"/>
        <v>10887.5581682146</v>
      </c>
      <c r="AI78" s="212">
        <f t="shared" si="72"/>
        <v>11396.421213733125</v>
      </c>
      <c r="AJ78" s="212"/>
    </row>
    <row r="79" spans="1:36">
      <c r="A79" s="6" t="s">
        <v>61</v>
      </c>
      <c r="B79" s="15">
        <f t="shared" ref="B79:AG79" si="113">SUM(B69:B78)</f>
        <v>1843.4621723822067</v>
      </c>
      <c r="C79" s="15">
        <f t="shared" si="113"/>
        <v>3603.2402098619145</v>
      </c>
      <c r="D79" s="15">
        <f t="shared" si="113"/>
        <v>5332.5808934720717</v>
      </c>
      <c r="E79" s="15">
        <f t="shared" si="113"/>
        <v>7016.4760224752754</v>
      </c>
      <c r="F79" s="15">
        <f t="shared" si="113"/>
        <v>8507.3672115138324</v>
      </c>
      <c r="G79" s="15">
        <f t="shared" si="113"/>
        <v>9905.9655081888232</v>
      </c>
      <c r="H79" s="15">
        <f t="shared" si="113"/>
        <v>11264.251630957977</v>
      </c>
      <c r="I79" s="15">
        <f t="shared" si="113"/>
        <v>12661.449999001868</v>
      </c>
      <c r="J79" s="15">
        <f t="shared" si="113"/>
        <v>14134.075343583845</v>
      </c>
      <c r="K79" s="15">
        <f t="shared" si="113"/>
        <v>15630.583282750746</v>
      </c>
      <c r="L79" s="15">
        <f t="shared" si="113"/>
        <v>17144.08557738307</v>
      </c>
      <c r="M79" s="15">
        <f t="shared" si="113"/>
        <v>18640.35880909703</v>
      </c>
      <c r="N79" s="15">
        <f t="shared" si="113"/>
        <v>20136.507511267038</v>
      </c>
      <c r="O79" s="15">
        <f t="shared" si="113"/>
        <v>21586.533065056454</v>
      </c>
      <c r="P79" s="15">
        <f t="shared" si="113"/>
        <v>23070.589835955456</v>
      </c>
      <c r="Q79" s="15">
        <f t="shared" si="113"/>
        <v>24674.856876083653</v>
      </c>
      <c r="R79" s="15">
        <f t="shared" si="113"/>
        <v>26271.678718873132</v>
      </c>
      <c r="S79" s="15">
        <f t="shared" si="113"/>
        <v>27891.087770805221</v>
      </c>
      <c r="T79" s="15">
        <f t="shared" si="113"/>
        <v>29522.22192188766</v>
      </c>
      <c r="U79" s="15">
        <f t="shared" si="113"/>
        <v>31148.32309943594</v>
      </c>
      <c r="V79" s="15">
        <f t="shared" si="113"/>
        <v>32760.005473154211</v>
      </c>
      <c r="W79" s="15">
        <f t="shared" si="113"/>
        <v>34357.699986092048</v>
      </c>
      <c r="X79" s="15">
        <f t="shared" si="113"/>
        <v>35951.936194459842</v>
      </c>
      <c r="Y79" s="15">
        <f t="shared" si="113"/>
        <v>37597.196732398872</v>
      </c>
      <c r="Z79" s="15">
        <f t="shared" si="113"/>
        <v>39224.621433656823</v>
      </c>
      <c r="AA79" s="15">
        <f t="shared" si="113"/>
        <v>40836.7581081272</v>
      </c>
      <c r="AB79" s="15">
        <f t="shared" si="113"/>
        <v>42422.489266565652</v>
      </c>
      <c r="AC79" s="52">
        <f t="shared" si="113"/>
        <v>43950.018845080107</v>
      </c>
      <c r="AD79" s="214">
        <f t="shared" si="113"/>
        <v>45430.502555033963</v>
      </c>
      <c r="AE79" s="15">
        <f t="shared" si="113"/>
        <v>46849.65307445982</v>
      </c>
      <c r="AF79" s="15">
        <f t="shared" si="113"/>
        <v>48217.925603993928</v>
      </c>
      <c r="AG79" s="15">
        <f t="shared" si="113"/>
        <v>49542.259437655979</v>
      </c>
      <c r="AH79" s="15">
        <f t="shared" ref="AH79" si="114">SUM(AH69:AH78)</f>
        <v>50824.756715364121</v>
      </c>
      <c r="AI79" s="15">
        <f t="shared" ref="AI79" si="115">SUM(AI69:AI78)</f>
        <v>52064.985395281736</v>
      </c>
      <c r="AJ79" s="15"/>
    </row>
    <row r="80" spans="1:36"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52"/>
      <c r="AD80" s="214"/>
      <c r="AE80" s="15"/>
      <c r="AF80" s="15"/>
      <c r="AG80" s="15"/>
      <c r="AH80" s="15"/>
      <c r="AI80" s="15"/>
      <c r="AJ80" s="15"/>
    </row>
    <row r="81" spans="1:36">
      <c r="A81" s="6" t="s">
        <v>70</v>
      </c>
      <c r="AC81" s="36"/>
      <c r="AD81" s="215"/>
    </row>
    <row r="82" spans="1:36">
      <c r="A82" s="152" t="str">
        <f>$A$68&amp;"-"&amp;$A$55</f>
        <v>Clean Energy Connection-SoBra 700MWs</v>
      </c>
      <c r="B82" s="152">
        <f>$B$1</f>
        <v>2020</v>
      </c>
      <c r="C82" s="152">
        <f t="shared" ref="C82:AH82" si="116">B82+1</f>
        <v>2021</v>
      </c>
      <c r="D82" s="152">
        <f t="shared" si="116"/>
        <v>2022</v>
      </c>
      <c r="E82" s="152">
        <f t="shared" si="116"/>
        <v>2023</v>
      </c>
      <c r="F82" s="152">
        <f t="shared" si="116"/>
        <v>2024</v>
      </c>
      <c r="G82" s="152">
        <f t="shared" si="116"/>
        <v>2025</v>
      </c>
      <c r="H82" s="152">
        <f t="shared" si="116"/>
        <v>2026</v>
      </c>
      <c r="I82" s="152">
        <f t="shared" si="116"/>
        <v>2027</v>
      </c>
      <c r="J82" s="152">
        <f t="shared" si="116"/>
        <v>2028</v>
      </c>
      <c r="K82" s="152">
        <f t="shared" si="116"/>
        <v>2029</v>
      </c>
      <c r="L82" s="152">
        <f t="shared" si="116"/>
        <v>2030</v>
      </c>
      <c r="M82" s="152">
        <f t="shared" si="116"/>
        <v>2031</v>
      </c>
      <c r="N82" s="152">
        <f t="shared" si="116"/>
        <v>2032</v>
      </c>
      <c r="O82" s="152">
        <f t="shared" si="116"/>
        <v>2033</v>
      </c>
      <c r="P82" s="152">
        <f t="shared" si="116"/>
        <v>2034</v>
      </c>
      <c r="Q82" s="152">
        <f t="shared" si="116"/>
        <v>2035</v>
      </c>
      <c r="R82" s="152">
        <f t="shared" si="116"/>
        <v>2036</v>
      </c>
      <c r="S82" s="152">
        <f t="shared" si="116"/>
        <v>2037</v>
      </c>
      <c r="T82" s="152">
        <f t="shared" si="116"/>
        <v>2038</v>
      </c>
      <c r="U82" s="152">
        <f t="shared" si="116"/>
        <v>2039</v>
      </c>
      <c r="V82" s="152">
        <f t="shared" si="116"/>
        <v>2040</v>
      </c>
      <c r="W82" s="152">
        <f t="shared" si="116"/>
        <v>2041</v>
      </c>
      <c r="X82" s="152">
        <f t="shared" si="116"/>
        <v>2042</v>
      </c>
      <c r="Y82" s="152">
        <f t="shared" si="116"/>
        <v>2043</v>
      </c>
      <c r="Z82" s="152">
        <f t="shared" si="116"/>
        <v>2044</v>
      </c>
      <c r="AA82" s="152">
        <f t="shared" si="116"/>
        <v>2045</v>
      </c>
      <c r="AB82" s="152">
        <f t="shared" si="116"/>
        <v>2046</v>
      </c>
      <c r="AC82" s="209">
        <f t="shared" si="116"/>
        <v>2047</v>
      </c>
      <c r="AD82" s="210">
        <f t="shared" si="116"/>
        <v>2048</v>
      </c>
      <c r="AE82" s="152">
        <f t="shared" si="116"/>
        <v>2049</v>
      </c>
      <c r="AF82" s="152">
        <f t="shared" si="116"/>
        <v>2050</v>
      </c>
      <c r="AG82" s="152">
        <f t="shared" si="116"/>
        <v>2051</v>
      </c>
      <c r="AH82" s="152">
        <f t="shared" si="116"/>
        <v>2052</v>
      </c>
      <c r="AI82" s="152">
        <f t="shared" ref="AI82" si="117">AH82+1</f>
        <v>2053</v>
      </c>
      <c r="AJ82" s="152"/>
    </row>
    <row r="83" spans="1:36">
      <c r="A83" s="6" t="s">
        <v>134</v>
      </c>
      <c r="B83" s="119">
        <f t="shared" ref="B83:B92" si="118">B15-B2</f>
        <v>0</v>
      </c>
      <c r="C83" s="119">
        <f t="shared" ref="C83:AG83" si="119">C15-C2</f>
        <v>0</v>
      </c>
      <c r="D83" s="119">
        <f t="shared" si="119"/>
        <v>0</v>
      </c>
      <c r="E83" s="119">
        <f t="shared" si="119"/>
        <v>0</v>
      </c>
      <c r="F83" s="119">
        <f t="shared" si="119"/>
        <v>0</v>
      </c>
      <c r="G83" s="119">
        <f t="shared" si="119"/>
        <v>0</v>
      </c>
      <c r="H83" s="119">
        <f t="shared" si="119"/>
        <v>0</v>
      </c>
      <c r="I83" s="119">
        <f t="shared" si="119"/>
        <v>0</v>
      </c>
      <c r="J83" s="119">
        <f t="shared" si="119"/>
        <v>0</v>
      </c>
      <c r="K83" s="119">
        <f t="shared" si="119"/>
        <v>0</v>
      </c>
      <c r="L83" s="119">
        <f t="shared" si="119"/>
        <v>0</v>
      </c>
      <c r="M83" s="119">
        <f t="shared" si="119"/>
        <v>0</v>
      </c>
      <c r="N83" s="119">
        <f t="shared" si="119"/>
        <v>0</v>
      </c>
      <c r="O83" s="119">
        <f t="shared" si="119"/>
        <v>0</v>
      </c>
      <c r="P83" s="119">
        <f t="shared" si="119"/>
        <v>0</v>
      </c>
      <c r="Q83" s="119">
        <f t="shared" si="119"/>
        <v>0</v>
      </c>
      <c r="R83" s="119">
        <f t="shared" si="119"/>
        <v>0</v>
      </c>
      <c r="S83" s="119">
        <f t="shared" si="119"/>
        <v>0</v>
      </c>
      <c r="T83" s="119">
        <f t="shared" si="119"/>
        <v>0</v>
      </c>
      <c r="U83" s="119">
        <f t="shared" si="119"/>
        <v>0</v>
      </c>
      <c r="V83" s="119">
        <f t="shared" si="119"/>
        <v>0</v>
      </c>
      <c r="W83" s="119">
        <f t="shared" si="119"/>
        <v>0</v>
      </c>
      <c r="X83" s="119">
        <f t="shared" si="119"/>
        <v>0</v>
      </c>
      <c r="Y83" s="119">
        <f t="shared" si="119"/>
        <v>0</v>
      </c>
      <c r="Z83" s="119">
        <f t="shared" si="119"/>
        <v>0</v>
      </c>
      <c r="AA83" s="119">
        <f t="shared" si="119"/>
        <v>0</v>
      </c>
      <c r="AB83" s="119">
        <f t="shared" si="119"/>
        <v>0</v>
      </c>
      <c r="AC83" s="119">
        <f t="shared" si="119"/>
        <v>0</v>
      </c>
      <c r="AD83" s="211">
        <f t="shared" si="119"/>
        <v>0</v>
      </c>
      <c r="AE83" s="119">
        <f t="shared" si="119"/>
        <v>0</v>
      </c>
      <c r="AF83" s="119">
        <f t="shared" si="119"/>
        <v>0</v>
      </c>
      <c r="AG83" s="119">
        <f t="shared" si="119"/>
        <v>0</v>
      </c>
      <c r="AH83" s="119">
        <f t="shared" ref="AH83:AH91" si="120">AH15-AH2</f>
        <v>0</v>
      </c>
      <c r="AI83" s="119">
        <f t="shared" ref="AI83" si="121">AI15-AI2</f>
        <v>0</v>
      </c>
      <c r="AJ83" s="119"/>
    </row>
    <row r="84" spans="1:36">
      <c r="A84" s="6" t="s">
        <v>135</v>
      </c>
      <c r="B84" s="119">
        <f t="shared" si="118"/>
        <v>0</v>
      </c>
      <c r="C84" s="119">
        <f t="shared" ref="C84:AG84" si="122">C16-C3</f>
        <v>0</v>
      </c>
      <c r="D84" s="119">
        <f t="shared" si="122"/>
        <v>30.858064131033437</v>
      </c>
      <c r="E84" s="119">
        <f t="shared" si="122"/>
        <v>87.07123900568844</v>
      </c>
      <c r="F84" s="119">
        <f t="shared" si="122"/>
        <v>138.32148483336081</v>
      </c>
      <c r="G84" s="119">
        <f t="shared" si="122"/>
        <v>131.34102763355375</v>
      </c>
      <c r="H84" s="119">
        <f t="shared" si="122"/>
        <v>125.32829334309196</v>
      </c>
      <c r="I84" s="119">
        <f t="shared" si="122"/>
        <v>112.37313136938053</v>
      </c>
      <c r="J84" s="119">
        <f t="shared" si="122"/>
        <v>108.5565089486837</v>
      </c>
      <c r="K84" s="119">
        <f t="shared" si="122"/>
        <v>105.48973259473424</v>
      </c>
      <c r="L84" s="119">
        <f t="shared" si="122"/>
        <v>102.87656792502673</v>
      </c>
      <c r="M84" s="119">
        <f t="shared" si="122"/>
        <v>100.51289638557827</v>
      </c>
      <c r="N84" s="119">
        <f t="shared" si="122"/>
        <v>98.179378177042935</v>
      </c>
      <c r="O84" s="119">
        <f t="shared" si="122"/>
        <v>95.847943420614058</v>
      </c>
      <c r="P84" s="119">
        <f t="shared" si="122"/>
        <v>93.474328160646081</v>
      </c>
      <c r="Q84" s="119">
        <f t="shared" si="122"/>
        <v>91.186331074785173</v>
      </c>
      <c r="R84" s="119">
        <f t="shared" si="122"/>
        <v>88.936995255073953</v>
      </c>
      <c r="S84" s="119">
        <f t="shared" si="122"/>
        <v>86.647567246409736</v>
      </c>
      <c r="T84" s="119">
        <f t="shared" si="122"/>
        <v>90.572619755463975</v>
      </c>
      <c r="U84" s="119">
        <f t="shared" si="122"/>
        <v>87.77172842682694</v>
      </c>
      <c r="V84" s="119">
        <f t="shared" si="122"/>
        <v>84.961956356760751</v>
      </c>
      <c r="W84" s="119">
        <f t="shared" si="122"/>
        <v>82.175389106315691</v>
      </c>
      <c r="X84" s="119">
        <f t="shared" si="122"/>
        <v>79.628352339490078</v>
      </c>
      <c r="Y84" s="119">
        <f t="shared" si="122"/>
        <v>77.276014548631224</v>
      </c>
      <c r="Z84" s="119">
        <f t="shared" si="122"/>
        <v>75.020683560031301</v>
      </c>
      <c r="AA84" s="119">
        <f t="shared" si="122"/>
        <v>72.691083602545405</v>
      </c>
      <c r="AB84" s="119">
        <f t="shared" si="122"/>
        <v>70.559218554413519</v>
      </c>
      <c r="AC84" s="119">
        <f t="shared" si="122"/>
        <v>68.396619754674475</v>
      </c>
      <c r="AD84" s="211">
        <f t="shared" si="122"/>
        <v>66.331776922346066</v>
      </c>
      <c r="AE84" s="119">
        <f t="shared" si="122"/>
        <v>64.19727863392194</v>
      </c>
      <c r="AF84" s="119">
        <f t="shared" si="122"/>
        <v>62.201468047298263</v>
      </c>
      <c r="AG84" s="119">
        <f t="shared" si="122"/>
        <v>63.884043803646705</v>
      </c>
      <c r="AH84" s="119">
        <f t="shared" si="120"/>
        <v>54.391358551299618</v>
      </c>
      <c r="AI84" s="119">
        <f t="shared" ref="AI84" si="123">AI16-AI3</f>
        <v>31.274000020948147</v>
      </c>
      <c r="AJ84" s="119"/>
    </row>
    <row r="85" spans="1:36">
      <c r="A85" s="6" t="s">
        <v>60</v>
      </c>
      <c r="B85" s="119">
        <f t="shared" si="118"/>
        <v>0</v>
      </c>
      <c r="C85" s="119">
        <f t="shared" ref="C85:AG85" si="124">C17-C4</f>
        <v>0</v>
      </c>
      <c r="D85" s="119">
        <f t="shared" si="124"/>
        <v>0</v>
      </c>
      <c r="E85" s="119">
        <f t="shared" si="124"/>
        <v>0</v>
      </c>
      <c r="F85" s="119">
        <f t="shared" si="124"/>
        <v>0</v>
      </c>
      <c r="G85" s="119">
        <f t="shared" si="124"/>
        <v>0</v>
      </c>
      <c r="H85" s="119">
        <f t="shared" si="124"/>
        <v>0</v>
      </c>
      <c r="I85" s="119">
        <f t="shared" si="124"/>
        <v>-10.717088725236454</v>
      </c>
      <c r="J85" s="119">
        <f t="shared" si="124"/>
        <v>-28.823728181555392</v>
      </c>
      <c r="K85" s="119">
        <f t="shared" si="124"/>
        <v>-24.60565620192726</v>
      </c>
      <c r="L85" s="119">
        <f t="shared" si="124"/>
        <v>-27.253637617802788</v>
      </c>
      <c r="M85" s="119">
        <f t="shared" si="124"/>
        <v>-23.02029881135261</v>
      </c>
      <c r="N85" s="119">
        <f t="shared" si="124"/>
        <v>-25.834048984290732</v>
      </c>
      <c r="O85" s="119">
        <f t="shared" si="124"/>
        <v>-21.564427185999726</v>
      </c>
      <c r="P85" s="119">
        <f t="shared" si="124"/>
        <v>-27.746619659121023</v>
      </c>
      <c r="Q85" s="119">
        <f t="shared" si="124"/>
        <v>-37.530712998664058</v>
      </c>
      <c r="R85" s="119">
        <f t="shared" si="124"/>
        <v>-22.605420669398427</v>
      </c>
      <c r="S85" s="119">
        <f t="shared" si="124"/>
        <v>-12.169469296423586</v>
      </c>
      <c r="T85" s="119">
        <f t="shared" si="124"/>
        <v>-25.925327840755131</v>
      </c>
      <c r="U85" s="119">
        <f t="shared" si="124"/>
        <v>-35.077248597824905</v>
      </c>
      <c r="V85" s="119">
        <f t="shared" si="124"/>
        <v>-33.925412611250977</v>
      </c>
      <c r="W85" s="119">
        <f t="shared" si="124"/>
        <v>-32.789417284612114</v>
      </c>
      <c r="X85" s="119">
        <f t="shared" si="124"/>
        <v>-31.706987896875262</v>
      </c>
      <c r="Y85" s="119">
        <f t="shared" si="124"/>
        <v>-30.766241063007101</v>
      </c>
      <c r="Z85" s="119">
        <f t="shared" si="124"/>
        <v>-29.925209224712944</v>
      </c>
      <c r="AA85" s="119">
        <f t="shared" si="124"/>
        <v>-29.092902326120793</v>
      </c>
      <c r="AB85" s="119">
        <f t="shared" si="124"/>
        <v>-12.473613581555583</v>
      </c>
      <c r="AC85" s="119">
        <f t="shared" si="124"/>
        <v>-0.97800683653440501</v>
      </c>
      <c r="AD85" s="211">
        <f t="shared" si="124"/>
        <v>-0.97311125762553274</v>
      </c>
      <c r="AE85" s="119">
        <f t="shared" si="124"/>
        <v>-0.94998982090919526</v>
      </c>
      <c r="AF85" s="119">
        <f t="shared" si="124"/>
        <v>-0.95731738372535347</v>
      </c>
      <c r="AG85" s="119">
        <f t="shared" si="124"/>
        <v>-0.93705537965865915</v>
      </c>
      <c r="AH85" s="119">
        <f t="shared" si="120"/>
        <v>-0.79330288214714528</v>
      </c>
      <c r="AI85" s="119">
        <f t="shared" ref="AI85" si="125">AI17-AI4</f>
        <v>-0.64222026114771325</v>
      </c>
      <c r="AJ85" s="119"/>
    </row>
    <row r="86" spans="1:36">
      <c r="A86" s="6" t="s">
        <v>68</v>
      </c>
      <c r="B86" s="119">
        <f t="shared" si="118"/>
        <v>0</v>
      </c>
      <c r="C86" s="119">
        <f t="shared" ref="C86:AG86" si="126">C18-C5</f>
        <v>0</v>
      </c>
      <c r="D86" s="119">
        <f t="shared" si="126"/>
        <v>0</v>
      </c>
      <c r="E86" s="119">
        <f t="shared" si="126"/>
        <v>0</v>
      </c>
      <c r="F86" s="119">
        <f t="shared" si="126"/>
        <v>0</v>
      </c>
      <c r="G86" s="119">
        <f t="shared" si="126"/>
        <v>0</v>
      </c>
      <c r="H86" s="119">
        <f t="shared" si="126"/>
        <v>0</v>
      </c>
      <c r="I86" s="119">
        <f t="shared" si="126"/>
        <v>-0.25713000000000363</v>
      </c>
      <c r="J86" s="119">
        <f t="shared" si="126"/>
        <v>-0.71538000000000324</v>
      </c>
      <c r="K86" s="119">
        <f t="shared" si="126"/>
        <v>-0.6560900000000025</v>
      </c>
      <c r="L86" s="119">
        <f t="shared" si="126"/>
        <v>-0.75160999999999234</v>
      </c>
      <c r="M86" s="119">
        <f t="shared" si="126"/>
        <v>-0.68928999999999618</v>
      </c>
      <c r="N86" s="119">
        <f t="shared" si="126"/>
        <v>-0.78964999999999819</v>
      </c>
      <c r="O86" s="119">
        <f t="shared" si="126"/>
        <v>-0.72418000000000049</v>
      </c>
      <c r="P86" s="119">
        <f t="shared" si="126"/>
        <v>-1.5089199999999963</v>
      </c>
      <c r="Q86" s="119">
        <f t="shared" si="126"/>
        <v>-2.2677599999999956</v>
      </c>
      <c r="R86" s="119">
        <f t="shared" si="126"/>
        <v>-1.64649</v>
      </c>
      <c r="S86" s="119">
        <f t="shared" si="126"/>
        <v>-1.1912800000000061</v>
      </c>
      <c r="T86" s="119">
        <f t="shared" si="126"/>
        <v>-1.9333500000000043</v>
      </c>
      <c r="U86" s="119">
        <f t="shared" si="126"/>
        <v>-2.5031800000000075</v>
      </c>
      <c r="V86" s="119">
        <f t="shared" si="126"/>
        <v>-2.5657600000000045</v>
      </c>
      <c r="W86" s="119">
        <f t="shared" si="126"/>
        <v>-2.6298999999999992</v>
      </c>
      <c r="X86" s="119">
        <f t="shared" si="126"/>
        <v>-2.6956600000000108</v>
      </c>
      <c r="Y86" s="119">
        <f t="shared" si="126"/>
        <v>-2.7630400000000108</v>
      </c>
      <c r="Z86" s="119">
        <f t="shared" si="126"/>
        <v>-2.8321199999999962</v>
      </c>
      <c r="AA86" s="119">
        <f t="shared" si="126"/>
        <v>-2.9029200000000088</v>
      </c>
      <c r="AB86" s="119">
        <f t="shared" si="126"/>
        <v>-2.1076500000000067</v>
      </c>
      <c r="AC86" s="119">
        <f t="shared" si="126"/>
        <v>-1.5249399999999866</v>
      </c>
      <c r="AD86" s="211">
        <f t="shared" si="126"/>
        <v>-1.5630600000000072</v>
      </c>
      <c r="AE86" s="119">
        <f t="shared" si="126"/>
        <v>-1.6021400000000057</v>
      </c>
      <c r="AF86" s="119">
        <f t="shared" si="126"/>
        <v>-1.6422000000000168</v>
      </c>
      <c r="AG86" s="119">
        <f t="shared" si="126"/>
        <v>-1.683250000000001</v>
      </c>
      <c r="AH86" s="119">
        <f t="shared" si="120"/>
        <v>-1.7253299999999925</v>
      </c>
      <c r="AI86" s="119">
        <f t="shared" ref="AI86" si="127">AI18-AI5</f>
        <v>-1.7684599999999975</v>
      </c>
      <c r="AJ86" s="119"/>
    </row>
    <row r="87" spans="1:36">
      <c r="A87" s="6" t="s">
        <v>67</v>
      </c>
      <c r="B87" s="119">
        <f t="shared" si="118"/>
        <v>0</v>
      </c>
      <c r="C87" s="119">
        <f t="shared" ref="C87:AG87" si="128">C19-C6</f>
        <v>0</v>
      </c>
      <c r="D87" s="119">
        <f t="shared" si="128"/>
        <v>0</v>
      </c>
      <c r="E87" s="119">
        <f t="shared" si="128"/>
        <v>0</v>
      </c>
      <c r="F87" s="119">
        <f t="shared" si="128"/>
        <v>0</v>
      </c>
      <c r="G87" s="119">
        <f t="shared" si="128"/>
        <v>0</v>
      </c>
      <c r="H87" s="119">
        <f t="shared" si="128"/>
        <v>0</v>
      </c>
      <c r="I87" s="119">
        <f t="shared" si="128"/>
        <v>0</v>
      </c>
      <c r="J87" s="119">
        <f t="shared" si="128"/>
        <v>0</v>
      </c>
      <c r="K87" s="119">
        <f t="shared" si="128"/>
        <v>0</v>
      </c>
      <c r="L87" s="119">
        <f t="shared" si="128"/>
        <v>0</v>
      </c>
      <c r="M87" s="119">
        <f t="shared" si="128"/>
        <v>0</v>
      </c>
      <c r="N87" s="119">
        <f t="shared" si="128"/>
        <v>0</v>
      </c>
      <c r="O87" s="119">
        <f t="shared" si="128"/>
        <v>0</v>
      </c>
      <c r="P87" s="119">
        <f t="shared" si="128"/>
        <v>-25.800389999999936</v>
      </c>
      <c r="Q87" s="119">
        <f t="shared" si="128"/>
        <v>-44.229260000000068</v>
      </c>
      <c r="R87" s="119">
        <f t="shared" si="128"/>
        <v>-30.67599000000007</v>
      </c>
      <c r="S87" s="119">
        <f t="shared" si="128"/>
        <v>-20.995080000000144</v>
      </c>
      <c r="T87" s="119">
        <f t="shared" si="128"/>
        <v>-35.234469999999988</v>
      </c>
      <c r="U87" s="119">
        <f t="shared" si="128"/>
        <v>-45.405480000000011</v>
      </c>
      <c r="V87" s="119">
        <f t="shared" si="128"/>
        <v>-45.405500000000075</v>
      </c>
      <c r="W87" s="119">
        <f t="shared" si="128"/>
        <v>-45.405449999999973</v>
      </c>
      <c r="X87" s="119">
        <f t="shared" si="128"/>
        <v>-45.405450000000087</v>
      </c>
      <c r="Y87" s="119">
        <f t="shared" si="128"/>
        <v>-45.405449999999973</v>
      </c>
      <c r="Z87" s="119">
        <f t="shared" si="128"/>
        <v>-45.405500000000075</v>
      </c>
      <c r="AA87" s="119">
        <f t="shared" si="128"/>
        <v>-45.405499999999961</v>
      </c>
      <c r="AB87" s="119">
        <f t="shared" si="128"/>
        <v>-28.056119999999964</v>
      </c>
      <c r="AC87" s="119">
        <f t="shared" si="128"/>
        <v>-15.66377</v>
      </c>
      <c r="AD87" s="211">
        <f t="shared" si="128"/>
        <v>-15.66377</v>
      </c>
      <c r="AE87" s="119">
        <f t="shared" si="128"/>
        <v>-15.66377</v>
      </c>
      <c r="AF87" s="119">
        <f t="shared" si="128"/>
        <v>-15.66377</v>
      </c>
      <c r="AG87" s="119">
        <f t="shared" si="128"/>
        <v>-15.66377</v>
      </c>
      <c r="AH87" s="119">
        <f t="shared" si="120"/>
        <v>-15.66377</v>
      </c>
      <c r="AI87" s="119">
        <f t="shared" ref="AI87:AI88" si="129">AI19-AI6</f>
        <v>-15.66377</v>
      </c>
      <c r="AJ87" s="119"/>
    </row>
    <row r="88" spans="1:36">
      <c r="A88" s="6" t="s">
        <v>383</v>
      </c>
      <c r="B88" s="119">
        <f t="shared" si="118"/>
        <v>0</v>
      </c>
      <c r="C88" s="119">
        <f t="shared" ref="C88:AG88" si="130">C20-C7</f>
        <v>1.0200790961866668</v>
      </c>
      <c r="D88" s="119">
        <f t="shared" si="130"/>
        <v>0.6275365374466666</v>
      </c>
      <c r="E88" s="119">
        <f t="shared" si="130"/>
        <v>0.68307619099066674</v>
      </c>
      <c r="F88" s="119">
        <f t="shared" si="130"/>
        <v>0.67471288001039997</v>
      </c>
      <c r="G88" s="119">
        <f t="shared" si="130"/>
        <v>0.65619743327906666</v>
      </c>
      <c r="H88" s="119">
        <f t="shared" si="130"/>
        <v>0.51050195073344673</v>
      </c>
      <c r="I88" s="119">
        <f t="shared" si="130"/>
        <v>0.56509226722358352</v>
      </c>
      <c r="J88" s="119">
        <f t="shared" si="130"/>
        <v>0.52413609409135764</v>
      </c>
      <c r="K88" s="119">
        <f t="shared" si="130"/>
        <v>0.54544233186889834</v>
      </c>
      <c r="L88" s="119">
        <f t="shared" si="130"/>
        <v>0.58902085979309859</v>
      </c>
      <c r="M88" s="119">
        <f t="shared" si="130"/>
        <v>0.37240217849023277</v>
      </c>
      <c r="N88" s="119">
        <f t="shared" si="130"/>
        <v>0.3688563987997398</v>
      </c>
      <c r="O88" s="119">
        <f t="shared" si="130"/>
        <v>0.42743734873186529</v>
      </c>
      <c r="P88" s="119">
        <f t="shared" si="130"/>
        <v>0.38235152804488787</v>
      </c>
      <c r="Q88" s="119">
        <f t="shared" si="130"/>
        <v>0.3994042288410346</v>
      </c>
      <c r="R88" s="119">
        <f t="shared" si="130"/>
        <v>0.43860161367439893</v>
      </c>
      <c r="S88" s="119">
        <f t="shared" si="130"/>
        <v>0.4141507209356976</v>
      </c>
      <c r="T88" s="119">
        <f t="shared" si="130"/>
        <v>0.41185739751856848</v>
      </c>
      <c r="U88" s="119">
        <f t="shared" si="130"/>
        <v>0.47172837741225887</v>
      </c>
      <c r="V88" s="119">
        <f t="shared" si="130"/>
        <v>0.42797128758569336</v>
      </c>
      <c r="W88" s="119">
        <f t="shared" si="130"/>
        <v>0.44639258116806418</v>
      </c>
      <c r="X88" s="119">
        <f t="shared" si="130"/>
        <v>0.48699961657123941</v>
      </c>
      <c r="Y88" s="119">
        <f t="shared" si="130"/>
        <v>0.46400066391944333</v>
      </c>
      <c r="Z88" s="119">
        <f t="shared" si="130"/>
        <v>0.46320283879182667</v>
      </c>
      <c r="AA88" s="119">
        <f t="shared" si="130"/>
        <v>0.52461418192371467</v>
      </c>
      <c r="AB88" s="119">
        <f t="shared" si="130"/>
        <v>0.44572711472582627</v>
      </c>
      <c r="AC88" s="119">
        <f t="shared" si="130"/>
        <v>0.48078257966760096</v>
      </c>
      <c r="AD88" s="211">
        <f t="shared" si="130"/>
        <v>0.4661397085576291</v>
      </c>
      <c r="AE88" s="119">
        <f t="shared" si="130"/>
        <v>0.49780755131435794</v>
      </c>
      <c r="AF88" s="119">
        <f t="shared" si="130"/>
        <v>0.48779542935378872</v>
      </c>
      <c r="AG88" s="119">
        <f t="shared" si="130"/>
        <v>0.52411294373440231</v>
      </c>
      <c r="AH88" s="119">
        <f t="shared" si="120"/>
        <v>0.49316099354643445</v>
      </c>
      <c r="AI88" s="119">
        <f t="shared" si="129"/>
        <v>0.49494976455282746</v>
      </c>
      <c r="AJ88" s="119"/>
    </row>
    <row r="89" spans="1:36">
      <c r="A89" s="6" t="s">
        <v>65</v>
      </c>
      <c r="B89" s="119">
        <f t="shared" si="118"/>
        <v>0</v>
      </c>
      <c r="C89" s="119">
        <f t="shared" ref="C89:AG89" si="131">C21-C8</f>
        <v>0</v>
      </c>
      <c r="D89" s="119">
        <f t="shared" si="131"/>
        <v>-8.3193900000004533</v>
      </c>
      <c r="E89" s="119">
        <f t="shared" si="131"/>
        <v>-24.187049999999886</v>
      </c>
      <c r="F89" s="119">
        <f t="shared" si="131"/>
        <v>-48.387809999999945</v>
      </c>
      <c r="G89" s="119">
        <f t="shared" si="131"/>
        <v>-48.68503999999939</v>
      </c>
      <c r="H89" s="119">
        <f t="shared" si="131"/>
        <v>-51.746209999999905</v>
      </c>
      <c r="I89" s="119">
        <f t="shared" si="131"/>
        <v>-56.972230000000081</v>
      </c>
      <c r="J89" s="119">
        <f t="shared" si="131"/>
        <v>-57.119189999999435</v>
      </c>
      <c r="K89" s="119">
        <f t="shared" si="131"/>
        <v>-67.11600999999996</v>
      </c>
      <c r="L89" s="119">
        <f t="shared" si="131"/>
        <v>-62.445690000000468</v>
      </c>
      <c r="M89" s="119">
        <f t="shared" si="131"/>
        <v>-73.264920000000302</v>
      </c>
      <c r="N89" s="119">
        <f t="shared" si="131"/>
        <v>-71.576779999999189</v>
      </c>
      <c r="O89" s="119">
        <f t="shared" si="131"/>
        <v>-73.565150000000131</v>
      </c>
      <c r="P89" s="119">
        <f t="shared" si="131"/>
        <v>-79.317350000000033</v>
      </c>
      <c r="Q89" s="119">
        <f t="shared" si="131"/>
        <v>-77.598359999999957</v>
      </c>
      <c r="R89" s="119">
        <f t="shared" si="131"/>
        <v>-78.910520000000815</v>
      </c>
      <c r="S89" s="119">
        <f t="shared" si="131"/>
        <v>-87.947209999999359</v>
      </c>
      <c r="T89" s="119">
        <f t="shared" si="131"/>
        <v>-89.928879999999936</v>
      </c>
      <c r="U89" s="119">
        <f t="shared" si="131"/>
        <v>-95.076900000000478</v>
      </c>
      <c r="V89" s="119">
        <f t="shared" si="131"/>
        <v>-99.306570000001557</v>
      </c>
      <c r="W89" s="119">
        <f t="shared" si="131"/>
        <v>-101.98579999999993</v>
      </c>
      <c r="X89" s="119">
        <f t="shared" si="131"/>
        <v>-100.44582999999966</v>
      </c>
      <c r="Y89" s="119">
        <f t="shared" si="131"/>
        <v>-105.54767999999922</v>
      </c>
      <c r="Z89" s="119">
        <f t="shared" si="131"/>
        <v>-104.34079999999994</v>
      </c>
      <c r="AA89" s="119">
        <f t="shared" si="131"/>
        <v>-111.41819000000123</v>
      </c>
      <c r="AB89" s="119">
        <f t="shared" si="131"/>
        <v>-112.6859199999999</v>
      </c>
      <c r="AC89" s="119">
        <f t="shared" si="131"/>
        <v>-111.18496999999888</v>
      </c>
      <c r="AD89" s="211">
        <f t="shared" si="131"/>
        <v>-122.39643000000069</v>
      </c>
      <c r="AE89" s="119">
        <f t="shared" si="131"/>
        <v>-115.34489000000121</v>
      </c>
      <c r="AF89" s="119">
        <f t="shared" si="131"/>
        <v>-118.62908000000107</v>
      </c>
      <c r="AG89" s="119">
        <f t="shared" si="131"/>
        <v>-128.11868000000004</v>
      </c>
      <c r="AH89" s="119">
        <f t="shared" si="120"/>
        <v>-108.30690999999933</v>
      </c>
      <c r="AI89" s="119">
        <f t="shared" ref="AI89" si="132">AI21-AI8</f>
        <v>-56.079070000000684</v>
      </c>
      <c r="AJ89" s="119"/>
    </row>
    <row r="90" spans="1:36">
      <c r="A90" s="6" t="s">
        <v>52</v>
      </c>
      <c r="B90" s="119">
        <f t="shared" si="118"/>
        <v>0</v>
      </c>
      <c r="C90" s="119">
        <f t="shared" ref="C90:AG90" si="133">C22-C9</f>
        <v>0</v>
      </c>
      <c r="D90" s="119">
        <f t="shared" si="133"/>
        <v>-1.3973000000000013</v>
      </c>
      <c r="E90" s="119">
        <f t="shared" si="133"/>
        <v>-3.8444999999999681</v>
      </c>
      <c r="F90" s="119">
        <f t="shared" si="133"/>
        <v>-5.3463700000000216</v>
      </c>
      <c r="G90" s="119">
        <f t="shared" si="133"/>
        <v>-4.4349699999999928</v>
      </c>
      <c r="H90" s="119">
        <f t="shared" si="133"/>
        <v>-4.6266000000000247</v>
      </c>
      <c r="I90" s="119">
        <f t="shared" si="133"/>
        <v>-5.1006399999999701</v>
      </c>
      <c r="J90" s="119">
        <f t="shared" si="133"/>
        <v>-6.0829699999999889</v>
      </c>
      <c r="K90" s="119">
        <f t="shared" si="133"/>
        <v>-5.2479299999999967</v>
      </c>
      <c r="L90" s="119">
        <f t="shared" si="133"/>
        <v>-5.7622299999999598</v>
      </c>
      <c r="M90" s="119">
        <f t="shared" si="133"/>
        <v>-6.6925699999999892</v>
      </c>
      <c r="N90" s="119">
        <f t="shared" si="133"/>
        <v>-6.3761499999999387</v>
      </c>
      <c r="O90" s="119">
        <f t="shared" si="133"/>
        <v>-5.7593099999999708</v>
      </c>
      <c r="P90" s="119">
        <f t="shared" si="133"/>
        <v>-6.8577499999999532</v>
      </c>
      <c r="Q90" s="119">
        <f t="shared" si="133"/>
        <v>-7.0701299999999492</v>
      </c>
      <c r="R90" s="119">
        <f t="shared" si="133"/>
        <v>-5.1030099999999265</v>
      </c>
      <c r="S90" s="119">
        <f t="shared" si="133"/>
        <v>-2.3746299999999678</v>
      </c>
      <c r="T90" s="119">
        <f t="shared" si="133"/>
        <v>-6.8441000000000258</v>
      </c>
      <c r="U90" s="119">
        <f t="shared" si="133"/>
        <v>-6.76854000000003</v>
      </c>
      <c r="V90" s="119">
        <f t="shared" si="133"/>
        <v>-6.5189099999999485</v>
      </c>
      <c r="W90" s="119">
        <f t="shared" si="133"/>
        <v>-6.6963499999999954</v>
      </c>
      <c r="X90" s="119">
        <f t="shared" si="133"/>
        <v>-7.1392599999999788</v>
      </c>
      <c r="Y90" s="119">
        <f t="shared" si="133"/>
        <v>-7.8829800000000887</v>
      </c>
      <c r="Z90" s="119">
        <f t="shared" si="133"/>
        <v>-5.720610000000022</v>
      </c>
      <c r="AA90" s="119">
        <f t="shared" si="133"/>
        <v>-7.9852899999998499</v>
      </c>
      <c r="AB90" s="119">
        <f t="shared" si="133"/>
        <v>-8.1804900000000771</v>
      </c>
      <c r="AC90" s="119">
        <f t="shared" si="133"/>
        <v>-4.3173499999999194</v>
      </c>
      <c r="AD90" s="211">
        <f t="shared" si="133"/>
        <v>-7.7922400000001062</v>
      </c>
      <c r="AE90" s="119">
        <f t="shared" si="133"/>
        <v>-7.4022500000000946</v>
      </c>
      <c r="AF90" s="119">
        <f t="shared" si="133"/>
        <v>-7.495230000000106</v>
      </c>
      <c r="AG90" s="119">
        <f t="shared" si="133"/>
        <v>5.9693399999999883</v>
      </c>
      <c r="AH90" s="119">
        <f t="shared" si="120"/>
        <v>-6.1734299999998257</v>
      </c>
      <c r="AI90" s="119">
        <f t="shared" ref="AI90" si="134">AI22-AI9</f>
        <v>-5.0114400000001069</v>
      </c>
      <c r="AJ90" s="119"/>
    </row>
    <row r="91" spans="1:36">
      <c r="A91" s="36" t="s">
        <v>66</v>
      </c>
      <c r="B91" s="119">
        <f t="shared" si="118"/>
        <v>0</v>
      </c>
      <c r="C91" s="119">
        <f t="shared" ref="C91:AG91" si="135">C23-C10</f>
        <v>0</v>
      </c>
      <c r="D91" s="119">
        <f t="shared" si="135"/>
        <v>-6.9003699999999668E-2</v>
      </c>
      <c r="E91" s="119">
        <f t="shared" si="135"/>
        <v>-0.11397239999999886</v>
      </c>
      <c r="F91" s="119">
        <f t="shared" si="135"/>
        <v>-0.290931099999999</v>
      </c>
      <c r="G91" s="119">
        <f t="shared" si="135"/>
        <v>-0.34147619999999979</v>
      </c>
      <c r="H91" s="119">
        <f t="shared" si="135"/>
        <v>-0.28036870000000125</v>
      </c>
      <c r="I91" s="119">
        <f t="shared" si="135"/>
        <v>-0.1740693000000002</v>
      </c>
      <c r="J91" s="119">
        <f t="shared" si="135"/>
        <v>-7.1848899999999105E-2</v>
      </c>
      <c r="K91" s="119">
        <f t="shared" si="135"/>
        <v>-0.37999040000000228</v>
      </c>
      <c r="L91" s="119">
        <f t="shared" si="135"/>
        <v>7.6208199999998172E-2</v>
      </c>
      <c r="M91" s="119">
        <f t="shared" si="135"/>
        <v>3.0768199999998913E-2</v>
      </c>
      <c r="N91" s="119">
        <f t="shared" si="135"/>
        <v>0.11371459999999978</v>
      </c>
      <c r="O91" s="119">
        <f t="shared" si="135"/>
        <v>3.7403599999998427E-2</v>
      </c>
      <c r="P91" s="119">
        <f t="shared" si="135"/>
        <v>-3.7368000000000734E-2</v>
      </c>
      <c r="Q91" s="119">
        <f t="shared" si="135"/>
        <v>-6.0040000000000093E-2</v>
      </c>
      <c r="R91" s="119">
        <f t="shared" si="135"/>
        <v>-6.9260000000000321E-2</v>
      </c>
      <c r="S91" s="119">
        <f t="shared" si="135"/>
        <v>-7.0049999999999946E-2</v>
      </c>
      <c r="T91" s="119">
        <f t="shared" si="135"/>
        <v>-6.6570000000000018E-2</v>
      </c>
      <c r="U91" s="119">
        <f t="shared" si="135"/>
        <v>-6.1080000000000023E-2</v>
      </c>
      <c r="V91" s="119">
        <f t="shared" si="135"/>
        <v>-6.1799999999999855E-2</v>
      </c>
      <c r="W91" s="119">
        <f t="shared" si="135"/>
        <v>-6.2800000000000411E-2</v>
      </c>
      <c r="X91" s="119">
        <f t="shared" si="135"/>
        <v>-6.9830000000000059E-2</v>
      </c>
      <c r="Y91" s="119">
        <f t="shared" si="135"/>
        <v>-6.2130000000000019E-2</v>
      </c>
      <c r="Z91" s="119">
        <f t="shared" si="135"/>
        <v>-6.7199999999999926E-2</v>
      </c>
      <c r="AA91" s="119">
        <f t="shared" si="135"/>
        <v>-7.0149999999999935E-2</v>
      </c>
      <c r="AB91" s="119">
        <f t="shared" si="135"/>
        <v>-6.9579999999999975E-2</v>
      </c>
      <c r="AC91" s="119">
        <f t="shared" si="135"/>
        <v>-6.7270000000000385E-2</v>
      </c>
      <c r="AD91" s="211">
        <f t="shared" si="135"/>
        <v>-6.4089999999999758E-2</v>
      </c>
      <c r="AE91" s="119">
        <f t="shared" si="135"/>
        <v>-6.9390000000000285E-2</v>
      </c>
      <c r="AF91" s="119">
        <f t="shared" si="135"/>
        <v>-6.65300000000002E-2</v>
      </c>
      <c r="AG91" s="119">
        <f t="shared" si="135"/>
        <v>-6.7769999999999886E-2</v>
      </c>
      <c r="AH91" s="119">
        <f t="shared" si="120"/>
        <v>-5.3170000000000162E-2</v>
      </c>
      <c r="AI91" s="119">
        <f t="shared" ref="AI91" si="136">AI23-AI10</f>
        <v>-2.7479999999999727E-2</v>
      </c>
      <c r="AJ91" s="119"/>
    </row>
    <row r="92" spans="1:36">
      <c r="A92" s="12" t="s">
        <v>69</v>
      </c>
      <c r="B92" s="212">
        <f t="shared" si="118"/>
        <v>0</v>
      </c>
      <c r="C92" s="212">
        <f t="shared" ref="C92:AF92" si="137">C24-C11</f>
        <v>0</v>
      </c>
      <c r="D92" s="212">
        <f t="shared" si="137"/>
        <v>0</v>
      </c>
      <c r="E92" s="212">
        <f t="shared" si="137"/>
        <v>0</v>
      </c>
      <c r="F92" s="212">
        <f t="shared" si="137"/>
        <v>0</v>
      </c>
      <c r="G92" s="212">
        <f t="shared" si="137"/>
        <v>-4.6624000000000052</v>
      </c>
      <c r="H92" s="212">
        <f t="shared" si="137"/>
        <v>-8.0989399999999421</v>
      </c>
      <c r="I92" s="212">
        <f t="shared" si="137"/>
        <v>-11.210430000000144</v>
      </c>
      <c r="J92" s="212">
        <f t="shared" si="137"/>
        <v>-14.193219999999997</v>
      </c>
      <c r="K92" s="212">
        <f t="shared" si="137"/>
        <v>-19.650160000000028</v>
      </c>
      <c r="L92" s="212">
        <f t="shared" si="137"/>
        <v>-18.486740000000054</v>
      </c>
      <c r="M92" s="212">
        <f t="shared" si="137"/>
        <v>-22.389510000000314</v>
      </c>
      <c r="N92" s="212">
        <f t="shared" si="137"/>
        <v>-24.713799999999765</v>
      </c>
      <c r="O92" s="212">
        <f t="shared" si="137"/>
        <v>-28.009739999999738</v>
      </c>
      <c r="P92" s="212">
        <f t="shared" si="137"/>
        <v>-33.011280000000397</v>
      </c>
      <c r="Q92" s="212">
        <f t="shared" si="137"/>
        <v>-35.122939999999971</v>
      </c>
      <c r="R92" s="212">
        <f t="shared" si="137"/>
        <v>-41.599129999999946</v>
      </c>
      <c r="S92" s="212">
        <f t="shared" si="137"/>
        <v>-50.325939999999491</v>
      </c>
      <c r="T92" s="212">
        <f t="shared" si="137"/>
        <v>-56.908739999999625</v>
      </c>
      <c r="U92" s="212">
        <f t="shared" si="137"/>
        <v>-66.879050000000234</v>
      </c>
      <c r="V92" s="212">
        <f t="shared" si="137"/>
        <v>-73.75402000000031</v>
      </c>
      <c r="W92" s="212">
        <f t="shared" si="137"/>
        <v>-80.646179999999731</v>
      </c>
      <c r="X92" s="212">
        <f t="shared" si="137"/>
        <v>-83.592330000000402</v>
      </c>
      <c r="Y92" s="212">
        <f t="shared" si="137"/>
        <v>-91.788419999999405</v>
      </c>
      <c r="Z92" s="212">
        <f t="shared" si="137"/>
        <v>-94.269229999999425</v>
      </c>
      <c r="AA92" s="212">
        <f t="shared" si="137"/>
        <v>-101.43215000000055</v>
      </c>
      <c r="AB92" s="212">
        <f t="shared" si="137"/>
        <v>-106.41600999999946</v>
      </c>
      <c r="AC92" s="212">
        <f t="shared" si="137"/>
        <v>-109.4665500000001</v>
      </c>
      <c r="AD92" s="213">
        <f t="shared" si="137"/>
        <v>-123.43344999999999</v>
      </c>
      <c r="AE92" s="212">
        <f t="shared" si="137"/>
        <v>-120.81064999999853</v>
      </c>
      <c r="AF92" s="212">
        <f t="shared" si="137"/>
        <v>-128.27224999999999</v>
      </c>
      <c r="AG92" s="212">
        <f t="shared" ref="AG92:AH92" si="138">AG24-AG11</f>
        <v>-143.87662000000046</v>
      </c>
      <c r="AH92" s="212">
        <f t="shared" si="138"/>
        <v>-123.26956000000064</v>
      </c>
      <c r="AI92" s="212">
        <f t="shared" ref="AI92" si="139">AI24-AI11</f>
        <v>-65.116620000000694</v>
      </c>
      <c r="AJ92" s="212"/>
    </row>
    <row r="93" spans="1:36">
      <c r="A93" s="6" t="s">
        <v>61</v>
      </c>
      <c r="B93" s="15">
        <f t="shared" ref="B93:AG93" si="140">SUM(B83:B92)</f>
        <v>0</v>
      </c>
      <c r="C93" s="15">
        <f t="shared" si="140"/>
        <v>1.0200790961866668</v>
      </c>
      <c r="D93" s="15">
        <f t="shared" si="140"/>
        <v>21.699906968479649</v>
      </c>
      <c r="E93" s="15">
        <f t="shared" si="140"/>
        <v>59.608792796679246</v>
      </c>
      <c r="F93" s="15">
        <f t="shared" si="140"/>
        <v>84.971086613371241</v>
      </c>
      <c r="G93" s="15">
        <f t="shared" si="140"/>
        <v>73.873338866833421</v>
      </c>
      <c r="H93" s="15">
        <f t="shared" si="140"/>
        <v>61.08667659382553</v>
      </c>
      <c r="I93" s="15">
        <f t="shared" si="140"/>
        <v>28.506635611367457</v>
      </c>
      <c r="J93" s="15">
        <f t="shared" si="140"/>
        <v>2.0743079612202351</v>
      </c>
      <c r="K93" s="15">
        <f t="shared" si="140"/>
        <v>-11.62066167532412</v>
      </c>
      <c r="L93" s="15">
        <f t="shared" si="140"/>
        <v>-11.158110632983435</v>
      </c>
      <c r="M93" s="15">
        <f t="shared" si="140"/>
        <v>-25.140522047284705</v>
      </c>
      <c r="N93" s="15">
        <f t="shared" si="140"/>
        <v>-30.628479808446947</v>
      </c>
      <c r="O93" s="15">
        <f t="shared" si="140"/>
        <v>-33.31002281665365</v>
      </c>
      <c r="P93" s="15">
        <f t="shared" si="140"/>
        <v>-80.422997970430373</v>
      </c>
      <c r="Q93" s="15">
        <f t="shared" si="140"/>
        <v>-112.29346769503779</v>
      </c>
      <c r="R93" s="15">
        <f t="shared" si="140"/>
        <v>-91.234223800650824</v>
      </c>
      <c r="S93" s="15">
        <f t="shared" si="140"/>
        <v>-88.011941329077132</v>
      </c>
      <c r="T93" s="15">
        <f t="shared" si="140"/>
        <v>-125.85696068777217</v>
      </c>
      <c r="U93" s="15">
        <f t="shared" si="140"/>
        <v>-163.52802179358648</v>
      </c>
      <c r="V93" s="15">
        <f t="shared" si="140"/>
        <v>-176.14804496690641</v>
      </c>
      <c r="W93" s="15">
        <f t="shared" si="140"/>
        <v>-187.594115597128</v>
      </c>
      <c r="X93" s="15">
        <f t="shared" si="140"/>
        <v>-190.93999594081407</v>
      </c>
      <c r="Y93" s="15">
        <f t="shared" si="140"/>
        <v>-206.47592585045513</v>
      </c>
      <c r="Z93" s="15">
        <f t="shared" si="140"/>
        <v>-207.07678282588927</v>
      </c>
      <c r="AA93" s="15">
        <f t="shared" si="140"/>
        <v>-225.09140454165328</v>
      </c>
      <c r="AB93" s="15">
        <f t="shared" si="140"/>
        <v>-198.98443791241564</v>
      </c>
      <c r="AC93" s="52">
        <f t="shared" si="140"/>
        <v>-174.32545450219121</v>
      </c>
      <c r="AD93" s="214">
        <f t="shared" si="140"/>
        <v>-205.08823462672262</v>
      </c>
      <c r="AE93" s="15">
        <f t="shared" si="140"/>
        <v>-197.14799363567275</v>
      </c>
      <c r="AF93" s="15">
        <f t="shared" si="140"/>
        <v>-210.03711390707448</v>
      </c>
      <c r="AG93" s="15">
        <f t="shared" si="140"/>
        <v>-219.96964863227805</v>
      </c>
      <c r="AH93" s="15">
        <f t="shared" ref="AH93" si="141">SUM(AH83:AH92)</f>
        <v>-201.10095333730089</v>
      </c>
      <c r="AI93" s="15">
        <f t="shared" ref="AI93" si="142">SUM(AI83:AI92)</f>
        <v>-112.54011047564822</v>
      </c>
      <c r="AJ93" s="15"/>
    </row>
    <row r="94" spans="1:36">
      <c r="B94" s="15"/>
      <c r="C94" s="15"/>
      <c r="D94" s="15">
        <f>D93</f>
        <v>21.699906968479649</v>
      </c>
      <c r="E94" s="15">
        <f>D94+E93</f>
        <v>81.308699765158892</v>
      </c>
      <c r="F94" s="15">
        <f t="shared" ref="F94:AI94" si="143">E94+F93</f>
        <v>166.27978637853013</v>
      </c>
      <c r="G94" s="15">
        <f t="shared" si="143"/>
        <v>240.15312524536355</v>
      </c>
      <c r="H94" s="15">
        <f t="shared" si="143"/>
        <v>301.23980183918911</v>
      </c>
      <c r="I94" s="15">
        <f t="shared" si="143"/>
        <v>329.74643745055658</v>
      </c>
      <c r="J94" s="15">
        <f t="shared" si="143"/>
        <v>331.82074541177684</v>
      </c>
      <c r="K94" s="15">
        <f t="shared" si="143"/>
        <v>320.20008373645271</v>
      </c>
      <c r="L94" s="15">
        <f t="shared" si="143"/>
        <v>309.04197310346927</v>
      </c>
      <c r="M94" s="15">
        <f t="shared" si="143"/>
        <v>283.90145105618456</v>
      </c>
      <c r="N94" s="15">
        <f t="shared" si="143"/>
        <v>253.27297124773762</v>
      </c>
      <c r="O94" s="15">
        <f t="shared" si="143"/>
        <v>219.96294843108396</v>
      </c>
      <c r="P94" s="15">
        <f t="shared" si="143"/>
        <v>139.53995046065359</v>
      </c>
      <c r="Q94" s="15">
        <f t="shared" si="143"/>
        <v>27.246482765615795</v>
      </c>
      <c r="R94" s="15">
        <f t="shared" si="143"/>
        <v>-63.987741035035029</v>
      </c>
      <c r="S94" s="15">
        <f t="shared" si="143"/>
        <v>-151.99968236411218</v>
      </c>
      <c r="T94" s="15">
        <f t="shared" si="143"/>
        <v>-277.85664305188436</v>
      </c>
      <c r="U94" s="15">
        <f t="shared" si="143"/>
        <v>-441.38466484547087</v>
      </c>
      <c r="V94" s="15">
        <f t="shared" si="143"/>
        <v>-617.53270981237733</v>
      </c>
      <c r="W94" s="15">
        <f t="shared" si="143"/>
        <v>-805.12682540950527</v>
      </c>
      <c r="X94" s="15">
        <f t="shared" si="143"/>
        <v>-996.06682135031929</v>
      </c>
      <c r="Y94" s="15">
        <f t="shared" si="143"/>
        <v>-1202.5427472007743</v>
      </c>
      <c r="Z94" s="15">
        <f t="shared" si="143"/>
        <v>-1409.6195300266636</v>
      </c>
      <c r="AA94" s="15">
        <f t="shared" si="143"/>
        <v>-1634.7109345683168</v>
      </c>
      <c r="AB94" s="15">
        <f t="shared" si="143"/>
        <v>-1833.6953724807324</v>
      </c>
      <c r="AC94" s="15">
        <f t="shared" si="143"/>
        <v>-2008.0208269829236</v>
      </c>
      <c r="AD94" s="15">
        <f t="shared" si="143"/>
        <v>-2213.1090616096462</v>
      </c>
      <c r="AE94" s="15">
        <f t="shared" si="143"/>
        <v>-2410.257055245319</v>
      </c>
      <c r="AF94" s="15">
        <f t="shared" si="143"/>
        <v>-2620.2941691523934</v>
      </c>
      <c r="AG94" s="15">
        <f t="shared" si="143"/>
        <v>-2840.2638177846716</v>
      </c>
      <c r="AH94" s="15">
        <f t="shared" si="143"/>
        <v>-3041.3647711219724</v>
      </c>
      <c r="AI94" s="15">
        <f t="shared" si="143"/>
        <v>-3153.9048815976207</v>
      </c>
      <c r="AJ94" s="15"/>
    </row>
    <row r="95" spans="1:36">
      <c r="A95" s="6" t="s">
        <v>71</v>
      </c>
      <c r="AC95" s="36"/>
      <c r="AD95" s="215"/>
    </row>
    <row r="96" spans="1:36">
      <c r="A96" s="152" t="str">
        <f>A82</f>
        <v>Clean Energy Connection-SoBra 700MWs</v>
      </c>
      <c r="B96" s="152">
        <f>$B$1</f>
        <v>2020</v>
      </c>
      <c r="C96" s="152">
        <f t="shared" ref="C96:AH96" si="144">B96+1</f>
        <v>2021</v>
      </c>
      <c r="D96" s="152">
        <f t="shared" si="144"/>
        <v>2022</v>
      </c>
      <c r="E96" s="152">
        <f t="shared" si="144"/>
        <v>2023</v>
      </c>
      <c r="F96" s="152">
        <f t="shared" si="144"/>
        <v>2024</v>
      </c>
      <c r="G96" s="152">
        <f t="shared" si="144"/>
        <v>2025</v>
      </c>
      <c r="H96" s="152">
        <f t="shared" si="144"/>
        <v>2026</v>
      </c>
      <c r="I96" s="152">
        <f t="shared" si="144"/>
        <v>2027</v>
      </c>
      <c r="J96" s="152">
        <f t="shared" si="144"/>
        <v>2028</v>
      </c>
      <c r="K96" s="152">
        <f t="shared" si="144"/>
        <v>2029</v>
      </c>
      <c r="L96" s="152">
        <f t="shared" si="144"/>
        <v>2030</v>
      </c>
      <c r="M96" s="152">
        <f t="shared" si="144"/>
        <v>2031</v>
      </c>
      <c r="N96" s="152">
        <f t="shared" si="144"/>
        <v>2032</v>
      </c>
      <c r="O96" s="152">
        <f t="shared" si="144"/>
        <v>2033</v>
      </c>
      <c r="P96" s="152">
        <f t="shared" si="144"/>
        <v>2034</v>
      </c>
      <c r="Q96" s="152">
        <f t="shared" si="144"/>
        <v>2035</v>
      </c>
      <c r="R96" s="152">
        <f t="shared" si="144"/>
        <v>2036</v>
      </c>
      <c r="S96" s="152">
        <f t="shared" si="144"/>
        <v>2037</v>
      </c>
      <c r="T96" s="152">
        <f t="shared" si="144"/>
        <v>2038</v>
      </c>
      <c r="U96" s="152">
        <f t="shared" si="144"/>
        <v>2039</v>
      </c>
      <c r="V96" s="152">
        <f t="shared" si="144"/>
        <v>2040</v>
      </c>
      <c r="W96" s="152">
        <f t="shared" si="144"/>
        <v>2041</v>
      </c>
      <c r="X96" s="152">
        <f t="shared" si="144"/>
        <v>2042</v>
      </c>
      <c r="Y96" s="152">
        <f t="shared" si="144"/>
        <v>2043</v>
      </c>
      <c r="Z96" s="152">
        <f t="shared" si="144"/>
        <v>2044</v>
      </c>
      <c r="AA96" s="152">
        <f t="shared" si="144"/>
        <v>2045</v>
      </c>
      <c r="AB96" s="152">
        <f t="shared" si="144"/>
        <v>2046</v>
      </c>
      <c r="AC96" s="209">
        <f t="shared" si="144"/>
        <v>2047</v>
      </c>
      <c r="AD96" s="210">
        <f t="shared" si="144"/>
        <v>2048</v>
      </c>
      <c r="AE96" s="152">
        <f t="shared" si="144"/>
        <v>2049</v>
      </c>
      <c r="AF96" s="152">
        <f t="shared" si="144"/>
        <v>2050</v>
      </c>
      <c r="AG96" s="152">
        <f t="shared" si="144"/>
        <v>2051</v>
      </c>
      <c r="AH96" s="152">
        <f t="shared" si="144"/>
        <v>2052</v>
      </c>
      <c r="AI96" s="152">
        <f t="shared" ref="AI96" si="145">AH96+1</f>
        <v>2053</v>
      </c>
      <c r="AJ96" s="152"/>
    </row>
    <row r="97" spans="1:37">
      <c r="A97" s="6" t="s">
        <v>134</v>
      </c>
      <c r="B97" s="119">
        <f t="shared" ref="B97:B106" si="146">B42-B29</f>
        <v>0</v>
      </c>
      <c r="C97" s="119">
        <f t="shared" ref="C97:AG97" si="147">C42-C29</f>
        <v>0</v>
      </c>
      <c r="D97" s="119">
        <f t="shared" si="147"/>
        <v>0</v>
      </c>
      <c r="E97" s="119">
        <f t="shared" si="147"/>
        <v>0</v>
      </c>
      <c r="F97" s="119">
        <f t="shared" si="147"/>
        <v>0</v>
      </c>
      <c r="G97" s="119">
        <f t="shared" si="147"/>
        <v>0</v>
      </c>
      <c r="H97" s="119">
        <f t="shared" si="147"/>
        <v>0</v>
      </c>
      <c r="I97" s="119">
        <f t="shared" si="147"/>
        <v>0</v>
      </c>
      <c r="J97" s="119">
        <f t="shared" si="147"/>
        <v>0</v>
      </c>
      <c r="K97" s="119">
        <f t="shared" si="147"/>
        <v>0</v>
      </c>
      <c r="L97" s="119">
        <f t="shared" si="147"/>
        <v>0</v>
      </c>
      <c r="M97" s="119">
        <f t="shared" si="147"/>
        <v>0</v>
      </c>
      <c r="N97" s="119">
        <f t="shared" si="147"/>
        <v>0</v>
      </c>
      <c r="O97" s="119">
        <f t="shared" si="147"/>
        <v>0</v>
      </c>
      <c r="P97" s="119">
        <f t="shared" si="147"/>
        <v>0</v>
      </c>
      <c r="Q97" s="119">
        <f t="shared" si="147"/>
        <v>0</v>
      </c>
      <c r="R97" s="119">
        <f t="shared" si="147"/>
        <v>0</v>
      </c>
      <c r="S97" s="119">
        <f t="shared" si="147"/>
        <v>0</v>
      </c>
      <c r="T97" s="119">
        <f t="shared" si="147"/>
        <v>0</v>
      </c>
      <c r="U97" s="119">
        <f t="shared" si="147"/>
        <v>0</v>
      </c>
      <c r="V97" s="119">
        <f t="shared" si="147"/>
        <v>0</v>
      </c>
      <c r="W97" s="119">
        <f t="shared" si="147"/>
        <v>0</v>
      </c>
      <c r="X97" s="119">
        <f t="shared" si="147"/>
        <v>0</v>
      </c>
      <c r="Y97" s="119">
        <f t="shared" si="147"/>
        <v>0</v>
      </c>
      <c r="Z97" s="119">
        <f t="shared" si="147"/>
        <v>0</v>
      </c>
      <c r="AA97" s="119">
        <f t="shared" si="147"/>
        <v>0</v>
      </c>
      <c r="AB97" s="119">
        <f t="shared" si="147"/>
        <v>0</v>
      </c>
      <c r="AC97" s="119">
        <f t="shared" si="147"/>
        <v>0</v>
      </c>
      <c r="AD97" s="211">
        <f t="shared" si="147"/>
        <v>0</v>
      </c>
      <c r="AE97" s="119">
        <f t="shared" si="147"/>
        <v>0</v>
      </c>
      <c r="AF97" s="119">
        <f t="shared" si="147"/>
        <v>0</v>
      </c>
      <c r="AG97" s="119">
        <f t="shared" si="147"/>
        <v>0</v>
      </c>
      <c r="AH97" s="119">
        <f t="shared" ref="AH97:AH105" si="148">AH42-AH29</f>
        <v>0</v>
      </c>
      <c r="AI97" s="119">
        <f t="shared" ref="AI97" si="149">AI42-AI29</f>
        <v>0</v>
      </c>
      <c r="AJ97" s="119"/>
    </row>
    <row r="98" spans="1:37">
      <c r="A98" s="6" t="s">
        <v>135</v>
      </c>
      <c r="B98" s="119">
        <f t="shared" si="146"/>
        <v>0</v>
      </c>
      <c r="C98" s="119">
        <f t="shared" ref="C98:AG98" si="150">C43-C30</f>
        <v>0</v>
      </c>
      <c r="D98" s="119">
        <f t="shared" si="150"/>
        <v>27.104402529171068</v>
      </c>
      <c r="E98" s="119">
        <f t="shared" si="150"/>
        <v>71.677271703898896</v>
      </c>
      <c r="F98" s="119">
        <f t="shared" si="150"/>
        <v>106.71659618161929</v>
      </c>
      <c r="G98" s="119">
        <f t="shared" si="150"/>
        <v>94.968223232679676</v>
      </c>
      <c r="H98" s="119">
        <f t="shared" si="150"/>
        <v>84.930290419949785</v>
      </c>
      <c r="I98" s="119">
        <f t="shared" si="150"/>
        <v>71.369318056281188</v>
      </c>
      <c r="J98" s="119">
        <f t="shared" si="150"/>
        <v>64.616065941150438</v>
      </c>
      <c r="K98" s="119">
        <f t="shared" si="150"/>
        <v>58.847825074856878</v>
      </c>
      <c r="L98" s="119">
        <f t="shared" si="150"/>
        <v>53.786374701416463</v>
      </c>
      <c r="M98" s="119">
        <f t="shared" si="150"/>
        <v>49.250786941365043</v>
      </c>
      <c r="N98" s="119">
        <f t="shared" si="150"/>
        <v>45.08657486113227</v>
      </c>
      <c r="O98" s="119">
        <f t="shared" si="150"/>
        <v>41.252032029110545</v>
      </c>
      <c r="P98" s="119">
        <f t="shared" si="150"/>
        <v>37.704265111778128</v>
      </c>
      <c r="Q98" s="119">
        <f t="shared" si="150"/>
        <v>34.471759461208883</v>
      </c>
      <c r="R98" s="119">
        <f t="shared" si="150"/>
        <v>31.510242239544308</v>
      </c>
      <c r="S98" s="119">
        <f t="shared" si="150"/>
        <v>28.771416472238894</v>
      </c>
      <c r="T98" s="119">
        <f t="shared" si="150"/>
        <v>28.186255215442095</v>
      </c>
      <c r="U98" s="119">
        <f t="shared" si="150"/>
        <v>25.599452768354144</v>
      </c>
      <c r="V98" s="119">
        <f t="shared" si="150"/>
        <v>23.223951483068507</v>
      </c>
      <c r="W98" s="119">
        <f t="shared" si="150"/>
        <v>21.051786711251751</v>
      </c>
      <c r="X98" s="119">
        <f t="shared" si="150"/>
        <v>19.118354143731811</v>
      </c>
      <c r="Y98" s="119">
        <f t="shared" si="150"/>
        <v>17.388538002102155</v>
      </c>
      <c r="Z98" s="119">
        <f t="shared" si="150"/>
        <v>15.82103716639633</v>
      </c>
      <c r="AA98" s="119">
        <f t="shared" si="150"/>
        <v>14.367151034475768</v>
      </c>
      <c r="AB98" s="119">
        <f t="shared" si="150"/>
        <v>13.070098401550514</v>
      </c>
      <c r="AC98" s="119">
        <f t="shared" si="150"/>
        <v>11.873952695715952</v>
      </c>
      <c r="AD98" s="211">
        <f t="shared" si="150"/>
        <v>10.792396380648784</v>
      </c>
      <c r="AE98" s="119">
        <f t="shared" si="150"/>
        <v>9.7892282563921427</v>
      </c>
      <c r="AF98" s="119">
        <f t="shared" si="150"/>
        <v>8.8893100063044432</v>
      </c>
      <c r="AG98" s="119">
        <f t="shared" si="150"/>
        <v>8.5564850648572275</v>
      </c>
      <c r="AH98" s="119">
        <f t="shared" si="148"/>
        <v>6.8276065268349155</v>
      </c>
      <c r="AI98" s="119">
        <f t="shared" ref="AI98" si="151">AI43-AI30</f>
        <v>3.6792355349898176</v>
      </c>
      <c r="AJ98" s="119"/>
    </row>
    <row r="99" spans="1:37">
      <c r="A99" s="6" t="s">
        <v>60</v>
      </c>
      <c r="B99" s="119">
        <f t="shared" si="146"/>
        <v>0</v>
      </c>
      <c r="C99" s="119">
        <f t="shared" ref="C99:AG99" si="152">C44-C31</f>
        <v>0</v>
      </c>
      <c r="D99" s="119">
        <f t="shared" si="152"/>
        <v>0</v>
      </c>
      <c r="E99" s="119">
        <f t="shared" si="152"/>
        <v>0</v>
      </c>
      <c r="F99" s="119">
        <f t="shared" si="152"/>
        <v>0</v>
      </c>
      <c r="G99" s="119">
        <f t="shared" si="152"/>
        <v>0</v>
      </c>
      <c r="H99" s="119">
        <f t="shared" si="152"/>
        <v>0</v>
      </c>
      <c r="I99" s="119">
        <f t="shared" si="152"/>
        <v>-6.8065319934405428</v>
      </c>
      <c r="J99" s="119">
        <f t="shared" si="152"/>
        <v>-17.156741119315107</v>
      </c>
      <c r="K99" s="119">
        <f t="shared" si="152"/>
        <v>-13.726353422336407</v>
      </c>
      <c r="L99" s="119">
        <f t="shared" si="152"/>
        <v>-14.248865358300485</v>
      </c>
      <c r="M99" s="119">
        <f t="shared" si="152"/>
        <v>-11.279824508640477</v>
      </c>
      <c r="N99" s="119">
        <f t="shared" si="152"/>
        <v>-11.863680592843043</v>
      </c>
      <c r="O99" s="119">
        <f t="shared" si="152"/>
        <v>-9.2811218396467083</v>
      </c>
      <c r="P99" s="119">
        <f t="shared" si="152"/>
        <v>-11.19201308176531</v>
      </c>
      <c r="Q99" s="119">
        <f t="shared" si="152"/>
        <v>-14.187978567056973</v>
      </c>
      <c r="R99" s="119">
        <f t="shared" si="152"/>
        <v>-8.0090661841749977</v>
      </c>
      <c r="S99" s="119">
        <f t="shared" si="152"/>
        <v>-4.0408851685104423</v>
      </c>
      <c r="T99" s="119">
        <f t="shared" si="152"/>
        <v>-8.0679780383568698</v>
      </c>
      <c r="U99" s="119">
        <f t="shared" si="152"/>
        <v>-10.230610525944485</v>
      </c>
      <c r="V99" s="119">
        <f t="shared" si="152"/>
        <v>-9.2733521014794462</v>
      </c>
      <c r="W99" s="119">
        <f t="shared" si="152"/>
        <v>-8.400031038110825</v>
      </c>
      <c r="X99" s="119">
        <f t="shared" si="152"/>
        <v>-7.6126832420071935</v>
      </c>
      <c r="Y99" s="119">
        <f t="shared" si="152"/>
        <v>-6.9229754540364183</v>
      </c>
      <c r="Z99" s="119">
        <f t="shared" si="152"/>
        <v>-6.3108975403765442</v>
      </c>
      <c r="AA99" s="119">
        <f t="shared" si="152"/>
        <v>-5.7501154341850054</v>
      </c>
      <c r="AB99" s="119">
        <f t="shared" si="152"/>
        <v>-2.3105606931873979</v>
      </c>
      <c r="AC99" s="119">
        <f t="shared" si="152"/>
        <v>-0.1697862694786636</v>
      </c>
      <c r="AD99" s="211">
        <f t="shared" si="152"/>
        <v>-0.15832837445410064</v>
      </c>
      <c r="AE99" s="119">
        <f t="shared" si="152"/>
        <v>-0.14486076974009165</v>
      </c>
      <c r="AF99" s="119">
        <f t="shared" si="152"/>
        <v>-0.13681173878222808</v>
      </c>
      <c r="AG99" s="119">
        <f t="shared" si="152"/>
        <v>-0.12550708883797768</v>
      </c>
      <c r="AH99" s="119">
        <f t="shared" si="148"/>
        <v>-9.9581258497082104E-2</v>
      </c>
      <c r="AI99" s="119">
        <f t="shared" ref="AI99" si="153">AI44-AI31</f>
        <v>-7.5554121779191519E-2</v>
      </c>
      <c r="AJ99" s="119"/>
    </row>
    <row r="100" spans="1:37">
      <c r="A100" s="6" t="s">
        <v>68</v>
      </c>
      <c r="B100" s="119">
        <f t="shared" si="146"/>
        <v>0</v>
      </c>
      <c r="C100" s="119">
        <f t="shared" ref="C100:AG100" si="154">C45-C32</f>
        <v>0</v>
      </c>
      <c r="D100" s="119">
        <f t="shared" si="154"/>
        <v>0</v>
      </c>
      <c r="E100" s="119">
        <f t="shared" si="154"/>
        <v>0</v>
      </c>
      <c r="F100" s="119">
        <f t="shared" si="154"/>
        <v>0</v>
      </c>
      <c r="G100" s="119">
        <f t="shared" si="154"/>
        <v>0</v>
      </c>
      <c r="H100" s="119">
        <f t="shared" si="154"/>
        <v>0</v>
      </c>
      <c r="I100" s="119">
        <f t="shared" si="154"/>
        <v>-0.16330587684247888</v>
      </c>
      <c r="J100" s="119">
        <f t="shared" si="154"/>
        <v>-0.42581547344002857</v>
      </c>
      <c r="K100" s="119">
        <f t="shared" si="154"/>
        <v>-0.36600215588460294</v>
      </c>
      <c r="L100" s="119">
        <f t="shared" si="154"/>
        <v>-0.39296000930739261</v>
      </c>
      <c r="M100" s="119">
        <f t="shared" si="154"/>
        <v>-0.33774844971718743</v>
      </c>
      <c r="N100" s="119">
        <f t="shared" si="154"/>
        <v>-0.36262822702841113</v>
      </c>
      <c r="O100" s="119">
        <f t="shared" si="154"/>
        <v>-0.31168009963181298</v>
      </c>
      <c r="P100" s="119">
        <f t="shared" si="154"/>
        <v>-0.60864539849580446</v>
      </c>
      <c r="Q100" s="119">
        <f t="shared" si="154"/>
        <v>-0.85729600384555305</v>
      </c>
      <c r="R100" s="119">
        <f t="shared" si="154"/>
        <v>-0.58334890442599452</v>
      </c>
      <c r="S100" s="119">
        <f t="shared" si="154"/>
        <v>-0.39556578567956358</v>
      </c>
      <c r="T100" s="119">
        <f t="shared" si="154"/>
        <v>-0.60165971424810927</v>
      </c>
      <c r="U100" s="119">
        <f t="shared" si="154"/>
        <v>-0.73007606582694606</v>
      </c>
      <c r="V100" s="119">
        <f t="shared" si="154"/>
        <v>-0.70133843795907858</v>
      </c>
      <c r="W100" s="119">
        <f t="shared" si="154"/>
        <v>-0.67373083929414435</v>
      </c>
      <c r="X100" s="119">
        <f t="shared" si="154"/>
        <v>-0.64721397613967468</v>
      </c>
      <c r="Y100" s="119">
        <f t="shared" si="154"/>
        <v>-0.62173529939348526</v>
      </c>
      <c r="Z100" s="119">
        <f t="shared" si="154"/>
        <v>-0.59726296340448393</v>
      </c>
      <c r="AA100" s="119">
        <f t="shared" si="154"/>
        <v>-0.57375248811864132</v>
      </c>
      <c r="AB100" s="119">
        <f t="shared" si="154"/>
        <v>-0.3904123863671245</v>
      </c>
      <c r="AC100" s="119">
        <f t="shared" si="154"/>
        <v>-0.26473626165666353</v>
      </c>
      <c r="AD100" s="211">
        <f t="shared" si="154"/>
        <v>-0.25431495837184492</v>
      </c>
      <c r="AE100" s="119">
        <f t="shared" si="154"/>
        <v>-0.24430496887774389</v>
      </c>
      <c r="AF100" s="119">
        <f t="shared" si="154"/>
        <v>-0.23468939481063344</v>
      </c>
      <c r="AG100" s="119">
        <f t="shared" si="154"/>
        <v>-0.22545071707872566</v>
      </c>
      <c r="AH100" s="119">
        <f t="shared" si="148"/>
        <v>-0.21657621141846928</v>
      </c>
      <c r="AI100" s="119">
        <f t="shared" ref="AI100" si="155">AI45-AI32</f>
        <v>-0.20805080481709393</v>
      </c>
      <c r="AJ100" s="119"/>
    </row>
    <row r="101" spans="1:37">
      <c r="A101" s="6" t="s">
        <v>67</v>
      </c>
      <c r="B101" s="119">
        <f t="shared" si="146"/>
        <v>0</v>
      </c>
      <c r="C101" s="119">
        <f t="shared" ref="C101:AG101" si="156">C46-C33</f>
        <v>0</v>
      </c>
      <c r="D101" s="119">
        <f t="shared" si="156"/>
        <v>0</v>
      </c>
      <c r="E101" s="119">
        <f t="shared" si="156"/>
        <v>0</v>
      </c>
      <c r="F101" s="119">
        <f t="shared" si="156"/>
        <v>0</v>
      </c>
      <c r="G101" s="119">
        <f t="shared" si="156"/>
        <v>0</v>
      </c>
      <c r="H101" s="119">
        <f t="shared" si="156"/>
        <v>0</v>
      </c>
      <c r="I101" s="119">
        <f t="shared" si="156"/>
        <v>0</v>
      </c>
      <c r="J101" s="119">
        <f t="shared" si="156"/>
        <v>0</v>
      </c>
      <c r="K101" s="119">
        <f t="shared" si="156"/>
        <v>0</v>
      </c>
      <c r="L101" s="119">
        <f t="shared" si="156"/>
        <v>0</v>
      </c>
      <c r="M101" s="119">
        <f t="shared" si="156"/>
        <v>0</v>
      </c>
      <c r="N101" s="119">
        <f t="shared" si="156"/>
        <v>0</v>
      </c>
      <c r="O101" s="119">
        <f t="shared" si="156"/>
        <v>0</v>
      </c>
      <c r="P101" s="119">
        <f t="shared" si="156"/>
        <v>-10.40697230661479</v>
      </c>
      <c r="Q101" s="119">
        <f t="shared" si="156"/>
        <v>-16.720273684625397</v>
      </c>
      <c r="R101" s="119">
        <f t="shared" si="156"/>
        <v>-10.868456631186831</v>
      </c>
      <c r="S101" s="119">
        <f t="shared" si="156"/>
        <v>-6.9714385497996432</v>
      </c>
      <c r="T101" s="119">
        <f t="shared" si="156"/>
        <v>-10.964988828656743</v>
      </c>
      <c r="U101" s="119">
        <f t="shared" si="156"/>
        <v>-13.242936666713547</v>
      </c>
      <c r="V101" s="119">
        <f t="shared" si="156"/>
        <v>-12.411380037396697</v>
      </c>
      <c r="W101" s="119">
        <f t="shared" si="156"/>
        <v>-11.632020965446713</v>
      </c>
      <c r="X101" s="119">
        <f t="shared" si="156"/>
        <v>-10.901612901074714</v>
      </c>
      <c r="Y101" s="119">
        <f t="shared" si="156"/>
        <v>-10.217069260613613</v>
      </c>
      <c r="Z101" s="119">
        <f t="shared" si="156"/>
        <v>-9.5755206293738695</v>
      </c>
      <c r="AA101" s="119">
        <f t="shared" si="156"/>
        <v>-8.9742461381198382</v>
      </c>
      <c r="AB101" s="119">
        <f t="shared" si="156"/>
        <v>-5.196999863071369</v>
      </c>
      <c r="AC101" s="119">
        <f t="shared" si="156"/>
        <v>-2.7192990630778127</v>
      </c>
      <c r="AD101" s="211">
        <f t="shared" si="156"/>
        <v>-2.5485464508695372</v>
      </c>
      <c r="AE101" s="119">
        <f t="shared" si="156"/>
        <v>-2.3885158864756875</v>
      </c>
      <c r="AF101" s="119">
        <f t="shared" si="156"/>
        <v>-2.2385341016641718</v>
      </c>
      <c r="AG101" s="119">
        <f t="shared" si="156"/>
        <v>-2.097970104652461</v>
      </c>
      <c r="AH101" s="119">
        <f t="shared" si="148"/>
        <v>-1.9662325254474808</v>
      </c>
      <c r="AI101" s="119">
        <f t="shared" ref="AI101:AI102" si="157">AI46-AI33</f>
        <v>-1.8427671278795401</v>
      </c>
      <c r="AJ101" s="119"/>
    </row>
    <row r="102" spans="1:37">
      <c r="A102" s="6" t="s">
        <v>383</v>
      </c>
      <c r="B102" s="119">
        <f t="shared" si="146"/>
        <v>0</v>
      </c>
      <c r="C102" s="119">
        <f t="shared" ref="C102:AG102" si="158">C47-C34</f>
        <v>0.95602539473914416</v>
      </c>
      <c r="D102" s="119">
        <f t="shared" si="158"/>
        <v>0.55120123026807166</v>
      </c>
      <c r="E102" s="119">
        <f t="shared" si="158"/>
        <v>0.5623101071629828</v>
      </c>
      <c r="F102" s="119">
        <f t="shared" si="158"/>
        <v>0.52054864825483194</v>
      </c>
      <c r="G102" s="119">
        <f t="shared" si="158"/>
        <v>0.47447401205225109</v>
      </c>
      <c r="H102" s="119">
        <f t="shared" si="158"/>
        <v>0.34594805194586459</v>
      </c>
      <c r="I102" s="119">
        <f t="shared" si="158"/>
        <v>0.35889584333158642</v>
      </c>
      <c r="J102" s="119">
        <f t="shared" si="158"/>
        <v>0.31198140715775902</v>
      </c>
      <c r="K102" s="119">
        <f t="shared" si="158"/>
        <v>0.30427695800079424</v>
      </c>
      <c r="L102" s="119">
        <f t="shared" si="158"/>
        <v>0.30795444784735088</v>
      </c>
      <c r="M102" s="119">
        <f t="shared" si="158"/>
        <v>0.18247509532472547</v>
      </c>
      <c r="N102" s="119">
        <f t="shared" si="158"/>
        <v>0.16938864297452635</v>
      </c>
      <c r="O102" s="119">
        <f t="shared" si="158"/>
        <v>0.18396491954915264</v>
      </c>
      <c r="P102" s="119">
        <f t="shared" si="158"/>
        <v>0.15422719438562776</v>
      </c>
      <c r="Q102" s="119">
        <f t="shared" si="158"/>
        <v>0.15098936805677604</v>
      </c>
      <c r="R102" s="119">
        <f t="shared" si="158"/>
        <v>0.15539588507457328</v>
      </c>
      <c r="S102" s="119">
        <f t="shared" si="158"/>
        <v>0.13751918551195877</v>
      </c>
      <c r="T102" s="119">
        <f t="shared" si="158"/>
        <v>0.12817027651588755</v>
      </c>
      <c r="U102" s="119">
        <f t="shared" si="158"/>
        <v>0.13758403227896901</v>
      </c>
      <c r="V102" s="119">
        <f t="shared" si="158"/>
        <v>0.11698394016848228</v>
      </c>
      <c r="W102" s="119">
        <f t="shared" si="158"/>
        <v>0.11435737038101808</v>
      </c>
      <c r="X102" s="119">
        <f t="shared" si="158"/>
        <v>0.11692608052186379</v>
      </c>
      <c r="Y102" s="119">
        <f t="shared" si="158"/>
        <v>0.10440876415134408</v>
      </c>
      <c r="Z102" s="119">
        <f t="shared" si="158"/>
        <v>9.7684384896888563E-2</v>
      </c>
      <c r="AA102" s="119">
        <f t="shared" si="158"/>
        <v>0.10368824913571693</v>
      </c>
      <c r="AB102" s="119">
        <f t="shared" si="158"/>
        <v>8.2564650928115241E-2</v>
      </c>
      <c r="AC102" s="119">
        <f t="shared" si="158"/>
        <v>8.3465961159684646E-2</v>
      </c>
      <c r="AD102" s="211">
        <f t="shared" si="158"/>
        <v>7.5842450435234077E-2</v>
      </c>
      <c r="AE102" s="119">
        <f t="shared" si="158"/>
        <v>7.5909008158437943E-2</v>
      </c>
      <c r="AF102" s="119">
        <f t="shared" si="158"/>
        <v>6.971161497164291E-2</v>
      </c>
      <c r="AG102" s="119">
        <f t="shared" si="158"/>
        <v>7.0198508240108884E-2</v>
      </c>
      <c r="AH102" s="119">
        <f t="shared" si="148"/>
        <v>6.1905223697295828E-2</v>
      </c>
      <c r="AI102" s="119">
        <f t="shared" si="157"/>
        <v>5.822845688296438E-2</v>
      </c>
      <c r="AJ102" s="119"/>
    </row>
    <row r="103" spans="1:37">
      <c r="A103" s="6" t="s">
        <v>65</v>
      </c>
      <c r="B103" s="119">
        <f t="shared" si="146"/>
        <v>0</v>
      </c>
      <c r="C103" s="119">
        <f t="shared" ref="C103:AG103" si="159">C48-C35</f>
        <v>0</v>
      </c>
      <c r="D103" s="119">
        <f t="shared" si="159"/>
        <v>-7.3073960310556458</v>
      </c>
      <c r="E103" s="119">
        <f t="shared" si="159"/>
        <v>-19.910842826671114</v>
      </c>
      <c r="F103" s="119">
        <f t="shared" si="159"/>
        <v>-37.331744855861302</v>
      </c>
      <c r="G103" s="119">
        <f t="shared" si="159"/>
        <v>-35.202494072999798</v>
      </c>
      <c r="H103" s="119">
        <f t="shared" si="159"/>
        <v>-35.066468442211089</v>
      </c>
      <c r="I103" s="119">
        <f t="shared" si="159"/>
        <v>-36.183642421426157</v>
      </c>
      <c r="J103" s="119">
        <f t="shared" si="159"/>
        <v>-33.99904237239025</v>
      </c>
      <c r="K103" s="119">
        <f t="shared" si="159"/>
        <v>-37.440906513393656</v>
      </c>
      <c r="L103" s="119">
        <f t="shared" si="159"/>
        <v>-32.648127251642563</v>
      </c>
      <c r="M103" s="119">
        <f t="shared" si="159"/>
        <v>-35.899422809926136</v>
      </c>
      <c r="N103" s="119">
        <f t="shared" si="159"/>
        <v>-32.869956091689232</v>
      </c>
      <c r="O103" s="119">
        <f t="shared" si="159"/>
        <v>-31.661732278479462</v>
      </c>
      <c r="P103" s="119">
        <f t="shared" si="159"/>
        <v>-31.993836716579722</v>
      </c>
      <c r="Q103" s="119">
        <f t="shared" si="159"/>
        <v>-29.335010729957617</v>
      </c>
      <c r="R103" s="119">
        <f t="shared" si="159"/>
        <v>-27.957877296361403</v>
      </c>
      <c r="S103" s="119">
        <f t="shared" si="159"/>
        <v>-29.202964225014398</v>
      </c>
      <c r="T103" s="119">
        <f t="shared" si="159"/>
        <v>-27.985923005897803</v>
      </c>
      <c r="U103" s="119">
        <f t="shared" si="159"/>
        <v>-27.730074985826832</v>
      </c>
      <c r="V103" s="119">
        <f t="shared" si="159"/>
        <v>-27.14498420852874</v>
      </c>
      <c r="W103" s="119">
        <f t="shared" si="159"/>
        <v>-26.126840803865093</v>
      </c>
      <c r="X103" s="119">
        <f t="shared" si="159"/>
        <v>-24.116522492060994</v>
      </c>
      <c r="Y103" s="119">
        <f t="shared" si="159"/>
        <v>-23.750187628513117</v>
      </c>
      <c r="Z103" s="119">
        <f t="shared" si="159"/>
        <v>-22.004327292626954</v>
      </c>
      <c r="AA103" s="119">
        <f t="shared" si="159"/>
        <v>-22.021434877356569</v>
      </c>
      <c r="AB103" s="119">
        <f t="shared" si="159"/>
        <v>-20.873474693224466</v>
      </c>
      <c r="AC103" s="119">
        <f t="shared" si="159"/>
        <v>-19.302197666930056</v>
      </c>
      <c r="AD103" s="211">
        <f t="shared" si="159"/>
        <v>-19.914298235712295</v>
      </c>
      <c r="AE103" s="119">
        <f t="shared" si="159"/>
        <v>-17.588556406841462</v>
      </c>
      <c r="AF103" s="119">
        <f t="shared" si="159"/>
        <v>-16.953469121996136</v>
      </c>
      <c r="AG103" s="119">
        <f t="shared" si="159"/>
        <v>-17.159927685833907</v>
      </c>
      <c r="AH103" s="119">
        <f t="shared" si="148"/>
        <v>-13.595486219008023</v>
      </c>
      <c r="AI103" s="119">
        <f t="shared" ref="AI103" si="160">AI48-AI35</f>
        <v>-6.5974325949663921</v>
      </c>
      <c r="AJ103" s="119"/>
    </row>
    <row r="104" spans="1:37">
      <c r="A104" s="6" t="s">
        <v>52</v>
      </c>
      <c r="B104" s="119">
        <f t="shared" si="146"/>
        <v>0</v>
      </c>
      <c r="C104" s="119">
        <f t="shared" ref="C104:AG104" si="161">C49-C36</f>
        <v>0</v>
      </c>
      <c r="D104" s="119">
        <f t="shared" si="161"/>
        <v>-1.2273285029543501</v>
      </c>
      <c r="E104" s="119">
        <f t="shared" si="161"/>
        <v>-3.1648024561547174</v>
      </c>
      <c r="F104" s="119">
        <f t="shared" si="161"/>
        <v>-4.1247851627307028</v>
      </c>
      <c r="G104" s="119">
        <f t="shared" si="161"/>
        <v>-3.2067757393017189</v>
      </c>
      <c r="H104" s="119">
        <f t="shared" si="161"/>
        <v>-3.1352735378056735</v>
      </c>
      <c r="I104" s="119">
        <f t="shared" si="161"/>
        <v>-3.2394683143071887</v>
      </c>
      <c r="J104" s="119">
        <f t="shared" si="161"/>
        <v>-3.6207648389268314</v>
      </c>
      <c r="K104" s="119">
        <f t="shared" si="161"/>
        <v>-2.9275765427479143</v>
      </c>
      <c r="L104" s="119">
        <f t="shared" si="161"/>
        <v>-3.0126341512637538</v>
      </c>
      <c r="M104" s="119">
        <f t="shared" si="161"/>
        <v>-3.2793238580622983</v>
      </c>
      <c r="N104" s="119">
        <f t="shared" si="161"/>
        <v>-2.9280972199926509</v>
      </c>
      <c r="O104" s="119">
        <f t="shared" si="161"/>
        <v>-2.4787515736563819</v>
      </c>
      <c r="P104" s="119">
        <f t="shared" si="161"/>
        <v>-2.7661757956250739</v>
      </c>
      <c r="Q104" s="119">
        <f t="shared" si="161"/>
        <v>-2.6727670457493389</v>
      </c>
      <c r="R104" s="119">
        <f t="shared" si="161"/>
        <v>-1.8079886867061816</v>
      </c>
      <c r="S104" s="119">
        <f t="shared" si="161"/>
        <v>-0.78849840646049074</v>
      </c>
      <c r="T104" s="119">
        <f t="shared" si="161"/>
        <v>-2.1298881476636353</v>
      </c>
      <c r="U104" s="119">
        <f t="shared" si="161"/>
        <v>-1.9741085557540003</v>
      </c>
      <c r="V104" s="119">
        <f t="shared" si="161"/>
        <v>-1.7819134122426732</v>
      </c>
      <c r="W104" s="119">
        <f t="shared" si="161"/>
        <v>-1.7154787275970023</v>
      </c>
      <c r="X104" s="119">
        <f t="shared" si="161"/>
        <v>-1.714099274869568</v>
      </c>
      <c r="Y104" s="119">
        <f t="shared" si="161"/>
        <v>-1.7738168576686917</v>
      </c>
      <c r="Z104" s="119">
        <f t="shared" si="161"/>
        <v>-1.2064137399126196</v>
      </c>
      <c r="AA104" s="119">
        <f t="shared" si="161"/>
        <v>-1.5782660238135264</v>
      </c>
      <c r="AB104" s="119">
        <f t="shared" si="161"/>
        <v>-1.5153202014340224</v>
      </c>
      <c r="AC104" s="119">
        <f t="shared" si="161"/>
        <v>-0.74951086551824631</v>
      </c>
      <c r="AD104" s="211">
        <f t="shared" si="161"/>
        <v>-1.2678228546718913</v>
      </c>
      <c r="AE104" s="119">
        <f t="shared" si="161"/>
        <v>-1.1287443393681542</v>
      </c>
      <c r="AF104" s="119">
        <f t="shared" si="161"/>
        <v>-1.071155153249606</v>
      </c>
      <c r="AG104" s="119">
        <f t="shared" si="161"/>
        <v>0.79951996642608947</v>
      </c>
      <c r="AH104" s="119">
        <f t="shared" si="148"/>
        <v>-0.77493469704758411</v>
      </c>
      <c r="AI104" s="119">
        <f t="shared" ref="AI104" si="162">AI49-AI36</f>
        <v>-0.58957178861416537</v>
      </c>
      <c r="AJ104" s="119"/>
    </row>
    <row r="105" spans="1:37">
      <c r="A105" s="36" t="s">
        <v>66</v>
      </c>
      <c r="B105" s="119">
        <f t="shared" si="146"/>
        <v>0</v>
      </c>
      <c r="C105" s="119">
        <f t="shared" ref="C105:AG105" si="163">C50-C37</f>
        <v>0</v>
      </c>
      <c r="D105" s="119">
        <f t="shared" si="163"/>
        <v>-6.0609896099127702E-2</v>
      </c>
      <c r="E105" s="119">
        <f t="shared" si="163"/>
        <v>-9.3822377800455214E-2</v>
      </c>
      <c r="F105" s="119">
        <f t="shared" si="163"/>
        <v>-0.22445664715627878</v>
      </c>
      <c r="G105" s="119">
        <f t="shared" si="163"/>
        <v>-0.24690980856892875</v>
      </c>
      <c r="H105" s="119">
        <f t="shared" si="163"/>
        <v>-0.18999536721112165</v>
      </c>
      <c r="I105" s="119">
        <f t="shared" si="163"/>
        <v>-0.11055318192298103</v>
      </c>
      <c r="J105" s="119">
        <f t="shared" si="163"/>
        <v>-4.2766604279746545E-2</v>
      </c>
      <c r="K105" s="119">
        <f t="shared" si="163"/>
        <v>-0.21197900534294511</v>
      </c>
      <c r="L105" s="119">
        <f t="shared" si="163"/>
        <v>3.9843502589506308E-2</v>
      </c>
      <c r="M105" s="119">
        <f t="shared" si="163"/>
        <v>1.5076255060407107E-2</v>
      </c>
      <c r="N105" s="119">
        <f t="shared" si="163"/>
        <v>5.2220760824726042E-2</v>
      </c>
      <c r="O105" s="119">
        <f t="shared" si="163"/>
        <v>1.6098149320042054E-2</v>
      </c>
      <c r="P105" s="119">
        <f t="shared" si="163"/>
        <v>-1.5072940414993186E-2</v>
      </c>
      <c r="Q105" s="119">
        <f t="shared" si="163"/>
        <v>-2.2697310152259176E-2</v>
      </c>
      <c r="R105" s="119">
        <f t="shared" si="163"/>
        <v>-2.4538712728619405E-2</v>
      </c>
      <c r="S105" s="119">
        <f t="shared" si="163"/>
        <v>-2.3260176689655854E-2</v>
      </c>
      <c r="T105" s="119">
        <f t="shared" si="163"/>
        <v>-2.0716625120902332E-2</v>
      </c>
      <c r="U105" s="119">
        <f t="shared" si="163"/>
        <v>-1.7814558322098217E-2</v>
      </c>
      <c r="V105" s="119">
        <f t="shared" si="163"/>
        <v>-1.6892739564834947E-2</v>
      </c>
      <c r="W105" s="119">
        <f t="shared" si="163"/>
        <v>-1.6088177005845306E-2</v>
      </c>
      <c r="X105" s="119">
        <f t="shared" si="163"/>
        <v>-1.6765820598233172E-2</v>
      </c>
      <c r="Y105" s="119">
        <f t="shared" si="163"/>
        <v>-1.3980403523407958E-2</v>
      </c>
      <c r="Z105" s="119">
        <f t="shared" si="163"/>
        <v>-1.4171741007012906E-2</v>
      </c>
      <c r="AA105" s="119">
        <f t="shared" si="163"/>
        <v>-1.3864914307498144E-2</v>
      </c>
      <c r="AB105" s="119">
        <f t="shared" si="163"/>
        <v>-1.2888711998398361E-2</v>
      </c>
      <c r="AC105" s="119">
        <f t="shared" si="163"/>
        <v>-1.1678366572877685E-2</v>
      </c>
      <c r="AD105" s="211">
        <f t="shared" si="163"/>
        <v>-1.0427651966048279E-2</v>
      </c>
      <c r="AE105" s="119">
        <f t="shared" si="163"/>
        <v>-1.0581048966024575E-2</v>
      </c>
      <c r="AF105" s="119">
        <f t="shared" si="163"/>
        <v>-9.5079073418288251E-3</v>
      </c>
      <c r="AG105" s="119">
        <f t="shared" si="163"/>
        <v>-9.0769612929899046E-3</v>
      </c>
      <c r="AH105" s="119">
        <f t="shared" si="148"/>
        <v>-6.6742925475822279E-3</v>
      </c>
      <c r="AI105" s="119">
        <f t="shared" ref="AI105" si="164">AI50-AI37</f>
        <v>-3.2328896985929501E-3</v>
      </c>
      <c r="AJ105" s="119"/>
    </row>
    <row r="106" spans="1:37">
      <c r="A106" s="12" t="s">
        <v>69</v>
      </c>
      <c r="B106" s="212">
        <f t="shared" si="146"/>
        <v>0</v>
      </c>
      <c r="C106" s="212">
        <f t="shared" ref="C106:AF106" si="165">C51-C38</f>
        <v>0</v>
      </c>
      <c r="D106" s="212">
        <f t="shared" si="165"/>
        <v>0</v>
      </c>
      <c r="E106" s="212">
        <f t="shared" si="165"/>
        <v>0</v>
      </c>
      <c r="F106" s="212">
        <f t="shared" si="165"/>
        <v>0</v>
      </c>
      <c r="G106" s="212">
        <f t="shared" si="165"/>
        <v>-3.3712226253887536</v>
      </c>
      <c r="H106" s="212">
        <f t="shared" si="165"/>
        <v>-5.4883483046460668</v>
      </c>
      <c r="I106" s="212">
        <f t="shared" si="165"/>
        <v>-7.1198580520796497</v>
      </c>
      <c r="J106" s="212">
        <f t="shared" si="165"/>
        <v>-8.4482270876156065</v>
      </c>
      <c r="K106" s="212">
        <f t="shared" si="165"/>
        <v>-10.961912121015985</v>
      </c>
      <c r="L106" s="212">
        <f t="shared" si="165"/>
        <v>-9.665317814376408</v>
      </c>
      <c r="M106" s="212">
        <f t="shared" si="165"/>
        <v>-10.970741331555132</v>
      </c>
      <c r="N106" s="212">
        <f t="shared" si="165"/>
        <v>-11.349232542436141</v>
      </c>
      <c r="O106" s="212">
        <f t="shared" si="165"/>
        <v>-12.055122419648569</v>
      </c>
      <c r="P106" s="212">
        <f t="shared" si="165"/>
        <v>-13.315592390886763</v>
      </c>
      <c r="Q106" s="212">
        <f t="shared" si="165"/>
        <v>-13.27775254229158</v>
      </c>
      <c r="R106" s="212">
        <f t="shared" si="165"/>
        <v>-14.738508530616343</v>
      </c>
      <c r="S106" s="212">
        <f t="shared" si="165"/>
        <v>-16.710781676988006</v>
      </c>
      <c r="T106" s="212">
        <f t="shared" si="165"/>
        <v>-17.71003504105289</v>
      </c>
      <c r="U106" s="212">
        <f t="shared" si="165"/>
        <v>-19.505905971701395</v>
      </c>
      <c r="V106" s="212">
        <f t="shared" si="165"/>
        <v>-20.16031475274491</v>
      </c>
      <c r="W106" s="212">
        <f t="shared" si="165"/>
        <v>-20.660032144669572</v>
      </c>
      <c r="X106" s="212">
        <f t="shared" si="165"/>
        <v>-20.070084607880744</v>
      </c>
      <c r="Y106" s="212">
        <f t="shared" si="165"/>
        <v>-20.654098670143867</v>
      </c>
      <c r="Z106" s="212">
        <f t="shared" si="165"/>
        <v>-19.880343935870883</v>
      </c>
      <c r="AA106" s="212">
        <f t="shared" si="165"/>
        <v>-20.047727266932384</v>
      </c>
      <c r="AB106" s="212">
        <f t="shared" si="165"/>
        <v>-19.712062444792764</v>
      </c>
      <c r="AC106" s="212">
        <f t="shared" si="165"/>
        <v>-19.00387243003172</v>
      </c>
      <c r="AD106" s="213">
        <f t="shared" si="165"/>
        <v>-20.083024770925704</v>
      </c>
      <c r="AE106" s="212">
        <f t="shared" si="165"/>
        <v>-18.422011864349884</v>
      </c>
      <c r="AF106" s="212">
        <f t="shared" si="165"/>
        <v>-18.331589771950917</v>
      </c>
      <c r="AG106" s="212">
        <f t="shared" ref="AG106:AH106" si="166">AG51-AG38</f>
        <v>-19.270510708369898</v>
      </c>
      <c r="AH106" s="212">
        <f t="shared" si="166"/>
        <v>-15.473708964674529</v>
      </c>
      <c r="AI106" s="212">
        <f t="shared" ref="AI106" si="167">AI51-AI38</f>
        <v>-7.6606568415282936</v>
      </c>
      <c r="AJ106" s="212"/>
    </row>
    <row r="107" spans="1:37">
      <c r="A107" s="6" t="s">
        <v>61</v>
      </c>
      <c r="B107" s="119">
        <f t="shared" ref="B107:AG107" si="168">SUM(B97:B106)</f>
        <v>0</v>
      </c>
      <c r="C107" s="119">
        <f t="shared" si="168"/>
        <v>0.95602539473914416</v>
      </c>
      <c r="D107" s="119">
        <f t="shared" si="168"/>
        <v>19.060269329330016</v>
      </c>
      <c r="E107" s="119">
        <f t="shared" si="168"/>
        <v>49.070114150435593</v>
      </c>
      <c r="F107" s="119">
        <f t="shared" si="168"/>
        <v>65.556158164125847</v>
      </c>
      <c r="G107" s="119">
        <f t="shared" si="168"/>
        <v>53.415294998472731</v>
      </c>
      <c r="H107" s="119">
        <f t="shared" si="168"/>
        <v>41.396152820021697</v>
      </c>
      <c r="I107" s="119">
        <f t="shared" si="168"/>
        <v>18.104854059593762</v>
      </c>
      <c r="J107" s="119">
        <f t="shared" si="168"/>
        <v>1.2346898523406242</v>
      </c>
      <c r="K107" s="119">
        <f t="shared" si="168"/>
        <v>-6.4826277278638411</v>
      </c>
      <c r="L107" s="119">
        <f t="shared" si="168"/>
        <v>-5.8337319330372841</v>
      </c>
      <c r="M107" s="119">
        <f t="shared" si="168"/>
        <v>-12.318722666151061</v>
      </c>
      <c r="N107" s="119">
        <f t="shared" si="168"/>
        <v>-14.065410409057959</v>
      </c>
      <c r="O107" s="119">
        <f t="shared" si="168"/>
        <v>-14.336313113083198</v>
      </c>
      <c r="P107" s="119">
        <f t="shared" si="168"/>
        <v>-32.439816324218697</v>
      </c>
      <c r="Q107" s="119">
        <f t="shared" si="168"/>
        <v>-42.451027054413061</v>
      </c>
      <c r="R107" s="119">
        <f t="shared" si="168"/>
        <v>-32.324146821581486</v>
      </c>
      <c r="S107" s="119">
        <f t="shared" si="168"/>
        <v>-29.224458331391347</v>
      </c>
      <c r="T107" s="119">
        <f t="shared" si="168"/>
        <v>-39.166763909038963</v>
      </c>
      <c r="U107" s="119">
        <f t="shared" si="168"/>
        <v>-47.694490529456189</v>
      </c>
      <c r="V107" s="119">
        <f t="shared" si="168"/>
        <v>-48.149240266679385</v>
      </c>
      <c r="W107" s="119">
        <f t="shared" si="168"/>
        <v>-48.058078614356425</v>
      </c>
      <c r="X107" s="119">
        <f t="shared" si="168"/>
        <v>-45.843702090377448</v>
      </c>
      <c r="Y107" s="119">
        <f t="shared" si="168"/>
        <v>-46.460916807639101</v>
      </c>
      <c r="Z107" s="119">
        <f t="shared" si="168"/>
        <v>-43.670216291279147</v>
      </c>
      <c r="AA107" s="119">
        <f t="shared" si="168"/>
        <v>-44.488567859221973</v>
      </c>
      <c r="AB107" s="119">
        <f t="shared" si="168"/>
        <v>-36.859055941596914</v>
      </c>
      <c r="AC107" s="119">
        <f t="shared" si="168"/>
        <v>-30.263662266390401</v>
      </c>
      <c r="AD107" s="211">
        <f t="shared" si="168"/>
        <v>-33.368524465887404</v>
      </c>
      <c r="AE107" s="119">
        <f t="shared" si="168"/>
        <v>-30.062438020068466</v>
      </c>
      <c r="AF107" s="119">
        <f t="shared" si="168"/>
        <v>-30.016735568519437</v>
      </c>
      <c r="AG107" s="119">
        <f t="shared" si="168"/>
        <v>-29.462239726542535</v>
      </c>
      <c r="AH107" s="119">
        <f t="shared" ref="AH107" si="169">SUM(AH97:AH106)</f>
        <v>-25.243682418108541</v>
      </c>
      <c r="AI107" s="119">
        <f t="shared" ref="AI107" si="170">SUM(AI97:AI106)</f>
        <v>-13.239802177410487</v>
      </c>
      <c r="AJ107" s="119"/>
    </row>
    <row r="108" spans="1:37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52"/>
      <c r="AD108" s="214"/>
      <c r="AE108" s="15"/>
      <c r="AF108" s="15"/>
      <c r="AG108" s="15"/>
      <c r="AH108" s="15"/>
      <c r="AI108" s="15"/>
      <c r="AJ108" s="15"/>
    </row>
    <row r="109" spans="1:37">
      <c r="A109" s="6" t="s">
        <v>64</v>
      </c>
      <c r="AC109" s="36"/>
      <c r="AD109" s="215"/>
    </row>
    <row r="110" spans="1:37">
      <c r="A110" s="152" t="str">
        <f>A96</f>
        <v>Clean Energy Connection-SoBra 700MWs</v>
      </c>
      <c r="B110" s="152">
        <f>$B$1</f>
        <v>2020</v>
      </c>
      <c r="C110" s="152">
        <f t="shared" ref="C110:AH110" si="171">B110+1</f>
        <v>2021</v>
      </c>
      <c r="D110" s="152">
        <f t="shared" si="171"/>
        <v>2022</v>
      </c>
      <c r="E110" s="152">
        <f t="shared" si="171"/>
        <v>2023</v>
      </c>
      <c r="F110" s="152">
        <f t="shared" si="171"/>
        <v>2024</v>
      </c>
      <c r="G110" s="152">
        <f t="shared" si="171"/>
        <v>2025</v>
      </c>
      <c r="H110" s="152">
        <f t="shared" si="171"/>
        <v>2026</v>
      </c>
      <c r="I110" s="152">
        <f t="shared" si="171"/>
        <v>2027</v>
      </c>
      <c r="J110" s="152">
        <f t="shared" si="171"/>
        <v>2028</v>
      </c>
      <c r="K110" s="152">
        <f t="shared" si="171"/>
        <v>2029</v>
      </c>
      <c r="L110" s="152">
        <f t="shared" si="171"/>
        <v>2030</v>
      </c>
      <c r="M110" s="152">
        <f t="shared" si="171"/>
        <v>2031</v>
      </c>
      <c r="N110" s="152">
        <f t="shared" si="171"/>
        <v>2032</v>
      </c>
      <c r="O110" s="152">
        <f t="shared" si="171"/>
        <v>2033</v>
      </c>
      <c r="P110" s="152">
        <f t="shared" si="171"/>
        <v>2034</v>
      </c>
      <c r="Q110" s="152">
        <f t="shared" si="171"/>
        <v>2035</v>
      </c>
      <c r="R110" s="152">
        <f t="shared" si="171"/>
        <v>2036</v>
      </c>
      <c r="S110" s="152">
        <f t="shared" si="171"/>
        <v>2037</v>
      </c>
      <c r="T110" s="152">
        <f t="shared" si="171"/>
        <v>2038</v>
      </c>
      <c r="U110" s="152">
        <f t="shared" si="171"/>
        <v>2039</v>
      </c>
      <c r="V110" s="152">
        <f t="shared" si="171"/>
        <v>2040</v>
      </c>
      <c r="W110" s="152">
        <f t="shared" si="171"/>
        <v>2041</v>
      </c>
      <c r="X110" s="152">
        <f t="shared" si="171"/>
        <v>2042</v>
      </c>
      <c r="Y110" s="152">
        <f t="shared" si="171"/>
        <v>2043</v>
      </c>
      <c r="Z110" s="152">
        <f t="shared" si="171"/>
        <v>2044</v>
      </c>
      <c r="AA110" s="152">
        <f t="shared" si="171"/>
        <v>2045</v>
      </c>
      <c r="AB110" s="152">
        <f t="shared" si="171"/>
        <v>2046</v>
      </c>
      <c r="AC110" s="209">
        <f t="shared" si="171"/>
        <v>2047</v>
      </c>
      <c r="AD110" s="210">
        <f t="shared" si="171"/>
        <v>2048</v>
      </c>
      <c r="AE110" s="152">
        <f t="shared" si="171"/>
        <v>2049</v>
      </c>
      <c r="AF110" s="152">
        <f t="shared" si="171"/>
        <v>2050</v>
      </c>
      <c r="AG110" s="152">
        <f t="shared" si="171"/>
        <v>2051</v>
      </c>
      <c r="AH110" s="152">
        <f t="shared" si="171"/>
        <v>2052</v>
      </c>
      <c r="AI110" s="152">
        <f t="shared" ref="AI110" si="172">AH110+1</f>
        <v>2053</v>
      </c>
      <c r="AJ110" s="152"/>
    </row>
    <row r="111" spans="1:37">
      <c r="A111" s="6" t="s">
        <v>134</v>
      </c>
      <c r="B111" s="119">
        <f t="shared" ref="B111:B120" si="173">B69-B56</f>
        <v>0</v>
      </c>
      <c r="C111" s="119">
        <f t="shared" ref="C111:AG111" si="174">C69-C56</f>
        <v>0</v>
      </c>
      <c r="D111" s="119">
        <f t="shared" si="174"/>
        <v>0</v>
      </c>
      <c r="E111" s="119">
        <f t="shared" si="174"/>
        <v>0</v>
      </c>
      <c r="F111" s="119">
        <f t="shared" si="174"/>
        <v>0</v>
      </c>
      <c r="G111" s="119">
        <f t="shared" si="174"/>
        <v>0</v>
      </c>
      <c r="H111" s="119">
        <f t="shared" si="174"/>
        <v>0</v>
      </c>
      <c r="I111" s="119">
        <f t="shared" si="174"/>
        <v>0</v>
      </c>
      <c r="J111" s="119">
        <f t="shared" si="174"/>
        <v>0</v>
      </c>
      <c r="K111" s="119">
        <f t="shared" si="174"/>
        <v>0</v>
      </c>
      <c r="L111" s="119">
        <f t="shared" si="174"/>
        <v>0</v>
      </c>
      <c r="M111" s="119">
        <f t="shared" si="174"/>
        <v>0</v>
      </c>
      <c r="N111" s="119">
        <f t="shared" si="174"/>
        <v>0</v>
      </c>
      <c r="O111" s="119">
        <f t="shared" si="174"/>
        <v>0</v>
      </c>
      <c r="P111" s="119">
        <f t="shared" si="174"/>
        <v>0</v>
      </c>
      <c r="Q111" s="119">
        <f t="shared" si="174"/>
        <v>0</v>
      </c>
      <c r="R111" s="119">
        <f t="shared" si="174"/>
        <v>0</v>
      </c>
      <c r="S111" s="119">
        <f t="shared" si="174"/>
        <v>0</v>
      </c>
      <c r="T111" s="119">
        <f t="shared" si="174"/>
        <v>0</v>
      </c>
      <c r="U111" s="119">
        <f t="shared" si="174"/>
        <v>0</v>
      </c>
      <c r="V111" s="119">
        <f t="shared" si="174"/>
        <v>0</v>
      </c>
      <c r="W111" s="119">
        <f t="shared" si="174"/>
        <v>0</v>
      </c>
      <c r="X111" s="119">
        <f t="shared" si="174"/>
        <v>0</v>
      </c>
      <c r="Y111" s="119">
        <f t="shared" si="174"/>
        <v>0</v>
      </c>
      <c r="Z111" s="119">
        <f t="shared" si="174"/>
        <v>0</v>
      </c>
      <c r="AA111" s="119">
        <f t="shared" si="174"/>
        <v>0</v>
      </c>
      <c r="AB111" s="119">
        <f t="shared" si="174"/>
        <v>0</v>
      </c>
      <c r="AC111" s="119">
        <f t="shared" si="174"/>
        <v>0</v>
      </c>
      <c r="AD111" s="211">
        <f t="shared" si="174"/>
        <v>0</v>
      </c>
      <c r="AE111" s="119">
        <f t="shared" si="174"/>
        <v>0</v>
      </c>
      <c r="AF111" s="119">
        <f t="shared" si="174"/>
        <v>0</v>
      </c>
      <c r="AG111" s="119">
        <f t="shared" si="174"/>
        <v>0</v>
      </c>
      <c r="AH111" s="119">
        <f t="shared" ref="AH111:AH119" si="175">AH69-AH56</f>
        <v>0</v>
      </c>
      <c r="AI111" s="119">
        <f t="shared" ref="AI111" si="176">AI69-AI56</f>
        <v>0</v>
      </c>
      <c r="AJ111" s="119"/>
      <c r="AK111" s="119" t="str">
        <f t="shared" ref="AK111:AK120" si="177">A111</f>
        <v>Existing Solar</v>
      </c>
    </row>
    <row r="112" spans="1:37">
      <c r="A112" s="6" t="s">
        <v>135</v>
      </c>
      <c r="B112" s="119">
        <f t="shared" si="173"/>
        <v>0</v>
      </c>
      <c r="C112" s="119">
        <f t="shared" ref="C112:AG112" si="178">C70-C57</f>
        <v>0</v>
      </c>
      <c r="D112" s="119">
        <f t="shared" si="178"/>
        <v>27.104402529171068</v>
      </c>
      <c r="E112" s="119">
        <f t="shared" si="178"/>
        <v>98.781674233069964</v>
      </c>
      <c r="F112" s="119">
        <f t="shared" si="178"/>
        <v>205.49827041468927</v>
      </c>
      <c r="G112" s="119">
        <f t="shared" si="178"/>
        <v>300.46649364736896</v>
      </c>
      <c r="H112" s="119">
        <f t="shared" si="178"/>
        <v>385.39678406731878</v>
      </c>
      <c r="I112" s="119">
        <f t="shared" si="178"/>
        <v>456.76610212359998</v>
      </c>
      <c r="J112" s="119">
        <f t="shared" si="178"/>
        <v>521.38216806475043</v>
      </c>
      <c r="K112" s="119">
        <f t="shared" si="178"/>
        <v>580.22999313960736</v>
      </c>
      <c r="L112" s="119">
        <f t="shared" si="178"/>
        <v>634.01636784102379</v>
      </c>
      <c r="M112" s="119">
        <f t="shared" si="178"/>
        <v>683.26715478238884</v>
      </c>
      <c r="N112" s="119">
        <f t="shared" si="178"/>
        <v>728.35372964352109</v>
      </c>
      <c r="O112" s="119">
        <f t="shared" si="178"/>
        <v>769.60576167263162</v>
      </c>
      <c r="P112" s="119">
        <f t="shared" si="178"/>
        <v>807.31002678440973</v>
      </c>
      <c r="Q112" s="119">
        <f t="shared" si="178"/>
        <v>841.7817862456186</v>
      </c>
      <c r="R112" s="119">
        <f t="shared" si="178"/>
        <v>873.29202848516286</v>
      </c>
      <c r="S112" s="119">
        <f t="shared" si="178"/>
        <v>902.06344495740177</v>
      </c>
      <c r="T112" s="119">
        <f t="shared" si="178"/>
        <v>930.24970017284386</v>
      </c>
      <c r="U112" s="119">
        <f t="shared" si="178"/>
        <v>955.84915294119799</v>
      </c>
      <c r="V112" s="119">
        <f t="shared" si="178"/>
        <v>979.07310442426649</v>
      </c>
      <c r="W112" s="119">
        <f t="shared" si="178"/>
        <v>1000.1248911355183</v>
      </c>
      <c r="X112" s="119">
        <f t="shared" si="178"/>
        <v>1019.2432452792501</v>
      </c>
      <c r="Y112" s="119">
        <f t="shared" si="178"/>
        <v>1036.6317832813522</v>
      </c>
      <c r="Z112" s="119">
        <f t="shared" si="178"/>
        <v>1052.4528204477485</v>
      </c>
      <c r="AA112" s="119">
        <f t="shared" si="178"/>
        <v>1066.8199714822242</v>
      </c>
      <c r="AB112" s="119">
        <f t="shared" si="178"/>
        <v>1079.8900698837747</v>
      </c>
      <c r="AC112" s="119">
        <f t="shared" si="178"/>
        <v>1091.7640225794905</v>
      </c>
      <c r="AD112" s="211">
        <f t="shared" si="178"/>
        <v>1102.5564189601394</v>
      </c>
      <c r="AE112" s="119">
        <f t="shared" si="178"/>
        <v>1112.3456472165315</v>
      </c>
      <c r="AF112" s="119">
        <f t="shared" si="178"/>
        <v>1121.2349572228359</v>
      </c>
      <c r="AG112" s="119">
        <f t="shared" si="178"/>
        <v>1129.7914422876931</v>
      </c>
      <c r="AH112" s="119">
        <f t="shared" si="175"/>
        <v>1136.619048814528</v>
      </c>
      <c r="AI112" s="119">
        <f t="shared" ref="AI112" si="179">AI70-AI57</f>
        <v>1140.2982843495179</v>
      </c>
      <c r="AJ112" s="119"/>
      <c r="AK112" s="119" t="str">
        <f t="shared" si="177"/>
        <v>New Solar</v>
      </c>
    </row>
    <row r="113" spans="1:38">
      <c r="A113" s="6" t="s">
        <v>60</v>
      </c>
      <c r="B113" s="119">
        <f t="shared" si="173"/>
        <v>0</v>
      </c>
      <c r="C113" s="119">
        <f t="shared" ref="C113:AG113" si="180">C71-C58</f>
        <v>0</v>
      </c>
      <c r="D113" s="119">
        <f t="shared" si="180"/>
        <v>0</v>
      </c>
      <c r="E113" s="119">
        <f t="shared" si="180"/>
        <v>0</v>
      </c>
      <c r="F113" s="119">
        <f t="shared" si="180"/>
        <v>0</v>
      </c>
      <c r="G113" s="119">
        <f t="shared" si="180"/>
        <v>0</v>
      </c>
      <c r="H113" s="119">
        <f t="shared" si="180"/>
        <v>0</v>
      </c>
      <c r="I113" s="119">
        <f t="shared" si="180"/>
        <v>-6.8065319934405428</v>
      </c>
      <c r="J113" s="119">
        <f t="shared" si="180"/>
        <v>-23.963273112755651</v>
      </c>
      <c r="K113" s="119">
        <f t="shared" si="180"/>
        <v>-37.68962653509206</v>
      </c>
      <c r="L113" s="119">
        <f t="shared" si="180"/>
        <v>-51.938491893392545</v>
      </c>
      <c r="M113" s="119">
        <f t="shared" si="180"/>
        <v>-63.218316402033011</v>
      </c>
      <c r="N113" s="119">
        <f t="shared" si="180"/>
        <v>-75.08199699487605</v>
      </c>
      <c r="O113" s="119">
        <f t="shared" si="180"/>
        <v>-84.363118834522751</v>
      </c>
      <c r="P113" s="119">
        <f t="shared" si="180"/>
        <v>-95.555131916288076</v>
      </c>
      <c r="Q113" s="119">
        <f t="shared" si="180"/>
        <v>-109.74311048334511</v>
      </c>
      <c r="R113" s="119">
        <f t="shared" si="180"/>
        <v>-117.75217666752008</v>
      </c>
      <c r="S113" s="119">
        <f t="shared" si="180"/>
        <v>-121.79306183603046</v>
      </c>
      <c r="T113" s="119">
        <f t="shared" si="180"/>
        <v>-129.86103987438742</v>
      </c>
      <c r="U113" s="119">
        <f t="shared" si="180"/>
        <v>-140.0916504003319</v>
      </c>
      <c r="V113" s="119">
        <f t="shared" si="180"/>
        <v>-149.36500250181143</v>
      </c>
      <c r="W113" s="119">
        <f t="shared" si="180"/>
        <v>-157.76503353992234</v>
      </c>
      <c r="X113" s="119">
        <f t="shared" si="180"/>
        <v>-165.37771678192939</v>
      </c>
      <c r="Y113" s="119">
        <f t="shared" si="180"/>
        <v>-172.3006922359657</v>
      </c>
      <c r="Z113" s="119">
        <f t="shared" si="180"/>
        <v>-178.6115897763425</v>
      </c>
      <c r="AA113" s="119">
        <f t="shared" si="180"/>
        <v>-184.36170521052736</v>
      </c>
      <c r="AB113" s="119">
        <f t="shared" si="180"/>
        <v>-186.67226590371502</v>
      </c>
      <c r="AC113" s="119">
        <f t="shared" si="180"/>
        <v>-186.84205217319368</v>
      </c>
      <c r="AD113" s="211">
        <f t="shared" si="180"/>
        <v>-187.00038054764764</v>
      </c>
      <c r="AE113" s="119">
        <f t="shared" si="180"/>
        <v>-187.1452413173879</v>
      </c>
      <c r="AF113" s="119">
        <f t="shared" si="180"/>
        <v>-187.2820530561703</v>
      </c>
      <c r="AG113" s="119">
        <f t="shared" si="180"/>
        <v>-187.40756014500812</v>
      </c>
      <c r="AH113" s="119">
        <f t="shared" si="175"/>
        <v>-187.50714140350556</v>
      </c>
      <c r="AI113" s="119">
        <f t="shared" ref="AI113" si="181">AI71-AI58</f>
        <v>-187.58269552528463</v>
      </c>
      <c r="AJ113" s="119"/>
      <c r="AK113" s="119" t="str">
        <f t="shared" si="177"/>
        <v>Conv Gen Capital</v>
      </c>
      <c r="AL113" s="16"/>
    </row>
    <row r="114" spans="1:38">
      <c r="A114" s="6" t="s">
        <v>68</v>
      </c>
      <c r="B114" s="119">
        <f t="shared" si="173"/>
        <v>0</v>
      </c>
      <c r="C114" s="119">
        <f t="shared" ref="C114:AG114" si="182">C72-C59</f>
        <v>0</v>
      </c>
      <c r="D114" s="119">
        <f t="shared" si="182"/>
        <v>0</v>
      </c>
      <c r="E114" s="119">
        <f t="shared" si="182"/>
        <v>0</v>
      </c>
      <c r="F114" s="119">
        <f t="shared" si="182"/>
        <v>0</v>
      </c>
      <c r="G114" s="119">
        <f t="shared" si="182"/>
        <v>0</v>
      </c>
      <c r="H114" s="119">
        <f t="shared" si="182"/>
        <v>0</v>
      </c>
      <c r="I114" s="119">
        <f t="shared" si="182"/>
        <v>-0.16330587684274178</v>
      </c>
      <c r="J114" s="119">
        <f t="shared" si="182"/>
        <v>-0.5891213502827668</v>
      </c>
      <c r="K114" s="119">
        <f t="shared" si="182"/>
        <v>-0.9551235061674106</v>
      </c>
      <c r="L114" s="119">
        <f t="shared" si="182"/>
        <v>-1.3480835154748547</v>
      </c>
      <c r="M114" s="119">
        <f t="shared" si="182"/>
        <v>-1.6858319651919373</v>
      </c>
      <c r="N114" s="119">
        <f t="shared" si="182"/>
        <v>-2.0484601922203183</v>
      </c>
      <c r="O114" s="119">
        <f t="shared" si="182"/>
        <v>-2.3601402918520762</v>
      </c>
      <c r="P114" s="119">
        <f t="shared" si="182"/>
        <v>-2.968785690347886</v>
      </c>
      <c r="Q114" s="119">
        <f t="shared" si="182"/>
        <v>-3.8260816941933626</v>
      </c>
      <c r="R114" s="119">
        <f t="shared" si="182"/>
        <v>-4.4094305986191102</v>
      </c>
      <c r="S114" s="119">
        <f t="shared" si="182"/>
        <v>-4.8049963842986472</v>
      </c>
      <c r="T114" s="119">
        <f t="shared" si="182"/>
        <v>-5.4066560985465912</v>
      </c>
      <c r="U114" s="119">
        <f t="shared" si="182"/>
        <v>-6.1367321643733703</v>
      </c>
      <c r="V114" s="119">
        <f t="shared" si="182"/>
        <v>-6.8380706023322091</v>
      </c>
      <c r="W114" s="119">
        <f t="shared" si="182"/>
        <v>-7.5118014416261758</v>
      </c>
      <c r="X114" s="119">
        <f t="shared" si="182"/>
        <v>-8.1590154177656586</v>
      </c>
      <c r="Y114" s="119">
        <f t="shared" si="182"/>
        <v>-8.7807507171592079</v>
      </c>
      <c r="Z114" s="119">
        <f t="shared" si="182"/>
        <v>-9.3780136805639813</v>
      </c>
      <c r="AA114" s="119">
        <f t="shared" si="182"/>
        <v>-9.9517661686827523</v>
      </c>
      <c r="AB114" s="119">
        <f t="shared" si="182"/>
        <v>-10.342178555049941</v>
      </c>
      <c r="AC114" s="119">
        <f t="shared" si="182"/>
        <v>-10.606914816706649</v>
      </c>
      <c r="AD114" s="211">
        <f t="shared" si="182"/>
        <v>-10.861229775078755</v>
      </c>
      <c r="AE114" s="119">
        <f t="shared" si="182"/>
        <v>-11.105534743956468</v>
      </c>
      <c r="AF114" s="119">
        <f t="shared" si="182"/>
        <v>-11.340224138767098</v>
      </c>
      <c r="AG114" s="119">
        <f t="shared" si="182"/>
        <v>-11.565674855845828</v>
      </c>
      <c r="AH114" s="119">
        <f t="shared" si="175"/>
        <v>-11.782251067264042</v>
      </c>
      <c r="AI114" s="119">
        <f t="shared" ref="AI114" si="183">AI72-AI59</f>
        <v>-11.990301872081091</v>
      </c>
      <c r="AJ114" s="119"/>
      <c r="AK114" s="119" t="str">
        <f t="shared" si="177"/>
        <v>Fixed Costs</v>
      </c>
    </row>
    <row r="115" spans="1:38">
      <c r="A115" s="6" t="s">
        <v>67</v>
      </c>
      <c r="B115" s="119">
        <f t="shared" si="173"/>
        <v>0</v>
      </c>
      <c r="C115" s="119">
        <f t="shared" ref="C115:AG115" si="184">C73-C60</f>
        <v>0</v>
      </c>
      <c r="D115" s="119">
        <f t="shared" si="184"/>
        <v>0</v>
      </c>
      <c r="E115" s="119">
        <f t="shared" si="184"/>
        <v>0</v>
      </c>
      <c r="F115" s="119">
        <f t="shared" si="184"/>
        <v>0</v>
      </c>
      <c r="G115" s="119">
        <f t="shared" si="184"/>
        <v>0</v>
      </c>
      <c r="H115" s="119">
        <f t="shared" si="184"/>
        <v>0</v>
      </c>
      <c r="I115" s="119">
        <f t="shared" si="184"/>
        <v>0</v>
      </c>
      <c r="J115" s="119">
        <f t="shared" si="184"/>
        <v>0</v>
      </c>
      <c r="K115" s="119">
        <f t="shared" si="184"/>
        <v>0</v>
      </c>
      <c r="L115" s="119">
        <f t="shared" si="184"/>
        <v>0</v>
      </c>
      <c r="M115" s="119">
        <f t="shared" si="184"/>
        <v>0</v>
      </c>
      <c r="N115" s="119">
        <f t="shared" si="184"/>
        <v>0</v>
      </c>
      <c r="O115" s="119">
        <f t="shared" si="184"/>
        <v>0</v>
      </c>
      <c r="P115" s="119">
        <f t="shared" si="184"/>
        <v>-10.406972306614989</v>
      </c>
      <c r="Q115" s="119">
        <f t="shared" si="184"/>
        <v>-27.12724599124067</v>
      </c>
      <c r="R115" s="119">
        <f t="shared" si="184"/>
        <v>-37.995702622427416</v>
      </c>
      <c r="S115" s="119">
        <f t="shared" si="184"/>
        <v>-44.967141172227457</v>
      </c>
      <c r="T115" s="119">
        <f t="shared" si="184"/>
        <v>-55.932130000884172</v>
      </c>
      <c r="U115" s="119">
        <f t="shared" si="184"/>
        <v>-69.175066667597093</v>
      </c>
      <c r="V115" s="119">
        <f t="shared" si="184"/>
        <v>-81.58644670499325</v>
      </c>
      <c r="W115" s="119">
        <f t="shared" si="184"/>
        <v>-93.218467670440077</v>
      </c>
      <c r="X115" s="119">
        <f t="shared" si="184"/>
        <v>-104.12008057151434</v>
      </c>
      <c r="Y115" s="119">
        <f t="shared" si="184"/>
        <v>-114.33714983212849</v>
      </c>
      <c r="Z115" s="119">
        <f t="shared" si="184"/>
        <v>-123.91267046150278</v>
      </c>
      <c r="AA115" s="119">
        <f t="shared" si="184"/>
        <v>-132.88691659962296</v>
      </c>
      <c r="AB115" s="119">
        <f t="shared" si="184"/>
        <v>-138.08391646269411</v>
      </c>
      <c r="AC115" s="119">
        <f t="shared" si="184"/>
        <v>-140.80321552577152</v>
      </c>
      <c r="AD115" s="211">
        <f t="shared" si="184"/>
        <v>-143.35176197664168</v>
      </c>
      <c r="AE115" s="119">
        <f t="shared" si="184"/>
        <v>-145.74027786311763</v>
      </c>
      <c r="AF115" s="119">
        <f t="shared" si="184"/>
        <v>-147.97881196478193</v>
      </c>
      <c r="AG115" s="119">
        <f t="shared" si="184"/>
        <v>-150.07678206943456</v>
      </c>
      <c r="AH115" s="119">
        <f t="shared" si="175"/>
        <v>-152.04301459488215</v>
      </c>
      <c r="AI115" s="119">
        <f t="shared" ref="AI115:AI116" si="185">AI73-AI60</f>
        <v>-153.88578172276175</v>
      </c>
      <c r="AJ115" s="119"/>
      <c r="AK115" s="119" t="str">
        <f t="shared" si="177"/>
        <v>Gas Reservation Costs</v>
      </c>
    </row>
    <row r="116" spans="1:38">
      <c r="A116" s="6" t="s">
        <v>383</v>
      </c>
      <c r="B116" s="119">
        <f t="shared" si="173"/>
        <v>0</v>
      </c>
      <c r="C116" s="119">
        <f t="shared" ref="C116:AG116" si="186">C74-C61</f>
        <v>0.95602539473914416</v>
      </c>
      <c r="D116" s="119">
        <f t="shared" si="186"/>
        <v>1.5072266250072159</v>
      </c>
      <c r="E116" s="119">
        <f t="shared" si="186"/>
        <v>2.0695367321701985</v>
      </c>
      <c r="F116" s="119">
        <f t="shared" si="186"/>
        <v>2.5900853804250303</v>
      </c>
      <c r="G116" s="119">
        <f t="shared" si="186"/>
        <v>3.0645593924772814</v>
      </c>
      <c r="H116" s="119">
        <f t="shared" si="186"/>
        <v>3.4105074444231458</v>
      </c>
      <c r="I116" s="119">
        <f t="shared" si="186"/>
        <v>3.7694032877547321</v>
      </c>
      <c r="J116" s="119">
        <f t="shared" si="186"/>
        <v>4.081384694912491</v>
      </c>
      <c r="K116" s="119">
        <f t="shared" si="186"/>
        <v>4.385661652913285</v>
      </c>
      <c r="L116" s="119">
        <f t="shared" si="186"/>
        <v>4.6936161007606358</v>
      </c>
      <c r="M116" s="119">
        <f t="shared" si="186"/>
        <v>4.876091196085361</v>
      </c>
      <c r="N116" s="119">
        <f t="shared" si="186"/>
        <v>5.0454798390598876</v>
      </c>
      <c r="O116" s="119">
        <f t="shared" si="186"/>
        <v>5.2294447586090405</v>
      </c>
      <c r="P116" s="119">
        <f t="shared" si="186"/>
        <v>5.3836719529946686</v>
      </c>
      <c r="Q116" s="119">
        <f t="shared" si="186"/>
        <v>5.5346613210514448</v>
      </c>
      <c r="R116" s="119">
        <f t="shared" si="186"/>
        <v>5.690057206126018</v>
      </c>
      <c r="S116" s="119">
        <f t="shared" si="186"/>
        <v>5.8275763916379768</v>
      </c>
      <c r="T116" s="119">
        <f t="shared" si="186"/>
        <v>5.9557466681538642</v>
      </c>
      <c r="U116" s="119">
        <f t="shared" si="186"/>
        <v>6.0933307004328334</v>
      </c>
      <c r="V116" s="119">
        <f t="shared" si="186"/>
        <v>6.2103146406013154</v>
      </c>
      <c r="W116" s="119">
        <f t="shared" si="186"/>
        <v>6.3246720109823338</v>
      </c>
      <c r="X116" s="119">
        <f t="shared" si="186"/>
        <v>6.4415980915041979</v>
      </c>
      <c r="Y116" s="119">
        <f t="shared" si="186"/>
        <v>6.5460068556555422</v>
      </c>
      <c r="Z116" s="119">
        <f t="shared" si="186"/>
        <v>6.6436912405524309</v>
      </c>
      <c r="AA116" s="119">
        <f t="shared" si="186"/>
        <v>6.7473794896881474</v>
      </c>
      <c r="AB116" s="119">
        <f t="shared" si="186"/>
        <v>6.8299441406162629</v>
      </c>
      <c r="AC116" s="119">
        <f t="shared" si="186"/>
        <v>6.9134101017759475</v>
      </c>
      <c r="AD116" s="211">
        <f t="shared" si="186"/>
        <v>6.9892525522111812</v>
      </c>
      <c r="AE116" s="119">
        <f t="shared" si="186"/>
        <v>7.065161560369619</v>
      </c>
      <c r="AF116" s="119">
        <f t="shared" si="186"/>
        <v>7.1348731753412622</v>
      </c>
      <c r="AG116" s="119">
        <f t="shared" si="186"/>
        <v>7.2050716835813713</v>
      </c>
      <c r="AH116" s="119">
        <f t="shared" si="175"/>
        <v>7.266976907278667</v>
      </c>
      <c r="AI116" s="119">
        <f t="shared" si="185"/>
        <v>7.325205364161631</v>
      </c>
      <c r="AJ116" s="119"/>
      <c r="AK116" s="119"/>
    </row>
    <row r="117" spans="1:38">
      <c r="A117" s="6" t="s">
        <v>65</v>
      </c>
      <c r="B117" s="119">
        <f t="shared" si="173"/>
        <v>0</v>
      </c>
      <c r="C117" s="119">
        <f t="shared" ref="C117:AG117" si="187">C75-C62</f>
        <v>0</v>
      </c>
      <c r="D117" s="119">
        <f t="shared" si="187"/>
        <v>-7.3073960310553048</v>
      </c>
      <c r="E117" s="119">
        <f t="shared" si="187"/>
        <v>-27.218238857726192</v>
      </c>
      <c r="F117" s="119">
        <f t="shared" si="187"/>
        <v>-64.549983713587608</v>
      </c>
      <c r="G117" s="119">
        <f t="shared" si="187"/>
        <v>-99.752477786587406</v>
      </c>
      <c r="H117" s="119">
        <f t="shared" si="187"/>
        <v>-134.81894622879827</v>
      </c>
      <c r="I117" s="119">
        <f t="shared" si="187"/>
        <v>-171.00258865022442</v>
      </c>
      <c r="J117" s="119">
        <f t="shared" si="187"/>
        <v>-205.00163102261467</v>
      </c>
      <c r="K117" s="119">
        <f t="shared" si="187"/>
        <v>-242.44253753600788</v>
      </c>
      <c r="L117" s="119">
        <f t="shared" si="187"/>
        <v>-275.09066478764908</v>
      </c>
      <c r="M117" s="119">
        <f t="shared" si="187"/>
        <v>-310.99008759757635</v>
      </c>
      <c r="N117" s="119">
        <f t="shared" si="187"/>
        <v>-343.8600436892666</v>
      </c>
      <c r="O117" s="119">
        <f t="shared" si="187"/>
        <v>-375.52177596774709</v>
      </c>
      <c r="P117" s="119">
        <f t="shared" si="187"/>
        <v>-407.5156126843267</v>
      </c>
      <c r="Q117" s="119">
        <f t="shared" si="187"/>
        <v>-436.8506234142842</v>
      </c>
      <c r="R117" s="119">
        <f t="shared" si="187"/>
        <v>-464.8085007106456</v>
      </c>
      <c r="S117" s="119">
        <f t="shared" si="187"/>
        <v>-494.01146493566011</v>
      </c>
      <c r="T117" s="119">
        <f t="shared" si="187"/>
        <v>-521.99738794155746</v>
      </c>
      <c r="U117" s="119">
        <f t="shared" si="187"/>
        <v>-549.72746292738339</v>
      </c>
      <c r="V117" s="119">
        <f t="shared" si="187"/>
        <v>-576.87244713591099</v>
      </c>
      <c r="W117" s="119">
        <f t="shared" si="187"/>
        <v>-602.99928793977597</v>
      </c>
      <c r="X117" s="119">
        <f t="shared" si="187"/>
        <v>-627.11581043183651</v>
      </c>
      <c r="Y117" s="119">
        <f t="shared" si="187"/>
        <v>-650.86599806034792</v>
      </c>
      <c r="Z117" s="119">
        <f t="shared" si="187"/>
        <v>-672.87032535297476</v>
      </c>
      <c r="AA117" s="119">
        <f t="shared" si="187"/>
        <v>-694.89176023032996</v>
      </c>
      <c r="AB117" s="119">
        <f t="shared" si="187"/>
        <v>-715.76523492355409</v>
      </c>
      <c r="AC117" s="119">
        <f t="shared" si="187"/>
        <v>-735.06743259048744</v>
      </c>
      <c r="AD117" s="211">
        <f t="shared" si="187"/>
        <v>-754.98173082619905</v>
      </c>
      <c r="AE117" s="119">
        <f t="shared" si="187"/>
        <v>-772.57028723304029</v>
      </c>
      <c r="AF117" s="119">
        <f t="shared" si="187"/>
        <v>-789.52375635503631</v>
      </c>
      <c r="AG117" s="119">
        <f t="shared" si="187"/>
        <v>-806.68368404087232</v>
      </c>
      <c r="AH117" s="119">
        <f t="shared" si="175"/>
        <v>-820.27917025988063</v>
      </c>
      <c r="AI117" s="119">
        <f t="shared" ref="AI117" si="188">AI75-AI62</f>
        <v>-826.87660285484526</v>
      </c>
      <c r="AJ117" s="119"/>
      <c r="AK117" s="119" t="str">
        <f t="shared" si="177"/>
        <v>Fuel Costs</v>
      </c>
    </row>
    <row r="118" spans="1:38">
      <c r="A118" s="6" t="s">
        <v>52</v>
      </c>
      <c r="B118" s="119">
        <f t="shared" si="173"/>
        <v>0</v>
      </c>
      <c r="C118" s="119">
        <f t="shared" ref="C118:AG118" si="189">C76-C63</f>
        <v>0</v>
      </c>
      <c r="D118" s="119">
        <f t="shared" si="189"/>
        <v>-1.2273285029543217</v>
      </c>
      <c r="E118" s="119">
        <f t="shared" si="189"/>
        <v>-4.3921309591090676</v>
      </c>
      <c r="F118" s="119">
        <f t="shared" si="189"/>
        <v>-8.5169161218398131</v>
      </c>
      <c r="G118" s="119">
        <f t="shared" si="189"/>
        <v>-11.72369186114156</v>
      </c>
      <c r="H118" s="119">
        <f t="shared" si="189"/>
        <v>-14.858965398947248</v>
      </c>
      <c r="I118" s="119">
        <f t="shared" si="189"/>
        <v>-18.098433713254394</v>
      </c>
      <c r="J118" s="119">
        <f t="shared" si="189"/>
        <v>-21.719198552181297</v>
      </c>
      <c r="K118" s="119">
        <f t="shared" si="189"/>
        <v>-24.646775094929239</v>
      </c>
      <c r="L118" s="119">
        <f t="shared" si="189"/>
        <v>-27.659409246193036</v>
      </c>
      <c r="M118" s="119">
        <f t="shared" si="189"/>
        <v>-30.938733104255334</v>
      </c>
      <c r="N118" s="119">
        <f t="shared" si="189"/>
        <v>-33.866830324247985</v>
      </c>
      <c r="O118" s="119">
        <f t="shared" si="189"/>
        <v>-36.345581897904367</v>
      </c>
      <c r="P118" s="119">
        <f t="shared" si="189"/>
        <v>-39.111757693529398</v>
      </c>
      <c r="Q118" s="119">
        <f t="shared" si="189"/>
        <v>-41.784524739278595</v>
      </c>
      <c r="R118" s="119">
        <f t="shared" si="189"/>
        <v>-43.592513425984862</v>
      </c>
      <c r="S118" s="119">
        <f t="shared" si="189"/>
        <v>-44.381011832445438</v>
      </c>
      <c r="T118" s="119">
        <f t="shared" si="189"/>
        <v>-46.510899980109116</v>
      </c>
      <c r="U118" s="119">
        <f t="shared" si="189"/>
        <v>-48.485008535863471</v>
      </c>
      <c r="V118" s="119">
        <f t="shared" si="189"/>
        <v>-50.266921948105846</v>
      </c>
      <c r="W118" s="119">
        <f t="shared" si="189"/>
        <v>-51.982400675702593</v>
      </c>
      <c r="X118" s="119">
        <f t="shared" si="189"/>
        <v>-53.696499950572161</v>
      </c>
      <c r="Y118" s="119">
        <f t="shared" si="189"/>
        <v>-55.470316808240568</v>
      </c>
      <c r="Z118" s="119">
        <f t="shared" si="189"/>
        <v>-56.676730548153046</v>
      </c>
      <c r="AA118" s="119">
        <f t="shared" si="189"/>
        <v>-58.254996571966785</v>
      </c>
      <c r="AB118" s="119">
        <f t="shared" si="189"/>
        <v>-59.770316773400737</v>
      </c>
      <c r="AC118" s="119">
        <f t="shared" si="189"/>
        <v>-60.519827638919196</v>
      </c>
      <c r="AD118" s="211">
        <f t="shared" si="189"/>
        <v>-61.787650493591173</v>
      </c>
      <c r="AE118" s="119">
        <f t="shared" si="189"/>
        <v>-62.916394832959213</v>
      </c>
      <c r="AF118" s="119">
        <f t="shared" si="189"/>
        <v>-63.98754998620916</v>
      </c>
      <c r="AG118" s="119">
        <f t="shared" si="189"/>
        <v>-63.188030019782673</v>
      </c>
      <c r="AH118" s="119">
        <f t="shared" si="175"/>
        <v>-63.962964716830356</v>
      </c>
      <c r="AI118" s="119">
        <f t="shared" ref="AI118" si="190">AI76-AI63</f>
        <v>-64.55253650544455</v>
      </c>
      <c r="AJ118" s="119"/>
      <c r="AK118" s="119" t="str">
        <f t="shared" si="177"/>
        <v>Variable Costs</v>
      </c>
    </row>
    <row r="119" spans="1:38">
      <c r="A119" s="36" t="s">
        <v>66</v>
      </c>
      <c r="B119" s="119">
        <f t="shared" si="173"/>
        <v>0</v>
      </c>
      <c r="C119" s="119">
        <f t="shared" ref="C119:AG119" si="191">C77-C64</f>
        <v>0</v>
      </c>
      <c r="D119" s="119">
        <f t="shared" si="191"/>
        <v>-6.0609896099126814E-2</v>
      </c>
      <c r="E119" s="119">
        <f t="shared" si="191"/>
        <v>-0.15443227389958381</v>
      </c>
      <c r="F119" s="119">
        <f t="shared" si="191"/>
        <v>-0.37888892105586081</v>
      </c>
      <c r="G119" s="119">
        <f t="shared" si="191"/>
        <v>-0.62579872962479044</v>
      </c>
      <c r="H119" s="119">
        <f t="shared" si="191"/>
        <v>-0.81579409683590853</v>
      </c>
      <c r="I119" s="119">
        <f t="shared" si="191"/>
        <v>-0.92634727875888956</v>
      </c>
      <c r="J119" s="119">
        <f t="shared" si="191"/>
        <v>-0.96911388303863077</v>
      </c>
      <c r="K119" s="119">
        <f t="shared" si="191"/>
        <v>-1.1810928883815777</v>
      </c>
      <c r="L119" s="119">
        <f t="shared" si="191"/>
        <v>-1.1412493857920722</v>
      </c>
      <c r="M119" s="119">
        <f t="shared" si="191"/>
        <v>-1.1261731307316651</v>
      </c>
      <c r="N119" s="119">
        <f t="shared" si="191"/>
        <v>-1.0739523699069409</v>
      </c>
      <c r="O119" s="119">
        <f t="shared" si="191"/>
        <v>-1.0578542205869041</v>
      </c>
      <c r="P119" s="119">
        <f t="shared" si="191"/>
        <v>-1.0729271610018998</v>
      </c>
      <c r="Q119" s="119">
        <f t="shared" si="191"/>
        <v>-1.0956244711541672</v>
      </c>
      <c r="R119" s="119">
        <f t="shared" si="191"/>
        <v>-1.120163183882795</v>
      </c>
      <c r="S119" s="119">
        <f t="shared" si="191"/>
        <v>-1.1434233605724557</v>
      </c>
      <c r="T119" s="119">
        <f t="shared" si="191"/>
        <v>-1.1641399856933532</v>
      </c>
      <c r="U119" s="119">
        <f t="shared" si="191"/>
        <v>-1.1819545440154542</v>
      </c>
      <c r="V119" s="119">
        <f t="shared" si="191"/>
        <v>-1.1988472835802924</v>
      </c>
      <c r="W119" s="119">
        <f t="shared" si="191"/>
        <v>-1.2149354605861475</v>
      </c>
      <c r="X119" s="119">
        <f t="shared" si="191"/>
        <v>-1.2317012811843853</v>
      </c>
      <c r="Y119" s="119">
        <f t="shared" si="191"/>
        <v>-1.2456816847077903</v>
      </c>
      <c r="Z119" s="119">
        <f t="shared" si="191"/>
        <v>-1.2598534257148088</v>
      </c>
      <c r="AA119" s="119">
        <f t="shared" si="191"/>
        <v>-1.2737183400222989</v>
      </c>
      <c r="AB119" s="119">
        <f t="shared" si="191"/>
        <v>-1.2866070520206989</v>
      </c>
      <c r="AC119" s="119">
        <f t="shared" si="191"/>
        <v>-1.2982854185935793</v>
      </c>
      <c r="AD119" s="211">
        <f t="shared" si="191"/>
        <v>-1.3087130705596337</v>
      </c>
      <c r="AE119" s="119">
        <f t="shared" si="191"/>
        <v>-1.3192941195256509</v>
      </c>
      <c r="AF119" s="119">
        <f t="shared" si="191"/>
        <v>-1.3288020268674927</v>
      </c>
      <c r="AG119" s="119">
        <f t="shared" si="191"/>
        <v>-1.3378789881604831</v>
      </c>
      <c r="AH119" s="119">
        <f t="shared" si="175"/>
        <v>-1.3445532807080554</v>
      </c>
      <c r="AI119" s="119">
        <f t="shared" ref="AI119" si="192">AI77-AI64</f>
        <v>-1.3477861704066498</v>
      </c>
      <c r="AJ119" s="119"/>
      <c r="AK119" s="119" t="str">
        <f t="shared" si="177"/>
        <v>Environmental Costs</v>
      </c>
    </row>
    <row r="120" spans="1:38">
      <c r="A120" s="12" t="s">
        <v>69</v>
      </c>
      <c r="B120" s="212">
        <f t="shared" si="173"/>
        <v>0</v>
      </c>
      <c r="C120" s="212">
        <f t="shared" ref="C120:AF120" si="193">C78-C65</f>
        <v>0</v>
      </c>
      <c r="D120" s="212">
        <f t="shared" si="193"/>
        <v>0</v>
      </c>
      <c r="E120" s="212">
        <f t="shared" si="193"/>
        <v>0</v>
      </c>
      <c r="F120" s="212">
        <f t="shared" si="193"/>
        <v>0</v>
      </c>
      <c r="G120" s="212">
        <f t="shared" si="193"/>
        <v>-3.3712226253887536</v>
      </c>
      <c r="H120" s="212">
        <f t="shared" si="193"/>
        <v>-8.8595709300348062</v>
      </c>
      <c r="I120" s="212">
        <f t="shared" si="193"/>
        <v>-15.979428982114428</v>
      </c>
      <c r="J120" s="212">
        <f t="shared" si="193"/>
        <v>-24.427656069730119</v>
      </c>
      <c r="K120" s="212">
        <f t="shared" si="193"/>
        <v>-35.389568190746104</v>
      </c>
      <c r="L120" s="212">
        <f t="shared" si="193"/>
        <v>-45.054886005122626</v>
      </c>
      <c r="M120" s="212">
        <f t="shared" si="193"/>
        <v>-56.025627336677871</v>
      </c>
      <c r="N120" s="212">
        <f t="shared" si="193"/>
        <v>-67.374859879113956</v>
      </c>
      <c r="O120" s="212">
        <f t="shared" si="193"/>
        <v>-79.429982298762525</v>
      </c>
      <c r="P120" s="212">
        <f t="shared" si="193"/>
        <v>-92.745574689648947</v>
      </c>
      <c r="Q120" s="212">
        <f t="shared" si="193"/>
        <v>-106.02332723194058</v>
      </c>
      <c r="R120" s="212">
        <f t="shared" si="193"/>
        <v>-120.76183576255698</v>
      </c>
      <c r="S120" s="212">
        <f t="shared" si="193"/>
        <v>-137.47261743954505</v>
      </c>
      <c r="T120" s="212">
        <f t="shared" si="193"/>
        <v>-155.18265248059834</v>
      </c>
      <c r="U120" s="212">
        <f t="shared" si="193"/>
        <v>-174.68855845229973</v>
      </c>
      <c r="V120" s="212">
        <f t="shared" si="193"/>
        <v>-194.84887320504458</v>
      </c>
      <c r="W120" s="212">
        <f t="shared" si="193"/>
        <v>-215.50890534971404</v>
      </c>
      <c r="X120" s="212">
        <f t="shared" si="193"/>
        <v>-235.5789899575957</v>
      </c>
      <c r="Y120" s="212">
        <f t="shared" si="193"/>
        <v>-256.23308862773956</v>
      </c>
      <c r="Z120" s="212">
        <f t="shared" si="193"/>
        <v>-276.11343256361033</v>
      </c>
      <c r="AA120" s="212">
        <f t="shared" si="193"/>
        <v>-296.1611598305426</v>
      </c>
      <c r="AB120" s="212">
        <f t="shared" si="193"/>
        <v>-315.87322227533514</v>
      </c>
      <c r="AC120" s="212">
        <f t="shared" si="193"/>
        <v>-334.8770947053672</v>
      </c>
      <c r="AD120" s="213">
        <f t="shared" si="193"/>
        <v>-354.96011947629268</v>
      </c>
      <c r="AE120" s="212">
        <f t="shared" si="193"/>
        <v>-373.38213134064426</v>
      </c>
      <c r="AF120" s="212">
        <f t="shared" si="193"/>
        <v>-391.7137211125937</v>
      </c>
      <c r="AG120" s="212">
        <f t="shared" ref="AG120:AH120" si="194">AG78-AG65</f>
        <v>-410.98423182096303</v>
      </c>
      <c r="AH120" s="212">
        <f t="shared" si="194"/>
        <v>-426.45794078563813</v>
      </c>
      <c r="AI120" s="212">
        <f t="shared" ref="AI120" si="195">AI78-AI65</f>
        <v>-434.11859762716631</v>
      </c>
      <c r="AJ120" s="212"/>
      <c r="AK120" s="212" t="str">
        <f t="shared" si="177"/>
        <v>CO2 Costs</v>
      </c>
    </row>
    <row r="121" spans="1:38">
      <c r="A121" s="6" t="s">
        <v>72</v>
      </c>
      <c r="B121" s="15">
        <f t="shared" ref="B121:AG121" si="196">SUM(B111:B120)</f>
        <v>0</v>
      </c>
      <c r="C121" s="15">
        <f t="shared" si="196"/>
        <v>0.95602539473914416</v>
      </c>
      <c r="D121" s="15">
        <f t="shared" si="196"/>
        <v>20.016294724069532</v>
      </c>
      <c r="E121" s="15">
        <f t="shared" si="196"/>
        <v>69.08640887450531</v>
      </c>
      <c r="F121" s="15">
        <f t="shared" si="196"/>
        <v>134.642567038631</v>
      </c>
      <c r="G121" s="15">
        <f t="shared" si="196"/>
        <v>188.05786203710375</v>
      </c>
      <c r="H121" s="15">
        <f t="shared" si="196"/>
        <v>229.45401485712571</v>
      </c>
      <c r="I121" s="15">
        <f t="shared" si="196"/>
        <v>247.55886891671929</v>
      </c>
      <c r="J121" s="15">
        <f t="shared" si="196"/>
        <v>248.79355876905981</v>
      </c>
      <c r="K121" s="15">
        <f t="shared" si="196"/>
        <v>242.3109310411964</v>
      </c>
      <c r="L121" s="15">
        <f t="shared" si="196"/>
        <v>236.47719910816022</v>
      </c>
      <c r="M121" s="15">
        <f t="shared" si="196"/>
        <v>224.15847644200801</v>
      </c>
      <c r="N121" s="15">
        <f t="shared" si="196"/>
        <v>210.0930660329492</v>
      </c>
      <c r="O121" s="15">
        <f t="shared" si="196"/>
        <v>195.75675291986488</v>
      </c>
      <c r="P121" s="15">
        <f t="shared" si="196"/>
        <v>163.31693659564655</v>
      </c>
      <c r="Q121" s="15">
        <f t="shared" si="196"/>
        <v>120.86590954123329</v>
      </c>
      <c r="R121" s="15">
        <f t="shared" si="196"/>
        <v>88.541762719651985</v>
      </c>
      <c r="S121" s="15">
        <f t="shared" si="196"/>
        <v>59.317304388260141</v>
      </c>
      <c r="T121" s="15">
        <f t="shared" si="196"/>
        <v>20.15054047922132</v>
      </c>
      <c r="U121" s="15">
        <f t="shared" si="196"/>
        <v>-27.543950050233605</v>
      </c>
      <c r="V121" s="15">
        <f t="shared" si="196"/>
        <v>-75.693190316910844</v>
      </c>
      <c r="W121" s="15">
        <f t="shared" si="196"/>
        <v>-123.75126893126672</v>
      </c>
      <c r="X121" s="15">
        <f t="shared" si="196"/>
        <v>-169.59497102164386</v>
      </c>
      <c r="Y121" s="15">
        <f t="shared" si="196"/>
        <v>-216.05588782928152</v>
      </c>
      <c r="Z121" s="15">
        <f t="shared" si="196"/>
        <v>-259.72610412056122</v>
      </c>
      <c r="AA121" s="15">
        <f t="shared" si="196"/>
        <v>-304.21467197978239</v>
      </c>
      <c r="AB121" s="15">
        <f t="shared" si="196"/>
        <v>-341.0737279213788</v>
      </c>
      <c r="AC121" s="52">
        <f t="shared" si="196"/>
        <v>-371.33739018777277</v>
      </c>
      <c r="AD121" s="214">
        <f t="shared" si="196"/>
        <v>-404.7059146536601</v>
      </c>
      <c r="AE121" s="15">
        <f t="shared" si="196"/>
        <v>-434.76835267373036</v>
      </c>
      <c r="AF121" s="15">
        <f t="shared" si="196"/>
        <v>-464.78508824224889</v>
      </c>
      <c r="AG121" s="15">
        <f t="shared" si="196"/>
        <v>-494.24732796879243</v>
      </c>
      <c r="AH121" s="15">
        <f t="shared" ref="AH121" si="197">SUM(AH111:AH120)</f>
        <v>-519.49101038690219</v>
      </c>
      <c r="AI121" s="15">
        <f t="shared" ref="AI121" si="198">SUM(AI111:AI120)</f>
        <v>-532.73081256431067</v>
      </c>
      <c r="AJ121" s="15"/>
      <c r="AK121" s="6" t="s">
        <v>72</v>
      </c>
    </row>
    <row r="122" spans="1:38">
      <c r="A122" s="6" t="s">
        <v>73</v>
      </c>
      <c r="B122" s="15">
        <f t="shared" ref="B122:AG122" si="199">B121-B120</f>
        <v>0</v>
      </c>
      <c r="C122" s="15">
        <f t="shared" si="199"/>
        <v>0.95602539473914416</v>
      </c>
      <c r="D122" s="15">
        <f t="shared" si="199"/>
        <v>20.016294724069532</v>
      </c>
      <c r="E122" s="15">
        <f t="shared" si="199"/>
        <v>69.08640887450531</v>
      </c>
      <c r="F122" s="15">
        <f t="shared" si="199"/>
        <v>134.642567038631</v>
      </c>
      <c r="G122" s="15">
        <f t="shared" si="199"/>
        <v>191.4290846624925</v>
      </c>
      <c r="H122" s="15">
        <f t="shared" si="199"/>
        <v>238.31358578716052</v>
      </c>
      <c r="I122" s="15">
        <f t="shared" si="199"/>
        <v>263.53829789883372</v>
      </c>
      <c r="J122" s="15">
        <f t="shared" si="199"/>
        <v>273.22121483878993</v>
      </c>
      <c r="K122" s="15">
        <f t="shared" si="199"/>
        <v>277.7004992319425</v>
      </c>
      <c r="L122" s="15">
        <f t="shared" si="199"/>
        <v>281.53208511328285</v>
      </c>
      <c r="M122" s="15">
        <f t="shared" si="199"/>
        <v>280.18410377868588</v>
      </c>
      <c r="N122" s="15">
        <f t="shared" si="199"/>
        <v>277.46792591206315</v>
      </c>
      <c r="O122" s="15">
        <f t="shared" si="199"/>
        <v>275.1867352186274</v>
      </c>
      <c r="P122" s="15">
        <f t="shared" si="199"/>
        <v>256.0625112852955</v>
      </c>
      <c r="Q122" s="15">
        <f t="shared" si="199"/>
        <v>226.88923677317388</v>
      </c>
      <c r="R122" s="15">
        <f t="shared" si="199"/>
        <v>209.30359848220897</v>
      </c>
      <c r="S122" s="15">
        <f t="shared" si="199"/>
        <v>196.78992182780519</v>
      </c>
      <c r="T122" s="15">
        <f t="shared" si="199"/>
        <v>175.33319295981966</v>
      </c>
      <c r="U122" s="15">
        <f t="shared" si="199"/>
        <v>147.14460840206613</v>
      </c>
      <c r="V122" s="15">
        <f t="shared" si="199"/>
        <v>119.15568288813374</v>
      </c>
      <c r="W122" s="15">
        <f t="shared" si="199"/>
        <v>91.757636418447319</v>
      </c>
      <c r="X122" s="15">
        <f t="shared" si="199"/>
        <v>65.984018935951838</v>
      </c>
      <c r="Y122" s="15">
        <f t="shared" si="199"/>
        <v>40.177200798458045</v>
      </c>
      <c r="Z122" s="15">
        <f t="shared" si="199"/>
        <v>16.387328443049114</v>
      </c>
      <c r="AA122" s="15">
        <f t="shared" si="199"/>
        <v>-8.0535121492397934</v>
      </c>
      <c r="AB122" s="15">
        <f t="shared" si="199"/>
        <v>-25.200505646043666</v>
      </c>
      <c r="AC122" s="52">
        <f t="shared" si="199"/>
        <v>-36.46029548240557</v>
      </c>
      <c r="AD122" s="214">
        <f t="shared" si="199"/>
        <v>-49.745795177367427</v>
      </c>
      <c r="AE122" s="15">
        <f t="shared" si="199"/>
        <v>-61.386221333086098</v>
      </c>
      <c r="AF122" s="15">
        <f t="shared" si="199"/>
        <v>-73.071367129655187</v>
      </c>
      <c r="AG122" s="15">
        <f t="shared" si="199"/>
        <v>-83.263096147829401</v>
      </c>
      <c r="AH122" s="15">
        <f t="shared" ref="AH122" si="200">AH121-AH120</f>
        <v>-93.03306960126406</v>
      </c>
      <c r="AI122" s="15">
        <f t="shared" ref="AI122" si="201">AI121-AI120</f>
        <v>-98.612214937144358</v>
      </c>
      <c r="AJ122" s="15"/>
      <c r="AK122" s="6" t="s">
        <v>73</v>
      </c>
    </row>
    <row r="123" spans="1:38">
      <c r="AG123" s="216"/>
      <c r="AH123" s="216"/>
      <c r="AI123" s="16">
        <f>Sensitivity_Summary!P23</f>
        <v>-532.73081620282755</v>
      </c>
    </row>
    <row r="124" spans="1:38">
      <c r="AI124" s="16">
        <f>Sensitivity_Summary!P21</f>
        <v>-98.612218575661245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H12"/>
  <sheetViews>
    <sheetView workbookViewId="0">
      <selection activeCell="A5" sqref="A5:BB5"/>
    </sheetView>
  </sheetViews>
  <sheetFormatPr defaultColWidth="8.90625" defaultRowHeight="14.5"/>
  <cols>
    <col min="1" max="1" width="14" style="6" bestFit="1" customWidth="1"/>
    <col min="2" max="2" width="13.36328125" style="6" bestFit="1" customWidth="1"/>
    <col min="3" max="3" width="15.08984375" style="6" bestFit="1" customWidth="1"/>
    <col min="4" max="4" width="5.36328125" style="6" bestFit="1" customWidth="1"/>
    <col min="5" max="16" width="10.54296875" style="6" bestFit="1" customWidth="1"/>
    <col min="17" max="35" width="9.54296875" style="6" bestFit="1" customWidth="1"/>
    <col min="36" max="44" width="8" style="6" bestFit="1" customWidth="1"/>
    <col min="45" max="45" width="7" style="6" bestFit="1" customWidth="1"/>
    <col min="46" max="54" width="6.6328125" style="6" bestFit="1" customWidth="1"/>
    <col min="55" max="16384" width="8.90625" style="6"/>
  </cols>
  <sheetData>
    <row r="1" spans="1:60">
      <c r="A1" s="385" t="s">
        <v>230</v>
      </c>
      <c r="B1" s="385" t="s">
        <v>77</v>
      </c>
      <c r="D1" s="385">
        <v>2019</v>
      </c>
      <c r="E1" s="385">
        <f t="shared" ref="E1:AI1" si="0">D1+1</f>
        <v>2020</v>
      </c>
      <c r="F1" s="385">
        <f t="shared" si="0"/>
        <v>2021</v>
      </c>
      <c r="G1" s="385">
        <f t="shared" si="0"/>
        <v>2022</v>
      </c>
      <c r="H1" s="385">
        <f t="shared" si="0"/>
        <v>2023</v>
      </c>
      <c r="I1" s="385">
        <f t="shared" si="0"/>
        <v>2024</v>
      </c>
      <c r="J1" s="385">
        <f t="shared" si="0"/>
        <v>2025</v>
      </c>
      <c r="K1" s="385">
        <f t="shared" si="0"/>
        <v>2026</v>
      </c>
      <c r="L1" s="385">
        <f t="shared" si="0"/>
        <v>2027</v>
      </c>
      <c r="M1" s="385">
        <f t="shared" si="0"/>
        <v>2028</v>
      </c>
      <c r="N1" s="385">
        <f t="shared" si="0"/>
        <v>2029</v>
      </c>
      <c r="O1" s="385">
        <f t="shared" si="0"/>
        <v>2030</v>
      </c>
      <c r="P1" s="385">
        <f t="shared" si="0"/>
        <v>2031</v>
      </c>
      <c r="Q1" s="385">
        <f t="shared" si="0"/>
        <v>2032</v>
      </c>
      <c r="R1" s="385">
        <f t="shared" si="0"/>
        <v>2033</v>
      </c>
      <c r="S1" s="385">
        <f t="shared" si="0"/>
        <v>2034</v>
      </c>
      <c r="T1" s="385">
        <f t="shared" si="0"/>
        <v>2035</v>
      </c>
      <c r="U1" s="385">
        <f t="shared" si="0"/>
        <v>2036</v>
      </c>
      <c r="V1" s="385">
        <f t="shared" si="0"/>
        <v>2037</v>
      </c>
      <c r="W1" s="385">
        <f t="shared" si="0"/>
        <v>2038</v>
      </c>
      <c r="X1" s="385">
        <f t="shared" si="0"/>
        <v>2039</v>
      </c>
      <c r="Y1" s="385">
        <f t="shared" si="0"/>
        <v>2040</v>
      </c>
      <c r="Z1" s="385">
        <f t="shared" si="0"/>
        <v>2041</v>
      </c>
      <c r="AA1" s="385">
        <f t="shared" si="0"/>
        <v>2042</v>
      </c>
      <c r="AB1" s="385">
        <f t="shared" si="0"/>
        <v>2043</v>
      </c>
      <c r="AC1" s="385">
        <f t="shared" si="0"/>
        <v>2044</v>
      </c>
      <c r="AD1" s="385">
        <f t="shared" si="0"/>
        <v>2045</v>
      </c>
      <c r="AE1" s="385">
        <f t="shared" si="0"/>
        <v>2046</v>
      </c>
      <c r="AF1" s="385">
        <f t="shared" si="0"/>
        <v>2047</v>
      </c>
      <c r="AG1" s="385">
        <f t="shared" si="0"/>
        <v>2048</v>
      </c>
      <c r="AH1" s="385">
        <f t="shared" si="0"/>
        <v>2049</v>
      </c>
      <c r="AI1" s="385">
        <f t="shared" si="0"/>
        <v>2050</v>
      </c>
      <c r="AJ1" s="385">
        <f t="shared" ref="AJ1" si="1">AI1+1</f>
        <v>2051</v>
      </c>
      <c r="AK1" s="385">
        <f t="shared" ref="AK1" si="2">AJ1+1</f>
        <v>2052</v>
      </c>
      <c r="AL1" s="385">
        <f t="shared" ref="AL1" si="3">AK1+1</f>
        <v>2053</v>
      </c>
      <c r="AM1" s="385">
        <f t="shared" ref="AM1" si="4">AL1+1</f>
        <v>2054</v>
      </c>
      <c r="AN1" s="385">
        <f t="shared" ref="AN1" si="5">AM1+1</f>
        <v>2055</v>
      </c>
      <c r="AO1" s="385">
        <f t="shared" ref="AO1" si="6">AN1+1</f>
        <v>2056</v>
      </c>
      <c r="AP1" s="385">
        <f t="shared" ref="AP1" si="7">AO1+1</f>
        <v>2057</v>
      </c>
      <c r="AQ1" s="385">
        <f t="shared" ref="AQ1" si="8">AP1+1</f>
        <v>2058</v>
      </c>
      <c r="AR1" s="385">
        <f t="shared" ref="AR1" si="9">AQ1+1</f>
        <v>2059</v>
      </c>
      <c r="AS1" s="385">
        <f t="shared" ref="AS1" si="10">AR1+1</f>
        <v>2060</v>
      </c>
      <c r="AT1" s="385">
        <f t="shared" ref="AT1" si="11">AS1+1</f>
        <v>2061</v>
      </c>
      <c r="AU1" s="385">
        <f t="shared" ref="AU1" si="12">AT1+1</f>
        <v>2062</v>
      </c>
      <c r="AV1" s="385">
        <f t="shared" ref="AV1" si="13">AU1+1</f>
        <v>2063</v>
      </c>
      <c r="AW1" s="385">
        <f t="shared" ref="AW1" si="14">AV1+1</f>
        <v>2064</v>
      </c>
      <c r="AX1" s="385">
        <f t="shared" ref="AX1" si="15">AW1+1</f>
        <v>2065</v>
      </c>
      <c r="AY1" s="385">
        <f t="shared" ref="AY1" si="16">AX1+1</f>
        <v>2066</v>
      </c>
      <c r="AZ1" s="385">
        <f t="shared" ref="AZ1" si="17">AY1+1</f>
        <v>2067</v>
      </c>
      <c r="BA1" s="385">
        <f t="shared" ref="BA1" si="18">AZ1+1</f>
        <v>2068</v>
      </c>
      <c r="BB1" s="385">
        <f t="shared" ref="BB1" si="19">BA1+1</f>
        <v>2069</v>
      </c>
      <c r="BC1" s="385"/>
      <c r="BD1" s="385"/>
      <c r="BE1" s="385"/>
      <c r="BF1" s="385"/>
      <c r="BG1" s="385"/>
      <c r="BH1" s="385"/>
    </row>
    <row r="2" spans="1:60">
      <c r="A2" s="38">
        <f>NPV('Financial Information'!$B$5,$E2:$AL2)*(1+'Financial Information'!$B$5)</f>
        <v>114317.44816712226</v>
      </c>
      <c r="B2" s="24">
        <f>NPV('Financial Information'!$B$5,$E2:$BB2)*(1+'Financial Information'!$B$5)</f>
        <v>114317.44816712226</v>
      </c>
      <c r="C2" s="6" t="s">
        <v>0</v>
      </c>
      <c r="D2" s="25">
        <v>0</v>
      </c>
      <c r="E2" s="25">
        <v>11728.677934241468</v>
      </c>
      <c r="F2" s="25">
        <v>13259.572522846349</v>
      </c>
      <c r="G2" s="25">
        <v>12393.369667347823</v>
      </c>
      <c r="H2" s="25">
        <v>11791.418651266769</v>
      </c>
      <c r="I2" s="25">
        <v>11272.175750827349</v>
      </c>
      <c r="J2" s="25">
        <v>8980.0054006853843</v>
      </c>
      <c r="K2" s="25">
        <v>8619.9392525193762</v>
      </c>
      <c r="L2" s="25">
        <v>8347.7708114192756</v>
      </c>
      <c r="M2" s="25">
        <v>8079.4706295279839</v>
      </c>
      <c r="N2" s="25">
        <v>7815.5028520921924</v>
      </c>
      <c r="O2" s="25">
        <v>7546.1020207816582</v>
      </c>
      <c r="P2" s="25">
        <v>7277.0870233796159</v>
      </c>
      <c r="Q2" s="25">
        <v>7008.6551944684797</v>
      </c>
      <c r="R2" s="25">
        <v>6743.5739308994453</v>
      </c>
      <c r="S2" s="25">
        <v>6483.3213893423999</v>
      </c>
      <c r="T2" s="25">
        <v>6214.888989750898</v>
      </c>
      <c r="U2" s="25">
        <v>5945.9629472932802</v>
      </c>
      <c r="V2" s="25">
        <v>5676.8322878107483</v>
      </c>
      <c r="W2" s="25">
        <v>5409.9009368810803</v>
      </c>
      <c r="X2" s="25">
        <v>5145.8041825827213</v>
      </c>
      <c r="Y2" s="25">
        <v>4875.2366255973311</v>
      </c>
      <c r="Z2" s="25">
        <v>4604.1932175131451</v>
      </c>
      <c r="AA2" s="25">
        <v>4332.6662534858469</v>
      </c>
      <c r="AB2" s="25">
        <v>4063.1035766561295</v>
      </c>
      <c r="AC2" s="25">
        <v>3796.2841926714186</v>
      </c>
      <c r="AD2" s="25">
        <v>3522.8816517304676</v>
      </c>
      <c r="AE2" s="25">
        <v>3249.3833644391589</v>
      </c>
      <c r="AF2" s="25">
        <v>2977.1343149404302</v>
      </c>
      <c r="AG2" s="25">
        <v>2711.0247634082471</v>
      </c>
      <c r="AH2" s="25">
        <v>2546.7843734306898</v>
      </c>
      <c r="AI2" s="25">
        <v>2680.0411601350529</v>
      </c>
      <c r="AJ2" s="25">
        <v>1.3691878544461672E-11</v>
      </c>
      <c r="AK2" s="25">
        <v>1.3691878544461672E-11</v>
      </c>
      <c r="AL2" s="25">
        <v>1.3691878544461672E-11</v>
      </c>
      <c r="AM2" s="25">
        <v>1.3691878544461672E-11</v>
      </c>
      <c r="AN2" s="25">
        <v>1.3691878544461672E-11</v>
      </c>
      <c r="AO2" s="25">
        <v>1.3691878544461672E-11</v>
      </c>
      <c r="AP2" s="25">
        <v>1.3691878544461672E-11</v>
      </c>
      <c r="AQ2" s="25">
        <v>1.3691878544461672E-11</v>
      </c>
      <c r="AR2" s="25">
        <v>1.3691878544461672E-11</v>
      </c>
      <c r="AS2" s="25">
        <v>1.3691878544461672E-11</v>
      </c>
      <c r="AT2" s="25">
        <v>1.3691878544461672E-11</v>
      </c>
      <c r="AU2" s="25">
        <v>1.3691878544461672E-11</v>
      </c>
      <c r="AV2" s="25">
        <v>1.3691878544461672E-11</v>
      </c>
      <c r="AW2" s="25">
        <v>1.3691878544461672E-11</v>
      </c>
      <c r="AX2" s="25">
        <v>1.3691878544461672E-11</v>
      </c>
      <c r="AY2" s="25">
        <v>1.3691878544461672E-11</v>
      </c>
      <c r="AZ2" s="25">
        <v>0</v>
      </c>
      <c r="BA2" s="25">
        <v>0</v>
      </c>
      <c r="BB2" s="25">
        <v>0</v>
      </c>
    </row>
    <row r="3" spans="1:60">
      <c r="A3" s="38">
        <f>NPV('Financial Information'!$B$5,$E3:$AL3)*(1+'Financial Information'!$B$5)</f>
        <v>4139.4460232552674</v>
      </c>
      <c r="B3" s="24">
        <f>NPV('Financial Information'!$B$5,$E3:$BB3)*(1+'Financial Information'!$B$5)</f>
        <v>4139.4460232552674</v>
      </c>
      <c r="C3" s="6" t="s">
        <v>1</v>
      </c>
      <c r="D3" s="25">
        <v>0</v>
      </c>
      <c r="E3" s="25">
        <v>257.22841765435533</v>
      </c>
      <c r="F3" s="25">
        <v>335.11036990310225</v>
      </c>
      <c r="G3" s="25">
        <v>327.24189772757245</v>
      </c>
      <c r="H3" s="25">
        <v>317.62487617970265</v>
      </c>
      <c r="I3" s="25">
        <v>307.41349191566286</v>
      </c>
      <c r="J3" s="25">
        <v>297.19509471298159</v>
      </c>
      <c r="K3" s="25">
        <v>286.99606952252208</v>
      </c>
      <c r="L3" s="25">
        <v>276.80956124966912</v>
      </c>
      <c r="M3" s="25">
        <v>266.62886072830293</v>
      </c>
      <c r="N3" s="25">
        <v>254.03608464319981</v>
      </c>
      <c r="O3" s="25">
        <v>242.9517513440498</v>
      </c>
      <c r="P3" s="25">
        <v>230.08386022986031</v>
      </c>
      <c r="Q3" s="25">
        <v>216.3033904301607</v>
      </c>
      <c r="R3" s="25">
        <v>202.4873664618101</v>
      </c>
      <c r="S3" s="25">
        <v>188.82542284525715</v>
      </c>
      <c r="T3" s="25">
        <v>174.90996515329732</v>
      </c>
      <c r="U3" s="25">
        <v>160.94673907189681</v>
      </c>
      <c r="V3" s="25">
        <v>144.2501269825953</v>
      </c>
      <c r="W3" s="25">
        <v>492.15232062349418</v>
      </c>
      <c r="X3" s="25">
        <v>557.2755809195346</v>
      </c>
      <c r="Y3" s="25">
        <v>540.28011134565429</v>
      </c>
      <c r="Z3" s="25">
        <v>487.14132655700706</v>
      </c>
      <c r="AA3" s="25">
        <v>469.92416183569617</v>
      </c>
      <c r="AB3" s="25">
        <v>430.00809069405284</v>
      </c>
      <c r="AC3" s="25">
        <v>417.48969206942633</v>
      </c>
      <c r="AD3" s="25">
        <v>390.9004665361316</v>
      </c>
      <c r="AE3" s="25">
        <v>368.75396087381881</v>
      </c>
      <c r="AF3" s="25">
        <v>364.74160407431901</v>
      </c>
      <c r="AG3" s="25">
        <v>365.25651693289137</v>
      </c>
      <c r="AH3" s="25">
        <v>366.06776880701176</v>
      </c>
      <c r="AI3" s="25">
        <f>AH3/4</f>
        <v>91.51694220175294</v>
      </c>
      <c r="AJ3" s="25">
        <v>0</v>
      </c>
      <c r="AK3" s="25">
        <v>0</v>
      </c>
      <c r="AL3" s="25">
        <v>0</v>
      </c>
      <c r="AM3" s="25">
        <v>0</v>
      </c>
      <c r="AN3" s="25">
        <v>0</v>
      </c>
      <c r="AO3" s="25">
        <v>0</v>
      </c>
      <c r="AP3" s="25">
        <v>0</v>
      </c>
      <c r="AQ3" s="25">
        <v>0</v>
      </c>
      <c r="AR3" s="25">
        <v>0</v>
      </c>
      <c r="AS3" s="25">
        <v>0</v>
      </c>
      <c r="AT3" s="25">
        <v>0</v>
      </c>
      <c r="AU3" s="25">
        <v>0</v>
      </c>
      <c r="AV3" s="25">
        <v>0</v>
      </c>
      <c r="AW3" s="25">
        <v>0</v>
      </c>
      <c r="AX3" s="25">
        <v>0</v>
      </c>
      <c r="AY3" s="25">
        <v>0</v>
      </c>
      <c r="AZ3" s="25">
        <v>0</v>
      </c>
      <c r="BA3" s="25">
        <v>0</v>
      </c>
      <c r="BB3" s="25">
        <v>0</v>
      </c>
    </row>
    <row r="4" spans="1:60">
      <c r="A4" s="38">
        <f>NPV('Financial Information'!$B$5,$E4:$AL4)*(1+'Financial Information'!$B$5)</f>
        <v>2743.6055196183756</v>
      </c>
      <c r="B4" s="24">
        <f>NPV('Financial Information'!$B$5,$E4:$BB4)*(1+'Financial Information'!$B$5)</f>
        <v>2743.6055196183756</v>
      </c>
      <c r="C4" s="6" t="s">
        <v>2</v>
      </c>
      <c r="D4" s="25">
        <v>0</v>
      </c>
      <c r="E4" s="25">
        <v>108.55106850825487</v>
      </c>
      <c r="F4" s="25">
        <v>149.07680075133669</v>
      </c>
      <c r="G4" s="25">
        <v>153.54910477387679</v>
      </c>
      <c r="H4" s="25">
        <v>158.1555779170931</v>
      </c>
      <c r="I4" s="25">
        <v>163.04881241752588</v>
      </c>
      <c r="J4" s="25">
        <v>168.10016494441888</v>
      </c>
      <c r="K4" s="25">
        <v>173.33165038258588</v>
      </c>
      <c r="L4" s="25">
        <v>178.74861525579462</v>
      </c>
      <c r="M4" s="25">
        <v>184.35632359579287</v>
      </c>
      <c r="N4" s="25">
        <v>190.33218603388698</v>
      </c>
      <c r="O4" s="25">
        <v>196.34200921488016</v>
      </c>
      <c r="P4" s="25">
        <v>202.55803696334561</v>
      </c>
      <c r="Q4" s="25">
        <v>208.98523558453408</v>
      </c>
      <c r="R4" s="25">
        <v>215.6285212858179</v>
      </c>
      <c r="S4" s="25">
        <v>222.72238842797026</v>
      </c>
      <c r="T4" s="25">
        <v>229.81937359455264</v>
      </c>
      <c r="U4" s="25">
        <v>237.14728692944871</v>
      </c>
      <c r="V4" s="25">
        <v>244.71105088682063</v>
      </c>
      <c r="W4" s="25">
        <v>252.51565092154675</v>
      </c>
      <c r="X4" s="25">
        <v>260.79762704246258</v>
      </c>
      <c r="Y4" s="25">
        <v>269.1061962644801</v>
      </c>
      <c r="Z4" s="25">
        <v>277.67143636608648</v>
      </c>
      <c r="AA4" s="25">
        <v>286.49888632846648</v>
      </c>
      <c r="AB4" s="25">
        <v>295.59429749306958</v>
      </c>
      <c r="AC4" s="25">
        <v>305.23199158254295</v>
      </c>
      <c r="AD4" s="25">
        <v>314.88962330543154</v>
      </c>
      <c r="AE4" s="25">
        <v>324.83427171984624</v>
      </c>
      <c r="AF4" s="25">
        <v>335.07282354846654</v>
      </c>
      <c r="AG4" s="25">
        <v>345.61250937133599</v>
      </c>
      <c r="AH4" s="25">
        <v>356.77199090157433</v>
      </c>
      <c r="AI4" s="25">
        <v>91.898894029039909</v>
      </c>
      <c r="AJ4" s="25">
        <v>0</v>
      </c>
      <c r="AK4" s="25">
        <v>0</v>
      </c>
      <c r="AL4" s="25">
        <v>0</v>
      </c>
      <c r="AM4" s="25">
        <v>0</v>
      </c>
      <c r="AN4" s="25">
        <v>0</v>
      </c>
      <c r="AO4" s="25">
        <v>0</v>
      </c>
      <c r="AP4" s="25">
        <v>0</v>
      </c>
      <c r="AQ4" s="25">
        <v>0</v>
      </c>
      <c r="AR4" s="25">
        <v>0</v>
      </c>
      <c r="AS4" s="25">
        <v>0</v>
      </c>
      <c r="AT4" s="25">
        <v>0</v>
      </c>
      <c r="AU4" s="25">
        <v>0</v>
      </c>
      <c r="AV4" s="25">
        <v>0</v>
      </c>
      <c r="AW4" s="25">
        <v>0</v>
      </c>
      <c r="AX4" s="25">
        <v>0</v>
      </c>
      <c r="AY4" s="25">
        <v>0</v>
      </c>
      <c r="AZ4" s="25">
        <v>0</v>
      </c>
      <c r="BA4" s="25">
        <v>0</v>
      </c>
      <c r="BB4" s="25">
        <v>0</v>
      </c>
    </row>
    <row r="5" spans="1:60">
      <c r="A5" s="395">
        <f>NPV('Financial Information'!$B$5,$E5:$AL5)*(1+'Financial Information'!$B$5)</f>
        <v>6457.1957828335817</v>
      </c>
      <c r="B5" s="13">
        <f>NPV('Financial Information'!$B$5,$E5:$BB5)*(1+'Financial Information'!$B$5)</f>
        <v>6457.1957828335817</v>
      </c>
      <c r="C5" s="1" t="s">
        <v>3</v>
      </c>
      <c r="D5" s="18">
        <v>0</v>
      </c>
      <c r="E5" s="18">
        <v>341.25</v>
      </c>
      <c r="F5" s="18">
        <v>455</v>
      </c>
      <c r="G5" s="18">
        <v>455</v>
      </c>
      <c r="H5" s="18">
        <v>455</v>
      </c>
      <c r="I5" s="18">
        <v>469</v>
      </c>
      <c r="J5" s="18">
        <v>469</v>
      </c>
      <c r="K5" s="18">
        <v>469</v>
      </c>
      <c r="L5" s="18">
        <v>469</v>
      </c>
      <c r="M5" s="18">
        <v>469</v>
      </c>
      <c r="N5" s="18">
        <v>483</v>
      </c>
      <c r="O5" s="18">
        <v>483</v>
      </c>
      <c r="P5" s="18">
        <v>483</v>
      </c>
      <c r="Q5" s="18">
        <v>483</v>
      </c>
      <c r="R5" s="18">
        <v>483</v>
      </c>
      <c r="S5" s="18">
        <v>497</v>
      </c>
      <c r="T5" s="18">
        <v>497</v>
      </c>
      <c r="U5" s="18">
        <v>497</v>
      </c>
      <c r="V5" s="18">
        <v>497</v>
      </c>
      <c r="W5" s="18">
        <v>497</v>
      </c>
      <c r="X5" s="18">
        <v>511</v>
      </c>
      <c r="Y5" s="18">
        <v>511</v>
      </c>
      <c r="Z5" s="18">
        <v>511</v>
      </c>
      <c r="AA5" s="18">
        <v>511</v>
      </c>
      <c r="AB5" s="18">
        <v>511</v>
      </c>
      <c r="AC5" s="18">
        <v>525</v>
      </c>
      <c r="AD5" s="18">
        <v>525</v>
      </c>
      <c r="AE5" s="18">
        <v>525</v>
      </c>
      <c r="AF5" s="18">
        <v>525</v>
      </c>
      <c r="AG5" s="18">
        <v>525</v>
      </c>
      <c r="AH5" s="18">
        <v>539</v>
      </c>
      <c r="AI5" s="18">
        <v>134.75</v>
      </c>
      <c r="AJ5" s="18">
        <v>0</v>
      </c>
      <c r="AK5" s="18">
        <v>0</v>
      </c>
      <c r="AL5" s="18">
        <v>0</v>
      </c>
      <c r="AM5" s="18">
        <v>0</v>
      </c>
      <c r="AN5" s="18">
        <v>0</v>
      </c>
      <c r="AO5" s="18">
        <v>0</v>
      </c>
      <c r="AP5" s="18">
        <v>0</v>
      </c>
      <c r="AQ5" s="18">
        <v>0</v>
      </c>
      <c r="AR5" s="18">
        <v>0</v>
      </c>
      <c r="AS5" s="18">
        <v>0</v>
      </c>
      <c r="AT5" s="18">
        <v>0</v>
      </c>
      <c r="AU5" s="18">
        <v>0</v>
      </c>
      <c r="AV5" s="18">
        <v>0</v>
      </c>
      <c r="AW5" s="18">
        <v>0</v>
      </c>
      <c r="AX5" s="18">
        <v>0</v>
      </c>
      <c r="AY5" s="18">
        <v>0</v>
      </c>
      <c r="AZ5" s="18">
        <v>0</v>
      </c>
      <c r="BA5" s="18">
        <v>0</v>
      </c>
      <c r="BB5" s="18">
        <v>0</v>
      </c>
    </row>
    <row r="6" spans="1:60">
      <c r="A6" s="38">
        <f>NPV('Financial Information'!$B$5,$E6:$AL6)*(1+'Financial Information'!$B$5)</f>
        <v>14201.203331068435</v>
      </c>
      <c r="B6" s="24">
        <f>NPV('Financial Information'!$B$5,$E6:$BB6)*(1+'Financial Information'!$B$5)</f>
        <v>14201.203331068435</v>
      </c>
      <c r="C6" s="6" t="s">
        <v>4</v>
      </c>
      <c r="D6" s="25">
        <v>0</v>
      </c>
      <c r="E6" s="15">
        <v>542.84498084667121</v>
      </c>
      <c r="F6" s="15">
        <v>789.82668713505734</v>
      </c>
      <c r="G6" s="15">
        <v>819.47034524880758</v>
      </c>
      <c r="H6" s="15">
        <v>827.77724622443736</v>
      </c>
      <c r="I6" s="15">
        <v>847.53456189619249</v>
      </c>
      <c r="J6" s="15">
        <v>938.69520010464885</v>
      </c>
      <c r="K6" s="15">
        <v>950.01551918916709</v>
      </c>
      <c r="L6" s="15">
        <v>973.19558071677943</v>
      </c>
      <c r="M6" s="15">
        <v>1008.7102536659143</v>
      </c>
      <c r="N6" s="15">
        <v>1021.1056430077872</v>
      </c>
      <c r="O6" s="15">
        <v>1045.8802271114132</v>
      </c>
      <c r="P6" s="15">
        <v>1083.5396955893641</v>
      </c>
      <c r="Q6" s="15">
        <v>1097.2077192405468</v>
      </c>
      <c r="R6" s="15">
        <v>1176.8997804250655</v>
      </c>
      <c r="S6" s="15">
        <v>1163.922668412991</v>
      </c>
      <c r="T6" s="15">
        <v>1179.138710803564</v>
      </c>
      <c r="U6" s="15">
        <v>1207.9071541195428</v>
      </c>
      <c r="V6" s="15">
        <v>1250.7807757562514</v>
      </c>
      <c r="W6" s="15">
        <v>1267.8449995629398</v>
      </c>
      <c r="X6" s="15">
        <v>1299.0835695388878</v>
      </c>
      <c r="Y6" s="15">
        <v>1345.0675382086301</v>
      </c>
      <c r="Z6" s="15">
        <v>1364.2652900421929</v>
      </c>
      <c r="AA6" s="15">
        <v>1398.2713368203447</v>
      </c>
      <c r="AB6" s="15">
        <v>1447.6754426720631</v>
      </c>
      <c r="AC6" s="15">
        <v>1469.2642154063874</v>
      </c>
      <c r="AD6" s="15">
        <v>1506.3093240637713</v>
      </c>
      <c r="AE6" s="15">
        <v>1559.4218513223734</v>
      </c>
      <c r="AF6" s="15">
        <v>1583.6408842381848</v>
      </c>
      <c r="AG6" s="15">
        <v>1623.9853792187612</v>
      </c>
      <c r="AH6" s="15">
        <v>1681.0909920484382</v>
      </c>
      <c r="AI6" s="15">
        <v>431.74716414431151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</row>
    <row r="7" spans="1:60">
      <c r="A7" s="24">
        <f>NPV('Financial Information'!$B$5,$E7:$AL7)*(1+'Financial Information'!$B$5)</f>
        <v>9404.1421438927191</v>
      </c>
      <c r="B7" s="24">
        <f>NPV('Financial Information'!$B$5,$E7:$BB7)*(1+'Financial Information'!$B$5)</f>
        <v>9461.6310749320855</v>
      </c>
      <c r="C7" s="6" t="s">
        <v>38</v>
      </c>
      <c r="D7" s="25">
        <v>0</v>
      </c>
      <c r="E7" s="25">
        <v>965.00544830141212</v>
      </c>
      <c r="F7" s="25">
        <v>956.5337198794615</v>
      </c>
      <c r="G7" s="25">
        <v>913.06824938682178</v>
      </c>
      <c r="H7" s="25">
        <v>879.29890134410391</v>
      </c>
      <c r="I7" s="25">
        <v>846.73797006266921</v>
      </c>
      <c r="J7" s="25">
        <v>815.29559146793542</v>
      </c>
      <c r="K7" s="25">
        <v>784.89012482366581</v>
      </c>
      <c r="L7" s="25">
        <v>755.36212644052011</v>
      </c>
      <c r="M7" s="25">
        <v>726.17323219734033</v>
      </c>
      <c r="N7" s="25">
        <v>697.03895645193654</v>
      </c>
      <c r="O7" s="25">
        <v>667.92094760945758</v>
      </c>
      <c r="P7" s="25">
        <v>638.82118627658258</v>
      </c>
      <c r="Q7" s="25">
        <v>609.73872727900857</v>
      </c>
      <c r="R7" s="25">
        <v>580.67558228638495</v>
      </c>
      <c r="S7" s="25">
        <v>551.63083811926992</v>
      </c>
      <c r="T7" s="25">
        <v>522.60653940201951</v>
      </c>
      <c r="U7" s="25">
        <v>493.60180689853905</v>
      </c>
      <c r="V7" s="25">
        <v>464.61872019483167</v>
      </c>
      <c r="W7" s="25">
        <v>435.65643606530068</v>
      </c>
      <c r="X7" s="25">
        <v>407.37322679000283</v>
      </c>
      <c r="Y7" s="25">
        <v>383.4315286900154</v>
      </c>
      <c r="Z7" s="25">
        <v>364.54327914058911</v>
      </c>
      <c r="AA7" s="25">
        <v>347.04626146544399</v>
      </c>
      <c r="AB7" s="25">
        <v>329.57421205551975</v>
      </c>
      <c r="AC7" s="25">
        <v>312.12787995877318</v>
      </c>
      <c r="AD7" s="25">
        <v>294.70803669459917</v>
      </c>
      <c r="AE7" s="25">
        <v>277.31547692797517</v>
      </c>
      <c r="AF7" s="25">
        <v>259.9510191638276</v>
      </c>
      <c r="AG7" s="25">
        <v>242.61550646223083</v>
      </c>
      <c r="AH7" s="25">
        <v>225.30980717506139</v>
      </c>
      <c r="AI7" s="25">
        <v>208.03481570475202</v>
      </c>
      <c r="AJ7" s="25">
        <v>190.79145328580859</v>
      </c>
      <c r="AK7" s="25">
        <v>173.58066878977195</v>
      </c>
      <c r="AL7" s="25">
        <v>156.4034395543294</v>
      </c>
      <c r="AM7" s="25">
        <v>139.2607722372988</v>
      </c>
      <c r="AN7" s="25">
        <v>122.15370369623241</v>
      </c>
      <c r="AO7" s="25">
        <v>105.08330189440926</v>
      </c>
      <c r="AP7" s="25">
        <v>88.050666834006563</v>
      </c>
      <c r="AQ7" s="25">
        <v>71.056931517267003</v>
      </c>
      <c r="AR7" s="25">
        <v>54.896357353050291</v>
      </c>
      <c r="AS7" s="25">
        <v>12.337911036890404</v>
      </c>
      <c r="AT7" s="25">
        <v>-3.0371832194097944E-15</v>
      </c>
      <c r="AU7" s="25">
        <v>-3.0371832194097944E-15</v>
      </c>
      <c r="AV7" s="25">
        <v>-3.0371832194097944E-15</v>
      </c>
      <c r="AW7" s="25">
        <v>-3.0371832194097944E-15</v>
      </c>
      <c r="AX7" s="25">
        <v>-3.0371832194097944E-15</v>
      </c>
      <c r="AY7" s="25">
        <v>-3.0371832194097944E-15</v>
      </c>
      <c r="AZ7" s="25">
        <v>-3.0371832194097944E-15</v>
      </c>
      <c r="BA7" s="25">
        <v>-3.0371832194097944E-15</v>
      </c>
      <c r="BB7" s="25">
        <v>-3.0371832194097944E-15</v>
      </c>
    </row>
    <row r="8" spans="1:60">
      <c r="A8" s="24">
        <f>NPV('Financial Information'!$B$5,$E8:$AL8)*(1+'Financial Information'!$B$5)</f>
        <v>942.3800589194517</v>
      </c>
      <c r="B8" s="24">
        <f>NPV('Financial Information'!$B$5,$E8:$BB8)*(1+'Financial Information'!$B$5)</f>
        <v>955.66466934461778</v>
      </c>
      <c r="C8" s="6" t="s">
        <v>39</v>
      </c>
      <c r="D8" s="25">
        <v>0</v>
      </c>
      <c r="E8" s="25">
        <v>76.198258499999994</v>
      </c>
      <c r="F8" s="25">
        <v>99.265078249999988</v>
      </c>
      <c r="G8" s="25">
        <v>96.932478499999988</v>
      </c>
      <c r="H8" s="25">
        <v>94.081523250000004</v>
      </c>
      <c r="I8" s="25">
        <v>90.971390249999999</v>
      </c>
      <c r="J8" s="25">
        <v>87.861257249999994</v>
      </c>
      <c r="K8" s="25">
        <v>84.751124250000004</v>
      </c>
      <c r="L8" s="25">
        <v>81.640991249999999</v>
      </c>
      <c r="M8" s="25">
        <v>78.530858249999994</v>
      </c>
      <c r="N8" s="25">
        <v>74.643191999999999</v>
      </c>
      <c r="O8" s="25">
        <v>71.273881249999988</v>
      </c>
      <c r="P8" s="25">
        <v>67.386214999999993</v>
      </c>
      <c r="Q8" s="25">
        <v>63.239370999999998</v>
      </c>
      <c r="R8" s="25">
        <v>59.092527000000004</v>
      </c>
      <c r="S8" s="25">
        <v>54.945682999999995</v>
      </c>
      <c r="T8" s="25">
        <v>50.798839000000001</v>
      </c>
      <c r="U8" s="25">
        <v>46.651994999999992</v>
      </c>
      <c r="V8" s="25">
        <v>41.72761775</v>
      </c>
      <c r="W8" s="25">
        <v>36.544062749999995</v>
      </c>
      <c r="X8" s="25">
        <v>32.138041000000001</v>
      </c>
      <c r="Y8" s="25">
        <v>31.101329999999997</v>
      </c>
      <c r="Z8" s="25">
        <v>27.991197</v>
      </c>
      <c r="AA8" s="25">
        <v>26.954485999999999</v>
      </c>
      <c r="AB8" s="25">
        <v>24.621886249999999</v>
      </c>
      <c r="AC8" s="25">
        <v>23.844352999999998</v>
      </c>
      <c r="AD8" s="25">
        <v>22.289286499999999</v>
      </c>
      <c r="AE8" s="25">
        <v>20.99339775</v>
      </c>
      <c r="AF8" s="25">
        <v>20.734219999999997</v>
      </c>
      <c r="AG8" s="25">
        <v>20.734219999999997</v>
      </c>
      <c r="AH8" s="25">
        <v>20.734219999999997</v>
      </c>
      <c r="AI8" s="25">
        <v>20.734219999999997</v>
      </c>
      <c r="AJ8" s="25">
        <v>20.734219999999997</v>
      </c>
      <c r="AK8" s="25">
        <v>20.734219999999997</v>
      </c>
      <c r="AL8" s="25">
        <v>20.734219999999997</v>
      </c>
      <c r="AM8" s="25">
        <v>20.734219999999997</v>
      </c>
      <c r="AN8" s="25">
        <v>20.734219999999997</v>
      </c>
      <c r="AO8" s="25">
        <v>20.734219999999997</v>
      </c>
      <c r="AP8" s="25">
        <v>20.734219999999997</v>
      </c>
      <c r="AQ8" s="25">
        <v>20.734219999999997</v>
      </c>
      <c r="AR8" s="25">
        <v>20.734219999999997</v>
      </c>
      <c r="AS8" s="25">
        <v>20.734219999999997</v>
      </c>
      <c r="AT8" s="25">
        <v>0</v>
      </c>
      <c r="AU8" s="25">
        <v>0</v>
      </c>
      <c r="AV8" s="25">
        <v>0</v>
      </c>
      <c r="AW8" s="25">
        <v>0</v>
      </c>
      <c r="AX8" s="25">
        <v>0</v>
      </c>
      <c r="AY8" s="25">
        <v>0</v>
      </c>
      <c r="AZ8" s="25">
        <v>0</v>
      </c>
      <c r="BA8" s="25">
        <v>0</v>
      </c>
      <c r="BB8" s="25">
        <v>0</v>
      </c>
    </row>
    <row r="9" spans="1:60">
      <c r="A9" s="386">
        <f>NPV('Financial Information'!$B$5,$E9:$AL9)*(1+'Financial Information'!$B$5)</f>
        <v>3597.8362599699026</v>
      </c>
      <c r="B9" s="386">
        <f>NPV('Financial Information'!$B$5,$E9:$BB9)*(1+'Financial Information'!$B$5)</f>
        <v>3748.9591476593559</v>
      </c>
      <c r="C9" s="6" t="s">
        <v>40</v>
      </c>
      <c r="D9" s="25">
        <v>0</v>
      </c>
      <c r="E9" s="25">
        <v>193.85625000000002</v>
      </c>
      <c r="F9" s="25">
        <v>258.47500000000002</v>
      </c>
      <c r="G9" s="25">
        <v>258.47500000000002</v>
      </c>
      <c r="H9" s="25">
        <v>258.47500000000002</v>
      </c>
      <c r="I9" s="25">
        <v>258.47500000000002</v>
      </c>
      <c r="J9" s="25">
        <v>258.47500000000002</v>
      </c>
      <c r="K9" s="25">
        <v>258.47500000000002</v>
      </c>
      <c r="L9" s="25">
        <v>258.47500000000002</v>
      </c>
      <c r="M9" s="25">
        <v>258.47500000000002</v>
      </c>
      <c r="N9" s="25">
        <v>258.47500000000002</v>
      </c>
      <c r="O9" s="25">
        <v>258.47500000000002</v>
      </c>
      <c r="P9" s="25">
        <v>258.47500000000002</v>
      </c>
      <c r="Q9" s="25">
        <v>258.47500000000002</v>
      </c>
      <c r="R9" s="25">
        <v>258.47500000000002</v>
      </c>
      <c r="S9" s="25">
        <v>258.47500000000002</v>
      </c>
      <c r="T9" s="25">
        <v>258.47500000000002</v>
      </c>
      <c r="U9" s="25">
        <v>258.47500000000002</v>
      </c>
      <c r="V9" s="25">
        <v>258.47500000000002</v>
      </c>
      <c r="W9" s="25">
        <v>258.47500000000002</v>
      </c>
      <c r="X9" s="25">
        <v>258.47500000000002</v>
      </c>
      <c r="Y9" s="25">
        <v>258.47500000000002</v>
      </c>
      <c r="Z9" s="25">
        <v>258.47500000000002</v>
      </c>
      <c r="AA9" s="25">
        <v>258.47500000000002</v>
      </c>
      <c r="AB9" s="25">
        <v>258.47500000000002</v>
      </c>
      <c r="AC9" s="25">
        <v>258.47500000000002</v>
      </c>
      <c r="AD9" s="25">
        <v>258.47500000000002</v>
      </c>
      <c r="AE9" s="25">
        <v>258.47500000000002</v>
      </c>
      <c r="AF9" s="25">
        <v>258.47500000000002</v>
      </c>
      <c r="AG9" s="25">
        <v>258.47500000000002</v>
      </c>
      <c r="AH9" s="25">
        <v>258.47500000000002</v>
      </c>
      <c r="AI9" s="25">
        <v>258.47500000000002</v>
      </c>
      <c r="AJ9" s="25">
        <v>258.47500000000002</v>
      </c>
      <c r="AK9" s="25">
        <v>258.47500000000002</v>
      </c>
      <c r="AL9" s="25">
        <v>258.47500000000002</v>
      </c>
      <c r="AM9" s="25">
        <v>258.47500000000002</v>
      </c>
      <c r="AN9" s="25">
        <v>258.47500000000002</v>
      </c>
      <c r="AO9" s="25">
        <v>258.47500000000002</v>
      </c>
      <c r="AP9" s="25">
        <v>258.47500000000002</v>
      </c>
      <c r="AQ9" s="25">
        <v>258.47500000000002</v>
      </c>
      <c r="AR9" s="25">
        <v>258.47500000000002</v>
      </c>
      <c r="AS9" s="25">
        <v>64.618750000000006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</row>
    <row r="10" spans="1:60">
      <c r="A10" s="24">
        <f>SUM(A2:A9)</f>
        <v>155803.25728667999</v>
      </c>
      <c r="B10" s="24">
        <f>SUM(B2:B9)</f>
        <v>156025.15371583399</v>
      </c>
      <c r="D10" s="25">
        <f t="shared" ref="D10:AI10" si="20">SUM(D2:D9)</f>
        <v>0</v>
      </c>
      <c r="E10" s="25">
        <f t="shared" si="20"/>
        <v>14213.612358052165</v>
      </c>
      <c r="F10" s="25">
        <f t="shared" si="20"/>
        <v>16302.860178765308</v>
      </c>
      <c r="G10" s="25">
        <f t="shared" si="20"/>
        <v>15417.106742984903</v>
      </c>
      <c r="H10" s="25">
        <f t="shared" si="20"/>
        <v>14781.831776182109</v>
      </c>
      <c r="I10" s="25">
        <f t="shared" si="20"/>
        <v>14255.356977369402</v>
      </c>
      <c r="J10" s="25">
        <f t="shared" si="20"/>
        <v>12014.627709165368</v>
      </c>
      <c r="K10" s="25">
        <f t="shared" si="20"/>
        <v>11627.398740687317</v>
      </c>
      <c r="L10" s="25">
        <f t="shared" si="20"/>
        <v>11341.002686332038</v>
      </c>
      <c r="M10" s="25">
        <f t="shared" si="20"/>
        <v>11071.345157965336</v>
      </c>
      <c r="N10" s="25">
        <f t="shared" si="20"/>
        <v>10794.133914229003</v>
      </c>
      <c r="O10" s="25">
        <f t="shared" si="20"/>
        <v>10511.945837311458</v>
      </c>
      <c r="P10" s="25">
        <f t="shared" si="20"/>
        <v>10240.951017438769</v>
      </c>
      <c r="Q10" s="25">
        <f t="shared" si="20"/>
        <v>9945.604638002731</v>
      </c>
      <c r="R10" s="25">
        <f t="shared" si="20"/>
        <v>9719.8327083585245</v>
      </c>
      <c r="S10" s="25">
        <f t="shared" si="20"/>
        <v>9420.8433901478893</v>
      </c>
      <c r="T10" s="25">
        <f t="shared" si="20"/>
        <v>9127.637417704329</v>
      </c>
      <c r="U10" s="25">
        <f t="shared" si="20"/>
        <v>8847.6929293127068</v>
      </c>
      <c r="V10" s="25">
        <f t="shared" si="20"/>
        <v>8578.3955793812493</v>
      </c>
      <c r="W10" s="25">
        <f t="shared" si="20"/>
        <v>8650.0894068043617</v>
      </c>
      <c r="X10" s="25">
        <f t="shared" si="20"/>
        <v>8471.9472278736084</v>
      </c>
      <c r="Y10" s="25">
        <f t="shared" si="20"/>
        <v>8213.6983301061118</v>
      </c>
      <c r="Z10" s="25">
        <f t="shared" si="20"/>
        <v>7895.2807466190216</v>
      </c>
      <c r="AA10" s="25">
        <f t="shared" si="20"/>
        <v>7630.8363859357987</v>
      </c>
      <c r="AB10" s="25">
        <f t="shared" si="20"/>
        <v>7360.052505820835</v>
      </c>
      <c r="AC10" s="25">
        <f t="shared" si="20"/>
        <v>7107.7173246885495</v>
      </c>
      <c r="AD10" s="25">
        <f t="shared" si="20"/>
        <v>6835.4533888304022</v>
      </c>
      <c r="AE10" s="25">
        <f t="shared" si="20"/>
        <v>6584.1773230331728</v>
      </c>
      <c r="AF10" s="25">
        <f t="shared" si="20"/>
        <v>6324.7498659652283</v>
      </c>
      <c r="AG10" s="25">
        <f t="shared" si="20"/>
        <v>6092.7038953934671</v>
      </c>
      <c r="AH10" s="25">
        <f t="shared" si="20"/>
        <v>5994.2341523627756</v>
      </c>
      <c r="AI10" s="25">
        <f t="shared" si="20"/>
        <v>3917.1981962149093</v>
      </c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</row>
    <row r="11" spans="1:60">
      <c r="A11" s="387" t="s">
        <v>78</v>
      </c>
    </row>
    <row r="12" spans="1:60">
      <c r="B12" s="6">
        <v>74.900000000000006</v>
      </c>
      <c r="C12" s="6" t="str">
        <f>C6&amp;" $/kw"</f>
        <v>O&amp;M $/kw</v>
      </c>
      <c r="E12" s="25">
        <f>E6/74.9</f>
        <v>7.2475965400089608</v>
      </c>
      <c r="F12" s="25">
        <f t="shared" ref="F12:AI12" si="21">F6/74.9</f>
        <v>10.545082605274462</v>
      </c>
      <c r="G12" s="25">
        <f t="shared" si="21"/>
        <v>10.940859082093558</v>
      </c>
      <c r="H12" s="25">
        <f t="shared" si="21"/>
        <v>11.051765637175398</v>
      </c>
      <c r="I12" s="25">
        <f t="shared" si="21"/>
        <v>11.315548222913117</v>
      </c>
      <c r="J12" s="25">
        <f t="shared" si="21"/>
        <v>12.532646196323748</v>
      </c>
      <c r="K12" s="25">
        <f t="shared" si="21"/>
        <v>12.683785302926129</v>
      </c>
      <c r="L12" s="25">
        <f t="shared" si="21"/>
        <v>12.993265430130565</v>
      </c>
      <c r="M12" s="25">
        <f t="shared" si="21"/>
        <v>13.46742661770246</v>
      </c>
      <c r="N12" s="25">
        <f t="shared" si="21"/>
        <v>13.632919132280202</v>
      </c>
      <c r="O12" s="25">
        <f t="shared" si="21"/>
        <v>13.963687945412726</v>
      </c>
      <c r="P12" s="25">
        <f t="shared" si="21"/>
        <v>14.466484587307932</v>
      </c>
      <c r="Q12" s="25">
        <f t="shared" si="21"/>
        <v>14.648968214159503</v>
      </c>
      <c r="R12" s="25">
        <f t="shared" si="21"/>
        <v>15.712947669226507</v>
      </c>
      <c r="S12" s="25">
        <f t="shared" si="21"/>
        <v>15.539688496835661</v>
      </c>
      <c r="T12" s="25">
        <f t="shared" si="21"/>
        <v>15.742839930621681</v>
      </c>
      <c r="U12" s="25">
        <f t="shared" si="21"/>
        <v>16.12693129665611</v>
      </c>
      <c r="V12" s="25">
        <f t="shared" si="21"/>
        <v>16.699342800483997</v>
      </c>
      <c r="W12" s="25">
        <f t="shared" si="21"/>
        <v>16.927169553577301</v>
      </c>
      <c r="X12" s="25">
        <f t="shared" si="21"/>
        <v>17.344239913736818</v>
      </c>
      <c r="Y12" s="25">
        <f t="shared" si="21"/>
        <v>17.95817808022203</v>
      </c>
      <c r="Z12" s="25">
        <f t="shared" si="21"/>
        <v>18.214489853700837</v>
      </c>
      <c r="AA12" s="25">
        <f t="shared" si="21"/>
        <v>18.668509169831037</v>
      </c>
      <c r="AB12" s="25">
        <f t="shared" si="21"/>
        <v>19.328110049026208</v>
      </c>
      <c r="AC12" s="25">
        <f t="shared" si="21"/>
        <v>19.616344664971791</v>
      </c>
      <c r="AD12" s="25">
        <f t="shared" si="21"/>
        <v>20.110938906058362</v>
      </c>
      <c r="AE12" s="25">
        <f t="shared" si="21"/>
        <v>20.820051419524344</v>
      </c>
      <c r="AF12" s="25">
        <f t="shared" si="21"/>
        <v>21.14340299383424</v>
      </c>
      <c r="AG12" s="25">
        <f t="shared" si="21"/>
        <v>21.682047786632324</v>
      </c>
      <c r="AH12" s="25">
        <f t="shared" si="21"/>
        <v>22.444472524011189</v>
      </c>
      <c r="AI12" s="25">
        <f t="shared" si="21"/>
        <v>5.7643146080682444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L124"/>
  <sheetViews>
    <sheetView topLeftCell="Q108" workbookViewId="0">
      <selection activeCell="Z112" sqref="Z112"/>
    </sheetView>
  </sheetViews>
  <sheetFormatPr defaultColWidth="8.90625" defaultRowHeight="14.5"/>
  <cols>
    <col min="1" max="1" width="36" style="6" bestFit="1" customWidth="1"/>
    <col min="2" max="7" width="7.1796875" style="6" bestFit="1" customWidth="1"/>
    <col min="8" max="33" width="8.36328125" style="6" bestFit="1" customWidth="1"/>
    <col min="34" max="34" width="8.36328125" style="6" customWidth="1"/>
    <col min="35" max="36" width="8.36328125" style="6" bestFit="1" customWidth="1"/>
    <col min="37" max="37" width="23.453125" style="6" bestFit="1" customWidth="1"/>
    <col min="38" max="16384" width="8.90625" style="6"/>
  </cols>
  <sheetData>
    <row r="1" spans="1:36" s="152" customFormat="1">
      <c r="A1" s="152" t="s">
        <v>160</v>
      </c>
      <c r="B1" s="152">
        <v>2020</v>
      </c>
      <c r="C1" s="152">
        <f t="shared" ref="C1:AI1" si="0">B1+1</f>
        <v>2021</v>
      </c>
      <c r="D1" s="152">
        <f t="shared" si="0"/>
        <v>2022</v>
      </c>
      <c r="E1" s="152">
        <f t="shared" si="0"/>
        <v>2023</v>
      </c>
      <c r="F1" s="152">
        <f t="shared" si="0"/>
        <v>2024</v>
      </c>
      <c r="G1" s="152">
        <f t="shared" si="0"/>
        <v>2025</v>
      </c>
      <c r="H1" s="152">
        <f t="shared" si="0"/>
        <v>2026</v>
      </c>
      <c r="I1" s="152">
        <f t="shared" si="0"/>
        <v>2027</v>
      </c>
      <c r="J1" s="152">
        <f t="shared" si="0"/>
        <v>2028</v>
      </c>
      <c r="K1" s="152">
        <f t="shared" si="0"/>
        <v>2029</v>
      </c>
      <c r="L1" s="152">
        <f t="shared" si="0"/>
        <v>2030</v>
      </c>
      <c r="M1" s="152">
        <f t="shared" si="0"/>
        <v>2031</v>
      </c>
      <c r="N1" s="152">
        <f t="shared" si="0"/>
        <v>2032</v>
      </c>
      <c r="O1" s="152">
        <f t="shared" si="0"/>
        <v>2033</v>
      </c>
      <c r="P1" s="152">
        <f t="shared" si="0"/>
        <v>2034</v>
      </c>
      <c r="Q1" s="152">
        <f t="shared" si="0"/>
        <v>2035</v>
      </c>
      <c r="R1" s="152">
        <f t="shared" si="0"/>
        <v>2036</v>
      </c>
      <c r="S1" s="152">
        <f t="shared" si="0"/>
        <v>2037</v>
      </c>
      <c r="T1" s="152">
        <f t="shared" si="0"/>
        <v>2038</v>
      </c>
      <c r="U1" s="152">
        <f t="shared" si="0"/>
        <v>2039</v>
      </c>
      <c r="V1" s="152">
        <f t="shared" si="0"/>
        <v>2040</v>
      </c>
      <c r="W1" s="152">
        <f t="shared" si="0"/>
        <v>2041</v>
      </c>
      <c r="X1" s="152">
        <f t="shared" si="0"/>
        <v>2042</v>
      </c>
      <c r="Y1" s="152">
        <f t="shared" si="0"/>
        <v>2043</v>
      </c>
      <c r="Z1" s="152">
        <f t="shared" si="0"/>
        <v>2044</v>
      </c>
      <c r="AA1" s="152">
        <f t="shared" si="0"/>
        <v>2045</v>
      </c>
      <c r="AB1" s="152">
        <f t="shared" si="0"/>
        <v>2046</v>
      </c>
      <c r="AC1" s="209">
        <f t="shared" si="0"/>
        <v>2047</v>
      </c>
      <c r="AD1" s="210">
        <f t="shared" si="0"/>
        <v>2048</v>
      </c>
      <c r="AE1" s="152">
        <f t="shared" si="0"/>
        <v>2049</v>
      </c>
      <c r="AF1" s="152">
        <f t="shared" si="0"/>
        <v>2050</v>
      </c>
      <c r="AG1" s="152">
        <f t="shared" si="0"/>
        <v>2051</v>
      </c>
      <c r="AH1" s="152">
        <f t="shared" si="0"/>
        <v>2052</v>
      </c>
      <c r="AI1" s="152">
        <f t="shared" si="0"/>
        <v>2053</v>
      </c>
    </row>
    <row r="2" spans="1:36">
      <c r="A2" s="6" t="s">
        <v>134</v>
      </c>
      <c r="B2" s="16">
        <f>Hamilton!E$10/1000+Columbia!E$10/1000+Lake_Placid!E$10/1000+Trenton!E$10/1000+Debary!E$10/1000+Santa_Fe!E$10/1000+Twin_Rivers!E$10/1000+Duette!E$10/1000+Charlie_Creek!E$10/1000+Archer!E$10/1000</f>
        <v>65.260450182206341</v>
      </c>
      <c r="C2" s="16">
        <f>Hamilton!F$10/1000+Columbia!F$10/1000+Lake_Placid!F$10/1000+Trenton!F$10/1000+Debary!F$10/1000+Santa_Fe!F$10/1000+Twin_Rivers!F$10/1000+Duette!F$10/1000+Charlie_Creek!F$10/1000+Archer!F$10/1000</f>
        <v>102.08062069466152</v>
      </c>
      <c r="D2" s="16">
        <f>Hamilton!G$10/1000+Columbia!G$10/1000+Lake_Placid!G$10/1000+Trenton!G$10/1000+Debary!G$10/1000+Santa_Fe!G$10/1000+Twin_Rivers!G$10/1000+Duette!G$10/1000+Charlie_Creek!G$10/1000+Archer!G$10/1000</f>
        <v>140.1396490741636</v>
      </c>
      <c r="E2" s="16">
        <f>Hamilton!H$10/1000+Columbia!H$10/1000+Lake_Placid!H$10/1000+Trenton!H$10/1000+Debary!H$10/1000+Santa_Fe!H$10/1000+Twin_Rivers!H$10/1000+Duette!H$10/1000+Charlie_Creek!H$10/1000+Archer!H$10/1000</f>
        <v>134.04030278914058</v>
      </c>
      <c r="F2" s="16">
        <f>Hamilton!I$10/1000+Columbia!I$10/1000+Lake_Placid!I$10/1000+Trenton!I$10/1000+Debary!I$10/1000+Santa_Fe!I$10/1000+Twin_Rivers!I$10/1000+Duette!I$10/1000+Charlie_Creek!I$10/1000+Archer!I$10/1000</f>
        <v>128.64619422858411</v>
      </c>
      <c r="G2" s="16">
        <f>Hamilton!J$10/1000+Columbia!J$10/1000+Lake_Placid!J$10/1000+Trenton!J$10/1000+Debary!J$10/1000+Santa_Fe!J$10/1000+Twin_Rivers!J$10/1000+Duette!J$10/1000+Charlie_Creek!J$10/1000+Archer!J$10/1000</f>
        <v>120.64800562725537</v>
      </c>
      <c r="H2" s="16">
        <f>Hamilton!K$10/1000+Columbia!K$10/1000+Lake_Placid!K$10/1000+Trenton!K$10/1000+Debary!K$10/1000+Santa_Fe!K$10/1000+Twin_Rivers!K$10/1000+Duette!K$10/1000+Charlie_Creek!K$10/1000+Archer!K$10/1000</f>
        <v>106.55728151377239</v>
      </c>
      <c r="I2" s="16">
        <f>Hamilton!L$10/1000+Columbia!L$10/1000+Lake_Placid!L$10/1000+Trenton!L$10/1000+Debary!L$10/1000+Santa_Fe!L$10/1000+Twin_Rivers!L$10/1000+Duette!L$10/1000+Charlie_Creek!L$10/1000+Archer!L$10/1000</f>
        <v>103.56659689744981</v>
      </c>
      <c r="J2" s="16">
        <f>Hamilton!M$10/1000+Columbia!M$10/1000+Lake_Placid!M$10/1000+Trenton!M$10/1000+Debary!M$10/1000+Santa_Fe!M$10/1000+Twin_Rivers!M$10/1000+Duette!M$10/1000+Charlie_Creek!M$10/1000+Archer!M$10/1000</f>
        <v>100.82687797199034</v>
      </c>
      <c r="K2" s="16">
        <f>Hamilton!N$10/1000+Columbia!N$10/1000+Lake_Placid!N$10/1000+Trenton!N$10/1000+Debary!N$10/1000+Santa_Fe!N$10/1000+Twin_Rivers!N$10/1000+Duette!N$10/1000+Charlie_Creek!N$10/1000+Archer!N$10/1000</f>
        <v>98.309899435961768</v>
      </c>
      <c r="L2" s="16">
        <f>Hamilton!O$10/1000+Columbia!O$10/1000+Lake_Placid!O$10/1000+Trenton!O$10/1000+Debary!O$10/1000+Santa_Fe!O$10/1000+Twin_Rivers!O$10/1000+Duette!O$10/1000+Charlie_Creek!O$10/1000+Archer!O$10/1000</f>
        <v>95.755033583931194</v>
      </c>
      <c r="M2" s="16">
        <f>Hamilton!P$10/1000+Columbia!P$10/1000+Lake_Placid!P$10/1000+Trenton!P$10/1000+Debary!P$10/1000+Santa_Fe!P$10/1000+Twin_Rivers!P$10/1000+Duette!P$10/1000+Charlie_Creek!P$10/1000+Archer!P$10/1000</f>
        <v>93.237225357173344</v>
      </c>
      <c r="N2" s="16">
        <f>Hamilton!Q$10/1000+Columbia!Q$10/1000+Lake_Placid!Q$10/1000+Trenton!Q$10/1000+Debary!Q$10/1000+Santa_Fe!Q$10/1000+Twin_Rivers!Q$10/1000+Duette!Q$10/1000+Charlie_Creek!Q$10/1000+Archer!Q$10/1000</f>
        <v>90.726054168103147</v>
      </c>
      <c r="O2" s="16">
        <f>Hamilton!R$10/1000+Columbia!R$10/1000+Lake_Placid!R$10/1000+Trenton!R$10/1000+Debary!R$10/1000+Santa_Fe!R$10/1000+Twin_Rivers!R$10/1000+Duette!R$10/1000+Charlie_Creek!R$10/1000+Archer!R$10/1000</f>
        <v>88.301601526088845</v>
      </c>
      <c r="P2" s="16">
        <f>Hamilton!S$10/1000+Columbia!S$10/1000+Lake_Placid!S$10/1000+Trenton!S$10/1000+Debary!S$10/1000+Santa_Fe!S$10/1000+Twin_Rivers!S$10/1000+Duette!S$10/1000+Charlie_Creek!S$10/1000+Archer!S$10/1000</f>
        <v>85.76397260337508</v>
      </c>
      <c r="Q2" s="16">
        <f>Hamilton!T$10/1000+Columbia!T$10/1000+Lake_Placid!T$10/1000+Trenton!T$10/1000+Debary!T$10/1000+Santa_Fe!T$10/1000+Twin_Rivers!T$10/1000+Duette!T$10/1000+Charlie_Creek!T$10/1000+Archer!T$10/1000</f>
        <v>83.238224479776378</v>
      </c>
      <c r="R2" s="16">
        <f>Hamilton!U$10/1000+Columbia!U$10/1000+Lake_Placid!U$10/1000+Trenton!U$10/1000+Debary!U$10/1000+Santa_Fe!U$10/1000+Twin_Rivers!U$10/1000+Duette!U$10/1000+Charlie_Creek!U$10/1000+Archer!U$10/1000</f>
        <v>80.598791337134827</v>
      </c>
      <c r="S2" s="16">
        <f>Hamilton!V$10/1000+Columbia!V$10/1000+Lake_Placid!V$10/1000+Trenton!V$10/1000+Debary!V$10/1000+Santa_Fe!V$10/1000+Twin_Rivers!V$10/1000+Duette!V$10/1000+Charlie_Creek!V$10/1000+Archer!V$10/1000</f>
        <v>78.071339778696768</v>
      </c>
      <c r="T2" s="16">
        <f>Hamilton!W$10/1000+Columbia!W$10/1000+Lake_Placid!W$10/1000+Trenton!W$10/1000+Debary!W$10/1000+Santa_Fe!W$10/1000+Twin_Rivers!W$10/1000+Duette!W$10/1000+Charlie_Creek!W$10/1000+Archer!W$10/1000</f>
        <v>78.09258300930594</v>
      </c>
      <c r="U2" s="16">
        <f>Hamilton!X$10/1000+Columbia!X$10/1000+Lake_Placid!X$10/1000+Trenton!X$10/1000+Debary!X$10/1000+Santa_Fe!X$10/1000+Twin_Rivers!X$10/1000+Duette!X$10/1000+Charlie_Creek!X$10/1000+Archer!X$10/1000</f>
        <v>77.049132064444734</v>
      </c>
      <c r="V2" s="16">
        <f>Hamilton!Y$10/1000+Columbia!Y$10/1000+Lake_Placid!Y$10/1000+Trenton!Y$10/1000+Debary!Y$10/1000+Santa_Fe!Y$10/1000+Twin_Rivers!Y$10/1000+Duette!Y$10/1000+Charlie_Creek!Y$10/1000+Archer!Y$10/1000</f>
        <v>74.343785062889211</v>
      </c>
      <c r="W2" s="16">
        <f>Hamilton!Z$10/1000+Columbia!Z$10/1000+Lake_Placid!Z$10/1000+Trenton!Z$10/1000+Debary!Z$10/1000+Santa_Fe!Z$10/1000+Twin_Rivers!Z$10/1000+Duette!Z$10/1000+Charlie_Creek!Z$10/1000+Archer!Z$10/1000</f>
        <v>71.700748538238017</v>
      </c>
      <c r="X2" s="16">
        <f>Hamilton!AA$10/1000+Columbia!AA$10/1000+Lake_Placid!AA$10/1000+Trenton!AA$10/1000+Debary!AA$10/1000+Santa_Fe!AA$10/1000+Twin_Rivers!AA$10/1000+Duette!AA$10/1000+Charlie_Creek!AA$10/1000+Archer!AA$10/1000</f>
        <v>69.274426053501713</v>
      </c>
      <c r="Y2" s="16">
        <f>Hamilton!AB$10/1000+Columbia!AB$10/1000+Lake_Placid!AB$10/1000+Trenton!AB$10/1000+Debary!AB$10/1000+Santa_Fe!AB$10/1000+Twin_Rivers!AB$10/1000+Duette!AB$10/1000+Charlie_Creek!AB$10/1000+Archer!AB$10/1000</f>
        <v>66.777509599182792</v>
      </c>
      <c r="Z2" s="16">
        <f>Hamilton!AC$10/1000+Columbia!AC$10/1000+Lake_Placid!AC$10/1000+Trenton!AC$10/1000+Debary!AC$10/1000+Santa_Fe!AC$10/1000+Twin_Rivers!AC$10/1000+Duette!AC$10/1000+Charlie_Creek!AC$10/1000+Archer!AC$10/1000</f>
        <v>64.511486072982294</v>
      </c>
      <c r="AA2" s="16">
        <f>Hamilton!AD$10/1000+Columbia!AD$10/1000+Lake_Placid!AD$10/1000+Trenton!AD$10/1000+Debary!AD$10/1000+Santa_Fe!AD$10/1000+Twin_Rivers!AD$10/1000+Duette!AD$10/1000+Charlie_Creek!AD$10/1000+Archer!AD$10/1000</f>
        <v>62.123479086747679</v>
      </c>
      <c r="AB2" s="16">
        <f>Hamilton!AE$10/1000+Columbia!AE$10/1000+Lake_Placid!AE$10/1000+Trenton!AE$10/1000+Debary!AE$10/1000+Santa_Fe!AE$10/1000+Twin_Rivers!AE$10/1000+Duette!AE$10/1000+Charlie_Creek!AE$10/1000+Archer!AE$10/1000</f>
        <v>59.912845166921755</v>
      </c>
      <c r="AC2" s="16">
        <f>Hamilton!AF$10/1000+Columbia!AF$10/1000+Lake_Placid!AF$10/1000+Trenton!AF$10/1000+Debary!AF$10/1000+Santa_Fe!AF$10/1000+Twin_Rivers!AF$10/1000+Duette!AF$10/1000+Charlie_Creek!AF$10/1000+Archer!AF$10/1000</f>
        <v>57.650395769136487</v>
      </c>
      <c r="AD2" s="16">
        <f>Hamilton!AG$10/1000+Columbia!AG$10/1000+Lake_Placid!AG$10/1000+Trenton!AG$10/1000+Debary!AG$10/1000+Santa_Fe!AG$10/1000+Twin_Rivers!AG$10/1000+Duette!AG$10/1000+Charlie_Creek!AG$10/1000+Archer!AG$10/1000</f>
        <v>57.703514450685773</v>
      </c>
      <c r="AE2" s="16">
        <f>Hamilton!AH$10/1000+Columbia!AH$10/1000+Lake_Placid!AH$10/1000+Trenton!AH$10/1000+Debary!AH$10/1000+Santa_Fe!AH$10/1000+Twin_Rivers!AH$10/1000+Duette!AH$10/1000+Charlie_Creek!AH$10/1000+Archer!AH$10/1000</f>
        <v>52.145094362648948</v>
      </c>
      <c r="AF2" s="16">
        <f>Hamilton!AI$10/1000+Columbia!AI$10/1000+Lake_Placid!AI$10/1000+Trenton!AI$10/1000+Debary!AI$10/1000+Santa_Fe!AI$10/1000+Twin_Rivers!AI$10/1000+Duette!AI$10/1000+Charlie_Creek!AI$10/1000+Archer!AI$10/1000</f>
        <v>37.078414464395848</v>
      </c>
      <c r="AG2" s="16">
        <f>Hamilton!AJ$10/1000+Columbia!AJ$10/1000+Lake_Placid!AJ$10/1000+Trenton!AJ$10/1000+Debary!AJ$10/1000+Santa_Fe!AJ$10/1000+Twin_Rivers!AJ$10/1000+Duette!AJ$10/1000+Charlie_Creek!AJ$10/1000+Archer!AJ$10/1000</f>
        <v>21.622436034797943</v>
      </c>
      <c r="AH2" s="16">
        <f>Hamilton!AK$10/1000+Columbia!AK$10/1000+Lake_Placid!AK$10/1000+Trenton!AK$10/1000+Debary!AK$10/1000+Santa_Fe!AK$10/1000+Twin_Rivers!AK$10/1000+Duette!AK$10/1000+Charlie_Creek!AK$10/1000+Archer!AK$10/1000</f>
        <v>3.3113138854625253</v>
      </c>
      <c r="AI2" s="16">
        <f>Hamilton!AL$10/1000+Columbia!AL$10/1000+Lake_Placid!AL$10/1000+Trenton!AL$10/1000+Debary!AL$10/1000+Santa_Fe!AL$10/1000+Twin_Rivers!AL$10/1000+Duette!AL$10/1000+Charlie_Creek!AL$10/1000+Archer!AL$10/1000</f>
        <v>3.1867270656465223</v>
      </c>
      <c r="AJ2" s="16"/>
    </row>
    <row r="3" spans="1:36">
      <c r="A3" s="6" t="s">
        <v>135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19"/>
      <c r="AD3" s="211"/>
      <c r="AE3" s="16"/>
      <c r="AF3" s="16"/>
      <c r="AG3" s="16"/>
      <c r="AH3" s="16"/>
      <c r="AI3" s="16"/>
      <c r="AJ3" s="16"/>
    </row>
    <row r="4" spans="1:36">
      <c r="A4" s="6" t="s">
        <v>60</v>
      </c>
      <c r="B4" s="16">
        <f>('[9]2019Fall_SoB700_GENCAP_2048'!F$18+'[9]2019Fall_SoB700_TRANSCAP_2048'!F$18)/1000</f>
        <v>0</v>
      </c>
      <c r="C4" s="16">
        <f>('[9]2019Fall_SoB700_GENCAP_2048'!G$18+'[9]2019Fall_SoB700_TRANSCAP_2048'!G$18)/1000</f>
        <v>0</v>
      </c>
      <c r="D4" s="16">
        <f>('[9]2019Fall_SoB700_GENCAP_2048'!H$18+'[9]2019Fall_SoB700_TRANSCAP_2048'!H$18)/1000</f>
        <v>0</v>
      </c>
      <c r="E4" s="16">
        <f>('[9]2019Fall_SoB700_GENCAP_2048'!I$18+'[9]2019Fall_SoB700_TRANSCAP_2048'!I$18)/1000</f>
        <v>0</v>
      </c>
      <c r="F4" s="16">
        <f>('[9]2019Fall_SoB700_GENCAP_2048'!J$18+'[9]2019Fall_SoB700_TRANSCAP_2048'!J$18)/1000</f>
        <v>0</v>
      </c>
      <c r="G4" s="16">
        <f>('[9]2019Fall_SoB700_GENCAP_2048'!K$18+'[9]2019Fall_SoB700_TRANSCAP_2048'!K$18)/1000</f>
        <v>0</v>
      </c>
      <c r="H4" s="16">
        <f>('[9]2019Fall_SoB700_GENCAP_2048'!L$18+'[9]2019Fall_SoB700_TRANSCAP_2048'!L$18)/1000</f>
        <v>0</v>
      </c>
      <c r="I4" s="16">
        <f>('[9]2019Fall_SoB700_GENCAP_2048'!M$18+'[9]2019Fall_SoB700_TRANSCAP_2048'!M$18)/1000</f>
        <v>21.434177450472909</v>
      </c>
      <c r="J4" s="16">
        <f>('[9]2019Fall_SoB700_GENCAP_2048'!N$18+'[9]2019Fall_SoB700_TRANSCAP_2048'!N$18)/1000</f>
        <v>46.783275595120465</v>
      </c>
      <c r="K4" s="16">
        <f>('[9]2019Fall_SoB700_GENCAP_2048'!O$18+'[9]2019Fall_SoB700_TRANSCAP_2048'!O$18)/1000</f>
        <v>53.031853500100247</v>
      </c>
      <c r="L4" s="16">
        <f>('[9]2019Fall_SoB700_GENCAP_2048'!P$18+'[9]2019Fall_SoB700_TRANSCAP_2048'!P$18)/1000</f>
        <v>62.602768641587524</v>
      </c>
      <c r="M4" s="16">
        <f>('[9]2019Fall_SoB700_GENCAP_2048'!Q$18+'[9]2019Fall_SoB700_TRANSCAP_2048'!Q$18)/1000</f>
        <v>68.630002208999557</v>
      </c>
      <c r="N4" s="16">
        <f>('[9]2019Fall_SoB700_GENCAP_2048'!R$18+'[9]2019Fall_SoB700_TRANSCAP_2048'!R$18)/1000</f>
        <v>78.084648561876662</v>
      </c>
      <c r="O4" s="16">
        <f>('[9]2019Fall_SoB700_GENCAP_2048'!S$18+'[9]2019Fall_SoB700_TRANSCAP_2048'!S$18)/1000</f>
        <v>83.90167833980307</v>
      </c>
      <c r="P4" s="16">
        <f>('[9]2019Fall_SoB700_GENCAP_2048'!T$18+'[9]2019Fall_SoB700_TRANSCAP_2048'!T$18)/1000</f>
        <v>248.27907354502517</v>
      </c>
      <c r="Q4" s="16">
        <f>('[9]2019Fall_SoB700_GENCAP_2048'!U$18+'[9]2019Fall_SoB700_TRANSCAP_2048'!U$18)/1000</f>
        <v>632.97020285773101</v>
      </c>
      <c r="R4" s="16">
        <f>('[9]2019Fall_SoB700_GENCAP_2048'!V$18+'[9]2019Fall_SoB700_TRANSCAP_2048'!V$18)/1000</f>
        <v>615.72601174634895</v>
      </c>
      <c r="S4" s="16">
        <f>('[9]2019Fall_SoB700_GENCAP_2048'!W$18+'[9]2019Fall_SoB700_TRANSCAP_2048'!W$18)/1000</f>
        <v>598.82111580229616</v>
      </c>
      <c r="T4" s="16">
        <f>('[9]2019Fall_SoB700_GENCAP_2048'!X$18+'[9]2019Fall_SoB700_TRANSCAP_2048'!X$18)/1000</f>
        <v>624.69098127424638</v>
      </c>
      <c r="U4" s="16">
        <f>('[9]2019Fall_SoB700_GENCAP_2048'!Y$18+'[9]2019Fall_SoB700_TRANSCAP_2048'!Y$18)/1000</f>
        <v>637.06084355861947</v>
      </c>
      <c r="V4" s="16">
        <f>('[9]2019Fall_SoB700_GENCAP_2048'!Z$18+'[9]2019Fall_SoB700_TRANSCAP_2048'!Z$18)/1000</f>
        <v>633.33267355328871</v>
      </c>
      <c r="W4" s="16">
        <f>('[9]2019Fall_SoB700_GENCAP_2048'!AA$18+'[9]2019Fall_SoB700_TRANSCAP_2048'!AA$18)/1000</f>
        <v>625.15877162656579</v>
      </c>
      <c r="X4" s="16">
        <f>('[9]2019Fall_SoB700_GENCAP_2048'!AB$18+'[9]2019Fall_SoB700_TRANSCAP_2048'!AB$18)/1000</f>
        <v>732.67837413507004</v>
      </c>
      <c r="Y4" s="16">
        <f>('[9]2019Fall_SoB700_GENCAP_2048'!AC$18+'[9]2019Fall_SoB700_TRANSCAP_2048'!AC$18)/1000</f>
        <v>1100.7216882743105</v>
      </c>
      <c r="Z4" s="16">
        <f>('[9]2019Fall_SoB700_GENCAP_2048'!AD$18+'[9]2019Fall_SoB700_TRANSCAP_2048'!AD$18)/1000</f>
        <v>1100.1367299120557</v>
      </c>
      <c r="AA4" s="16">
        <f>('[9]2019Fall_SoB700_GENCAP_2048'!AE$18+'[9]2019Fall_SoB700_TRANSCAP_2048'!AE$18)/1000</f>
        <v>1105.5048609957257</v>
      </c>
      <c r="AB4" s="16">
        <f>('[9]2019Fall_SoB700_GENCAP_2048'!AF$18+'[9]2019Fall_SoB700_TRANSCAP_2048'!AF$18)/1000</f>
        <v>1083.7882489875949</v>
      </c>
      <c r="AC4" s="119">
        <f>('[9]2019Fall_SoB700_GENCAP_2048'!AG$18+'[9]2019Fall_SoB700_TRANSCAP_2048'!AG$18)/1000</f>
        <v>1051.106887865913</v>
      </c>
      <c r="AD4" s="211">
        <f>('[9]2019Fall_SoB700_GENCAP_2048'!AH$18+'[9]2019Fall_SoB700_TRANSCAP_2048'!AH$18)/1000</f>
        <v>1018.8083174654716</v>
      </c>
      <c r="AE4" s="16">
        <f>('[9]2019Fall_SoB700_GENCAP_2048'!AI$18+'[9]2019Fall_SoB700_TRANSCAP_2048'!AI$18)/1000</f>
        <v>987.0132304095896</v>
      </c>
      <c r="AF4" s="16">
        <f>('[9]2019Fall_SoB700_GENCAP_2048'!AJ$18+'[9]2019Fall_SoB700_TRANSCAP_2048'!AJ$18)/1000</f>
        <v>955.77733501619127</v>
      </c>
      <c r="AG4" s="16">
        <f>('[9]2019Fall_SoB700_GENCAP_2048'!AK$18+'[9]2019Fall_SoB700_TRANSCAP_2048'!AK$18)/1000</f>
        <v>924.80624485719784</v>
      </c>
      <c r="AH4" s="16">
        <f>('[9]2019Fall_SoB700_GENCAP_2048'!AL$18+'[9]2019Fall_SoB700_TRANSCAP_2048'!AL$18)/1000</f>
        <v>893.86948255701031</v>
      </c>
      <c r="AI4" s="16">
        <f>('[9]2019Fall_SoB700_GENCAP_2048'!AM$18+'[9]2019Fall_SoB700_TRANSCAP_2048'!AM$18)/1000</f>
        <v>863.11299395514084</v>
      </c>
      <c r="AJ4" s="23"/>
    </row>
    <row r="5" spans="1:36">
      <c r="A5" s="6" t="s">
        <v>68</v>
      </c>
      <c r="B5" s="16">
        <f>'[18]FOM Cost'!C$150/1000</f>
        <v>445.38108</v>
      </c>
      <c r="C5" s="16">
        <f>'[18]FOM Cost'!D$150/1000</f>
        <v>433.15770000000009</v>
      </c>
      <c r="D5" s="16">
        <f>'[18]FOM Cost'!E$150/1000</f>
        <v>436.09264999999999</v>
      </c>
      <c r="E5" s="16">
        <f>'[18]FOM Cost'!F$150/1000</f>
        <v>456.05954000000003</v>
      </c>
      <c r="F5" s="16">
        <f>'[18]FOM Cost'!G$150/1000</f>
        <v>300.44051999999999</v>
      </c>
      <c r="G5" s="16">
        <f>'[18]FOM Cost'!H$150/1000</f>
        <v>147.85322000000002</v>
      </c>
      <c r="H5" s="16">
        <f>'[18]FOM Cost'!I$150/1000</f>
        <v>57.67533000000001</v>
      </c>
      <c r="I5" s="16">
        <f>'[18]FOM Cost'!J$150/1000</f>
        <v>32.805870000000006</v>
      </c>
      <c r="J5" s="16">
        <f>'[18]FOM Cost'!K$150/1000</f>
        <v>21.746859999999998</v>
      </c>
      <c r="K5" s="16">
        <f>'[18]FOM Cost'!L$150/1000</f>
        <v>22.249190000000002</v>
      </c>
      <c r="L5" s="16">
        <f>'[18]FOM Cost'!M$150/1000</f>
        <v>22.85896</v>
      </c>
      <c r="M5" s="16">
        <f>'[18]FOM Cost'!N$150/1000</f>
        <v>23.44145</v>
      </c>
      <c r="N5" s="16">
        <f>'[18]FOM Cost'!O$150/1000</f>
        <v>24.103559999999998</v>
      </c>
      <c r="O5" s="16">
        <f>'[18]FOM Cost'!P$150/1000</f>
        <v>24.687150000000003</v>
      </c>
      <c r="P5" s="16">
        <f>'[18]FOM Cost'!Q$150/1000</f>
        <v>31.993279999999995</v>
      </c>
      <c r="Q5" s="16">
        <f>'[18]FOM Cost'!R$150/1000</f>
        <v>37.711539999999999</v>
      </c>
      <c r="R5" s="16">
        <f>'[18]FOM Cost'!S$150/1000</f>
        <v>38.342299999999994</v>
      </c>
      <c r="S5" s="16">
        <f>'[18]FOM Cost'!T$150/1000</f>
        <v>39.068809999999999</v>
      </c>
      <c r="T5" s="16">
        <f>'[18]FOM Cost'!U$150/1000</f>
        <v>41.958259999999996</v>
      </c>
      <c r="U5" s="16">
        <f>'[18]FOM Cost'!V$150/1000</f>
        <v>44.362510000000007</v>
      </c>
      <c r="V5" s="16">
        <f>'[18]FOM Cost'!W$150/1000</f>
        <v>46.055909999999997</v>
      </c>
      <c r="W5" s="16">
        <f>'[18]FOM Cost'!X$150/1000</f>
        <v>47.500499999999995</v>
      </c>
      <c r="X5" s="16">
        <f>'[18]FOM Cost'!Y$150/1000</f>
        <v>54.107329999999997</v>
      </c>
      <c r="Y5" s="16">
        <f>'[18]FOM Cost'!Z$150/1000</f>
        <v>59.410680000000006</v>
      </c>
      <c r="Z5" s="16">
        <f>'[18]FOM Cost'!AA$150/1000</f>
        <v>62.365270000000017</v>
      </c>
      <c r="AA5" s="16">
        <f>'[18]FOM Cost'!AB$150/1000</f>
        <v>65.325920000000011</v>
      </c>
      <c r="AB5" s="16">
        <f>'[18]FOM Cost'!AC$150/1000</f>
        <v>66.539740000000009</v>
      </c>
      <c r="AC5" s="119">
        <f>'[18]FOM Cost'!AD$150/1000</f>
        <v>67.969149999999999</v>
      </c>
      <c r="AD5" s="211">
        <f>'[18]FOM Cost'!AE$150/1000</f>
        <v>69.480310000000003</v>
      </c>
      <c r="AE5" s="16">
        <f>'[18]FOM Cost'!AF$150/1000</f>
        <v>68.531019999999998</v>
      </c>
      <c r="AF5" s="16">
        <f>'[18]FOM Cost'!AG$150/1000</f>
        <v>64.426320000000004</v>
      </c>
      <c r="AG5" s="16">
        <f>'[18]FOM Cost'!AH$150/1000</f>
        <v>60.653360000000006</v>
      </c>
      <c r="AH5" s="16">
        <f>'[18]FOM Cost'!AI$150/1000</f>
        <v>58.473479999999995</v>
      </c>
      <c r="AI5" s="16">
        <f>'[18]FOM Cost'!AJ$150/1000</f>
        <v>59.704849999999993</v>
      </c>
      <c r="AJ5" s="16"/>
    </row>
    <row r="6" spans="1:36">
      <c r="A6" s="6" t="s">
        <v>67</v>
      </c>
      <c r="B6" s="16">
        <f>[18]System!B$13/1000</f>
        <v>390.67816000000005</v>
      </c>
      <c r="C6" s="16">
        <f>[18]System!C$13/1000</f>
        <v>384.87225999999998</v>
      </c>
      <c r="D6" s="16">
        <f>[18]System!D$13/1000</f>
        <v>381.80251999999996</v>
      </c>
      <c r="E6" s="16">
        <f>[18]System!E$13/1000</f>
        <v>381.80251999999996</v>
      </c>
      <c r="F6" s="16">
        <f>[18]System!F$13/1000</f>
        <v>382.80076000000003</v>
      </c>
      <c r="G6" s="16">
        <f>[18]System!G$13/1000</f>
        <v>381.80250999999998</v>
      </c>
      <c r="H6" s="16">
        <f>[18]System!H$13/1000</f>
        <v>381.80251999999996</v>
      </c>
      <c r="I6" s="16">
        <f>[18]System!I$13/1000</f>
        <v>381.80250999999998</v>
      </c>
      <c r="J6" s="16">
        <f>[18]System!J$13/1000</f>
        <v>382.80076000000003</v>
      </c>
      <c r="K6" s="16">
        <f>[18]System!K$13/1000</f>
        <v>381.80251999999996</v>
      </c>
      <c r="L6" s="16">
        <f>[18]System!L$13/1000</f>
        <v>381.80251999999996</v>
      </c>
      <c r="M6" s="16">
        <f>[18]System!M$13/1000</f>
        <v>381.80250999999998</v>
      </c>
      <c r="N6" s="16">
        <f>[18]System!N$13/1000</f>
        <v>382.80076000000003</v>
      </c>
      <c r="O6" s="16">
        <f>[18]System!O$13/1000</f>
        <v>381.80251999999996</v>
      </c>
      <c r="P6" s="16">
        <f>[18]System!P$13/1000</f>
        <v>488.03607999999997</v>
      </c>
      <c r="Q6" s="16">
        <f>[18]System!Q$13/1000</f>
        <v>565.75178000000005</v>
      </c>
      <c r="R6" s="16">
        <f>[18]System!R$13/1000</f>
        <v>565.75178000000005</v>
      </c>
      <c r="S6" s="16">
        <f>[18]System!S$13/1000</f>
        <v>565.75178000000005</v>
      </c>
      <c r="T6" s="16">
        <f>[18]System!T$13/1000</f>
        <v>608.46997999999996</v>
      </c>
      <c r="U6" s="16">
        <f>[18]System!U$13/1000</f>
        <v>638.98298999999997</v>
      </c>
      <c r="V6" s="16">
        <f>[18]System!V$13/1000</f>
        <v>653.94328000000007</v>
      </c>
      <c r="W6" s="16">
        <f>[18]System!W$13/1000</f>
        <v>664.62914999999998</v>
      </c>
      <c r="X6" s="16">
        <f>[18]System!X$13/1000</f>
        <v>742.0158100000001</v>
      </c>
      <c r="Y6" s="16">
        <f>[18]System!Y$13/1000</f>
        <v>797.36162999999999</v>
      </c>
      <c r="Z6" s="16">
        <f>[18]System!Z$13/1000</f>
        <v>830.38836000000003</v>
      </c>
      <c r="AA6" s="16">
        <f>[18]System!AA$13/1000</f>
        <v>870.90499999999997</v>
      </c>
      <c r="AB6" s="16">
        <f>[18]System!AB$13/1000</f>
        <v>882.99510999999995</v>
      </c>
      <c r="AC6" s="119">
        <f>[18]System!AC$13/1000</f>
        <v>882.99513000000002</v>
      </c>
      <c r="AD6" s="211">
        <f>[18]System!AD$13/1000</f>
        <v>882.99513000000002</v>
      </c>
      <c r="AE6" s="16">
        <f>[18]System!AE$13/1000</f>
        <v>882.99513000000002</v>
      </c>
      <c r="AF6" s="16">
        <f>[18]System!AF$13/1000</f>
        <v>882.99513000000002</v>
      </c>
      <c r="AG6" s="16">
        <f>[18]System!AG$13/1000</f>
        <v>882.99513000000002</v>
      </c>
      <c r="AH6" s="16">
        <f>[18]System!AH$13/1000</f>
        <v>882.99513000000002</v>
      </c>
      <c r="AI6" s="16">
        <f>[18]System!AI$13/1000</f>
        <v>882.99513000000002</v>
      </c>
      <c r="AJ6" s="16"/>
    </row>
    <row r="7" spans="1:36">
      <c r="A7" s="6" t="s">
        <v>383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19"/>
      <c r="AD7" s="211"/>
      <c r="AE7" s="16"/>
      <c r="AF7" s="16"/>
      <c r="AG7" s="16"/>
      <c r="AH7" s="16"/>
      <c r="AI7" s="16"/>
      <c r="AJ7" s="16"/>
    </row>
    <row r="8" spans="1:36">
      <c r="A8" s="6" t="s">
        <v>65</v>
      </c>
      <c r="B8" s="16">
        <f>'[18]Fuel Cost'!C$150/1000</f>
        <v>849.92173000000025</v>
      </c>
      <c r="C8" s="16">
        <f>'[18]Fuel Cost'!D$150/1000</f>
        <v>866.08051999999975</v>
      </c>
      <c r="D8" s="16">
        <f>'[18]Fuel Cost'!E$150/1000</f>
        <v>947.84484000000032</v>
      </c>
      <c r="E8" s="16">
        <f>'[18]Fuel Cost'!F$150/1000</f>
        <v>1057.8138699999997</v>
      </c>
      <c r="F8" s="16">
        <f>'[18]Fuel Cost'!G$150/1000</f>
        <v>1182.4960700000001</v>
      </c>
      <c r="G8" s="16">
        <f>'[18]Fuel Cost'!H$150/1000</f>
        <v>1271.4165599999994</v>
      </c>
      <c r="H8" s="16">
        <f>'[18]Fuel Cost'!I$150/1000</f>
        <v>1398.7060600000002</v>
      </c>
      <c r="I8" s="16">
        <f>'[18]Fuel Cost'!J$150/1000</f>
        <v>1548.7833199999998</v>
      </c>
      <c r="J8" s="16">
        <f>'[18]Fuel Cost'!K$150/1000</f>
        <v>1736.2825399999995</v>
      </c>
      <c r="K8" s="16">
        <f>'[18]Fuel Cost'!L$150/1000</f>
        <v>1869.1857899999993</v>
      </c>
      <c r="L8" s="16">
        <f>'[18]Fuel Cost'!M$150/1000</f>
        <v>1986.55069</v>
      </c>
      <c r="M8" s="16">
        <f>'[18]Fuel Cost'!N$150/1000</f>
        <v>2109.9423900000006</v>
      </c>
      <c r="N8" s="16">
        <f>'[18]Fuel Cost'!O$150/1000</f>
        <v>2235.3006600000003</v>
      </c>
      <c r="O8" s="16">
        <f>'[18]Fuel Cost'!P$150/1000</f>
        <v>2252.8139899999996</v>
      </c>
      <c r="P8" s="16">
        <f>'[18]Fuel Cost'!Q$150/1000</f>
        <v>2424.8243700000012</v>
      </c>
      <c r="Q8" s="16">
        <f>'[18]Fuel Cost'!R$150/1000</f>
        <v>2553.0640600000011</v>
      </c>
      <c r="R8" s="16">
        <f>'[18]Fuel Cost'!S$150/1000</f>
        <v>2628.1293300000002</v>
      </c>
      <c r="S8" s="16">
        <f>'[18]Fuel Cost'!T$150/1000</f>
        <v>2876.0104400000005</v>
      </c>
      <c r="T8" s="16">
        <f>'[18]Fuel Cost'!U$150/1000</f>
        <v>3072.9300600000006</v>
      </c>
      <c r="U8" s="16">
        <f>'[18]Fuel Cost'!V$150/1000</f>
        <v>3170.5226099999995</v>
      </c>
      <c r="V8" s="16">
        <f>'[18]Fuel Cost'!W$150/1000</f>
        <v>3395.36744</v>
      </c>
      <c r="W8" s="16">
        <f>'[18]Fuel Cost'!X$150/1000</f>
        <v>3594.7728399999987</v>
      </c>
      <c r="X8" s="16">
        <f>'[18]Fuel Cost'!Y$150/1000</f>
        <v>3700.7189700000013</v>
      </c>
      <c r="Y8" s="16">
        <f>'[18]Fuel Cost'!Z$150/1000</f>
        <v>3832.1495899999995</v>
      </c>
      <c r="Z8" s="16">
        <f>'[18]Fuel Cost'!AA$150/1000</f>
        <v>3954.8767300000009</v>
      </c>
      <c r="AA8" s="16">
        <f>'[18]Fuel Cost'!AB$150/1000</f>
        <v>4202.7635999999993</v>
      </c>
      <c r="AB8" s="16">
        <f>'[18]Fuel Cost'!AC$150/1000</f>
        <v>4475.7334199999987</v>
      </c>
      <c r="AC8" s="119">
        <f>'[18]Fuel Cost'!AD$150/1000</f>
        <v>4626.3865899999992</v>
      </c>
      <c r="AD8" s="211">
        <f>'[18]Fuel Cost'!AE$150/1000</f>
        <v>4846.3057799999997</v>
      </c>
      <c r="AE8" s="16">
        <f>'[18]Fuel Cost'!AF$150/1000</f>
        <v>4919.3686000000007</v>
      </c>
      <c r="AF8" s="16">
        <f>'[18]Fuel Cost'!AG$150/1000</f>
        <v>5100.0044100000005</v>
      </c>
      <c r="AG8" s="16">
        <f>'[18]Fuel Cost'!AH$150/1000</f>
        <v>5274.6626700000006</v>
      </c>
      <c r="AH8" s="16">
        <f>'[18]Fuel Cost'!AI$150/1000</f>
        <v>5452.9563200000002</v>
      </c>
      <c r="AI8" s="16">
        <f>'[18]Fuel Cost'!AJ$150/1000</f>
        <v>5555.7534999999989</v>
      </c>
      <c r="AJ8" s="16"/>
    </row>
    <row r="9" spans="1:36">
      <c r="A9" s="6" t="s">
        <v>52</v>
      </c>
      <c r="B9" s="16">
        <f>('[18]Start Cost'!C$150+'[18]VOM Cost'!C$150)/1000+([18]System!B$7+[18]System!B$9)/1000</f>
        <v>86.065400000000025</v>
      </c>
      <c r="C9" s="16">
        <f>('[18]Start Cost'!D$150+'[18]VOM Cost'!D$150)/1000+([18]System!C$7+[18]System!C$9)/1000</f>
        <v>91.318770000000015</v>
      </c>
      <c r="D9" s="16">
        <f>('[18]Start Cost'!E$150+'[18]VOM Cost'!E$150)/1000+([18]System!D$7+[18]System!D$9)/1000</f>
        <v>98.379689999999954</v>
      </c>
      <c r="E9" s="16">
        <f>('[18]Start Cost'!F$150+'[18]VOM Cost'!F$150)/1000+([18]System!E$7+[18]System!E$9)/1000</f>
        <v>105.11027999999997</v>
      </c>
      <c r="F9" s="16">
        <f>('[18]Start Cost'!G$150+'[18]VOM Cost'!G$150)/1000+([18]System!F$7+[18]System!F$9)/1000</f>
        <v>112.31767000000001</v>
      </c>
      <c r="G9" s="16">
        <f>('[18]Start Cost'!H$150+'[18]VOM Cost'!H$150)/1000+([18]System!G$7+[18]System!G$9)/1000</f>
        <v>128.09508</v>
      </c>
      <c r="H9" s="16">
        <f>('[18]Start Cost'!I$150+'[18]VOM Cost'!I$150)/1000+([18]System!H$7+[18]System!H$9)/1000</f>
        <v>148.21134000000004</v>
      </c>
      <c r="I9" s="16">
        <f>('[18]Start Cost'!J$150+'[18]VOM Cost'!J$150)/1000+([18]System!I$7+[18]System!I$9)/1000</f>
        <v>168.82553999999999</v>
      </c>
      <c r="J9" s="16">
        <f>('[18]Start Cost'!K$150+'[18]VOM Cost'!K$150)/1000+([18]System!J$7+[18]System!J$9)/1000</f>
        <v>193.65674999999996</v>
      </c>
      <c r="K9" s="16">
        <f>('[18]Start Cost'!L$150+'[18]VOM Cost'!L$150)/1000+([18]System!K$7+[18]System!K$9)/1000</f>
        <v>207.28626000000006</v>
      </c>
      <c r="L9" s="16">
        <f>('[18]Start Cost'!M$150+'[18]VOM Cost'!M$150)/1000+([18]System!L$7+[18]System!L$9)/1000</f>
        <v>230.37081999999998</v>
      </c>
      <c r="M9" s="16">
        <f>('[18]Start Cost'!N$150+'[18]VOM Cost'!N$150)/1000+([18]System!M$7+[18]System!M$9)/1000</f>
        <v>251.22325000000001</v>
      </c>
      <c r="N9" s="16">
        <f>('[18]Start Cost'!O$150+'[18]VOM Cost'!O$150)/1000+([18]System!N$7+[18]System!N$9)/1000</f>
        <v>264.95512000000008</v>
      </c>
      <c r="O9" s="16">
        <f>('[18]Start Cost'!P$150+'[18]VOM Cost'!P$150)/1000+([18]System!O$7+[18]System!O$9)/1000</f>
        <v>282.39785999999998</v>
      </c>
      <c r="P9" s="16">
        <f>('[18]Start Cost'!Q$150+'[18]VOM Cost'!Q$150)/1000+([18]System!P$7+[18]System!P$9)/1000</f>
        <v>288.63731999999993</v>
      </c>
      <c r="Q9" s="16">
        <f>('[18]Start Cost'!R$150+'[18]VOM Cost'!R$150)/1000+([18]System!Q$7+[18]System!Q$9)/1000</f>
        <v>306.56341999999995</v>
      </c>
      <c r="R9" s="16">
        <f>('[18]Start Cost'!S$150+'[18]VOM Cost'!S$150)/1000+([18]System!R$7+[18]System!R$9)/1000</f>
        <v>324.33968999999996</v>
      </c>
      <c r="S9" s="16">
        <f>('[18]Start Cost'!T$150+'[18]VOM Cost'!T$150)/1000+([18]System!S$7+[18]System!S$9)/1000</f>
        <v>362.42407000000003</v>
      </c>
      <c r="T9" s="16">
        <f>('[18]Start Cost'!U$150+'[18]VOM Cost'!U$150)/1000+([18]System!T$7+[18]System!T$9)/1000</f>
        <v>385.11149999999998</v>
      </c>
      <c r="U9" s="16">
        <f>('[18]Start Cost'!V$150+'[18]VOM Cost'!V$150)/1000+([18]System!U$7+[18]System!U$9)/1000</f>
        <v>425.5369300000001</v>
      </c>
      <c r="V9" s="16">
        <f>('[18]Start Cost'!W$150+'[18]VOM Cost'!W$150)/1000+([18]System!V$7+[18]System!V$9)/1000</f>
        <v>434.25627000000003</v>
      </c>
      <c r="W9" s="16">
        <f>('[18]Start Cost'!X$150+'[18]VOM Cost'!X$150)/1000+([18]System!W$7+[18]System!W$9)/1000</f>
        <v>461.00940000000003</v>
      </c>
      <c r="X9" s="16">
        <f>('[18]Start Cost'!Y$150+'[18]VOM Cost'!Y$150)/1000+([18]System!X$7+[18]System!X$9)/1000</f>
        <v>467.77161999999998</v>
      </c>
      <c r="Y9" s="16">
        <f>('[18]Start Cost'!Z$150+'[18]VOM Cost'!Z$150)/1000+([18]System!Y$7+[18]System!Y$9)/1000</f>
        <v>489.19214000000005</v>
      </c>
      <c r="Z9" s="16">
        <f>('[18]Start Cost'!AA$150+'[18]VOM Cost'!AA$150)/1000+([18]System!Z$7+[18]System!Z$9)/1000</f>
        <v>502.56838999999997</v>
      </c>
      <c r="AA9" s="16">
        <f>('[18]Start Cost'!AB$150+'[18]VOM Cost'!AB$150)/1000+([18]System!AA$7+[18]System!AA$9)/1000</f>
        <v>533.43651999999997</v>
      </c>
      <c r="AB9" s="16">
        <f>('[18]Start Cost'!AC$150+'[18]VOM Cost'!AC$150)/1000+([18]System!AB$7+[18]System!AB$9)/1000</f>
        <v>550.51551000000006</v>
      </c>
      <c r="AC9" s="119">
        <f>('[18]Start Cost'!AD$150+'[18]VOM Cost'!AD$150)/1000+([18]System!AC$7+[18]System!AC$9)/1000</f>
        <v>576.20013000000006</v>
      </c>
      <c r="AD9" s="211">
        <f>('[18]Start Cost'!AE$150+'[18]VOM Cost'!AE$150)/1000+([18]System!AD$7+[18]System!AD$9)/1000</f>
        <v>596.90416000000005</v>
      </c>
      <c r="AE9" s="16">
        <f>('[18]Start Cost'!AF$150+'[18]VOM Cost'!AF$150)/1000+([18]System!AE$7+[18]System!AE$9)/1000</f>
        <v>619.60146999999995</v>
      </c>
      <c r="AF9" s="16">
        <f>('[18]Start Cost'!AG$150+'[18]VOM Cost'!AG$150)/1000+([18]System!AF$7+[18]System!AF$9)/1000</f>
        <v>638.58946999999989</v>
      </c>
      <c r="AG9" s="16">
        <f>('[18]Start Cost'!AH$150+'[18]VOM Cost'!AH$150)/1000+([18]System!AG$7+[18]System!AG$9)/1000</f>
        <v>670.21408999999994</v>
      </c>
      <c r="AH9" s="16">
        <f>('[18]Start Cost'!AI$150+'[18]VOM Cost'!AI$150)/1000+([18]System!AH$7+[18]System!AH$9)/1000</f>
        <v>684.66242999999997</v>
      </c>
      <c r="AI9" s="16">
        <f>('[18]Start Cost'!AJ$150+'[18]VOM Cost'!AJ$150)/1000+([18]System!AI$7+[18]System!AI$9)/1000</f>
        <v>714.56610000000001</v>
      </c>
      <c r="AJ9" s="16"/>
    </row>
    <row r="10" spans="1:36">
      <c r="A10" s="36" t="s">
        <v>66</v>
      </c>
      <c r="B10" s="119">
        <f>('[18]Reagent Cost'!C$150+'[18]SO2 Cost'!C$150+'[18]NOx Cost'!C$150+'[18]Lime Cost'!C$150)/1000</f>
        <v>6.2323630999999988</v>
      </c>
      <c r="C10" s="119">
        <f>('[18]Reagent Cost'!D$150+'[18]SO2 Cost'!D$150+'[18]NOx Cost'!D$150+'[18]Lime Cost'!D$150)/1000</f>
        <v>6.603692999999998</v>
      </c>
      <c r="D10" s="119">
        <f>('[18]Reagent Cost'!E$150+'[18]SO2 Cost'!E$150+'[18]NOx Cost'!E$150+'[18]Lime Cost'!E$150)/1000</f>
        <v>7.4751453000000003</v>
      </c>
      <c r="E10" s="119">
        <f>('[18]Reagent Cost'!F$150+'[18]SO2 Cost'!F$150+'[18]NOx Cost'!F$150+'[18]Lime Cost'!F$150)/1000</f>
        <v>9.4300314000000007</v>
      </c>
      <c r="F10" s="119">
        <f>('[18]Reagent Cost'!G$150+'[18]SO2 Cost'!G$150+'[18]NOx Cost'!G$150+'[18]Lime Cost'!G$150)/1000</f>
        <v>12.814361699999997</v>
      </c>
      <c r="G10" s="119">
        <f>('[18]Reagent Cost'!H$150+'[18]SO2 Cost'!H$150+'[18]NOx Cost'!H$150+'[18]Lime Cost'!H$150)/1000</f>
        <v>10.9621411</v>
      </c>
      <c r="H10" s="119">
        <f>('[18]Reagent Cost'!I$150+'[18]SO2 Cost'!I$150+'[18]NOx Cost'!I$150+'[18]Lime Cost'!I$150)/1000</f>
        <v>10.476756699999999</v>
      </c>
      <c r="I10" s="119">
        <f>('[18]Reagent Cost'!J$150+'[18]SO2 Cost'!J$150+'[18]NOx Cost'!J$150+'[18]Lime Cost'!J$150)/1000</f>
        <v>9.4208694000000008</v>
      </c>
      <c r="J10" s="119">
        <f>('[18]Reagent Cost'!K$150+'[18]SO2 Cost'!K$150+'[18]NOx Cost'!K$150+'[18]Lime Cost'!K$150)/1000</f>
        <v>9.6805582000000001</v>
      </c>
      <c r="K10" s="119">
        <f>('[18]Reagent Cost'!L$150+'[18]SO2 Cost'!L$150+'[18]NOx Cost'!L$150+'[18]Lime Cost'!L$150)/1000</f>
        <v>9.9322134000000002</v>
      </c>
      <c r="L10" s="119">
        <f>('[18]Reagent Cost'!M$150+'[18]SO2 Cost'!M$150+'[18]NOx Cost'!M$150+'[18]Lime Cost'!M$150)/1000</f>
        <v>10.121145499999999</v>
      </c>
      <c r="M10" s="119">
        <f>('[18]Reagent Cost'!N$150+'[18]SO2 Cost'!N$150+'[18]NOx Cost'!N$150+'[18]Lime Cost'!N$150)/1000</f>
        <v>9.8828691000000006</v>
      </c>
      <c r="N10" s="119">
        <f>('[18]Reagent Cost'!O$150+'[18]SO2 Cost'!O$150+'[18]NOx Cost'!O$150+'[18]Lime Cost'!O$150)/1000</f>
        <v>9.2285555000000006</v>
      </c>
      <c r="O10" s="119">
        <f>('[18]Reagent Cost'!P$150+'[18]SO2 Cost'!P$150+'[18]NOx Cost'!P$150+'[18]Lime Cost'!P$150)/1000</f>
        <v>9.1555788000000007</v>
      </c>
      <c r="P10" s="119">
        <f>('[18]Reagent Cost'!Q$150+'[18]SO2 Cost'!Q$150+'[18]NOx Cost'!Q$150+'[18]Lime Cost'!Q$150)/1000</f>
        <v>4.2488163999999999</v>
      </c>
      <c r="Q10" s="119">
        <f>('[18]Reagent Cost'!R$150+'[18]SO2 Cost'!R$150+'[18]NOx Cost'!R$150+'[18]Lime Cost'!R$150)/1000</f>
        <v>1.74061</v>
      </c>
      <c r="R10" s="119">
        <f>('[18]Reagent Cost'!S$150+'[18]SO2 Cost'!S$150+'[18]NOx Cost'!S$150+'[18]Lime Cost'!S$150)/1000</f>
        <v>1.7605500000000001</v>
      </c>
      <c r="S10" s="119">
        <f>('[18]Reagent Cost'!T$150+'[18]SO2 Cost'!T$150+'[18]NOx Cost'!T$150+'[18]Lime Cost'!T$150)/1000</f>
        <v>1.7846099999999998</v>
      </c>
      <c r="T10" s="119">
        <f>('[18]Reagent Cost'!U$150+'[18]SO2 Cost'!U$150+'[18]NOx Cost'!U$150+'[18]Lime Cost'!U$150)/1000</f>
        <v>1.80145</v>
      </c>
      <c r="U10" s="119">
        <f>('[18]Reagent Cost'!V$150+'[18]SO2 Cost'!V$150+'[18]NOx Cost'!V$150+'[18]Lime Cost'!V$150)/1000</f>
        <v>1.80986</v>
      </c>
      <c r="V10" s="119">
        <f>('[18]Reagent Cost'!W$150+'[18]SO2 Cost'!W$150+'[18]NOx Cost'!W$150+'[18]Lime Cost'!W$150)/1000</f>
        <v>1.8472899999999999</v>
      </c>
      <c r="W10" s="119">
        <f>('[18]Reagent Cost'!X$150+'[18]SO2 Cost'!X$150+'[18]NOx Cost'!X$150+'[18]Lime Cost'!X$150)/1000</f>
        <v>1.8610199999999999</v>
      </c>
      <c r="X10" s="119">
        <f>('[18]Reagent Cost'!Y$150+'[18]SO2 Cost'!Y$150+'[18]NOx Cost'!Y$150+'[18]Lime Cost'!Y$150)/1000</f>
        <v>1.8617300000000001</v>
      </c>
      <c r="Y10" s="119">
        <f>('[18]Reagent Cost'!Z$150+'[18]SO2 Cost'!Z$150+'[18]NOx Cost'!Z$150+'[18]Lime Cost'!Z$150)/1000</f>
        <v>1.88073</v>
      </c>
      <c r="Z10" s="119">
        <f>('[18]Reagent Cost'!AA$150+'[18]SO2 Cost'!AA$150+'[18]NOx Cost'!AA$150+'[18]Lime Cost'!AA$150)/1000</f>
        <v>1.9071900000000002</v>
      </c>
      <c r="AA10" s="119">
        <f>('[18]Reagent Cost'!AB$150+'[18]SO2 Cost'!AB$150+'[18]NOx Cost'!AB$150+'[18]Lime Cost'!AB$150)/1000</f>
        <v>1.9252600000000002</v>
      </c>
      <c r="AB10" s="119">
        <f>('[18]Reagent Cost'!AC$150+'[18]SO2 Cost'!AC$150+'[18]NOx Cost'!AC$150+'[18]Lime Cost'!AC$150)/1000</f>
        <v>1.9626799999999998</v>
      </c>
      <c r="AC10" s="119">
        <f>('[18]Reagent Cost'!AD$150+'[18]SO2 Cost'!AD$150+'[18]NOx Cost'!AD$150+'[18]Lime Cost'!AD$150)/1000</f>
        <v>1.9610700000000003</v>
      </c>
      <c r="AD10" s="211">
        <f>('[18]Reagent Cost'!AE$150+'[18]SO2 Cost'!AE$150+'[18]NOx Cost'!AE$150+'[18]Lime Cost'!AE$150)/1000</f>
        <v>1.97055</v>
      </c>
      <c r="AE10" s="119">
        <f>('[18]Reagent Cost'!AF$150+'[18]SO2 Cost'!AF$150+'[18]NOx Cost'!AF$150+'[18]Lime Cost'!AF$150)/1000</f>
        <v>1.9775</v>
      </c>
      <c r="AF10" s="119">
        <f>('[18]Reagent Cost'!AG$150+'[18]SO2 Cost'!AG$150+'[18]NOx Cost'!AG$150+'[18]Lime Cost'!AG$150)/1000</f>
        <v>2.0075399999999997</v>
      </c>
      <c r="AG10" s="119">
        <f>('[18]Reagent Cost'!AH$150+'[18]SO2 Cost'!AH$150+'[18]NOx Cost'!AH$150+'[18]Lime Cost'!AH$150)/1000</f>
        <v>2.0243699999999998</v>
      </c>
      <c r="AH10" s="119">
        <f>('[18]Reagent Cost'!AI$150+'[18]SO2 Cost'!AI$150+'[18]NOx Cost'!AI$150+'[18]Lime Cost'!AI$150)/1000</f>
        <v>2.0580099999999999</v>
      </c>
      <c r="AI10" s="119">
        <f>('[18]Reagent Cost'!AJ$150+'[18]SO2 Cost'!AJ$150+'[18]NOx Cost'!AJ$150+'[18]Lime Cost'!AJ$150)/1000</f>
        <v>2.06019</v>
      </c>
      <c r="AJ10" s="119"/>
    </row>
    <row r="11" spans="1:36">
      <c r="A11" s="12" t="s">
        <v>69</v>
      </c>
      <c r="B11" s="212">
        <f>+'[18]CO2 Cost'!C$150/1000</f>
        <v>0</v>
      </c>
      <c r="C11" s="212">
        <f>+'[18]CO2 Cost'!D$150/1000</f>
        <v>0</v>
      </c>
      <c r="D11" s="212">
        <f>+'[18]CO2 Cost'!E$150/1000</f>
        <v>0</v>
      </c>
      <c r="E11" s="212">
        <f>+'[18]CO2 Cost'!F$150/1000</f>
        <v>0</v>
      </c>
      <c r="F11" s="212">
        <f>+'[18]CO2 Cost'!G$150/1000</f>
        <v>0</v>
      </c>
      <c r="G11" s="212">
        <f>+'[18]CO2 Cost'!H$150/1000</f>
        <v>112.43878999999997</v>
      </c>
      <c r="H11" s="212">
        <f>+'[18]CO2 Cost'!I$150/1000</f>
        <v>199.70017000000001</v>
      </c>
      <c r="I11" s="212">
        <f>+'[18]CO2 Cost'!J$150/1000</f>
        <v>281.67928999999992</v>
      </c>
      <c r="J11" s="212">
        <f>+'[18]CO2 Cost'!K$150/1000</f>
        <v>372.6139300000001</v>
      </c>
      <c r="K11" s="212">
        <f>+'[18]CO2 Cost'!L$150/1000</f>
        <v>461.16563999999988</v>
      </c>
      <c r="L11" s="212">
        <f>+'[18]CO2 Cost'!M$150/1000</f>
        <v>552.9654700000001</v>
      </c>
      <c r="M11" s="212">
        <f>+'[18]CO2 Cost'!N$150/1000</f>
        <v>628.18904999999984</v>
      </c>
      <c r="N11" s="212">
        <f>+'[18]CO2 Cost'!O$150/1000</f>
        <v>710.75465000000031</v>
      </c>
      <c r="O11" s="212">
        <f>+'[18]CO2 Cost'!P$150/1000</f>
        <v>797.62881000000027</v>
      </c>
      <c r="P11" s="212">
        <f>+'[18]CO2 Cost'!Q$150/1000</f>
        <v>810.67009000000007</v>
      </c>
      <c r="Q11" s="212">
        <f>+'[18]CO2 Cost'!R$150/1000</f>
        <v>849.09127999999998</v>
      </c>
      <c r="R11" s="212">
        <f>+'[18]CO2 Cost'!S$150/1000</f>
        <v>1034.4862000000001</v>
      </c>
      <c r="S11" s="212">
        <f>+'[18]CO2 Cost'!T$150/1000</f>
        <v>1220.22174</v>
      </c>
      <c r="T11" s="212">
        <f>+'[18]CO2 Cost'!U$150/1000</f>
        <v>1408.8331800000001</v>
      </c>
      <c r="U11" s="212">
        <f>+'[18]CO2 Cost'!V$150/1000</f>
        <v>1612.3743200000004</v>
      </c>
      <c r="V11" s="212">
        <f>+'[18]CO2 Cost'!W$150/1000</f>
        <v>1806.2840200000003</v>
      </c>
      <c r="W11" s="212">
        <f>+'[18]CO2 Cost'!X$150/1000</f>
        <v>2011.7490900000003</v>
      </c>
      <c r="X11" s="212">
        <f>+'[18]CO2 Cost'!Y$150/1000</f>
        <v>2164.6415800000004</v>
      </c>
      <c r="Y11" s="212">
        <f>+'[18]CO2 Cost'!Z$150/1000</f>
        <v>2343.7958899999999</v>
      </c>
      <c r="Z11" s="212">
        <f>+'[18]CO2 Cost'!AA$150/1000</f>
        <v>2560.7557299999999</v>
      </c>
      <c r="AA11" s="212">
        <f>+'[18]CO2 Cost'!AB$150/1000</f>
        <v>2764.2521000000002</v>
      </c>
      <c r="AB11" s="212">
        <f>+'[18]CO2 Cost'!AC$150/1000</f>
        <v>2984.6854399999993</v>
      </c>
      <c r="AC11" s="212">
        <f>+'[18]CO2 Cost'!AD$150/1000</f>
        <v>3163.5499399999994</v>
      </c>
      <c r="AD11" s="213">
        <f>+'[18]CO2 Cost'!AE$150/1000</f>
        <v>3370.9018599999995</v>
      </c>
      <c r="AE11" s="212">
        <f>+'[18]CO2 Cost'!AF$150/1000</f>
        <v>3541.5176500000002</v>
      </c>
      <c r="AF11" s="212">
        <f>+'[18]CO2 Cost'!AG$150/1000</f>
        <v>3773.3244000000009</v>
      </c>
      <c r="AG11" s="212">
        <f>+'[18]CO2 Cost'!AH$150/1000</f>
        <v>3997.2423999999996</v>
      </c>
      <c r="AH11" s="212">
        <f>+'[18]CO2 Cost'!AI$150/1000</f>
        <v>4224.1772899999996</v>
      </c>
      <c r="AI11" s="212">
        <f>+'[18]CO2 Cost'!AJ$150/1000</f>
        <v>4390.2923999999994</v>
      </c>
      <c r="AJ11" s="212"/>
    </row>
    <row r="12" spans="1:36">
      <c r="A12" s="6" t="s">
        <v>61</v>
      </c>
      <c r="B12" s="15">
        <f t="shared" ref="B12:AG12" si="1">SUM(B2:B11)</f>
        <v>1843.5391832822065</v>
      </c>
      <c r="C12" s="15">
        <f t="shared" si="1"/>
        <v>1884.1135636946615</v>
      </c>
      <c r="D12" s="15">
        <f t="shared" si="1"/>
        <v>2011.7344943741639</v>
      </c>
      <c r="E12" s="15">
        <f t="shared" si="1"/>
        <v>2144.2565441891406</v>
      </c>
      <c r="F12" s="15">
        <f t="shared" si="1"/>
        <v>2119.5155759285844</v>
      </c>
      <c r="G12" s="15">
        <f t="shared" si="1"/>
        <v>2173.216306727255</v>
      </c>
      <c r="H12" s="15">
        <f t="shared" si="1"/>
        <v>2303.1294582137725</v>
      </c>
      <c r="I12" s="15">
        <f t="shared" si="1"/>
        <v>2548.3181737479222</v>
      </c>
      <c r="J12" s="15">
        <f t="shared" si="1"/>
        <v>2864.3915517671103</v>
      </c>
      <c r="K12" s="15">
        <f t="shared" si="1"/>
        <v>3102.963366336061</v>
      </c>
      <c r="L12" s="15">
        <f t="shared" si="1"/>
        <v>3343.0274077255185</v>
      </c>
      <c r="M12" s="15">
        <f t="shared" si="1"/>
        <v>3566.3487466661736</v>
      </c>
      <c r="N12" s="15">
        <f t="shared" si="1"/>
        <v>3795.9540082299804</v>
      </c>
      <c r="O12" s="15">
        <f t="shared" si="1"/>
        <v>3920.6891886658918</v>
      </c>
      <c r="P12" s="15">
        <f t="shared" si="1"/>
        <v>4382.4530025484019</v>
      </c>
      <c r="Q12" s="15">
        <f t="shared" si="1"/>
        <v>5030.1311173375079</v>
      </c>
      <c r="R12" s="15">
        <f t="shared" si="1"/>
        <v>5289.1346530834844</v>
      </c>
      <c r="S12" s="15">
        <f t="shared" si="1"/>
        <v>5742.1539055809926</v>
      </c>
      <c r="T12" s="15">
        <f t="shared" si="1"/>
        <v>6221.887994283552</v>
      </c>
      <c r="U12" s="15">
        <f t="shared" si="1"/>
        <v>6607.699195623065</v>
      </c>
      <c r="V12" s="15">
        <f t="shared" si="1"/>
        <v>7045.4306686161772</v>
      </c>
      <c r="W12" s="15">
        <f t="shared" si="1"/>
        <v>7478.3815201648031</v>
      </c>
      <c r="X12" s="15">
        <f t="shared" si="1"/>
        <v>7933.0698401885729</v>
      </c>
      <c r="Y12" s="15">
        <f t="shared" si="1"/>
        <v>8691.289857873493</v>
      </c>
      <c r="Z12" s="15">
        <f t="shared" si="1"/>
        <v>9077.5098859850405</v>
      </c>
      <c r="AA12" s="15">
        <f t="shared" si="1"/>
        <v>9606.2367400824733</v>
      </c>
      <c r="AB12" s="15">
        <f t="shared" si="1"/>
        <v>10106.132994154514</v>
      </c>
      <c r="AC12" s="52">
        <f t="shared" si="1"/>
        <v>10427.819293635048</v>
      </c>
      <c r="AD12" s="214">
        <f t="shared" si="1"/>
        <v>10845.069621916156</v>
      </c>
      <c r="AE12" s="15">
        <f t="shared" si="1"/>
        <v>11073.149694772239</v>
      </c>
      <c r="AF12" s="15">
        <f t="shared" si="1"/>
        <v>11454.203019480588</v>
      </c>
      <c r="AG12" s="15">
        <f t="shared" si="1"/>
        <v>11834.220700891996</v>
      </c>
      <c r="AH12" s="15">
        <f t="shared" ref="AH12:AI12" si="2">SUM(AH2:AH11)</f>
        <v>12202.503456442471</v>
      </c>
      <c r="AI12" s="15">
        <f t="shared" si="2"/>
        <v>12471.671891020786</v>
      </c>
      <c r="AJ12" s="15"/>
    </row>
    <row r="13" spans="1:36">
      <c r="AC13" s="36"/>
      <c r="AD13" s="215"/>
    </row>
    <row r="14" spans="1:36" s="152" customFormat="1">
      <c r="A14" s="152" t="s">
        <v>201</v>
      </c>
      <c r="B14" s="152">
        <f>$B$1</f>
        <v>2020</v>
      </c>
      <c r="C14" s="152">
        <f t="shared" ref="C14:AI14" si="3">B14+1</f>
        <v>2021</v>
      </c>
      <c r="D14" s="152">
        <f t="shared" si="3"/>
        <v>2022</v>
      </c>
      <c r="E14" s="152">
        <f t="shared" si="3"/>
        <v>2023</v>
      </c>
      <c r="F14" s="152">
        <f t="shared" si="3"/>
        <v>2024</v>
      </c>
      <c r="G14" s="152">
        <f t="shared" si="3"/>
        <v>2025</v>
      </c>
      <c r="H14" s="152">
        <f t="shared" si="3"/>
        <v>2026</v>
      </c>
      <c r="I14" s="152">
        <f t="shared" si="3"/>
        <v>2027</v>
      </c>
      <c r="J14" s="152">
        <f t="shared" si="3"/>
        <v>2028</v>
      </c>
      <c r="K14" s="152">
        <f t="shared" si="3"/>
        <v>2029</v>
      </c>
      <c r="L14" s="152">
        <f t="shared" si="3"/>
        <v>2030</v>
      </c>
      <c r="M14" s="152">
        <f t="shared" si="3"/>
        <v>2031</v>
      </c>
      <c r="N14" s="152">
        <f t="shared" si="3"/>
        <v>2032</v>
      </c>
      <c r="O14" s="152">
        <f t="shared" si="3"/>
        <v>2033</v>
      </c>
      <c r="P14" s="152">
        <f t="shared" si="3"/>
        <v>2034</v>
      </c>
      <c r="Q14" s="152">
        <f t="shared" si="3"/>
        <v>2035</v>
      </c>
      <c r="R14" s="152">
        <f t="shared" si="3"/>
        <v>2036</v>
      </c>
      <c r="S14" s="152">
        <f t="shared" si="3"/>
        <v>2037</v>
      </c>
      <c r="T14" s="152">
        <f t="shared" si="3"/>
        <v>2038</v>
      </c>
      <c r="U14" s="152">
        <f t="shared" si="3"/>
        <v>2039</v>
      </c>
      <c r="V14" s="152">
        <f t="shared" si="3"/>
        <v>2040</v>
      </c>
      <c r="W14" s="152">
        <f t="shared" si="3"/>
        <v>2041</v>
      </c>
      <c r="X14" s="152">
        <f t="shared" si="3"/>
        <v>2042</v>
      </c>
      <c r="Y14" s="152">
        <f t="shared" si="3"/>
        <v>2043</v>
      </c>
      <c r="Z14" s="152">
        <f t="shared" si="3"/>
        <v>2044</v>
      </c>
      <c r="AA14" s="152">
        <f t="shared" si="3"/>
        <v>2045</v>
      </c>
      <c r="AB14" s="152">
        <f t="shared" si="3"/>
        <v>2046</v>
      </c>
      <c r="AC14" s="209">
        <f t="shared" si="3"/>
        <v>2047</v>
      </c>
      <c r="AD14" s="210">
        <f t="shared" si="3"/>
        <v>2048</v>
      </c>
      <c r="AE14" s="152">
        <f t="shared" si="3"/>
        <v>2049</v>
      </c>
      <c r="AF14" s="152">
        <f t="shared" si="3"/>
        <v>2050</v>
      </c>
      <c r="AG14" s="152">
        <f t="shared" si="3"/>
        <v>2051</v>
      </c>
      <c r="AH14" s="152">
        <f t="shared" si="3"/>
        <v>2052</v>
      </c>
      <c r="AI14" s="152">
        <f t="shared" si="3"/>
        <v>2053</v>
      </c>
    </row>
    <row r="15" spans="1:36">
      <c r="A15" s="6" t="s">
        <v>134</v>
      </c>
      <c r="B15" s="16">
        <f>Hamilton!E$10/1000+Columbia!E$10/1000+Lake_Placid!E$10/1000+Trenton!E$10/1000+Debary!E$10/1000+Santa_Fe!E$10/1000+Twin_Rivers!E$10/1000+Duette!E$10/1000+Charlie_Creek!E$10/1000+Archer!E$10/1000</f>
        <v>65.260450182206341</v>
      </c>
      <c r="C15" s="16">
        <f>Hamilton!F$10/1000+Columbia!F$10/1000+Lake_Placid!F$10/1000+Trenton!F$10/1000+Debary!F$10/1000+Santa_Fe!F$10/1000+Twin_Rivers!F$10/1000+Duette!F$10/1000+Charlie_Creek!F$10/1000+Archer!F$10/1000</f>
        <v>102.08062069466152</v>
      </c>
      <c r="D15" s="16">
        <f>Hamilton!G$10/1000+Columbia!G$10/1000+Lake_Placid!G$10/1000+Trenton!G$10/1000+Debary!G$10/1000+Santa_Fe!G$10/1000+Twin_Rivers!G$10/1000+Duette!G$10/1000+Charlie_Creek!G$10/1000+Archer!G$10/1000</f>
        <v>140.1396490741636</v>
      </c>
      <c r="E15" s="16">
        <f>Hamilton!H$10/1000+Columbia!H$10/1000+Lake_Placid!H$10/1000+Trenton!H$10/1000+Debary!H$10/1000+Santa_Fe!H$10/1000+Twin_Rivers!H$10/1000+Duette!H$10/1000+Charlie_Creek!H$10/1000+Archer!H$10/1000</f>
        <v>134.04030278914058</v>
      </c>
      <c r="F15" s="16">
        <f>Hamilton!I$10/1000+Columbia!I$10/1000+Lake_Placid!I$10/1000+Trenton!I$10/1000+Debary!I$10/1000+Santa_Fe!I$10/1000+Twin_Rivers!I$10/1000+Duette!I$10/1000+Charlie_Creek!I$10/1000+Archer!I$10/1000</f>
        <v>128.64619422858411</v>
      </c>
      <c r="G15" s="16">
        <f>Hamilton!J$10/1000+Columbia!J$10/1000+Lake_Placid!J$10/1000+Trenton!J$10/1000+Debary!J$10/1000+Santa_Fe!J$10/1000+Twin_Rivers!J$10/1000+Duette!J$10/1000+Charlie_Creek!J$10/1000+Archer!J$10/1000</f>
        <v>120.64800562725537</v>
      </c>
      <c r="H15" s="16">
        <f>Hamilton!K$10/1000+Columbia!K$10/1000+Lake_Placid!K$10/1000+Trenton!K$10/1000+Debary!K$10/1000+Santa_Fe!K$10/1000+Twin_Rivers!K$10/1000+Duette!K$10/1000+Charlie_Creek!K$10/1000+Archer!K$10/1000</f>
        <v>106.55728151377239</v>
      </c>
      <c r="I15" s="16">
        <f>Hamilton!L$10/1000+Columbia!L$10/1000+Lake_Placid!L$10/1000+Trenton!L$10/1000+Debary!L$10/1000+Santa_Fe!L$10/1000+Twin_Rivers!L$10/1000+Duette!L$10/1000+Charlie_Creek!L$10/1000+Archer!L$10/1000</f>
        <v>103.56659689744981</v>
      </c>
      <c r="J15" s="16">
        <f>Hamilton!M$10/1000+Columbia!M$10/1000+Lake_Placid!M$10/1000+Trenton!M$10/1000+Debary!M$10/1000+Santa_Fe!M$10/1000+Twin_Rivers!M$10/1000+Duette!M$10/1000+Charlie_Creek!M$10/1000+Archer!M$10/1000</f>
        <v>100.82687797199034</v>
      </c>
      <c r="K15" s="16">
        <f>Hamilton!N$10/1000+Columbia!N$10/1000+Lake_Placid!N$10/1000+Trenton!N$10/1000+Debary!N$10/1000+Santa_Fe!N$10/1000+Twin_Rivers!N$10/1000+Duette!N$10/1000+Charlie_Creek!N$10/1000+Archer!N$10/1000</f>
        <v>98.309899435961768</v>
      </c>
      <c r="L15" s="16">
        <f>Hamilton!O$10/1000+Columbia!O$10/1000+Lake_Placid!O$10/1000+Trenton!O$10/1000+Debary!O$10/1000+Santa_Fe!O$10/1000+Twin_Rivers!O$10/1000+Duette!O$10/1000+Charlie_Creek!O$10/1000+Archer!O$10/1000</f>
        <v>95.755033583931194</v>
      </c>
      <c r="M15" s="16">
        <f>Hamilton!P$10/1000+Columbia!P$10/1000+Lake_Placid!P$10/1000+Trenton!P$10/1000+Debary!P$10/1000+Santa_Fe!P$10/1000+Twin_Rivers!P$10/1000+Duette!P$10/1000+Charlie_Creek!P$10/1000+Archer!P$10/1000</f>
        <v>93.237225357173344</v>
      </c>
      <c r="N15" s="16">
        <f>Hamilton!Q$10/1000+Columbia!Q$10/1000+Lake_Placid!Q$10/1000+Trenton!Q$10/1000+Debary!Q$10/1000+Santa_Fe!Q$10/1000+Twin_Rivers!Q$10/1000+Duette!Q$10/1000+Charlie_Creek!Q$10/1000+Archer!Q$10/1000</f>
        <v>90.726054168103147</v>
      </c>
      <c r="O15" s="16">
        <f>Hamilton!R$10/1000+Columbia!R$10/1000+Lake_Placid!R$10/1000+Trenton!R$10/1000+Debary!R$10/1000+Santa_Fe!R$10/1000+Twin_Rivers!R$10/1000+Duette!R$10/1000+Charlie_Creek!R$10/1000+Archer!R$10/1000</f>
        <v>88.301601526088845</v>
      </c>
      <c r="P15" s="16">
        <f>Hamilton!S$10/1000+Columbia!S$10/1000+Lake_Placid!S$10/1000+Trenton!S$10/1000+Debary!S$10/1000+Santa_Fe!S$10/1000+Twin_Rivers!S$10/1000+Duette!S$10/1000+Charlie_Creek!S$10/1000+Archer!S$10/1000</f>
        <v>85.76397260337508</v>
      </c>
      <c r="Q15" s="16">
        <f>Hamilton!T$10/1000+Columbia!T$10/1000+Lake_Placid!T$10/1000+Trenton!T$10/1000+Debary!T$10/1000+Santa_Fe!T$10/1000+Twin_Rivers!T$10/1000+Duette!T$10/1000+Charlie_Creek!T$10/1000+Archer!T$10/1000</f>
        <v>83.238224479776378</v>
      </c>
      <c r="R15" s="16">
        <f>Hamilton!U$10/1000+Columbia!U$10/1000+Lake_Placid!U$10/1000+Trenton!U$10/1000+Debary!U$10/1000+Santa_Fe!U$10/1000+Twin_Rivers!U$10/1000+Duette!U$10/1000+Charlie_Creek!U$10/1000+Archer!U$10/1000</f>
        <v>80.598791337134827</v>
      </c>
      <c r="S15" s="16">
        <f>Hamilton!V$10/1000+Columbia!V$10/1000+Lake_Placid!V$10/1000+Trenton!V$10/1000+Debary!V$10/1000+Santa_Fe!V$10/1000+Twin_Rivers!V$10/1000+Duette!V$10/1000+Charlie_Creek!V$10/1000+Archer!V$10/1000</f>
        <v>78.071339778696768</v>
      </c>
      <c r="T15" s="16">
        <f>Hamilton!W$10/1000+Columbia!W$10/1000+Lake_Placid!W$10/1000+Trenton!W$10/1000+Debary!W$10/1000+Santa_Fe!W$10/1000+Twin_Rivers!W$10/1000+Duette!W$10/1000+Charlie_Creek!W$10/1000+Archer!W$10/1000</f>
        <v>78.09258300930594</v>
      </c>
      <c r="U15" s="16">
        <f>Hamilton!X$10/1000+Columbia!X$10/1000+Lake_Placid!X$10/1000+Trenton!X$10/1000+Debary!X$10/1000+Santa_Fe!X$10/1000+Twin_Rivers!X$10/1000+Duette!X$10/1000+Charlie_Creek!X$10/1000+Archer!X$10/1000</f>
        <v>77.049132064444734</v>
      </c>
      <c r="V15" s="16">
        <f>Hamilton!Y$10/1000+Columbia!Y$10/1000+Lake_Placid!Y$10/1000+Trenton!Y$10/1000+Debary!Y$10/1000+Santa_Fe!Y$10/1000+Twin_Rivers!Y$10/1000+Duette!Y$10/1000+Charlie_Creek!Y$10/1000+Archer!Y$10/1000</f>
        <v>74.343785062889211</v>
      </c>
      <c r="W15" s="16">
        <f>Hamilton!Z$10/1000+Columbia!Z$10/1000+Lake_Placid!Z$10/1000+Trenton!Z$10/1000+Debary!Z$10/1000+Santa_Fe!Z$10/1000+Twin_Rivers!Z$10/1000+Duette!Z$10/1000+Charlie_Creek!Z$10/1000+Archer!Z$10/1000</f>
        <v>71.700748538238017</v>
      </c>
      <c r="X15" s="16">
        <f>Hamilton!AA$10/1000+Columbia!AA$10/1000+Lake_Placid!AA$10/1000+Trenton!AA$10/1000+Debary!AA$10/1000+Santa_Fe!AA$10/1000+Twin_Rivers!AA$10/1000+Duette!AA$10/1000+Charlie_Creek!AA$10/1000+Archer!AA$10/1000</f>
        <v>69.274426053501713</v>
      </c>
      <c r="Y15" s="16">
        <f>Hamilton!AB$10/1000+Columbia!AB$10/1000+Lake_Placid!AB$10/1000+Trenton!AB$10/1000+Debary!AB$10/1000+Santa_Fe!AB$10/1000+Twin_Rivers!AB$10/1000+Duette!AB$10/1000+Charlie_Creek!AB$10/1000+Archer!AB$10/1000</f>
        <v>66.777509599182792</v>
      </c>
      <c r="Z15" s="16">
        <f>Hamilton!AC$10/1000+Columbia!AC$10/1000+Lake_Placid!AC$10/1000+Trenton!AC$10/1000+Debary!AC$10/1000+Santa_Fe!AC$10/1000+Twin_Rivers!AC$10/1000+Duette!AC$10/1000+Charlie_Creek!AC$10/1000+Archer!AC$10/1000</f>
        <v>64.511486072982294</v>
      </c>
      <c r="AA15" s="16">
        <f>Hamilton!AD$10/1000+Columbia!AD$10/1000+Lake_Placid!AD$10/1000+Trenton!AD$10/1000+Debary!AD$10/1000+Santa_Fe!AD$10/1000+Twin_Rivers!AD$10/1000+Duette!AD$10/1000+Charlie_Creek!AD$10/1000+Archer!AD$10/1000</f>
        <v>62.123479086747679</v>
      </c>
      <c r="AB15" s="16">
        <f>Hamilton!AE$10/1000+Columbia!AE$10/1000+Lake_Placid!AE$10/1000+Trenton!AE$10/1000+Debary!AE$10/1000+Santa_Fe!AE$10/1000+Twin_Rivers!AE$10/1000+Duette!AE$10/1000+Charlie_Creek!AE$10/1000+Archer!AE$10/1000</f>
        <v>59.912845166921755</v>
      </c>
      <c r="AC15" s="16">
        <f>Hamilton!AF$10/1000+Columbia!AF$10/1000+Lake_Placid!AF$10/1000+Trenton!AF$10/1000+Debary!AF$10/1000+Santa_Fe!AF$10/1000+Twin_Rivers!AF$10/1000+Duette!AF$10/1000+Charlie_Creek!AF$10/1000+Archer!AF$10/1000</f>
        <v>57.650395769136487</v>
      </c>
      <c r="AD15" s="16">
        <f>Hamilton!AG$10/1000+Columbia!AG$10/1000+Lake_Placid!AG$10/1000+Trenton!AG$10/1000+Debary!AG$10/1000+Santa_Fe!AG$10/1000+Twin_Rivers!AG$10/1000+Duette!AG$10/1000+Charlie_Creek!AG$10/1000+Archer!AG$10/1000</f>
        <v>57.703514450685773</v>
      </c>
      <c r="AE15" s="16">
        <f>Hamilton!AH$10/1000+Columbia!AH$10/1000+Lake_Placid!AH$10/1000+Trenton!AH$10/1000+Debary!AH$10/1000+Santa_Fe!AH$10/1000+Twin_Rivers!AH$10/1000+Duette!AH$10/1000+Charlie_Creek!AH$10/1000+Archer!AH$10/1000</f>
        <v>52.145094362648948</v>
      </c>
      <c r="AF15" s="16">
        <f>Hamilton!AI$10/1000+Columbia!AI$10/1000+Lake_Placid!AI$10/1000+Trenton!AI$10/1000+Debary!AI$10/1000+Santa_Fe!AI$10/1000+Twin_Rivers!AI$10/1000+Duette!AI$10/1000+Charlie_Creek!AI$10/1000+Archer!AI$10/1000</f>
        <v>37.078414464395848</v>
      </c>
      <c r="AG15" s="16">
        <f>Hamilton!AJ$10/1000+Columbia!AJ$10/1000+Lake_Placid!AJ$10/1000+Trenton!AJ$10/1000+Debary!AJ$10/1000+Santa_Fe!AJ$10/1000+Twin_Rivers!AJ$10/1000+Duette!AJ$10/1000+Charlie_Creek!AJ$10/1000+Archer!AJ$10/1000</f>
        <v>21.622436034797943</v>
      </c>
      <c r="AH15" s="16">
        <f>Hamilton!AK$10/1000+Columbia!AK$10/1000+Lake_Placid!AK$10/1000+Trenton!AK$10/1000+Debary!AK$10/1000+Santa_Fe!AK$10/1000+Twin_Rivers!AK$10/1000+Duette!AK$10/1000+Charlie_Creek!AK$10/1000+Archer!AK$10/1000</f>
        <v>3.3113138854625253</v>
      </c>
      <c r="AI15" s="16">
        <f>Hamilton!AL$10/1000+Columbia!AL$10/1000+Lake_Placid!AL$10/1000+Trenton!AL$10/1000+Debary!AL$10/1000+Santa_Fe!AL$10/1000+Twin_Rivers!AL$10/1000+Duette!AL$10/1000+Charlie_Creek!AL$10/1000+Archer!AL$10/1000</f>
        <v>3.1867270656465223</v>
      </c>
      <c r="AJ15" s="16"/>
    </row>
    <row r="16" spans="1:36">
      <c r="A16" s="6" t="s">
        <v>135</v>
      </c>
      <c r="B16" s="16">
        <f>CEC_2022!E$10/1000+CEC_2023!E$10/1000+CEC_2024!E$10/1000</f>
        <v>0</v>
      </c>
      <c r="C16" s="16">
        <f>CEC_2022!F$10/1000+CEC_2023!F$10/1000+CEC_2024!F$10/1000</f>
        <v>0</v>
      </c>
      <c r="D16" s="16">
        <f>CEC_2022!G$10/1000+CEC_2023!G$10/1000+CEC_2024!G$10/1000</f>
        <v>30.858064131033437</v>
      </c>
      <c r="E16" s="16">
        <f>CEC_2022!H$10/1000+CEC_2023!H$10/1000+CEC_2024!H$10/1000</f>
        <v>87.07123900568844</v>
      </c>
      <c r="F16" s="16">
        <f>CEC_2022!I$10/1000+CEC_2023!I$10/1000+CEC_2024!I$10/1000</f>
        <v>138.32148483336081</v>
      </c>
      <c r="G16" s="16">
        <f>CEC_2022!J$10/1000+CEC_2023!J$10/1000+CEC_2024!J$10/1000</f>
        <v>131.34102763355375</v>
      </c>
      <c r="H16" s="16">
        <f>CEC_2022!K$10/1000+CEC_2023!K$10/1000+CEC_2024!K$10/1000</f>
        <v>125.32829334309196</v>
      </c>
      <c r="I16" s="16">
        <f>CEC_2022!L$10/1000+CEC_2023!L$10/1000+CEC_2024!L$10/1000</f>
        <v>112.37313136938053</v>
      </c>
      <c r="J16" s="16">
        <f>CEC_2022!M$10/1000+CEC_2023!M$10/1000+CEC_2024!M$10/1000</f>
        <v>108.5565089486837</v>
      </c>
      <c r="K16" s="16">
        <f>CEC_2022!N$10/1000+CEC_2023!N$10/1000+CEC_2024!N$10/1000</f>
        <v>105.48973259473424</v>
      </c>
      <c r="L16" s="16">
        <f>CEC_2022!O$10/1000+CEC_2023!O$10/1000+CEC_2024!O$10/1000</f>
        <v>102.87656792502673</v>
      </c>
      <c r="M16" s="16">
        <f>CEC_2022!P$10/1000+CEC_2023!P$10/1000+CEC_2024!P$10/1000</f>
        <v>100.51289638557827</v>
      </c>
      <c r="N16" s="16">
        <f>CEC_2022!Q$10/1000+CEC_2023!Q$10/1000+CEC_2024!Q$10/1000</f>
        <v>98.179378177042935</v>
      </c>
      <c r="O16" s="16">
        <f>CEC_2022!R$10/1000+CEC_2023!R$10/1000+CEC_2024!R$10/1000</f>
        <v>95.847943420614058</v>
      </c>
      <c r="P16" s="16">
        <f>CEC_2022!S$10/1000+CEC_2023!S$10/1000+CEC_2024!S$10/1000</f>
        <v>93.474328160646081</v>
      </c>
      <c r="Q16" s="16">
        <f>CEC_2022!T$10/1000+CEC_2023!T$10/1000+CEC_2024!T$10/1000</f>
        <v>91.186331074785173</v>
      </c>
      <c r="R16" s="16">
        <f>CEC_2022!U$10/1000+CEC_2023!U$10/1000+CEC_2024!U$10/1000</f>
        <v>88.936995255073953</v>
      </c>
      <c r="S16" s="16">
        <f>CEC_2022!V$10/1000+CEC_2023!V$10/1000+CEC_2024!V$10/1000</f>
        <v>86.647567246409736</v>
      </c>
      <c r="T16" s="16">
        <f>CEC_2022!W$10/1000+CEC_2023!W$10/1000+CEC_2024!W$10/1000</f>
        <v>90.572619755463975</v>
      </c>
      <c r="U16" s="16">
        <f>CEC_2022!X$10/1000+CEC_2023!X$10/1000+CEC_2024!X$10/1000</f>
        <v>87.77172842682694</v>
      </c>
      <c r="V16" s="16">
        <f>CEC_2022!Y$10/1000+CEC_2023!Y$10/1000+CEC_2024!Y$10/1000</f>
        <v>84.961956356760751</v>
      </c>
      <c r="W16" s="16">
        <f>CEC_2022!Z$10/1000+CEC_2023!Z$10/1000+CEC_2024!Z$10/1000</f>
        <v>82.175389106315691</v>
      </c>
      <c r="X16" s="16">
        <f>CEC_2022!AA$10/1000+CEC_2023!AA$10/1000+CEC_2024!AA$10/1000</f>
        <v>79.628352339490078</v>
      </c>
      <c r="Y16" s="16">
        <f>CEC_2022!AB$10/1000+CEC_2023!AB$10/1000+CEC_2024!AB$10/1000</f>
        <v>77.276014548631224</v>
      </c>
      <c r="Z16" s="16">
        <f>CEC_2022!AC$10/1000+CEC_2023!AC$10/1000+CEC_2024!AC$10/1000</f>
        <v>75.020683560031301</v>
      </c>
      <c r="AA16" s="16">
        <f>CEC_2022!AD$10/1000+CEC_2023!AD$10/1000+CEC_2024!AD$10/1000</f>
        <v>72.691083602545405</v>
      </c>
      <c r="AB16" s="16">
        <f>CEC_2022!AE$10/1000+CEC_2023!AE$10/1000+CEC_2024!AE$10/1000</f>
        <v>70.559218554413519</v>
      </c>
      <c r="AC16" s="119">
        <f>CEC_2022!AF$10/1000+CEC_2023!AF$10/1000+CEC_2024!AF$10/1000</f>
        <v>68.396619754674475</v>
      </c>
      <c r="AD16" s="211">
        <f>CEC_2022!AG$10/1000+CEC_2023!AG$10/1000+CEC_2024!AG$10/1000</f>
        <v>66.331776922346066</v>
      </c>
      <c r="AE16" s="16">
        <f>CEC_2022!AH$10/1000+CEC_2023!AH$10/1000+CEC_2024!AH$10/1000</f>
        <v>64.19727863392194</v>
      </c>
      <c r="AF16" s="16">
        <f>CEC_2022!AI$10/1000+CEC_2023!AI$10/1000+CEC_2024!AI$10/1000</f>
        <v>62.201468047298263</v>
      </c>
      <c r="AG16" s="16">
        <f>CEC_2022!AJ$10/1000+CEC_2023!AJ$10/1000+CEC_2024!AJ$10/1000</f>
        <v>63.884043803646705</v>
      </c>
      <c r="AH16" s="16">
        <f>CEC_2022!AK$10/1000+CEC_2023!AK$10/1000+CEC_2024!AK$10/1000</f>
        <v>54.391358551299618</v>
      </c>
      <c r="AI16" s="16">
        <f>CEC_2022!AL$10/1000+CEC_2023!AL$10/1000+CEC_2024!AL$10/1000</f>
        <v>31.274000020948147</v>
      </c>
      <c r="AJ16" s="16"/>
    </row>
    <row r="17" spans="1:36">
      <c r="A17" s="6" t="s">
        <v>60</v>
      </c>
      <c r="B17" s="16">
        <f>('[9]2019Fall_GenCap_CEC'!F$18+'[9]2019Fall_TrCap_CEC'!F$18)/1000</f>
        <v>0</v>
      </c>
      <c r="C17" s="16">
        <f>('[9]2019Fall_GenCap_CEC'!G$18+'[9]2019Fall_TrCap_CEC'!G$18)/1000</f>
        <v>0</v>
      </c>
      <c r="D17" s="16">
        <f>('[9]2019Fall_GenCap_CEC'!H$18+'[9]2019Fall_TrCap_CEC'!H$18)/1000</f>
        <v>0</v>
      </c>
      <c r="E17" s="16">
        <f>('[9]2019Fall_GenCap_CEC'!I$18+'[9]2019Fall_TrCap_CEC'!I$18)/1000</f>
        <v>0</v>
      </c>
      <c r="F17" s="16">
        <f>('[9]2019Fall_GenCap_CEC'!J$18+'[9]2019Fall_TrCap_CEC'!J$18)/1000</f>
        <v>0</v>
      </c>
      <c r="G17" s="16">
        <f>('[9]2019Fall_GenCap_CEC'!K$18+'[9]2019Fall_TrCap_CEC'!K$18)/1000</f>
        <v>0</v>
      </c>
      <c r="H17" s="16">
        <f>('[9]2019Fall_GenCap_CEC'!L$18+'[9]2019Fall_TrCap_CEC'!L$18)/1000</f>
        <v>0</v>
      </c>
      <c r="I17" s="16">
        <f>('[9]2019Fall_GenCap_CEC'!M$18+'[9]2019Fall_TrCap_CEC'!M$18)/1000</f>
        <v>10.717088725236454</v>
      </c>
      <c r="J17" s="16">
        <f>('[9]2019Fall_GenCap_CEC'!N$18+'[9]2019Fall_TrCap_CEC'!N$18)/1000</f>
        <v>17.959547413565073</v>
      </c>
      <c r="K17" s="16">
        <f>('[9]2019Fall_GenCap_CEC'!O$18+'[9]2019Fall_TrCap_CEC'!O$18)/1000</f>
        <v>28.426197298172987</v>
      </c>
      <c r="L17" s="16">
        <f>('[9]2019Fall_GenCap_CEC'!P$18+'[9]2019Fall_TrCap_CEC'!P$18)/1000</f>
        <v>35.349131023784736</v>
      </c>
      <c r="M17" s="16">
        <f>('[9]2019Fall_GenCap_CEC'!Q$18+'[9]2019Fall_TrCap_CEC'!Q$18)/1000</f>
        <v>45.609703397646946</v>
      </c>
      <c r="N17" s="16">
        <f>('[9]2019Fall_GenCap_CEC'!R$18+'[9]2019Fall_TrCap_CEC'!R$18)/1000</f>
        <v>52.25059957758593</v>
      </c>
      <c r="O17" s="16">
        <f>('[9]2019Fall_GenCap_CEC'!S$18+'[9]2019Fall_TrCap_CEC'!S$18)/1000</f>
        <v>62.337251153803344</v>
      </c>
      <c r="P17" s="16">
        <f>('[9]2019Fall_GenCap_CEC'!T$18+'[9]2019Fall_TrCap_CEC'!T$18)/1000</f>
        <v>220.53245388590415</v>
      </c>
      <c r="Q17" s="16">
        <f>('[9]2019Fall_GenCap_CEC'!U$18+'[9]2019Fall_TrCap_CEC'!U$18)/1000</f>
        <v>595.43948985906695</v>
      </c>
      <c r="R17" s="16">
        <f>('[9]2019Fall_GenCap_CEC'!V$18+'[9]2019Fall_TrCap_CEC'!V$18)/1000</f>
        <v>593.12059107695052</v>
      </c>
      <c r="S17" s="16">
        <f>('[9]2019Fall_GenCap_CEC'!W$18+'[9]2019Fall_TrCap_CEC'!W$18)/1000</f>
        <v>586.65164650587258</v>
      </c>
      <c r="T17" s="16">
        <f>('[9]2019Fall_GenCap_CEC'!X$18+'[9]2019Fall_TrCap_CEC'!X$18)/1000</f>
        <v>598.76565343349125</v>
      </c>
      <c r="U17" s="16">
        <f>('[9]2019Fall_GenCap_CEC'!Y$18+'[9]2019Fall_TrCap_CEC'!Y$18)/1000</f>
        <v>601.98359496079456</v>
      </c>
      <c r="V17" s="16">
        <f>('[9]2019Fall_GenCap_CEC'!Z$18+'[9]2019Fall_TrCap_CEC'!Z$18)/1000</f>
        <v>599.40726094203774</v>
      </c>
      <c r="W17" s="16">
        <f>('[9]2019Fall_GenCap_CEC'!AA$18+'[9]2019Fall_TrCap_CEC'!AA$18)/1000</f>
        <v>592.36935434195368</v>
      </c>
      <c r="X17" s="16">
        <f>('[9]2019Fall_GenCap_CEC'!AB$18+'[9]2019Fall_TrCap_CEC'!AB$18)/1000</f>
        <v>700.97138623819478</v>
      </c>
      <c r="Y17" s="16">
        <f>('[9]2019Fall_GenCap_CEC'!AC$18+'[9]2019Fall_TrCap_CEC'!AC$18)/1000</f>
        <v>1069.9554472113034</v>
      </c>
      <c r="Z17" s="16">
        <f>('[9]2019Fall_GenCap_CEC'!AD$18+'[9]2019Fall_TrCap_CEC'!AD$18)/1000</f>
        <v>1070.2115206873427</v>
      </c>
      <c r="AA17" s="16">
        <f>('[9]2019Fall_GenCap_CEC'!AE$18+'[9]2019Fall_TrCap_CEC'!AE$18)/1000</f>
        <v>1076.4119586696049</v>
      </c>
      <c r="AB17" s="16">
        <f>('[9]2019Fall_GenCap_CEC'!AF$18+'[9]2019Fall_TrCap_CEC'!AF$18)/1000</f>
        <v>1071.3146354060393</v>
      </c>
      <c r="AC17" s="119">
        <f>('[9]2019Fall_GenCap_CEC'!AG$18+'[9]2019Fall_TrCap_CEC'!AG$18)/1000</f>
        <v>1050.1288810293786</v>
      </c>
      <c r="AD17" s="211">
        <f>('[9]2019Fall_GenCap_CEC'!AH$18+'[9]2019Fall_TrCap_CEC'!AH$18)/1000</f>
        <v>1017.8352062078461</v>
      </c>
      <c r="AE17" s="16">
        <f>('[9]2019Fall_GenCap_CEC'!AI$18+'[9]2019Fall_TrCap_CEC'!AI$18)/1000</f>
        <v>986.0632405886804</v>
      </c>
      <c r="AF17" s="16">
        <f>('[9]2019Fall_GenCap_CEC'!AJ$18+'[9]2019Fall_TrCap_CEC'!AJ$18)/1000</f>
        <v>954.82001763246592</v>
      </c>
      <c r="AG17" s="16">
        <f>('[9]2019Fall_GenCap_CEC'!AK$18+'[9]2019Fall_TrCap_CEC'!AK$18)/1000</f>
        <v>923.86918947753918</v>
      </c>
      <c r="AH17" s="16">
        <f>('[9]2019Fall_GenCap_CEC'!AL$18+'[9]2019Fall_TrCap_CEC'!AL$18)/1000</f>
        <v>893.07617967486317</v>
      </c>
      <c r="AI17" s="16">
        <f>('[9]2019Fall_GenCap_CEC'!AM$18+'[9]2019Fall_TrCap_CEC'!AM$18)/1000</f>
        <v>862.47077369399312</v>
      </c>
      <c r="AJ17" s="23"/>
    </row>
    <row r="18" spans="1:36">
      <c r="A18" s="6" t="s">
        <v>68</v>
      </c>
      <c r="B18" s="16">
        <f>'[19]FOM Cost'!C$150/1000-SUM('[19]FOM Cost'!C$132:C$136)/1000</f>
        <v>445.38108</v>
      </c>
      <c r="C18" s="16">
        <f>'[19]FOM Cost'!D$150/1000-SUM('[19]FOM Cost'!D$132:D$136)/1000</f>
        <v>433.15770000000009</v>
      </c>
      <c r="D18" s="16">
        <f>'[19]FOM Cost'!E$150/1000-SUM('[19]FOM Cost'!E$132:E$136)/1000</f>
        <v>436.09264999999999</v>
      </c>
      <c r="E18" s="16">
        <f>'[19]FOM Cost'!F$150/1000-SUM('[19]FOM Cost'!F$132:F$136)/1000</f>
        <v>456.05954000000003</v>
      </c>
      <c r="F18" s="16">
        <f>'[19]FOM Cost'!G$150/1000-SUM('[19]FOM Cost'!G$132:G$136)/1000</f>
        <v>300.44051999999994</v>
      </c>
      <c r="G18" s="16">
        <f>'[19]FOM Cost'!H$150/1000-SUM('[19]FOM Cost'!H$132:H$136)/1000</f>
        <v>147.85321999999999</v>
      </c>
      <c r="H18" s="16">
        <f>'[19]FOM Cost'!I$150/1000-SUM('[19]FOM Cost'!I$132:I$136)/1000</f>
        <v>57.67533000000001</v>
      </c>
      <c r="I18" s="16">
        <f>'[19]FOM Cost'!J$150/1000-SUM('[19]FOM Cost'!J$132:J$136)/1000</f>
        <v>32.548740000000002</v>
      </c>
      <c r="J18" s="16">
        <f>'[19]FOM Cost'!K$150/1000-SUM('[19]FOM Cost'!K$132:K$136)/1000</f>
        <v>21.031479999999995</v>
      </c>
      <c r="K18" s="16">
        <f>'[19]FOM Cost'!L$150/1000-SUM('[19]FOM Cost'!L$132:L$136)/1000</f>
        <v>21.5931</v>
      </c>
      <c r="L18" s="16">
        <f>'[19]FOM Cost'!M$150/1000-SUM('[19]FOM Cost'!M$132:M$136)/1000</f>
        <v>22.107350000000007</v>
      </c>
      <c r="M18" s="16">
        <f>'[19]FOM Cost'!N$150/1000-SUM('[19]FOM Cost'!N$132:N$136)/1000</f>
        <v>22.752160000000003</v>
      </c>
      <c r="N18" s="16">
        <f>'[19]FOM Cost'!O$150/1000-SUM('[19]FOM Cost'!O$132:O$136)/1000</f>
        <v>23.31391</v>
      </c>
      <c r="O18" s="16">
        <f>'[19]FOM Cost'!P$150/1000-SUM('[19]FOM Cost'!P$132:P$136)/1000</f>
        <v>23.962970000000002</v>
      </c>
      <c r="P18" s="16">
        <f>'[19]FOM Cost'!Q$150/1000-SUM('[19]FOM Cost'!Q$132:Q$136)/1000</f>
        <v>30.484359999999999</v>
      </c>
      <c r="Q18" s="16">
        <f>'[19]FOM Cost'!R$150/1000-SUM('[19]FOM Cost'!R$132:R$136)/1000</f>
        <v>35.443780000000004</v>
      </c>
      <c r="R18" s="16">
        <f>'[19]FOM Cost'!S$150/1000-SUM('[19]FOM Cost'!S$132:S$136)/1000</f>
        <v>36.695809999999994</v>
      </c>
      <c r="S18" s="16">
        <f>'[19]FOM Cost'!T$150/1000-SUM('[19]FOM Cost'!T$132:T$136)/1000</f>
        <v>37.877529999999993</v>
      </c>
      <c r="T18" s="16">
        <f>'[19]FOM Cost'!U$150/1000-SUM('[19]FOM Cost'!U$132:U$136)/1000</f>
        <v>40.024909999999991</v>
      </c>
      <c r="U18" s="16">
        <f>'[19]FOM Cost'!V$150/1000-SUM('[19]FOM Cost'!V$132:V$136)/1000</f>
        <v>41.85933</v>
      </c>
      <c r="V18" s="16">
        <f>'[19]FOM Cost'!W$150/1000-SUM('[19]FOM Cost'!W$132:W$136)/1000</f>
        <v>43.490149999999993</v>
      </c>
      <c r="W18" s="16">
        <f>'[19]FOM Cost'!X$150/1000-SUM('[19]FOM Cost'!X$132:X$136)/1000</f>
        <v>44.870599999999996</v>
      </c>
      <c r="X18" s="16">
        <f>'[19]FOM Cost'!Y$150/1000-SUM('[19]FOM Cost'!Y$132:Y$136)/1000</f>
        <v>51.411669999999987</v>
      </c>
      <c r="Y18" s="16">
        <f>'[19]FOM Cost'!Z$150/1000-SUM('[19]FOM Cost'!Z$132:Z$136)/1000</f>
        <v>56.647639999999996</v>
      </c>
      <c r="Z18" s="16">
        <f>'[19]FOM Cost'!AA$150/1000-SUM('[19]FOM Cost'!AA$132:AA$136)/1000</f>
        <v>59.53315000000002</v>
      </c>
      <c r="AA18" s="16">
        <f>'[19]FOM Cost'!AB$150/1000-SUM('[19]FOM Cost'!AB$132:AB$136)/1000</f>
        <v>62.423000000000002</v>
      </c>
      <c r="AB18" s="16">
        <f>'[19]FOM Cost'!AC$150/1000-SUM('[19]FOM Cost'!AC$132:AC$136)/1000</f>
        <v>64.432090000000002</v>
      </c>
      <c r="AC18" s="16">
        <f>'[19]FOM Cost'!AD$150/1000-SUM('[19]FOM Cost'!AD$132:AD$136)/1000</f>
        <v>66.444210000000012</v>
      </c>
      <c r="AD18" s="16">
        <f>'[19]FOM Cost'!AE$150/1000-SUM('[19]FOM Cost'!AE$132:AE$136)/1000</f>
        <v>67.917249999999996</v>
      </c>
      <c r="AE18" s="16">
        <f>'[19]FOM Cost'!AF$150/1000-SUM('[19]FOM Cost'!AF$132:AF$136)/1000</f>
        <v>66.928879999999992</v>
      </c>
      <c r="AF18" s="16">
        <f>'[19]FOM Cost'!AG$150/1000-SUM('[19]FOM Cost'!AG$132:AG$136)/1000</f>
        <v>62.784119999999987</v>
      </c>
      <c r="AG18" s="16">
        <f>'[19]FOM Cost'!AH$150/1000-SUM('[19]FOM Cost'!AH$132:AH$136)/1000</f>
        <v>58.970110000000005</v>
      </c>
      <c r="AH18" s="16">
        <f>'[19]FOM Cost'!AI$150/1000-SUM('[19]FOM Cost'!AI$132:AI$136)/1000</f>
        <v>56.748150000000003</v>
      </c>
      <c r="AI18" s="16">
        <f>'[19]FOM Cost'!AJ$150/1000-SUM('[19]FOM Cost'!AJ$132:AJ$136)/1000</f>
        <v>57.936389999999996</v>
      </c>
      <c r="AJ18" s="16"/>
    </row>
    <row r="19" spans="1:36">
      <c r="A19" s="6" t="s">
        <v>67</v>
      </c>
      <c r="B19" s="16">
        <f>[19]System!B$13/1000</f>
        <v>390.67816000000005</v>
      </c>
      <c r="C19" s="16">
        <f>[19]System!C$13/1000</f>
        <v>384.87225999999998</v>
      </c>
      <c r="D19" s="16">
        <f>[19]System!D$13/1000</f>
        <v>381.80251999999996</v>
      </c>
      <c r="E19" s="16">
        <f>[19]System!E$13/1000</f>
        <v>381.80251999999996</v>
      </c>
      <c r="F19" s="16">
        <f>[19]System!F$13/1000</f>
        <v>382.80076000000003</v>
      </c>
      <c r="G19" s="16">
        <f>[19]System!G$13/1000</f>
        <v>381.80250999999998</v>
      </c>
      <c r="H19" s="16">
        <f>[19]System!H$13/1000</f>
        <v>381.80251999999996</v>
      </c>
      <c r="I19" s="16">
        <f>[19]System!I$13/1000</f>
        <v>381.80250999999998</v>
      </c>
      <c r="J19" s="16">
        <f>[19]System!J$13/1000</f>
        <v>382.80076000000003</v>
      </c>
      <c r="K19" s="16">
        <f>[19]System!K$13/1000</f>
        <v>381.80251999999996</v>
      </c>
      <c r="L19" s="16">
        <f>[19]System!L$13/1000</f>
        <v>381.80251999999996</v>
      </c>
      <c r="M19" s="16">
        <f>[19]System!M$13/1000</f>
        <v>381.80250999999998</v>
      </c>
      <c r="N19" s="16">
        <f>[19]System!N$13/1000</f>
        <v>382.80076000000003</v>
      </c>
      <c r="O19" s="16">
        <f>[19]System!O$13/1000</f>
        <v>381.80251999999996</v>
      </c>
      <c r="P19" s="16">
        <f>[19]System!P$13/1000</f>
        <v>462.23568999999998</v>
      </c>
      <c r="Q19" s="16">
        <f>[19]System!Q$13/1000</f>
        <v>521.52251999999999</v>
      </c>
      <c r="R19" s="16">
        <f>[19]System!R$13/1000</f>
        <v>535.07578999999998</v>
      </c>
      <c r="S19" s="16">
        <f>[19]System!S$13/1000</f>
        <v>544.75670000000002</v>
      </c>
      <c r="T19" s="16">
        <f>[19]System!T$13/1000</f>
        <v>573.23550999999998</v>
      </c>
      <c r="U19" s="16">
        <f>[19]System!U$13/1000</f>
        <v>593.57750999999996</v>
      </c>
      <c r="V19" s="16">
        <f>[19]System!V$13/1000</f>
        <v>608.53778</v>
      </c>
      <c r="W19" s="16">
        <f>[19]System!W$13/1000</f>
        <v>619.22370000000012</v>
      </c>
      <c r="X19" s="16">
        <f>[19]System!X$13/1000</f>
        <v>696.61036000000013</v>
      </c>
      <c r="Y19" s="16">
        <f>[19]System!Y$13/1000</f>
        <v>751.95618000000002</v>
      </c>
      <c r="Z19" s="16">
        <f>[19]System!Z$13/1000</f>
        <v>784.98285999999996</v>
      </c>
      <c r="AA19" s="16">
        <f>[19]System!AA$13/1000</f>
        <v>825.49950000000001</v>
      </c>
      <c r="AB19" s="16">
        <f>[19]System!AB$13/1000</f>
        <v>854.93898999999999</v>
      </c>
      <c r="AC19" s="119">
        <f>[19]System!AC$13/1000</f>
        <v>867.33136000000002</v>
      </c>
      <c r="AD19" s="211">
        <f>[19]System!AD$13/1000</f>
        <v>867.33136000000002</v>
      </c>
      <c r="AE19" s="16">
        <f>[19]System!AE$13/1000</f>
        <v>867.33136000000002</v>
      </c>
      <c r="AF19" s="16">
        <f>[19]System!AF$13/1000</f>
        <v>867.33136000000002</v>
      </c>
      <c r="AG19" s="16">
        <f>[19]System!AG$13/1000</f>
        <v>867.33136000000002</v>
      </c>
      <c r="AH19" s="16">
        <f>[19]System!AH$13/1000</f>
        <v>867.33136000000002</v>
      </c>
      <c r="AI19" s="16">
        <f>[19]System!AI$13/1000</f>
        <v>867.33136000000002</v>
      </c>
      <c r="AJ19" s="16"/>
    </row>
    <row r="20" spans="1:36">
      <c r="A20" s="6" t="s">
        <v>383</v>
      </c>
      <c r="B20" s="16">
        <f>'Program Admin Budget'!C105/1000000</f>
        <v>0</v>
      </c>
      <c r="C20" s="16">
        <f>'Program Admin Budget'!D105/1000000</f>
        <v>1.0200790961866668</v>
      </c>
      <c r="D20" s="16">
        <f>'Program Admin Budget'!E105/1000000</f>
        <v>0.6275365374466666</v>
      </c>
      <c r="E20" s="16">
        <f>'Program Admin Budget'!F105/1000000</f>
        <v>0.68307619099066674</v>
      </c>
      <c r="F20" s="16">
        <f>'Program Admin Budget'!G105/1000000</f>
        <v>0.67471288001039997</v>
      </c>
      <c r="G20" s="16">
        <f>'Program Admin Budget'!H105/1000000</f>
        <v>0.65619743327906666</v>
      </c>
      <c r="H20" s="16">
        <f>'Program Admin Budget'!I105/1000000</f>
        <v>0.51050195073344673</v>
      </c>
      <c r="I20" s="16">
        <f>'Program Admin Budget'!J105/1000000</f>
        <v>0.56509226722358352</v>
      </c>
      <c r="J20" s="16">
        <f>'Program Admin Budget'!K105/1000000</f>
        <v>0.52413609409135764</v>
      </c>
      <c r="K20" s="16">
        <f>'Program Admin Budget'!L105/1000000</f>
        <v>0.54544233186889834</v>
      </c>
      <c r="L20" s="16">
        <f>'Program Admin Budget'!M105/1000000</f>
        <v>0.58902085979309859</v>
      </c>
      <c r="M20" s="16">
        <f>'Program Admin Budget'!N105/1000000</f>
        <v>0.37240217849023277</v>
      </c>
      <c r="N20" s="16">
        <f>'Program Admin Budget'!O105/1000000</f>
        <v>0.3688563987997398</v>
      </c>
      <c r="O20" s="16">
        <f>'Program Admin Budget'!P105/1000000</f>
        <v>0.42743734873186529</v>
      </c>
      <c r="P20" s="16">
        <f>'Program Admin Budget'!Q105/1000000</f>
        <v>0.38235152804488787</v>
      </c>
      <c r="Q20" s="16">
        <f>'Program Admin Budget'!R105/1000000</f>
        <v>0.3994042288410346</v>
      </c>
      <c r="R20" s="16">
        <f>'Program Admin Budget'!S105/1000000</f>
        <v>0.43860161367439893</v>
      </c>
      <c r="S20" s="16">
        <f>'Program Admin Budget'!T105/1000000</f>
        <v>0.4141507209356976</v>
      </c>
      <c r="T20" s="16">
        <f>'Program Admin Budget'!U105/1000000</f>
        <v>0.41185739751856848</v>
      </c>
      <c r="U20" s="16">
        <f>'Program Admin Budget'!V105/1000000</f>
        <v>0.47172837741225887</v>
      </c>
      <c r="V20" s="16">
        <f>'Program Admin Budget'!W105/1000000</f>
        <v>0.42797128758569336</v>
      </c>
      <c r="W20" s="16">
        <f>'Program Admin Budget'!X105/1000000</f>
        <v>0.44639258116806418</v>
      </c>
      <c r="X20" s="16">
        <f>'Program Admin Budget'!Y105/1000000</f>
        <v>0.48699961657123941</v>
      </c>
      <c r="Y20" s="16">
        <f>'Program Admin Budget'!Z105/1000000</f>
        <v>0.46400066391944333</v>
      </c>
      <c r="Z20" s="16">
        <f>'Program Admin Budget'!AA105/1000000</f>
        <v>0.46320283879182667</v>
      </c>
      <c r="AA20" s="16">
        <f>'Program Admin Budget'!AB105/1000000</f>
        <v>0.52461418192371467</v>
      </c>
      <c r="AB20" s="16">
        <f>'Program Admin Budget'!AC105/1000000</f>
        <v>0.44572711472582627</v>
      </c>
      <c r="AC20" s="16">
        <f>'Program Admin Budget'!AD105/1000000</f>
        <v>0.48078257966760096</v>
      </c>
      <c r="AD20" s="16">
        <f>'Program Admin Budget'!AE105/1000000</f>
        <v>0.4661397085576291</v>
      </c>
      <c r="AE20" s="16">
        <f>'Program Admin Budget'!AF105/1000000</f>
        <v>0.49780755131435794</v>
      </c>
      <c r="AF20" s="16">
        <f>'Program Admin Budget'!AG105/1000000</f>
        <v>0.48779542935378872</v>
      </c>
      <c r="AG20" s="16">
        <f>'Program Admin Budget'!AH105/1000000</f>
        <v>0.52411294373440231</v>
      </c>
      <c r="AH20" s="16">
        <f>'Program Admin Budget'!AI105/1000000</f>
        <v>0.49316099354643445</v>
      </c>
      <c r="AI20" s="16">
        <f>'Program Admin Budget'!AJ105/1000000</f>
        <v>0.49494976455282746</v>
      </c>
      <c r="AJ20" s="16"/>
    </row>
    <row r="21" spans="1:36">
      <c r="A21" s="6" t="s">
        <v>65</v>
      </c>
      <c r="B21" s="16">
        <f>'[19]Fuel Cost'!C$150/1000</f>
        <v>849.92173000000025</v>
      </c>
      <c r="C21" s="16">
        <f>'[19]Fuel Cost'!D$150/1000</f>
        <v>866.08051999999975</v>
      </c>
      <c r="D21" s="16">
        <f>'[19]Fuel Cost'!E$150/1000</f>
        <v>939.01015999999993</v>
      </c>
      <c r="E21" s="16">
        <f>'[19]Fuel Cost'!F$150/1000</f>
        <v>1029.0656800000002</v>
      </c>
      <c r="F21" s="16">
        <f>'[19]Fuel Cost'!G$150/1000</f>
        <v>1121.3964600000002</v>
      </c>
      <c r="G21" s="16">
        <f>'[19]Fuel Cost'!H$150/1000</f>
        <v>1209.2611800000002</v>
      </c>
      <c r="H21" s="16">
        <f>'[19]Fuel Cost'!I$150/1000</f>
        <v>1331.6006599999994</v>
      </c>
      <c r="I21" s="16">
        <f>'[19]Fuel Cost'!J$150/1000</f>
        <v>1476.8416500000003</v>
      </c>
      <c r="J21" s="16">
        <f>'[19]Fuel Cost'!K$150/1000</f>
        <v>1664.8781600000002</v>
      </c>
      <c r="K21" s="16">
        <f>'[19]Fuel Cost'!L$150/1000</f>
        <v>1787.3509799999999</v>
      </c>
      <c r="L21" s="16">
        <f>'[19]Fuel Cost'!M$150/1000</f>
        <v>1908.8115200000009</v>
      </c>
      <c r="M21" s="16">
        <f>'[19]Fuel Cost'!N$150/1000</f>
        <v>2016.1663799999999</v>
      </c>
      <c r="N21" s="16">
        <f>'[19]Fuel Cost'!O$150/1000</f>
        <v>2143.3252500000003</v>
      </c>
      <c r="O21" s="16">
        <f>'[19]Fuel Cost'!P$150/1000</f>
        <v>2159.39489</v>
      </c>
      <c r="P21" s="16">
        <f>'[19]Fuel Cost'!Q$150/1000</f>
        <v>2318.8333600000001</v>
      </c>
      <c r="Q21" s="16">
        <f>'[19]Fuel Cost'!R$150/1000</f>
        <v>2447.1525900000001</v>
      </c>
      <c r="R21" s="16">
        <f>'[19]Fuel Cost'!S$150/1000</f>
        <v>2520.0019000000002</v>
      </c>
      <c r="S21" s="16">
        <f>'[19]Fuel Cost'!T$150/1000</f>
        <v>2755.1081600000007</v>
      </c>
      <c r="T21" s="16">
        <f>'[19]Fuel Cost'!U$150/1000</f>
        <v>2947.2528500000008</v>
      </c>
      <c r="U21" s="16">
        <f>'[19]Fuel Cost'!V$150/1000</f>
        <v>3039.3017800000002</v>
      </c>
      <c r="V21" s="16">
        <f>'[19]Fuel Cost'!W$150/1000</f>
        <v>3255.3015399999999</v>
      </c>
      <c r="W21" s="16">
        <f>'[19]Fuel Cost'!X$150/1000</f>
        <v>3448.7733999999996</v>
      </c>
      <c r="X21" s="16">
        <f>'[19]Fuel Cost'!Y$150/1000</f>
        <v>3556.1110900000008</v>
      </c>
      <c r="Y21" s="16">
        <f>'[19]Fuel Cost'!Z$150/1000</f>
        <v>3679.0656099999992</v>
      </c>
      <c r="Z21" s="16">
        <f>'[19]Fuel Cost'!AA$150/1000</f>
        <v>3807.0534500000012</v>
      </c>
      <c r="AA21" s="16">
        <f>'[19]Fuel Cost'!AB$150/1000</f>
        <v>4044.8619100000005</v>
      </c>
      <c r="AB21" s="16">
        <f>'[19]Fuel Cost'!AC$150/1000</f>
        <v>4313.8198999999995</v>
      </c>
      <c r="AC21" s="119">
        <f>'[19]Fuel Cost'!AD$150/1000</f>
        <v>4463.2746199999992</v>
      </c>
      <c r="AD21" s="211">
        <f>'[19]Fuel Cost'!AE$150/1000</f>
        <v>4665.9456699999992</v>
      </c>
      <c r="AE21" s="16">
        <f>'[19]Fuel Cost'!AF$150/1000</f>
        <v>4749.2131600000012</v>
      </c>
      <c r="AF21" s="16">
        <f>'[19]Fuel Cost'!AG$150/1000</f>
        <v>4922.7567199999994</v>
      </c>
      <c r="AG21" s="16">
        <f>'[19]Fuel Cost'!AH$150/1000</f>
        <v>5082.5136299999995</v>
      </c>
      <c r="AH21" s="16">
        <f>'[19]Fuel Cost'!AI$150/1000</f>
        <v>5290.9949900000001</v>
      </c>
      <c r="AI21" s="16">
        <f>'[19]Fuel Cost'!AJ$150/1000</f>
        <v>5471.7740599999988</v>
      </c>
      <c r="AJ21" s="16"/>
    </row>
    <row r="22" spans="1:36">
      <c r="A22" s="6" t="s">
        <v>52</v>
      </c>
      <c r="B22" s="16">
        <f>('[19]Start Cost'!C$150+'[19]VOM Cost'!C$150)/1000+([19]System!B$7+[19]System!B$9)/1000</f>
        <v>86.065400000000025</v>
      </c>
      <c r="C22" s="16">
        <f>('[19]Start Cost'!D$150+'[19]VOM Cost'!D$150)/1000+([19]System!C$7+[19]System!C$9)/1000</f>
        <v>91.318770000000015</v>
      </c>
      <c r="D22" s="16">
        <f>('[19]Start Cost'!E$150+'[19]VOM Cost'!E$150)/1000+([19]System!D$7+[19]System!D$9)/1000</f>
        <v>97.028859999999995</v>
      </c>
      <c r="E22" s="16">
        <f>('[19]Start Cost'!F$150+'[19]VOM Cost'!F$150)/1000+([19]System!E$7+[19]System!E$9)/1000</f>
        <v>101.24144000000003</v>
      </c>
      <c r="F22" s="16">
        <f>('[19]Start Cost'!G$150+'[19]VOM Cost'!G$150)/1000+([19]System!F$7+[19]System!F$9)/1000</f>
        <v>107.66932</v>
      </c>
      <c r="G22" s="16">
        <f>('[19]Start Cost'!H$150+'[19]VOM Cost'!H$150)/1000+([19]System!G$7+[19]System!G$9)/1000</f>
        <v>123.64511000000002</v>
      </c>
      <c r="H22" s="16">
        <f>('[19]Start Cost'!I$150+'[19]VOM Cost'!I$150)/1000+([19]System!H$7+[19]System!H$9)/1000</f>
        <v>143.68917999999999</v>
      </c>
      <c r="I22" s="16">
        <f>('[19]Start Cost'!J$150+'[19]VOM Cost'!J$150)/1000+([19]System!I$7+[19]System!I$9)/1000</f>
        <v>163.66822999999999</v>
      </c>
      <c r="J22" s="16">
        <f>('[19]Start Cost'!K$150+'[19]VOM Cost'!K$150)/1000+([19]System!J$7+[19]System!J$9)/1000</f>
        <v>187.19349</v>
      </c>
      <c r="K22" s="16">
        <f>('[19]Start Cost'!L$150+'[19]VOM Cost'!L$150)/1000+([19]System!K$7+[19]System!K$9)/1000</f>
        <v>201.66787999999997</v>
      </c>
      <c r="L22" s="16">
        <f>('[19]Start Cost'!M$150+'[19]VOM Cost'!M$150)/1000+([19]System!L$7+[19]System!L$9)/1000</f>
        <v>224.80279999999999</v>
      </c>
      <c r="M22" s="16">
        <f>('[19]Start Cost'!N$150+'[19]VOM Cost'!N$150)/1000+([19]System!M$7+[19]System!M$9)/1000</f>
        <v>246.00210000000001</v>
      </c>
      <c r="N22" s="16">
        <f>('[19]Start Cost'!O$150+'[19]VOM Cost'!O$150)/1000+([19]System!N$7+[19]System!N$9)/1000</f>
        <v>259.03922</v>
      </c>
      <c r="O22" s="16">
        <f>('[19]Start Cost'!P$150+'[19]VOM Cost'!P$150)/1000+([19]System!O$7+[19]System!O$9)/1000</f>
        <v>276.28321</v>
      </c>
      <c r="P22" s="16">
        <f>('[19]Start Cost'!Q$150+'[19]VOM Cost'!Q$150)/1000+([19]System!P$7+[19]System!P$9)/1000</f>
        <v>281.8657</v>
      </c>
      <c r="Q22" s="16">
        <f>('[19]Start Cost'!R$150+'[19]VOM Cost'!R$150)/1000+([19]System!Q$7+[19]System!Q$9)/1000</f>
        <v>299.26655999999997</v>
      </c>
      <c r="R22" s="16">
        <f>('[19]Start Cost'!S$150+'[19]VOM Cost'!S$150)/1000+([19]System!R$7+[19]System!R$9)/1000</f>
        <v>319.70025999999996</v>
      </c>
      <c r="S22" s="16">
        <f>('[19]Start Cost'!T$150+'[19]VOM Cost'!T$150)/1000+([19]System!S$7+[19]System!S$9)/1000</f>
        <v>359.90342999999996</v>
      </c>
      <c r="T22" s="16">
        <f>('[19]Start Cost'!U$150+'[19]VOM Cost'!U$150)/1000+([19]System!T$7+[19]System!T$9)/1000</f>
        <v>377.89026000000001</v>
      </c>
      <c r="U22" s="16">
        <f>('[19]Start Cost'!V$150+'[19]VOM Cost'!V$150)/1000+([19]System!U$7+[19]System!U$9)/1000</f>
        <v>418.38443999999998</v>
      </c>
      <c r="V22" s="16">
        <f>('[19]Start Cost'!W$150+'[19]VOM Cost'!W$150)/1000+([19]System!V$7+[19]System!V$9)/1000</f>
        <v>427.14458000000008</v>
      </c>
      <c r="W22" s="16">
        <f>('[19]Start Cost'!X$150+'[19]VOM Cost'!X$150)/1000+([19]System!W$7+[19]System!W$9)/1000</f>
        <v>453.56884000000002</v>
      </c>
      <c r="X22" s="16">
        <f>('[19]Start Cost'!Y$150+'[19]VOM Cost'!Y$150)/1000+([19]System!X$7+[19]System!X$9)/1000</f>
        <v>460.59593999999993</v>
      </c>
      <c r="Y22" s="16">
        <f>('[19]Start Cost'!Z$150+'[19]VOM Cost'!Z$150)/1000+([19]System!Y$7+[19]System!Y$9)/1000</f>
        <v>481.483</v>
      </c>
      <c r="Z22" s="16">
        <f>('[19]Start Cost'!AA$150+'[19]VOM Cost'!AA$150)/1000+([19]System!Z$7+[19]System!Z$9)/1000</f>
        <v>497.16741000000002</v>
      </c>
      <c r="AA22" s="16">
        <f>('[19]Start Cost'!AB$150+'[19]VOM Cost'!AB$150)/1000+([19]System!AA$7+[19]System!AA$9)/1000</f>
        <v>525.74305000000004</v>
      </c>
      <c r="AB22" s="16">
        <f>('[19]Start Cost'!AC$150+'[19]VOM Cost'!AC$150)/1000+([19]System!AB$7+[19]System!AB$9)/1000</f>
        <v>542.28022999999985</v>
      </c>
      <c r="AC22" s="119">
        <f>('[19]Start Cost'!AD$150+'[19]VOM Cost'!AD$150)/1000+([19]System!AC$7+[19]System!AC$9)/1000</f>
        <v>571.96488000000011</v>
      </c>
      <c r="AD22" s="211">
        <f>('[19]Start Cost'!AE$150+'[19]VOM Cost'!AE$150)/1000+([19]System!AD$7+[19]System!AD$9)/1000</f>
        <v>589.24631999999997</v>
      </c>
      <c r="AE22" s="16">
        <f>('[19]Start Cost'!AF$150+'[19]VOM Cost'!AF$150)/1000+([19]System!AE$7+[19]System!AE$9)/1000</f>
        <v>612.54452000000003</v>
      </c>
      <c r="AF22" s="16">
        <f>('[19]Start Cost'!AG$150+'[19]VOM Cost'!AG$150)/1000+([19]System!AF$7+[19]System!AF$9)/1000</f>
        <v>631.45256000000006</v>
      </c>
      <c r="AG22" s="16">
        <f>('[19]Start Cost'!AH$150+'[19]VOM Cost'!AH$150)/1000+([19]System!AG$7+[19]System!AG$9)/1000</f>
        <v>676.28525000000002</v>
      </c>
      <c r="AH22" s="16">
        <f>('[19]Start Cost'!AI$150+'[19]VOM Cost'!AI$150)/1000+([19]System!AH$7+[19]System!AH$9)/1000</f>
        <v>678.60544000000004</v>
      </c>
      <c r="AI22" s="16">
        <f>('[19]Start Cost'!AJ$150+'[19]VOM Cost'!AJ$150)/1000+([19]System!AI$7+[19]System!AI$9)/1000</f>
        <v>709.69215999999994</v>
      </c>
      <c r="AJ22" s="16"/>
    </row>
    <row r="23" spans="1:36">
      <c r="A23" s="36" t="s">
        <v>66</v>
      </c>
      <c r="B23" s="119">
        <f>('[19]Reagent Cost'!C$150+'[19]SO2 Cost'!C$150+'[19]NOx Cost'!C$150+'[19]Lime Cost'!C$150)/1000</f>
        <v>6.2323630999999988</v>
      </c>
      <c r="C23" s="119">
        <f>('[19]Reagent Cost'!D$150+'[19]SO2 Cost'!D$150+'[19]NOx Cost'!D$150+'[19]Lime Cost'!D$150)/1000</f>
        <v>6.603692999999998</v>
      </c>
      <c r="D23" s="119">
        <f>('[19]Reagent Cost'!E$150+'[19]SO2 Cost'!E$150+'[19]NOx Cost'!E$150+'[19]Lime Cost'!E$150)/1000</f>
        <v>7.3854838000000003</v>
      </c>
      <c r="E23" s="119">
        <f>('[19]Reagent Cost'!F$150+'[19]SO2 Cost'!F$150+'[19]NOx Cost'!F$150+'[19]Lime Cost'!F$150)/1000</f>
        <v>9.1865012999999998</v>
      </c>
      <c r="F23" s="119">
        <f>('[19]Reagent Cost'!G$150+'[19]SO2 Cost'!G$150+'[19]NOx Cost'!G$150+'[19]Lime Cost'!G$150)/1000</f>
        <v>12.306306800000002</v>
      </c>
      <c r="G23" s="119">
        <f>('[19]Reagent Cost'!H$150+'[19]SO2 Cost'!H$150+'[19]NOx Cost'!H$150+'[19]Lime Cost'!H$150)/1000</f>
        <v>10.4859519</v>
      </c>
      <c r="H23" s="119">
        <f>('[19]Reagent Cost'!I$150+'[19]SO2 Cost'!I$150+'[19]NOx Cost'!I$150+'[19]Lime Cost'!I$150)/1000</f>
        <v>10.058423400000002</v>
      </c>
      <c r="I23" s="119">
        <f>('[19]Reagent Cost'!J$150+'[19]SO2 Cost'!J$150+'[19]NOx Cost'!J$150+'[19]Lime Cost'!J$150)/1000</f>
        <v>9.0216906999999988</v>
      </c>
      <c r="J23" s="119">
        <f>('[19]Reagent Cost'!K$150+'[19]SO2 Cost'!K$150+'[19]NOx Cost'!K$150+'[19]Lime Cost'!K$150)/1000</f>
        <v>9.2253202999999999</v>
      </c>
      <c r="K23" s="119">
        <f>('[19]Reagent Cost'!L$150+'[19]SO2 Cost'!L$150+'[19]NOx Cost'!L$150+'[19]Lime Cost'!L$150)/1000</f>
        <v>9.3899267000000002</v>
      </c>
      <c r="L23" s="119">
        <f>('[19]Reagent Cost'!M$150+'[19]SO2 Cost'!M$150+'[19]NOx Cost'!M$150+'[19]Lime Cost'!M$150)/1000</f>
        <v>9.6672556000000007</v>
      </c>
      <c r="M23" s="119">
        <f>('[19]Reagent Cost'!N$150+'[19]SO2 Cost'!N$150+'[19]NOx Cost'!N$150+'[19]Lime Cost'!N$150)/1000</f>
        <v>9.352154500000001</v>
      </c>
      <c r="N23" s="119">
        <f>('[19]Reagent Cost'!O$150+'[19]SO2 Cost'!O$150+'[19]NOx Cost'!O$150+'[19]Lime Cost'!O$150)/1000</f>
        <v>8.9812466999999998</v>
      </c>
      <c r="O23" s="119">
        <f>('[19]Reagent Cost'!P$150+'[19]SO2 Cost'!P$150+'[19]NOx Cost'!P$150+'[19]Lime Cost'!P$150)/1000</f>
        <v>8.8760607</v>
      </c>
      <c r="P23" s="119">
        <f>('[19]Reagent Cost'!Q$150+'[19]SO2 Cost'!Q$150+'[19]NOx Cost'!Q$150+'[19]Lime Cost'!Q$150)/1000</f>
        <v>4.1339226</v>
      </c>
      <c r="Q23" s="119">
        <f>('[19]Reagent Cost'!R$150+'[19]SO2 Cost'!R$150+'[19]NOx Cost'!R$150+'[19]Lime Cost'!R$150)/1000</f>
        <v>1.6809299999999998</v>
      </c>
      <c r="R23" s="119">
        <f>('[19]Reagent Cost'!S$150+'[19]SO2 Cost'!S$150+'[19]NOx Cost'!S$150+'[19]Lime Cost'!S$150)/1000</f>
        <v>1.69208</v>
      </c>
      <c r="S23" s="119">
        <f>('[19]Reagent Cost'!T$150+'[19]SO2 Cost'!T$150+'[19]NOx Cost'!T$150+'[19]Lime Cost'!T$150)/1000</f>
        <v>1.7145600000000001</v>
      </c>
      <c r="T23" s="119">
        <f>('[19]Reagent Cost'!U$150+'[19]SO2 Cost'!U$150+'[19]NOx Cost'!U$150+'[19]Lime Cost'!U$150)/1000</f>
        <v>1.7356200000000002</v>
      </c>
      <c r="U23" s="119">
        <f>('[19]Reagent Cost'!V$150+'[19]SO2 Cost'!V$150+'[19]NOx Cost'!V$150+'[19]Lime Cost'!V$150)/1000</f>
        <v>1.7489900000000003</v>
      </c>
      <c r="V23" s="119">
        <f>('[19]Reagent Cost'!W$150+'[19]SO2 Cost'!W$150+'[19]NOx Cost'!W$150+'[19]Lime Cost'!W$150)/1000</f>
        <v>1.7845100000000003</v>
      </c>
      <c r="W23" s="119">
        <f>('[19]Reagent Cost'!X$150+'[19]SO2 Cost'!X$150+'[19]NOx Cost'!X$150+'[19]Lime Cost'!X$150)/1000</f>
        <v>1.7974599999999998</v>
      </c>
      <c r="X23" s="119">
        <f>('[19]Reagent Cost'!Y$150+'[19]SO2 Cost'!Y$150+'[19]NOx Cost'!Y$150+'[19]Lime Cost'!Y$150)/1000</f>
        <v>1.7925499999999996</v>
      </c>
      <c r="Y23" s="119">
        <f>('[19]Reagent Cost'!Z$150+'[19]SO2 Cost'!Z$150+'[19]NOx Cost'!Z$150+'[19]Lime Cost'!Z$150)/1000</f>
        <v>1.81897</v>
      </c>
      <c r="Z23" s="119">
        <f>('[19]Reagent Cost'!AA$150+'[19]SO2 Cost'!AA$150+'[19]NOx Cost'!AA$150+'[19]Lime Cost'!AA$150)/1000</f>
        <v>1.8403000000000005</v>
      </c>
      <c r="AA23" s="119">
        <f>('[19]Reagent Cost'!AB$150+'[19]SO2 Cost'!AB$150+'[19]NOx Cost'!AB$150+'[19]Lime Cost'!AB$150)/1000</f>
        <v>1.8550099999999998</v>
      </c>
      <c r="AB23" s="119">
        <f>('[19]Reagent Cost'!AC$150+'[19]SO2 Cost'!AC$150+'[19]NOx Cost'!AC$150+'[19]Lime Cost'!AC$150)/1000</f>
        <v>1.8927799999999999</v>
      </c>
      <c r="AC23" s="119">
        <f>('[19]Reagent Cost'!AD$150+'[19]SO2 Cost'!AD$150+'[19]NOx Cost'!AD$150+'[19]Lime Cost'!AD$150)/1000</f>
        <v>1.8933199999999999</v>
      </c>
      <c r="AD23" s="211">
        <f>('[19]Reagent Cost'!AE$150+'[19]SO2 Cost'!AE$150+'[19]NOx Cost'!AE$150+'[19]Lime Cost'!AE$150)/1000</f>
        <v>1.9059999999999999</v>
      </c>
      <c r="AE23" s="119">
        <f>('[19]Reagent Cost'!AF$150+'[19]SO2 Cost'!AF$150+'[19]NOx Cost'!AF$150+'[19]Lime Cost'!AF$150)/1000</f>
        <v>1.9079399999999997</v>
      </c>
      <c r="AF23" s="119">
        <f>('[19]Reagent Cost'!AG$150+'[19]SO2 Cost'!AG$150+'[19]NOx Cost'!AG$150+'[19]Lime Cost'!AG$150)/1000</f>
        <v>1.9406800000000002</v>
      </c>
      <c r="AG23" s="119">
        <f>('[19]Reagent Cost'!AH$150+'[19]SO2 Cost'!AH$150+'[19]NOx Cost'!AH$150+'[19]Lime Cost'!AH$150)/1000</f>
        <v>1.9560500000000003</v>
      </c>
      <c r="AH23" s="119">
        <f>('[19]Reagent Cost'!AI$150+'[19]SO2 Cost'!AI$150+'[19]NOx Cost'!AI$150+'[19]Lime Cost'!AI$150)/1000</f>
        <v>2.0044999999999997</v>
      </c>
      <c r="AI23" s="119">
        <f>('[19]Reagent Cost'!AJ$150+'[19]SO2 Cost'!AJ$150+'[19]NOx Cost'!AJ$150+'[19]Lime Cost'!AJ$150)/1000</f>
        <v>2.0325499999999996</v>
      </c>
      <c r="AJ23" s="119"/>
    </row>
    <row r="24" spans="1:36">
      <c r="A24" s="12" t="s">
        <v>69</v>
      </c>
      <c r="B24" s="212">
        <f>+'[19]CO2 Cost'!C$150/1000</f>
        <v>0</v>
      </c>
      <c r="C24" s="212">
        <f>+'[19]CO2 Cost'!D$150/1000</f>
        <v>0</v>
      </c>
      <c r="D24" s="212">
        <f>+'[19]CO2 Cost'!E$150/1000</f>
        <v>0</v>
      </c>
      <c r="E24" s="212">
        <f>+'[19]CO2 Cost'!F$150/1000</f>
        <v>0</v>
      </c>
      <c r="F24" s="212">
        <f>+'[19]CO2 Cost'!G$150/1000</f>
        <v>0</v>
      </c>
      <c r="G24" s="212">
        <f>+'[19]CO2 Cost'!H$150/1000</f>
        <v>107.45844</v>
      </c>
      <c r="H24" s="212">
        <f>+'[19]CO2 Cost'!I$150/1000</f>
        <v>191.09800000000007</v>
      </c>
      <c r="I24" s="212">
        <f>+'[19]CO2 Cost'!J$150/1000</f>
        <v>269.54441000000003</v>
      </c>
      <c r="J24" s="212">
        <f>+'[19]CO2 Cost'!K$150/1000</f>
        <v>356.21061000000003</v>
      </c>
      <c r="K24" s="212">
        <f>+'[19]CO2 Cost'!L$150/1000</f>
        <v>440.52839000000006</v>
      </c>
      <c r="L24" s="212">
        <f>+'[19]CO2 Cost'!M$150/1000</f>
        <v>529.75861999999995</v>
      </c>
      <c r="M24" s="212">
        <f>+'[19]CO2 Cost'!N$150/1000</f>
        <v>599.56202999999982</v>
      </c>
      <c r="N24" s="212">
        <f>+'[19]CO2 Cost'!O$150/1000</f>
        <v>682.55541999999991</v>
      </c>
      <c r="O24" s="212">
        <f>+'[19]CO2 Cost'!P$150/1000</f>
        <v>766.1701300000002</v>
      </c>
      <c r="P24" s="212">
        <f>+'[19]CO2 Cost'!Q$150/1000</f>
        <v>777.01902000000018</v>
      </c>
      <c r="Q24" s="212">
        <f>+'[19]CO2 Cost'!R$150/1000</f>
        <v>814.13754999999992</v>
      </c>
      <c r="R24" s="212">
        <f>+'[19]CO2 Cost'!S$150/1000</f>
        <v>992.58686999999998</v>
      </c>
      <c r="S24" s="212">
        <f>+'[19]CO2 Cost'!T$150/1000</f>
        <v>1169.8340100000003</v>
      </c>
      <c r="T24" s="212">
        <f>+'[19]CO2 Cost'!U$150/1000</f>
        <v>1351.798420000001</v>
      </c>
      <c r="U24" s="212">
        <f>+'[19]CO2 Cost'!V$150/1000</f>
        <v>1545.82179</v>
      </c>
      <c r="V24" s="212">
        <f>+'[19]CO2 Cost'!W$150/1000</f>
        <v>1732.6684000000005</v>
      </c>
      <c r="W24" s="212">
        <f>+'[19]CO2 Cost'!X$150/1000</f>
        <v>1930.8517099999997</v>
      </c>
      <c r="X24" s="212">
        <f>+'[19]CO2 Cost'!Y$150/1000</f>
        <v>2080.8969500000003</v>
      </c>
      <c r="Y24" s="212">
        <f>+'[19]CO2 Cost'!Z$150/1000</f>
        <v>2251.9881299999997</v>
      </c>
      <c r="Z24" s="212">
        <f>+'[19]CO2 Cost'!AA$150/1000</f>
        <v>2466.6235300000008</v>
      </c>
      <c r="AA24" s="212">
        <f>+'[19]CO2 Cost'!AB$150/1000</f>
        <v>2662.750790000001</v>
      </c>
      <c r="AB24" s="212">
        <f>+'[19]CO2 Cost'!AC$150/1000</f>
        <v>2878.2755199999997</v>
      </c>
      <c r="AC24" s="212">
        <f>+'[19]CO2 Cost'!AD$150/1000</f>
        <v>3054.0238899999999</v>
      </c>
      <c r="AD24" s="213">
        <f>+'[19]CO2 Cost'!AE$150/1000</f>
        <v>3247.4581800000001</v>
      </c>
      <c r="AE24" s="212">
        <f>+'[19]CO2 Cost'!AF$150/1000</f>
        <v>3421.0592900000006</v>
      </c>
      <c r="AF24" s="212">
        <f>+'[19]CO2 Cost'!AG$150/1000</f>
        <v>3645.1009000000008</v>
      </c>
      <c r="AG24" s="212">
        <f>+'[19]CO2 Cost'!AH$150/1000</f>
        <v>3853.3301500000002</v>
      </c>
      <c r="AH24" s="212">
        <f>+'[19]CO2 Cost'!AI$150/1000</f>
        <v>4100.9734799999997</v>
      </c>
      <c r="AI24" s="212">
        <f>+'[19]CO2 Cost'!AJ$150/1000</f>
        <v>4325.2305999999999</v>
      </c>
      <c r="AJ24" s="212"/>
    </row>
    <row r="25" spans="1:36">
      <c r="A25" s="6" t="s">
        <v>61</v>
      </c>
      <c r="B25" s="15">
        <f t="shared" ref="B25:AG25" si="4">SUM(B15:B24)</f>
        <v>1843.5391832822065</v>
      </c>
      <c r="C25" s="15">
        <f t="shared" si="4"/>
        <v>1885.1336427908482</v>
      </c>
      <c r="D25" s="15">
        <f t="shared" si="4"/>
        <v>2032.9449235426434</v>
      </c>
      <c r="E25" s="15">
        <f t="shared" si="4"/>
        <v>2199.1502992858204</v>
      </c>
      <c r="F25" s="15">
        <f t="shared" si="4"/>
        <v>2192.2557587419556</v>
      </c>
      <c r="G25" s="15">
        <f t="shared" si="4"/>
        <v>2233.1516425940886</v>
      </c>
      <c r="H25" s="15">
        <f t="shared" si="4"/>
        <v>2348.3201902075971</v>
      </c>
      <c r="I25" s="15">
        <f t="shared" si="4"/>
        <v>2560.6491399592906</v>
      </c>
      <c r="J25" s="15">
        <f t="shared" si="4"/>
        <v>2849.206890728331</v>
      </c>
      <c r="K25" s="15">
        <f t="shared" si="4"/>
        <v>3075.104068360738</v>
      </c>
      <c r="L25" s="15">
        <f t="shared" si="4"/>
        <v>3311.5198189925363</v>
      </c>
      <c r="M25" s="15">
        <f t="shared" si="4"/>
        <v>3515.3695618188885</v>
      </c>
      <c r="N25" s="15">
        <f t="shared" si="4"/>
        <v>3741.540695021532</v>
      </c>
      <c r="O25" s="15">
        <f t="shared" si="4"/>
        <v>3863.4040141492387</v>
      </c>
      <c r="P25" s="15">
        <f t="shared" si="4"/>
        <v>4274.7251587779701</v>
      </c>
      <c r="Q25" s="15">
        <f t="shared" si="4"/>
        <v>4889.4673796424695</v>
      </c>
      <c r="R25" s="15">
        <f t="shared" si="4"/>
        <v>5168.847689282833</v>
      </c>
      <c r="S25" s="15">
        <f t="shared" si="4"/>
        <v>5620.9790942519166</v>
      </c>
      <c r="T25" s="15">
        <f t="shared" si="4"/>
        <v>6059.7802835957818</v>
      </c>
      <c r="U25" s="15">
        <f t="shared" si="4"/>
        <v>6407.970023829479</v>
      </c>
      <c r="V25" s="15">
        <f t="shared" si="4"/>
        <v>6828.067933649274</v>
      </c>
      <c r="W25" s="15">
        <f t="shared" si="4"/>
        <v>7245.7775945676749</v>
      </c>
      <c r="X25" s="15">
        <f t="shared" si="4"/>
        <v>7697.7797242477591</v>
      </c>
      <c r="Y25" s="15">
        <f t="shared" si="4"/>
        <v>8437.4325020230353</v>
      </c>
      <c r="Z25" s="15">
        <f t="shared" si="4"/>
        <v>8827.4075931591506</v>
      </c>
      <c r="AA25" s="15">
        <f t="shared" si="4"/>
        <v>9334.8843955408229</v>
      </c>
      <c r="AB25" s="15">
        <f t="shared" si="4"/>
        <v>9857.8719362420998</v>
      </c>
      <c r="AC25" s="52">
        <f t="shared" si="4"/>
        <v>10201.588959132858</v>
      </c>
      <c r="AD25" s="214">
        <f t="shared" si="4"/>
        <v>10582.141417289435</v>
      </c>
      <c r="AE25" s="15">
        <f t="shared" si="4"/>
        <v>10821.888571136567</v>
      </c>
      <c r="AF25" s="15">
        <f t="shared" si="4"/>
        <v>11185.954035573513</v>
      </c>
      <c r="AG25" s="15">
        <f t="shared" si="4"/>
        <v>11550.286332259717</v>
      </c>
      <c r="AH25" s="15">
        <f t="shared" ref="AH25:AI25" si="5">SUM(AH15:AH24)</f>
        <v>11947.929933105172</v>
      </c>
      <c r="AI25" s="15">
        <f t="shared" si="5"/>
        <v>12331.423570545139</v>
      </c>
      <c r="AJ25" s="15"/>
    </row>
    <row r="26" spans="1:36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19"/>
      <c r="AD26" s="211"/>
      <c r="AE26" s="16"/>
      <c r="AF26" s="16"/>
      <c r="AG26" s="16"/>
      <c r="AH26" s="16"/>
      <c r="AI26" s="16"/>
      <c r="AJ26" s="16"/>
    </row>
    <row r="27" spans="1:36">
      <c r="A27" s="6" t="s">
        <v>62</v>
      </c>
      <c r="AC27" s="36"/>
      <c r="AD27" s="215"/>
    </row>
    <row r="28" spans="1:36">
      <c r="A28" s="152" t="str">
        <f>A1</f>
        <v>SoBra 700MWs</v>
      </c>
      <c r="B28" s="152">
        <f>$B$1</f>
        <v>2020</v>
      </c>
      <c r="C28" s="152">
        <f t="shared" ref="C28:AI28" si="6">B28+1</f>
        <v>2021</v>
      </c>
      <c r="D28" s="152">
        <f t="shared" si="6"/>
        <v>2022</v>
      </c>
      <c r="E28" s="152">
        <f t="shared" si="6"/>
        <v>2023</v>
      </c>
      <c r="F28" s="152">
        <f t="shared" si="6"/>
        <v>2024</v>
      </c>
      <c r="G28" s="152">
        <f t="shared" si="6"/>
        <v>2025</v>
      </c>
      <c r="H28" s="152">
        <f t="shared" si="6"/>
        <v>2026</v>
      </c>
      <c r="I28" s="152">
        <f t="shared" si="6"/>
        <v>2027</v>
      </c>
      <c r="J28" s="152">
        <f t="shared" si="6"/>
        <v>2028</v>
      </c>
      <c r="K28" s="152">
        <f t="shared" si="6"/>
        <v>2029</v>
      </c>
      <c r="L28" s="152">
        <f t="shared" si="6"/>
        <v>2030</v>
      </c>
      <c r="M28" s="152">
        <f t="shared" si="6"/>
        <v>2031</v>
      </c>
      <c r="N28" s="152">
        <f t="shared" si="6"/>
        <v>2032</v>
      </c>
      <c r="O28" s="152">
        <f t="shared" si="6"/>
        <v>2033</v>
      </c>
      <c r="P28" s="152">
        <f t="shared" si="6"/>
        <v>2034</v>
      </c>
      <c r="Q28" s="152">
        <f t="shared" si="6"/>
        <v>2035</v>
      </c>
      <c r="R28" s="152">
        <f t="shared" si="6"/>
        <v>2036</v>
      </c>
      <c r="S28" s="152">
        <f t="shared" si="6"/>
        <v>2037</v>
      </c>
      <c r="T28" s="152">
        <f t="shared" si="6"/>
        <v>2038</v>
      </c>
      <c r="U28" s="152">
        <f t="shared" si="6"/>
        <v>2039</v>
      </c>
      <c r="V28" s="152">
        <f t="shared" si="6"/>
        <v>2040</v>
      </c>
      <c r="W28" s="152">
        <f t="shared" si="6"/>
        <v>2041</v>
      </c>
      <c r="X28" s="152">
        <f t="shared" si="6"/>
        <v>2042</v>
      </c>
      <c r="Y28" s="152">
        <f t="shared" si="6"/>
        <v>2043</v>
      </c>
      <c r="Z28" s="152">
        <f t="shared" si="6"/>
        <v>2044</v>
      </c>
      <c r="AA28" s="152">
        <f t="shared" si="6"/>
        <v>2045</v>
      </c>
      <c r="AB28" s="152">
        <f t="shared" si="6"/>
        <v>2046</v>
      </c>
      <c r="AC28" s="209">
        <f t="shared" si="6"/>
        <v>2047</v>
      </c>
      <c r="AD28" s="210">
        <f t="shared" si="6"/>
        <v>2048</v>
      </c>
      <c r="AE28" s="152">
        <f t="shared" si="6"/>
        <v>2049</v>
      </c>
      <c r="AF28" s="152">
        <f t="shared" si="6"/>
        <v>2050</v>
      </c>
      <c r="AG28" s="152">
        <f t="shared" si="6"/>
        <v>2051</v>
      </c>
      <c r="AH28" s="152">
        <f t="shared" si="6"/>
        <v>2052</v>
      </c>
      <c r="AI28" s="152">
        <f t="shared" si="6"/>
        <v>2053</v>
      </c>
      <c r="AJ28" s="152"/>
    </row>
    <row r="29" spans="1:36">
      <c r="A29" s="6" t="s">
        <v>134</v>
      </c>
      <c r="B29" s="119">
        <f>B2/(1+'Financial Information'!$B$5)^(B$28-$B$28)</f>
        <v>65.260450182206341</v>
      </c>
      <c r="C29" s="119">
        <f>C2/(1+'Financial Information'!$B$5)^(C$28-$B$28)</f>
        <v>95.670684812241348</v>
      </c>
      <c r="D29" s="119">
        <f>D2/(1+'Financial Information'!$B$5)^(D$28-$B$28)</f>
        <v>123.09266850550476</v>
      </c>
      <c r="E29" s="119">
        <f>E2/(1+'Financial Information'!$B$5)^(E$28-$B$28)</f>
        <v>110.3423278685908</v>
      </c>
      <c r="F29" s="119">
        <f>F2/(1+'Financial Information'!$B$5)^(F$28-$B$28)</f>
        <v>99.251999617653368</v>
      </c>
      <c r="G29" s="119">
        <f>G2/(1+'Financial Information'!$B$5)^(G$28-$B$28)</f>
        <v>87.236463254682732</v>
      </c>
      <c r="H29" s="119">
        <f>H2/(1+'Financial Information'!$B$5)^(H$28-$B$28)</f>
        <v>72.209878742626842</v>
      </c>
      <c r="I29" s="119">
        <f>I2/(1+'Financial Information'!$B$5)^(I$28-$B$28)</f>
        <v>65.776198490761217</v>
      </c>
      <c r="J29" s="119">
        <f>J2/(1+'Financial Information'!$B$5)^(J$28-$B$28)</f>
        <v>60.015159466469328</v>
      </c>
      <c r="K29" s="119">
        <f>K2/(1+'Financial Information'!$B$5)^(K$28-$B$28)</f>
        <v>54.842529437059518</v>
      </c>
      <c r="L29" s="119">
        <f>L2/(1+'Financial Information'!$B$5)^(L$28-$B$28)</f>
        <v>50.063063142283596</v>
      </c>
      <c r="M29" s="119">
        <f>M2/(1+'Financial Information'!$B$5)^(M$28-$B$28)</f>
        <v>45.685746667320686</v>
      </c>
      <c r="N29" s="119">
        <f>N2/(1+'Financial Information'!$B$5)^(N$28-$B$28)</f>
        <v>41.663810762062894</v>
      </c>
      <c r="O29" s="119">
        <f>O2/(1+'Financial Information'!$B$5)^(O$28-$B$28)</f>
        <v>38.004159133502633</v>
      </c>
      <c r="P29" s="119">
        <f>P2/(1+'Financial Information'!$B$5)^(P$28-$B$28)</f>
        <v>34.594178141826397</v>
      </c>
      <c r="Q29" s="119">
        <f>Q2/(1+'Financial Information'!$B$5)^(Q$28-$B$28)</f>
        <v>31.467085235523829</v>
      </c>
      <c r="R29" s="119">
        <f>R2/(1+'Financial Information'!$B$5)^(R$28-$B$28)</f>
        <v>28.556029265028624</v>
      </c>
      <c r="S29" s="119">
        <f>S2/(1+'Financial Information'!$B$5)^(S$28-$B$28)</f>
        <v>25.923671058538908</v>
      </c>
      <c r="T29" s="119">
        <f>T2/(1+'Financial Information'!$B$5)^(T$28-$B$28)</f>
        <v>24.302460071004031</v>
      </c>
      <c r="U29" s="119">
        <f>U2/(1+'Financial Information'!$B$5)^(U$28-$B$28)</f>
        <v>22.47210636589875</v>
      </c>
      <c r="V29" s="119">
        <f>V2/(1+'Financial Information'!$B$5)^(V$28-$B$28)</f>
        <v>20.321524261026781</v>
      </c>
      <c r="W29" s="119">
        <f>W2/(1+'Financial Information'!$B$5)^(W$28-$B$28)</f>
        <v>18.368381113610976</v>
      </c>
      <c r="X29" s="119">
        <f>X2/(1+'Financial Information'!$B$5)^(X$28-$B$28)</f>
        <v>16.632430176980964</v>
      </c>
      <c r="Y29" s="119">
        <f>Y2/(1+'Financial Information'!$B$5)^(Y$28-$B$28)</f>
        <v>15.026179470220866</v>
      </c>
      <c r="Z29" s="119">
        <f>Z2/(1+'Financial Information'!$B$5)^(Z$28-$B$28)</f>
        <v>13.604762985175954</v>
      </c>
      <c r="AA29" s="119">
        <f>AA2/(1+'Financial Information'!$B$5)^(AA$28-$B$28)</f>
        <v>12.278499130739975</v>
      </c>
      <c r="AB29" s="119">
        <f>AB2/(1+'Financial Information'!$B$5)^(AB$28-$B$28)</f>
        <v>11.098008139710984</v>
      </c>
      <c r="AC29" s="119">
        <f>AC2/(1+'Financial Information'!$B$5)^(AC$28-$B$28)</f>
        <v>10.008361154503485</v>
      </c>
      <c r="AD29" s="211">
        <f>AD2/(1+'Financial Information'!$B$5)^(AD$28-$B$28)</f>
        <v>9.3885499439786422</v>
      </c>
      <c r="AE29" s="119">
        <f>AE2/(1+'Financial Information'!$B$5)^(AE$28-$B$28)</f>
        <v>7.9514309956645066</v>
      </c>
      <c r="AF29" s="119">
        <f>AF2/(1+'Financial Information'!$B$5)^(AF$28-$B$28)</f>
        <v>5.2989347528844011</v>
      </c>
      <c r="AG29" s="119">
        <f>AG2/(1+'Financial Information'!$B$5)^(AG$28-$B$28)</f>
        <v>2.8960604241996695</v>
      </c>
      <c r="AH29" s="119">
        <f>AH2/(1+'Financial Information'!$B$5)^(AH$28-$B$28)</f>
        <v>0.41566066557171555</v>
      </c>
      <c r="AI29" s="119">
        <f>AI2/(1+'Financial Information'!$B$5)^(AI$28-$B$28)</f>
        <v>0.37490309689796597</v>
      </c>
      <c r="AJ29" s="119"/>
    </row>
    <row r="30" spans="1:36">
      <c r="A30" s="6" t="s">
        <v>135</v>
      </c>
      <c r="B30" s="119">
        <f>B3/(1+'Financial Information'!$B$5)^(B$28-$B$28)</f>
        <v>0</v>
      </c>
      <c r="C30" s="119">
        <f>C3/(1+'Financial Information'!$B$5)^(C$28-$B$28)</f>
        <v>0</v>
      </c>
      <c r="D30" s="119">
        <f>D3/(1+'Financial Information'!$B$5)^(D$28-$B$28)</f>
        <v>0</v>
      </c>
      <c r="E30" s="119">
        <f>E3/(1+'Financial Information'!$B$5)^(E$28-$B$28)</f>
        <v>0</v>
      </c>
      <c r="F30" s="119">
        <f>F3/(1+'Financial Information'!$B$5)^(F$28-$B$28)</f>
        <v>0</v>
      </c>
      <c r="G30" s="119">
        <f>G3/(1+'Financial Information'!$B$5)^(G$28-$B$28)</f>
        <v>0</v>
      </c>
      <c r="H30" s="119">
        <f>H3/(1+'Financial Information'!$B$5)^(H$28-$B$28)</f>
        <v>0</v>
      </c>
      <c r="I30" s="119">
        <f>I3/(1+'Financial Information'!$B$5)^(I$28-$B$28)</f>
        <v>0</v>
      </c>
      <c r="J30" s="119">
        <f>J3/(1+'Financial Information'!$B$5)^(J$28-$B$28)</f>
        <v>0</v>
      </c>
      <c r="K30" s="119">
        <f>K3/(1+'Financial Information'!$B$5)^(K$28-$B$28)</f>
        <v>0</v>
      </c>
      <c r="L30" s="119">
        <f>L3/(1+'Financial Information'!$B$5)^(L$28-$B$28)</f>
        <v>0</v>
      </c>
      <c r="M30" s="119">
        <f>M3/(1+'Financial Information'!$B$5)^(M$28-$B$28)</f>
        <v>0</v>
      </c>
      <c r="N30" s="119">
        <f>N3/(1+'Financial Information'!$B$5)^(N$28-$B$28)</f>
        <v>0</v>
      </c>
      <c r="O30" s="119">
        <f>O3/(1+'Financial Information'!$B$5)^(O$28-$B$28)</f>
        <v>0</v>
      </c>
      <c r="P30" s="119">
        <f>P3/(1+'Financial Information'!$B$5)^(P$28-$B$28)</f>
        <v>0</v>
      </c>
      <c r="Q30" s="119">
        <f>Q3/(1+'Financial Information'!$B$5)^(Q$28-$B$28)</f>
        <v>0</v>
      </c>
      <c r="R30" s="119">
        <f>R3/(1+'Financial Information'!$B$5)^(R$28-$B$28)</f>
        <v>0</v>
      </c>
      <c r="S30" s="119">
        <f>S3/(1+'Financial Information'!$B$5)^(S$28-$B$28)</f>
        <v>0</v>
      </c>
      <c r="T30" s="119">
        <f>T3/(1+'Financial Information'!$B$5)^(T$28-$B$28)</f>
        <v>0</v>
      </c>
      <c r="U30" s="119">
        <f>U3/(1+'Financial Information'!$B$5)^(U$28-$B$28)</f>
        <v>0</v>
      </c>
      <c r="V30" s="119">
        <f>V3/(1+'Financial Information'!$B$5)^(V$28-$B$28)</f>
        <v>0</v>
      </c>
      <c r="W30" s="119">
        <f>W3/(1+'Financial Information'!$B$5)^(W$28-$B$28)</f>
        <v>0</v>
      </c>
      <c r="X30" s="119">
        <f>X3/(1+'Financial Information'!$B$5)^(X$28-$B$28)</f>
        <v>0</v>
      </c>
      <c r="Y30" s="119">
        <f>Y3/(1+'Financial Information'!$B$5)^(Y$28-$B$28)</f>
        <v>0</v>
      </c>
      <c r="Z30" s="119">
        <f>Z3/(1+'Financial Information'!$B$5)^(Z$28-$B$28)</f>
        <v>0</v>
      </c>
      <c r="AA30" s="119">
        <f>AA3/(1+'Financial Information'!$B$5)^(AA$28-$B$28)</f>
        <v>0</v>
      </c>
      <c r="AB30" s="119">
        <f>AB3/(1+'Financial Information'!$B$5)^(AB$28-$B$28)</f>
        <v>0</v>
      </c>
      <c r="AC30" s="119">
        <f>AC3/(1+'Financial Information'!$B$5)^(AC$28-$B$28)</f>
        <v>0</v>
      </c>
      <c r="AD30" s="211">
        <f>AD3/(1+'Financial Information'!$B$5)^(AD$28-$B$28)</f>
        <v>0</v>
      </c>
      <c r="AE30" s="119">
        <f>AE3/(1+'Financial Information'!$B$5)^(AE$28-$B$28)</f>
        <v>0</v>
      </c>
      <c r="AF30" s="119">
        <f>AF3/(1+'Financial Information'!$B$5)^(AF$28-$B$28)</f>
        <v>0</v>
      </c>
      <c r="AG30" s="119">
        <f>AG3/(1+'Financial Information'!$B$5)^(AG$28-$B$28)</f>
        <v>0</v>
      </c>
      <c r="AH30" s="119">
        <f>AH3/(1+'Financial Information'!$B$5)^(AH$28-$B$28)</f>
        <v>0</v>
      </c>
      <c r="AI30" s="119">
        <f>AI3/(1+'Financial Information'!$B$5)^(AI$28-$B$28)</f>
        <v>0</v>
      </c>
      <c r="AJ30" s="119"/>
    </row>
    <row r="31" spans="1:36">
      <c r="A31" s="6" t="s">
        <v>60</v>
      </c>
      <c r="B31" s="119">
        <f>B4/(1+'Financial Information'!$B$5)^(B$28-$B$28)</f>
        <v>0</v>
      </c>
      <c r="C31" s="119">
        <f>C4/(1+'Financial Information'!$B$5)^(C$28-$B$28)</f>
        <v>0</v>
      </c>
      <c r="D31" s="119">
        <f>D4/(1+'Financial Information'!$B$5)^(D$28-$B$28)</f>
        <v>0</v>
      </c>
      <c r="E31" s="119">
        <f>E4/(1+'Financial Information'!$B$5)^(E$28-$B$28)</f>
        <v>0</v>
      </c>
      <c r="F31" s="119">
        <f>F4/(1+'Financial Information'!$B$5)^(F$28-$B$28)</f>
        <v>0</v>
      </c>
      <c r="G31" s="119">
        <f>G4/(1+'Financial Information'!$B$5)^(G$28-$B$28)</f>
        <v>0</v>
      </c>
      <c r="H31" s="119">
        <f>H4/(1+'Financial Information'!$B$5)^(H$28-$B$28)</f>
        <v>0</v>
      </c>
      <c r="I31" s="119">
        <f>I4/(1+'Financial Information'!$B$5)^(I$28-$B$28)</f>
        <v>13.613063986881086</v>
      </c>
      <c r="J31" s="119">
        <f>J4/(1+'Financial Information'!$B$5)^(J$28-$B$28)</f>
        <v>27.846798410091772</v>
      </c>
      <c r="K31" s="119">
        <f>K4/(1+'Financial Information'!$B$5)^(K$28-$B$28)</f>
        <v>29.584009376142056</v>
      </c>
      <c r="L31" s="119">
        <f>L4/(1+'Financial Information'!$B$5)^(L$28-$B$28)</f>
        <v>32.730251790246399</v>
      </c>
      <c r="M31" s="119">
        <f>M4/(1+'Financial Information'!$B$5)^(M$28-$B$28)</f>
        <v>33.628337637535516</v>
      </c>
      <c r="N31" s="119">
        <f>N4/(1+'Financial Information'!$B$5)^(N$28-$B$28)</f>
        <v>35.858541969391524</v>
      </c>
      <c r="O31" s="119">
        <f>O4/(1+'Financial Information'!$B$5)^(O$28-$B$28)</f>
        <v>36.110474556361773</v>
      </c>
      <c r="P31" s="119">
        <f>P4/(1+'Financial Information'!$B$5)^(P$28-$B$28)</f>
        <v>100.14706919915011</v>
      </c>
      <c r="Q31" s="119">
        <f>Q4/(1+'Financial Information'!$B$5)^(Q$28-$B$28)</f>
        <v>239.28582630580087</v>
      </c>
      <c r="R31" s="119">
        <f>R4/(1+'Financial Information'!$B$5)^(R$28-$B$28)</f>
        <v>218.15079009214753</v>
      </c>
      <c r="S31" s="119">
        <f>S4/(1+'Financial Information'!$B$5)^(S$28-$B$28)</f>
        <v>198.83918571103962</v>
      </c>
      <c r="T31" s="119">
        <f>T4/(1+'Financial Information'!$B$5)^(T$28-$B$28)</f>
        <v>194.40421924992015</v>
      </c>
      <c r="U31" s="119">
        <f>U4/(1+'Financial Information'!$B$5)^(U$28-$B$28)</f>
        <v>185.80480602979847</v>
      </c>
      <c r="V31" s="119">
        <f>V4/(1+'Financial Information'!$B$5)^(V$28-$B$28)</f>
        <v>173.11850990673699</v>
      </c>
      <c r="W31" s="119">
        <f>W4/(1+'Financial Information'!$B$5)^(W$28-$B$28)</f>
        <v>160.15390087077935</v>
      </c>
      <c r="X31" s="119">
        <f>X4/(1+'Financial Information'!$B$5)^(X$28-$B$28)</f>
        <v>175.91227519624456</v>
      </c>
      <c r="Y31" s="119">
        <f>Y4/(1+'Financial Information'!$B$5)^(Y$28-$B$28)</f>
        <v>247.68281617643171</v>
      </c>
      <c r="Z31" s="119">
        <f>Z4/(1+'Financial Information'!$B$5)^(Z$28-$B$28)</f>
        <v>232.00673822344856</v>
      </c>
      <c r="AA31" s="119">
        <f>AA4/(1+'Financial Information'!$B$5)^(AA$28-$B$28)</f>
        <v>218.49936085856561</v>
      </c>
      <c r="AB31" s="119">
        <f>AB4/(1+'Financial Information'!$B$5)^(AB$28-$B$28)</f>
        <v>200.75646174834162</v>
      </c>
      <c r="AC31" s="119">
        <f>AC4/(1+'Financial Information'!$B$5)^(AC$28-$B$28)</f>
        <v>182.47675849226567</v>
      </c>
      <c r="AD31" s="211">
        <f>AD4/(1+'Financial Information'!$B$5)^(AD$28-$B$28)</f>
        <v>165.76343508574203</v>
      </c>
      <c r="AE31" s="119">
        <f>AE4/(1+'Financial Information'!$B$5)^(AE$28-$B$28)</f>
        <v>150.50634559847177</v>
      </c>
      <c r="AF31" s="119">
        <f>AF4/(1+'Financial Information'!$B$5)^(AF$28-$B$28)</f>
        <v>136.59164798968851</v>
      </c>
      <c r="AG31" s="119">
        <f>AG4/(1+'Financial Information'!$B$5)^(AG$28-$B$28)</f>
        <v>123.86646728765164</v>
      </c>
      <c r="AH31" s="119">
        <f>AH4/(1+'Financial Information'!$B$5)^(AH$28-$B$28)</f>
        <v>112.20512367766493</v>
      </c>
      <c r="AI31" s="119">
        <f>AI4/(1+'Financial Information'!$B$5)^(AI$28-$B$28)</f>
        <v>101.541088314386</v>
      </c>
      <c r="AJ31" s="119"/>
    </row>
    <row r="32" spans="1:36">
      <c r="A32" s="6" t="s">
        <v>68</v>
      </c>
      <c r="B32" s="119">
        <f>B5/(1+'Financial Information'!$B$5)^(B$28-$B$28)</f>
        <v>445.38108</v>
      </c>
      <c r="C32" s="119">
        <f>C5/(1+'Financial Information'!$B$5)^(C$28-$B$28)</f>
        <v>405.95848172446119</v>
      </c>
      <c r="D32" s="119">
        <f>D5/(1+'Financial Information'!$B$5)^(D$28-$B$28)</f>
        <v>383.04511506040029</v>
      </c>
      <c r="E32" s="119">
        <f>E5/(1+'Financial Information'!$B$5)^(E$28-$B$28)</f>
        <v>375.42940625433778</v>
      </c>
      <c r="F32" s="119">
        <f>F5/(1+'Financial Information'!$B$5)^(F$28-$B$28)</f>
        <v>231.79327266520858</v>
      </c>
      <c r="G32" s="119">
        <f>G5/(1+'Financial Information'!$B$5)^(G$28-$B$28)</f>
        <v>106.90762708059815</v>
      </c>
      <c r="H32" s="119">
        <f>H5/(1+'Financial Information'!$B$5)^(H$28-$B$28)</f>
        <v>39.084411000131446</v>
      </c>
      <c r="I32" s="119">
        <f>I5/(1+'Financial Information'!$B$5)^(I$28-$B$28)</f>
        <v>20.835341523471872</v>
      </c>
      <c r="J32" s="119">
        <f>J5/(1+'Financial Information'!$B$5)^(J$28-$B$28)</f>
        <v>12.944378493575401</v>
      </c>
      <c r="K32" s="119">
        <f>K5/(1+'Financial Information'!$B$5)^(K$28-$B$28)</f>
        <v>12.411790313350483</v>
      </c>
      <c r="L32" s="119">
        <f>L5/(1+'Financial Information'!$B$5)^(L$28-$B$28)</f>
        <v>11.951220891629209</v>
      </c>
      <c r="M32" s="119">
        <f>M5/(1+'Financial Information'!$B$5)^(M$28-$B$28)</f>
        <v>11.486186360781383</v>
      </c>
      <c r="N32" s="119">
        <f>N5/(1+'Financial Information'!$B$5)^(N$28-$B$28)</f>
        <v>11.06899414661301</v>
      </c>
      <c r="O32" s="119">
        <f>O5/(1+'Financial Information'!$B$5)^(O$28-$B$28)</f>
        <v>10.625111673376081</v>
      </c>
      <c r="P32" s="119">
        <f>P5/(1+'Financial Information'!$B$5)^(P$28-$B$28)</f>
        <v>12.904966900026459</v>
      </c>
      <c r="Q32" s="119">
        <f>Q5/(1+'Financial Information'!$B$5)^(Q$28-$B$28)</f>
        <v>14.256337769808884</v>
      </c>
      <c r="R32" s="119">
        <f>R5/(1+'Financial Information'!$B$5)^(R$28-$B$28)</f>
        <v>13.584618611818369</v>
      </c>
      <c r="S32" s="119">
        <f>S5/(1+'Financial Information'!$B$5)^(S$28-$B$28)</f>
        <v>12.972839738109872</v>
      </c>
      <c r="T32" s="119">
        <f>T5/(1+'Financial Information'!$B$5)^(T$28-$B$28)</f>
        <v>13.057436430003779</v>
      </c>
      <c r="U32" s="119">
        <f>U5/(1+'Financial Information'!$B$5)^(U$28-$B$28)</f>
        <v>12.938744625240075</v>
      </c>
      <c r="V32" s="119">
        <f>V5/(1+'Financial Information'!$B$5)^(V$28-$B$28)</f>
        <v>12.589166554231038</v>
      </c>
      <c r="W32" s="119">
        <f>W5/(1+'Financial Information'!$B$5)^(W$28-$B$28)</f>
        <v>12.168733309970536</v>
      </c>
      <c r="X32" s="119">
        <f>X5/(1+'Financial Information'!$B$5)^(X$28-$B$28)</f>
        <v>12.990889128303026</v>
      </c>
      <c r="Y32" s="119">
        <f>Y5/(1+'Financial Information'!$B$5)^(Y$28-$B$28)</f>
        <v>13.368506035732521</v>
      </c>
      <c r="Z32" s="119">
        <f>Z5/(1+'Financial Information'!$B$5)^(Z$28-$B$28)</f>
        <v>13.152149617149272</v>
      </c>
      <c r="AA32" s="119">
        <f>AA5/(1+'Financial Information'!$B$5)^(AA$28-$B$28)</f>
        <v>12.911450931696065</v>
      </c>
      <c r="AB32" s="119">
        <f>AB5/(1+'Financial Information'!$B$5)^(AB$28-$B$28)</f>
        <v>12.325546785115124</v>
      </c>
      <c r="AC32" s="119">
        <f>AC5/(1+'Financial Information'!$B$5)^(AC$28-$B$28)</f>
        <v>11.799742074429989</v>
      </c>
      <c r="AD32" s="211">
        <f>AD5/(1+'Financial Information'!$B$5)^(AD$28-$B$28)</f>
        <v>11.304672978204819</v>
      </c>
      <c r="AE32" s="119">
        <f>AE5/(1+'Financial Information'!$B$5)^(AE$28-$B$28)</f>
        <v>10.450065979415029</v>
      </c>
      <c r="AF32" s="119">
        <f>AF5/(1+'Financial Information'!$B$5)^(AF$28-$B$28)</f>
        <v>9.2072671116039313</v>
      </c>
      <c r="AG32" s="119">
        <f>AG5/(1+'Financial Information'!$B$5)^(AG$28-$B$28)</f>
        <v>8.1237745464037729</v>
      </c>
      <c r="AH32" s="119">
        <f>AH5/(1+'Financial Information'!$B$5)^(AH$28-$B$28)</f>
        <v>7.3400246717171145</v>
      </c>
      <c r="AI32" s="119">
        <f>AI5/(1+'Financial Information'!$B$5)^(AI$28-$B$28)</f>
        <v>7.0239881557874666</v>
      </c>
      <c r="AJ32" s="119"/>
    </row>
    <row r="33" spans="1:36">
      <c r="A33" s="6" t="s">
        <v>67</v>
      </c>
      <c r="B33" s="119">
        <f>B6/(1+'Financial Information'!$B$5)^(B$28-$B$28)</f>
        <v>390.67816000000005</v>
      </c>
      <c r="C33" s="119">
        <f>C6/(1+'Financial Information'!$B$5)^(C$28-$B$28)</f>
        <v>360.70502343017807</v>
      </c>
      <c r="D33" s="119">
        <f>D6/(1+'Financial Information'!$B$5)^(D$28-$B$28)</f>
        <v>335.3589889757389</v>
      </c>
      <c r="E33" s="119">
        <f>E6/(1+'Financial Information'!$B$5)^(E$28-$B$28)</f>
        <v>314.30083315439447</v>
      </c>
      <c r="F33" s="119">
        <f>F6/(1+'Financial Information'!$B$5)^(F$28-$B$28)</f>
        <v>295.33513302110208</v>
      </c>
      <c r="G33" s="119">
        <f>G6/(1+'Financial Information'!$B$5)^(G$28-$B$28)</f>
        <v>276.06838970105849</v>
      </c>
      <c r="H33" s="119">
        <f>H6/(1+'Financial Information'!$B$5)^(H$28-$B$28)</f>
        <v>258.73326797724263</v>
      </c>
      <c r="I33" s="119">
        <f>I6/(1+'Financial Information'!$B$5)^(I$28-$B$28)</f>
        <v>242.48665529579867</v>
      </c>
      <c r="J33" s="119">
        <f>J6/(1+'Financial Information'!$B$5)^(J$28-$B$28)</f>
        <v>227.85440863960679</v>
      </c>
      <c r="K33" s="119">
        <f>K6/(1+'Financial Information'!$B$5)^(K$28-$B$28)</f>
        <v>212.98990297394212</v>
      </c>
      <c r="L33" s="119">
        <f>L6/(1+'Financial Information'!$B$5)^(L$28-$B$28)</f>
        <v>199.61565414615006</v>
      </c>
      <c r="M33" s="119">
        <f>M6/(1+'Financial Information'!$B$5)^(M$28-$B$28)</f>
        <v>187.08120798304273</v>
      </c>
      <c r="N33" s="119">
        <f>N6/(1+'Financial Information'!$B$5)^(N$28-$B$28)</f>
        <v>175.79226353945276</v>
      </c>
      <c r="O33" s="119">
        <f>O6/(1+'Financial Information'!$B$5)^(O$28-$B$28)</f>
        <v>164.32412863276659</v>
      </c>
      <c r="P33" s="119">
        <f>P6/(1+'Financial Information'!$B$5)^(P$28-$B$28)</f>
        <v>196.8566354690318</v>
      </c>
      <c r="Q33" s="119">
        <f>Q6/(1+'Financial Information'!$B$5)^(Q$28-$B$28)</f>
        <v>213.87481045723953</v>
      </c>
      <c r="R33" s="119">
        <f>R6/(1+'Financial Information'!$B$5)^(R$28-$B$28)</f>
        <v>200.44499574249258</v>
      </c>
      <c r="S33" s="119">
        <f>S6/(1+'Financial Information'!$B$5)^(S$28-$B$28)</f>
        <v>187.85847773429484</v>
      </c>
      <c r="T33" s="119">
        <f>T6/(1+'Financial Information'!$B$5)^(T$28-$B$28)</f>
        <v>189.35623363351272</v>
      </c>
      <c r="U33" s="119">
        <f>U6/(1+'Financial Information'!$B$5)^(U$28-$B$28)</f>
        <v>186.36541817589517</v>
      </c>
      <c r="V33" s="119">
        <f>V6/(1+'Financial Information'!$B$5)^(V$28-$B$28)</f>
        <v>178.75232231737783</v>
      </c>
      <c r="W33" s="119">
        <f>W6/(1+'Financial Information'!$B$5)^(W$28-$B$28)</f>
        <v>170.2654682873318</v>
      </c>
      <c r="X33" s="119">
        <f>X6/(1+'Financial Information'!$B$5)^(X$28-$B$28)</f>
        <v>178.15414508825265</v>
      </c>
      <c r="Y33" s="119">
        <f>Y6/(1+'Financial Information'!$B$5)^(Y$28-$B$28)</f>
        <v>179.42117079482207</v>
      </c>
      <c r="Z33" s="119">
        <f>Z6/(1+'Financial Information'!$B$5)^(Z$28-$B$28)</f>
        <v>175.11977341009199</v>
      </c>
      <c r="AA33" s="119">
        <f>AA6/(1+'Financial Information'!$B$5)^(AA$28-$B$28)</f>
        <v>172.13147818918981</v>
      </c>
      <c r="AB33" s="119">
        <f>AB6/(1+'Financial Information'!$B$5)^(AB$28-$B$28)</f>
        <v>163.56236948525608</v>
      </c>
      <c r="AC33" s="119">
        <f>AC6/(1+'Financial Information'!$B$5)^(AC$28-$B$28)</f>
        <v>153.29182117148412</v>
      </c>
      <c r="AD33" s="211">
        <f>AD6/(1+'Financial Information'!$B$5)^(AD$28-$B$28)</f>
        <v>143.66618666493358</v>
      </c>
      <c r="AE33" s="119">
        <f>AE6/(1+'Financial Information'!$B$5)^(AE$28-$B$28)</f>
        <v>134.64497344417393</v>
      </c>
      <c r="AF33" s="119">
        <f>AF6/(1+'Financial Information'!$B$5)^(AF$28-$B$28)</f>
        <v>126.1902281576138</v>
      </c>
      <c r="AG33" s="119">
        <f>AG6/(1+'Financial Information'!$B$5)^(AG$28-$B$28)</f>
        <v>118.26638065380864</v>
      </c>
      <c r="AH33" s="119">
        <f>AH6/(1+'Financial Information'!$B$5)^(AH$28-$B$28)</f>
        <v>110.84009433346641</v>
      </c>
      <c r="AI33" s="119">
        <f>AI6/(1+'Financial Information'!$B$5)^(AI$28-$B$28)</f>
        <v>103.88012589828155</v>
      </c>
      <c r="AJ33" s="119"/>
    </row>
    <row r="34" spans="1:36">
      <c r="A34" s="6" t="s">
        <v>383</v>
      </c>
      <c r="B34" s="119">
        <f>B7/(1+'Financial Information'!$B$5)^(B$28-$B$28)</f>
        <v>0</v>
      </c>
      <c r="C34" s="119">
        <f>C7/(1+'Financial Information'!$B$5)^(C$28-$B$28)</f>
        <v>0</v>
      </c>
      <c r="D34" s="119">
        <f>D7/(1+'Financial Information'!$B$5)^(D$28-$B$28)</f>
        <v>0</v>
      </c>
      <c r="E34" s="119">
        <f>E7/(1+'Financial Information'!$B$5)^(E$28-$B$28)</f>
        <v>0</v>
      </c>
      <c r="F34" s="119">
        <f>F7/(1+'Financial Information'!$B$5)^(F$28-$B$28)</f>
        <v>0</v>
      </c>
      <c r="G34" s="119">
        <f>G7/(1+'Financial Information'!$B$5)^(G$28-$B$28)</f>
        <v>0</v>
      </c>
      <c r="H34" s="119">
        <f>H7/(1+'Financial Information'!$B$5)^(H$28-$B$28)</f>
        <v>0</v>
      </c>
      <c r="I34" s="119">
        <f>I7/(1+'Financial Information'!$B$5)^(I$28-$B$28)</f>
        <v>0</v>
      </c>
      <c r="J34" s="119">
        <f>J7/(1+'Financial Information'!$B$5)^(J$28-$B$28)</f>
        <v>0</v>
      </c>
      <c r="K34" s="119">
        <f>K7/(1+'Financial Information'!$B$5)^(K$28-$B$28)</f>
        <v>0</v>
      </c>
      <c r="L34" s="119">
        <f>L7/(1+'Financial Information'!$B$5)^(L$28-$B$28)</f>
        <v>0</v>
      </c>
      <c r="M34" s="119">
        <f>M7/(1+'Financial Information'!$B$5)^(M$28-$B$28)</f>
        <v>0</v>
      </c>
      <c r="N34" s="119">
        <f>N7/(1+'Financial Information'!$B$5)^(N$28-$B$28)</f>
        <v>0</v>
      </c>
      <c r="O34" s="119">
        <f>O7/(1+'Financial Information'!$B$5)^(O$28-$B$28)</f>
        <v>0</v>
      </c>
      <c r="P34" s="119">
        <f>P7/(1+'Financial Information'!$B$5)^(P$28-$B$28)</f>
        <v>0</v>
      </c>
      <c r="Q34" s="119">
        <f>Q7/(1+'Financial Information'!$B$5)^(Q$28-$B$28)</f>
        <v>0</v>
      </c>
      <c r="R34" s="119">
        <f>R7/(1+'Financial Information'!$B$5)^(R$28-$B$28)</f>
        <v>0</v>
      </c>
      <c r="S34" s="119">
        <f>S7/(1+'Financial Information'!$B$5)^(S$28-$B$28)</f>
        <v>0</v>
      </c>
      <c r="T34" s="119">
        <f>T7/(1+'Financial Information'!$B$5)^(T$28-$B$28)</f>
        <v>0</v>
      </c>
      <c r="U34" s="119">
        <f>U7/(1+'Financial Information'!$B$5)^(U$28-$B$28)</f>
        <v>0</v>
      </c>
      <c r="V34" s="119">
        <f>V7/(1+'Financial Information'!$B$5)^(V$28-$B$28)</f>
        <v>0</v>
      </c>
      <c r="W34" s="119">
        <f>W7/(1+'Financial Information'!$B$5)^(W$28-$B$28)</f>
        <v>0</v>
      </c>
      <c r="X34" s="119">
        <f>X7/(1+'Financial Information'!$B$5)^(X$28-$B$28)</f>
        <v>0</v>
      </c>
      <c r="Y34" s="119">
        <f>Y7/(1+'Financial Information'!$B$5)^(Y$28-$B$28)</f>
        <v>0</v>
      </c>
      <c r="Z34" s="119">
        <f>Z7/(1+'Financial Information'!$B$5)^(Z$28-$B$28)</f>
        <v>0</v>
      </c>
      <c r="AA34" s="119">
        <f>AA7/(1+'Financial Information'!$B$5)^(AA$28-$B$28)</f>
        <v>0</v>
      </c>
      <c r="AB34" s="119">
        <f>AB7/(1+'Financial Information'!$B$5)^(AB$28-$B$28)</f>
        <v>0</v>
      </c>
      <c r="AC34" s="119">
        <f>AC7/(1+'Financial Information'!$B$5)^(AC$28-$B$28)</f>
        <v>0</v>
      </c>
      <c r="AD34" s="211">
        <f>AD7/(1+'Financial Information'!$B$5)^(AD$28-$B$28)</f>
        <v>0</v>
      </c>
      <c r="AE34" s="119">
        <f>AE7/(1+'Financial Information'!$B$5)^(AE$28-$B$28)</f>
        <v>0</v>
      </c>
      <c r="AF34" s="119">
        <f>AF7/(1+'Financial Information'!$B$5)^(AF$28-$B$28)</f>
        <v>0</v>
      </c>
      <c r="AG34" s="119">
        <f>AG7/(1+'Financial Information'!$B$5)^(AG$28-$B$28)</f>
        <v>0</v>
      </c>
      <c r="AH34" s="119">
        <f>AH7/(1+'Financial Information'!$B$5)^(AH$28-$B$28)</f>
        <v>0</v>
      </c>
      <c r="AI34" s="119">
        <f>AI7/(1+'Financial Information'!$B$5)^(AI$28-$B$28)</f>
        <v>0</v>
      </c>
      <c r="AJ34" s="119"/>
    </row>
    <row r="35" spans="1:36">
      <c r="A35" s="6" t="s">
        <v>65</v>
      </c>
      <c r="B35" s="119">
        <f>B8/(1+'Financial Information'!$B$5)^(B$28-$B$28)</f>
        <v>849.92173000000025</v>
      </c>
      <c r="C35" s="119">
        <f>C8/(1+'Financial Information'!$B$5)^(C$28-$B$28)</f>
        <v>811.69683223992479</v>
      </c>
      <c r="D35" s="119">
        <f>D8/(1+'Financial Information'!$B$5)^(D$28-$B$28)</f>
        <v>832.5463311459315</v>
      </c>
      <c r="E35" s="119">
        <f>E8/(1+'Financial Information'!$B$5)^(E$28-$B$28)</f>
        <v>870.79514473417908</v>
      </c>
      <c r="F35" s="119">
        <f>F8/(1+'Financial Information'!$B$5)^(F$28-$B$28)</f>
        <v>912.30914518137433</v>
      </c>
      <c r="G35" s="119">
        <f>G8/(1+'Financial Information'!$B$5)^(G$28-$B$28)</f>
        <v>919.31800647004422</v>
      </c>
      <c r="H35" s="119">
        <f>H8/(1+'Financial Information'!$B$5)^(H$28-$B$28)</f>
        <v>947.85071047559688</v>
      </c>
      <c r="I35" s="119">
        <f>I8/(1+'Financial Information'!$B$5)^(I$28-$B$28)</f>
        <v>983.64803061332054</v>
      </c>
      <c r="J35" s="119">
        <f>J8/(1+'Financial Information'!$B$5)^(J$28-$B$28)</f>
        <v>1033.4870583406739</v>
      </c>
      <c r="K35" s="119">
        <f>K8/(1+'Financial Information'!$B$5)^(K$28-$B$28)</f>
        <v>1042.7319862958768</v>
      </c>
      <c r="L35" s="119">
        <f>L8/(1+'Financial Information'!$B$5)^(L$28-$B$28)</f>
        <v>1038.617072194379</v>
      </c>
      <c r="M35" s="119">
        <f>M8/(1+'Financial Information'!$B$5)^(M$28-$B$28)</f>
        <v>1033.8605974482159</v>
      </c>
      <c r="N35" s="119">
        <f>N8/(1+'Financial Information'!$B$5)^(N$28-$B$28)</f>
        <v>1026.5093588440961</v>
      </c>
      <c r="O35" s="119">
        <f>O8/(1+'Financial Information'!$B$5)^(O$28-$B$28)</f>
        <v>969.58945131754524</v>
      </c>
      <c r="P35" s="119">
        <f>P8/(1+'Financial Information'!$B$5)^(P$28-$B$28)</f>
        <v>978.0890934979949</v>
      </c>
      <c r="Q35" s="119">
        <f>Q8/(1+'Financial Information'!$B$5)^(Q$28-$B$28)</f>
        <v>965.15134590949162</v>
      </c>
      <c r="R35" s="119">
        <f>R8/(1+'Financial Information'!$B$5)^(R$28-$B$28)</f>
        <v>931.14222700734558</v>
      </c>
      <c r="S35" s="119">
        <f>S8/(1+'Financial Information'!$B$5)^(S$28-$B$28)</f>
        <v>954.98231257237853</v>
      </c>
      <c r="T35" s="119">
        <f>T8/(1+'Financial Information'!$B$5)^(T$28-$B$28)</f>
        <v>956.29773284921043</v>
      </c>
      <c r="U35" s="119">
        <f>U8/(1+'Financial Information'!$B$5)^(U$28-$B$28)</f>
        <v>924.71283476384951</v>
      </c>
      <c r="V35" s="119">
        <f>V8/(1+'Financial Information'!$B$5)^(V$28-$B$28)</f>
        <v>928.10773286149515</v>
      </c>
      <c r="W35" s="119">
        <f>W8/(1+'Financial Information'!$B$5)^(W$28-$B$28)</f>
        <v>920.91308512300657</v>
      </c>
      <c r="X35" s="119">
        <f>X8/(1+'Financial Information'!$B$5)^(X$28-$B$28)</f>
        <v>888.523418809943</v>
      </c>
      <c r="Y35" s="119">
        <f>Y8/(1+'Financial Information'!$B$5)^(Y$28-$B$28)</f>
        <v>862.30480653890663</v>
      </c>
      <c r="Z35" s="119">
        <f>Z8/(1+'Financial Information'!$B$5)^(Z$28-$B$28)</f>
        <v>834.04001089616156</v>
      </c>
      <c r="AA35" s="119">
        <f>AA8/(1+'Financial Information'!$B$5)^(AA$28-$B$28)</f>
        <v>830.66225472091764</v>
      </c>
      <c r="AB35" s="119">
        <f>AB8/(1+'Financial Information'!$B$5)^(AB$28-$B$28)</f>
        <v>829.06638447810724</v>
      </c>
      <c r="AC35" s="119">
        <f>AC8/(1+'Financial Information'!$B$5)^(AC$28-$B$28)</f>
        <v>803.16097080221948</v>
      </c>
      <c r="AD35" s="211">
        <f>AD8/(1+'Financial Information'!$B$5)^(AD$28-$B$28)</f>
        <v>788.509751831617</v>
      </c>
      <c r="AE35" s="119">
        <f>AE8/(1+'Financial Information'!$B$5)^(AE$28-$B$28)</f>
        <v>750.13806079440451</v>
      </c>
      <c r="AF35" s="119">
        <f>AF8/(1+'Financial Information'!$B$5)^(AF$28-$B$28)</f>
        <v>728.84968244698769</v>
      </c>
      <c r="AG35" s="119">
        <f>AG8/(1+'Financial Information'!$B$5)^(AG$28-$B$28)</f>
        <v>706.47644812112912</v>
      </c>
      <c r="AH35" s="119">
        <f>AH8/(1+'Financial Information'!$B$5)^(AH$28-$B$28)</f>
        <v>684.49549988466174</v>
      </c>
      <c r="AI35" s="119">
        <f>AI8/(1+'Financial Information'!$B$5)^(AI$28-$B$28)</f>
        <v>653.60765131266157</v>
      </c>
      <c r="AJ35" s="119"/>
    </row>
    <row r="36" spans="1:36">
      <c r="A36" s="6" t="s">
        <v>52</v>
      </c>
      <c r="B36" s="119">
        <f>B9/(1+'Financial Information'!$B$5)^(B$28-$B$28)</f>
        <v>86.065400000000025</v>
      </c>
      <c r="C36" s="119">
        <f>C9/(1+'Financial Information'!$B$5)^(C$28-$B$28)</f>
        <v>85.584601686972846</v>
      </c>
      <c r="D36" s="119">
        <f>D9/(1+'Financial Information'!$B$5)^(D$28-$B$28)</f>
        <v>86.41250815774238</v>
      </c>
      <c r="E36" s="119">
        <f>E9/(1+'Financial Information'!$B$5)^(E$28-$B$28)</f>
        <v>86.527057435586556</v>
      </c>
      <c r="F36" s="119">
        <f>F9/(1+'Financial Information'!$B$5)^(F$28-$B$28)</f>
        <v>86.65435776582639</v>
      </c>
      <c r="G36" s="119">
        <f>G9/(1+'Financial Information'!$B$5)^(G$28-$B$28)</f>
        <v>92.62118906506997</v>
      </c>
      <c r="H36" s="119">
        <f>H9/(1+'Financial Information'!$B$5)^(H$28-$B$28)</f>
        <v>100.43727408998305</v>
      </c>
      <c r="I36" s="119">
        <f>I9/(1+'Financial Information'!$B$5)^(I$28-$B$28)</f>
        <v>107.22281664179492</v>
      </c>
      <c r="J36" s="119">
        <f>J9/(1+'Financial Information'!$B$5)^(J$28-$B$28)</f>
        <v>115.27026291775952</v>
      </c>
      <c r="K36" s="119">
        <f>K9/(1+'Financial Information'!$B$5)^(K$28-$B$28)</f>
        <v>115.63538240981582</v>
      </c>
      <c r="L36" s="119">
        <f>L9/(1+'Financial Information'!$B$5)^(L$28-$B$28)</f>
        <v>120.44347410406037</v>
      </c>
      <c r="M36" s="119">
        <f>M9/(1+'Financial Information'!$B$5)^(M$28-$B$28)</f>
        <v>123.0980620934785</v>
      </c>
      <c r="N36" s="119">
        <f>N9/(1+'Financial Information'!$B$5)^(N$28-$B$28)</f>
        <v>121.67441956271807</v>
      </c>
      <c r="O36" s="119">
        <f>O9/(1+'Financial Information'!$B$5)^(O$28-$B$28)</f>
        <v>121.54132003177456</v>
      </c>
      <c r="P36" s="119">
        <f>P9/(1+'Financial Information'!$B$5)^(P$28-$B$28)</f>
        <v>116.4261701429908</v>
      </c>
      <c r="Q36" s="119">
        <f>Q9/(1+'Financial Information'!$B$5)^(Q$28-$B$28)</f>
        <v>115.89215564752284</v>
      </c>
      <c r="R36" s="119">
        <f>R9/(1+'Financial Information'!$B$5)^(R$28-$B$28)</f>
        <v>114.91305918855677</v>
      </c>
      <c r="S36" s="119">
        <f>S9/(1+'Financial Information'!$B$5)^(S$28-$B$28)</f>
        <v>120.34329628528523</v>
      </c>
      <c r="T36" s="119">
        <f>T9/(1+'Financial Information'!$B$5)^(T$28-$B$28)</f>
        <v>119.84693668692174</v>
      </c>
      <c r="U36" s="119">
        <f>U9/(1+'Financial Information'!$B$5)^(U$28-$B$28)</f>
        <v>124.11186080045206</v>
      </c>
      <c r="V36" s="119">
        <f>V9/(1+'Financial Information'!$B$5)^(V$28-$B$28)</f>
        <v>118.70191057454134</v>
      </c>
      <c r="W36" s="119">
        <f>W9/(1+'Financial Information'!$B$5)^(W$28-$B$28)</f>
        <v>118.10192402163202</v>
      </c>
      <c r="X36" s="119">
        <f>X9/(1+'Financial Information'!$B$5)^(X$28-$B$28)</f>
        <v>112.30953833402414</v>
      </c>
      <c r="Y36" s="119">
        <f>Y9/(1+'Financial Information'!$B$5)^(Y$28-$B$28)</f>
        <v>110.07731398164283</v>
      </c>
      <c r="Z36" s="119">
        <f>Z9/(1+'Financial Information'!$B$5)^(Z$28-$B$28)</f>
        <v>105.98614674689652</v>
      </c>
      <c r="AA36" s="119">
        <f>AA9/(1+'Financial Information'!$B$5)^(AA$28-$B$28)</f>
        <v>105.4319549292946</v>
      </c>
      <c r="AB36" s="119">
        <f>AB9/(1+'Financial Information'!$B$5)^(AB$28-$B$28)</f>
        <v>101.97522073931327</v>
      </c>
      <c r="AC36" s="119">
        <f>AC9/(1+'Financial Information'!$B$5)^(AC$28-$B$28)</f>
        <v>100.03086572736353</v>
      </c>
      <c r="AD36" s="211">
        <f>AD9/(1+'Financial Information'!$B$5)^(AD$28-$B$28)</f>
        <v>97.118253043632734</v>
      </c>
      <c r="AE36" s="119">
        <f>AE9/(1+'Financial Information'!$B$5)^(AE$28-$B$28)</f>
        <v>94.480955375281752</v>
      </c>
      <c r="AF36" s="119">
        <f>AF9/(1+'Financial Information'!$B$5)^(AF$28-$B$28)</f>
        <v>91.261829403690655</v>
      </c>
      <c r="AG36" s="119">
        <f>AG9/(1+'Financial Information'!$B$5)^(AG$28-$B$28)</f>
        <v>89.766966990504187</v>
      </c>
      <c r="AH36" s="119">
        <f>AH9/(1+'Financial Information'!$B$5)^(AH$28-$B$28)</f>
        <v>85.943903595233124</v>
      </c>
      <c r="AI36" s="119">
        <f>AI9/(1+'Financial Information'!$B$5)^(AI$28-$B$28)</f>
        <v>84.065261413892557</v>
      </c>
      <c r="AJ36" s="119"/>
    </row>
    <row r="37" spans="1:36">
      <c r="A37" s="36" t="s">
        <v>66</v>
      </c>
      <c r="B37" s="119">
        <f>B10/(1+'Financial Information'!$B$5)^(B$28-$B$28)</f>
        <v>6.2323630999999988</v>
      </c>
      <c r="C37" s="119">
        <f>C10/(1+'Financial Information'!$B$5)^(C$28-$B$28)</f>
        <v>6.1890281162136818</v>
      </c>
      <c r="D37" s="119">
        <f>D10/(1+'Financial Information'!$B$5)^(D$28-$B$28)</f>
        <v>6.5658476278646534</v>
      </c>
      <c r="E37" s="119">
        <f>E10/(1+'Financial Information'!$B$5)^(E$28-$B$28)</f>
        <v>7.7628265148488325</v>
      </c>
      <c r="F37" s="119">
        <f>F10/(1+'Financial Information'!$B$5)^(F$28-$B$28)</f>
        <v>9.8864255579064544</v>
      </c>
      <c r="G37" s="119">
        <f>G10/(1+'Financial Information'!$B$5)^(G$28-$B$28)</f>
        <v>7.926350827690448</v>
      </c>
      <c r="H37" s="119">
        <f>H10/(1+'Financial Information'!$B$5)^(H$28-$B$28)</f>
        <v>7.099705624765055</v>
      </c>
      <c r="I37" s="119">
        <f>I10/(1+'Financial Information'!$B$5)^(I$28-$B$28)</f>
        <v>5.9832899233285239</v>
      </c>
      <c r="J37" s="119">
        <f>J10/(1+'Financial Information'!$B$5)^(J$28-$B$28)</f>
        <v>5.7621564386713766</v>
      </c>
      <c r="K37" s="119">
        <f>K10/(1+'Financial Information'!$B$5)^(K$28-$B$28)</f>
        <v>5.5407208113306528</v>
      </c>
      <c r="L37" s="119">
        <f>L10/(1+'Financial Information'!$B$5)^(L$28-$B$28)</f>
        <v>5.2915813119590283</v>
      </c>
      <c r="M37" s="119">
        <f>M10/(1+'Financial Information'!$B$5)^(M$28-$B$28)</f>
        <v>4.8425535221501992</v>
      </c>
      <c r="N37" s="119">
        <f>N10/(1+'Financial Information'!$B$5)^(N$28-$B$28)</f>
        <v>4.2379974912914653</v>
      </c>
      <c r="O37" s="119">
        <f>O10/(1+'Financial Information'!$B$5)^(O$28-$B$28)</f>
        <v>3.9404729660732225</v>
      </c>
      <c r="P37" s="119">
        <f>P10/(1+'Financial Information'!$B$5)^(P$28-$B$28)</f>
        <v>1.7138234968808945</v>
      </c>
      <c r="Q37" s="119">
        <f>Q10/(1+'Financial Information'!$B$5)^(Q$28-$B$28)</f>
        <v>0.65801407435249371</v>
      </c>
      <c r="R37" s="119">
        <f>R10/(1+'Financial Information'!$B$5)^(R$28-$B$28)</f>
        <v>0.62376018906108488</v>
      </c>
      <c r="S37" s="119">
        <f>S10/(1+'Financial Information'!$B$5)^(S$28-$B$28)</f>
        <v>0.5925816405728318</v>
      </c>
      <c r="T37" s="119">
        <f>T10/(1+'Financial Information'!$B$5)^(T$28-$B$28)</f>
        <v>0.56061235277226251</v>
      </c>
      <c r="U37" s="119">
        <f>U10/(1+'Financial Information'!$B$5)^(U$28-$B$28)</f>
        <v>0.52786274598612659</v>
      </c>
      <c r="V37" s="119">
        <f>V10/(1+'Financial Information'!$B$5)^(V$28-$B$28)</f>
        <v>0.50494803997935234</v>
      </c>
      <c r="W37" s="119">
        <f>W10/(1+'Financial Information'!$B$5)^(W$28-$B$28)</f>
        <v>0.47675826706079655</v>
      </c>
      <c r="X37" s="119">
        <f>X10/(1+'Financial Information'!$B$5)^(X$28-$B$28)</f>
        <v>0.44699171104609292</v>
      </c>
      <c r="Y37" s="119">
        <f>Y10/(1+'Financial Information'!$B$5)^(Y$28-$B$28)</f>
        <v>0.42319916817284736</v>
      </c>
      <c r="Z37" s="119">
        <f>Z10/(1+'Financial Information'!$B$5)^(Z$28-$B$28)</f>
        <v>0.40220539778519221</v>
      </c>
      <c r="AA37" s="119">
        <f>AA10/(1+'Financial Information'!$B$5)^(AA$28-$B$28)</f>
        <v>0.38052123905422475</v>
      </c>
      <c r="AB37" s="119">
        <f>AB10/(1+'Financial Information'!$B$5)^(AB$28-$B$28)</f>
        <v>0.36355874195194848</v>
      </c>
      <c r="AC37" s="119">
        <f>AC10/(1+'Financial Information'!$B$5)^(AC$28-$B$28)</f>
        <v>0.34045033945403796</v>
      </c>
      <c r="AD37" s="211">
        <f>AD10/(1+'Financial Information'!$B$5)^(AD$28-$B$28)</f>
        <v>0.32061490999682507</v>
      </c>
      <c r="AE37" s="119">
        <f>AE10/(1+'Financial Information'!$B$5)^(AE$28-$B$28)</f>
        <v>0.30154235956641562</v>
      </c>
      <c r="AF37" s="119">
        <f>AF10/(1+'Financial Information'!$B$5)^(AF$28-$B$28)</f>
        <v>0.28690071103284109</v>
      </c>
      <c r="AG37" s="119">
        <f>AG10/(1+'Financial Information'!$B$5)^(AG$28-$B$28)</f>
        <v>0.27113956223535518</v>
      </c>
      <c r="AH37" s="119">
        <f>AH10/(1+'Financial Information'!$B$5)^(AH$28-$B$28)</f>
        <v>0.25833667116512543</v>
      </c>
      <c r="AI37" s="119">
        <f>AI10/(1+'Financial Information'!$B$5)^(AI$28-$B$28)</f>
        <v>0.24237143479418813</v>
      </c>
      <c r="AJ37" s="119"/>
    </row>
    <row r="38" spans="1:36">
      <c r="A38" s="12" t="s">
        <v>69</v>
      </c>
      <c r="B38" s="212">
        <f>B11/(1+'Financial Information'!$B$5)^(B$28-$B$28)</f>
        <v>0</v>
      </c>
      <c r="C38" s="212">
        <f>C11/(1+'Financial Information'!$B$5)^(C$28-$B$28)</f>
        <v>0</v>
      </c>
      <c r="D38" s="212">
        <f>D11/(1+'Financial Information'!$B$5)^(D$28-$B$28)</f>
        <v>0</v>
      </c>
      <c r="E38" s="212">
        <f>E11/(1+'Financial Information'!$B$5)^(E$28-$B$28)</f>
        <v>0</v>
      </c>
      <c r="F38" s="212">
        <f>F11/(1+'Financial Information'!$B$5)^(F$28-$B$28)</f>
        <v>0</v>
      </c>
      <c r="G38" s="212">
        <f>G11/(1+'Financial Information'!$B$5)^(G$28-$B$28)</f>
        <v>81.300659063858632</v>
      </c>
      <c r="H38" s="212">
        <f>H11/(1+'Financial Information'!$B$5)^(H$28-$B$28)</f>
        <v>135.32932574596657</v>
      </c>
      <c r="I38" s="212">
        <f>I11/(1+'Financial Information'!$B$5)^(I$28-$B$28)</f>
        <v>178.89738047608773</v>
      </c>
      <c r="J38" s="212">
        <f>J11/(1+'Financial Information'!$B$5)^(J$28-$B$28)</f>
        <v>221.79090415345533</v>
      </c>
      <c r="K38" s="212">
        <f>K11/(1+'Financial Information'!$B$5)^(K$28-$B$28)</f>
        <v>257.26290365636117</v>
      </c>
      <c r="L38" s="212">
        <f>L11/(1+'Financial Information'!$B$5)^(L$28-$B$28)</f>
        <v>289.10381213377889</v>
      </c>
      <c r="M38" s="212">
        <f>M11/(1+'Financial Information'!$B$5)^(M$28-$B$28)</f>
        <v>307.80930779035481</v>
      </c>
      <c r="N38" s="212">
        <f>N11/(1+'Financial Information'!$B$5)^(N$28-$B$28)</f>
        <v>326.39738945317549</v>
      </c>
      <c r="O38" s="212">
        <f>O11/(1+'Financial Information'!$B$5)^(O$28-$B$28)</f>
        <v>343.29176029440714</v>
      </c>
      <c r="P38" s="212">
        <f>P11/(1+'Financial Information'!$B$5)^(P$28-$B$28)</f>
        <v>326.99587783095302</v>
      </c>
      <c r="Q38" s="212">
        <f>Q11/(1+'Financial Information'!$B$5)^(Q$28-$B$28)</f>
        <v>320.98747717752627</v>
      </c>
      <c r="R38" s="212">
        <f>R11/(1+'Financial Information'!$B$5)^(R$28-$B$28)</f>
        <v>366.51688829802237</v>
      </c>
      <c r="S38" s="212">
        <f>S11/(1+'Financial Information'!$B$5)^(S$28-$B$28)</f>
        <v>405.17592109863529</v>
      </c>
      <c r="T38" s="212">
        <f>T11/(1+'Financial Information'!$B$5)^(T$28-$B$28)</f>
        <v>438.42975586523545</v>
      </c>
      <c r="U38" s="212">
        <f>U11/(1+'Financial Information'!$B$5)^(U$28-$B$28)</f>
        <v>470.26418403230844</v>
      </c>
      <c r="V38" s="212">
        <f>V11/(1+'Financial Information'!$B$5)^(V$28-$B$28)</f>
        <v>493.73924805797981</v>
      </c>
      <c r="W38" s="212">
        <f>W11/(1+'Financial Information'!$B$5)^(W$28-$B$28)</f>
        <v>515.37222056159237</v>
      </c>
      <c r="X38" s="212">
        <f>X11/(1+'Financial Information'!$B$5)^(X$28-$B$28)</f>
        <v>519.71920936210847</v>
      </c>
      <c r="Y38" s="212">
        <f>Y11/(1+'Financial Information'!$B$5)^(Y$28-$B$28)</f>
        <v>527.39759083703586</v>
      </c>
      <c r="Z38" s="212">
        <f>Z11/(1+'Financial Information'!$B$5)^(Z$28-$B$28)</f>
        <v>540.03522303250338</v>
      </c>
      <c r="AA38" s="212">
        <f>AA11/(1+'Financial Information'!$B$5)^(AA$28-$B$28)</f>
        <v>546.34523864321841</v>
      </c>
      <c r="AB38" s="212">
        <f>AB11/(1+'Financial Information'!$B$5)^(AB$28-$B$28)</f>
        <v>552.87081118098604</v>
      </c>
      <c r="AC38" s="212">
        <f>AC11/(1+'Financial Information'!$B$5)^(AC$28-$B$28)</f>
        <v>549.20612265385785</v>
      </c>
      <c r="AD38" s="213">
        <f>AD11/(1+'Financial Information'!$B$5)^(AD$28-$B$28)</f>
        <v>548.45672347924688</v>
      </c>
      <c r="AE38" s="212">
        <f>AE11/(1+'Financial Information'!$B$5)^(AE$28-$B$28)</f>
        <v>540.0341788253387</v>
      </c>
      <c r="AF38" s="212">
        <f>AF11/(1+'Financial Information'!$B$5)^(AF$28-$B$28)</f>
        <v>539.25174757044385</v>
      </c>
      <c r="AG38" s="212">
        <f>AG11/(1+'Financial Information'!$B$5)^(AG$28-$B$28)</f>
        <v>535.38165181493537</v>
      </c>
      <c r="AH38" s="212">
        <f>AH11/(1+'Financial Information'!$B$5)^(AH$28-$B$28)</f>
        <v>530.25004713773046</v>
      </c>
      <c r="AI38" s="212">
        <f>AI11/(1+'Financial Information'!$B$5)^(AI$28-$B$28)</f>
        <v>516.49676396546897</v>
      </c>
      <c r="AJ38" s="212"/>
    </row>
    <row r="39" spans="1:36">
      <c r="A39" s="6" t="s">
        <v>61</v>
      </c>
      <c r="B39" s="15">
        <f t="shared" ref="B39:AG39" si="7">SUM(B29:B38)</f>
        <v>1843.5391832822065</v>
      </c>
      <c r="C39" s="15">
        <f t="shared" si="7"/>
        <v>1765.8046520099917</v>
      </c>
      <c r="D39" s="15">
        <f t="shared" si="7"/>
        <v>1767.0214594731826</v>
      </c>
      <c r="E39" s="15">
        <f t="shared" si="7"/>
        <v>1765.1575959619377</v>
      </c>
      <c r="F39" s="15">
        <f t="shared" si="7"/>
        <v>1635.2303338090712</v>
      </c>
      <c r="G39" s="15">
        <f t="shared" si="7"/>
        <v>1571.3786854630025</v>
      </c>
      <c r="H39" s="15">
        <f t="shared" si="7"/>
        <v>1560.7445736563122</v>
      </c>
      <c r="I39" s="15">
        <f t="shared" si="7"/>
        <v>1618.4627769514445</v>
      </c>
      <c r="J39" s="15">
        <f t="shared" si="7"/>
        <v>1704.9711268603035</v>
      </c>
      <c r="K39" s="15">
        <f t="shared" si="7"/>
        <v>1730.9992252738787</v>
      </c>
      <c r="L39" s="15">
        <f t="shared" si="7"/>
        <v>1747.8161297144866</v>
      </c>
      <c r="M39" s="15">
        <f t="shared" si="7"/>
        <v>1747.4919995028797</v>
      </c>
      <c r="N39" s="15">
        <f t="shared" si="7"/>
        <v>1743.2027757688015</v>
      </c>
      <c r="O39" s="15">
        <f t="shared" si="7"/>
        <v>1687.4268786058074</v>
      </c>
      <c r="P39" s="15">
        <f t="shared" si="7"/>
        <v>1767.7278146788542</v>
      </c>
      <c r="Q39" s="15">
        <f t="shared" si="7"/>
        <v>1901.5730525772663</v>
      </c>
      <c r="R39" s="15">
        <f t="shared" si="7"/>
        <v>1873.9323683944731</v>
      </c>
      <c r="S39" s="15">
        <f t="shared" si="7"/>
        <v>1906.6882858388553</v>
      </c>
      <c r="T39" s="15">
        <f t="shared" si="7"/>
        <v>1936.2553871385805</v>
      </c>
      <c r="U39" s="15">
        <f t="shared" si="7"/>
        <v>1927.1978175394288</v>
      </c>
      <c r="V39" s="15">
        <f t="shared" si="7"/>
        <v>1925.8353625733685</v>
      </c>
      <c r="W39" s="15">
        <f t="shared" si="7"/>
        <v>1915.8204715549846</v>
      </c>
      <c r="X39" s="15">
        <f t="shared" si="7"/>
        <v>1904.6888978069032</v>
      </c>
      <c r="Y39" s="15">
        <f t="shared" si="7"/>
        <v>1955.7015830029654</v>
      </c>
      <c r="Z39" s="15">
        <f t="shared" si="7"/>
        <v>1914.3470103092125</v>
      </c>
      <c r="AA39" s="15">
        <f t="shared" si="7"/>
        <v>1898.6407586426762</v>
      </c>
      <c r="AB39" s="15">
        <f t="shared" si="7"/>
        <v>1872.0183612987823</v>
      </c>
      <c r="AC39" s="52">
        <f t="shared" si="7"/>
        <v>1810.3150924155782</v>
      </c>
      <c r="AD39" s="214">
        <f t="shared" si="7"/>
        <v>1764.5281879373524</v>
      </c>
      <c r="AE39" s="15">
        <f t="shared" si="7"/>
        <v>1688.5075533723166</v>
      </c>
      <c r="AF39" s="15">
        <f t="shared" si="7"/>
        <v>1636.9382381439455</v>
      </c>
      <c r="AG39" s="15">
        <f t="shared" si="7"/>
        <v>1585.0488894008677</v>
      </c>
      <c r="AH39" s="15">
        <f t="shared" ref="AH39:AI39" si="8">SUM(AH29:AH38)</f>
        <v>1531.7486906372105</v>
      </c>
      <c r="AI39" s="15">
        <f t="shared" si="8"/>
        <v>1467.2321535921703</v>
      </c>
      <c r="AJ39" s="15"/>
    </row>
    <row r="40" spans="1:36">
      <c r="AC40" s="36"/>
      <c r="AD40" s="215"/>
    </row>
    <row r="41" spans="1:36">
      <c r="A41" s="152" t="str">
        <f>A14</f>
        <v>Clean Energy Connection</v>
      </c>
      <c r="B41" s="152">
        <f>$B$1</f>
        <v>2020</v>
      </c>
      <c r="C41" s="152">
        <f t="shared" ref="C41:AI41" si="9">B41+1</f>
        <v>2021</v>
      </c>
      <c r="D41" s="152">
        <f t="shared" si="9"/>
        <v>2022</v>
      </c>
      <c r="E41" s="152">
        <f t="shared" si="9"/>
        <v>2023</v>
      </c>
      <c r="F41" s="152">
        <f t="shared" si="9"/>
        <v>2024</v>
      </c>
      <c r="G41" s="152">
        <f t="shared" si="9"/>
        <v>2025</v>
      </c>
      <c r="H41" s="152">
        <f t="shared" si="9"/>
        <v>2026</v>
      </c>
      <c r="I41" s="152">
        <f t="shared" si="9"/>
        <v>2027</v>
      </c>
      <c r="J41" s="152">
        <f t="shared" si="9"/>
        <v>2028</v>
      </c>
      <c r="K41" s="152">
        <f t="shared" si="9"/>
        <v>2029</v>
      </c>
      <c r="L41" s="152">
        <f t="shared" si="9"/>
        <v>2030</v>
      </c>
      <c r="M41" s="152">
        <f t="shared" si="9"/>
        <v>2031</v>
      </c>
      <c r="N41" s="152">
        <f t="shared" si="9"/>
        <v>2032</v>
      </c>
      <c r="O41" s="152">
        <f t="shared" si="9"/>
        <v>2033</v>
      </c>
      <c r="P41" s="152">
        <f t="shared" si="9"/>
        <v>2034</v>
      </c>
      <c r="Q41" s="152">
        <f t="shared" si="9"/>
        <v>2035</v>
      </c>
      <c r="R41" s="152">
        <f t="shared" si="9"/>
        <v>2036</v>
      </c>
      <c r="S41" s="152">
        <f t="shared" si="9"/>
        <v>2037</v>
      </c>
      <c r="T41" s="152">
        <f t="shared" si="9"/>
        <v>2038</v>
      </c>
      <c r="U41" s="152">
        <f t="shared" si="9"/>
        <v>2039</v>
      </c>
      <c r="V41" s="152">
        <f t="shared" si="9"/>
        <v>2040</v>
      </c>
      <c r="W41" s="152">
        <f t="shared" si="9"/>
        <v>2041</v>
      </c>
      <c r="X41" s="152">
        <f t="shared" si="9"/>
        <v>2042</v>
      </c>
      <c r="Y41" s="152">
        <f t="shared" si="9"/>
        <v>2043</v>
      </c>
      <c r="Z41" s="152">
        <f t="shared" si="9"/>
        <v>2044</v>
      </c>
      <c r="AA41" s="152">
        <f t="shared" si="9"/>
        <v>2045</v>
      </c>
      <c r="AB41" s="152">
        <f t="shared" si="9"/>
        <v>2046</v>
      </c>
      <c r="AC41" s="209">
        <f t="shared" si="9"/>
        <v>2047</v>
      </c>
      <c r="AD41" s="210">
        <f t="shared" si="9"/>
        <v>2048</v>
      </c>
      <c r="AE41" s="152">
        <f t="shared" si="9"/>
        <v>2049</v>
      </c>
      <c r="AF41" s="152">
        <f t="shared" si="9"/>
        <v>2050</v>
      </c>
      <c r="AG41" s="152">
        <f t="shared" si="9"/>
        <v>2051</v>
      </c>
      <c r="AH41" s="152">
        <f t="shared" si="9"/>
        <v>2052</v>
      </c>
      <c r="AI41" s="152">
        <f t="shared" si="9"/>
        <v>2053</v>
      </c>
      <c r="AJ41" s="152"/>
    </row>
    <row r="42" spans="1:36">
      <c r="A42" s="6" t="s">
        <v>134</v>
      </c>
      <c r="B42" s="119">
        <f>B15/(1+'Financial Information'!$B$5)^(B$28-$B$28)</f>
        <v>65.260450182206341</v>
      </c>
      <c r="C42" s="119">
        <f>C15/(1+'Financial Information'!$B$5)^(C$28-$B$28)</f>
        <v>95.670684812241348</v>
      </c>
      <c r="D42" s="119">
        <f>D15/(1+'Financial Information'!$B$5)^(D$28-$B$28)</f>
        <v>123.09266850550476</v>
      </c>
      <c r="E42" s="119">
        <f>E15/(1+'Financial Information'!$B$5)^(E$28-$B$28)</f>
        <v>110.3423278685908</v>
      </c>
      <c r="F42" s="119">
        <f>F15/(1+'Financial Information'!$B$5)^(F$28-$B$28)</f>
        <v>99.251999617653368</v>
      </c>
      <c r="G42" s="119">
        <f>G15/(1+'Financial Information'!$B$5)^(G$28-$B$28)</f>
        <v>87.236463254682732</v>
      </c>
      <c r="H42" s="119">
        <f>H15/(1+'Financial Information'!$B$5)^(H$28-$B$28)</f>
        <v>72.209878742626842</v>
      </c>
      <c r="I42" s="119">
        <f>I15/(1+'Financial Information'!$B$5)^(I$28-$B$28)</f>
        <v>65.776198490761217</v>
      </c>
      <c r="J42" s="119">
        <f>J15/(1+'Financial Information'!$B$5)^(J$28-$B$28)</f>
        <v>60.015159466469328</v>
      </c>
      <c r="K42" s="119">
        <f>K15/(1+'Financial Information'!$B$5)^(K$28-$B$28)</f>
        <v>54.842529437059518</v>
      </c>
      <c r="L42" s="119">
        <f>L15/(1+'Financial Information'!$B$5)^(L$28-$B$28)</f>
        <v>50.063063142283596</v>
      </c>
      <c r="M42" s="119">
        <f>M15/(1+'Financial Information'!$B$5)^(M$28-$B$28)</f>
        <v>45.685746667320686</v>
      </c>
      <c r="N42" s="119">
        <f>N15/(1+'Financial Information'!$B$5)^(N$28-$B$28)</f>
        <v>41.663810762062894</v>
      </c>
      <c r="O42" s="119">
        <f>O15/(1+'Financial Information'!$B$5)^(O$28-$B$28)</f>
        <v>38.004159133502633</v>
      </c>
      <c r="P42" s="119">
        <f>P15/(1+'Financial Information'!$B$5)^(P$28-$B$28)</f>
        <v>34.594178141826397</v>
      </c>
      <c r="Q42" s="119">
        <f>Q15/(1+'Financial Information'!$B$5)^(Q$28-$B$28)</f>
        <v>31.467085235523829</v>
      </c>
      <c r="R42" s="119">
        <f>R15/(1+'Financial Information'!$B$5)^(R$28-$B$28)</f>
        <v>28.556029265028624</v>
      </c>
      <c r="S42" s="119">
        <f>S15/(1+'Financial Information'!$B$5)^(S$28-$B$28)</f>
        <v>25.923671058538908</v>
      </c>
      <c r="T42" s="119">
        <f>T15/(1+'Financial Information'!$B$5)^(T$28-$B$28)</f>
        <v>24.302460071004031</v>
      </c>
      <c r="U42" s="119">
        <f>U15/(1+'Financial Information'!$B$5)^(U$28-$B$28)</f>
        <v>22.47210636589875</v>
      </c>
      <c r="V42" s="119">
        <f>V15/(1+'Financial Information'!$B$5)^(V$28-$B$28)</f>
        <v>20.321524261026781</v>
      </c>
      <c r="W42" s="119">
        <f>W15/(1+'Financial Information'!$B$5)^(W$28-$B$28)</f>
        <v>18.368381113610976</v>
      </c>
      <c r="X42" s="119">
        <f>X15/(1+'Financial Information'!$B$5)^(X$28-$B$28)</f>
        <v>16.632430176980964</v>
      </c>
      <c r="Y42" s="119">
        <f>Y15/(1+'Financial Information'!$B$5)^(Y$28-$B$28)</f>
        <v>15.026179470220866</v>
      </c>
      <c r="Z42" s="119">
        <f>Z15/(1+'Financial Information'!$B$5)^(Z$28-$B$28)</f>
        <v>13.604762985175954</v>
      </c>
      <c r="AA42" s="119">
        <f>AA15/(1+'Financial Information'!$B$5)^(AA$28-$B$28)</f>
        <v>12.278499130739975</v>
      </c>
      <c r="AB42" s="119">
        <f>AB15/(1+'Financial Information'!$B$5)^(AB$28-$B$28)</f>
        <v>11.098008139710984</v>
      </c>
      <c r="AC42" s="119">
        <f>AC15/(1+'Financial Information'!$B$5)^(AC$28-$B$28)</f>
        <v>10.008361154503485</v>
      </c>
      <c r="AD42" s="211">
        <f>AD15/(1+'Financial Information'!$B$5)^(AD$28-$B$28)</f>
        <v>9.3885499439786422</v>
      </c>
      <c r="AE42" s="119">
        <f>AE15/(1+'Financial Information'!$B$5)^(AE$28-$B$28)</f>
        <v>7.9514309956645066</v>
      </c>
      <c r="AF42" s="119">
        <f>AF15/(1+'Financial Information'!$B$5)^(AF$28-$B$28)</f>
        <v>5.2989347528844011</v>
      </c>
      <c r="AG42" s="119">
        <f>AG15/(1+'Financial Information'!$B$5)^(AG$28-$B$28)</f>
        <v>2.8960604241996695</v>
      </c>
      <c r="AH42" s="119">
        <f>AH15/(1+'Financial Information'!$B$5)^(AH$28-$B$28)</f>
        <v>0.41566066557171555</v>
      </c>
      <c r="AI42" s="119">
        <f>AI15/(1+'Financial Information'!$B$5)^(AI$28-$B$28)</f>
        <v>0.37490309689796597</v>
      </c>
      <c r="AJ42" s="119"/>
    </row>
    <row r="43" spans="1:36">
      <c r="A43" s="6" t="s">
        <v>135</v>
      </c>
      <c r="B43" s="119">
        <f>B16/(1+'Financial Information'!$B$5)^(B$28-$B$28)</f>
        <v>0</v>
      </c>
      <c r="C43" s="119">
        <f>C16/(1+'Financial Information'!$B$5)^(C$28-$B$28)</f>
        <v>0</v>
      </c>
      <c r="D43" s="119">
        <f>D16/(1+'Financial Information'!$B$5)^(D$28-$B$28)</f>
        <v>27.104402529171068</v>
      </c>
      <c r="E43" s="119">
        <f>E16/(1+'Financial Information'!$B$5)^(E$28-$B$28)</f>
        <v>71.677271703898896</v>
      </c>
      <c r="F43" s="119">
        <f>F16/(1+'Financial Information'!$B$5)^(F$28-$B$28)</f>
        <v>106.71659618161929</v>
      </c>
      <c r="G43" s="119">
        <f>G16/(1+'Financial Information'!$B$5)^(G$28-$B$28)</f>
        <v>94.968223232679676</v>
      </c>
      <c r="H43" s="119">
        <f>H16/(1+'Financial Information'!$B$5)^(H$28-$B$28)</f>
        <v>84.930290419949785</v>
      </c>
      <c r="I43" s="119">
        <f>I16/(1+'Financial Information'!$B$5)^(I$28-$B$28)</f>
        <v>71.369318056281188</v>
      </c>
      <c r="J43" s="119">
        <f>J16/(1+'Financial Information'!$B$5)^(J$28-$B$28)</f>
        <v>64.616065941150438</v>
      </c>
      <c r="K43" s="119">
        <f>K16/(1+'Financial Information'!$B$5)^(K$28-$B$28)</f>
        <v>58.847825074856878</v>
      </c>
      <c r="L43" s="119">
        <f>L16/(1+'Financial Information'!$B$5)^(L$28-$B$28)</f>
        <v>53.786374701416463</v>
      </c>
      <c r="M43" s="119">
        <f>M16/(1+'Financial Information'!$B$5)^(M$28-$B$28)</f>
        <v>49.250786941365043</v>
      </c>
      <c r="N43" s="119">
        <f>N16/(1+'Financial Information'!$B$5)^(N$28-$B$28)</f>
        <v>45.08657486113227</v>
      </c>
      <c r="O43" s="119">
        <f>O16/(1+'Financial Information'!$B$5)^(O$28-$B$28)</f>
        <v>41.252032029110545</v>
      </c>
      <c r="P43" s="119">
        <f>P16/(1+'Financial Information'!$B$5)^(P$28-$B$28)</f>
        <v>37.704265111778128</v>
      </c>
      <c r="Q43" s="119">
        <f>Q16/(1+'Financial Information'!$B$5)^(Q$28-$B$28)</f>
        <v>34.471759461208883</v>
      </c>
      <c r="R43" s="119">
        <f>R16/(1+'Financial Information'!$B$5)^(R$28-$B$28)</f>
        <v>31.510242239544308</v>
      </c>
      <c r="S43" s="119">
        <f>S16/(1+'Financial Information'!$B$5)^(S$28-$B$28)</f>
        <v>28.771416472238894</v>
      </c>
      <c r="T43" s="119">
        <f>T16/(1+'Financial Information'!$B$5)^(T$28-$B$28)</f>
        <v>28.186255215442095</v>
      </c>
      <c r="U43" s="119">
        <f>U16/(1+'Financial Information'!$B$5)^(U$28-$B$28)</f>
        <v>25.599452768354144</v>
      </c>
      <c r="V43" s="119">
        <f>V16/(1+'Financial Information'!$B$5)^(V$28-$B$28)</f>
        <v>23.223951483068507</v>
      </c>
      <c r="W43" s="119">
        <f>W16/(1+'Financial Information'!$B$5)^(W$28-$B$28)</f>
        <v>21.051786711251751</v>
      </c>
      <c r="X43" s="119">
        <f>X16/(1+'Financial Information'!$B$5)^(X$28-$B$28)</f>
        <v>19.118354143731811</v>
      </c>
      <c r="Y43" s="119">
        <f>Y16/(1+'Financial Information'!$B$5)^(Y$28-$B$28)</f>
        <v>17.388538002102155</v>
      </c>
      <c r="Z43" s="119">
        <f>Z16/(1+'Financial Information'!$B$5)^(Z$28-$B$28)</f>
        <v>15.82103716639633</v>
      </c>
      <c r="AA43" s="119">
        <f>AA16/(1+'Financial Information'!$B$5)^(AA$28-$B$28)</f>
        <v>14.367151034475768</v>
      </c>
      <c r="AB43" s="119">
        <f>AB16/(1+'Financial Information'!$B$5)^(AB$28-$B$28)</f>
        <v>13.070098401550514</v>
      </c>
      <c r="AC43" s="119">
        <f>AC16/(1+'Financial Information'!$B$5)^(AC$28-$B$28)</f>
        <v>11.873952695715952</v>
      </c>
      <c r="AD43" s="211">
        <f>AD16/(1+'Financial Information'!$B$5)^(AD$28-$B$28)</f>
        <v>10.792396380648784</v>
      </c>
      <c r="AE43" s="119">
        <f>AE16/(1+'Financial Information'!$B$5)^(AE$28-$B$28)</f>
        <v>9.7892282563921427</v>
      </c>
      <c r="AF43" s="119">
        <f>AF16/(1+'Financial Information'!$B$5)^(AF$28-$B$28)</f>
        <v>8.8893100063044432</v>
      </c>
      <c r="AG43" s="119">
        <f>AG16/(1+'Financial Information'!$B$5)^(AG$28-$B$28)</f>
        <v>8.5564850648572275</v>
      </c>
      <c r="AH43" s="119">
        <f>AH16/(1+'Financial Information'!$B$5)^(AH$28-$B$28)</f>
        <v>6.8276065268349155</v>
      </c>
      <c r="AI43" s="119">
        <f>AI16/(1+'Financial Information'!$B$5)^(AI$28-$B$28)</f>
        <v>3.6792355349898176</v>
      </c>
      <c r="AJ43" s="119"/>
    </row>
    <row r="44" spans="1:36">
      <c r="A44" s="6" t="s">
        <v>60</v>
      </c>
      <c r="B44" s="119">
        <f>B17/(1+'Financial Information'!$B$5)^(B$28-$B$28)</f>
        <v>0</v>
      </c>
      <c r="C44" s="119">
        <f>C17/(1+'Financial Information'!$B$5)^(C$28-$B$28)</f>
        <v>0</v>
      </c>
      <c r="D44" s="119">
        <f>D17/(1+'Financial Information'!$B$5)^(D$28-$B$28)</f>
        <v>0</v>
      </c>
      <c r="E44" s="119">
        <f>E17/(1+'Financial Information'!$B$5)^(E$28-$B$28)</f>
        <v>0</v>
      </c>
      <c r="F44" s="119">
        <f>F17/(1+'Financial Information'!$B$5)^(F$28-$B$28)</f>
        <v>0</v>
      </c>
      <c r="G44" s="119">
        <f>G17/(1+'Financial Information'!$B$5)^(G$28-$B$28)</f>
        <v>0</v>
      </c>
      <c r="H44" s="119">
        <f>H17/(1+'Financial Information'!$B$5)^(H$28-$B$28)</f>
        <v>0</v>
      </c>
      <c r="I44" s="119">
        <f>I17/(1+'Financial Information'!$B$5)^(I$28-$B$28)</f>
        <v>6.8065319934405428</v>
      </c>
      <c r="J44" s="119">
        <f>J17/(1+'Financial Information'!$B$5)^(J$28-$B$28)</f>
        <v>10.690057290776666</v>
      </c>
      <c r="K44" s="119">
        <f>K17/(1+'Financial Information'!$B$5)^(K$28-$B$28)</f>
        <v>15.857655953805649</v>
      </c>
      <c r="L44" s="119">
        <f>L17/(1+'Financial Information'!$B$5)^(L$28-$B$28)</f>
        <v>18.481386431945914</v>
      </c>
      <c r="M44" s="119">
        <f>M17/(1+'Financial Information'!$B$5)^(M$28-$B$28)</f>
        <v>22.348513128895039</v>
      </c>
      <c r="N44" s="119">
        <f>N17/(1+'Financial Information'!$B$5)^(N$28-$B$28)</f>
        <v>23.994861376548482</v>
      </c>
      <c r="O44" s="119">
        <f>O17/(1+'Financial Information'!$B$5)^(O$28-$B$28)</f>
        <v>26.829352716715064</v>
      </c>
      <c r="P44" s="119">
        <f>P17/(1+'Financial Information'!$B$5)^(P$28-$B$28)</f>
        <v>88.9550561173848</v>
      </c>
      <c r="Q44" s="119">
        <f>Q17/(1+'Financial Information'!$B$5)^(Q$28-$B$28)</f>
        <v>225.09784773874389</v>
      </c>
      <c r="R44" s="119">
        <f>R17/(1+'Financial Information'!$B$5)^(R$28-$B$28)</f>
        <v>210.14172390797253</v>
      </c>
      <c r="S44" s="119">
        <f>S17/(1+'Financial Information'!$B$5)^(S$28-$B$28)</f>
        <v>194.79830054252918</v>
      </c>
      <c r="T44" s="119">
        <f>T17/(1+'Financial Information'!$B$5)^(T$28-$B$28)</f>
        <v>186.33624121156328</v>
      </c>
      <c r="U44" s="119">
        <f>U17/(1+'Financial Information'!$B$5)^(U$28-$B$28)</f>
        <v>175.57419550385399</v>
      </c>
      <c r="V44" s="119">
        <f>V17/(1+'Financial Information'!$B$5)^(V$28-$B$28)</f>
        <v>163.84515780525754</v>
      </c>
      <c r="W44" s="119">
        <f>W17/(1+'Financial Information'!$B$5)^(W$28-$B$28)</f>
        <v>151.75386983266853</v>
      </c>
      <c r="X44" s="119">
        <f>X17/(1+'Financial Information'!$B$5)^(X$28-$B$28)</f>
        <v>168.29959195423737</v>
      </c>
      <c r="Y44" s="119">
        <f>Y17/(1+'Financial Information'!$B$5)^(Y$28-$B$28)</f>
        <v>240.7598407223953</v>
      </c>
      <c r="Z44" s="119">
        <f>Z17/(1+'Financial Information'!$B$5)^(Z$28-$B$28)</f>
        <v>225.69584068307202</v>
      </c>
      <c r="AA44" s="119">
        <f>AA17/(1+'Financial Information'!$B$5)^(AA$28-$B$28)</f>
        <v>212.7492454243806</v>
      </c>
      <c r="AB44" s="119">
        <f>AB17/(1+'Financial Information'!$B$5)^(AB$28-$B$28)</f>
        <v>198.44590105515422</v>
      </c>
      <c r="AC44" s="119">
        <f>AC17/(1+'Financial Information'!$B$5)^(AC$28-$B$28)</f>
        <v>182.30697222278701</v>
      </c>
      <c r="AD44" s="211">
        <f>AD17/(1+'Financial Information'!$B$5)^(AD$28-$B$28)</f>
        <v>165.60510671128793</v>
      </c>
      <c r="AE44" s="119">
        <f>AE17/(1+'Financial Information'!$B$5)^(AE$28-$B$28)</f>
        <v>150.36148482873168</v>
      </c>
      <c r="AF44" s="119">
        <f>AF17/(1+'Financial Information'!$B$5)^(AF$28-$B$28)</f>
        <v>136.45483625090628</v>
      </c>
      <c r="AG44" s="119">
        <f>AG17/(1+'Financial Information'!$B$5)^(AG$28-$B$28)</f>
        <v>123.74096019881367</v>
      </c>
      <c r="AH44" s="119">
        <f>AH17/(1+'Financial Information'!$B$5)^(AH$28-$B$28)</f>
        <v>112.10554241916785</v>
      </c>
      <c r="AI44" s="119">
        <f>AI17/(1+'Financial Information'!$B$5)^(AI$28-$B$28)</f>
        <v>101.46553419260681</v>
      </c>
      <c r="AJ44" s="119"/>
    </row>
    <row r="45" spans="1:36">
      <c r="A45" s="6" t="s">
        <v>68</v>
      </c>
      <c r="B45" s="119">
        <f>B18/(1+'Financial Information'!$B$5)^(B$28-$B$28)</f>
        <v>445.38108</v>
      </c>
      <c r="C45" s="119">
        <f>C18/(1+'Financial Information'!$B$5)^(C$28-$B$28)</f>
        <v>405.95848172446119</v>
      </c>
      <c r="D45" s="119">
        <f>D18/(1+'Financial Information'!$B$5)^(D$28-$B$28)</f>
        <v>383.04511506040029</v>
      </c>
      <c r="E45" s="119">
        <f>E18/(1+'Financial Information'!$B$5)^(E$28-$B$28)</f>
        <v>375.42940625433778</v>
      </c>
      <c r="F45" s="119">
        <f>F18/(1+'Financial Information'!$B$5)^(F$28-$B$28)</f>
        <v>231.79327266520852</v>
      </c>
      <c r="G45" s="119">
        <f>G18/(1+'Financial Information'!$B$5)^(G$28-$B$28)</f>
        <v>106.90762708059813</v>
      </c>
      <c r="H45" s="119">
        <f>H18/(1+'Financial Information'!$B$5)^(H$28-$B$28)</f>
        <v>39.084411000131446</v>
      </c>
      <c r="I45" s="119">
        <f>I18/(1+'Financial Information'!$B$5)^(I$28-$B$28)</f>
        <v>20.672035646629393</v>
      </c>
      <c r="J45" s="119">
        <f>J18/(1+'Financial Information'!$B$5)^(J$28-$B$28)</f>
        <v>12.518563020135373</v>
      </c>
      <c r="K45" s="119">
        <f>K18/(1+'Financial Information'!$B$5)^(K$28-$B$28)</f>
        <v>12.04578815746588</v>
      </c>
      <c r="L45" s="119">
        <f>L18/(1+'Financial Information'!$B$5)^(L$28-$B$28)</f>
        <v>11.558260882321816</v>
      </c>
      <c r="M45" s="119">
        <f>M18/(1+'Financial Information'!$B$5)^(M$28-$B$28)</f>
        <v>11.148437911064196</v>
      </c>
      <c r="N45" s="119">
        <f>N18/(1+'Financial Information'!$B$5)^(N$28-$B$28)</f>
        <v>10.706365919584599</v>
      </c>
      <c r="O45" s="119">
        <f>O18/(1+'Financial Information'!$B$5)^(O$28-$B$28)</f>
        <v>10.313431573744268</v>
      </c>
      <c r="P45" s="119">
        <f>P18/(1+'Financial Information'!$B$5)^(P$28-$B$28)</f>
        <v>12.296321501530654</v>
      </c>
      <c r="Q45" s="119">
        <f>Q18/(1+'Financial Information'!$B$5)^(Q$28-$B$28)</f>
        <v>13.399041765963331</v>
      </c>
      <c r="R45" s="119">
        <f>R18/(1+'Financial Information'!$B$5)^(R$28-$B$28)</f>
        <v>13.001269707392375</v>
      </c>
      <c r="S45" s="119">
        <f>S18/(1+'Financial Information'!$B$5)^(S$28-$B$28)</f>
        <v>12.577273952430309</v>
      </c>
      <c r="T45" s="119">
        <f>T18/(1+'Financial Information'!$B$5)^(T$28-$B$28)</f>
        <v>12.45577671575567</v>
      </c>
      <c r="U45" s="119">
        <f>U18/(1+'Financial Information'!$B$5)^(U$28-$B$28)</f>
        <v>12.208668559413129</v>
      </c>
      <c r="V45" s="119">
        <f>V18/(1+'Financial Information'!$B$5)^(V$28-$B$28)</f>
        <v>11.88782811627196</v>
      </c>
      <c r="W45" s="119">
        <f>W18/(1+'Financial Information'!$B$5)^(W$28-$B$28)</f>
        <v>11.495002470676392</v>
      </c>
      <c r="X45" s="119">
        <f>X18/(1+'Financial Information'!$B$5)^(X$28-$B$28)</f>
        <v>12.343675152163351</v>
      </c>
      <c r="Y45" s="119">
        <f>Y18/(1+'Financial Information'!$B$5)^(Y$28-$B$28)</f>
        <v>12.746770736339036</v>
      </c>
      <c r="Z45" s="119">
        <f>Z18/(1+'Financial Information'!$B$5)^(Z$28-$B$28)</f>
        <v>12.554886653744788</v>
      </c>
      <c r="AA45" s="119">
        <f>AA18/(1+'Financial Information'!$B$5)^(AA$28-$B$28)</f>
        <v>12.337698443577423</v>
      </c>
      <c r="AB45" s="119">
        <f>AB18/(1+'Financial Information'!$B$5)^(AB$28-$B$28)</f>
        <v>11.935134398748</v>
      </c>
      <c r="AC45" s="119">
        <f>AC18/(1+'Financial Information'!$B$5)^(AC$28-$B$28)</f>
        <v>11.535005812773326</v>
      </c>
      <c r="AD45" s="211">
        <f>AD18/(1+'Financial Information'!$B$5)^(AD$28-$B$28)</f>
        <v>11.050358019832974</v>
      </c>
      <c r="AE45" s="119">
        <f>AE18/(1+'Financial Information'!$B$5)^(AE$28-$B$28)</f>
        <v>10.205761010537286</v>
      </c>
      <c r="AF45" s="119">
        <f>AF18/(1+'Financial Information'!$B$5)^(AF$28-$B$28)</f>
        <v>8.9725777167932979</v>
      </c>
      <c r="AG45" s="119">
        <f>AG18/(1+'Financial Information'!$B$5)^(AG$28-$B$28)</f>
        <v>7.8983238293250473</v>
      </c>
      <c r="AH45" s="119">
        <f>AH18/(1+'Financial Information'!$B$5)^(AH$28-$B$28)</f>
        <v>7.1234484602986452</v>
      </c>
      <c r="AI45" s="119">
        <f>AI18/(1+'Financial Information'!$B$5)^(AI$28-$B$28)</f>
        <v>6.8159373509703727</v>
      </c>
      <c r="AJ45" s="119"/>
    </row>
    <row r="46" spans="1:36">
      <c r="A46" s="6" t="s">
        <v>67</v>
      </c>
      <c r="B46" s="119">
        <f>B19/(1+'Financial Information'!$B$5)^(B$28-$B$28)</f>
        <v>390.67816000000005</v>
      </c>
      <c r="C46" s="119">
        <f>C19/(1+'Financial Information'!$B$5)^(C$28-$B$28)</f>
        <v>360.70502343017807</v>
      </c>
      <c r="D46" s="119">
        <f>D19/(1+'Financial Information'!$B$5)^(D$28-$B$28)</f>
        <v>335.3589889757389</v>
      </c>
      <c r="E46" s="119">
        <f>E19/(1+'Financial Information'!$B$5)^(E$28-$B$28)</f>
        <v>314.30083315439447</v>
      </c>
      <c r="F46" s="119">
        <f>F19/(1+'Financial Information'!$B$5)^(F$28-$B$28)</f>
        <v>295.33513302110208</v>
      </c>
      <c r="G46" s="119">
        <f>G19/(1+'Financial Information'!$B$5)^(G$28-$B$28)</f>
        <v>276.06838970105849</v>
      </c>
      <c r="H46" s="119">
        <f>H19/(1+'Financial Information'!$B$5)^(H$28-$B$28)</f>
        <v>258.73326797724263</v>
      </c>
      <c r="I46" s="119">
        <f>I19/(1+'Financial Information'!$B$5)^(I$28-$B$28)</f>
        <v>242.48665529579867</v>
      </c>
      <c r="J46" s="119">
        <f>J19/(1+'Financial Information'!$B$5)^(J$28-$B$28)</f>
        <v>227.85440863960679</v>
      </c>
      <c r="K46" s="119">
        <f>K19/(1+'Financial Information'!$B$5)^(K$28-$B$28)</f>
        <v>212.98990297394212</v>
      </c>
      <c r="L46" s="119">
        <f>L19/(1+'Financial Information'!$B$5)^(L$28-$B$28)</f>
        <v>199.61565414615006</v>
      </c>
      <c r="M46" s="119">
        <f>M19/(1+'Financial Information'!$B$5)^(M$28-$B$28)</f>
        <v>187.08120798304273</v>
      </c>
      <c r="N46" s="119">
        <f>N19/(1+'Financial Information'!$B$5)^(N$28-$B$28)</f>
        <v>175.79226353945276</v>
      </c>
      <c r="O46" s="119">
        <f>O19/(1+'Financial Information'!$B$5)^(O$28-$B$28)</f>
        <v>164.32412863276659</v>
      </c>
      <c r="P46" s="119">
        <f>P19/(1+'Financial Information'!$B$5)^(P$28-$B$28)</f>
        <v>186.44966316241698</v>
      </c>
      <c r="Q46" s="119">
        <f>Q19/(1+'Financial Information'!$B$5)^(Q$28-$B$28)</f>
        <v>197.15453677261414</v>
      </c>
      <c r="R46" s="119">
        <f>R19/(1+'Financial Information'!$B$5)^(R$28-$B$28)</f>
        <v>189.57653911130575</v>
      </c>
      <c r="S46" s="119">
        <f>S19/(1+'Financial Information'!$B$5)^(S$28-$B$28)</f>
        <v>180.88703918449522</v>
      </c>
      <c r="T46" s="119">
        <f>T19/(1+'Financial Information'!$B$5)^(T$28-$B$28)</f>
        <v>178.39124480485597</v>
      </c>
      <c r="U46" s="119">
        <f>U19/(1+'Financial Information'!$B$5)^(U$28-$B$28)</f>
        <v>173.12248150918163</v>
      </c>
      <c r="V46" s="119">
        <f>V19/(1+'Financial Information'!$B$5)^(V$28-$B$28)</f>
        <v>166.34094227998114</v>
      </c>
      <c r="W46" s="119">
        <f>W19/(1+'Financial Information'!$B$5)^(W$28-$B$28)</f>
        <v>158.63344732188511</v>
      </c>
      <c r="X46" s="119">
        <f>X19/(1+'Financial Information'!$B$5)^(X$28-$B$28)</f>
        <v>167.25253218717796</v>
      </c>
      <c r="Y46" s="119">
        <f>Y19/(1+'Financial Information'!$B$5)^(Y$28-$B$28)</f>
        <v>169.20410153420846</v>
      </c>
      <c r="Z46" s="119">
        <f>Z19/(1+'Financial Information'!$B$5)^(Z$28-$B$28)</f>
        <v>165.54425278071812</v>
      </c>
      <c r="AA46" s="119">
        <f>AA19/(1+'Financial Information'!$B$5)^(AA$28-$B$28)</f>
        <v>163.15723205106997</v>
      </c>
      <c r="AB46" s="119">
        <f>AB19/(1+'Financial Information'!$B$5)^(AB$28-$B$28)</f>
        <v>158.36536962218472</v>
      </c>
      <c r="AC46" s="119">
        <f>AC19/(1+'Financial Information'!$B$5)^(AC$28-$B$28)</f>
        <v>150.5725221084063</v>
      </c>
      <c r="AD46" s="211">
        <f>AD19/(1+'Financial Information'!$B$5)^(AD$28-$B$28)</f>
        <v>141.11764021406404</v>
      </c>
      <c r="AE46" s="119">
        <f>AE19/(1+'Financial Information'!$B$5)^(AE$28-$B$28)</f>
        <v>132.25645755769824</v>
      </c>
      <c r="AF46" s="119">
        <f>AF19/(1+'Financial Information'!$B$5)^(AF$28-$B$28)</f>
        <v>123.95169405594963</v>
      </c>
      <c r="AG46" s="119">
        <f>AG19/(1+'Financial Information'!$B$5)^(AG$28-$B$28)</f>
        <v>116.16841054915618</v>
      </c>
      <c r="AH46" s="119">
        <f>AH19/(1+'Financial Information'!$B$5)^(AH$28-$B$28)</f>
        <v>108.87386180801893</v>
      </c>
      <c r="AI46" s="119">
        <f>AI19/(1+'Financial Information'!$B$5)^(AI$28-$B$28)</f>
        <v>102.03735877040201</v>
      </c>
      <c r="AJ46" s="119"/>
    </row>
    <row r="47" spans="1:36">
      <c r="A47" s="6" t="s">
        <v>383</v>
      </c>
      <c r="B47" s="119">
        <f>B20/(1+'Financial Information'!$B$5)^(B$28-$B$28)</f>
        <v>0</v>
      </c>
      <c r="C47" s="119">
        <f>C20/(1+'Financial Information'!$B$5)^(C$28-$B$28)</f>
        <v>0.95602539473914416</v>
      </c>
      <c r="D47" s="119">
        <f>D20/(1+'Financial Information'!$B$5)^(D$28-$B$28)</f>
        <v>0.55120123026807166</v>
      </c>
      <c r="E47" s="119">
        <f>E20/(1+'Financial Information'!$B$5)^(E$28-$B$28)</f>
        <v>0.5623101071629828</v>
      </c>
      <c r="F47" s="119">
        <f>F20/(1+'Financial Information'!$B$5)^(F$28-$B$28)</f>
        <v>0.52054864825483194</v>
      </c>
      <c r="G47" s="119">
        <f>G20/(1+'Financial Information'!$B$5)^(G$28-$B$28)</f>
        <v>0.47447401205225109</v>
      </c>
      <c r="H47" s="119">
        <f>H20/(1+'Financial Information'!$B$5)^(H$28-$B$28)</f>
        <v>0.34594805194586459</v>
      </c>
      <c r="I47" s="119">
        <f>I20/(1+'Financial Information'!$B$5)^(I$28-$B$28)</f>
        <v>0.35889584333158642</v>
      </c>
      <c r="J47" s="119">
        <f>J20/(1+'Financial Information'!$B$5)^(J$28-$B$28)</f>
        <v>0.31198140715775902</v>
      </c>
      <c r="K47" s="119">
        <f>K20/(1+'Financial Information'!$B$5)^(K$28-$B$28)</f>
        <v>0.30427695800079424</v>
      </c>
      <c r="L47" s="119">
        <f>L20/(1+'Financial Information'!$B$5)^(L$28-$B$28)</f>
        <v>0.30795444784735088</v>
      </c>
      <c r="M47" s="119">
        <f>M20/(1+'Financial Information'!$B$5)^(M$28-$B$28)</f>
        <v>0.18247509532472547</v>
      </c>
      <c r="N47" s="119">
        <f>N20/(1+'Financial Information'!$B$5)^(N$28-$B$28)</f>
        <v>0.16938864297452635</v>
      </c>
      <c r="O47" s="119">
        <f>O20/(1+'Financial Information'!$B$5)^(O$28-$B$28)</f>
        <v>0.18396491954915264</v>
      </c>
      <c r="P47" s="119">
        <f>P20/(1+'Financial Information'!$B$5)^(P$28-$B$28)</f>
        <v>0.15422719438562776</v>
      </c>
      <c r="Q47" s="119">
        <f>Q20/(1+'Financial Information'!$B$5)^(Q$28-$B$28)</f>
        <v>0.15098936805677604</v>
      </c>
      <c r="R47" s="119">
        <f>R20/(1+'Financial Information'!$B$5)^(R$28-$B$28)</f>
        <v>0.15539588507457328</v>
      </c>
      <c r="S47" s="119">
        <f>S20/(1+'Financial Information'!$B$5)^(S$28-$B$28)</f>
        <v>0.13751918551195877</v>
      </c>
      <c r="T47" s="119">
        <f>T20/(1+'Financial Information'!$B$5)^(T$28-$B$28)</f>
        <v>0.12817027651588755</v>
      </c>
      <c r="U47" s="119">
        <f>U20/(1+'Financial Information'!$B$5)^(U$28-$B$28)</f>
        <v>0.13758403227896901</v>
      </c>
      <c r="V47" s="119">
        <f>V20/(1+'Financial Information'!$B$5)^(V$28-$B$28)</f>
        <v>0.11698394016848228</v>
      </c>
      <c r="W47" s="119">
        <f>W20/(1+'Financial Information'!$B$5)^(W$28-$B$28)</f>
        <v>0.11435737038101808</v>
      </c>
      <c r="X47" s="119">
        <f>X20/(1+'Financial Information'!$B$5)^(X$28-$B$28)</f>
        <v>0.11692608052186379</v>
      </c>
      <c r="Y47" s="119">
        <f>Y20/(1+'Financial Information'!$B$5)^(Y$28-$B$28)</f>
        <v>0.10440876415134408</v>
      </c>
      <c r="Z47" s="119">
        <f>Z20/(1+'Financial Information'!$B$5)^(Z$28-$B$28)</f>
        <v>9.7684384896888563E-2</v>
      </c>
      <c r="AA47" s="119">
        <f>AA20/(1+'Financial Information'!$B$5)^(AA$28-$B$28)</f>
        <v>0.10368824913571693</v>
      </c>
      <c r="AB47" s="119">
        <f>AB20/(1+'Financial Information'!$B$5)^(AB$28-$B$28)</f>
        <v>8.2564650928115241E-2</v>
      </c>
      <c r="AC47" s="119">
        <f>AC20/(1+'Financial Information'!$B$5)^(AC$28-$B$28)</f>
        <v>8.3465961159684646E-2</v>
      </c>
      <c r="AD47" s="211">
        <f>AD20/(1+'Financial Information'!$B$5)^(AD$28-$B$28)</f>
        <v>7.5842450435234077E-2</v>
      </c>
      <c r="AE47" s="119">
        <f>AE20/(1+'Financial Information'!$B$5)^(AE$28-$B$28)</f>
        <v>7.5909008158437943E-2</v>
      </c>
      <c r="AF47" s="119">
        <f>AF20/(1+'Financial Information'!$B$5)^(AF$28-$B$28)</f>
        <v>6.971161497164291E-2</v>
      </c>
      <c r="AG47" s="119">
        <f>AG20/(1+'Financial Information'!$B$5)^(AG$28-$B$28)</f>
        <v>7.0198508240108884E-2</v>
      </c>
      <c r="AH47" s="119">
        <f>AH20/(1+'Financial Information'!$B$5)^(AH$28-$B$28)</f>
        <v>6.1905223697295828E-2</v>
      </c>
      <c r="AI47" s="119">
        <f>AI20/(1+'Financial Information'!$B$5)^(AI$28-$B$28)</f>
        <v>5.822845688296438E-2</v>
      </c>
      <c r="AJ47" s="119"/>
    </row>
    <row r="48" spans="1:36">
      <c r="A48" s="6" t="s">
        <v>65</v>
      </c>
      <c r="B48" s="119">
        <f>B21/(1+'Financial Information'!$B$5)^(B$28-$B$28)</f>
        <v>849.92173000000025</v>
      </c>
      <c r="C48" s="119">
        <f>C21/(1+'Financial Information'!$B$5)^(C$28-$B$28)</f>
        <v>811.69683223992479</v>
      </c>
      <c r="D48" s="119">
        <f>D21/(1+'Financial Information'!$B$5)^(D$28-$B$28)</f>
        <v>824.78632643793662</v>
      </c>
      <c r="E48" s="119">
        <f>E21/(1+'Financial Information'!$B$5)^(E$28-$B$28)</f>
        <v>847.12955952882032</v>
      </c>
      <c r="F48" s="119">
        <f>F21/(1+'Financial Information'!$B$5)^(F$28-$B$28)</f>
        <v>865.17010228373897</v>
      </c>
      <c r="G48" s="119">
        <f>G21/(1+'Financial Information'!$B$5)^(G$28-$B$28)</f>
        <v>874.37556838115586</v>
      </c>
      <c r="H48" s="119">
        <f>H21/(1+'Financial Information'!$B$5)^(H$28-$B$28)</f>
        <v>902.37589422524775</v>
      </c>
      <c r="I48" s="119">
        <f>I21/(1+'Financial Information'!$B$5)^(I$28-$B$28)</f>
        <v>937.95714467678238</v>
      </c>
      <c r="J48" s="119">
        <f>J21/(1+'Financial Information'!$B$5)^(J$28-$B$28)</f>
        <v>990.98504559864693</v>
      </c>
      <c r="K48" s="119">
        <f>K21/(1+'Financial Information'!$B$5)^(K$28-$B$28)</f>
        <v>997.0801444961138</v>
      </c>
      <c r="L48" s="119">
        <f>L21/(1+'Financial Information'!$B$5)^(L$28-$B$28)</f>
        <v>997.97314121055888</v>
      </c>
      <c r="M48" s="119">
        <f>M21/(1+'Financial Information'!$B$5)^(M$28-$B$28)</f>
        <v>987.91084915915928</v>
      </c>
      <c r="N48" s="119">
        <f>N21/(1+'Financial Information'!$B$5)^(N$28-$B$28)</f>
        <v>984.27181074239127</v>
      </c>
      <c r="O48" s="119">
        <f>O21/(1+'Financial Information'!$B$5)^(O$28-$B$28)</f>
        <v>929.38277011188632</v>
      </c>
      <c r="P48" s="119">
        <f>P21/(1+'Financial Information'!$B$5)^(P$28-$B$28)</f>
        <v>935.3360379891385</v>
      </c>
      <c r="Q48" s="119">
        <f>Q21/(1+'Financial Information'!$B$5)^(Q$28-$B$28)</f>
        <v>925.11294678771094</v>
      </c>
      <c r="R48" s="119">
        <f>R21/(1+'Financial Information'!$B$5)^(R$28-$B$28)</f>
        <v>892.83284290607662</v>
      </c>
      <c r="S48" s="119">
        <f>S21/(1+'Financial Information'!$B$5)^(S$28-$B$28)</f>
        <v>914.83658245128993</v>
      </c>
      <c r="T48" s="119">
        <f>T21/(1+'Financial Information'!$B$5)^(T$28-$B$28)</f>
        <v>917.18690746523987</v>
      </c>
      <c r="U48" s="119">
        <f>U21/(1+'Financial Information'!$B$5)^(U$28-$B$28)</f>
        <v>886.44104155643106</v>
      </c>
      <c r="V48" s="119">
        <f>V21/(1+'Financial Information'!$B$5)^(V$28-$B$28)</f>
        <v>889.8213773499383</v>
      </c>
      <c r="W48" s="119">
        <f>W21/(1+'Financial Information'!$B$5)^(W$28-$B$28)</f>
        <v>883.51077885749282</v>
      </c>
      <c r="X48" s="119">
        <f>X21/(1+'Financial Information'!$B$5)^(X$28-$B$28)</f>
        <v>853.80381730384477</v>
      </c>
      <c r="Y48" s="119">
        <f>Y21/(1+'Financial Information'!$B$5)^(Y$28-$B$28)</f>
        <v>827.85806883780708</v>
      </c>
      <c r="Z48" s="119">
        <f>Z21/(1+'Financial Information'!$B$5)^(Z$28-$B$28)</f>
        <v>802.86570674486484</v>
      </c>
      <c r="AA48" s="119">
        <f>AA21/(1+'Financial Information'!$B$5)^(AA$28-$B$28)</f>
        <v>799.45351058892732</v>
      </c>
      <c r="AB48" s="119">
        <f>AB21/(1+'Financial Information'!$B$5)^(AB$28-$B$28)</f>
        <v>799.07419235498412</v>
      </c>
      <c r="AC48" s="119">
        <f>AC21/(1+'Financial Information'!$B$5)^(AC$28-$B$28)</f>
        <v>774.84401854884925</v>
      </c>
      <c r="AD48" s="211">
        <f>AD21/(1+'Financial Information'!$B$5)^(AD$28-$B$28)</f>
        <v>759.16457386878039</v>
      </c>
      <c r="AE48" s="119">
        <f>AE21/(1+'Financial Information'!$B$5)^(AE$28-$B$28)</f>
        <v>724.19162697864647</v>
      </c>
      <c r="AF48" s="119">
        <f>AF21/(1+'Financial Information'!$B$5)^(AF$28-$B$28)</f>
        <v>703.51893521907243</v>
      </c>
      <c r="AG48" s="119">
        <f>AG21/(1+'Financial Information'!$B$5)^(AG$28-$B$28)</f>
        <v>680.7404381083627</v>
      </c>
      <c r="AH48" s="119">
        <f>AH21/(1+'Financial Information'!$B$5)^(AH$28-$B$28)</f>
        <v>664.16491312868072</v>
      </c>
      <c r="AI48" s="119">
        <f>AI21/(1+'Financial Information'!$B$5)^(AI$28-$B$28)</f>
        <v>643.72787451245745</v>
      </c>
      <c r="AJ48" s="119"/>
    </row>
    <row r="49" spans="1:36">
      <c r="A49" s="6" t="s">
        <v>52</v>
      </c>
      <c r="B49" s="119">
        <f>B22/(1+'Financial Information'!$B$5)^(B$28-$B$28)</f>
        <v>86.065400000000025</v>
      </c>
      <c r="C49" s="119">
        <f>C22/(1+'Financial Information'!$B$5)^(C$28-$B$28)</f>
        <v>85.584601686972846</v>
      </c>
      <c r="D49" s="119">
        <f>D22/(1+'Financial Information'!$B$5)^(D$28-$B$28)</f>
        <v>85.225996913452832</v>
      </c>
      <c r="E49" s="119">
        <f>E22/(1+'Financial Information'!$B$5)^(E$28-$B$28)</f>
        <v>83.342218227765102</v>
      </c>
      <c r="F49" s="119">
        <f>F22/(1+'Financial Information'!$B$5)^(F$28-$B$28)</f>
        <v>83.068102959073542</v>
      </c>
      <c r="G49" s="119">
        <f>G22/(1+'Financial Information'!$B$5)^(G$28-$B$28)</f>
        <v>89.40356733671095</v>
      </c>
      <c r="H49" s="119">
        <f>H22/(1+'Financial Information'!$B$5)^(H$28-$B$28)</f>
        <v>97.372775628537639</v>
      </c>
      <c r="I49" s="119">
        <f>I22/(1+'Financial Information'!$B$5)^(I$28-$B$28)</f>
        <v>103.94735663441159</v>
      </c>
      <c r="J49" s="119">
        <f>J22/(1+'Financial Information'!$B$5)^(J$28-$B$28)</f>
        <v>111.42313814929246</v>
      </c>
      <c r="K49" s="119">
        <f>K22/(1+'Financial Information'!$B$5)^(K$28-$B$28)</f>
        <v>112.50114900802802</v>
      </c>
      <c r="L49" s="119">
        <f>L22/(1+'Financial Information'!$B$5)^(L$28-$B$28)</f>
        <v>117.53237766970776</v>
      </c>
      <c r="M49" s="119">
        <f>M22/(1+'Financial Information'!$B$5)^(M$28-$B$28)</f>
        <v>120.53972624319647</v>
      </c>
      <c r="N49" s="119">
        <f>N22/(1+'Financial Information'!$B$5)^(N$28-$B$28)</f>
        <v>118.95768135176712</v>
      </c>
      <c r="O49" s="119">
        <f>O22/(1+'Financial Information'!$B$5)^(O$28-$B$28)</f>
        <v>118.9096335433136</v>
      </c>
      <c r="P49" s="119">
        <f>P22/(1+'Financial Information'!$B$5)^(P$28-$B$28)</f>
        <v>113.69473616811995</v>
      </c>
      <c r="Q49" s="119">
        <f>Q22/(1+'Financial Information'!$B$5)^(Q$28-$B$28)</f>
        <v>113.13367639106693</v>
      </c>
      <c r="R49" s="119">
        <f>R22/(1+'Financial Information'!$B$5)^(R$28-$B$28)</f>
        <v>113.26931619123452</v>
      </c>
      <c r="S49" s="119">
        <f>S22/(1+'Financial Information'!$B$5)^(S$28-$B$28)</f>
        <v>119.50631510368615</v>
      </c>
      <c r="T49" s="119">
        <f>T22/(1+'Financial Information'!$B$5)^(T$28-$B$28)</f>
        <v>117.59968233829527</v>
      </c>
      <c r="U49" s="119">
        <f>U22/(1+'Financial Information'!$B$5)^(U$28-$B$28)</f>
        <v>122.02576960442674</v>
      </c>
      <c r="V49" s="119">
        <f>V22/(1+'Financial Information'!$B$5)^(V$28-$B$28)</f>
        <v>116.75796353512645</v>
      </c>
      <c r="W49" s="119">
        <f>W22/(1+'Financial Information'!$B$5)^(W$28-$B$28)</f>
        <v>116.19579271108087</v>
      </c>
      <c r="X49" s="119">
        <f>X22/(1+'Financial Information'!$B$5)^(X$28-$B$28)</f>
        <v>110.58669480616605</v>
      </c>
      <c r="Y49" s="119">
        <f>Y22/(1+'Financial Information'!$B$5)^(Y$28-$B$28)</f>
        <v>108.34261435153748</v>
      </c>
      <c r="Z49" s="119">
        <f>Z22/(1+'Financial Information'!$B$5)^(Z$28-$B$28)</f>
        <v>104.84713945903856</v>
      </c>
      <c r="AA49" s="119">
        <f>AA22/(1+'Financial Information'!$B$5)^(AA$28-$B$28)</f>
        <v>103.91136615841353</v>
      </c>
      <c r="AB49" s="119">
        <f>AB22/(1+'Financial Information'!$B$5)^(AB$28-$B$28)</f>
        <v>100.44975146443294</v>
      </c>
      <c r="AC49" s="119">
        <f>AC22/(1+'Financial Information'!$B$5)^(AC$28-$B$28)</f>
        <v>99.295607781358186</v>
      </c>
      <c r="AD49" s="211">
        <f>AD22/(1+'Financial Information'!$B$5)^(AD$28-$B$28)</f>
        <v>95.8722975071733</v>
      </c>
      <c r="AE49" s="119">
        <f>AE22/(1+'Financial Information'!$B$5)^(AE$28-$B$28)</f>
        <v>93.404864677763584</v>
      </c>
      <c r="AF49" s="119">
        <f>AF22/(1+'Financial Information'!$B$5)^(AF$28-$B$28)</f>
        <v>90.241882327379685</v>
      </c>
      <c r="AG49" s="119">
        <f>AG22/(1+'Financial Information'!$B$5)^(AG$28-$B$28)</f>
        <v>90.580124498598465</v>
      </c>
      <c r="AH49" s="119">
        <f>AH22/(1+'Financial Information'!$B$5)^(AH$28-$B$28)</f>
        <v>85.183585310151685</v>
      </c>
      <c r="AI49" s="119">
        <f>AI22/(1+'Financial Information'!$B$5)^(AI$28-$B$28)</f>
        <v>83.491865838289925</v>
      </c>
      <c r="AJ49" s="119"/>
    </row>
    <row r="50" spans="1:36">
      <c r="A50" s="36" t="s">
        <v>66</v>
      </c>
      <c r="B50" s="119">
        <f>B23/(1+'Financial Information'!$B$5)^(B$28-$B$28)</f>
        <v>6.2323630999999988</v>
      </c>
      <c r="C50" s="119">
        <f>C23/(1+'Financial Information'!$B$5)^(C$28-$B$28)</f>
        <v>6.1890281162136818</v>
      </c>
      <c r="D50" s="119">
        <f>D23/(1+'Financial Information'!$B$5)^(D$28-$B$28)</f>
        <v>6.4870928045857283</v>
      </c>
      <c r="E50" s="119">
        <f>E23/(1+'Financial Information'!$B$5)^(E$28-$B$28)</f>
        <v>7.5623518995210626</v>
      </c>
      <c r="F50" s="119">
        <f>F23/(1+'Financial Information'!$B$5)^(F$28-$B$28)</f>
        <v>9.4944554336216402</v>
      </c>
      <c r="G50" s="119">
        <f>G23/(1+'Financial Information'!$B$5)^(G$28-$B$28)</f>
        <v>7.5820346375296355</v>
      </c>
      <c r="H50" s="119">
        <f>H23/(1+'Financial Information'!$B$5)^(H$28-$B$28)</f>
        <v>6.8162168153860501</v>
      </c>
      <c r="I50" s="119">
        <f>I23/(1+'Financial Information'!$B$5)^(I$28-$B$28)</f>
        <v>5.7297674731269117</v>
      </c>
      <c r="J50" s="119">
        <f>J23/(1+'Financial Information'!$B$5)^(J$28-$B$28)</f>
        <v>5.4911852877916436</v>
      </c>
      <c r="K50" s="119">
        <f>K23/(1+'Financial Information'!$B$5)^(K$28-$B$28)</f>
        <v>5.2382042338678874</v>
      </c>
      <c r="L50" s="119">
        <f>L23/(1+'Financial Information'!$B$5)^(L$28-$B$28)</f>
        <v>5.0542766202591665</v>
      </c>
      <c r="M50" s="119">
        <f>M23/(1+'Financial Information'!$B$5)^(M$28-$B$28)</f>
        <v>4.5825061786630199</v>
      </c>
      <c r="N50" s="119">
        <f>N23/(1+'Financial Information'!$B$5)^(N$28-$B$28)</f>
        <v>4.1244267299762942</v>
      </c>
      <c r="O50" s="119">
        <f>O23/(1+'Financial Information'!$B$5)^(O$28-$B$28)</f>
        <v>3.820171067019265</v>
      </c>
      <c r="P50" s="119">
        <f>P23/(1+'Financial Information'!$B$5)^(P$28-$B$28)</f>
        <v>1.667479368175796</v>
      </c>
      <c r="Q50" s="119">
        <f>Q23/(1+'Financial Information'!$B$5)^(Q$28-$B$28)</f>
        <v>0.63545285733239332</v>
      </c>
      <c r="R50" s="119">
        <f>R23/(1+'Financial Information'!$B$5)^(R$28-$B$28)</f>
        <v>0.59950137213170906</v>
      </c>
      <c r="S50" s="119">
        <f>S23/(1+'Financial Information'!$B$5)^(S$28-$B$28)</f>
        <v>0.56932146388317595</v>
      </c>
      <c r="T50" s="119">
        <f>T23/(1+'Financial Information'!$B$5)^(T$28-$B$28)</f>
        <v>0.540126016108465</v>
      </c>
      <c r="U50" s="119">
        <f>U23/(1+'Financial Information'!$B$5)^(U$28-$B$28)</f>
        <v>0.51010943614548954</v>
      </c>
      <c r="V50" s="119">
        <f>V23/(1+'Financial Information'!$B$5)^(V$28-$B$28)</f>
        <v>0.48778742202012371</v>
      </c>
      <c r="W50" s="119">
        <f>W23/(1+'Financial Information'!$B$5)^(W$28-$B$28)</f>
        <v>0.46047539237144114</v>
      </c>
      <c r="X50" s="119">
        <f>X23/(1+'Financial Information'!$B$5)^(X$28-$B$28)</f>
        <v>0.43038195207450797</v>
      </c>
      <c r="Y50" s="119">
        <f>Y23/(1+'Financial Information'!$B$5)^(Y$28-$B$28)</f>
        <v>0.40930202151896561</v>
      </c>
      <c r="Z50" s="119">
        <f>Z23/(1+'Financial Information'!$B$5)^(Z$28-$B$28)</f>
        <v>0.38809903236913434</v>
      </c>
      <c r="AA50" s="119">
        <f>AA23/(1+'Financial Information'!$B$5)^(AA$28-$B$28)</f>
        <v>0.36663656007914636</v>
      </c>
      <c r="AB50" s="119">
        <f>AB23/(1+'Financial Information'!$B$5)^(AB$28-$B$28)</f>
        <v>0.35061075447439677</v>
      </c>
      <c r="AC50" s="119">
        <f>AC23/(1+'Financial Information'!$B$5)^(AC$28-$B$28)</f>
        <v>0.32868864277925774</v>
      </c>
      <c r="AD50" s="211">
        <f>AD23/(1+'Financial Information'!$B$5)^(AD$28-$B$28)</f>
        <v>0.3101124145309424</v>
      </c>
      <c r="AE50" s="119">
        <f>AE23/(1+'Financial Information'!$B$5)^(AE$28-$B$28)</f>
        <v>0.29093538786910089</v>
      </c>
      <c r="AF50" s="119">
        <f>AF23/(1+'Financial Information'!$B$5)^(AF$28-$B$28)</f>
        <v>0.27734564286998725</v>
      </c>
      <c r="AG50" s="119">
        <f>AG23/(1+'Financial Information'!$B$5)^(AG$28-$B$28)</f>
        <v>0.26198893518006428</v>
      </c>
      <c r="AH50" s="119">
        <f>AH23/(1+'Financial Information'!$B$5)^(AH$28-$B$28)</f>
        <v>0.25161969929713357</v>
      </c>
      <c r="AI50" s="119">
        <f>AI23/(1+'Financial Information'!$B$5)^(AI$28-$B$28)</f>
        <v>0.23911972186590896</v>
      </c>
      <c r="AJ50" s="119"/>
    </row>
    <row r="51" spans="1:36">
      <c r="A51" s="12" t="s">
        <v>69</v>
      </c>
      <c r="B51" s="212">
        <f>B24/(1+'Financial Information'!$B$5)^(B$28-$B$28)</f>
        <v>0</v>
      </c>
      <c r="C51" s="212">
        <f>C24/(1+'Financial Information'!$B$5)^(C$28-$B$28)</f>
        <v>0</v>
      </c>
      <c r="D51" s="212">
        <f>D24/(1+'Financial Information'!$B$5)^(D$28-$B$28)</f>
        <v>0</v>
      </c>
      <c r="E51" s="212">
        <f>E24/(1+'Financial Information'!$B$5)^(E$28-$B$28)</f>
        <v>0</v>
      </c>
      <c r="F51" s="212">
        <f>F24/(1+'Financial Information'!$B$5)^(F$28-$B$28)</f>
        <v>0</v>
      </c>
      <c r="G51" s="212">
        <f>G24/(1+'Financial Information'!$B$5)^(G$28-$B$28)</f>
        <v>77.699537623751652</v>
      </c>
      <c r="H51" s="212">
        <f>H24/(1+'Financial Information'!$B$5)^(H$28-$B$28)</f>
        <v>129.49995731802696</v>
      </c>
      <c r="I51" s="212">
        <f>I24/(1+'Financial Information'!$B$5)^(I$28-$B$28)</f>
        <v>171.19039483155686</v>
      </c>
      <c r="J51" s="212">
        <f>J24/(1+'Financial Information'!$B$5)^(J$28-$B$28)</f>
        <v>212.0271597493788</v>
      </c>
      <c r="K51" s="212">
        <f>K24/(1+'Financial Information'!$B$5)^(K$28-$B$28)</f>
        <v>245.75033984418687</v>
      </c>
      <c r="L51" s="212">
        <f>L24/(1+'Financial Information'!$B$5)^(L$28-$B$28)</f>
        <v>276.97070587921144</v>
      </c>
      <c r="M51" s="212">
        <f>M24/(1+'Financial Information'!$B$5)^(M$28-$B$28)</f>
        <v>293.78221959086989</v>
      </c>
      <c r="N51" s="212">
        <f>N24/(1+'Financial Information'!$B$5)^(N$28-$B$28)</f>
        <v>313.4475549968131</v>
      </c>
      <c r="O51" s="212">
        <f>O24/(1+'Financial Information'!$B$5)^(O$28-$B$28)</f>
        <v>329.75224730497729</v>
      </c>
      <c r="P51" s="212">
        <f>P24/(1+'Financial Information'!$B$5)^(P$28-$B$28)</f>
        <v>313.42221659645406</v>
      </c>
      <c r="Q51" s="212">
        <f>Q24/(1+'Financial Information'!$B$5)^(Q$28-$B$28)</f>
        <v>307.77369218771406</v>
      </c>
      <c r="R51" s="212">
        <f>R24/(1+'Financial Information'!$B$5)^(R$28-$B$28)</f>
        <v>351.67201936369338</v>
      </c>
      <c r="S51" s="212">
        <f>S24/(1+'Financial Information'!$B$5)^(S$28-$B$28)</f>
        <v>388.44462198670567</v>
      </c>
      <c r="T51" s="212">
        <f>T24/(1+'Financial Information'!$B$5)^(T$28-$B$28)</f>
        <v>420.68050332233901</v>
      </c>
      <c r="U51" s="212">
        <f>U24/(1+'Financial Information'!$B$5)^(U$28-$B$28)</f>
        <v>450.85351069949576</v>
      </c>
      <c r="V51" s="212">
        <f>V24/(1+'Financial Information'!$B$5)^(V$28-$B$28)</f>
        <v>473.61676429481071</v>
      </c>
      <c r="W51" s="212">
        <f>W24/(1+'Financial Information'!$B$5)^(W$28-$B$28)</f>
        <v>494.64783570889921</v>
      </c>
      <c r="X51" s="212">
        <f>X24/(1+'Financial Information'!$B$5)^(X$28-$B$28)</f>
        <v>499.61255831463001</v>
      </c>
      <c r="Y51" s="212">
        <f>Y24/(1+'Financial Information'!$B$5)^(Y$28-$B$28)</f>
        <v>506.73914030781981</v>
      </c>
      <c r="Z51" s="212">
        <f>Z24/(1+'Financial Information'!$B$5)^(Z$28-$B$28)</f>
        <v>520.18377721672471</v>
      </c>
      <c r="AA51" s="212">
        <f>AA24/(1+'Financial Information'!$B$5)^(AA$28-$B$28)</f>
        <v>526.28384213218794</v>
      </c>
      <c r="AB51" s="212">
        <f>AB24/(1+'Financial Information'!$B$5)^(AB$28-$B$28)</f>
        <v>533.15987682265597</v>
      </c>
      <c r="AC51" s="212">
        <f>AC24/(1+'Financial Information'!$B$5)^(AC$28-$B$28)</f>
        <v>530.19192076327784</v>
      </c>
      <c r="AD51" s="213">
        <f>AD24/(1+'Financial Information'!$B$5)^(AD$28-$B$28)</f>
        <v>528.37203425396626</v>
      </c>
      <c r="AE51" s="212">
        <f>AE24/(1+'Financial Information'!$B$5)^(AE$28-$B$28)</f>
        <v>521.66588648455456</v>
      </c>
      <c r="AF51" s="212">
        <f>AF24/(1+'Financial Information'!$B$5)^(AF$28-$B$28)</f>
        <v>520.92712473796257</v>
      </c>
      <c r="AG51" s="212">
        <f>AG24/(1+'Financial Information'!$B$5)^(AG$28-$B$28)</f>
        <v>516.106368904546</v>
      </c>
      <c r="AH51" s="212">
        <f>AH24/(1+'Financial Information'!$B$5)^(AH$28-$B$28)</f>
        <v>514.78459160045873</v>
      </c>
      <c r="AI51" s="212">
        <f>AI24/(1+'Financial Information'!$B$5)^(AI$28-$B$28)</f>
        <v>508.84255643301208</v>
      </c>
      <c r="AJ51" s="212"/>
    </row>
    <row r="52" spans="1:36">
      <c r="A52" s="6" t="s">
        <v>61</v>
      </c>
      <c r="B52" s="15">
        <f t="shared" ref="B52:AG52" si="10">SUM(B42:B51)</f>
        <v>1843.5391832822065</v>
      </c>
      <c r="C52" s="15">
        <f t="shared" si="10"/>
        <v>1766.7606774047308</v>
      </c>
      <c r="D52" s="15">
        <f t="shared" si="10"/>
        <v>1785.6517924570585</v>
      </c>
      <c r="E52" s="15">
        <f t="shared" si="10"/>
        <v>1810.3462787444912</v>
      </c>
      <c r="F52" s="15">
        <f t="shared" si="10"/>
        <v>1691.3502108102721</v>
      </c>
      <c r="G52" s="15">
        <f t="shared" si="10"/>
        <v>1614.7158852602195</v>
      </c>
      <c r="H52" s="15">
        <f t="shared" si="10"/>
        <v>1591.3686401790949</v>
      </c>
      <c r="I52" s="15">
        <f t="shared" si="10"/>
        <v>1626.2942989421203</v>
      </c>
      <c r="J52" s="15">
        <f t="shared" si="10"/>
        <v>1695.9327645504063</v>
      </c>
      <c r="K52" s="15">
        <f t="shared" si="10"/>
        <v>1715.4578161373274</v>
      </c>
      <c r="L52" s="15">
        <f t="shared" si="10"/>
        <v>1731.3431951317023</v>
      </c>
      <c r="M52" s="15">
        <f t="shared" si="10"/>
        <v>1722.5124688989013</v>
      </c>
      <c r="N52" s="15">
        <f t="shared" si="10"/>
        <v>1718.2147389227034</v>
      </c>
      <c r="O52" s="15">
        <f t="shared" si="10"/>
        <v>1662.771891032585</v>
      </c>
      <c r="P52" s="15">
        <f t="shared" si="10"/>
        <v>1724.2741813512107</v>
      </c>
      <c r="Q52" s="15">
        <f t="shared" si="10"/>
        <v>1848.3970285659352</v>
      </c>
      <c r="R52" s="15">
        <f t="shared" si="10"/>
        <v>1831.3148799494545</v>
      </c>
      <c r="S52" s="15">
        <f t="shared" si="10"/>
        <v>1866.4520614013093</v>
      </c>
      <c r="T52" s="15">
        <f t="shared" si="10"/>
        <v>1885.8073674371194</v>
      </c>
      <c r="U52" s="15">
        <f t="shared" si="10"/>
        <v>1868.9449200354798</v>
      </c>
      <c r="V52" s="15">
        <f t="shared" si="10"/>
        <v>1866.42028048767</v>
      </c>
      <c r="W52" s="15">
        <f t="shared" si="10"/>
        <v>1856.231727490318</v>
      </c>
      <c r="X52" s="15">
        <f t="shared" si="10"/>
        <v>1848.1969620715283</v>
      </c>
      <c r="Y52" s="15">
        <f t="shared" si="10"/>
        <v>1898.5789647481006</v>
      </c>
      <c r="Z52" s="15">
        <f t="shared" si="10"/>
        <v>1861.6031871070013</v>
      </c>
      <c r="AA52" s="15">
        <f t="shared" si="10"/>
        <v>1845.0088697729875</v>
      </c>
      <c r="AB52" s="15">
        <f t="shared" si="10"/>
        <v>1826.0315076648239</v>
      </c>
      <c r="AC52" s="52">
        <f t="shared" si="10"/>
        <v>1771.0405156916104</v>
      </c>
      <c r="AD52" s="214">
        <f t="shared" si="10"/>
        <v>1721.7489117646983</v>
      </c>
      <c r="AE52" s="15">
        <f t="shared" si="10"/>
        <v>1650.1935851860158</v>
      </c>
      <c r="AF52" s="15">
        <f t="shared" si="10"/>
        <v>1598.6023523250942</v>
      </c>
      <c r="AG52" s="15">
        <f t="shared" si="10"/>
        <v>1547.0193590212793</v>
      </c>
      <c r="AH52" s="15">
        <f t="shared" ref="AH52:AI52" si="11">SUM(AH42:AH51)</f>
        <v>1499.7927348421777</v>
      </c>
      <c r="AI52" s="15">
        <f t="shared" si="11"/>
        <v>1450.7326139083752</v>
      </c>
      <c r="AJ52" s="15"/>
    </row>
    <row r="53" spans="1:36"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19"/>
      <c r="AD53" s="211"/>
      <c r="AE53" s="16"/>
      <c r="AF53" s="16"/>
      <c r="AG53" s="16"/>
      <c r="AH53" s="16"/>
      <c r="AI53" s="16"/>
      <c r="AJ53" s="16"/>
    </row>
    <row r="54" spans="1:36">
      <c r="A54" s="6" t="s">
        <v>63</v>
      </c>
      <c r="AC54" s="36"/>
      <c r="AD54" s="215"/>
    </row>
    <row r="55" spans="1:36">
      <c r="A55" s="152" t="str">
        <f>A1</f>
        <v>SoBra 700MWs</v>
      </c>
      <c r="B55" s="152">
        <f>$B$1</f>
        <v>2020</v>
      </c>
      <c r="C55" s="152">
        <f t="shared" ref="C55:AI55" si="12">B55+1</f>
        <v>2021</v>
      </c>
      <c r="D55" s="152">
        <f t="shared" si="12"/>
        <v>2022</v>
      </c>
      <c r="E55" s="152">
        <f t="shared" si="12"/>
        <v>2023</v>
      </c>
      <c r="F55" s="152">
        <f t="shared" si="12"/>
        <v>2024</v>
      </c>
      <c r="G55" s="152">
        <f t="shared" si="12"/>
        <v>2025</v>
      </c>
      <c r="H55" s="152">
        <f t="shared" si="12"/>
        <v>2026</v>
      </c>
      <c r="I55" s="152">
        <f t="shared" si="12"/>
        <v>2027</v>
      </c>
      <c r="J55" s="152">
        <f t="shared" si="12"/>
        <v>2028</v>
      </c>
      <c r="K55" s="152">
        <f t="shared" si="12"/>
        <v>2029</v>
      </c>
      <c r="L55" s="152">
        <f t="shared" si="12"/>
        <v>2030</v>
      </c>
      <c r="M55" s="152">
        <f t="shared" si="12"/>
        <v>2031</v>
      </c>
      <c r="N55" s="152">
        <f t="shared" si="12"/>
        <v>2032</v>
      </c>
      <c r="O55" s="152">
        <f t="shared" si="12"/>
        <v>2033</v>
      </c>
      <c r="P55" s="152">
        <f t="shared" si="12"/>
        <v>2034</v>
      </c>
      <c r="Q55" s="152">
        <f t="shared" si="12"/>
        <v>2035</v>
      </c>
      <c r="R55" s="152">
        <f t="shared" si="12"/>
        <v>2036</v>
      </c>
      <c r="S55" s="152">
        <f t="shared" si="12"/>
        <v>2037</v>
      </c>
      <c r="T55" s="152">
        <f t="shared" si="12"/>
        <v>2038</v>
      </c>
      <c r="U55" s="152">
        <f t="shared" si="12"/>
        <v>2039</v>
      </c>
      <c r="V55" s="152">
        <f t="shared" si="12"/>
        <v>2040</v>
      </c>
      <c r="W55" s="152">
        <f t="shared" si="12"/>
        <v>2041</v>
      </c>
      <c r="X55" s="152">
        <f t="shared" si="12"/>
        <v>2042</v>
      </c>
      <c r="Y55" s="152">
        <f t="shared" si="12"/>
        <v>2043</v>
      </c>
      <c r="Z55" s="152">
        <f t="shared" si="12"/>
        <v>2044</v>
      </c>
      <c r="AA55" s="152">
        <f t="shared" si="12"/>
        <v>2045</v>
      </c>
      <c r="AB55" s="152">
        <f t="shared" si="12"/>
        <v>2046</v>
      </c>
      <c r="AC55" s="209">
        <f t="shared" si="12"/>
        <v>2047</v>
      </c>
      <c r="AD55" s="210">
        <f t="shared" si="12"/>
        <v>2048</v>
      </c>
      <c r="AE55" s="152">
        <f t="shared" si="12"/>
        <v>2049</v>
      </c>
      <c r="AF55" s="152">
        <f t="shared" si="12"/>
        <v>2050</v>
      </c>
      <c r="AG55" s="152">
        <f t="shared" si="12"/>
        <v>2051</v>
      </c>
      <c r="AH55" s="152">
        <f t="shared" si="12"/>
        <v>2052</v>
      </c>
      <c r="AI55" s="152">
        <f t="shared" si="12"/>
        <v>2053</v>
      </c>
      <c r="AJ55" s="152"/>
    </row>
    <row r="56" spans="1:36">
      <c r="A56" s="6" t="s">
        <v>134</v>
      </c>
      <c r="B56" s="119">
        <f t="shared" ref="B56:B65" si="13">B29</f>
        <v>65.260450182206341</v>
      </c>
      <c r="C56" s="119">
        <f t="shared" ref="C56:AI56" si="14">B56+C29</f>
        <v>160.93113499444769</v>
      </c>
      <c r="D56" s="119">
        <f t="shared" si="14"/>
        <v>284.02380349995246</v>
      </c>
      <c r="E56" s="119">
        <f t="shared" si="14"/>
        <v>394.36613136854328</v>
      </c>
      <c r="F56" s="119">
        <f t="shared" si="14"/>
        <v>493.61813098619666</v>
      </c>
      <c r="G56" s="119">
        <f t="shared" si="14"/>
        <v>580.85459424087935</v>
      </c>
      <c r="H56" s="119">
        <f t="shared" si="14"/>
        <v>653.06447298350622</v>
      </c>
      <c r="I56" s="119">
        <f t="shared" si="14"/>
        <v>718.84067147426742</v>
      </c>
      <c r="J56" s="119">
        <f t="shared" si="14"/>
        <v>778.85583094073672</v>
      </c>
      <c r="K56" s="119">
        <f t="shared" si="14"/>
        <v>833.69836037779623</v>
      </c>
      <c r="L56" s="119">
        <f t="shared" si="14"/>
        <v>883.7614235200798</v>
      </c>
      <c r="M56" s="119">
        <f t="shared" si="14"/>
        <v>929.4471701874005</v>
      </c>
      <c r="N56" s="119">
        <f t="shared" si="14"/>
        <v>971.1109809494634</v>
      </c>
      <c r="O56" s="119">
        <f t="shared" si="14"/>
        <v>1009.115140082966</v>
      </c>
      <c r="P56" s="119">
        <f t="shared" si="14"/>
        <v>1043.7093182247925</v>
      </c>
      <c r="Q56" s="119">
        <f t="shared" si="14"/>
        <v>1075.1764034603164</v>
      </c>
      <c r="R56" s="119">
        <f t="shared" si="14"/>
        <v>1103.732432725345</v>
      </c>
      <c r="S56" s="119">
        <f t="shared" si="14"/>
        <v>1129.656103783884</v>
      </c>
      <c r="T56" s="119">
        <f t="shared" si="14"/>
        <v>1153.9585638548881</v>
      </c>
      <c r="U56" s="119">
        <f t="shared" si="14"/>
        <v>1176.4306702207869</v>
      </c>
      <c r="V56" s="119">
        <f t="shared" si="14"/>
        <v>1196.7521944818136</v>
      </c>
      <c r="W56" s="119">
        <f t="shared" si="14"/>
        <v>1215.1205755954245</v>
      </c>
      <c r="X56" s="119">
        <f t="shared" si="14"/>
        <v>1231.7530057724055</v>
      </c>
      <c r="Y56" s="119">
        <f t="shared" si="14"/>
        <v>1246.7791852426262</v>
      </c>
      <c r="Z56" s="119">
        <f t="shared" si="14"/>
        <v>1260.3839482278022</v>
      </c>
      <c r="AA56" s="119">
        <f t="shared" si="14"/>
        <v>1272.6624473585421</v>
      </c>
      <c r="AB56" s="119">
        <f t="shared" si="14"/>
        <v>1283.7604554982531</v>
      </c>
      <c r="AC56" s="119">
        <f t="shared" si="14"/>
        <v>1293.7688166527566</v>
      </c>
      <c r="AD56" s="211">
        <f t="shared" si="14"/>
        <v>1303.1573665967353</v>
      </c>
      <c r="AE56" s="119">
        <f t="shared" si="14"/>
        <v>1311.1087975923997</v>
      </c>
      <c r="AF56" s="119">
        <f t="shared" si="14"/>
        <v>1316.4077323452841</v>
      </c>
      <c r="AG56" s="119">
        <f t="shared" si="14"/>
        <v>1319.3037927694838</v>
      </c>
      <c r="AH56" s="119">
        <f t="shared" si="14"/>
        <v>1319.7194534350556</v>
      </c>
      <c r="AI56" s="119">
        <f t="shared" si="14"/>
        <v>1320.0943565319535</v>
      </c>
      <c r="AJ56" s="119"/>
    </row>
    <row r="57" spans="1:36">
      <c r="A57" s="6" t="s">
        <v>135</v>
      </c>
      <c r="B57" s="119">
        <f t="shared" si="13"/>
        <v>0</v>
      </c>
      <c r="C57" s="119">
        <f t="shared" ref="C57:AI57" si="15">B57+C30</f>
        <v>0</v>
      </c>
      <c r="D57" s="119">
        <f t="shared" si="15"/>
        <v>0</v>
      </c>
      <c r="E57" s="119">
        <f t="shared" si="15"/>
        <v>0</v>
      </c>
      <c r="F57" s="119">
        <f t="shared" si="15"/>
        <v>0</v>
      </c>
      <c r="G57" s="119">
        <f t="shared" si="15"/>
        <v>0</v>
      </c>
      <c r="H57" s="119">
        <f t="shared" si="15"/>
        <v>0</v>
      </c>
      <c r="I57" s="119">
        <f t="shared" si="15"/>
        <v>0</v>
      </c>
      <c r="J57" s="119">
        <f t="shared" si="15"/>
        <v>0</v>
      </c>
      <c r="K57" s="119">
        <f t="shared" si="15"/>
        <v>0</v>
      </c>
      <c r="L57" s="119">
        <f t="shared" si="15"/>
        <v>0</v>
      </c>
      <c r="M57" s="119">
        <f t="shared" si="15"/>
        <v>0</v>
      </c>
      <c r="N57" s="119">
        <f t="shared" si="15"/>
        <v>0</v>
      </c>
      <c r="O57" s="119">
        <f t="shared" si="15"/>
        <v>0</v>
      </c>
      <c r="P57" s="119">
        <f t="shared" si="15"/>
        <v>0</v>
      </c>
      <c r="Q57" s="119">
        <f t="shared" si="15"/>
        <v>0</v>
      </c>
      <c r="R57" s="119">
        <f t="shared" si="15"/>
        <v>0</v>
      </c>
      <c r="S57" s="119">
        <f t="shared" si="15"/>
        <v>0</v>
      </c>
      <c r="T57" s="119">
        <f t="shared" si="15"/>
        <v>0</v>
      </c>
      <c r="U57" s="119">
        <f t="shared" si="15"/>
        <v>0</v>
      </c>
      <c r="V57" s="119">
        <f t="shared" si="15"/>
        <v>0</v>
      </c>
      <c r="W57" s="119">
        <f t="shared" si="15"/>
        <v>0</v>
      </c>
      <c r="X57" s="119">
        <f t="shared" si="15"/>
        <v>0</v>
      </c>
      <c r="Y57" s="119">
        <f t="shared" si="15"/>
        <v>0</v>
      </c>
      <c r="Z57" s="119">
        <f t="shared" si="15"/>
        <v>0</v>
      </c>
      <c r="AA57" s="119">
        <f t="shared" si="15"/>
        <v>0</v>
      </c>
      <c r="AB57" s="119">
        <f t="shared" si="15"/>
        <v>0</v>
      </c>
      <c r="AC57" s="119">
        <f t="shared" si="15"/>
        <v>0</v>
      </c>
      <c r="AD57" s="211">
        <f t="shared" si="15"/>
        <v>0</v>
      </c>
      <c r="AE57" s="119">
        <f t="shared" si="15"/>
        <v>0</v>
      </c>
      <c r="AF57" s="119">
        <f t="shared" si="15"/>
        <v>0</v>
      </c>
      <c r="AG57" s="119">
        <f t="shared" si="15"/>
        <v>0</v>
      </c>
      <c r="AH57" s="119">
        <f t="shared" si="15"/>
        <v>0</v>
      </c>
      <c r="AI57" s="119">
        <f t="shared" si="15"/>
        <v>0</v>
      </c>
      <c r="AJ57" s="119"/>
    </row>
    <row r="58" spans="1:36">
      <c r="A58" s="36" t="s">
        <v>60</v>
      </c>
      <c r="B58" s="119">
        <f t="shared" si="13"/>
        <v>0</v>
      </c>
      <c r="C58" s="119">
        <f t="shared" ref="C58:AI58" si="16">B58+C31</f>
        <v>0</v>
      </c>
      <c r="D58" s="119">
        <f t="shared" si="16"/>
        <v>0</v>
      </c>
      <c r="E58" s="119">
        <f t="shared" si="16"/>
        <v>0</v>
      </c>
      <c r="F58" s="119">
        <f t="shared" si="16"/>
        <v>0</v>
      </c>
      <c r="G58" s="119">
        <f t="shared" si="16"/>
        <v>0</v>
      </c>
      <c r="H58" s="119">
        <f t="shared" si="16"/>
        <v>0</v>
      </c>
      <c r="I58" s="119">
        <f t="shared" si="16"/>
        <v>13.613063986881086</v>
      </c>
      <c r="J58" s="119">
        <f t="shared" si="16"/>
        <v>41.459862396972859</v>
      </c>
      <c r="K58" s="119">
        <f t="shared" si="16"/>
        <v>71.043871773114915</v>
      </c>
      <c r="L58" s="119">
        <f t="shared" si="16"/>
        <v>103.77412356336131</v>
      </c>
      <c r="M58" s="119">
        <f t="shared" si="16"/>
        <v>137.40246120089682</v>
      </c>
      <c r="N58" s="119">
        <f t="shared" si="16"/>
        <v>173.26100317028835</v>
      </c>
      <c r="O58" s="119">
        <f t="shared" si="16"/>
        <v>209.37147772665011</v>
      </c>
      <c r="P58" s="119">
        <f t="shared" si="16"/>
        <v>309.51854692580025</v>
      </c>
      <c r="Q58" s="119">
        <f t="shared" si="16"/>
        <v>548.80437323160118</v>
      </c>
      <c r="R58" s="119">
        <f t="shared" si="16"/>
        <v>766.95516332374871</v>
      </c>
      <c r="S58" s="119">
        <f t="shared" si="16"/>
        <v>965.7943490347883</v>
      </c>
      <c r="T58" s="119">
        <f t="shared" si="16"/>
        <v>1160.1985682847085</v>
      </c>
      <c r="U58" s="119">
        <f t="shared" si="16"/>
        <v>1346.003374314507</v>
      </c>
      <c r="V58" s="119">
        <f t="shared" si="16"/>
        <v>1519.121884221244</v>
      </c>
      <c r="W58" s="119">
        <f t="shared" si="16"/>
        <v>1679.2757850920234</v>
      </c>
      <c r="X58" s="119">
        <f t="shared" si="16"/>
        <v>1855.1880602882679</v>
      </c>
      <c r="Y58" s="119">
        <f t="shared" si="16"/>
        <v>2102.8708764646994</v>
      </c>
      <c r="Z58" s="119">
        <f t="shared" si="16"/>
        <v>2334.8776146881482</v>
      </c>
      <c r="AA58" s="119">
        <f t="shared" si="16"/>
        <v>2553.3769755467138</v>
      </c>
      <c r="AB58" s="119">
        <f t="shared" si="16"/>
        <v>2754.1334372950555</v>
      </c>
      <c r="AC58" s="119">
        <f t="shared" si="16"/>
        <v>2936.6101957873211</v>
      </c>
      <c r="AD58" s="211">
        <f t="shared" si="16"/>
        <v>3102.3736308730631</v>
      </c>
      <c r="AE58" s="119">
        <f t="shared" si="16"/>
        <v>3252.879976471535</v>
      </c>
      <c r="AF58" s="119">
        <f t="shared" si="16"/>
        <v>3389.4716244612237</v>
      </c>
      <c r="AG58" s="119">
        <f t="shared" si="16"/>
        <v>3513.3380917488753</v>
      </c>
      <c r="AH58" s="119">
        <f t="shared" si="16"/>
        <v>3625.5432154265404</v>
      </c>
      <c r="AI58" s="119">
        <f t="shared" si="16"/>
        <v>3727.0843037409263</v>
      </c>
      <c r="AJ58" s="119"/>
    </row>
    <row r="59" spans="1:36">
      <c r="A59" s="36" t="s">
        <v>68</v>
      </c>
      <c r="B59" s="119">
        <f t="shared" si="13"/>
        <v>445.38108</v>
      </c>
      <c r="C59" s="119">
        <f t="shared" ref="C59:AI59" si="17">B59+C32</f>
        <v>851.33956172446119</v>
      </c>
      <c r="D59" s="119">
        <f t="shared" si="17"/>
        <v>1234.3846767848615</v>
      </c>
      <c r="E59" s="119">
        <f t="shared" si="17"/>
        <v>1609.8140830391994</v>
      </c>
      <c r="F59" s="119">
        <f t="shared" si="17"/>
        <v>1841.6073557044081</v>
      </c>
      <c r="G59" s="119">
        <f t="shared" si="17"/>
        <v>1948.5149827850062</v>
      </c>
      <c r="H59" s="119">
        <f t="shared" si="17"/>
        <v>1987.5993937851376</v>
      </c>
      <c r="I59" s="119">
        <f t="shared" si="17"/>
        <v>2008.4347353086096</v>
      </c>
      <c r="J59" s="119">
        <f t="shared" si="17"/>
        <v>2021.379113802185</v>
      </c>
      <c r="K59" s="119">
        <f t="shared" si="17"/>
        <v>2033.7909041155356</v>
      </c>
      <c r="L59" s="119">
        <f t="shared" si="17"/>
        <v>2045.7421250071648</v>
      </c>
      <c r="M59" s="119">
        <f t="shared" si="17"/>
        <v>2057.2283113679459</v>
      </c>
      <c r="N59" s="119">
        <f t="shared" si="17"/>
        <v>2068.297305514559</v>
      </c>
      <c r="O59" s="119">
        <f t="shared" si="17"/>
        <v>2078.922417187935</v>
      </c>
      <c r="P59" s="119">
        <f t="shared" si="17"/>
        <v>2091.8273840879615</v>
      </c>
      <c r="Q59" s="119">
        <f t="shared" si="17"/>
        <v>2106.0837218577703</v>
      </c>
      <c r="R59" s="119">
        <f t="shared" si="17"/>
        <v>2119.6683404695887</v>
      </c>
      <c r="S59" s="119">
        <f t="shared" si="17"/>
        <v>2132.6411802076987</v>
      </c>
      <c r="T59" s="119">
        <f t="shared" si="17"/>
        <v>2145.6986166377023</v>
      </c>
      <c r="U59" s="119">
        <f t="shared" si="17"/>
        <v>2158.6373612629422</v>
      </c>
      <c r="V59" s="119">
        <f t="shared" si="17"/>
        <v>2171.2265278171731</v>
      </c>
      <c r="W59" s="119">
        <f t="shared" si="17"/>
        <v>2183.3952611271434</v>
      </c>
      <c r="X59" s="119">
        <f t="shared" si="17"/>
        <v>2196.3861502554464</v>
      </c>
      <c r="Y59" s="119">
        <f t="shared" si="17"/>
        <v>2209.7546562911789</v>
      </c>
      <c r="Z59" s="119">
        <f t="shared" si="17"/>
        <v>2222.9068059083284</v>
      </c>
      <c r="AA59" s="119">
        <f t="shared" si="17"/>
        <v>2235.8182568400243</v>
      </c>
      <c r="AB59" s="119">
        <f t="shared" si="17"/>
        <v>2248.1438036251393</v>
      </c>
      <c r="AC59" s="119">
        <f t="shared" si="17"/>
        <v>2259.9435456995693</v>
      </c>
      <c r="AD59" s="211">
        <f t="shared" si="17"/>
        <v>2271.2482186777743</v>
      </c>
      <c r="AE59" s="119">
        <f t="shared" si="17"/>
        <v>2281.6982846571891</v>
      </c>
      <c r="AF59" s="119">
        <f t="shared" si="17"/>
        <v>2290.905551768793</v>
      </c>
      <c r="AG59" s="119">
        <f t="shared" si="17"/>
        <v>2299.0293263151966</v>
      </c>
      <c r="AH59" s="119">
        <f t="shared" si="17"/>
        <v>2306.3693509869136</v>
      </c>
      <c r="AI59" s="119">
        <f t="shared" si="17"/>
        <v>2313.3933391427008</v>
      </c>
      <c r="AJ59" s="119"/>
    </row>
    <row r="60" spans="1:36">
      <c r="A60" s="36" t="s">
        <v>67</v>
      </c>
      <c r="B60" s="119">
        <f t="shared" si="13"/>
        <v>390.67816000000005</v>
      </c>
      <c r="C60" s="119">
        <f t="shared" ref="C60:AI60" si="18">B60+C33</f>
        <v>751.38318343017818</v>
      </c>
      <c r="D60" s="119">
        <f t="shared" si="18"/>
        <v>1086.742172405917</v>
      </c>
      <c r="E60" s="119">
        <f t="shared" si="18"/>
        <v>1401.0430055603115</v>
      </c>
      <c r="F60" s="119">
        <f t="shared" si="18"/>
        <v>1696.3781385814136</v>
      </c>
      <c r="G60" s="119">
        <f t="shared" si="18"/>
        <v>1972.4465282824722</v>
      </c>
      <c r="H60" s="119">
        <f t="shared" si="18"/>
        <v>2231.1797962597147</v>
      </c>
      <c r="I60" s="119">
        <f t="shared" si="18"/>
        <v>2473.6664515555135</v>
      </c>
      <c r="J60" s="119">
        <f t="shared" si="18"/>
        <v>2701.5208601951203</v>
      </c>
      <c r="K60" s="119">
        <f t="shared" si="18"/>
        <v>2914.5107631690626</v>
      </c>
      <c r="L60" s="119">
        <f t="shared" si="18"/>
        <v>3114.1264173152126</v>
      </c>
      <c r="M60" s="119">
        <f t="shared" si="18"/>
        <v>3301.2076252982552</v>
      </c>
      <c r="N60" s="119">
        <f t="shared" si="18"/>
        <v>3476.9998888377081</v>
      </c>
      <c r="O60" s="119">
        <f t="shared" si="18"/>
        <v>3641.3240174704747</v>
      </c>
      <c r="P60" s="119">
        <f t="shared" si="18"/>
        <v>3838.1806529395067</v>
      </c>
      <c r="Q60" s="119">
        <f t="shared" si="18"/>
        <v>4052.0554633967463</v>
      </c>
      <c r="R60" s="119">
        <f t="shared" si="18"/>
        <v>4252.500459139239</v>
      </c>
      <c r="S60" s="119">
        <f t="shared" si="18"/>
        <v>4440.3589368735338</v>
      </c>
      <c r="T60" s="119">
        <f t="shared" si="18"/>
        <v>4629.7151705070464</v>
      </c>
      <c r="U60" s="119">
        <f t="shared" si="18"/>
        <v>4816.0805886829412</v>
      </c>
      <c r="V60" s="119">
        <f t="shared" si="18"/>
        <v>4994.8329110003187</v>
      </c>
      <c r="W60" s="119">
        <f t="shared" si="18"/>
        <v>5165.0983792876505</v>
      </c>
      <c r="X60" s="119">
        <f t="shared" si="18"/>
        <v>5343.2525243759028</v>
      </c>
      <c r="Y60" s="119">
        <f t="shared" si="18"/>
        <v>5522.6736951707253</v>
      </c>
      <c r="Z60" s="119">
        <f t="shared" si="18"/>
        <v>5697.7934685808177</v>
      </c>
      <c r="AA60" s="119">
        <f t="shared" si="18"/>
        <v>5869.9249467700074</v>
      </c>
      <c r="AB60" s="119">
        <f t="shared" si="18"/>
        <v>6033.4873162552631</v>
      </c>
      <c r="AC60" s="119">
        <f t="shared" si="18"/>
        <v>6186.7791374267472</v>
      </c>
      <c r="AD60" s="211">
        <f t="shared" si="18"/>
        <v>6330.445324091681</v>
      </c>
      <c r="AE60" s="119">
        <f t="shared" si="18"/>
        <v>6465.0902975358549</v>
      </c>
      <c r="AF60" s="119">
        <f t="shared" si="18"/>
        <v>6591.2805256934689</v>
      </c>
      <c r="AG60" s="119">
        <f t="shared" si="18"/>
        <v>6709.5469063472774</v>
      </c>
      <c r="AH60" s="119">
        <f t="shared" si="18"/>
        <v>6820.3870006807438</v>
      </c>
      <c r="AI60" s="119">
        <f t="shared" si="18"/>
        <v>6924.267126579025</v>
      </c>
      <c r="AJ60" s="119"/>
    </row>
    <row r="61" spans="1:36">
      <c r="A61" s="6" t="s">
        <v>383</v>
      </c>
      <c r="B61" s="119">
        <f t="shared" si="13"/>
        <v>0</v>
      </c>
      <c r="C61" s="119">
        <f t="shared" ref="C61:AI61" si="19">B61+C34</f>
        <v>0</v>
      </c>
      <c r="D61" s="119">
        <f t="shared" si="19"/>
        <v>0</v>
      </c>
      <c r="E61" s="119">
        <f t="shared" si="19"/>
        <v>0</v>
      </c>
      <c r="F61" s="119">
        <f t="shared" si="19"/>
        <v>0</v>
      </c>
      <c r="G61" s="119">
        <f t="shared" si="19"/>
        <v>0</v>
      </c>
      <c r="H61" s="119">
        <f t="shared" si="19"/>
        <v>0</v>
      </c>
      <c r="I61" s="119">
        <f t="shared" si="19"/>
        <v>0</v>
      </c>
      <c r="J61" s="119">
        <f t="shared" si="19"/>
        <v>0</v>
      </c>
      <c r="K61" s="119">
        <f t="shared" si="19"/>
        <v>0</v>
      </c>
      <c r="L61" s="119">
        <f t="shared" si="19"/>
        <v>0</v>
      </c>
      <c r="M61" s="119">
        <f t="shared" si="19"/>
        <v>0</v>
      </c>
      <c r="N61" s="119">
        <f t="shared" si="19"/>
        <v>0</v>
      </c>
      <c r="O61" s="119">
        <f t="shared" si="19"/>
        <v>0</v>
      </c>
      <c r="P61" s="119">
        <f t="shared" si="19"/>
        <v>0</v>
      </c>
      <c r="Q61" s="119">
        <f t="shared" si="19"/>
        <v>0</v>
      </c>
      <c r="R61" s="119">
        <f t="shared" si="19"/>
        <v>0</v>
      </c>
      <c r="S61" s="119">
        <f t="shared" si="19"/>
        <v>0</v>
      </c>
      <c r="T61" s="119">
        <f t="shared" si="19"/>
        <v>0</v>
      </c>
      <c r="U61" s="119">
        <f t="shared" si="19"/>
        <v>0</v>
      </c>
      <c r="V61" s="119">
        <f t="shared" si="19"/>
        <v>0</v>
      </c>
      <c r="W61" s="119">
        <f t="shared" si="19"/>
        <v>0</v>
      </c>
      <c r="X61" s="119">
        <f t="shared" si="19"/>
        <v>0</v>
      </c>
      <c r="Y61" s="119">
        <f t="shared" si="19"/>
        <v>0</v>
      </c>
      <c r="Z61" s="119">
        <f t="shared" si="19"/>
        <v>0</v>
      </c>
      <c r="AA61" s="119">
        <f t="shared" si="19"/>
        <v>0</v>
      </c>
      <c r="AB61" s="119">
        <f t="shared" si="19"/>
        <v>0</v>
      </c>
      <c r="AC61" s="119">
        <f t="shared" si="19"/>
        <v>0</v>
      </c>
      <c r="AD61" s="211">
        <f t="shared" si="19"/>
        <v>0</v>
      </c>
      <c r="AE61" s="119">
        <f t="shared" si="19"/>
        <v>0</v>
      </c>
      <c r="AF61" s="119">
        <f t="shared" si="19"/>
        <v>0</v>
      </c>
      <c r="AG61" s="119">
        <f t="shared" si="19"/>
        <v>0</v>
      </c>
      <c r="AH61" s="119">
        <f t="shared" si="19"/>
        <v>0</v>
      </c>
      <c r="AI61" s="119">
        <f t="shared" si="19"/>
        <v>0</v>
      </c>
      <c r="AJ61" s="119"/>
    </row>
    <row r="62" spans="1:36">
      <c r="A62" s="36" t="s">
        <v>65</v>
      </c>
      <c r="B62" s="119">
        <f t="shared" si="13"/>
        <v>849.92173000000025</v>
      </c>
      <c r="C62" s="119">
        <f t="shared" ref="C62:AI62" si="20">B62+C35</f>
        <v>1661.618562239925</v>
      </c>
      <c r="D62" s="119">
        <f t="shared" si="20"/>
        <v>2494.1648933858564</v>
      </c>
      <c r="E62" s="119">
        <f t="shared" si="20"/>
        <v>3364.9600381200353</v>
      </c>
      <c r="F62" s="119">
        <f t="shared" si="20"/>
        <v>4277.2691833014096</v>
      </c>
      <c r="G62" s="119">
        <f t="shared" si="20"/>
        <v>5196.5871897714542</v>
      </c>
      <c r="H62" s="119">
        <f t="shared" si="20"/>
        <v>6144.4379002470514</v>
      </c>
      <c r="I62" s="119">
        <f t="shared" si="20"/>
        <v>7128.0859308603722</v>
      </c>
      <c r="J62" s="119">
        <f t="shared" si="20"/>
        <v>8161.5729892010459</v>
      </c>
      <c r="K62" s="119">
        <f t="shared" si="20"/>
        <v>9204.3049754969234</v>
      </c>
      <c r="L62" s="119">
        <f t="shared" si="20"/>
        <v>10242.922047691303</v>
      </c>
      <c r="M62" s="119">
        <f t="shared" si="20"/>
        <v>11276.782645139519</v>
      </c>
      <c r="N62" s="119">
        <f t="shared" si="20"/>
        <v>12303.292003983615</v>
      </c>
      <c r="O62" s="119">
        <f t="shared" si="20"/>
        <v>13272.88145530116</v>
      </c>
      <c r="P62" s="119">
        <f t="shared" si="20"/>
        <v>14250.970548799154</v>
      </c>
      <c r="Q62" s="119">
        <f t="shared" si="20"/>
        <v>15216.121894708645</v>
      </c>
      <c r="R62" s="119">
        <f t="shared" si="20"/>
        <v>16147.264121715991</v>
      </c>
      <c r="S62" s="119">
        <f t="shared" si="20"/>
        <v>17102.246434288369</v>
      </c>
      <c r="T62" s="119">
        <f t="shared" si="20"/>
        <v>18058.544167137577</v>
      </c>
      <c r="U62" s="119">
        <f t="shared" si="20"/>
        <v>18983.257001901427</v>
      </c>
      <c r="V62" s="119">
        <f t="shared" si="20"/>
        <v>19911.364734762923</v>
      </c>
      <c r="W62" s="119">
        <f t="shared" si="20"/>
        <v>20832.277819885931</v>
      </c>
      <c r="X62" s="119">
        <f t="shared" si="20"/>
        <v>21720.801238695873</v>
      </c>
      <c r="Y62" s="119">
        <f t="shared" si="20"/>
        <v>22583.106045234781</v>
      </c>
      <c r="Z62" s="119">
        <f t="shared" si="20"/>
        <v>23417.146056130943</v>
      </c>
      <c r="AA62" s="119">
        <f t="shared" si="20"/>
        <v>24247.808310851862</v>
      </c>
      <c r="AB62" s="119">
        <f t="shared" si="20"/>
        <v>25076.874695329971</v>
      </c>
      <c r="AC62" s="119">
        <f t="shared" si="20"/>
        <v>25880.035666132189</v>
      </c>
      <c r="AD62" s="211">
        <f t="shared" si="20"/>
        <v>26668.545417963807</v>
      </c>
      <c r="AE62" s="119">
        <f t="shared" si="20"/>
        <v>27418.683478758212</v>
      </c>
      <c r="AF62" s="119">
        <f t="shared" si="20"/>
        <v>28147.5331612052</v>
      </c>
      <c r="AG62" s="119">
        <f t="shared" si="20"/>
        <v>28854.009609326327</v>
      </c>
      <c r="AH62" s="119">
        <f t="shared" si="20"/>
        <v>29538.50510921099</v>
      </c>
      <c r="AI62" s="119">
        <f t="shared" si="20"/>
        <v>30192.112760523651</v>
      </c>
      <c r="AJ62" s="119"/>
    </row>
    <row r="63" spans="1:36">
      <c r="A63" s="36" t="s">
        <v>52</v>
      </c>
      <c r="B63" s="119">
        <f t="shared" si="13"/>
        <v>86.065400000000025</v>
      </c>
      <c r="C63" s="119">
        <f t="shared" ref="C63:AI63" si="21">B63+C36</f>
        <v>171.65000168697287</v>
      </c>
      <c r="D63" s="119">
        <f t="shared" si="21"/>
        <v>258.06250984471524</v>
      </c>
      <c r="E63" s="119">
        <f t="shared" si="21"/>
        <v>344.58956728030182</v>
      </c>
      <c r="F63" s="119">
        <f t="shared" si="21"/>
        <v>431.2439250461282</v>
      </c>
      <c r="G63" s="119">
        <f t="shared" si="21"/>
        <v>523.86511411119818</v>
      </c>
      <c r="H63" s="119">
        <f t="shared" si="21"/>
        <v>624.3023882011812</v>
      </c>
      <c r="I63" s="119">
        <f t="shared" si="21"/>
        <v>731.52520484297611</v>
      </c>
      <c r="J63" s="119">
        <f t="shared" si="21"/>
        <v>846.79546776073562</v>
      </c>
      <c r="K63" s="119">
        <f t="shared" si="21"/>
        <v>962.43085017055148</v>
      </c>
      <c r="L63" s="119">
        <f t="shared" si="21"/>
        <v>1082.8743242746118</v>
      </c>
      <c r="M63" s="119">
        <f t="shared" si="21"/>
        <v>1205.9723863680904</v>
      </c>
      <c r="N63" s="119">
        <f t="shared" si="21"/>
        <v>1327.6468059308086</v>
      </c>
      <c r="O63" s="119">
        <f t="shared" si="21"/>
        <v>1449.1881259625832</v>
      </c>
      <c r="P63" s="119">
        <f t="shared" si="21"/>
        <v>1565.6142961055739</v>
      </c>
      <c r="Q63" s="119">
        <f t="shared" si="21"/>
        <v>1681.5064517530968</v>
      </c>
      <c r="R63" s="119">
        <f t="shared" si="21"/>
        <v>1796.4195109416537</v>
      </c>
      <c r="S63" s="119">
        <f t="shared" si="21"/>
        <v>1916.762807226939</v>
      </c>
      <c r="T63" s="119">
        <f t="shared" si="21"/>
        <v>2036.6097439138607</v>
      </c>
      <c r="U63" s="119">
        <f t="shared" si="21"/>
        <v>2160.7216047143129</v>
      </c>
      <c r="V63" s="119">
        <f t="shared" si="21"/>
        <v>2279.4235152888541</v>
      </c>
      <c r="W63" s="119">
        <f t="shared" si="21"/>
        <v>2397.525439310486</v>
      </c>
      <c r="X63" s="119">
        <f t="shared" si="21"/>
        <v>2509.8349776445102</v>
      </c>
      <c r="Y63" s="119">
        <f t="shared" si="21"/>
        <v>2619.9122916261531</v>
      </c>
      <c r="Z63" s="119">
        <f t="shared" si="21"/>
        <v>2725.8984383730494</v>
      </c>
      <c r="AA63" s="119">
        <f t="shared" si="21"/>
        <v>2831.330393302344</v>
      </c>
      <c r="AB63" s="119">
        <f t="shared" si="21"/>
        <v>2933.3056140416575</v>
      </c>
      <c r="AC63" s="119">
        <f t="shared" si="21"/>
        <v>3033.336479769021</v>
      </c>
      <c r="AD63" s="211">
        <f t="shared" si="21"/>
        <v>3130.4547328126537</v>
      </c>
      <c r="AE63" s="119">
        <f t="shared" si="21"/>
        <v>3224.9356881879353</v>
      </c>
      <c r="AF63" s="119">
        <f t="shared" si="21"/>
        <v>3316.1975175916259</v>
      </c>
      <c r="AG63" s="119">
        <f t="shared" si="21"/>
        <v>3405.9644845821299</v>
      </c>
      <c r="AH63" s="119">
        <f t="shared" si="21"/>
        <v>3491.9083881773631</v>
      </c>
      <c r="AI63" s="119">
        <f t="shared" si="21"/>
        <v>3575.9736495912557</v>
      </c>
      <c r="AJ63" s="119"/>
    </row>
    <row r="64" spans="1:36">
      <c r="A64" s="36" t="s">
        <v>66</v>
      </c>
      <c r="B64" s="119">
        <f t="shared" si="13"/>
        <v>6.2323630999999988</v>
      </c>
      <c r="C64" s="119">
        <f t="shared" ref="C64:AI64" si="22">B64+C37</f>
        <v>12.421391216213681</v>
      </c>
      <c r="D64" s="119">
        <f t="shared" si="22"/>
        <v>18.987238844078334</v>
      </c>
      <c r="E64" s="119">
        <f t="shared" si="22"/>
        <v>26.750065358927166</v>
      </c>
      <c r="F64" s="119">
        <f t="shared" si="22"/>
        <v>36.636490916833623</v>
      </c>
      <c r="G64" s="119">
        <f t="shared" si="22"/>
        <v>44.562841744524071</v>
      </c>
      <c r="H64" s="119">
        <f t="shared" si="22"/>
        <v>51.662547369289129</v>
      </c>
      <c r="I64" s="119">
        <f t="shared" si="22"/>
        <v>57.645837292617657</v>
      </c>
      <c r="J64" s="119">
        <f t="shared" si="22"/>
        <v>63.407993731289032</v>
      </c>
      <c r="K64" s="119">
        <f t="shared" si="22"/>
        <v>68.948714542619683</v>
      </c>
      <c r="L64" s="119">
        <f t="shared" si="22"/>
        <v>74.240295854578704</v>
      </c>
      <c r="M64" s="119">
        <f t="shared" si="22"/>
        <v>79.082849376728902</v>
      </c>
      <c r="N64" s="119">
        <f t="shared" si="22"/>
        <v>83.320846868020368</v>
      </c>
      <c r="O64" s="119">
        <f t="shared" si="22"/>
        <v>87.261319834093584</v>
      </c>
      <c r="P64" s="119">
        <f t="shared" si="22"/>
        <v>88.975143330974475</v>
      </c>
      <c r="Q64" s="119">
        <f t="shared" si="22"/>
        <v>89.633157405326969</v>
      </c>
      <c r="R64" s="119">
        <f t="shared" si="22"/>
        <v>90.256917594388057</v>
      </c>
      <c r="S64" s="119">
        <f t="shared" si="22"/>
        <v>90.849499234960888</v>
      </c>
      <c r="T64" s="119">
        <f t="shared" si="22"/>
        <v>91.410111587733155</v>
      </c>
      <c r="U64" s="119">
        <f t="shared" si="22"/>
        <v>91.937974333719282</v>
      </c>
      <c r="V64" s="119">
        <f t="shared" si="22"/>
        <v>92.442922373698636</v>
      </c>
      <c r="W64" s="119">
        <f t="shared" si="22"/>
        <v>92.919680640759438</v>
      </c>
      <c r="X64" s="119">
        <f t="shared" si="22"/>
        <v>93.366672351805533</v>
      </c>
      <c r="Y64" s="119">
        <f t="shared" si="22"/>
        <v>93.789871519978377</v>
      </c>
      <c r="Z64" s="119">
        <f t="shared" si="22"/>
        <v>94.192076917763572</v>
      </c>
      <c r="AA64" s="119">
        <f t="shared" si="22"/>
        <v>94.57259815681779</v>
      </c>
      <c r="AB64" s="119">
        <f t="shared" si="22"/>
        <v>94.936156898769738</v>
      </c>
      <c r="AC64" s="119">
        <f t="shared" si="22"/>
        <v>95.276607238223775</v>
      </c>
      <c r="AD64" s="211">
        <f t="shared" si="22"/>
        <v>95.597222148220595</v>
      </c>
      <c r="AE64" s="119">
        <f t="shared" si="22"/>
        <v>95.898764507787007</v>
      </c>
      <c r="AF64" s="119">
        <f t="shared" si="22"/>
        <v>96.18566521881985</v>
      </c>
      <c r="AG64" s="119">
        <f t="shared" si="22"/>
        <v>96.456804781055212</v>
      </c>
      <c r="AH64" s="119">
        <f t="shared" si="22"/>
        <v>96.715141452220337</v>
      </c>
      <c r="AI64" s="119">
        <f t="shared" si="22"/>
        <v>96.957512887014531</v>
      </c>
      <c r="AJ64" s="119"/>
    </row>
    <row r="65" spans="1:36">
      <c r="A65" s="12" t="s">
        <v>69</v>
      </c>
      <c r="B65" s="212">
        <f t="shared" si="13"/>
        <v>0</v>
      </c>
      <c r="C65" s="212">
        <f t="shared" ref="C65:AH65" si="23">B65+C38</f>
        <v>0</v>
      </c>
      <c r="D65" s="212">
        <f t="shared" si="23"/>
        <v>0</v>
      </c>
      <c r="E65" s="212">
        <f t="shared" si="23"/>
        <v>0</v>
      </c>
      <c r="F65" s="212">
        <f t="shared" si="23"/>
        <v>0</v>
      </c>
      <c r="G65" s="212">
        <f t="shared" si="23"/>
        <v>81.300659063858632</v>
      </c>
      <c r="H65" s="212">
        <f t="shared" si="23"/>
        <v>216.6299848098252</v>
      </c>
      <c r="I65" s="212">
        <f t="shared" si="23"/>
        <v>395.52736528591294</v>
      </c>
      <c r="J65" s="212">
        <f t="shared" si="23"/>
        <v>617.31826943936824</v>
      </c>
      <c r="K65" s="212">
        <f t="shared" si="23"/>
        <v>874.58117309572935</v>
      </c>
      <c r="L65" s="212">
        <f t="shared" si="23"/>
        <v>1163.6849852295081</v>
      </c>
      <c r="M65" s="212">
        <f t="shared" si="23"/>
        <v>1471.4942930198629</v>
      </c>
      <c r="N65" s="212">
        <f t="shared" si="23"/>
        <v>1797.8916824730384</v>
      </c>
      <c r="O65" s="212">
        <f t="shared" si="23"/>
        <v>2141.1834427674457</v>
      </c>
      <c r="P65" s="212">
        <f t="shared" si="23"/>
        <v>2468.1793205983986</v>
      </c>
      <c r="Q65" s="212">
        <f t="shared" si="23"/>
        <v>2789.1667977759248</v>
      </c>
      <c r="R65" s="212">
        <f t="shared" si="23"/>
        <v>3155.6836860739472</v>
      </c>
      <c r="S65" s="212">
        <f t="shared" si="23"/>
        <v>3560.8596071725824</v>
      </c>
      <c r="T65" s="212">
        <f t="shared" si="23"/>
        <v>3999.289363037818</v>
      </c>
      <c r="U65" s="212">
        <f t="shared" si="23"/>
        <v>4469.5535470701261</v>
      </c>
      <c r="V65" s="212">
        <f t="shared" si="23"/>
        <v>4963.2927951281063</v>
      </c>
      <c r="W65" s="212">
        <f t="shared" si="23"/>
        <v>5478.6650156896985</v>
      </c>
      <c r="X65" s="212">
        <f t="shared" si="23"/>
        <v>5998.3842250518073</v>
      </c>
      <c r="Y65" s="212">
        <f t="shared" si="23"/>
        <v>6525.7818158888431</v>
      </c>
      <c r="Z65" s="212">
        <f t="shared" si="23"/>
        <v>7065.8170389213465</v>
      </c>
      <c r="AA65" s="212">
        <f t="shared" si="23"/>
        <v>7612.1622775645646</v>
      </c>
      <c r="AB65" s="212">
        <f t="shared" si="23"/>
        <v>8165.0330887455511</v>
      </c>
      <c r="AC65" s="212">
        <f t="shared" si="23"/>
        <v>8714.2392113994083</v>
      </c>
      <c r="AD65" s="213">
        <f t="shared" si="23"/>
        <v>9262.695934878655</v>
      </c>
      <c r="AE65" s="212">
        <f t="shared" si="23"/>
        <v>9802.730113703994</v>
      </c>
      <c r="AF65" s="212">
        <f t="shared" si="23"/>
        <v>10341.981861274438</v>
      </c>
      <c r="AG65" s="212">
        <f t="shared" si="23"/>
        <v>10877.363513089374</v>
      </c>
      <c r="AH65" s="212">
        <f t="shared" si="23"/>
        <v>11407.613560227104</v>
      </c>
      <c r="AI65" s="212">
        <f>AH65+AI38</f>
        <v>11924.110324192574</v>
      </c>
      <c r="AJ65" s="212"/>
    </row>
    <row r="66" spans="1:36">
      <c r="A66" s="6" t="s">
        <v>61</v>
      </c>
      <c r="B66" s="15">
        <f t="shared" ref="B66:AI66" si="24">SUM(B56:B65)</f>
        <v>1843.5391832822065</v>
      </c>
      <c r="C66" s="15">
        <f t="shared" si="24"/>
        <v>3609.3438352921985</v>
      </c>
      <c r="D66" s="15">
        <f t="shared" si="24"/>
        <v>5376.3652947653809</v>
      </c>
      <c r="E66" s="15">
        <f t="shared" si="24"/>
        <v>7141.5228907273176</v>
      </c>
      <c r="F66" s="15">
        <f t="shared" si="24"/>
        <v>8776.7532245363891</v>
      </c>
      <c r="G66" s="15">
        <f t="shared" si="24"/>
        <v>10348.131909999393</v>
      </c>
      <c r="H66" s="15">
        <f t="shared" si="24"/>
        <v>11908.876483655706</v>
      </c>
      <c r="I66" s="15">
        <f t="shared" si="24"/>
        <v>13527.339260607148</v>
      </c>
      <c r="J66" s="15">
        <f t="shared" si="24"/>
        <v>15232.310387467454</v>
      </c>
      <c r="K66" s="15">
        <f t="shared" si="24"/>
        <v>16963.30961274133</v>
      </c>
      <c r="L66" s="15">
        <f t="shared" si="24"/>
        <v>18711.125742455824</v>
      </c>
      <c r="M66" s="15">
        <f t="shared" si="24"/>
        <v>20458.617741958704</v>
      </c>
      <c r="N66" s="15">
        <f t="shared" si="24"/>
        <v>22201.820517727501</v>
      </c>
      <c r="O66" s="15">
        <f t="shared" si="24"/>
        <v>23889.24739633331</v>
      </c>
      <c r="P66" s="15">
        <f t="shared" si="24"/>
        <v>25656.975211012166</v>
      </c>
      <c r="Q66" s="15">
        <f t="shared" si="24"/>
        <v>27558.548263589426</v>
      </c>
      <c r="R66" s="15">
        <f t="shared" si="24"/>
        <v>29432.480631983901</v>
      </c>
      <c r="S66" s="15">
        <f t="shared" si="24"/>
        <v>31339.168917822761</v>
      </c>
      <c r="T66" s="15">
        <f t="shared" si="24"/>
        <v>33275.424304961336</v>
      </c>
      <c r="U66" s="15">
        <f t="shared" si="24"/>
        <v>35202.622122500761</v>
      </c>
      <c r="V66" s="15">
        <f t="shared" si="24"/>
        <v>37128.457485074134</v>
      </c>
      <c r="W66" s="15">
        <f t="shared" si="24"/>
        <v>39044.277956629114</v>
      </c>
      <c r="X66" s="15">
        <f t="shared" si="24"/>
        <v>40948.966854436017</v>
      </c>
      <c r="Y66" s="15">
        <f t="shared" si="24"/>
        <v>42904.668437438981</v>
      </c>
      <c r="Z66" s="15">
        <f t="shared" si="24"/>
        <v>44819.015447748206</v>
      </c>
      <c r="AA66" s="15">
        <f t="shared" si="24"/>
        <v>46717.656206390871</v>
      </c>
      <c r="AB66" s="15">
        <f t="shared" si="24"/>
        <v>48589.674567689661</v>
      </c>
      <c r="AC66" s="52">
        <f t="shared" si="24"/>
        <v>50399.989660105231</v>
      </c>
      <c r="AD66" s="214">
        <f t="shared" si="24"/>
        <v>52164.517848042589</v>
      </c>
      <c r="AE66" s="15">
        <f t="shared" si="24"/>
        <v>53853.02540141491</v>
      </c>
      <c r="AF66" s="15">
        <f t="shared" si="24"/>
        <v>55489.96363955886</v>
      </c>
      <c r="AG66" s="15">
        <f t="shared" si="24"/>
        <v>57075.01252895972</v>
      </c>
      <c r="AH66" s="15">
        <f t="shared" si="24"/>
        <v>58606.761219596927</v>
      </c>
      <c r="AI66" s="15">
        <f t="shared" si="24"/>
        <v>60073.9933731891</v>
      </c>
      <c r="AJ66" s="15"/>
    </row>
    <row r="67" spans="1:36">
      <c r="AC67" s="36"/>
      <c r="AD67" s="215"/>
    </row>
    <row r="68" spans="1:36">
      <c r="A68" s="152" t="str">
        <f>A41</f>
        <v>Clean Energy Connection</v>
      </c>
      <c r="B68" s="152">
        <f>$B$1</f>
        <v>2020</v>
      </c>
      <c r="C68" s="152">
        <f t="shared" ref="C68:AI68" si="25">B68+1</f>
        <v>2021</v>
      </c>
      <c r="D68" s="152">
        <f t="shared" si="25"/>
        <v>2022</v>
      </c>
      <c r="E68" s="152">
        <f t="shared" si="25"/>
        <v>2023</v>
      </c>
      <c r="F68" s="152">
        <f t="shared" si="25"/>
        <v>2024</v>
      </c>
      <c r="G68" s="152">
        <f t="shared" si="25"/>
        <v>2025</v>
      </c>
      <c r="H68" s="152">
        <f t="shared" si="25"/>
        <v>2026</v>
      </c>
      <c r="I68" s="152">
        <f t="shared" si="25"/>
        <v>2027</v>
      </c>
      <c r="J68" s="152">
        <f t="shared" si="25"/>
        <v>2028</v>
      </c>
      <c r="K68" s="152">
        <f t="shared" si="25"/>
        <v>2029</v>
      </c>
      <c r="L68" s="152">
        <f t="shared" si="25"/>
        <v>2030</v>
      </c>
      <c r="M68" s="152">
        <f t="shared" si="25"/>
        <v>2031</v>
      </c>
      <c r="N68" s="152">
        <f t="shared" si="25"/>
        <v>2032</v>
      </c>
      <c r="O68" s="152">
        <f t="shared" si="25"/>
        <v>2033</v>
      </c>
      <c r="P68" s="152">
        <f t="shared" si="25"/>
        <v>2034</v>
      </c>
      <c r="Q68" s="152">
        <f t="shared" si="25"/>
        <v>2035</v>
      </c>
      <c r="R68" s="152">
        <f t="shared" si="25"/>
        <v>2036</v>
      </c>
      <c r="S68" s="152">
        <f t="shared" si="25"/>
        <v>2037</v>
      </c>
      <c r="T68" s="152">
        <f t="shared" si="25"/>
        <v>2038</v>
      </c>
      <c r="U68" s="152">
        <f t="shared" si="25"/>
        <v>2039</v>
      </c>
      <c r="V68" s="152">
        <f t="shared" si="25"/>
        <v>2040</v>
      </c>
      <c r="W68" s="152">
        <f t="shared" si="25"/>
        <v>2041</v>
      </c>
      <c r="X68" s="152">
        <f t="shared" si="25"/>
        <v>2042</v>
      </c>
      <c r="Y68" s="152">
        <f t="shared" si="25"/>
        <v>2043</v>
      </c>
      <c r="Z68" s="152">
        <f t="shared" si="25"/>
        <v>2044</v>
      </c>
      <c r="AA68" s="152">
        <f t="shared" si="25"/>
        <v>2045</v>
      </c>
      <c r="AB68" s="152">
        <f t="shared" si="25"/>
        <v>2046</v>
      </c>
      <c r="AC68" s="209">
        <f t="shared" si="25"/>
        <v>2047</v>
      </c>
      <c r="AD68" s="210">
        <f t="shared" si="25"/>
        <v>2048</v>
      </c>
      <c r="AE68" s="152">
        <f t="shared" si="25"/>
        <v>2049</v>
      </c>
      <c r="AF68" s="152">
        <f t="shared" si="25"/>
        <v>2050</v>
      </c>
      <c r="AG68" s="152">
        <f t="shared" si="25"/>
        <v>2051</v>
      </c>
      <c r="AH68" s="152">
        <f t="shared" si="25"/>
        <v>2052</v>
      </c>
      <c r="AI68" s="152">
        <f t="shared" si="25"/>
        <v>2053</v>
      </c>
      <c r="AJ68" s="152"/>
    </row>
    <row r="69" spans="1:36">
      <c r="A69" s="6" t="s">
        <v>134</v>
      </c>
      <c r="B69" s="119">
        <f t="shared" ref="B69:B78" si="26">+B42</f>
        <v>65.260450182206341</v>
      </c>
      <c r="C69" s="16">
        <f t="shared" ref="C69:AI69" si="27">B69+C42</f>
        <v>160.93113499444769</v>
      </c>
      <c r="D69" s="16">
        <f t="shared" si="27"/>
        <v>284.02380349995246</v>
      </c>
      <c r="E69" s="16">
        <f t="shared" si="27"/>
        <v>394.36613136854328</v>
      </c>
      <c r="F69" s="16">
        <f t="shared" si="27"/>
        <v>493.61813098619666</v>
      </c>
      <c r="G69" s="16">
        <f t="shared" si="27"/>
        <v>580.85459424087935</v>
      </c>
      <c r="H69" s="16">
        <f t="shared" si="27"/>
        <v>653.06447298350622</v>
      </c>
      <c r="I69" s="16">
        <f t="shared" si="27"/>
        <v>718.84067147426742</v>
      </c>
      <c r="J69" s="16">
        <f t="shared" si="27"/>
        <v>778.85583094073672</v>
      </c>
      <c r="K69" s="16">
        <f t="shared" si="27"/>
        <v>833.69836037779623</v>
      </c>
      <c r="L69" s="16">
        <f t="shared" si="27"/>
        <v>883.7614235200798</v>
      </c>
      <c r="M69" s="16">
        <f t="shared" si="27"/>
        <v>929.4471701874005</v>
      </c>
      <c r="N69" s="16">
        <f t="shared" si="27"/>
        <v>971.1109809494634</v>
      </c>
      <c r="O69" s="16">
        <f t="shared" si="27"/>
        <v>1009.115140082966</v>
      </c>
      <c r="P69" s="16">
        <f t="shared" si="27"/>
        <v>1043.7093182247925</v>
      </c>
      <c r="Q69" s="16">
        <f t="shared" si="27"/>
        <v>1075.1764034603164</v>
      </c>
      <c r="R69" s="16">
        <f t="shared" si="27"/>
        <v>1103.732432725345</v>
      </c>
      <c r="S69" s="16">
        <f t="shared" si="27"/>
        <v>1129.656103783884</v>
      </c>
      <c r="T69" s="16">
        <f t="shared" si="27"/>
        <v>1153.9585638548881</v>
      </c>
      <c r="U69" s="16">
        <f t="shared" si="27"/>
        <v>1176.4306702207869</v>
      </c>
      <c r="V69" s="16">
        <f t="shared" si="27"/>
        <v>1196.7521944818136</v>
      </c>
      <c r="W69" s="16">
        <f t="shared" si="27"/>
        <v>1215.1205755954245</v>
      </c>
      <c r="X69" s="16">
        <f t="shared" si="27"/>
        <v>1231.7530057724055</v>
      </c>
      <c r="Y69" s="16">
        <f t="shared" si="27"/>
        <v>1246.7791852426262</v>
      </c>
      <c r="Z69" s="16">
        <f t="shared" si="27"/>
        <v>1260.3839482278022</v>
      </c>
      <c r="AA69" s="16">
        <f t="shared" si="27"/>
        <v>1272.6624473585421</v>
      </c>
      <c r="AB69" s="16">
        <f t="shared" si="27"/>
        <v>1283.7604554982531</v>
      </c>
      <c r="AC69" s="119">
        <f t="shared" si="27"/>
        <v>1293.7688166527566</v>
      </c>
      <c r="AD69" s="211">
        <f t="shared" si="27"/>
        <v>1303.1573665967353</v>
      </c>
      <c r="AE69" s="16">
        <f t="shared" si="27"/>
        <v>1311.1087975923997</v>
      </c>
      <c r="AF69" s="16">
        <f t="shared" si="27"/>
        <v>1316.4077323452841</v>
      </c>
      <c r="AG69" s="16">
        <f t="shared" si="27"/>
        <v>1319.3037927694838</v>
      </c>
      <c r="AH69" s="16">
        <f t="shared" si="27"/>
        <v>1319.7194534350556</v>
      </c>
      <c r="AI69" s="16">
        <f t="shared" si="27"/>
        <v>1320.0943565319535</v>
      </c>
      <c r="AJ69" s="16"/>
    </row>
    <row r="70" spans="1:36">
      <c r="A70" s="6" t="s">
        <v>135</v>
      </c>
      <c r="B70" s="119">
        <f t="shared" si="26"/>
        <v>0</v>
      </c>
      <c r="C70" s="16">
        <f t="shared" ref="C70:AI70" si="28">B70+C43</f>
        <v>0</v>
      </c>
      <c r="D70" s="16">
        <f t="shared" si="28"/>
        <v>27.104402529171068</v>
      </c>
      <c r="E70" s="16">
        <f t="shared" si="28"/>
        <v>98.781674233069964</v>
      </c>
      <c r="F70" s="16">
        <f t="shared" si="28"/>
        <v>205.49827041468927</v>
      </c>
      <c r="G70" s="16">
        <f t="shared" si="28"/>
        <v>300.46649364736896</v>
      </c>
      <c r="H70" s="16">
        <f t="shared" si="28"/>
        <v>385.39678406731878</v>
      </c>
      <c r="I70" s="16">
        <f t="shared" si="28"/>
        <v>456.76610212359998</v>
      </c>
      <c r="J70" s="16">
        <f t="shared" si="28"/>
        <v>521.38216806475043</v>
      </c>
      <c r="K70" s="16">
        <f t="shared" si="28"/>
        <v>580.22999313960736</v>
      </c>
      <c r="L70" s="16">
        <f t="shared" si="28"/>
        <v>634.01636784102379</v>
      </c>
      <c r="M70" s="16">
        <f t="shared" si="28"/>
        <v>683.26715478238884</v>
      </c>
      <c r="N70" s="16">
        <f t="shared" si="28"/>
        <v>728.35372964352109</v>
      </c>
      <c r="O70" s="16">
        <f t="shared" si="28"/>
        <v>769.60576167263162</v>
      </c>
      <c r="P70" s="16">
        <f t="shared" si="28"/>
        <v>807.31002678440973</v>
      </c>
      <c r="Q70" s="16">
        <f t="shared" si="28"/>
        <v>841.7817862456186</v>
      </c>
      <c r="R70" s="16">
        <f t="shared" si="28"/>
        <v>873.29202848516286</v>
      </c>
      <c r="S70" s="16">
        <f t="shared" si="28"/>
        <v>902.06344495740177</v>
      </c>
      <c r="T70" s="16">
        <f t="shared" si="28"/>
        <v>930.24970017284386</v>
      </c>
      <c r="U70" s="16">
        <f t="shared" si="28"/>
        <v>955.84915294119799</v>
      </c>
      <c r="V70" s="16">
        <f t="shared" si="28"/>
        <v>979.07310442426649</v>
      </c>
      <c r="W70" s="16">
        <f t="shared" si="28"/>
        <v>1000.1248911355183</v>
      </c>
      <c r="X70" s="16">
        <f t="shared" si="28"/>
        <v>1019.2432452792501</v>
      </c>
      <c r="Y70" s="16">
        <f t="shared" si="28"/>
        <v>1036.6317832813522</v>
      </c>
      <c r="Z70" s="16">
        <f t="shared" si="28"/>
        <v>1052.4528204477485</v>
      </c>
      <c r="AA70" s="16">
        <f t="shared" si="28"/>
        <v>1066.8199714822242</v>
      </c>
      <c r="AB70" s="16">
        <f t="shared" si="28"/>
        <v>1079.8900698837747</v>
      </c>
      <c r="AC70" s="119">
        <f t="shared" si="28"/>
        <v>1091.7640225794905</v>
      </c>
      <c r="AD70" s="211">
        <f t="shared" si="28"/>
        <v>1102.5564189601394</v>
      </c>
      <c r="AE70" s="16">
        <f t="shared" si="28"/>
        <v>1112.3456472165315</v>
      </c>
      <c r="AF70" s="16">
        <f t="shared" si="28"/>
        <v>1121.2349572228359</v>
      </c>
      <c r="AG70" s="16">
        <f t="shared" si="28"/>
        <v>1129.7914422876931</v>
      </c>
      <c r="AH70" s="16">
        <f t="shared" si="28"/>
        <v>1136.619048814528</v>
      </c>
      <c r="AI70" s="16">
        <f t="shared" si="28"/>
        <v>1140.2982843495179</v>
      </c>
      <c r="AJ70" s="16"/>
    </row>
    <row r="71" spans="1:36">
      <c r="A71" s="6" t="s">
        <v>60</v>
      </c>
      <c r="B71" s="119">
        <f t="shared" si="26"/>
        <v>0</v>
      </c>
      <c r="C71" s="16">
        <f t="shared" ref="C71:AI71" si="29">B71+C44</f>
        <v>0</v>
      </c>
      <c r="D71" s="16">
        <f t="shared" si="29"/>
        <v>0</v>
      </c>
      <c r="E71" s="16">
        <f t="shared" si="29"/>
        <v>0</v>
      </c>
      <c r="F71" s="16">
        <f t="shared" si="29"/>
        <v>0</v>
      </c>
      <c r="G71" s="16">
        <f t="shared" si="29"/>
        <v>0</v>
      </c>
      <c r="H71" s="16">
        <f t="shared" si="29"/>
        <v>0</v>
      </c>
      <c r="I71" s="16">
        <f t="shared" si="29"/>
        <v>6.8065319934405428</v>
      </c>
      <c r="J71" s="16">
        <f t="shared" si="29"/>
        <v>17.496589284217208</v>
      </c>
      <c r="K71" s="16">
        <f t="shared" si="29"/>
        <v>33.354245238022855</v>
      </c>
      <c r="L71" s="16">
        <f t="shared" si="29"/>
        <v>51.83563166996877</v>
      </c>
      <c r="M71" s="16">
        <f t="shared" si="29"/>
        <v>74.184144798863812</v>
      </c>
      <c r="N71" s="16">
        <f t="shared" si="29"/>
        <v>98.179006175412297</v>
      </c>
      <c r="O71" s="16">
        <f t="shared" si="29"/>
        <v>125.00835889212736</v>
      </c>
      <c r="P71" s="16">
        <f t="shared" si="29"/>
        <v>213.96341500951218</v>
      </c>
      <c r="Q71" s="16">
        <f t="shared" si="29"/>
        <v>439.06126274825607</v>
      </c>
      <c r="R71" s="16">
        <f t="shared" si="29"/>
        <v>649.20298665622863</v>
      </c>
      <c r="S71" s="16">
        <f t="shared" si="29"/>
        <v>844.00128719875784</v>
      </c>
      <c r="T71" s="16">
        <f t="shared" si="29"/>
        <v>1030.3375284103211</v>
      </c>
      <c r="U71" s="16">
        <f t="shared" si="29"/>
        <v>1205.9117239141751</v>
      </c>
      <c r="V71" s="16">
        <f t="shared" si="29"/>
        <v>1369.7568817194326</v>
      </c>
      <c r="W71" s="16">
        <f t="shared" si="29"/>
        <v>1521.5107515521011</v>
      </c>
      <c r="X71" s="16">
        <f t="shared" si="29"/>
        <v>1689.8103435063385</v>
      </c>
      <c r="Y71" s="16">
        <f t="shared" si="29"/>
        <v>1930.5701842287338</v>
      </c>
      <c r="Z71" s="16">
        <f t="shared" si="29"/>
        <v>2156.2660249118057</v>
      </c>
      <c r="AA71" s="16">
        <f t="shared" si="29"/>
        <v>2369.0152703361864</v>
      </c>
      <c r="AB71" s="16">
        <f t="shared" si="29"/>
        <v>2567.4611713913405</v>
      </c>
      <c r="AC71" s="119">
        <f t="shared" si="29"/>
        <v>2749.7681436141274</v>
      </c>
      <c r="AD71" s="211">
        <f t="shared" si="29"/>
        <v>2915.3732503254155</v>
      </c>
      <c r="AE71" s="16">
        <f t="shared" si="29"/>
        <v>3065.7347351541471</v>
      </c>
      <c r="AF71" s="16">
        <f t="shared" si="29"/>
        <v>3202.1895714050534</v>
      </c>
      <c r="AG71" s="16">
        <f t="shared" si="29"/>
        <v>3325.9305316038672</v>
      </c>
      <c r="AH71" s="16">
        <f t="shared" si="29"/>
        <v>3438.0360740230349</v>
      </c>
      <c r="AI71" s="16">
        <f t="shared" si="29"/>
        <v>3539.5016082156417</v>
      </c>
      <c r="AJ71" s="16"/>
    </row>
    <row r="72" spans="1:36">
      <c r="A72" s="6" t="s">
        <v>68</v>
      </c>
      <c r="B72" s="119">
        <f t="shared" si="26"/>
        <v>445.38108</v>
      </c>
      <c r="C72" s="16">
        <f t="shared" ref="C72:AI72" si="30">B72+C45</f>
        <v>851.33956172446119</v>
      </c>
      <c r="D72" s="16">
        <f t="shared" si="30"/>
        <v>1234.3846767848615</v>
      </c>
      <c r="E72" s="16">
        <f t="shared" si="30"/>
        <v>1609.8140830391994</v>
      </c>
      <c r="F72" s="16">
        <f t="shared" si="30"/>
        <v>1841.6073557044078</v>
      </c>
      <c r="G72" s="16">
        <f t="shared" si="30"/>
        <v>1948.5149827850059</v>
      </c>
      <c r="H72" s="16">
        <f t="shared" si="30"/>
        <v>1987.5993937851374</v>
      </c>
      <c r="I72" s="16">
        <f t="shared" si="30"/>
        <v>2008.2714294317668</v>
      </c>
      <c r="J72" s="16">
        <f t="shared" si="30"/>
        <v>2020.7899924519022</v>
      </c>
      <c r="K72" s="16">
        <f t="shared" si="30"/>
        <v>2032.8357806093682</v>
      </c>
      <c r="L72" s="16">
        <f t="shared" si="30"/>
        <v>2044.3940414916899</v>
      </c>
      <c r="M72" s="16">
        <f t="shared" si="30"/>
        <v>2055.542479402754</v>
      </c>
      <c r="N72" s="16">
        <f t="shared" si="30"/>
        <v>2066.2488453223386</v>
      </c>
      <c r="O72" s="16">
        <f t="shared" si="30"/>
        <v>2076.5622768960829</v>
      </c>
      <c r="P72" s="16">
        <f t="shared" si="30"/>
        <v>2088.8585983976136</v>
      </c>
      <c r="Q72" s="16">
        <f t="shared" si="30"/>
        <v>2102.257640163577</v>
      </c>
      <c r="R72" s="16">
        <f t="shared" si="30"/>
        <v>2115.2589098709695</v>
      </c>
      <c r="S72" s="16">
        <f t="shared" si="30"/>
        <v>2127.8361838234</v>
      </c>
      <c r="T72" s="16">
        <f t="shared" si="30"/>
        <v>2140.2919605391558</v>
      </c>
      <c r="U72" s="16">
        <f t="shared" si="30"/>
        <v>2152.5006290985689</v>
      </c>
      <c r="V72" s="16">
        <f t="shared" si="30"/>
        <v>2164.3884572148409</v>
      </c>
      <c r="W72" s="16">
        <f t="shared" si="30"/>
        <v>2175.8834596855172</v>
      </c>
      <c r="X72" s="16">
        <f t="shared" si="30"/>
        <v>2188.2271348376808</v>
      </c>
      <c r="Y72" s="16">
        <f t="shared" si="30"/>
        <v>2200.9739055740197</v>
      </c>
      <c r="Z72" s="16">
        <f t="shared" si="30"/>
        <v>2213.5287922277644</v>
      </c>
      <c r="AA72" s="16">
        <f t="shared" si="30"/>
        <v>2225.8664906713416</v>
      </c>
      <c r="AB72" s="16">
        <f t="shared" si="30"/>
        <v>2237.8016250700894</v>
      </c>
      <c r="AC72" s="119">
        <f t="shared" si="30"/>
        <v>2249.3366308828627</v>
      </c>
      <c r="AD72" s="211">
        <f t="shared" si="30"/>
        <v>2260.3869889026955</v>
      </c>
      <c r="AE72" s="16">
        <f t="shared" si="30"/>
        <v>2270.5927499132326</v>
      </c>
      <c r="AF72" s="16">
        <f t="shared" si="30"/>
        <v>2279.5653276300259</v>
      </c>
      <c r="AG72" s="16">
        <f t="shared" si="30"/>
        <v>2287.4636514593508</v>
      </c>
      <c r="AH72" s="16">
        <f t="shared" si="30"/>
        <v>2294.5870999196495</v>
      </c>
      <c r="AI72" s="16">
        <f t="shared" si="30"/>
        <v>2301.4030372706197</v>
      </c>
      <c r="AJ72" s="16"/>
    </row>
    <row r="73" spans="1:36">
      <c r="A73" s="6" t="s">
        <v>67</v>
      </c>
      <c r="B73" s="119">
        <f t="shared" si="26"/>
        <v>390.67816000000005</v>
      </c>
      <c r="C73" s="16">
        <f t="shared" ref="C73:AI73" si="31">B73+C46</f>
        <v>751.38318343017818</v>
      </c>
      <c r="D73" s="16">
        <f t="shared" si="31"/>
        <v>1086.742172405917</v>
      </c>
      <c r="E73" s="16">
        <f t="shared" si="31"/>
        <v>1401.0430055603115</v>
      </c>
      <c r="F73" s="16">
        <f t="shared" si="31"/>
        <v>1696.3781385814136</v>
      </c>
      <c r="G73" s="16">
        <f t="shared" si="31"/>
        <v>1972.4465282824722</v>
      </c>
      <c r="H73" s="16">
        <f t="shared" si="31"/>
        <v>2231.1797962597147</v>
      </c>
      <c r="I73" s="16">
        <f t="shared" si="31"/>
        <v>2473.6664515555135</v>
      </c>
      <c r="J73" s="16">
        <f t="shared" si="31"/>
        <v>2701.5208601951203</v>
      </c>
      <c r="K73" s="16">
        <f t="shared" si="31"/>
        <v>2914.5107631690626</v>
      </c>
      <c r="L73" s="16">
        <f t="shared" si="31"/>
        <v>3114.1264173152126</v>
      </c>
      <c r="M73" s="16">
        <f t="shared" si="31"/>
        <v>3301.2076252982552</v>
      </c>
      <c r="N73" s="16">
        <f t="shared" si="31"/>
        <v>3476.9998888377081</v>
      </c>
      <c r="O73" s="16">
        <f t="shared" si="31"/>
        <v>3641.3240174704747</v>
      </c>
      <c r="P73" s="16">
        <f t="shared" si="31"/>
        <v>3827.7736806328917</v>
      </c>
      <c r="Q73" s="16">
        <f t="shared" si="31"/>
        <v>4024.9282174055056</v>
      </c>
      <c r="R73" s="16">
        <f t="shared" si="31"/>
        <v>4214.5047565168115</v>
      </c>
      <c r="S73" s="16">
        <f t="shared" si="31"/>
        <v>4395.3917957013064</v>
      </c>
      <c r="T73" s="16">
        <f t="shared" si="31"/>
        <v>4573.7830405061623</v>
      </c>
      <c r="U73" s="16">
        <f t="shared" si="31"/>
        <v>4746.9055220153441</v>
      </c>
      <c r="V73" s="16">
        <f t="shared" si="31"/>
        <v>4913.2464642953255</v>
      </c>
      <c r="W73" s="16">
        <f t="shared" si="31"/>
        <v>5071.8799116172104</v>
      </c>
      <c r="X73" s="16">
        <f t="shared" si="31"/>
        <v>5239.1324438043885</v>
      </c>
      <c r="Y73" s="16">
        <f t="shared" si="31"/>
        <v>5408.3365453385968</v>
      </c>
      <c r="Z73" s="16">
        <f t="shared" si="31"/>
        <v>5573.8807981193149</v>
      </c>
      <c r="AA73" s="16">
        <f t="shared" si="31"/>
        <v>5737.0380301703844</v>
      </c>
      <c r="AB73" s="16">
        <f t="shared" si="31"/>
        <v>5895.403399792569</v>
      </c>
      <c r="AC73" s="119">
        <f t="shared" si="31"/>
        <v>6045.9759219009757</v>
      </c>
      <c r="AD73" s="211">
        <f t="shared" si="31"/>
        <v>6187.0935621150393</v>
      </c>
      <c r="AE73" s="16">
        <f t="shared" si="31"/>
        <v>6319.3500196727373</v>
      </c>
      <c r="AF73" s="16">
        <f t="shared" si="31"/>
        <v>6443.301713728687</v>
      </c>
      <c r="AG73" s="16">
        <f t="shared" si="31"/>
        <v>6559.4701242778428</v>
      </c>
      <c r="AH73" s="16">
        <f t="shared" si="31"/>
        <v>6668.3439860858616</v>
      </c>
      <c r="AI73" s="16">
        <f t="shared" si="31"/>
        <v>6770.3813448562632</v>
      </c>
      <c r="AJ73" s="16"/>
    </row>
    <row r="74" spans="1:36">
      <c r="A74" s="6" t="s">
        <v>383</v>
      </c>
      <c r="B74" s="119">
        <f t="shared" si="26"/>
        <v>0</v>
      </c>
      <c r="C74" s="16">
        <f t="shared" ref="C74:AI74" si="32">B74+C47</f>
        <v>0.95602539473914416</v>
      </c>
      <c r="D74" s="16">
        <f t="shared" si="32"/>
        <v>1.5072266250072159</v>
      </c>
      <c r="E74" s="16">
        <f t="shared" si="32"/>
        <v>2.0695367321701985</v>
      </c>
      <c r="F74" s="16">
        <f t="shared" si="32"/>
        <v>2.5900853804250303</v>
      </c>
      <c r="G74" s="16">
        <f t="shared" si="32"/>
        <v>3.0645593924772814</v>
      </c>
      <c r="H74" s="16">
        <f t="shared" si="32"/>
        <v>3.4105074444231458</v>
      </c>
      <c r="I74" s="16">
        <f t="shared" si="32"/>
        <v>3.7694032877547321</v>
      </c>
      <c r="J74" s="16">
        <f t="shared" si="32"/>
        <v>4.081384694912491</v>
      </c>
      <c r="K74" s="16">
        <f t="shared" si="32"/>
        <v>4.385661652913285</v>
      </c>
      <c r="L74" s="16">
        <f t="shared" si="32"/>
        <v>4.6936161007606358</v>
      </c>
      <c r="M74" s="16">
        <f t="shared" si="32"/>
        <v>4.876091196085361</v>
      </c>
      <c r="N74" s="16">
        <f t="shared" si="32"/>
        <v>5.0454798390598876</v>
      </c>
      <c r="O74" s="16">
        <f t="shared" si="32"/>
        <v>5.2294447586090405</v>
      </c>
      <c r="P74" s="16">
        <f t="shared" si="32"/>
        <v>5.3836719529946686</v>
      </c>
      <c r="Q74" s="16">
        <f t="shared" si="32"/>
        <v>5.5346613210514448</v>
      </c>
      <c r="R74" s="16">
        <f t="shared" si="32"/>
        <v>5.690057206126018</v>
      </c>
      <c r="S74" s="16">
        <f t="shared" si="32"/>
        <v>5.8275763916379768</v>
      </c>
      <c r="T74" s="16">
        <f t="shared" si="32"/>
        <v>5.9557466681538642</v>
      </c>
      <c r="U74" s="16">
        <f t="shared" si="32"/>
        <v>6.0933307004328334</v>
      </c>
      <c r="V74" s="16">
        <f t="shared" si="32"/>
        <v>6.2103146406013154</v>
      </c>
      <c r="W74" s="16">
        <f t="shared" si="32"/>
        <v>6.3246720109823338</v>
      </c>
      <c r="X74" s="16">
        <f t="shared" si="32"/>
        <v>6.4415980915041979</v>
      </c>
      <c r="Y74" s="16">
        <f t="shared" si="32"/>
        <v>6.5460068556555422</v>
      </c>
      <c r="Z74" s="16">
        <f t="shared" si="32"/>
        <v>6.6436912405524309</v>
      </c>
      <c r="AA74" s="16">
        <f t="shared" si="32"/>
        <v>6.7473794896881474</v>
      </c>
      <c r="AB74" s="16">
        <f t="shared" si="32"/>
        <v>6.8299441406162629</v>
      </c>
      <c r="AC74" s="119">
        <f t="shared" si="32"/>
        <v>6.9134101017759475</v>
      </c>
      <c r="AD74" s="211">
        <f t="shared" si="32"/>
        <v>6.9892525522111812</v>
      </c>
      <c r="AE74" s="16">
        <f t="shared" si="32"/>
        <v>7.065161560369619</v>
      </c>
      <c r="AF74" s="16">
        <f t="shared" si="32"/>
        <v>7.1348731753412622</v>
      </c>
      <c r="AG74" s="16">
        <f t="shared" si="32"/>
        <v>7.2050716835813713</v>
      </c>
      <c r="AH74" s="16">
        <f t="shared" si="32"/>
        <v>7.266976907278667</v>
      </c>
      <c r="AI74" s="16">
        <f t="shared" si="32"/>
        <v>7.325205364161631</v>
      </c>
      <c r="AJ74" s="16"/>
    </row>
    <row r="75" spans="1:36">
      <c r="A75" s="6" t="s">
        <v>65</v>
      </c>
      <c r="B75" s="119">
        <f t="shared" si="26"/>
        <v>849.92173000000025</v>
      </c>
      <c r="C75" s="16">
        <f t="shared" ref="C75:AI75" si="33">B75+C48</f>
        <v>1661.618562239925</v>
      </c>
      <c r="D75" s="16">
        <f t="shared" si="33"/>
        <v>2486.4048886778619</v>
      </c>
      <c r="E75" s="16">
        <f t="shared" si="33"/>
        <v>3333.5344482066821</v>
      </c>
      <c r="F75" s="16">
        <f t="shared" si="33"/>
        <v>4198.7045504904208</v>
      </c>
      <c r="G75" s="16">
        <f t="shared" si="33"/>
        <v>5073.0801188715768</v>
      </c>
      <c r="H75" s="16">
        <f t="shared" si="33"/>
        <v>5975.4560130968248</v>
      </c>
      <c r="I75" s="16">
        <f t="shared" si="33"/>
        <v>6913.4131577736071</v>
      </c>
      <c r="J75" s="16">
        <f t="shared" si="33"/>
        <v>7904.3982033722541</v>
      </c>
      <c r="K75" s="16">
        <f t="shared" si="33"/>
        <v>8901.4783478683676</v>
      </c>
      <c r="L75" s="16">
        <f t="shared" si="33"/>
        <v>9899.4514890789269</v>
      </c>
      <c r="M75" s="16">
        <f t="shared" si="33"/>
        <v>10887.362338238087</v>
      </c>
      <c r="N75" s="16">
        <f t="shared" si="33"/>
        <v>11871.634148980478</v>
      </c>
      <c r="O75" s="16">
        <f t="shared" si="33"/>
        <v>12801.016919092364</v>
      </c>
      <c r="P75" s="16">
        <f t="shared" si="33"/>
        <v>13736.352957081503</v>
      </c>
      <c r="Q75" s="16">
        <f t="shared" si="33"/>
        <v>14661.465903869213</v>
      </c>
      <c r="R75" s="16">
        <f t="shared" si="33"/>
        <v>15554.29874677529</v>
      </c>
      <c r="S75" s="16">
        <f t="shared" si="33"/>
        <v>16469.135329226581</v>
      </c>
      <c r="T75" s="16">
        <f t="shared" si="33"/>
        <v>17386.32223669182</v>
      </c>
      <c r="U75" s="16">
        <f t="shared" si="33"/>
        <v>18272.763278248251</v>
      </c>
      <c r="V75" s="16">
        <f t="shared" si="33"/>
        <v>19162.584655598188</v>
      </c>
      <c r="W75" s="16">
        <f t="shared" si="33"/>
        <v>20046.095434455681</v>
      </c>
      <c r="X75" s="16">
        <f t="shared" si="33"/>
        <v>20899.899251759525</v>
      </c>
      <c r="Y75" s="16">
        <f t="shared" si="33"/>
        <v>21727.757320597331</v>
      </c>
      <c r="Z75" s="16">
        <f t="shared" si="33"/>
        <v>22530.623027342197</v>
      </c>
      <c r="AA75" s="16">
        <f t="shared" si="33"/>
        <v>23330.076537931123</v>
      </c>
      <c r="AB75" s="16">
        <f t="shared" si="33"/>
        <v>24129.150730286106</v>
      </c>
      <c r="AC75" s="119">
        <f t="shared" si="33"/>
        <v>24903.994748834957</v>
      </c>
      <c r="AD75" s="211">
        <f t="shared" si="33"/>
        <v>25663.159322703737</v>
      </c>
      <c r="AE75" s="16">
        <f t="shared" si="33"/>
        <v>26387.350949682383</v>
      </c>
      <c r="AF75" s="16">
        <f t="shared" si="33"/>
        <v>27090.869884901454</v>
      </c>
      <c r="AG75" s="16">
        <f t="shared" si="33"/>
        <v>27771.610323009816</v>
      </c>
      <c r="AH75" s="16">
        <f t="shared" si="33"/>
        <v>28435.775236138496</v>
      </c>
      <c r="AI75" s="16">
        <f t="shared" si="33"/>
        <v>29079.503110650952</v>
      </c>
      <c r="AJ75" s="16"/>
    </row>
    <row r="76" spans="1:36">
      <c r="A76" s="6" t="s">
        <v>52</v>
      </c>
      <c r="B76" s="119">
        <f t="shared" si="26"/>
        <v>86.065400000000025</v>
      </c>
      <c r="C76" s="16">
        <f t="shared" ref="C76:AI76" si="34">B76+C49</f>
        <v>171.65000168697287</v>
      </c>
      <c r="D76" s="16">
        <f t="shared" si="34"/>
        <v>256.8759986004257</v>
      </c>
      <c r="E76" s="16">
        <f t="shared" si="34"/>
        <v>340.2182168281908</v>
      </c>
      <c r="F76" s="16">
        <f t="shared" si="34"/>
        <v>423.28631978726435</v>
      </c>
      <c r="G76" s="16">
        <f t="shared" si="34"/>
        <v>512.68988712397527</v>
      </c>
      <c r="H76" s="16">
        <f t="shared" si="34"/>
        <v>610.06266275251289</v>
      </c>
      <c r="I76" s="16">
        <f t="shared" si="34"/>
        <v>714.01001938692445</v>
      </c>
      <c r="J76" s="16">
        <f t="shared" si="34"/>
        <v>825.43315753621687</v>
      </c>
      <c r="K76" s="16">
        <f t="shared" si="34"/>
        <v>937.93430654424492</v>
      </c>
      <c r="L76" s="16">
        <f t="shared" si="34"/>
        <v>1055.4666842139527</v>
      </c>
      <c r="M76" s="16">
        <f t="shared" si="34"/>
        <v>1176.0064104571493</v>
      </c>
      <c r="N76" s="16">
        <f t="shared" si="34"/>
        <v>1294.9640918089165</v>
      </c>
      <c r="O76" s="16">
        <f t="shared" si="34"/>
        <v>1413.8737253522302</v>
      </c>
      <c r="P76" s="16">
        <f t="shared" si="34"/>
        <v>1527.5684615203502</v>
      </c>
      <c r="Q76" s="16">
        <f t="shared" si="34"/>
        <v>1640.7021379114171</v>
      </c>
      <c r="R76" s="16">
        <f t="shared" si="34"/>
        <v>1753.9714541026517</v>
      </c>
      <c r="S76" s="16">
        <f t="shared" si="34"/>
        <v>1873.4777692063378</v>
      </c>
      <c r="T76" s="16">
        <f t="shared" si="34"/>
        <v>1991.077451544633</v>
      </c>
      <c r="U76" s="16">
        <f t="shared" si="34"/>
        <v>2113.1032211490597</v>
      </c>
      <c r="V76" s="16">
        <f t="shared" si="34"/>
        <v>2229.8611846841859</v>
      </c>
      <c r="W76" s="16">
        <f t="shared" si="34"/>
        <v>2346.0569773952666</v>
      </c>
      <c r="X76" s="16">
        <f t="shared" si="34"/>
        <v>2456.6436722014328</v>
      </c>
      <c r="Y76" s="16">
        <f t="shared" si="34"/>
        <v>2564.9862865529703</v>
      </c>
      <c r="Z76" s="16">
        <f t="shared" si="34"/>
        <v>2669.8334260120091</v>
      </c>
      <c r="AA76" s="16">
        <f t="shared" si="34"/>
        <v>2773.7447921704224</v>
      </c>
      <c r="AB76" s="16">
        <f t="shared" si="34"/>
        <v>2874.1945436348556</v>
      </c>
      <c r="AC76" s="119">
        <f t="shared" si="34"/>
        <v>2973.4901514162138</v>
      </c>
      <c r="AD76" s="211">
        <f t="shared" si="34"/>
        <v>3069.3624489233871</v>
      </c>
      <c r="AE76" s="16">
        <f t="shared" si="34"/>
        <v>3162.7673136011508</v>
      </c>
      <c r="AF76" s="16">
        <f t="shared" si="34"/>
        <v>3253.0091959285305</v>
      </c>
      <c r="AG76" s="16">
        <f t="shared" si="34"/>
        <v>3343.5893204271288</v>
      </c>
      <c r="AH76" s="16">
        <f t="shared" si="34"/>
        <v>3428.7729057372803</v>
      </c>
      <c r="AI76" s="16">
        <f t="shared" si="34"/>
        <v>3512.2647715755702</v>
      </c>
      <c r="AJ76" s="16"/>
    </row>
    <row r="77" spans="1:36">
      <c r="A77" s="36" t="s">
        <v>66</v>
      </c>
      <c r="B77" s="119">
        <f t="shared" si="26"/>
        <v>6.2323630999999988</v>
      </c>
      <c r="C77" s="16">
        <f t="shared" ref="C77:AI77" si="35">B77+C50</f>
        <v>12.421391216213681</v>
      </c>
      <c r="D77" s="16">
        <f t="shared" si="35"/>
        <v>18.90848402079941</v>
      </c>
      <c r="E77" s="16">
        <f t="shared" si="35"/>
        <v>26.470835920320472</v>
      </c>
      <c r="F77" s="16">
        <f t="shared" si="35"/>
        <v>35.965291353942114</v>
      </c>
      <c r="G77" s="16">
        <f t="shared" si="35"/>
        <v>43.547325991471752</v>
      </c>
      <c r="H77" s="16">
        <f t="shared" si="35"/>
        <v>50.363542806857801</v>
      </c>
      <c r="I77" s="16">
        <f t="shared" si="35"/>
        <v>56.093310279984713</v>
      </c>
      <c r="J77" s="16">
        <f t="shared" si="35"/>
        <v>61.584495567776358</v>
      </c>
      <c r="K77" s="16">
        <f t="shared" si="35"/>
        <v>66.822699801644248</v>
      </c>
      <c r="L77" s="16">
        <f t="shared" si="35"/>
        <v>71.876976421903407</v>
      </c>
      <c r="M77" s="16">
        <f t="shared" si="35"/>
        <v>76.459482600566432</v>
      </c>
      <c r="N77" s="16">
        <f t="shared" si="35"/>
        <v>80.583909330542724</v>
      </c>
      <c r="O77" s="16">
        <f t="shared" si="35"/>
        <v>84.404080397561984</v>
      </c>
      <c r="P77" s="16">
        <f t="shared" si="35"/>
        <v>86.071559765737774</v>
      </c>
      <c r="Q77" s="16">
        <f t="shared" si="35"/>
        <v>86.70701262307017</v>
      </c>
      <c r="R77" s="16">
        <f t="shared" si="35"/>
        <v>87.306513995201882</v>
      </c>
      <c r="S77" s="16">
        <f t="shared" si="35"/>
        <v>87.875835459085053</v>
      </c>
      <c r="T77" s="16">
        <f t="shared" si="35"/>
        <v>88.415961475193512</v>
      </c>
      <c r="U77" s="16">
        <f t="shared" si="35"/>
        <v>88.926070911338996</v>
      </c>
      <c r="V77" s="16">
        <f t="shared" si="35"/>
        <v>89.413858333359116</v>
      </c>
      <c r="W77" s="16">
        <f t="shared" si="35"/>
        <v>89.874333725730551</v>
      </c>
      <c r="X77" s="16">
        <f t="shared" si="35"/>
        <v>90.304715677805063</v>
      </c>
      <c r="Y77" s="16">
        <f t="shared" si="35"/>
        <v>90.714017699324032</v>
      </c>
      <c r="Z77" s="16">
        <f t="shared" si="35"/>
        <v>91.102116731693172</v>
      </c>
      <c r="AA77" s="16">
        <f t="shared" si="35"/>
        <v>91.468753291772316</v>
      </c>
      <c r="AB77" s="16">
        <f t="shared" si="35"/>
        <v>91.819364046246719</v>
      </c>
      <c r="AC77" s="119">
        <f t="shared" si="35"/>
        <v>92.148052689025974</v>
      </c>
      <c r="AD77" s="211">
        <f t="shared" si="35"/>
        <v>92.458165103556922</v>
      </c>
      <c r="AE77" s="16">
        <f t="shared" si="35"/>
        <v>92.74910049142602</v>
      </c>
      <c r="AF77" s="16">
        <f t="shared" si="35"/>
        <v>93.026446134296009</v>
      </c>
      <c r="AG77" s="16">
        <f t="shared" si="35"/>
        <v>93.28843506947608</v>
      </c>
      <c r="AH77" s="16">
        <f t="shared" si="35"/>
        <v>93.540054768773217</v>
      </c>
      <c r="AI77" s="16">
        <f t="shared" si="35"/>
        <v>93.779174490639122</v>
      </c>
      <c r="AJ77" s="16"/>
    </row>
    <row r="78" spans="1:36">
      <c r="A78" s="12" t="s">
        <v>69</v>
      </c>
      <c r="B78" s="212">
        <f t="shared" si="26"/>
        <v>0</v>
      </c>
      <c r="C78" s="212">
        <f t="shared" ref="C78:AH78" si="36">B78+C51</f>
        <v>0</v>
      </c>
      <c r="D78" s="212">
        <f t="shared" si="36"/>
        <v>0</v>
      </c>
      <c r="E78" s="212">
        <f t="shared" si="36"/>
        <v>0</v>
      </c>
      <c r="F78" s="212">
        <f t="shared" si="36"/>
        <v>0</v>
      </c>
      <c r="G78" s="212">
        <f t="shared" si="36"/>
        <v>77.699537623751652</v>
      </c>
      <c r="H78" s="212">
        <f t="shared" si="36"/>
        <v>207.1994949417786</v>
      </c>
      <c r="I78" s="212">
        <f t="shared" si="36"/>
        <v>378.38988977333543</v>
      </c>
      <c r="J78" s="212">
        <f t="shared" si="36"/>
        <v>590.41704952271425</v>
      </c>
      <c r="K78" s="212">
        <f t="shared" si="36"/>
        <v>836.16738936690115</v>
      </c>
      <c r="L78" s="212">
        <f t="shared" si="36"/>
        <v>1113.1380952461127</v>
      </c>
      <c r="M78" s="212">
        <f t="shared" si="36"/>
        <v>1406.9203148369825</v>
      </c>
      <c r="N78" s="212">
        <f t="shared" si="36"/>
        <v>1720.3678698337956</v>
      </c>
      <c r="O78" s="212">
        <f t="shared" si="36"/>
        <v>2050.1201171387729</v>
      </c>
      <c r="P78" s="212">
        <f t="shared" si="36"/>
        <v>2363.5423337352267</v>
      </c>
      <c r="Q78" s="212">
        <f t="shared" si="36"/>
        <v>2671.3160259229408</v>
      </c>
      <c r="R78" s="212">
        <f t="shared" si="36"/>
        <v>3022.9880452866341</v>
      </c>
      <c r="S78" s="212">
        <f t="shared" si="36"/>
        <v>3411.4326672733396</v>
      </c>
      <c r="T78" s="212">
        <f t="shared" si="36"/>
        <v>3832.1131705956786</v>
      </c>
      <c r="U78" s="212">
        <f t="shared" si="36"/>
        <v>4282.9666812951746</v>
      </c>
      <c r="V78" s="212">
        <f t="shared" si="36"/>
        <v>4756.5834455899849</v>
      </c>
      <c r="W78" s="212">
        <f t="shared" si="36"/>
        <v>5251.2312812988839</v>
      </c>
      <c r="X78" s="212">
        <f t="shared" si="36"/>
        <v>5750.8438396135143</v>
      </c>
      <c r="Y78" s="212">
        <f t="shared" si="36"/>
        <v>6257.5829799213343</v>
      </c>
      <c r="Z78" s="212">
        <f t="shared" si="36"/>
        <v>6777.7667571380589</v>
      </c>
      <c r="AA78" s="212">
        <f t="shared" si="36"/>
        <v>7304.0505992702465</v>
      </c>
      <c r="AB78" s="212">
        <f t="shared" si="36"/>
        <v>7837.2104760929024</v>
      </c>
      <c r="AC78" s="212">
        <f t="shared" si="36"/>
        <v>8367.4023968561796</v>
      </c>
      <c r="AD78" s="213">
        <f t="shared" si="36"/>
        <v>8895.7744311101451</v>
      </c>
      <c r="AE78" s="212">
        <f t="shared" si="36"/>
        <v>9417.4403175946991</v>
      </c>
      <c r="AF78" s="212">
        <f t="shared" si="36"/>
        <v>9938.3674423326611</v>
      </c>
      <c r="AG78" s="212">
        <f t="shared" si="36"/>
        <v>10454.473811237207</v>
      </c>
      <c r="AH78" s="212">
        <f t="shared" si="36"/>
        <v>10969.258402837666</v>
      </c>
      <c r="AI78" s="212">
        <f>AH78+AI51</f>
        <v>11478.100959270678</v>
      </c>
      <c r="AJ78" s="212"/>
    </row>
    <row r="79" spans="1:36">
      <c r="A79" s="6" t="s">
        <v>61</v>
      </c>
      <c r="B79" s="15">
        <f t="shared" ref="B79:AI79" si="37">SUM(B69:B78)</f>
        <v>1843.5391832822065</v>
      </c>
      <c r="C79" s="15">
        <f t="shared" si="37"/>
        <v>3610.2998606869373</v>
      </c>
      <c r="D79" s="15">
        <f t="shared" si="37"/>
        <v>5395.9516531439967</v>
      </c>
      <c r="E79" s="15">
        <f t="shared" si="37"/>
        <v>7206.2979318884873</v>
      </c>
      <c r="F79" s="15">
        <f t="shared" si="37"/>
        <v>8897.6481426987593</v>
      </c>
      <c r="G79" s="15">
        <f t="shared" si="37"/>
        <v>10512.36402795898</v>
      </c>
      <c r="H79" s="15">
        <f t="shared" si="37"/>
        <v>12103.732668138075</v>
      </c>
      <c r="I79" s="15">
        <f t="shared" si="37"/>
        <v>13730.026967080194</v>
      </c>
      <c r="J79" s="15">
        <f t="shared" si="37"/>
        <v>15425.959731630601</v>
      </c>
      <c r="K79" s="15">
        <f t="shared" si="37"/>
        <v>17141.417547767924</v>
      </c>
      <c r="L79" s="15">
        <f t="shared" si="37"/>
        <v>18872.760742899631</v>
      </c>
      <c r="M79" s="15">
        <f t="shared" si="37"/>
        <v>20595.273211798532</v>
      </c>
      <c r="N79" s="15">
        <f t="shared" si="37"/>
        <v>22313.487950721239</v>
      </c>
      <c r="O79" s="15">
        <f t="shared" si="37"/>
        <v>23976.259841753821</v>
      </c>
      <c r="P79" s="15">
        <f t="shared" si="37"/>
        <v>25700.534023105029</v>
      </c>
      <c r="Q79" s="15">
        <f t="shared" si="37"/>
        <v>27548.931051670967</v>
      </c>
      <c r="R79" s="15">
        <f t="shared" si="37"/>
        <v>29380.245931620422</v>
      </c>
      <c r="S79" s="15">
        <f t="shared" si="37"/>
        <v>31246.697993021735</v>
      </c>
      <c r="T79" s="15">
        <f t="shared" si="37"/>
        <v>33132.505360458854</v>
      </c>
      <c r="U79" s="15">
        <f t="shared" si="37"/>
        <v>35001.450280494333</v>
      </c>
      <c r="V79" s="15">
        <f t="shared" si="37"/>
        <v>36867.870560981995</v>
      </c>
      <c r="W79" s="15">
        <f t="shared" si="37"/>
        <v>38724.102288472321</v>
      </c>
      <c r="X79" s="15">
        <f t="shared" si="37"/>
        <v>40572.299250543845</v>
      </c>
      <c r="Y79" s="15">
        <f t="shared" si="37"/>
        <v>42470.878215291945</v>
      </c>
      <c r="Z79" s="15">
        <f t="shared" si="37"/>
        <v>44332.481402398946</v>
      </c>
      <c r="AA79" s="15">
        <f t="shared" si="37"/>
        <v>46177.490272171934</v>
      </c>
      <c r="AB79" s="15">
        <f t="shared" si="37"/>
        <v>48003.521779836752</v>
      </c>
      <c r="AC79" s="52">
        <f t="shared" si="37"/>
        <v>49774.562295528362</v>
      </c>
      <c r="AD79" s="214">
        <f t="shared" si="37"/>
        <v>51496.311207293067</v>
      </c>
      <c r="AE79" s="15">
        <f t="shared" si="37"/>
        <v>53146.504792479078</v>
      </c>
      <c r="AF79" s="15">
        <f t="shared" si="37"/>
        <v>54745.107144804162</v>
      </c>
      <c r="AG79" s="15">
        <f t="shared" si="37"/>
        <v>56292.126503825442</v>
      </c>
      <c r="AH79" s="15">
        <f t="shared" si="37"/>
        <v>57791.919238667622</v>
      </c>
      <c r="AI79" s="15">
        <f t="shared" si="37"/>
        <v>59242.651852575997</v>
      </c>
      <c r="AJ79" s="15"/>
    </row>
    <row r="80" spans="1:36"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52"/>
      <c r="AD80" s="214"/>
      <c r="AE80" s="15"/>
      <c r="AF80" s="15"/>
      <c r="AG80" s="15"/>
      <c r="AH80" s="15"/>
      <c r="AI80" s="15"/>
      <c r="AJ80" s="15"/>
    </row>
    <row r="81" spans="1:36">
      <c r="A81" s="6" t="s">
        <v>70</v>
      </c>
      <c r="AC81" s="36"/>
      <c r="AD81" s="215"/>
    </row>
    <row r="82" spans="1:36">
      <c r="A82" s="152" t="str">
        <f>$A$68&amp;"-"&amp;$A$55</f>
        <v>Clean Energy Connection-SoBra 700MWs</v>
      </c>
      <c r="B82" s="152">
        <f>$B$1</f>
        <v>2020</v>
      </c>
      <c r="C82" s="152">
        <f t="shared" ref="C82:AI82" si="38">B82+1</f>
        <v>2021</v>
      </c>
      <c r="D82" s="152">
        <f t="shared" si="38"/>
        <v>2022</v>
      </c>
      <c r="E82" s="152">
        <f t="shared" si="38"/>
        <v>2023</v>
      </c>
      <c r="F82" s="152">
        <f t="shared" si="38"/>
        <v>2024</v>
      </c>
      <c r="G82" s="152">
        <f t="shared" si="38"/>
        <v>2025</v>
      </c>
      <c r="H82" s="152">
        <f t="shared" si="38"/>
        <v>2026</v>
      </c>
      <c r="I82" s="152">
        <f t="shared" si="38"/>
        <v>2027</v>
      </c>
      <c r="J82" s="152">
        <f t="shared" si="38"/>
        <v>2028</v>
      </c>
      <c r="K82" s="152">
        <f t="shared" si="38"/>
        <v>2029</v>
      </c>
      <c r="L82" s="152">
        <f t="shared" si="38"/>
        <v>2030</v>
      </c>
      <c r="M82" s="152">
        <f t="shared" si="38"/>
        <v>2031</v>
      </c>
      <c r="N82" s="152">
        <f t="shared" si="38"/>
        <v>2032</v>
      </c>
      <c r="O82" s="152">
        <f t="shared" si="38"/>
        <v>2033</v>
      </c>
      <c r="P82" s="152">
        <f t="shared" si="38"/>
        <v>2034</v>
      </c>
      <c r="Q82" s="152">
        <f t="shared" si="38"/>
        <v>2035</v>
      </c>
      <c r="R82" s="152">
        <f t="shared" si="38"/>
        <v>2036</v>
      </c>
      <c r="S82" s="152">
        <f t="shared" si="38"/>
        <v>2037</v>
      </c>
      <c r="T82" s="152">
        <f t="shared" si="38"/>
        <v>2038</v>
      </c>
      <c r="U82" s="152">
        <f t="shared" si="38"/>
        <v>2039</v>
      </c>
      <c r="V82" s="152">
        <f t="shared" si="38"/>
        <v>2040</v>
      </c>
      <c r="W82" s="152">
        <f t="shared" si="38"/>
        <v>2041</v>
      </c>
      <c r="X82" s="152">
        <f t="shared" si="38"/>
        <v>2042</v>
      </c>
      <c r="Y82" s="152">
        <f t="shared" si="38"/>
        <v>2043</v>
      </c>
      <c r="Z82" s="152">
        <f t="shared" si="38"/>
        <v>2044</v>
      </c>
      <c r="AA82" s="152">
        <f t="shared" si="38"/>
        <v>2045</v>
      </c>
      <c r="AB82" s="152">
        <f t="shared" si="38"/>
        <v>2046</v>
      </c>
      <c r="AC82" s="209">
        <f t="shared" si="38"/>
        <v>2047</v>
      </c>
      <c r="AD82" s="210">
        <f t="shared" si="38"/>
        <v>2048</v>
      </c>
      <c r="AE82" s="152">
        <f t="shared" si="38"/>
        <v>2049</v>
      </c>
      <c r="AF82" s="152">
        <f t="shared" si="38"/>
        <v>2050</v>
      </c>
      <c r="AG82" s="152">
        <f t="shared" si="38"/>
        <v>2051</v>
      </c>
      <c r="AH82" s="152">
        <f t="shared" si="38"/>
        <v>2052</v>
      </c>
      <c r="AI82" s="152">
        <f t="shared" si="38"/>
        <v>2053</v>
      </c>
      <c r="AJ82" s="152"/>
    </row>
    <row r="83" spans="1:36">
      <c r="A83" s="6" t="s">
        <v>134</v>
      </c>
      <c r="B83" s="119">
        <f t="shared" ref="B83:AI83" si="39">B15-B2</f>
        <v>0</v>
      </c>
      <c r="C83" s="119">
        <f t="shared" si="39"/>
        <v>0</v>
      </c>
      <c r="D83" s="119">
        <f t="shared" si="39"/>
        <v>0</v>
      </c>
      <c r="E83" s="119">
        <f t="shared" si="39"/>
        <v>0</v>
      </c>
      <c r="F83" s="119">
        <f t="shared" si="39"/>
        <v>0</v>
      </c>
      <c r="G83" s="119">
        <f t="shared" si="39"/>
        <v>0</v>
      </c>
      <c r="H83" s="119">
        <f t="shared" si="39"/>
        <v>0</v>
      </c>
      <c r="I83" s="119">
        <f t="shared" si="39"/>
        <v>0</v>
      </c>
      <c r="J83" s="119">
        <f t="shared" si="39"/>
        <v>0</v>
      </c>
      <c r="K83" s="119">
        <f t="shared" si="39"/>
        <v>0</v>
      </c>
      <c r="L83" s="119">
        <f t="shared" si="39"/>
        <v>0</v>
      </c>
      <c r="M83" s="119">
        <f t="shared" si="39"/>
        <v>0</v>
      </c>
      <c r="N83" s="119">
        <f t="shared" si="39"/>
        <v>0</v>
      </c>
      <c r="O83" s="119">
        <f t="shared" si="39"/>
        <v>0</v>
      </c>
      <c r="P83" s="119">
        <f t="shared" si="39"/>
        <v>0</v>
      </c>
      <c r="Q83" s="119">
        <f t="shared" si="39"/>
        <v>0</v>
      </c>
      <c r="R83" s="119">
        <f t="shared" si="39"/>
        <v>0</v>
      </c>
      <c r="S83" s="119">
        <f t="shared" si="39"/>
        <v>0</v>
      </c>
      <c r="T83" s="119">
        <f t="shared" si="39"/>
        <v>0</v>
      </c>
      <c r="U83" s="119">
        <f t="shared" si="39"/>
        <v>0</v>
      </c>
      <c r="V83" s="119">
        <f t="shared" si="39"/>
        <v>0</v>
      </c>
      <c r="W83" s="119">
        <f t="shared" si="39"/>
        <v>0</v>
      </c>
      <c r="X83" s="119">
        <f t="shared" si="39"/>
        <v>0</v>
      </c>
      <c r="Y83" s="119">
        <f t="shared" si="39"/>
        <v>0</v>
      </c>
      <c r="Z83" s="119">
        <f t="shared" si="39"/>
        <v>0</v>
      </c>
      <c r="AA83" s="119">
        <f t="shared" si="39"/>
        <v>0</v>
      </c>
      <c r="AB83" s="119">
        <f t="shared" si="39"/>
        <v>0</v>
      </c>
      <c r="AC83" s="119">
        <f t="shared" si="39"/>
        <v>0</v>
      </c>
      <c r="AD83" s="211">
        <f t="shared" si="39"/>
        <v>0</v>
      </c>
      <c r="AE83" s="119">
        <f t="shared" si="39"/>
        <v>0</v>
      </c>
      <c r="AF83" s="119">
        <f t="shared" si="39"/>
        <v>0</v>
      </c>
      <c r="AG83" s="119">
        <f t="shared" si="39"/>
        <v>0</v>
      </c>
      <c r="AH83" s="119">
        <f t="shared" si="39"/>
        <v>0</v>
      </c>
      <c r="AI83" s="119">
        <f t="shared" si="39"/>
        <v>0</v>
      </c>
      <c r="AJ83" s="119"/>
    </row>
    <row r="84" spans="1:36">
      <c r="A84" s="6" t="s">
        <v>135</v>
      </c>
      <c r="B84" s="119">
        <f t="shared" ref="B84:AI84" si="40">B16-B3</f>
        <v>0</v>
      </c>
      <c r="C84" s="119">
        <f t="shared" si="40"/>
        <v>0</v>
      </c>
      <c r="D84" s="119">
        <f t="shared" si="40"/>
        <v>30.858064131033437</v>
      </c>
      <c r="E84" s="119">
        <f t="shared" si="40"/>
        <v>87.07123900568844</v>
      </c>
      <c r="F84" s="119">
        <f t="shared" si="40"/>
        <v>138.32148483336081</v>
      </c>
      <c r="G84" s="119">
        <f t="shared" si="40"/>
        <v>131.34102763355375</v>
      </c>
      <c r="H84" s="119">
        <f t="shared" si="40"/>
        <v>125.32829334309196</v>
      </c>
      <c r="I84" s="119">
        <f t="shared" si="40"/>
        <v>112.37313136938053</v>
      </c>
      <c r="J84" s="119">
        <f t="shared" si="40"/>
        <v>108.5565089486837</v>
      </c>
      <c r="K84" s="119">
        <f t="shared" si="40"/>
        <v>105.48973259473424</v>
      </c>
      <c r="L84" s="119">
        <f t="shared" si="40"/>
        <v>102.87656792502673</v>
      </c>
      <c r="M84" s="119">
        <f t="shared" si="40"/>
        <v>100.51289638557827</v>
      </c>
      <c r="N84" s="119">
        <f t="shared" si="40"/>
        <v>98.179378177042935</v>
      </c>
      <c r="O84" s="119">
        <f t="shared" si="40"/>
        <v>95.847943420614058</v>
      </c>
      <c r="P84" s="119">
        <f t="shared" si="40"/>
        <v>93.474328160646081</v>
      </c>
      <c r="Q84" s="119">
        <f t="shared" si="40"/>
        <v>91.186331074785173</v>
      </c>
      <c r="R84" s="119">
        <f t="shared" si="40"/>
        <v>88.936995255073953</v>
      </c>
      <c r="S84" s="119">
        <f t="shared" si="40"/>
        <v>86.647567246409736</v>
      </c>
      <c r="T84" s="119">
        <f t="shared" si="40"/>
        <v>90.572619755463975</v>
      </c>
      <c r="U84" s="119">
        <f t="shared" si="40"/>
        <v>87.77172842682694</v>
      </c>
      <c r="V84" s="119">
        <f t="shared" si="40"/>
        <v>84.961956356760751</v>
      </c>
      <c r="W84" s="119">
        <f t="shared" si="40"/>
        <v>82.175389106315691</v>
      </c>
      <c r="X84" s="119">
        <f t="shared" si="40"/>
        <v>79.628352339490078</v>
      </c>
      <c r="Y84" s="119">
        <f t="shared" si="40"/>
        <v>77.276014548631224</v>
      </c>
      <c r="Z84" s="119">
        <f t="shared" si="40"/>
        <v>75.020683560031301</v>
      </c>
      <c r="AA84" s="119">
        <f t="shared" si="40"/>
        <v>72.691083602545405</v>
      </c>
      <c r="AB84" s="119">
        <f t="shared" si="40"/>
        <v>70.559218554413519</v>
      </c>
      <c r="AC84" s="119">
        <f t="shared" si="40"/>
        <v>68.396619754674475</v>
      </c>
      <c r="AD84" s="211">
        <f t="shared" si="40"/>
        <v>66.331776922346066</v>
      </c>
      <c r="AE84" s="119">
        <f t="shared" si="40"/>
        <v>64.19727863392194</v>
      </c>
      <c r="AF84" s="119">
        <f t="shared" si="40"/>
        <v>62.201468047298263</v>
      </c>
      <c r="AG84" s="119">
        <f t="shared" si="40"/>
        <v>63.884043803646705</v>
      </c>
      <c r="AH84" s="119">
        <f t="shared" si="40"/>
        <v>54.391358551299618</v>
      </c>
      <c r="AI84" s="119">
        <f t="shared" si="40"/>
        <v>31.274000020948147</v>
      </c>
      <c r="AJ84" s="119"/>
    </row>
    <row r="85" spans="1:36">
      <c r="A85" s="6" t="s">
        <v>60</v>
      </c>
      <c r="B85" s="119">
        <f t="shared" ref="B85:AI85" si="41">B17-B4</f>
        <v>0</v>
      </c>
      <c r="C85" s="119">
        <f t="shared" si="41"/>
        <v>0</v>
      </c>
      <c r="D85" s="119">
        <f t="shared" si="41"/>
        <v>0</v>
      </c>
      <c r="E85" s="119">
        <f t="shared" si="41"/>
        <v>0</v>
      </c>
      <c r="F85" s="119">
        <f t="shared" si="41"/>
        <v>0</v>
      </c>
      <c r="G85" s="119">
        <f t="shared" si="41"/>
        <v>0</v>
      </c>
      <c r="H85" s="119">
        <f t="shared" si="41"/>
        <v>0</v>
      </c>
      <c r="I85" s="119">
        <f t="shared" si="41"/>
        <v>-10.717088725236454</v>
      </c>
      <c r="J85" s="119">
        <f t="shared" si="41"/>
        <v>-28.823728181555392</v>
      </c>
      <c r="K85" s="119">
        <f t="shared" si="41"/>
        <v>-24.60565620192726</v>
      </c>
      <c r="L85" s="119">
        <f t="shared" si="41"/>
        <v>-27.253637617802788</v>
      </c>
      <c r="M85" s="119">
        <f t="shared" si="41"/>
        <v>-23.02029881135261</v>
      </c>
      <c r="N85" s="119">
        <f t="shared" si="41"/>
        <v>-25.834048984290732</v>
      </c>
      <c r="O85" s="119">
        <f t="shared" si="41"/>
        <v>-21.564427185999726</v>
      </c>
      <c r="P85" s="119">
        <f t="shared" si="41"/>
        <v>-27.746619659121023</v>
      </c>
      <c r="Q85" s="119">
        <f t="shared" si="41"/>
        <v>-37.530712998664058</v>
      </c>
      <c r="R85" s="119">
        <f t="shared" si="41"/>
        <v>-22.605420669398427</v>
      </c>
      <c r="S85" s="119">
        <f t="shared" si="41"/>
        <v>-12.169469296423586</v>
      </c>
      <c r="T85" s="119">
        <f t="shared" si="41"/>
        <v>-25.925327840755131</v>
      </c>
      <c r="U85" s="119">
        <f t="shared" si="41"/>
        <v>-35.077248597824905</v>
      </c>
      <c r="V85" s="119">
        <f t="shared" si="41"/>
        <v>-33.925412611250977</v>
      </c>
      <c r="W85" s="119">
        <f t="shared" si="41"/>
        <v>-32.789417284612114</v>
      </c>
      <c r="X85" s="119">
        <f t="shared" si="41"/>
        <v>-31.706987896875262</v>
      </c>
      <c r="Y85" s="119">
        <f t="shared" si="41"/>
        <v>-30.766241063007101</v>
      </c>
      <c r="Z85" s="119">
        <f t="shared" si="41"/>
        <v>-29.925209224712944</v>
      </c>
      <c r="AA85" s="119">
        <f t="shared" si="41"/>
        <v>-29.092902326120793</v>
      </c>
      <c r="AB85" s="119">
        <f t="shared" si="41"/>
        <v>-12.473613581555583</v>
      </c>
      <c r="AC85" s="119">
        <f t="shared" si="41"/>
        <v>-0.97800683653440501</v>
      </c>
      <c r="AD85" s="211">
        <f t="shared" si="41"/>
        <v>-0.97311125762553274</v>
      </c>
      <c r="AE85" s="119">
        <f t="shared" si="41"/>
        <v>-0.94998982090919526</v>
      </c>
      <c r="AF85" s="119">
        <f t="shared" si="41"/>
        <v>-0.95731738372535347</v>
      </c>
      <c r="AG85" s="119">
        <f t="shared" si="41"/>
        <v>-0.93705537965865915</v>
      </c>
      <c r="AH85" s="119">
        <f t="shared" si="41"/>
        <v>-0.79330288214714528</v>
      </c>
      <c r="AI85" s="119">
        <f t="shared" si="41"/>
        <v>-0.64222026114771325</v>
      </c>
      <c r="AJ85" s="119"/>
    </row>
    <row r="86" spans="1:36">
      <c r="A86" s="6" t="s">
        <v>68</v>
      </c>
      <c r="B86" s="119">
        <f t="shared" ref="B86:AI86" si="42">B18-B5</f>
        <v>0</v>
      </c>
      <c r="C86" s="119">
        <f t="shared" si="42"/>
        <v>0</v>
      </c>
      <c r="D86" s="119">
        <f t="shared" si="42"/>
        <v>0</v>
      </c>
      <c r="E86" s="119">
        <f t="shared" si="42"/>
        <v>0</v>
      </c>
      <c r="F86" s="119">
        <f t="shared" si="42"/>
        <v>0</v>
      </c>
      <c r="G86" s="119">
        <f t="shared" si="42"/>
        <v>0</v>
      </c>
      <c r="H86" s="119">
        <f t="shared" si="42"/>
        <v>0</v>
      </c>
      <c r="I86" s="119">
        <f t="shared" si="42"/>
        <v>-0.25713000000000363</v>
      </c>
      <c r="J86" s="119">
        <f t="shared" si="42"/>
        <v>-0.71538000000000324</v>
      </c>
      <c r="K86" s="119">
        <f t="shared" si="42"/>
        <v>-0.6560900000000025</v>
      </c>
      <c r="L86" s="119">
        <f t="shared" si="42"/>
        <v>-0.75160999999999234</v>
      </c>
      <c r="M86" s="119">
        <f t="shared" si="42"/>
        <v>-0.68928999999999618</v>
      </c>
      <c r="N86" s="119">
        <f t="shared" si="42"/>
        <v>-0.78964999999999819</v>
      </c>
      <c r="O86" s="119">
        <f t="shared" si="42"/>
        <v>-0.72418000000000049</v>
      </c>
      <c r="P86" s="119">
        <f t="shared" si="42"/>
        <v>-1.5089199999999963</v>
      </c>
      <c r="Q86" s="119">
        <f t="shared" si="42"/>
        <v>-2.2677599999999956</v>
      </c>
      <c r="R86" s="119">
        <f t="shared" si="42"/>
        <v>-1.64649</v>
      </c>
      <c r="S86" s="119">
        <f t="shared" si="42"/>
        <v>-1.1912800000000061</v>
      </c>
      <c r="T86" s="119">
        <f t="shared" si="42"/>
        <v>-1.9333500000000043</v>
      </c>
      <c r="U86" s="119">
        <f t="shared" si="42"/>
        <v>-2.5031800000000075</v>
      </c>
      <c r="V86" s="119">
        <f t="shared" si="42"/>
        <v>-2.5657600000000045</v>
      </c>
      <c r="W86" s="119">
        <f t="shared" si="42"/>
        <v>-2.6298999999999992</v>
      </c>
      <c r="X86" s="119">
        <f t="shared" si="42"/>
        <v>-2.6956600000000108</v>
      </c>
      <c r="Y86" s="119">
        <f t="shared" si="42"/>
        <v>-2.7630400000000108</v>
      </c>
      <c r="Z86" s="119">
        <f t="shared" si="42"/>
        <v>-2.8321199999999962</v>
      </c>
      <c r="AA86" s="119">
        <f t="shared" si="42"/>
        <v>-2.9029200000000088</v>
      </c>
      <c r="AB86" s="119">
        <f t="shared" si="42"/>
        <v>-2.1076500000000067</v>
      </c>
      <c r="AC86" s="119">
        <f t="shared" si="42"/>
        <v>-1.5249399999999866</v>
      </c>
      <c r="AD86" s="211">
        <f t="shared" si="42"/>
        <v>-1.5630600000000072</v>
      </c>
      <c r="AE86" s="119">
        <f t="shared" si="42"/>
        <v>-1.6021400000000057</v>
      </c>
      <c r="AF86" s="119">
        <f t="shared" si="42"/>
        <v>-1.6422000000000168</v>
      </c>
      <c r="AG86" s="119">
        <f t="shared" si="42"/>
        <v>-1.683250000000001</v>
      </c>
      <c r="AH86" s="119">
        <f t="shared" si="42"/>
        <v>-1.7253299999999925</v>
      </c>
      <c r="AI86" s="119">
        <f t="shared" si="42"/>
        <v>-1.7684599999999975</v>
      </c>
      <c r="AJ86" s="119"/>
    </row>
    <row r="87" spans="1:36">
      <c r="A87" s="6" t="s">
        <v>67</v>
      </c>
      <c r="B87" s="119">
        <f t="shared" ref="B87:AI87" si="43">B19-B6</f>
        <v>0</v>
      </c>
      <c r="C87" s="119">
        <f t="shared" si="43"/>
        <v>0</v>
      </c>
      <c r="D87" s="119">
        <f t="shared" si="43"/>
        <v>0</v>
      </c>
      <c r="E87" s="119">
        <f t="shared" si="43"/>
        <v>0</v>
      </c>
      <c r="F87" s="119">
        <f t="shared" si="43"/>
        <v>0</v>
      </c>
      <c r="G87" s="119">
        <f t="shared" si="43"/>
        <v>0</v>
      </c>
      <c r="H87" s="119">
        <f t="shared" si="43"/>
        <v>0</v>
      </c>
      <c r="I87" s="119">
        <f t="shared" si="43"/>
        <v>0</v>
      </c>
      <c r="J87" s="119">
        <f t="shared" si="43"/>
        <v>0</v>
      </c>
      <c r="K87" s="119">
        <f t="shared" si="43"/>
        <v>0</v>
      </c>
      <c r="L87" s="119">
        <f t="shared" si="43"/>
        <v>0</v>
      </c>
      <c r="M87" s="119">
        <f t="shared" si="43"/>
        <v>0</v>
      </c>
      <c r="N87" s="119">
        <f t="shared" si="43"/>
        <v>0</v>
      </c>
      <c r="O87" s="119">
        <f t="shared" si="43"/>
        <v>0</v>
      </c>
      <c r="P87" s="119">
        <f t="shared" si="43"/>
        <v>-25.800389999999993</v>
      </c>
      <c r="Q87" s="119">
        <f t="shared" si="43"/>
        <v>-44.229260000000068</v>
      </c>
      <c r="R87" s="119">
        <f t="shared" si="43"/>
        <v>-30.67599000000007</v>
      </c>
      <c r="S87" s="119">
        <f t="shared" si="43"/>
        <v>-20.99508000000003</v>
      </c>
      <c r="T87" s="119">
        <f t="shared" si="43"/>
        <v>-35.234469999999988</v>
      </c>
      <c r="U87" s="119">
        <f t="shared" si="43"/>
        <v>-45.405480000000011</v>
      </c>
      <c r="V87" s="119">
        <f t="shared" si="43"/>
        <v>-45.405500000000075</v>
      </c>
      <c r="W87" s="119">
        <f t="shared" si="43"/>
        <v>-45.40544999999986</v>
      </c>
      <c r="X87" s="119">
        <f t="shared" si="43"/>
        <v>-45.405449999999973</v>
      </c>
      <c r="Y87" s="119">
        <f t="shared" si="43"/>
        <v>-45.405449999999973</v>
      </c>
      <c r="Z87" s="119">
        <f t="shared" si="43"/>
        <v>-45.405500000000075</v>
      </c>
      <c r="AA87" s="119">
        <f t="shared" si="43"/>
        <v>-45.405499999999961</v>
      </c>
      <c r="AB87" s="119">
        <f t="shared" si="43"/>
        <v>-28.056119999999964</v>
      </c>
      <c r="AC87" s="119">
        <f t="shared" si="43"/>
        <v>-15.66377</v>
      </c>
      <c r="AD87" s="211">
        <f t="shared" si="43"/>
        <v>-15.66377</v>
      </c>
      <c r="AE87" s="119">
        <f t="shared" si="43"/>
        <v>-15.66377</v>
      </c>
      <c r="AF87" s="119">
        <f t="shared" si="43"/>
        <v>-15.66377</v>
      </c>
      <c r="AG87" s="119">
        <f t="shared" si="43"/>
        <v>-15.66377</v>
      </c>
      <c r="AH87" s="119">
        <f t="shared" si="43"/>
        <v>-15.66377</v>
      </c>
      <c r="AI87" s="119">
        <f t="shared" si="43"/>
        <v>-15.66377</v>
      </c>
      <c r="AJ87" s="119"/>
    </row>
    <row r="88" spans="1:36">
      <c r="A88" s="6" t="s">
        <v>383</v>
      </c>
      <c r="B88" s="119">
        <f t="shared" ref="B88:AI88" si="44">B20-B7</f>
        <v>0</v>
      </c>
      <c r="C88" s="119">
        <f t="shared" si="44"/>
        <v>1.0200790961866668</v>
      </c>
      <c r="D88" s="119">
        <f t="shared" si="44"/>
        <v>0.6275365374466666</v>
      </c>
      <c r="E88" s="119">
        <f t="shared" si="44"/>
        <v>0.68307619099066674</v>
      </c>
      <c r="F88" s="119">
        <f t="shared" si="44"/>
        <v>0.67471288001039997</v>
      </c>
      <c r="G88" s="119">
        <f t="shared" si="44"/>
        <v>0.65619743327906666</v>
      </c>
      <c r="H88" s="119">
        <f t="shared" si="44"/>
        <v>0.51050195073344673</v>
      </c>
      <c r="I88" s="119">
        <f t="shared" si="44"/>
        <v>0.56509226722358352</v>
      </c>
      <c r="J88" s="119">
        <f t="shared" si="44"/>
        <v>0.52413609409135764</v>
      </c>
      <c r="K88" s="119">
        <f t="shared" si="44"/>
        <v>0.54544233186889834</v>
      </c>
      <c r="L88" s="119">
        <f t="shared" si="44"/>
        <v>0.58902085979309859</v>
      </c>
      <c r="M88" s="119">
        <f t="shared" si="44"/>
        <v>0.37240217849023277</v>
      </c>
      <c r="N88" s="119">
        <f t="shared" si="44"/>
        <v>0.3688563987997398</v>
      </c>
      <c r="O88" s="119">
        <f t="shared" si="44"/>
        <v>0.42743734873186529</v>
      </c>
      <c r="P88" s="119">
        <f t="shared" si="44"/>
        <v>0.38235152804488787</v>
      </c>
      <c r="Q88" s="119">
        <f t="shared" si="44"/>
        <v>0.3994042288410346</v>
      </c>
      <c r="R88" s="119">
        <f t="shared" si="44"/>
        <v>0.43860161367439893</v>
      </c>
      <c r="S88" s="119">
        <f t="shared" si="44"/>
        <v>0.4141507209356976</v>
      </c>
      <c r="T88" s="119">
        <f t="shared" si="44"/>
        <v>0.41185739751856848</v>
      </c>
      <c r="U88" s="119">
        <f t="shared" si="44"/>
        <v>0.47172837741225887</v>
      </c>
      <c r="V88" s="119">
        <f t="shared" si="44"/>
        <v>0.42797128758569336</v>
      </c>
      <c r="W88" s="119">
        <f t="shared" si="44"/>
        <v>0.44639258116806418</v>
      </c>
      <c r="X88" s="119">
        <f t="shared" si="44"/>
        <v>0.48699961657123941</v>
      </c>
      <c r="Y88" s="119">
        <f t="shared" si="44"/>
        <v>0.46400066391944333</v>
      </c>
      <c r="Z88" s="119">
        <f t="shared" si="44"/>
        <v>0.46320283879182667</v>
      </c>
      <c r="AA88" s="119">
        <f t="shared" si="44"/>
        <v>0.52461418192371467</v>
      </c>
      <c r="AB88" s="119">
        <f t="shared" si="44"/>
        <v>0.44572711472582627</v>
      </c>
      <c r="AC88" s="119">
        <f t="shared" si="44"/>
        <v>0.48078257966760096</v>
      </c>
      <c r="AD88" s="211">
        <f t="shared" si="44"/>
        <v>0.4661397085576291</v>
      </c>
      <c r="AE88" s="119">
        <f t="shared" si="44"/>
        <v>0.49780755131435794</v>
      </c>
      <c r="AF88" s="119">
        <f t="shared" si="44"/>
        <v>0.48779542935378872</v>
      </c>
      <c r="AG88" s="119">
        <f t="shared" si="44"/>
        <v>0.52411294373440231</v>
      </c>
      <c r="AH88" s="119">
        <f t="shared" si="44"/>
        <v>0.49316099354643445</v>
      </c>
      <c r="AI88" s="119">
        <f t="shared" si="44"/>
        <v>0.49494976455282746</v>
      </c>
      <c r="AJ88" s="119"/>
    </row>
    <row r="89" spans="1:36">
      <c r="A89" s="6" t="s">
        <v>65</v>
      </c>
      <c r="B89" s="119">
        <f t="shared" ref="B89:AI89" si="45">B21-B8</f>
        <v>0</v>
      </c>
      <c r="C89" s="119">
        <f t="shared" si="45"/>
        <v>0</v>
      </c>
      <c r="D89" s="119">
        <f t="shared" si="45"/>
        <v>-8.8346800000003896</v>
      </c>
      <c r="E89" s="119">
        <f t="shared" si="45"/>
        <v>-28.748189999999568</v>
      </c>
      <c r="F89" s="119">
        <f t="shared" si="45"/>
        <v>-61.099609999999984</v>
      </c>
      <c r="G89" s="119">
        <f t="shared" si="45"/>
        <v>-62.155379999999241</v>
      </c>
      <c r="H89" s="119">
        <f t="shared" si="45"/>
        <v>-67.105400000000827</v>
      </c>
      <c r="I89" s="119">
        <f t="shared" si="45"/>
        <v>-71.941669999999476</v>
      </c>
      <c r="J89" s="119">
        <f t="shared" si="45"/>
        <v>-71.404379999999264</v>
      </c>
      <c r="K89" s="119">
        <f t="shared" si="45"/>
        <v>-81.834809999999379</v>
      </c>
      <c r="L89" s="119">
        <f t="shared" si="45"/>
        <v>-77.739169999999149</v>
      </c>
      <c r="M89" s="119">
        <f t="shared" si="45"/>
        <v>-93.776010000000724</v>
      </c>
      <c r="N89" s="119">
        <f t="shared" si="45"/>
        <v>-91.975410000000011</v>
      </c>
      <c r="O89" s="119">
        <f t="shared" si="45"/>
        <v>-93.419099999999617</v>
      </c>
      <c r="P89" s="119">
        <f t="shared" si="45"/>
        <v>-105.9910100000011</v>
      </c>
      <c r="Q89" s="119">
        <f t="shared" si="45"/>
        <v>-105.91147000000092</v>
      </c>
      <c r="R89" s="119">
        <f t="shared" si="45"/>
        <v>-108.12743</v>
      </c>
      <c r="S89" s="119">
        <f t="shared" si="45"/>
        <v>-120.90227999999979</v>
      </c>
      <c r="T89" s="119">
        <f t="shared" si="45"/>
        <v>-125.67720999999983</v>
      </c>
      <c r="U89" s="119">
        <f t="shared" si="45"/>
        <v>-131.2208299999993</v>
      </c>
      <c r="V89" s="119">
        <f t="shared" si="45"/>
        <v>-140.06590000000006</v>
      </c>
      <c r="W89" s="119">
        <f t="shared" si="45"/>
        <v>-145.99943999999914</v>
      </c>
      <c r="X89" s="119">
        <f t="shared" si="45"/>
        <v>-144.60788000000048</v>
      </c>
      <c r="Y89" s="119">
        <f t="shared" si="45"/>
        <v>-153.08398000000034</v>
      </c>
      <c r="Z89" s="119">
        <f t="shared" si="45"/>
        <v>-147.82327999999961</v>
      </c>
      <c r="AA89" s="119">
        <f t="shared" si="45"/>
        <v>-157.90168999999878</v>
      </c>
      <c r="AB89" s="119">
        <f t="shared" si="45"/>
        <v>-161.91351999999915</v>
      </c>
      <c r="AC89" s="119">
        <f t="shared" si="45"/>
        <v>-163.11196999999993</v>
      </c>
      <c r="AD89" s="211">
        <f t="shared" si="45"/>
        <v>-180.36011000000053</v>
      </c>
      <c r="AE89" s="119">
        <f t="shared" si="45"/>
        <v>-170.15543999999954</v>
      </c>
      <c r="AF89" s="119">
        <f t="shared" si="45"/>
        <v>-177.24769000000106</v>
      </c>
      <c r="AG89" s="119">
        <f t="shared" si="45"/>
        <v>-192.14904000000115</v>
      </c>
      <c r="AH89" s="119">
        <f t="shared" si="45"/>
        <v>-161.96133000000009</v>
      </c>
      <c r="AI89" s="119">
        <f t="shared" si="45"/>
        <v>-83.979440000000068</v>
      </c>
      <c r="AJ89" s="119"/>
    </row>
    <row r="90" spans="1:36">
      <c r="A90" s="6" t="s">
        <v>52</v>
      </c>
      <c r="B90" s="119">
        <f t="shared" ref="B90:AI90" si="46">B22-B9</f>
        <v>0</v>
      </c>
      <c r="C90" s="119">
        <f t="shared" si="46"/>
        <v>0</v>
      </c>
      <c r="D90" s="119">
        <f t="shared" si="46"/>
        <v>-1.3508299999999593</v>
      </c>
      <c r="E90" s="119">
        <f t="shared" si="46"/>
        <v>-3.868839999999949</v>
      </c>
      <c r="F90" s="119">
        <f t="shared" si="46"/>
        <v>-4.6483500000000078</v>
      </c>
      <c r="G90" s="119">
        <f t="shared" si="46"/>
        <v>-4.4499699999999791</v>
      </c>
      <c r="H90" s="119">
        <f t="shared" si="46"/>
        <v>-4.5221600000000421</v>
      </c>
      <c r="I90" s="119">
        <f t="shared" si="46"/>
        <v>-5.1573099999999954</v>
      </c>
      <c r="J90" s="119">
        <f t="shared" si="46"/>
        <v>-6.4632599999999627</v>
      </c>
      <c r="K90" s="119">
        <f t="shared" si="46"/>
        <v>-5.6183800000000872</v>
      </c>
      <c r="L90" s="119">
        <f t="shared" si="46"/>
        <v>-5.56801999999999</v>
      </c>
      <c r="M90" s="119">
        <f t="shared" si="46"/>
        <v>-5.2211499999999944</v>
      </c>
      <c r="N90" s="119">
        <f t="shared" si="46"/>
        <v>-5.9159000000000788</v>
      </c>
      <c r="O90" s="119">
        <f t="shared" si="46"/>
        <v>-6.1146499999999833</v>
      </c>
      <c r="P90" s="119">
        <f t="shared" si="46"/>
        <v>-6.7716199999999276</v>
      </c>
      <c r="Q90" s="119">
        <f t="shared" si="46"/>
        <v>-7.296859999999981</v>
      </c>
      <c r="R90" s="119">
        <f t="shared" si="46"/>
        <v>-4.6394300000000044</v>
      </c>
      <c r="S90" s="119">
        <f t="shared" si="46"/>
        <v>-2.5206400000000713</v>
      </c>
      <c r="T90" s="119">
        <f t="shared" si="46"/>
        <v>-7.2212399999999661</v>
      </c>
      <c r="U90" s="119">
        <f t="shared" si="46"/>
        <v>-7.1524900000001139</v>
      </c>
      <c r="V90" s="119">
        <f t="shared" si="46"/>
        <v>-7.1116899999999532</v>
      </c>
      <c r="W90" s="119">
        <f t="shared" si="46"/>
        <v>-7.4405600000000049</v>
      </c>
      <c r="X90" s="119">
        <f t="shared" si="46"/>
        <v>-7.1756800000000567</v>
      </c>
      <c r="Y90" s="119">
        <f t="shared" si="46"/>
        <v>-7.7091400000000476</v>
      </c>
      <c r="Z90" s="119">
        <f t="shared" si="46"/>
        <v>-5.4009799999999473</v>
      </c>
      <c r="AA90" s="119">
        <f t="shared" si="46"/>
        <v>-7.6934699999999339</v>
      </c>
      <c r="AB90" s="119">
        <f t="shared" si="46"/>
        <v>-8.2352800000002162</v>
      </c>
      <c r="AC90" s="119">
        <f t="shared" si="46"/>
        <v>-4.2352499999999509</v>
      </c>
      <c r="AD90" s="211">
        <f t="shared" si="46"/>
        <v>-7.6578400000000784</v>
      </c>
      <c r="AE90" s="119">
        <f t="shared" si="46"/>
        <v>-7.0569499999999152</v>
      </c>
      <c r="AF90" s="119">
        <f t="shared" si="46"/>
        <v>-7.1369099999998298</v>
      </c>
      <c r="AG90" s="119">
        <f t="shared" si="46"/>
        <v>6.0711600000000772</v>
      </c>
      <c r="AH90" s="119">
        <f t="shared" si="46"/>
        <v>-6.0569899999999279</v>
      </c>
      <c r="AI90" s="119">
        <f t="shared" si="46"/>
        <v>-4.8739400000000614</v>
      </c>
      <c r="AJ90" s="119"/>
    </row>
    <row r="91" spans="1:36">
      <c r="A91" s="36" t="s">
        <v>66</v>
      </c>
      <c r="B91" s="119">
        <f t="shared" ref="B91:AI91" si="47">B23-B10</f>
        <v>0</v>
      </c>
      <c r="C91" s="119">
        <f t="shared" si="47"/>
        <v>0</v>
      </c>
      <c r="D91" s="119">
        <f t="shared" si="47"/>
        <v>-8.9661500000000061E-2</v>
      </c>
      <c r="E91" s="119">
        <f t="shared" si="47"/>
        <v>-0.24353010000000097</v>
      </c>
      <c r="F91" s="119">
        <f t="shared" si="47"/>
        <v>-0.50805489999999587</v>
      </c>
      <c r="G91" s="119">
        <f t="shared" si="47"/>
        <v>-0.47618920000000031</v>
      </c>
      <c r="H91" s="119">
        <f t="shared" si="47"/>
        <v>-0.41833329999999691</v>
      </c>
      <c r="I91" s="119">
        <f t="shared" si="47"/>
        <v>-0.399178700000002</v>
      </c>
      <c r="J91" s="119">
        <f t="shared" si="47"/>
        <v>-0.4552379000000002</v>
      </c>
      <c r="K91" s="119">
        <f t="shared" si="47"/>
        <v>-0.54228670000000001</v>
      </c>
      <c r="L91" s="119">
        <f t="shared" si="47"/>
        <v>-0.45388989999999829</v>
      </c>
      <c r="M91" s="119">
        <f t="shared" si="47"/>
        <v>-0.53071459999999959</v>
      </c>
      <c r="N91" s="119">
        <f t="shared" si="47"/>
        <v>-0.24730880000000077</v>
      </c>
      <c r="O91" s="119">
        <f t="shared" si="47"/>
        <v>-0.27951810000000066</v>
      </c>
      <c r="P91" s="119">
        <f t="shared" si="47"/>
        <v>-0.11489379999999993</v>
      </c>
      <c r="Q91" s="119">
        <f t="shared" si="47"/>
        <v>-5.9680000000000177E-2</v>
      </c>
      <c r="R91" s="119">
        <f t="shared" si="47"/>
        <v>-6.8470000000000031E-2</v>
      </c>
      <c r="S91" s="119">
        <f t="shared" si="47"/>
        <v>-7.0049999999999724E-2</v>
      </c>
      <c r="T91" s="119">
        <f t="shared" si="47"/>
        <v>-6.5829999999999833E-2</v>
      </c>
      <c r="U91" s="119">
        <f t="shared" si="47"/>
        <v>-6.0869999999999758E-2</v>
      </c>
      <c r="V91" s="119">
        <f t="shared" si="47"/>
        <v>-6.2779999999999614E-2</v>
      </c>
      <c r="W91" s="119">
        <f t="shared" si="47"/>
        <v>-6.3560000000000061E-2</v>
      </c>
      <c r="X91" s="119">
        <f t="shared" si="47"/>
        <v>-6.9180000000000463E-2</v>
      </c>
      <c r="Y91" s="119">
        <f t="shared" si="47"/>
        <v>-6.1760000000000037E-2</v>
      </c>
      <c r="Z91" s="119">
        <f t="shared" si="47"/>
        <v>-6.6889999999999672E-2</v>
      </c>
      <c r="AA91" s="119">
        <f t="shared" si="47"/>
        <v>-7.0250000000000368E-2</v>
      </c>
      <c r="AB91" s="119">
        <f t="shared" si="47"/>
        <v>-6.9899999999999851E-2</v>
      </c>
      <c r="AC91" s="119">
        <f t="shared" si="47"/>
        <v>-6.7750000000000421E-2</v>
      </c>
      <c r="AD91" s="211">
        <f t="shared" si="47"/>
        <v>-6.4550000000000107E-2</v>
      </c>
      <c r="AE91" s="119">
        <f t="shared" si="47"/>
        <v>-6.9560000000000288E-2</v>
      </c>
      <c r="AF91" s="119">
        <f t="shared" si="47"/>
        <v>-6.6859999999999475E-2</v>
      </c>
      <c r="AG91" s="119">
        <f t="shared" si="47"/>
        <v>-6.8319999999999492E-2</v>
      </c>
      <c r="AH91" s="119">
        <f t="shared" si="47"/>
        <v>-5.3510000000000169E-2</v>
      </c>
      <c r="AI91" s="119">
        <f t="shared" si="47"/>
        <v>-2.7640000000000331E-2</v>
      </c>
      <c r="AJ91" s="119"/>
    </row>
    <row r="92" spans="1:36">
      <c r="A92" s="12" t="s">
        <v>69</v>
      </c>
      <c r="B92" s="212">
        <f t="shared" ref="B92:AF92" si="48">B24-B11</f>
        <v>0</v>
      </c>
      <c r="C92" s="212">
        <f t="shared" si="48"/>
        <v>0</v>
      </c>
      <c r="D92" s="212">
        <f t="shared" si="48"/>
        <v>0</v>
      </c>
      <c r="E92" s="212">
        <f t="shared" si="48"/>
        <v>0</v>
      </c>
      <c r="F92" s="212">
        <f t="shared" si="48"/>
        <v>0</v>
      </c>
      <c r="G92" s="212">
        <f t="shared" si="48"/>
        <v>-4.980349999999973</v>
      </c>
      <c r="H92" s="212">
        <f t="shared" si="48"/>
        <v>-8.6021699999999441</v>
      </c>
      <c r="I92" s="212">
        <f t="shared" si="48"/>
        <v>-12.134879999999896</v>
      </c>
      <c r="J92" s="212">
        <f t="shared" si="48"/>
        <v>-16.403320000000065</v>
      </c>
      <c r="K92" s="212">
        <f t="shared" si="48"/>
        <v>-20.637249999999824</v>
      </c>
      <c r="L92" s="212">
        <f t="shared" si="48"/>
        <v>-23.206850000000145</v>
      </c>
      <c r="M92" s="212">
        <f t="shared" si="48"/>
        <v>-28.627020000000016</v>
      </c>
      <c r="N92" s="212">
        <f t="shared" si="48"/>
        <v>-28.199230000000398</v>
      </c>
      <c r="O92" s="212">
        <f t="shared" si="48"/>
        <v>-31.458680000000072</v>
      </c>
      <c r="P92" s="212">
        <f t="shared" si="48"/>
        <v>-33.651069999999891</v>
      </c>
      <c r="Q92" s="212">
        <f t="shared" si="48"/>
        <v>-34.953730000000064</v>
      </c>
      <c r="R92" s="212">
        <f t="shared" si="48"/>
        <v>-41.899330000000077</v>
      </c>
      <c r="S92" s="212">
        <f t="shared" si="48"/>
        <v>-50.387729999999692</v>
      </c>
      <c r="T92" s="212">
        <f t="shared" si="48"/>
        <v>-57.034759999999096</v>
      </c>
      <c r="U92" s="212">
        <f t="shared" si="48"/>
        <v>-66.552530000000388</v>
      </c>
      <c r="V92" s="212">
        <f t="shared" si="48"/>
        <v>-73.615619999999808</v>
      </c>
      <c r="W92" s="212">
        <f t="shared" si="48"/>
        <v>-80.897380000000567</v>
      </c>
      <c r="X92" s="212">
        <f t="shared" si="48"/>
        <v>-83.744630000000143</v>
      </c>
      <c r="Y92" s="212">
        <f t="shared" si="48"/>
        <v>-91.807760000000144</v>
      </c>
      <c r="Z92" s="212">
        <f t="shared" si="48"/>
        <v>-94.132199999999102</v>
      </c>
      <c r="AA92" s="212">
        <f t="shared" si="48"/>
        <v>-101.50130999999919</v>
      </c>
      <c r="AB92" s="212">
        <f t="shared" si="48"/>
        <v>-106.4099199999996</v>
      </c>
      <c r="AC92" s="212">
        <f t="shared" si="48"/>
        <v>-109.52604999999949</v>
      </c>
      <c r="AD92" s="213">
        <f t="shared" si="48"/>
        <v>-123.4436799999994</v>
      </c>
      <c r="AE92" s="212">
        <f t="shared" si="48"/>
        <v>-120.45835999999963</v>
      </c>
      <c r="AF92" s="212">
        <f t="shared" si="48"/>
        <v>-128.22350000000006</v>
      </c>
      <c r="AG92" s="212">
        <f t="shared" ref="AG92:AH92" si="49">AG24-AG11</f>
        <v>-143.9122499999994</v>
      </c>
      <c r="AH92" s="212">
        <f t="shared" si="49"/>
        <v>-123.20380999999998</v>
      </c>
      <c r="AI92" s="212">
        <f>AI24-AI11</f>
        <v>-65.061799999999494</v>
      </c>
      <c r="AJ92" s="212"/>
    </row>
    <row r="93" spans="1:36">
      <c r="A93" s="6" t="s">
        <v>61</v>
      </c>
      <c r="B93" s="15">
        <f t="shared" ref="B93:AI93" si="50">SUM(B83:B92)</f>
        <v>0</v>
      </c>
      <c r="C93" s="15">
        <f t="shared" si="50"/>
        <v>1.0200790961866668</v>
      </c>
      <c r="D93" s="15">
        <f t="shared" si="50"/>
        <v>21.210429168479756</v>
      </c>
      <c r="E93" s="15">
        <f t="shared" si="50"/>
        <v>54.893755096679584</v>
      </c>
      <c r="F93" s="15">
        <f t="shared" si="50"/>
        <v>72.74018281337122</v>
      </c>
      <c r="G93" s="15">
        <f t="shared" si="50"/>
        <v>59.935335866833626</v>
      </c>
      <c r="H93" s="15">
        <f t="shared" si="50"/>
        <v>45.190731993824585</v>
      </c>
      <c r="I93" s="15">
        <f t="shared" si="50"/>
        <v>12.330966211368285</v>
      </c>
      <c r="J93" s="15">
        <f t="shared" si="50"/>
        <v>-15.184661038779637</v>
      </c>
      <c r="K93" s="15">
        <f t="shared" si="50"/>
        <v>-27.859297975323422</v>
      </c>
      <c r="L93" s="15">
        <f t="shared" si="50"/>
        <v>-31.507588732982235</v>
      </c>
      <c r="M93" s="15">
        <f t="shared" si="50"/>
        <v>-50.979184847284827</v>
      </c>
      <c r="N93" s="15">
        <f t="shared" si="50"/>
        <v>-54.413313208448542</v>
      </c>
      <c r="O93" s="15">
        <f t="shared" si="50"/>
        <v>-57.285174516653484</v>
      </c>
      <c r="P93" s="15">
        <f t="shared" si="50"/>
        <v>-107.72784377043095</v>
      </c>
      <c r="Q93" s="15">
        <f t="shared" si="50"/>
        <v>-140.66373769503889</v>
      </c>
      <c r="R93" s="15">
        <f t="shared" si="50"/>
        <v>-120.28696380065024</v>
      </c>
      <c r="S93" s="15">
        <f t="shared" si="50"/>
        <v>-121.17481132907774</v>
      </c>
      <c r="T93" s="15">
        <f t="shared" si="50"/>
        <v>-162.10771068777149</v>
      </c>
      <c r="U93" s="15">
        <f t="shared" si="50"/>
        <v>-199.72917179358552</v>
      </c>
      <c r="V93" s="15">
        <f t="shared" si="50"/>
        <v>-217.36273496690444</v>
      </c>
      <c r="W93" s="15">
        <f t="shared" si="50"/>
        <v>-232.60392559712793</v>
      </c>
      <c r="X93" s="15">
        <f t="shared" si="50"/>
        <v>-235.29011594081459</v>
      </c>
      <c r="Y93" s="15">
        <f t="shared" si="50"/>
        <v>-253.85735585045694</v>
      </c>
      <c r="Z93" s="15">
        <f t="shared" si="50"/>
        <v>-250.10229282588855</v>
      </c>
      <c r="AA93" s="15">
        <f t="shared" si="50"/>
        <v>-271.35234454164953</v>
      </c>
      <c r="AB93" s="15">
        <f t="shared" si="50"/>
        <v>-248.26105791241517</v>
      </c>
      <c r="AC93" s="52">
        <f t="shared" si="50"/>
        <v>-226.23033450219168</v>
      </c>
      <c r="AD93" s="214">
        <f t="shared" si="50"/>
        <v>-262.92820462672182</v>
      </c>
      <c r="AE93" s="15">
        <f t="shared" si="50"/>
        <v>-251.26112363567199</v>
      </c>
      <c r="AF93" s="15">
        <f t="shared" si="50"/>
        <v>-268.24898390707426</v>
      </c>
      <c r="AG93" s="15">
        <f t="shared" si="50"/>
        <v>-283.93436863227805</v>
      </c>
      <c r="AH93" s="15">
        <f t="shared" si="50"/>
        <v>-254.57352333730105</v>
      </c>
      <c r="AI93" s="15">
        <f t="shared" si="50"/>
        <v>-140.24832047564638</v>
      </c>
      <c r="AJ93" s="15"/>
    </row>
    <row r="94" spans="1:36"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52"/>
      <c r="AD94" s="214"/>
      <c r="AE94" s="15"/>
      <c r="AF94" s="15"/>
      <c r="AG94" s="15"/>
      <c r="AH94" s="15"/>
      <c r="AI94" s="15"/>
      <c r="AJ94" s="15"/>
    </row>
    <row r="95" spans="1:36">
      <c r="A95" s="6" t="s">
        <v>71</v>
      </c>
      <c r="AC95" s="36"/>
      <c r="AD95" s="215"/>
    </row>
    <row r="96" spans="1:36">
      <c r="A96" s="152" t="str">
        <f>A82</f>
        <v>Clean Energy Connection-SoBra 700MWs</v>
      </c>
      <c r="B96" s="152">
        <f>$B$1</f>
        <v>2020</v>
      </c>
      <c r="C96" s="152">
        <f t="shared" ref="C96:AI96" si="51">B96+1</f>
        <v>2021</v>
      </c>
      <c r="D96" s="152">
        <f t="shared" si="51"/>
        <v>2022</v>
      </c>
      <c r="E96" s="152">
        <f t="shared" si="51"/>
        <v>2023</v>
      </c>
      <c r="F96" s="152">
        <f t="shared" si="51"/>
        <v>2024</v>
      </c>
      <c r="G96" s="152">
        <f t="shared" si="51"/>
        <v>2025</v>
      </c>
      <c r="H96" s="152">
        <f t="shared" si="51"/>
        <v>2026</v>
      </c>
      <c r="I96" s="152">
        <f t="shared" si="51"/>
        <v>2027</v>
      </c>
      <c r="J96" s="152">
        <f t="shared" si="51"/>
        <v>2028</v>
      </c>
      <c r="K96" s="152">
        <f t="shared" si="51"/>
        <v>2029</v>
      </c>
      <c r="L96" s="152">
        <f t="shared" si="51"/>
        <v>2030</v>
      </c>
      <c r="M96" s="152">
        <f t="shared" si="51"/>
        <v>2031</v>
      </c>
      <c r="N96" s="152">
        <f t="shared" si="51"/>
        <v>2032</v>
      </c>
      <c r="O96" s="152">
        <f t="shared" si="51"/>
        <v>2033</v>
      </c>
      <c r="P96" s="152">
        <f t="shared" si="51"/>
        <v>2034</v>
      </c>
      <c r="Q96" s="152">
        <f t="shared" si="51"/>
        <v>2035</v>
      </c>
      <c r="R96" s="152">
        <f t="shared" si="51"/>
        <v>2036</v>
      </c>
      <c r="S96" s="152">
        <f t="shared" si="51"/>
        <v>2037</v>
      </c>
      <c r="T96" s="152">
        <f t="shared" si="51"/>
        <v>2038</v>
      </c>
      <c r="U96" s="152">
        <f t="shared" si="51"/>
        <v>2039</v>
      </c>
      <c r="V96" s="152">
        <f t="shared" si="51"/>
        <v>2040</v>
      </c>
      <c r="W96" s="152">
        <f t="shared" si="51"/>
        <v>2041</v>
      </c>
      <c r="X96" s="152">
        <f t="shared" si="51"/>
        <v>2042</v>
      </c>
      <c r="Y96" s="152">
        <f t="shared" si="51"/>
        <v>2043</v>
      </c>
      <c r="Z96" s="152">
        <f t="shared" si="51"/>
        <v>2044</v>
      </c>
      <c r="AA96" s="152">
        <f t="shared" si="51"/>
        <v>2045</v>
      </c>
      <c r="AB96" s="152">
        <f t="shared" si="51"/>
        <v>2046</v>
      </c>
      <c r="AC96" s="209">
        <f t="shared" si="51"/>
        <v>2047</v>
      </c>
      <c r="AD96" s="210">
        <f t="shared" si="51"/>
        <v>2048</v>
      </c>
      <c r="AE96" s="152">
        <f t="shared" si="51"/>
        <v>2049</v>
      </c>
      <c r="AF96" s="152">
        <f t="shared" si="51"/>
        <v>2050</v>
      </c>
      <c r="AG96" s="152">
        <f t="shared" si="51"/>
        <v>2051</v>
      </c>
      <c r="AH96" s="152">
        <f t="shared" si="51"/>
        <v>2052</v>
      </c>
      <c r="AI96" s="152">
        <f t="shared" si="51"/>
        <v>2053</v>
      </c>
      <c r="AJ96" s="152"/>
    </row>
    <row r="97" spans="1:37">
      <c r="A97" s="6" t="s">
        <v>134</v>
      </c>
      <c r="B97" s="119">
        <f t="shared" ref="B97:AI97" si="52">B42-B29</f>
        <v>0</v>
      </c>
      <c r="C97" s="119">
        <f t="shared" si="52"/>
        <v>0</v>
      </c>
      <c r="D97" s="119">
        <f t="shared" si="52"/>
        <v>0</v>
      </c>
      <c r="E97" s="119">
        <f t="shared" si="52"/>
        <v>0</v>
      </c>
      <c r="F97" s="119">
        <f t="shared" si="52"/>
        <v>0</v>
      </c>
      <c r="G97" s="119">
        <f t="shared" si="52"/>
        <v>0</v>
      </c>
      <c r="H97" s="119">
        <f t="shared" si="52"/>
        <v>0</v>
      </c>
      <c r="I97" s="119">
        <f t="shared" si="52"/>
        <v>0</v>
      </c>
      <c r="J97" s="119">
        <f t="shared" si="52"/>
        <v>0</v>
      </c>
      <c r="K97" s="119">
        <f t="shared" si="52"/>
        <v>0</v>
      </c>
      <c r="L97" s="119">
        <f t="shared" si="52"/>
        <v>0</v>
      </c>
      <c r="M97" s="119">
        <f t="shared" si="52"/>
        <v>0</v>
      </c>
      <c r="N97" s="119">
        <f t="shared" si="52"/>
        <v>0</v>
      </c>
      <c r="O97" s="119">
        <f t="shared" si="52"/>
        <v>0</v>
      </c>
      <c r="P97" s="119">
        <f t="shared" si="52"/>
        <v>0</v>
      </c>
      <c r="Q97" s="119">
        <f t="shared" si="52"/>
        <v>0</v>
      </c>
      <c r="R97" s="119">
        <f t="shared" si="52"/>
        <v>0</v>
      </c>
      <c r="S97" s="119">
        <f t="shared" si="52"/>
        <v>0</v>
      </c>
      <c r="T97" s="119">
        <f t="shared" si="52"/>
        <v>0</v>
      </c>
      <c r="U97" s="119">
        <f t="shared" si="52"/>
        <v>0</v>
      </c>
      <c r="V97" s="119">
        <f t="shared" si="52"/>
        <v>0</v>
      </c>
      <c r="W97" s="119">
        <f t="shared" si="52"/>
        <v>0</v>
      </c>
      <c r="X97" s="119">
        <f t="shared" si="52"/>
        <v>0</v>
      </c>
      <c r="Y97" s="119">
        <f t="shared" si="52"/>
        <v>0</v>
      </c>
      <c r="Z97" s="119">
        <f t="shared" si="52"/>
        <v>0</v>
      </c>
      <c r="AA97" s="119">
        <f t="shared" si="52"/>
        <v>0</v>
      </c>
      <c r="AB97" s="119">
        <f t="shared" si="52"/>
        <v>0</v>
      </c>
      <c r="AC97" s="119">
        <f t="shared" si="52"/>
        <v>0</v>
      </c>
      <c r="AD97" s="211">
        <f t="shared" si="52"/>
        <v>0</v>
      </c>
      <c r="AE97" s="119">
        <f t="shared" si="52"/>
        <v>0</v>
      </c>
      <c r="AF97" s="119">
        <f t="shared" si="52"/>
        <v>0</v>
      </c>
      <c r="AG97" s="119">
        <f t="shared" si="52"/>
        <v>0</v>
      </c>
      <c r="AH97" s="119">
        <f t="shared" si="52"/>
        <v>0</v>
      </c>
      <c r="AI97" s="119">
        <f t="shared" si="52"/>
        <v>0</v>
      </c>
      <c r="AJ97" s="119"/>
    </row>
    <row r="98" spans="1:37">
      <c r="A98" s="6" t="s">
        <v>135</v>
      </c>
      <c r="B98" s="119">
        <f t="shared" ref="B98:AI98" si="53">B43-B30</f>
        <v>0</v>
      </c>
      <c r="C98" s="119">
        <f t="shared" si="53"/>
        <v>0</v>
      </c>
      <c r="D98" s="119">
        <f t="shared" si="53"/>
        <v>27.104402529171068</v>
      </c>
      <c r="E98" s="119">
        <f t="shared" si="53"/>
        <v>71.677271703898896</v>
      </c>
      <c r="F98" s="119">
        <f t="shared" si="53"/>
        <v>106.71659618161929</v>
      </c>
      <c r="G98" s="119">
        <f t="shared" si="53"/>
        <v>94.968223232679676</v>
      </c>
      <c r="H98" s="119">
        <f t="shared" si="53"/>
        <v>84.930290419949785</v>
      </c>
      <c r="I98" s="119">
        <f t="shared" si="53"/>
        <v>71.369318056281188</v>
      </c>
      <c r="J98" s="119">
        <f t="shared" si="53"/>
        <v>64.616065941150438</v>
      </c>
      <c r="K98" s="119">
        <f t="shared" si="53"/>
        <v>58.847825074856878</v>
      </c>
      <c r="L98" s="119">
        <f t="shared" si="53"/>
        <v>53.786374701416463</v>
      </c>
      <c r="M98" s="119">
        <f t="shared" si="53"/>
        <v>49.250786941365043</v>
      </c>
      <c r="N98" s="119">
        <f t="shared" si="53"/>
        <v>45.08657486113227</v>
      </c>
      <c r="O98" s="119">
        <f t="shared" si="53"/>
        <v>41.252032029110545</v>
      </c>
      <c r="P98" s="119">
        <f t="shared" si="53"/>
        <v>37.704265111778128</v>
      </c>
      <c r="Q98" s="119">
        <f t="shared" si="53"/>
        <v>34.471759461208883</v>
      </c>
      <c r="R98" s="119">
        <f t="shared" si="53"/>
        <v>31.510242239544308</v>
      </c>
      <c r="S98" s="119">
        <f t="shared" si="53"/>
        <v>28.771416472238894</v>
      </c>
      <c r="T98" s="119">
        <f t="shared" si="53"/>
        <v>28.186255215442095</v>
      </c>
      <c r="U98" s="119">
        <f t="shared" si="53"/>
        <v>25.599452768354144</v>
      </c>
      <c r="V98" s="119">
        <f t="shared" si="53"/>
        <v>23.223951483068507</v>
      </c>
      <c r="W98" s="119">
        <f t="shared" si="53"/>
        <v>21.051786711251751</v>
      </c>
      <c r="X98" s="119">
        <f t="shared" si="53"/>
        <v>19.118354143731811</v>
      </c>
      <c r="Y98" s="119">
        <f t="shared" si="53"/>
        <v>17.388538002102155</v>
      </c>
      <c r="Z98" s="119">
        <f t="shared" si="53"/>
        <v>15.82103716639633</v>
      </c>
      <c r="AA98" s="119">
        <f t="shared" si="53"/>
        <v>14.367151034475768</v>
      </c>
      <c r="AB98" s="119">
        <f t="shared" si="53"/>
        <v>13.070098401550514</v>
      </c>
      <c r="AC98" s="119">
        <f t="shared" si="53"/>
        <v>11.873952695715952</v>
      </c>
      <c r="AD98" s="211">
        <f t="shared" si="53"/>
        <v>10.792396380648784</v>
      </c>
      <c r="AE98" s="119">
        <f t="shared" si="53"/>
        <v>9.7892282563921427</v>
      </c>
      <c r="AF98" s="119">
        <f t="shared" si="53"/>
        <v>8.8893100063044432</v>
      </c>
      <c r="AG98" s="119">
        <f t="shared" si="53"/>
        <v>8.5564850648572275</v>
      </c>
      <c r="AH98" s="119">
        <f t="shared" si="53"/>
        <v>6.8276065268349155</v>
      </c>
      <c r="AI98" s="119">
        <f t="shared" si="53"/>
        <v>3.6792355349898176</v>
      </c>
      <c r="AJ98" s="119"/>
    </row>
    <row r="99" spans="1:37">
      <c r="A99" s="6" t="s">
        <v>60</v>
      </c>
      <c r="B99" s="119">
        <f t="shared" ref="B99:AI99" si="54">B44-B31</f>
        <v>0</v>
      </c>
      <c r="C99" s="119">
        <f t="shared" si="54"/>
        <v>0</v>
      </c>
      <c r="D99" s="119">
        <f t="shared" si="54"/>
        <v>0</v>
      </c>
      <c r="E99" s="119">
        <f t="shared" si="54"/>
        <v>0</v>
      </c>
      <c r="F99" s="119">
        <f t="shared" si="54"/>
        <v>0</v>
      </c>
      <c r="G99" s="119">
        <f t="shared" si="54"/>
        <v>0</v>
      </c>
      <c r="H99" s="119">
        <f t="shared" si="54"/>
        <v>0</v>
      </c>
      <c r="I99" s="119">
        <f t="shared" si="54"/>
        <v>-6.8065319934405428</v>
      </c>
      <c r="J99" s="119">
        <f t="shared" si="54"/>
        <v>-17.156741119315107</v>
      </c>
      <c r="K99" s="119">
        <f t="shared" si="54"/>
        <v>-13.726353422336407</v>
      </c>
      <c r="L99" s="119">
        <f t="shared" si="54"/>
        <v>-14.248865358300485</v>
      </c>
      <c r="M99" s="119">
        <f t="shared" si="54"/>
        <v>-11.279824508640477</v>
      </c>
      <c r="N99" s="119">
        <f t="shared" si="54"/>
        <v>-11.863680592843043</v>
      </c>
      <c r="O99" s="119">
        <f t="shared" si="54"/>
        <v>-9.2811218396467083</v>
      </c>
      <c r="P99" s="119">
        <f t="shared" si="54"/>
        <v>-11.19201308176531</v>
      </c>
      <c r="Q99" s="119">
        <f t="shared" si="54"/>
        <v>-14.187978567056973</v>
      </c>
      <c r="R99" s="119">
        <f t="shared" si="54"/>
        <v>-8.0090661841749977</v>
      </c>
      <c r="S99" s="119">
        <f t="shared" si="54"/>
        <v>-4.0408851685104423</v>
      </c>
      <c r="T99" s="119">
        <f t="shared" si="54"/>
        <v>-8.0679780383568698</v>
      </c>
      <c r="U99" s="119">
        <f t="shared" si="54"/>
        <v>-10.230610525944485</v>
      </c>
      <c r="V99" s="119">
        <f t="shared" si="54"/>
        <v>-9.2733521014794462</v>
      </c>
      <c r="W99" s="119">
        <f t="shared" si="54"/>
        <v>-8.400031038110825</v>
      </c>
      <c r="X99" s="119">
        <f t="shared" si="54"/>
        <v>-7.6126832420071935</v>
      </c>
      <c r="Y99" s="119">
        <f t="shared" si="54"/>
        <v>-6.9229754540364183</v>
      </c>
      <c r="Z99" s="119">
        <f t="shared" si="54"/>
        <v>-6.3108975403765442</v>
      </c>
      <c r="AA99" s="119">
        <f t="shared" si="54"/>
        <v>-5.7501154341850054</v>
      </c>
      <c r="AB99" s="119">
        <f t="shared" si="54"/>
        <v>-2.3105606931873979</v>
      </c>
      <c r="AC99" s="119">
        <f t="shared" si="54"/>
        <v>-0.1697862694786636</v>
      </c>
      <c r="AD99" s="211">
        <f t="shared" si="54"/>
        <v>-0.15832837445410064</v>
      </c>
      <c r="AE99" s="119">
        <f t="shared" si="54"/>
        <v>-0.14486076974009165</v>
      </c>
      <c r="AF99" s="119">
        <f t="shared" si="54"/>
        <v>-0.13681173878222808</v>
      </c>
      <c r="AG99" s="119">
        <f t="shared" si="54"/>
        <v>-0.12550708883797768</v>
      </c>
      <c r="AH99" s="119">
        <f t="shared" si="54"/>
        <v>-9.9581258497082104E-2</v>
      </c>
      <c r="AI99" s="119">
        <f t="shared" si="54"/>
        <v>-7.5554121779191519E-2</v>
      </c>
      <c r="AJ99" s="119"/>
    </row>
    <row r="100" spans="1:37">
      <c r="A100" s="6" t="s">
        <v>68</v>
      </c>
      <c r="B100" s="119">
        <f t="shared" ref="B100:AI100" si="55">B45-B32</f>
        <v>0</v>
      </c>
      <c r="C100" s="119">
        <f t="shared" si="55"/>
        <v>0</v>
      </c>
      <c r="D100" s="119">
        <f t="shared" si="55"/>
        <v>0</v>
      </c>
      <c r="E100" s="119">
        <f t="shared" si="55"/>
        <v>0</v>
      </c>
      <c r="F100" s="119">
        <f t="shared" si="55"/>
        <v>0</v>
      </c>
      <c r="G100" s="119">
        <f t="shared" si="55"/>
        <v>0</v>
      </c>
      <c r="H100" s="119">
        <f t="shared" si="55"/>
        <v>0</v>
      </c>
      <c r="I100" s="119">
        <f t="shared" si="55"/>
        <v>-0.16330587684247888</v>
      </c>
      <c r="J100" s="119">
        <f t="shared" si="55"/>
        <v>-0.42581547344002857</v>
      </c>
      <c r="K100" s="119">
        <f t="shared" si="55"/>
        <v>-0.36600215588460294</v>
      </c>
      <c r="L100" s="119">
        <f t="shared" si="55"/>
        <v>-0.39296000930739261</v>
      </c>
      <c r="M100" s="119">
        <f t="shared" si="55"/>
        <v>-0.33774844971718743</v>
      </c>
      <c r="N100" s="119">
        <f t="shared" si="55"/>
        <v>-0.36262822702841113</v>
      </c>
      <c r="O100" s="119">
        <f t="shared" si="55"/>
        <v>-0.31168009963181298</v>
      </c>
      <c r="P100" s="119">
        <f t="shared" si="55"/>
        <v>-0.60864539849580446</v>
      </c>
      <c r="Q100" s="119">
        <f t="shared" si="55"/>
        <v>-0.85729600384555305</v>
      </c>
      <c r="R100" s="119">
        <f t="shared" si="55"/>
        <v>-0.58334890442599452</v>
      </c>
      <c r="S100" s="119">
        <f t="shared" si="55"/>
        <v>-0.39556578567956358</v>
      </c>
      <c r="T100" s="119">
        <f t="shared" si="55"/>
        <v>-0.60165971424810927</v>
      </c>
      <c r="U100" s="119">
        <f t="shared" si="55"/>
        <v>-0.73007606582694606</v>
      </c>
      <c r="V100" s="119">
        <f t="shared" si="55"/>
        <v>-0.70133843795907858</v>
      </c>
      <c r="W100" s="119">
        <f t="shared" si="55"/>
        <v>-0.67373083929414435</v>
      </c>
      <c r="X100" s="119">
        <f t="shared" si="55"/>
        <v>-0.64721397613967468</v>
      </c>
      <c r="Y100" s="119">
        <f t="shared" si="55"/>
        <v>-0.62173529939348526</v>
      </c>
      <c r="Z100" s="119">
        <f t="shared" si="55"/>
        <v>-0.59726296340448393</v>
      </c>
      <c r="AA100" s="119">
        <f t="shared" si="55"/>
        <v>-0.57375248811864132</v>
      </c>
      <c r="AB100" s="119">
        <f t="shared" si="55"/>
        <v>-0.3904123863671245</v>
      </c>
      <c r="AC100" s="119">
        <f t="shared" si="55"/>
        <v>-0.26473626165666353</v>
      </c>
      <c r="AD100" s="211">
        <f t="shared" si="55"/>
        <v>-0.25431495837184492</v>
      </c>
      <c r="AE100" s="119">
        <f t="shared" si="55"/>
        <v>-0.24430496887774389</v>
      </c>
      <c r="AF100" s="119">
        <f t="shared" si="55"/>
        <v>-0.23468939481063344</v>
      </c>
      <c r="AG100" s="119">
        <f t="shared" si="55"/>
        <v>-0.22545071707872566</v>
      </c>
      <c r="AH100" s="119">
        <f t="shared" si="55"/>
        <v>-0.21657621141846928</v>
      </c>
      <c r="AI100" s="119">
        <f t="shared" si="55"/>
        <v>-0.20805080481709393</v>
      </c>
      <c r="AJ100" s="119"/>
    </row>
    <row r="101" spans="1:37">
      <c r="A101" s="6" t="s">
        <v>67</v>
      </c>
      <c r="B101" s="119">
        <f t="shared" ref="B101:AI101" si="56">B46-B33</f>
        <v>0</v>
      </c>
      <c r="C101" s="119">
        <f t="shared" si="56"/>
        <v>0</v>
      </c>
      <c r="D101" s="119">
        <f t="shared" si="56"/>
        <v>0</v>
      </c>
      <c r="E101" s="119">
        <f t="shared" si="56"/>
        <v>0</v>
      </c>
      <c r="F101" s="119">
        <f t="shared" si="56"/>
        <v>0</v>
      </c>
      <c r="G101" s="119">
        <f t="shared" si="56"/>
        <v>0</v>
      </c>
      <c r="H101" s="119">
        <f t="shared" si="56"/>
        <v>0</v>
      </c>
      <c r="I101" s="119">
        <f t="shared" si="56"/>
        <v>0</v>
      </c>
      <c r="J101" s="119">
        <f t="shared" si="56"/>
        <v>0</v>
      </c>
      <c r="K101" s="119">
        <f t="shared" si="56"/>
        <v>0</v>
      </c>
      <c r="L101" s="119">
        <f t="shared" si="56"/>
        <v>0</v>
      </c>
      <c r="M101" s="119">
        <f t="shared" si="56"/>
        <v>0</v>
      </c>
      <c r="N101" s="119">
        <f t="shared" si="56"/>
        <v>0</v>
      </c>
      <c r="O101" s="119">
        <f t="shared" si="56"/>
        <v>0</v>
      </c>
      <c r="P101" s="119">
        <f t="shared" si="56"/>
        <v>-10.406972306614819</v>
      </c>
      <c r="Q101" s="119">
        <f t="shared" si="56"/>
        <v>-16.720273684625397</v>
      </c>
      <c r="R101" s="119">
        <f t="shared" si="56"/>
        <v>-10.868456631186831</v>
      </c>
      <c r="S101" s="119">
        <f t="shared" si="56"/>
        <v>-6.9714385497996147</v>
      </c>
      <c r="T101" s="119">
        <f t="shared" si="56"/>
        <v>-10.964988828656743</v>
      </c>
      <c r="U101" s="119">
        <f t="shared" si="56"/>
        <v>-13.242936666713547</v>
      </c>
      <c r="V101" s="119">
        <f t="shared" si="56"/>
        <v>-12.411380037396697</v>
      </c>
      <c r="W101" s="119">
        <f t="shared" si="56"/>
        <v>-11.632020965446685</v>
      </c>
      <c r="X101" s="119">
        <f t="shared" si="56"/>
        <v>-10.901612901074685</v>
      </c>
      <c r="Y101" s="119">
        <f t="shared" si="56"/>
        <v>-10.217069260613613</v>
      </c>
      <c r="Z101" s="119">
        <f t="shared" si="56"/>
        <v>-9.5755206293738695</v>
      </c>
      <c r="AA101" s="119">
        <f t="shared" si="56"/>
        <v>-8.9742461381198382</v>
      </c>
      <c r="AB101" s="119">
        <f t="shared" si="56"/>
        <v>-5.196999863071369</v>
      </c>
      <c r="AC101" s="119">
        <f t="shared" si="56"/>
        <v>-2.7192990630778127</v>
      </c>
      <c r="AD101" s="211">
        <f t="shared" si="56"/>
        <v>-2.5485464508695372</v>
      </c>
      <c r="AE101" s="119">
        <f t="shared" si="56"/>
        <v>-2.3885158864756875</v>
      </c>
      <c r="AF101" s="119">
        <f t="shared" si="56"/>
        <v>-2.2385341016641718</v>
      </c>
      <c r="AG101" s="119">
        <f t="shared" si="56"/>
        <v>-2.097970104652461</v>
      </c>
      <c r="AH101" s="119">
        <f t="shared" si="56"/>
        <v>-1.9662325254474808</v>
      </c>
      <c r="AI101" s="119">
        <f t="shared" si="56"/>
        <v>-1.8427671278795401</v>
      </c>
      <c r="AJ101" s="119"/>
    </row>
    <row r="102" spans="1:37">
      <c r="A102" s="6" t="s">
        <v>383</v>
      </c>
      <c r="B102" s="119">
        <f t="shared" ref="B102:AI102" si="57">B47-B34</f>
        <v>0</v>
      </c>
      <c r="C102" s="119">
        <f t="shared" si="57"/>
        <v>0.95602539473914416</v>
      </c>
      <c r="D102" s="119">
        <f t="shared" si="57"/>
        <v>0.55120123026807166</v>
      </c>
      <c r="E102" s="119">
        <f t="shared" si="57"/>
        <v>0.5623101071629828</v>
      </c>
      <c r="F102" s="119">
        <f t="shared" si="57"/>
        <v>0.52054864825483194</v>
      </c>
      <c r="G102" s="119">
        <f t="shared" si="57"/>
        <v>0.47447401205225109</v>
      </c>
      <c r="H102" s="119">
        <f t="shared" si="57"/>
        <v>0.34594805194586459</v>
      </c>
      <c r="I102" s="119">
        <f t="shared" si="57"/>
        <v>0.35889584333158642</v>
      </c>
      <c r="J102" s="119">
        <f t="shared" si="57"/>
        <v>0.31198140715775902</v>
      </c>
      <c r="K102" s="119">
        <f t="shared" si="57"/>
        <v>0.30427695800079424</v>
      </c>
      <c r="L102" s="119">
        <f t="shared" si="57"/>
        <v>0.30795444784735088</v>
      </c>
      <c r="M102" s="119">
        <f t="shared" si="57"/>
        <v>0.18247509532472547</v>
      </c>
      <c r="N102" s="119">
        <f t="shared" si="57"/>
        <v>0.16938864297452635</v>
      </c>
      <c r="O102" s="119">
        <f t="shared" si="57"/>
        <v>0.18396491954915264</v>
      </c>
      <c r="P102" s="119">
        <f t="shared" si="57"/>
        <v>0.15422719438562776</v>
      </c>
      <c r="Q102" s="119">
        <f t="shared" si="57"/>
        <v>0.15098936805677604</v>
      </c>
      <c r="R102" s="119">
        <f t="shared" si="57"/>
        <v>0.15539588507457328</v>
      </c>
      <c r="S102" s="119">
        <f t="shared" si="57"/>
        <v>0.13751918551195877</v>
      </c>
      <c r="T102" s="119">
        <f t="shared" si="57"/>
        <v>0.12817027651588755</v>
      </c>
      <c r="U102" s="119">
        <f t="shared" si="57"/>
        <v>0.13758403227896901</v>
      </c>
      <c r="V102" s="119">
        <f t="shared" si="57"/>
        <v>0.11698394016848228</v>
      </c>
      <c r="W102" s="119">
        <f t="shared" si="57"/>
        <v>0.11435737038101808</v>
      </c>
      <c r="X102" s="119">
        <f t="shared" si="57"/>
        <v>0.11692608052186379</v>
      </c>
      <c r="Y102" s="119">
        <f t="shared" si="57"/>
        <v>0.10440876415134408</v>
      </c>
      <c r="Z102" s="119">
        <f t="shared" si="57"/>
        <v>9.7684384896888563E-2</v>
      </c>
      <c r="AA102" s="119">
        <f t="shared" si="57"/>
        <v>0.10368824913571693</v>
      </c>
      <c r="AB102" s="119">
        <f t="shared" si="57"/>
        <v>8.2564650928115241E-2</v>
      </c>
      <c r="AC102" s="119">
        <f t="shared" si="57"/>
        <v>8.3465961159684646E-2</v>
      </c>
      <c r="AD102" s="211">
        <f t="shared" si="57"/>
        <v>7.5842450435234077E-2</v>
      </c>
      <c r="AE102" s="119">
        <f t="shared" si="57"/>
        <v>7.5909008158437943E-2</v>
      </c>
      <c r="AF102" s="119">
        <f t="shared" si="57"/>
        <v>6.971161497164291E-2</v>
      </c>
      <c r="AG102" s="119">
        <f t="shared" si="57"/>
        <v>7.0198508240108884E-2</v>
      </c>
      <c r="AH102" s="119">
        <f t="shared" si="57"/>
        <v>6.1905223697295828E-2</v>
      </c>
      <c r="AI102" s="119">
        <f t="shared" si="57"/>
        <v>5.822845688296438E-2</v>
      </c>
      <c r="AJ102" s="119"/>
    </row>
    <row r="103" spans="1:37">
      <c r="A103" s="6" t="s">
        <v>65</v>
      </c>
      <c r="B103" s="119">
        <f t="shared" ref="B103:AI103" si="58">B48-B35</f>
        <v>0</v>
      </c>
      <c r="C103" s="119">
        <f t="shared" si="58"/>
        <v>0</v>
      </c>
      <c r="D103" s="119">
        <f t="shared" si="58"/>
        <v>-7.7600047079948808</v>
      </c>
      <c r="E103" s="119">
        <f t="shared" si="58"/>
        <v>-23.665585205358752</v>
      </c>
      <c r="F103" s="119">
        <f t="shared" si="58"/>
        <v>-47.139042897635363</v>
      </c>
      <c r="G103" s="119">
        <f t="shared" si="58"/>
        <v>-44.942438088888366</v>
      </c>
      <c r="H103" s="119">
        <f t="shared" si="58"/>
        <v>-45.474816250349136</v>
      </c>
      <c r="I103" s="119">
        <f t="shared" si="58"/>
        <v>-45.690885936538166</v>
      </c>
      <c r="J103" s="119">
        <f t="shared" si="58"/>
        <v>-42.502012742026977</v>
      </c>
      <c r="K103" s="119">
        <f t="shared" si="58"/>
        <v>-45.651841799763019</v>
      </c>
      <c r="L103" s="119">
        <f t="shared" si="58"/>
        <v>-40.643930983820155</v>
      </c>
      <c r="M103" s="119">
        <f t="shared" si="58"/>
        <v>-45.949748289056629</v>
      </c>
      <c r="N103" s="119">
        <f t="shared" si="58"/>
        <v>-42.237548101704874</v>
      </c>
      <c r="O103" s="119">
        <f t="shared" si="58"/>
        <v>-40.206681205658924</v>
      </c>
      <c r="P103" s="119">
        <f t="shared" si="58"/>
        <v>-42.753055508856391</v>
      </c>
      <c r="Q103" s="119">
        <f t="shared" si="58"/>
        <v>-40.038399121780685</v>
      </c>
      <c r="R103" s="119">
        <f t="shared" si="58"/>
        <v>-38.309384101268961</v>
      </c>
      <c r="S103" s="119">
        <f t="shared" si="58"/>
        <v>-40.145730121088604</v>
      </c>
      <c r="T103" s="119">
        <f t="shared" si="58"/>
        <v>-39.110825383970564</v>
      </c>
      <c r="U103" s="119">
        <f t="shared" si="58"/>
        <v>-38.271793207418455</v>
      </c>
      <c r="V103" s="119">
        <f t="shared" si="58"/>
        <v>-38.286355511556849</v>
      </c>
      <c r="W103" s="119">
        <f t="shared" si="58"/>
        <v>-37.402306265513744</v>
      </c>
      <c r="X103" s="119">
        <f t="shared" si="58"/>
        <v>-34.719601506098229</v>
      </c>
      <c r="Y103" s="119">
        <f t="shared" si="58"/>
        <v>-34.446737701099551</v>
      </c>
      <c r="Z103" s="119">
        <f t="shared" si="58"/>
        <v>-31.174304151296724</v>
      </c>
      <c r="AA103" s="119">
        <f t="shared" si="58"/>
        <v>-31.208744131990329</v>
      </c>
      <c r="AB103" s="119">
        <f t="shared" si="58"/>
        <v>-29.992192123123118</v>
      </c>
      <c r="AC103" s="119">
        <f t="shared" si="58"/>
        <v>-28.316952253370232</v>
      </c>
      <c r="AD103" s="211">
        <f t="shared" si="58"/>
        <v>-29.345177962836601</v>
      </c>
      <c r="AE103" s="119">
        <f t="shared" si="58"/>
        <v>-25.946433815758041</v>
      </c>
      <c r="AF103" s="119">
        <f t="shared" si="58"/>
        <v>-25.330747227915253</v>
      </c>
      <c r="AG103" s="119">
        <f t="shared" si="58"/>
        <v>-25.736010012766428</v>
      </c>
      <c r="AH103" s="119">
        <f t="shared" si="58"/>
        <v>-20.330586755981017</v>
      </c>
      <c r="AI103" s="119">
        <f t="shared" si="58"/>
        <v>-9.8797768002041266</v>
      </c>
      <c r="AJ103" s="119"/>
    </row>
    <row r="104" spans="1:37">
      <c r="A104" s="6" t="s">
        <v>52</v>
      </c>
      <c r="B104" s="119">
        <f t="shared" ref="B104:AI104" si="59">B49-B36</f>
        <v>0</v>
      </c>
      <c r="C104" s="119">
        <f t="shared" si="59"/>
        <v>0</v>
      </c>
      <c r="D104" s="119">
        <f t="shared" si="59"/>
        <v>-1.186511244289548</v>
      </c>
      <c r="E104" s="119">
        <f t="shared" si="59"/>
        <v>-3.1848392078214545</v>
      </c>
      <c r="F104" s="119">
        <f t="shared" si="59"/>
        <v>-3.5862548067528479</v>
      </c>
      <c r="G104" s="119">
        <f t="shared" si="59"/>
        <v>-3.2176217283590205</v>
      </c>
      <c r="H104" s="119">
        <f t="shared" si="59"/>
        <v>-3.0644984614454103</v>
      </c>
      <c r="I104" s="119">
        <f t="shared" si="59"/>
        <v>-3.2754600073833302</v>
      </c>
      <c r="J104" s="119">
        <f t="shared" si="59"/>
        <v>-3.8471247684670686</v>
      </c>
      <c r="K104" s="119">
        <f t="shared" si="59"/>
        <v>-3.134233401787796</v>
      </c>
      <c r="L104" s="119">
        <f t="shared" si="59"/>
        <v>-2.9110964343526149</v>
      </c>
      <c r="M104" s="119">
        <f t="shared" si="59"/>
        <v>-2.5583358502820346</v>
      </c>
      <c r="N104" s="119">
        <f t="shared" si="59"/>
        <v>-2.7167382109509504</v>
      </c>
      <c r="O104" s="119">
        <f t="shared" si="59"/>
        <v>-2.6316864884609572</v>
      </c>
      <c r="P104" s="119">
        <f t="shared" si="59"/>
        <v>-2.7314339748708534</v>
      </c>
      <c r="Q104" s="119">
        <f t="shared" si="59"/>
        <v>-2.7584792564559137</v>
      </c>
      <c r="R104" s="119">
        <f t="shared" si="59"/>
        <v>-1.6437429973222493</v>
      </c>
      <c r="S104" s="119">
        <f t="shared" si="59"/>
        <v>-0.83698118159908574</v>
      </c>
      <c r="T104" s="119">
        <f t="shared" si="59"/>
        <v>-2.2472543486264698</v>
      </c>
      <c r="U104" s="119">
        <f t="shared" si="59"/>
        <v>-2.0860911960253219</v>
      </c>
      <c r="V104" s="119">
        <f t="shared" si="59"/>
        <v>-1.9439470394148941</v>
      </c>
      <c r="W104" s="119">
        <f t="shared" si="59"/>
        <v>-1.9061313105511459</v>
      </c>
      <c r="X104" s="119">
        <f t="shared" si="59"/>
        <v>-1.7228435278580889</v>
      </c>
      <c r="Y104" s="119">
        <f t="shared" si="59"/>
        <v>-1.7346996301053537</v>
      </c>
      <c r="Z104" s="119">
        <f t="shared" si="59"/>
        <v>-1.1390072878579645</v>
      </c>
      <c r="AA104" s="119">
        <f t="shared" si="59"/>
        <v>-1.5205887708810764</v>
      </c>
      <c r="AB104" s="119">
        <f t="shared" si="59"/>
        <v>-1.5254692748803365</v>
      </c>
      <c r="AC104" s="119">
        <f t="shared" si="59"/>
        <v>-0.73525794600534766</v>
      </c>
      <c r="AD104" s="211">
        <f t="shared" si="59"/>
        <v>-1.2459555364594337</v>
      </c>
      <c r="AE104" s="119">
        <f t="shared" si="59"/>
        <v>-1.0760906975181683</v>
      </c>
      <c r="AF104" s="119">
        <f t="shared" si="59"/>
        <v>-1.0199470763109701</v>
      </c>
      <c r="AG104" s="119">
        <f t="shared" si="59"/>
        <v>0.81315750809427811</v>
      </c>
      <c r="AH104" s="119">
        <f t="shared" si="59"/>
        <v>-0.76031828508143917</v>
      </c>
      <c r="AI104" s="119">
        <f t="shared" si="59"/>
        <v>-0.57339557560263188</v>
      </c>
      <c r="AJ104" s="119"/>
    </row>
    <row r="105" spans="1:37">
      <c r="A105" s="36" t="s">
        <v>66</v>
      </c>
      <c r="B105" s="119">
        <f t="shared" ref="B105:AI105" si="60">B50-B37</f>
        <v>0</v>
      </c>
      <c r="C105" s="119">
        <f t="shared" si="60"/>
        <v>0</v>
      </c>
      <c r="D105" s="119">
        <f t="shared" si="60"/>
        <v>-7.8754823278925024E-2</v>
      </c>
      <c r="E105" s="119">
        <f t="shared" si="60"/>
        <v>-0.20047461532776989</v>
      </c>
      <c r="F105" s="119">
        <f t="shared" si="60"/>
        <v>-0.39197012428481415</v>
      </c>
      <c r="G105" s="119">
        <f t="shared" si="60"/>
        <v>-0.3443161901608125</v>
      </c>
      <c r="H105" s="119">
        <f t="shared" si="60"/>
        <v>-0.28348880937900489</v>
      </c>
      <c r="I105" s="119">
        <f t="shared" si="60"/>
        <v>-0.25352245020161224</v>
      </c>
      <c r="J105" s="119">
        <f t="shared" si="60"/>
        <v>-0.270971150879733</v>
      </c>
      <c r="K105" s="119">
        <f t="shared" si="60"/>
        <v>-0.30251657746276539</v>
      </c>
      <c r="L105" s="119">
        <f t="shared" si="60"/>
        <v>-0.23730469169986179</v>
      </c>
      <c r="M105" s="119">
        <f t="shared" si="60"/>
        <v>-0.26004734348717928</v>
      </c>
      <c r="N105" s="119">
        <f t="shared" si="60"/>
        <v>-0.11357076131517108</v>
      </c>
      <c r="O105" s="119">
        <f t="shared" si="60"/>
        <v>-0.1203018990539575</v>
      </c>
      <c r="P105" s="119">
        <f t="shared" si="60"/>
        <v>-4.634412870509852E-2</v>
      </c>
      <c r="Q105" s="119">
        <f t="shared" si="60"/>
        <v>-2.2561217020100388E-2</v>
      </c>
      <c r="R105" s="119">
        <f t="shared" si="60"/>
        <v>-2.4258816929375815E-2</v>
      </c>
      <c r="S105" s="119">
        <f t="shared" si="60"/>
        <v>-2.3260176689655854E-2</v>
      </c>
      <c r="T105" s="119">
        <f t="shared" si="60"/>
        <v>-2.0486336663797511E-2</v>
      </c>
      <c r="U105" s="119">
        <f t="shared" si="60"/>
        <v>-1.7753309840637055E-2</v>
      </c>
      <c r="V105" s="119">
        <f t="shared" si="60"/>
        <v>-1.716061795922863E-2</v>
      </c>
      <c r="W105" s="119">
        <f t="shared" si="60"/>
        <v>-1.6282874689355409E-2</v>
      </c>
      <c r="X105" s="119">
        <f t="shared" si="60"/>
        <v>-1.6609758971584954E-2</v>
      </c>
      <c r="Y105" s="119">
        <f t="shared" si="60"/>
        <v>-1.3897146653881753E-2</v>
      </c>
      <c r="Z105" s="119">
        <f t="shared" si="60"/>
        <v>-1.4106365416057864E-2</v>
      </c>
      <c r="AA105" s="119">
        <f t="shared" si="60"/>
        <v>-1.3884678975078391E-2</v>
      </c>
      <c r="AB105" s="119">
        <f t="shared" si="60"/>
        <v>-1.2947987477551715E-2</v>
      </c>
      <c r="AC105" s="119">
        <f t="shared" si="60"/>
        <v>-1.176169667478022E-2</v>
      </c>
      <c r="AD105" s="211">
        <f t="shared" si="60"/>
        <v>-1.0502495465882666E-2</v>
      </c>
      <c r="AE105" s="119">
        <f t="shared" si="60"/>
        <v>-1.0606971697314727E-2</v>
      </c>
      <c r="AF105" s="119">
        <f t="shared" si="60"/>
        <v>-9.5550681628538414E-3</v>
      </c>
      <c r="AG105" s="119">
        <f t="shared" si="60"/>
        <v>-9.1506270552909053E-3</v>
      </c>
      <c r="AH105" s="119">
        <f t="shared" si="60"/>
        <v>-6.7169718679918611E-3</v>
      </c>
      <c r="AI105" s="119">
        <f t="shared" si="60"/>
        <v>-3.2517129282791657E-3</v>
      </c>
      <c r="AJ105" s="119"/>
    </row>
    <row r="106" spans="1:37">
      <c r="A106" s="12" t="s">
        <v>69</v>
      </c>
      <c r="B106" s="212">
        <f t="shared" ref="B106:AF106" si="61">B51-B38</f>
        <v>0</v>
      </c>
      <c r="C106" s="212">
        <f t="shared" si="61"/>
        <v>0</v>
      </c>
      <c r="D106" s="212">
        <f t="shared" si="61"/>
        <v>0</v>
      </c>
      <c r="E106" s="212">
        <f t="shared" si="61"/>
        <v>0</v>
      </c>
      <c r="F106" s="212">
        <f t="shared" si="61"/>
        <v>0</v>
      </c>
      <c r="G106" s="212">
        <f t="shared" si="61"/>
        <v>-3.6011214401069793</v>
      </c>
      <c r="H106" s="212">
        <f t="shared" si="61"/>
        <v>-5.8293684279396132</v>
      </c>
      <c r="I106" s="212">
        <f t="shared" si="61"/>
        <v>-7.7069856445308744</v>
      </c>
      <c r="J106" s="212">
        <f t="shared" si="61"/>
        <v>-9.7637444040765331</v>
      </c>
      <c r="K106" s="212">
        <f t="shared" si="61"/>
        <v>-11.512563812174307</v>
      </c>
      <c r="L106" s="212">
        <f t="shared" si="61"/>
        <v>-12.133106254567451</v>
      </c>
      <c r="M106" s="212">
        <f t="shared" si="61"/>
        <v>-14.027088199484922</v>
      </c>
      <c r="N106" s="212">
        <f t="shared" si="61"/>
        <v>-12.949834456362396</v>
      </c>
      <c r="O106" s="212">
        <f t="shared" si="61"/>
        <v>-13.539512989429852</v>
      </c>
      <c r="P106" s="212">
        <f t="shared" si="61"/>
        <v>-13.573661234498957</v>
      </c>
      <c r="Q106" s="212">
        <f t="shared" si="61"/>
        <v>-13.213784989812211</v>
      </c>
      <c r="R106" s="212">
        <f t="shared" si="61"/>
        <v>-14.844868934328986</v>
      </c>
      <c r="S106" s="212">
        <f t="shared" si="61"/>
        <v>-16.731299111929616</v>
      </c>
      <c r="T106" s="212">
        <f t="shared" si="61"/>
        <v>-17.749252542896443</v>
      </c>
      <c r="U106" s="212">
        <f t="shared" si="61"/>
        <v>-19.410673332812678</v>
      </c>
      <c r="V106" s="212">
        <f t="shared" si="61"/>
        <v>-20.1224837631691</v>
      </c>
      <c r="W106" s="212">
        <f t="shared" si="61"/>
        <v>-20.724384852693163</v>
      </c>
      <c r="X106" s="212">
        <f t="shared" si="61"/>
        <v>-20.106651047478465</v>
      </c>
      <c r="Y106" s="212">
        <f t="shared" si="61"/>
        <v>-20.658450529216054</v>
      </c>
      <c r="Z106" s="212">
        <f t="shared" si="61"/>
        <v>-19.851445815778675</v>
      </c>
      <c r="AA106" s="212">
        <f t="shared" si="61"/>
        <v>-20.061396511030466</v>
      </c>
      <c r="AB106" s="212">
        <f t="shared" si="61"/>
        <v>-19.710934358330064</v>
      </c>
      <c r="AC106" s="212">
        <f t="shared" si="61"/>
        <v>-19.014201890580011</v>
      </c>
      <c r="AD106" s="213">
        <f t="shared" si="61"/>
        <v>-20.084689225280613</v>
      </c>
      <c r="AE106" s="212">
        <f t="shared" si="61"/>
        <v>-18.368292340784137</v>
      </c>
      <c r="AF106" s="212">
        <f t="shared" si="61"/>
        <v>-18.324622832481282</v>
      </c>
      <c r="AG106" s="212">
        <f t="shared" ref="AG106:AH106" si="62">AG51-AG38</f>
        <v>-19.275282910389365</v>
      </c>
      <c r="AH106" s="212">
        <f t="shared" si="62"/>
        <v>-15.465455537271737</v>
      </c>
      <c r="AI106" s="212">
        <f>AI51-AI38</f>
        <v>-7.6542075324568941</v>
      </c>
      <c r="AJ106" s="212"/>
    </row>
    <row r="107" spans="1:37">
      <c r="A107" s="6" t="s">
        <v>61</v>
      </c>
      <c r="B107" s="119">
        <f t="shared" ref="B107:AI107" si="63">SUM(B97:B106)</f>
        <v>0</v>
      </c>
      <c r="C107" s="119">
        <f t="shared" si="63"/>
        <v>0.95602539473914416</v>
      </c>
      <c r="D107" s="119">
        <f t="shared" si="63"/>
        <v>18.630332983875785</v>
      </c>
      <c r="E107" s="119">
        <f t="shared" si="63"/>
        <v>45.188682782553904</v>
      </c>
      <c r="F107" s="119">
        <f t="shared" si="63"/>
        <v>56.119877001201104</v>
      </c>
      <c r="G107" s="119">
        <f t="shared" si="63"/>
        <v>43.337199797216755</v>
      </c>
      <c r="H107" s="119">
        <f t="shared" si="63"/>
        <v>30.624066522782485</v>
      </c>
      <c r="I107" s="119">
        <f t="shared" si="63"/>
        <v>7.8315219906757569</v>
      </c>
      <c r="J107" s="119">
        <f t="shared" si="63"/>
        <v>-9.0383623098972539</v>
      </c>
      <c r="K107" s="119">
        <f t="shared" si="63"/>
        <v>-15.541409136551227</v>
      </c>
      <c r="L107" s="119">
        <f t="shared" si="63"/>
        <v>-16.472934582784148</v>
      </c>
      <c r="M107" s="119">
        <f t="shared" si="63"/>
        <v>-24.979530603978667</v>
      </c>
      <c r="N107" s="119">
        <f t="shared" si="63"/>
        <v>-24.988036846098051</v>
      </c>
      <c r="O107" s="119">
        <f t="shared" si="63"/>
        <v>-24.65498757322252</v>
      </c>
      <c r="P107" s="119">
        <f t="shared" si="63"/>
        <v>-43.453633327643473</v>
      </c>
      <c r="Q107" s="119">
        <f t="shared" si="63"/>
        <v>-53.176024011331172</v>
      </c>
      <c r="R107" s="119">
        <f t="shared" si="63"/>
        <v>-42.617488445018509</v>
      </c>
      <c r="S107" s="119">
        <f t="shared" si="63"/>
        <v>-40.236224437545729</v>
      </c>
      <c r="T107" s="119">
        <f t="shared" si="63"/>
        <v>-50.448019701461014</v>
      </c>
      <c r="U107" s="119">
        <f t="shared" si="63"/>
        <v>-58.252897503948958</v>
      </c>
      <c r="V107" s="119">
        <f t="shared" si="63"/>
        <v>-59.415082085698302</v>
      </c>
      <c r="W107" s="119">
        <f t="shared" si="63"/>
        <v>-59.588744064666294</v>
      </c>
      <c r="X107" s="119">
        <f t="shared" si="63"/>
        <v>-56.491935735374248</v>
      </c>
      <c r="Y107" s="119">
        <f t="shared" si="63"/>
        <v>-57.122618254864861</v>
      </c>
      <c r="Z107" s="119">
        <f t="shared" si="63"/>
        <v>-52.743823202211097</v>
      </c>
      <c r="AA107" s="119">
        <f t="shared" si="63"/>
        <v>-53.63188886968895</v>
      </c>
      <c r="AB107" s="119">
        <f t="shared" si="63"/>
        <v>-45.986853633958333</v>
      </c>
      <c r="AC107" s="119">
        <f t="shared" si="63"/>
        <v>-39.274576723967876</v>
      </c>
      <c r="AD107" s="211">
        <f t="shared" si="63"/>
        <v>-42.779276172653994</v>
      </c>
      <c r="AE107" s="119">
        <f t="shared" si="63"/>
        <v>-38.313968186300599</v>
      </c>
      <c r="AF107" s="119">
        <f t="shared" si="63"/>
        <v>-38.33588581885131</v>
      </c>
      <c r="AG107" s="119">
        <f t="shared" si="63"/>
        <v>-38.029530379588635</v>
      </c>
      <c r="AH107" s="119">
        <f t="shared" si="63"/>
        <v>-31.955955795033006</v>
      </c>
      <c r="AI107" s="119">
        <f t="shared" si="63"/>
        <v>-16.499539683794975</v>
      </c>
      <c r="AJ107" s="119"/>
    </row>
    <row r="108" spans="1:37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52"/>
      <c r="AD108" s="214"/>
      <c r="AE108" s="15"/>
      <c r="AF108" s="15"/>
      <c r="AG108" s="15"/>
      <c r="AH108" s="15"/>
      <c r="AI108" s="15"/>
      <c r="AJ108" s="15"/>
    </row>
    <row r="109" spans="1:37">
      <c r="A109" s="6" t="s">
        <v>64</v>
      </c>
      <c r="AC109" s="36"/>
      <c r="AD109" s="215"/>
    </row>
    <row r="110" spans="1:37">
      <c r="A110" s="152" t="str">
        <f>A96</f>
        <v>Clean Energy Connection-SoBra 700MWs</v>
      </c>
      <c r="B110" s="152">
        <f>$B$1</f>
        <v>2020</v>
      </c>
      <c r="C110" s="152">
        <f t="shared" ref="C110:AI110" si="64">B110+1</f>
        <v>2021</v>
      </c>
      <c r="D110" s="152">
        <f t="shared" si="64"/>
        <v>2022</v>
      </c>
      <c r="E110" s="152">
        <f t="shared" si="64"/>
        <v>2023</v>
      </c>
      <c r="F110" s="152">
        <f t="shared" si="64"/>
        <v>2024</v>
      </c>
      <c r="G110" s="152">
        <f t="shared" si="64"/>
        <v>2025</v>
      </c>
      <c r="H110" s="152">
        <f t="shared" si="64"/>
        <v>2026</v>
      </c>
      <c r="I110" s="152">
        <f t="shared" si="64"/>
        <v>2027</v>
      </c>
      <c r="J110" s="152">
        <f t="shared" si="64"/>
        <v>2028</v>
      </c>
      <c r="K110" s="152">
        <f t="shared" si="64"/>
        <v>2029</v>
      </c>
      <c r="L110" s="152">
        <f t="shared" si="64"/>
        <v>2030</v>
      </c>
      <c r="M110" s="152">
        <f t="shared" si="64"/>
        <v>2031</v>
      </c>
      <c r="N110" s="152">
        <f t="shared" si="64"/>
        <v>2032</v>
      </c>
      <c r="O110" s="152">
        <f t="shared" si="64"/>
        <v>2033</v>
      </c>
      <c r="P110" s="152">
        <f t="shared" si="64"/>
        <v>2034</v>
      </c>
      <c r="Q110" s="152">
        <f t="shared" si="64"/>
        <v>2035</v>
      </c>
      <c r="R110" s="152">
        <f t="shared" si="64"/>
        <v>2036</v>
      </c>
      <c r="S110" s="152">
        <f t="shared" si="64"/>
        <v>2037</v>
      </c>
      <c r="T110" s="152">
        <f t="shared" si="64"/>
        <v>2038</v>
      </c>
      <c r="U110" s="152">
        <f t="shared" si="64"/>
        <v>2039</v>
      </c>
      <c r="V110" s="152">
        <f t="shared" si="64"/>
        <v>2040</v>
      </c>
      <c r="W110" s="152">
        <f t="shared" si="64"/>
        <v>2041</v>
      </c>
      <c r="X110" s="152">
        <f t="shared" si="64"/>
        <v>2042</v>
      </c>
      <c r="Y110" s="152">
        <f t="shared" si="64"/>
        <v>2043</v>
      </c>
      <c r="Z110" s="152">
        <f t="shared" si="64"/>
        <v>2044</v>
      </c>
      <c r="AA110" s="152">
        <f t="shared" si="64"/>
        <v>2045</v>
      </c>
      <c r="AB110" s="152">
        <f t="shared" si="64"/>
        <v>2046</v>
      </c>
      <c r="AC110" s="209">
        <f t="shared" si="64"/>
        <v>2047</v>
      </c>
      <c r="AD110" s="210">
        <f t="shared" si="64"/>
        <v>2048</v>
      </c>
      <c r="AE110" s="152">
        <f t="shared" si="64"/>
        <v>2049</v>
      </c>
      <c r="AF110" s="152">
        <f t="shared" si="64"/>
        <v>2050</v>
      </c>
      <c r="AG110" s="152">
        <f t="shared" si="64"/>
        <v>2051</v>
      </c>
      <c r="AH110" s="152">
        <f t="shared" si="64"/>
        <v>2052</v>
      </c>
      <c r="AI110" s="152">
        <f t="shared" si="64"/>
        <v>2053</v>
      </c>
      <c r="AJ110" s="152"/>
    </row>
    <row r="111" spans="1:37">
      <c r="A111" s="6" t="s">
        <v>134</v>
      </c>
      <c r="B111" s="119">
        <f t="shared" ref="B111:AI111" si="65">B69-B56</f>
        <v>0</v>
      </c>
      <c r="C111" s="119">
        <f t="shared" si="65"/>
        <v>0</v>
      </c>
      <c r="D111" s="119">
        <f t="shared" si="65"/>
        <v>0</v>
      </c>
      <c r="E111" s="119">
        <f t="shared" si="65"/>
        <v>0</v>
      </c>
      <c r="F111" s="119">
        <f t="shared" si="65"/>
        <v>0</v>
      </c>
      <c r="G111" s="119">
        <f t="shared" si="65"/>
        <v>0</v>
      </c>
      <c r="H111" s="119">
        <f t="shared" si="65"/>
        <v>0</v>
      </c>
      <c r="I111" s="119">
        <f t="shared" si="65"/>
        <v>0</v>
      </c>
      <c r="J111" s="119">
        <f t="shared" si="65"/>
        <v>0</v>
      </c>
      <c r="K111" s="119">
        <f t="shared" si="65"/>
        <v>0</v>
      </c>
      <c r="L111" s="119">
        <f t="shared" si="65"/>
        <v>0</v>
      </c>
      <c r="M111" s="119">
        <f t="shared" si="65"/>
        <v>0</v>
      </c>
      <c r="N111" s="119">
        <f t="shared" si="65"/>
        <v>0</v>
      </c>
      <c r="O111" s="119">
        <f t="shared" si="65"/>
        <v>0</v>
      </c>
      <c r="P111" s="119">
        <f t="shared" si="65"/>
        <v>0</v>
      </c>
      <c r="Q111" s="119">
        <f t="shared" si="65"/>
        <v>0</v>
      </c>
      <c r="R111" s="119">
        <f t="shared" si="65"/>
        <v>0</v>
      </c>
      <c r="S111" s="119">
        <f t="shared" si="65"/>
        <v>0</v>
      </c>
      <c r="T111" s="119">
        <f t="shared" si="65"/>
        <v>0</v>
      </c>
      <c r="U111" s="119">
        <f t="shared" si="65"/>
        <v>0</v>
      </c>
      <c r="V111" s="119">
        <f t="shared" si="65"/>
        <v>0</v>
      </c>
      <c r="W111" s="119">
        <f t="shared" si="65"/>
        <v>0</v>
      </c>
      <c r="X111" s="119">
        <f t="shared" si="65"/>
        <v>0</v>
      </c>
      <c r="Y111" s="119">
        <f t="shared" si="65"/>
        <v>0</v>
      </c>
      <c r="Z111" s="119">
        <f t="shared" si="65"/>
        <v>0</v>
      </c>
      <c r="AA111" s="119">
        <f t="shared" si="65"/>
        <v>0</v>
      </c>
      <c r="AB111" s="119">
        <f t="shared" si="65"/>
        <v>0</v>
      </c>
      <c r="AC111" s="119">
        <f t="shared" si="65"/>
        <v>0</v>
      </c>
      <c r="AD111" s="211">
        <f t="shared" si="65"/>
        <v>0</v>
      </c>
      <c r="AE111" s="119">
        <f t="shared" si="65"/>
        <v>0</v>
      </c>
      <c r="AF111" s="119">
        <f t="shared" si="65"/>
        <v>0</v>
      </c>
      <c r="AG111" s="119">
        <f t="shared" si="65"/>
        <v>0</v>
      </c>
      <c r="AH111" s="119">
        <f t="shared" si="65"/>
        <v>0</v>
      </c>
      <c r="AI111" s="119">
        <f t="shared" si="65"/>
        <v>0</v>
      </c>
      <c r="AJ111" s="119"/>
      <c r="AK111" s="119" t="str">
        <f t="shared" ref="AK111:AK120" si="66">A111</f>
        <v>Existing Solar</v>
      </c>
    </row>
    <row r="112" spans="1:37">
      <c r="A112" s="6" t="s">
        <v>135</v>
      </c>
      <c r="B112" s="119">
        <f t="shared" ref="B112:AI112" si="67">B70-B57</f>
        <v>0</v>
      </c>
      <c r="C112" s="119">
        <f t="shared" si="67"/>
        <v>0</v>
      </c>
      <c r="D112" s="119">
        <f t="shared" si="67"/>
        <v>27.104402529171068</v>
      </c>
      <c r="E112" s="119">
        <f t="shared" si="67"/>
        <v>98.781674233069964</v>
      </c>
      <c r="F112" s="119">
        <f t="shared" si="67"/>
        <v>205.49827041468927</v>
      </c>
      <c r="G112" s="119">
        <f t="shared" si="67"/>
        <v>300.46649364736896</v>
      </c>
      <c r="H112" s="119">
        <f t="shared" si="67"/>
        <v>385.39678406731878</v>
      </c>
      <c r="I112" s="119">
        <f t="shared" si="67"/>
        <v>456.76610212359998</v>
      </c>
      <c r="J112" s="119">
        <f t="shared" si="67"/>
        <v>521.38216806475043</v>
      </c>
      <c r="K112" s="119">
        <f t="shared" si="67"/>
        <v>580.22999313960736</v>
      </c>
      <c r="L112" s="119">
        <f t="shared" si="67"/>
        <v>634.01636784102379</v>
      </c>
      <c r="M112" s="119">
        <f t="shared" si="67"/>
        <v>683.26715478238884</v>
      </c>
      <c r="N112" s="119">
        <f t="shared" si="67"/>
        <v>728.35372964352109</v>
      </c>
      <c r="O112" s="119">
        <f t="shared" si="67"/>
        <v>769.60576167263162</v>
      </c>
      <c r="P112" s="119">
        <f t="shared" si="67"/>
        <v>807.31002678440973</v>
      </c>
      <c r="Q112" s="119">
        <f t="shared" si="67"/>
        <v>841.7817862456186</v>
      </c>
      <c r="R112" s="119">
        <f t="shared" si="67"/>
        <v>873.29202848516286</v>
      </c>
      <c r="S112" s="119">
        <f t="shared" si="67"/>
        <v>902.06344495740177</v>
      </c>
      <c r="T112" s="119">
        <f t="shared" si="67"/>
        <v>930.24970017284386</v>
      </c>
      <c r="U112" s="119">
        <f t="shared" si="67"/>
        <v>955.84915294119799</v>
      </c>
      <c r="V112" s="119">
        <f t="shared" si="67"/>
        <v>979.07310442426649</v>
      </c>
      <c r="W112" s="119">
        <f t="shared" si="67"/>
        <v>1000.1248911355183</v>
      </c>
      <c r="X112" s="119">
        <f t="shared" si="67"/>
        <v>1019.2432452792501</v>
      </c>
      <c r="Y112" s="119">
        <f t="shared" si="67"/>
        <v>1036.6317832813522</v>
      </c>
      <c r="Z112" s="119">
        <f t="shared" si="67"/>
        <v>1052.4528204477485</v>
      </c>
      <c r="AA112" s="119">
        <f t="shared" si="67"/>
        <v>1066.8199714822242</v>
      </c>
      <c r="AB112" s="119">
        <f t="shared" si="67"/>
        <v>1079.8900698837747</v>
      </c>
      <c r="AC112" s="119">
        <f t="shared" si="67"/>
        <v>1091.7640225794905</v>
      </c>
      <c r="AD112" s="211">
        <f t="shared" si="67"/>
        <v>1102.5564189601394</v>
      </c>
      <c r="AE112" s="119">
        <f t="shared" si="67"/>
        <v>1112.3456472165315</v>
      </c>
      <c r="AF112" s="119">
        <f t="shared" si="67"/>
        <v>1121.2349572228359</v>
      </c>
      <c r="AG112" s="119">
        <f t="shared" si="67"/>
        <v>1129.7914422876931</v>
      </c>
      <c r="AH112" s="119">
        <f t="shared" si="67"/>
        <v>1136.619048814528</v>
      </c>
      <c r="AI112" s="119">
        <f t="shared" si="67"/>
        <v>1140.2982843495179</v>
      </c>
      <c r="AJ112" s="119"/>
      <c r="AK112" s="119" t="str">
        <f t="shared" si="66"/>
        <v>New Solar</v>
      </c>
    </row>
    <row r="113" spans="1:38">
      <c r="A113" s="6" t="s">
        <v>60</v>
      </c>
      <c r="B113" s="119">
        <f t="shared" ref="B113:AI113" si="68">B71-B58</f>
        <v>0</v>
      </c>
      <c r="C113" s="119">
        <f t="shared" si="68"/>
        <v>0</v>
      </c>
      <c r="D113" s="119">
        <f t="shared" si="68"/>
        <v>0</v>
      </c>
      <c r="E113" s="119">
        <f t="shared" si="68"/>
        <v>0</v>
      </c>
      <c r="F113" s="119">
        <f t="shared" si="68"/>
        <v>0</v>
      </c>
      <c r="G113" s="119">
        <f t="shared" si="68"/>
        <v>0</v>
      </c>
      <c r="H113" s="119">
        <f t="shared" si="68"/>
        <v>0</v>
      </c>
      <c r="I113" s="119">
        <f t="shared" si="68"/>
        <v>-6.8065319934405428</v>
      </c>
      <c r="J113" s="119">
        <f t="shared" si="68"/>
        <v>-23.963273112755651</v>
      </c>
      <c r="K113" s="119">
        <f t="shared" si="68"/>
        <v>-37.68962653509206</v>
      </c>
      <c r="L113" s="119">
        <f t="shared" si="68"/>
        <v>-51.938491893392545</v>
      </c>
      <c r="M113" s="119">
        <f t="shared" si="68"/>
        <v>-63.218316402033011</v>
      </c>
      <c r="N113" s="119">
        <f t="shared" si="68"/>
        <v>-75.08199699487605</v>
      </c>
      <c r="O113" s="119">
        <f t="shared" si="68"/>
        <v>-84.363118834522751</v>
      </c>
      <c r="P113" s="119">
        <f t="shared" si="68"/>
        <v>-95.555131916288076</v>
      </c>
      <c r="Q113" s="119">
        <f t="shared" si="68"/>
        <v>-109.74311048334511</v>
      </c>
      <c r="R113" s="119">
        <f t="shared" si="68"/>
        <v>-117.75217666752008</v>
      </c>
      <c r="S113" s="119">
        <f t="shared" si="68"/>
        <v>-121.79306183603046</v>
      </c>
      <c r="T113" s="119">
        <f t="shared" si="68"/>
        <v>-129.86103987438742</v>
      </c>
      <c r="U113" s="119">
        <f t="shared" si="68"/>
        <v>-140.0916504003319</v>
      </c>
      <c r="V113" s="119">
        <f t="shared" si="68"/>
        <v>-149.36500250181143</v>
      </c>
      <c r="W113" s="119">
        <f t="shared" si="68"/>
        <v>-157.76503353992234</v>
      </c>
      <c r="X113" s="119">
        <f t="shared" si="68"/>
        <v>-165.37771678192939</v>
      </c>
      <c r="Y113" s="119">
        <f t="shared" si="68"/>
        <v>-172.3006922359657</v>
      </c>
      <c r="Z113" s="119">
        <f t="shared" si="68"/>
        <v>-178.6115897763425</v>
      </c>
      <c r="AA113" s="119">
        <f t="shared" si="68"/>
        <v>-184.36170521052736</v>
      </c>
      <c r="AB113" s="119">
        <f t="shared" si="68"/>
        <v>-186.67226590371502</v>
      </c>
      <c r="AC113" s="119">
        <f t="shared" si="68"/>
        <v>-186.84205217319368</v>
      </c>
      <c r="AD113" s="211">
        <f t="shared" si="68"/>
        <v>-187.00038054764764</v>
      </c>
      <c r="AE113" s="119">
        <f t="shared" si="68"/>
        <v>-187.1452413173879</v>
      </c>
      <c r="AF113" s="119">
        <f t="shared" si="68"/>
        <v>-187.2820530561703</v>
      </c>
      <c r="AG113" s="119">
        <f t="shared" si="68"/>
        <v>-187.40756014500812</v>
      </c>
      <c r="AH113" s="119">
        <f t="shared" si="68"/>
        <v>-187.50714140350556</v>
      </c>
      <c r="AI113" s="119">
        <f t="shared" si="68"/>
        <v>-187.58269552528463</v>
      </c>
      <c r="AJ113" s="119"/>
      <c r="AK113" s="119" t="str">
        <f t="shared" si="66"/>
        <v>Conv Gen Capital</v>
      </c>
      <c r="AL113" s="16"/>
    </row>
    <row r="114" spans="1:38">
      <c r="A114" s="6" t="s">
        <v>68</v>
      </c>
      <c r="B114" s="119">
        <f t="shared" ref="B114:AI114" si="69">B72-B59</f>
        <v>0</v>
      </c>
      <c r="C114" s="119">
        <f t="shared" si="69"/>
        <v>0</v>
      </c>
      <c r="D114" s="119">
        <f t="shared" si="69"/>
        <v>0</v>
      </c>
      <c r="E114" s="119">
        <f t="shared" si="69"/>
        <v>0</v>
      </c>
      <c r="F114" s="119">
        <f t="shared" si="69"/>
        <v>0</v>
      </c>
      <c r="G114" s="119">
        <f t="shared" si="69"/>
        <v>0</v>
      </c>
      <c r="H114" s="119">
        <f t="shared" si="69"/>
        <v>0</v>
      </c>
      <c r="I114" s="119">
        <f t="shared" si="69"/>
        <v>-0.16330587684274178</v>
      </c>
      <c r="J114" s="119">
        <f t="shared" si="69"/>
        <v>-0.5891213502827668</v>
      </c>
      <c r="K114" s="119">
        <f t="shared" si="69"/>
        <v>-0.9551235061674106</v>
      </c>
      <c r="L114" s="119">
        <f t="shared" si="69"/>
        <v>-1.3480835154748547</v>
      </c>
      <c r="M114" s="119">
        <f t="shared" si="69"/>
        <v>-1.6858319651919373</v>
      </c>
      <c r="N114" s="119">
        <f t="shared" si="69"/>
        <v>-2.0484601922203183</v>
      </c>
      <c r="O114" s="119">
        <f t="shared" si="69"/>
        <v>-2.3601402918520762</v>
      </c>
      <c r="P114" s="119">
        <f t="shared" si="69"/>
        <v>-2.968785690347886</v>
      </c>
      <c r="Q114" s="119">
        <f t="shared" si="69"/>
        <v>-3.8260816941933626</v>
      </c>
      <c r="R114" s="119">
        <f t="shared" si="69"/>
        <v>-4.4094305986191102</v>
      </c>
      <c r="S114" s="119">
        <f t="shared" si="69"/>
        <v>-4.8049963842986472</v>
      </c>
      <c r="T114" s="119">
        <f t="shared" si="69"/>
        <v>-5.4066560985465912</v>
      </c>
      <c r="U114" s="119">
        <f t="shared" si="69"/>
        <v>-6.1367321643733703</v>
      </c>
      <c r="V114" s="119">
        <f t="shared" si="69"/>
        <v>-6.8380706023322091</v>
      </c>
      <c r="W114" s="119">
        <f t="shared" si="69"/>
        <v>-7.5118014416261758</v>
      </c>
      <c r="X114" s="119">
        <f t="shared" si="69"/>
        <v>-8.1590154177656586</v>
      </c>
      <c r="Y114" s="119">
        <f t="shared" si="69"/>
        <v>-8.7807507171592079</v>
      </c>
      <c r="Z114" s="119">
        <f t="shared" si="69"/>
        <v>-9.3780136805639813</v>
      </c>
      <c r="AA114" s="119">
        <f t="shared" si="69"/>
        <v>-9.9517661686827523</v>
      </c>
      <c r="AB114" s="119">
        <f t="shared" si="69"/>
        <v>-10.342178555049941</v>
      </c>
      <c r="AC114" s="119">
        <f t="shared" si="69"/>
        <v>-10.606914816706649</v>
      </c>
      <c r="AD114" s="211">
        <f t="shared" si="69"/>
        <v>-10.861229775078755</v>
      </c>
      <c r="AE114" s="119">
        <f t="shared" si="69"/>
        <v>-11.105534743956468</v>
      </c>
      <c r="AF114" s="119">
        <f t="shared" si="69"/>
        <v>-11.340224138767098</v>
      </c>
      <c r="AG114" s="119">
        <f t="shared" si="69"/>
        <v>-11.565674855845828</v>
      </c>
      <c r="AH114" s="119">
        <f t="shared" si="69"/>
        <v>-11.782251067264042</v>
      </c>
      <c r="AI114" s="119">
        <f t="shared" si="69"/>
        <v>-11.990301872081091</v>
      </c>
      <c r="AJ114" s="119"/>
      <c r="AK114" s="119" t="str">
        <f t="shared" si="66"/>
        <v>Fixed Costs</v>
      </c>
    </row>
    <row r="115" spans="1:38">
      <c r="A115" s="6" t="s">
        <v>67</v>
      </c>
      <c r="B115" s="119">
        <f t="shared" ref="B115:AI115" si="70">B73-B60</f>
        <v>0</v>
      </c>
      <c r="C115" s="119">
        <f t="shared" si="70"/>
        <v>0</v>
      </c>
      <c r="D115" s="119">
        <f t="shared" si="70"/>
        <v>0</v>
      </c>
      <c r="E115" s="119">
        <f t="shared" si="70"/>
        <v>0</v>
      </c>
      <c r="F115" s="119">
        <f t="shared" si="70"/>
        <v>0</v>
      </c>
      <c r="G115" s="119">
        <f t="shared" si="70"/>
        <v>0</v>
      </c>
      <c r="H115" s="119">
        <f t="shared" si="70"/>
        <v>0</v>
      </c>
      <c r="I115" s="119">
        <f t="shared" si="70"/>
        <v>0</v>
      </c>
      <c r="J115" s="119">
        <f t="shared" si="70"/>
        <v>0</v>
      </c>
      <c r="K115" s="119">
        <f t="shared" si="70"/>
        <v>0</v>
      </c>
      <c r="L115" s="119">
        <f t="shared" si="70"/>
        <v>0</v>
      </c>
      <c r="M115" s="119">
        <f t="shared" si="70"/>
        <v>0</v>
      </c>
      <c r="N115" s="119">
        <f t="shared" si="70"/>
        <v>0</v>
      </c>
      <c r="O115" s="119">
        <f t="shared" si="70"/>
        <v>0</v>
      </c>
      <c r="P115" s="119">
        <f t="shared" si="70"/>
        <v>-10.406972306614989</v>
      </c>
      <c r="Q115" s="119">
        <f t="shared" si="70"/>
        <v>-27.12724599124067</v>
      </c>
      <c r="R115" s="119">
        <f t="shared" si="70"/>
        <v>-37.995702622427416</v>
      </c>
      <c r="S115" s="119">
        <f t="shared" si="70"/>
        <v>-44.967141172227457</v>
      </c>
      <c r="T115" s="119">
        <f t="shared" si="70"/>
        <v>-55.932130000884172</v>
      </c>
      <c r="U115" s="119">
        <f t="shared" si="70"/>
        <v>-69.175066667597093</v>
      </c>
      <c r="V115" s="119">
        <f t="shared" si="70"/>
        <v>-81.58644670499325</v>
      </c>
      <c r="W115" s="119">
        <f t="shared" si="70"/>
        <v>-93.218467670440077</v>
      </c>
      <c r="X115" s="119">
        <f t="shared" si="70"/>
        <v>-104.12008057151434</v>
      </c>
      <c r="Y115" s="119">
        <f t="shared" si="70"/>
        <v>-114.33714983212849</v>
      </c>
      <c r="Z115" s="119">
        <f t="shared" si="70"/>
        <v>-123.91267046150278</v>
      </c>
      <c r="AA115" s="119">
        <f t="shared" si="70"/>
        <v>-132.88691659962296</v>
      </c>
      <c r="AB115" s="119">
        <f t="shared" si="70"/>
        <v>-138.08391646269411</v>
      </c>
      <c r="AC115" s="119">
        <f t="shared" si="70"/>
        <v>-140.80321552577152</v>
      </c>
      <c r="AD115" s="211">
        <f t="shared" si="70"/>
        <v>-143.35176197664168</v>
      </c>
      <c r="AE115" s="119">
        <f t="shared" si="70"/>
        <v>-145.74027786311763</v>
      </c>
      <c r="AF115" s="119">
        <f t="shared" si="70"/>
        <v>-147.97881196478193</v>
      </c>
      <c r="AG115" s="119">
        <f t="shared" si="70"/>
        <v>-150.07678206943456</v>
      </c>
      <c r="AH115" s="119">
        <f t="shared" si="70"/>
        <v>-152.04301459488215</v>
      </c>
      <c r="AI115" s="119">
        <f t="shared" si="70"/>
        <v>-153.88578172276175</v>
      </c>
      <c r="AJ115" s="119"/>
      <c r="AK115" s="119" t="str">
        <f t="shared" si="66"/>
        <v>Gas Reservation Costs</v>
      </c>
    </row>
    <row r="116" spans="1:38">
      <c r="A116" s="6" t="s">
        <v>383</v>
      </c>
      <c r="B116" s="119">
        <f t="shared" ref="B116:AI116" si="71">B74-B61</f>
        <v>0</v>
      </c>
      <c r="C116" s="119">
        <f t="shared" si="71"/>
        <v>0.95602539473914416</v>
      </c>
      <c r="D116" s="119">
        <f t="shared" si="71"/>
        <v>1.5072266250072159</v>
      </c>
      <c r="E116" s="119">
        <f t="shared" si="71"/>
        <v>2.0695367321701985</v>
      </c>
      <c r="F116" s="119">
        <f t="shared" si="71"/>
        <v>2.5900853804250303</v>
      </c>
      <c r="G116" s="119">
        <f t="shared" si="71"/>
        <v>3.0645593924772814</v>
      </c>
      <c r="H116" s="119">
        <f t="shared" si="71"/>
        <v>3.4105074444231458</v>
      </c>
      <c r="I116" s="119">
        <f t="shared" si="71"/>
        <v>3.7694032877547321</v>
      </c>
      <c r="J116" s="119">
        <f t="shared" si="71"/>
        <v>4.081384694912491</v>
      </c>
      <c r="K116" s="119">
        <f t="shared" si="71"/>
        <v>4.385661652913285</v>
      </c>
      <c r="L116" s="119">
        <f t="shared" si="71"/>
        <v>4.6936161007606358</v>
      </c>
      <c r="M116" s="119">
        <f t="shared" si="71"/>
        <v>4.876091196085361</v>
      </c>
      <c r="N116" s="119">
        <f t="shared" si="71"/>
        <v>5.0454798390598876</v>
      </c>
      <c r="O116" s="119">
        <f t="shared" si="71"/>
        <v>5.2294447586090405</v>
      </c>
      <c r="P116" s="119">
        <f t="shared" si="71"/>
        <v>5.3836719529946686</v>
      </c>
      <c r="Q116" s="119">
        <f t="shared" si="71"/>
        <v>5.5346613210514448</v>
      </c>
      <c r="R116" s="119">
        <f t="shared" si="71"/>
        <v>5.690057206126018</v>
      </c>
      <c r="S116" s="119">
        <f t="shared" si="71"/>
        <v>5.8275763916379768</v>
      </c>
      <c r="T116" s="119">
        <f t="shared" si="71"/>
        <v>5.9557466681538642</v>
      </c>
      <c r="U116" s="119">
        <f t="shared" si="71"/>
        <v>6.0933307004328334</v>
      </c>
      <c r="V116" s="119">
        <f t="shared" si="71"/>
        <v>6.2103146406013154</v>
      </c>
      <c r="W116" s="119">
        <f t="shared" si="71"/>
        <v>6.3246720109823338</v>
      </c>
      <c r="X116" s="119">
        <f t="shared" si="71"/>
        <v>6.4415980915041979</v>
      </c>
      <c r="Y116" s="119">
        <f t="shared" si="71"/>
        <v>6.5460068556555422</v>
      </c>
      <c r="Z116" s="119">
        <f t="shared" si="71"/>
        <v>6.6436912405524309</v>
      </c>
      <c r="AA116" s="119">
        <f t="shared" si="71"/>
        <v>6.7473794896881474</v>
      </c>
      <c r="AB116" s="119">
        <f t="shared" si="71"/>
        <v>6.8299441406162629</v>
      </c>
      <c r="AC116" s="119">
        <f t="shared" si="71"/>
        <v>6.9134101017759475</v>
      </c>
      <c r="AD116" s="211">
        <f t="shared" si="71"/>
        <v>6.9892525522111812</v>
      </c>
      <c r="AE116" s="119">
        <f t="shared" si="71"/>
        <v>7.065161560369619</v>
      </c>
      <c r="AF116" s="119">
        <f t="shared" si="71"/>
        <v>7.1348731753412622</v>
      </c>
      <c r="AG116" s="119">
        <f t="shared" si="71"/>
        <v>7.2050716835813713</v>
      </c>
      <c r="AH116" s="119">
        <f t="shared" si="71"/>
        <v>7.266976907278667</v>
      </c>
      <c r="AI116" s="119">
        <f t="shared" si="71"/>
        <v>7.325205364161631</v>
      </c>
      <c r="AJ116" s="119"/>
      <c r="AK116" s="119"/>
    </row>
    <row r="117" spans="1:38">
      <c r="A117" s="6" t="s">
        <v>65</v>
      </c>
      <c r="B117" s="119">
        <f t="shared" ref="B117:AI117" si="72">B75-B62</f>
        <v>0</v>
      </c>
      <c r="C117" s="119">
        <f t="shared" si="72"/>
        <v>0</v>
      </c>
      <c r="D117" s="119">
        <f t="shared" si="72"/>
        <v>-7.7600047079945398</v>
      </c>
      <c r="E117" s="119">
        <f t="shared" si="72"/>
        <v>-31.425589913353178</v>
      </c>
      <c r="F117" s="119">
        <f t="shared" si="72"/>
        <v>-78.564632810988769</v>
      </c>
      <c r="G117" s="119">
        <f t="shared" si="72"/>
        <v>-123.50707089987736</v>
      </c>
      <c r="H117" s="119">
        <f t="shared" si="72"/>
        <v>-168.98188715022661</v>
      </c>
      <c r="I117" s="119">
        <f t="shared" si="72"/>
        <v>-214.67277308676512</v>
      </c>
      <c r="J117" s="119">
        <f t="shared" si="72"/>
        <v>-257.17478582879176</v>
      </c>
      <c r="K117" s="119">
        <f t="shared" si="72"/>
        <v>-302.8266276285558</v>
      </c>
      <c r="L117" s="119">
        <f t="shared" si="72"/>
        <v>-343.47055861237641</v>
      </c>
      <c r="M117" s="119">
        <f t="shared" si="72"/>
        <v>-389.42030690143292</v>
      </c>
      <c r="N117" s="119">
        <f t="shared" si="72"/>
        <v>-431.65785500313723</v>
      </c>
      <c r="O117" s="119">
        <f t="shared" si="72"/>
        <v>-471.86453620879547</v>
      </c>
      <c r="P117" s="119">
        <f t="shared" si="72"/>
        <v>-514.61759171765152</v>
      </c>
      <c r="Q117" s="119">
        <f t="shared" si="72"/>
        <v>-554.65599083943198</v>
      </c>
      <c r="R117" s="119">
        <f t="shared" si="72"/>
        <v>-592.96537494070071</v>
      </c>
      <c r="S117" s="119">
        <f t="shared" si="72"/>
        <v>-633.11110506178738</v>
      </c>
      <c r="T117" s="119">
        <f t="shared" si="72"/>
        <v>-672.22193044575761</v>
      </c>
      <c r="U117" s="119">
        <f t="shared" si="72"/>
        <v>-710.49372365317686</v>
      </c>
      <c r="V117" s="119">
        <f t="shared" si="72"/>
        <v>-748.78007916473507</v>
      </c>
      <c r="W117" s="119">
        <f t="shared" si="72"/>
        <v>-786.18238543024927</v>
      </c>
      <c r="X117" s="119">
        <f t="shared" si="72"/>
        <v>-820.90198693634738</v>
      </c>
      <c r="Y117" s="119">
        <f t="shared" si="72"/>
        <v>-855.34872463744978</v>
      </c>
      <c r="Z117" s="119">
        <f t="shared" si="72"/>
        <v>-886.52302878874616</v>
      </c>
      <c r="AA117" s="119">
        <f t="shared" si="72"/>
        <v>-917.73177292073888</v>
      </c>
      <c r="AB117" s="119">
        <f t="shared" si="72"/>
        <v>-947.72396504386415</v>
      </c>
      <c r="AC117" s="119">
        <f t="shared" si="72"/>
        <v>-976.04091729723223</v>
      </c>
      <c r="AD117" s="211">
        <f t="shared" si="72"/>
        <v>-1005.3860952600699</v>
      </c>
      <c r="AE117" s="119">
        <f t="shared" si="72"/>
        <v>-1031.3325290758294</v>
      </c>
      <c r="AF117" s="119">
        <f t="shared" si="72"/>
        <v>-1056.6632763037451</v>
      </c>
      <c r="AG117" s="119">
        <f t="shared" si="72"/>
        <v>-1082.3992863165113</v>
      </c>
      <c r="AH117" s="119">
        <f t="shared" si="72"/>
        <v>-1102.7298730724942</v>
      </c>
      <c r="AI117" s="119">
        <f t="shared" si="72"/>
        <v>-1112.6096498726984</v>
      </c>
      <c r="AJ117" s="119"/>
      <c r="AK117" s="119" t="str">
        <f t="shared" si="66"/>
        <v>Fuel Costs</v>
      </c>
    </row>
    <row r="118" spans="1:38">
      <c r="A118" s="6" t="s">
        <v>52</v>
      </c>
      <c r="B118" s="119">
        <f t="shared" ref="B118:AI118" si="73">B76-B63</f>
        <v>0</v>
      </c>
      <c r="C118" s="119">
        <f t="shared" si="73"/>
        <v>0</v>
      </c>
      <c r="D118" s="119">
        <f t="shared" si="73"/>
        <v>-1.1865112442895338</v>
      </c>
      <c r="E118" s="119">
        <f t="shared" si="73"/>
        <v>-4.3713504521110167</v>
      </c>
      <c r="F118" s="119">
        <f t="shared" si="73"/>
        <v>-7.9576052588638504</v>
      </c>
      <c r="G118" s="119">
        <f t="shared" si="73"/>
        <v>-11.175226987222914</v>
      </c>
      <c r="H118" s="119">
        <f t="shared" si="73"/>
        <v>-14.23972544866831</v>
      </c>
      <c r="I118" s="119">
        <f t="shared" si="73"/>
        <v>-17.515185456051654</v>
      </c>
      <c r="J118" s="119">
        <f t="shared" si="73"/>
        <v>-21.362310224518751</v>
      </c>
      <c r="K118" s="119">
        <f t="shared" si="73"/>
        <v>-24.496543626306561</v>
      </c>
      <c r="L118" s="119">
        <f t="shared" si="73"/>
        <v>-27.407640060659105</v>
      </c>
      <c r="M118" s="119">
        <f t="shared" si="73"/>
        <v>-29.965975910941097</v>
      </c>
      <c r="N118" s="119">
        <f t="shared" si="73"/>
        <v>-32.682714121892104</v>
      </c>
      <c r="O118" s="119">
        <f t="shared" si="73"/>
        <v>-35.314400610353005</v>
      </c>
      <c r="P118" s="119">
        <f t="shared" si="73"/>
        <v>-38.045834585223702</v>
      </c>
      <c r="Q118" s="119">
        <f t="shared" si="73"/>
        <v>-40.804313841679686</v>
      </c>
      <c r="R118" s="119">
        <f t="shared" si="73"/>
        <v>-42.448056839001993</v>
      </c>
      <c r="S118" s="119">
        <f t="shared" si="73"/>
        <v>-43.285038020601178</v>
      </c>
      <c r="T118" s="119">
        <f t="shared" si="73"/>
        <v>-45.532292369227662</v>
      </c>
      <c r="U118" s="119">
        <f t="shared" si="73"/>
        <v>-47.618383565253225</v>
      </c>
      <c r="V118" s="119">
        <f t="shared" si="73"/>
        <v>-49.562330604668205</v>
      </c>
      <c r="W118" s="119">
        <f t="shared" si="73"/>
        <v>-51.46846191521945</v>
      </c>
      <c r="X118" s="119">
        <f t="shared" si="73"/>
        <v>-53.191305443077454</v>
      </c>
      <c r="Y118" s="119">
        <f t="shared" si="73"/>
        <v>-54.92600507318275</v>
      </c>
      <c r="Z118" s="119">
        <f t="shared" si="73"/>
        <v>-56.065012361040317</v>
      </c>
      <c r="AA118" s="119">
        <f t="shared" si="73"/>
        <v>-57.585601131921521</v>
      </c>
      <c r="AB118" s="119">
        <f t="shared" si="73"/>
        <v>-59.1110704068019</v>
      </c>
      <c r="AC118" s="119">
        <f t="shared" si="73"/>
        <v>-59.846328352807177</v>
      </c>
      <c r="AD118" s="211">
        <f t="shared" si="73"/>
        <v>-61.092283889266582</v>
      </c>
      <c r="AE118" s="119">
        <f t="shared" si="73"/>
        <v>-62.168374586784466</v>
      </c>
      <c r="AF118" s="119">
        <f t="shared" si="73"/>
        <v>-63.188321663095394</v>
      </c>
      <c r="AG118" s="119">
        <f t="shared" si="73"/>
        <v>-62.37516415500113</v>
      </c>
      <c r="AH118" s="119">
        <f t="shared" si="73"/>
        <v>-63.135482440082797</v>
      </c>
      <c r="AI118" s="119">
        <f t="shared" si="73"/>
        <v>-63.708878015685514</v>
      </c>
      <c r="AJ118" s="119"/>
      <c r="AK118" s="119" t="str">
        <f t="shared" si="66"/>
        <v>Variable Costs</v>
      </c>
    </row>
    <row r="119" spans="1:38">
      <c r="A119" s="36" t="s">
        <v>66</v>
      </c>
      <c r="B119" s="119">
        <f t="shared" ref="B119:AI119" si="74">B77-B64</f>
        <v>0</v>
      </c>
      <c r="C119" s="119">
        <f t="shared" si="74"/>
        <v>0</v>
      </c>
      <c r="D119" s="119">
        <f t="shared" si="74"/>
        <v>-7.8754823278924135E-2</v>
      </c>
      <c r="E119" s="119">
        <f t="shared" si="74"/>
        <v>-0.27922943860669491</v>
      </c>
      <c r="F119" s="119">
        <f t="shared" si="74"/>
        <v>-0.67119956289150906</v>
      </c>
      <c r="G119" s="119">
        <f t="shared" si="74"/>
        <v>-1.0155157530523198</v>
      </c>
      <c r="H119" s="119">
        <f t="shared" si="74"/>
        <v>-1.2990045624313282</v>
      </c>
      <c r="I119" s="119">
        <f t="shared" si="74"/>
        <v>-1.5525270126329431</v>
      </c>
      <c r="J119" s="119">
        <f t="shared" si="74"/>
        <v>-1.8234981635126744</v>
      </c>
      <c r="K119" s="119">
        <f t="shared" si="74"/>
        <v>-2.1260147409754353</v>
      </c>
      <c r="L119" s="119">
        <f t="shared" si="74"/>
        <v>-2.3633194326752971</v>
      </c>
      <c r="M119" s="119">
        <f t="shared" si="74"/>
        <v>-2.6233667761624702</v>
      </c>
      <c r="N119" s="119">
        <f t="shared" si="74"/>
        <v>-2.7369375374776439</v>
      </c>
      <c r="O119" s="119">
        <f t="shared" si="74"/>
        <v>-2.8572394365316001</v>
      </c>
      <c r="P119" s="119">
        <f t="shared" si="74"/>
        <v>-2.9035835652367012</v>
      </c>
      <c r="Q119" s="119">
        <f t="shared" si="74"/>
        <v>-2.9261447822567987</v>
      </c>
      <c r="R119" s="119">
        <f t="shared" si="74"/>
        <v>-2.9504035991861741</v>
      </c>
      <c r="S119" s="119">
        <f t="shared" si="74"/>
        <v>-2.9736637758758349</v>
      </c>
      <c r="T119" s="119">
        <f t="shared" si="74"/>
        <v>-2.9941501125396428</v>
      </c>
      <c r="U119" s="119">
        <f t="shared" si="74"/>
        <v>-3.0119034223802856</v>
      </c>
      <c r="V119" s="119">
        <f t="shared" si="74"/>
        <v>-3.0290640403395201</v>
      </c>
      <c r="W119" s="119">
        <f t="shared" si="74"/>
        <v>-3.0453469150288868</v>
      </c>
      <c r="X119" s="119">
        <f t="shared" si="74"/>
        <v>-3.06195667400047</v>
      </c>
      <c r="Y119" s="119">
        <f t="shared" si="74"/>
        <v>-3.0758538206543449</v>
      </c>
      <c r="Z119" s="119">
        <f t="shared" si="74"/>
        <v>-3.0899601860703996</v>
      </c>
      <c r="AA119" s="119">
        <f t="shared" si="74"/>
        <v>-3.103844865045474</v>
      </c>
      <c r="AB119" s="119">
        <f t="shared" si="74"/>
        <v>-3.1167928525230195</v>
      </c>
      <c r="AC119" s="119">
        <f t="shared" si="74"/>
        <v>-3.1285545491978013</v>
      </c>
      <c r="AD119" s="211">
        <f t="shared" si="74"/>
        <v>-3.139057044663673</v>
      </c>
      <c r="AE119" s="119">
        <f t="shared" si="74"/>
        <v>-3.1496640163609868</v>
      </c>
      <c r="AF119" s="119">
        <f t="shared" si="74"/>
        <v>-3.1592190845238406</v>
      </c>
      <c r="AG119" s="119">
        <f t="shared" si="74"/>
        <v>-3.1683697115791318</v>
      </c>
      <c r="AH119" s="119">
        <f t="shared" si="74"/>
        <v>-3.1750866834471196</v>
      </c>
      <c r="AI119" s="119">
        <f t="shared" si="74"/>
        <v>-3.178338396375409</v>
      </c>
      <c r="AJ119" s="119"/>
      <c r="AK119" s="119" t="str">
        <f t="shared" si="66"/>
        <v>Environmental Costs</v>
      </c>
    </row>
    <row r="120" spans="1:38">
      <c r="A120" s="12" t="s">
        <v>69</v>
      </c>
      <c r="B120" s="212">
        <f t="shared" ref="B120:AF120" si="75">B78-B65</f>
        <v>0</v>
      </c>
      <c r="C120" s="212">
        <f t="shared" si="75"/>
        <v>0</v>
      </c>
      <c r="D120" s="212">
        <f t="shared" si="75"/>
        <v>0</v>
      </c>
      <c r="E120" s="212">
        <f t="shared" si="75"/>
        <v>0</v>
      </c>
      <c r="F120" s="212">
        <f t="shared" si="75"/>
        <v>0</v>
      </c>
      <c r="G120" s="212">
        <f t="shared" si="75"/>
        <v>-3.6011214401069793</v>
      </c>
      <c r="H120" s="212">
        <f t="shared" si="75"/>
        <v>-9.4304898680466067</v>
      </c>
      <c r="I120" s="212">
        <f t="shared" si="75"/>
        <v>-17.13747551257751</v>
      </c>
      <c r="J120" s="212">
        <f t="shared" si="75"/>
        <v>-26.901219916653986</v>
      </c>
      <c r="K120" s="212">
        <f t="shared" si="75"/>
        <v>-38.413783728828207</v>
      </c>
      <c r="L120" s="212">
        <f t="shared" si="75"/>
        <v>-50.546889983395431</v>
      </c>
      <c r="M120" s="212">
        <f t="shared" si="75"/>
        <v>-64.57397818288041</v>
      </c>
      <c r="N120" s="212">
        <f t="shared" si="75"/>
        <v>-77.523812639242806</v>
      </c>
      <c r="O120" s="212">
        <f t="shared" si="75"/>
        <v>-91.063325628672828</v>
      </c>
      <c r="P120" s="212">
        <f t="shared" si="75"/>
        <v>-104.63698686317184</v>
      </c>
      <c r="Q120" s="212">
        <f t="shared" si="75"/>
        <v>-117.85077185298405</v>
      </c>
      <c r="R120" s="212">
        <f t="shared" si="75"/>
        <v>-132.6956407873131</v>
      </c>
      <c r="S120" s="212">
        <f t="shared" si="75"/>
        <v>-149.42693989924283</v>
      </c>
      <c r="T120" s="212">
        <f t="shared" si="75"/>
        <v>-167.17619244213938</v>
      </c>
      <c r="U120" s="212">
        <f t="shared" si="75"/>
        <v>-186.58686577495155</v>
      </c>
      <c r="V120" s="212">
        <f t="shared" si="75"/>
        <v>-206.70934953812139</v>
      </c>
      <c r="W120" s="212">
        <f t="shared" si="75"/>
        <v>-227.43373439081461</v>
      </c>
      <c r="X120" s="212">
        <f t="shared" si="75"/>
        <v>-247.54038543829301</v>
      </c>
      <c r="Y120" s="212">
        <f t="shared" si="75"/>
        <v>-268.19883596750878</v>
      </c>
      <c r="Z120" s="212">
        <f t="shared" si="75"/>
        <v>-288.05028178328757</v>
      </c>
      <c r="AA120" s="212">
        <f t="shared" si="75"/>
        <v>-308.11167829431815</v>
      </c>
      <c r="AB120" s="212">
        <f t="shared" si="75"/>
        <v>-327.82261265264879</v>
      </c>
      <c r="AC120" s="212">
        <f t="shared" si="75"/>
        <v>-346.83681454322868</v>
      </c>
      <c r="AD120" s="213">
        <f t="shared" si="75"/>
        <v>-366.92150376850987</v>
      </c>
      <c r="AE120" s="212">
        <f t="shared" si="75"/>
        <v>-385.28979610929491</v>
      </c>
      <c r="AF120" s="212">
        <f t="shared" si="75"/>
        <v>-403.61441894177733</v>
      </c>
      <c r="AG120" s="212">
        <f t="shared" ref="AG120:AH120" si="76">AG78-AG65</f>
        <v>-422.88970185216749</v>
      </c>
      <c r="AH120" s="212">
        <f t="shared" si="76"/>
        <v>-438.35515738943832</v>
      </c>
      <c r="AI120" s="212">
        <f>AI78-AI65</f>
        <v>-446.00936492189612</v>
      </c>
      <c r="AJ120" s="212"/>
      <c r="AK120" s="212" t="str">
        <f t="shared" si="66"/>
        <v>CO2 Costs</v>
      </c>
    </row>
    <row r="121" spans="1:38">
      <c r="A121" s="6" t="s">
        <v>72</v>
      </c>
      <c r="B121" s="15">
        <f t="shared" ref="B121:AI121" si="77">SUM(B111:B120)</f>
        <v>0</v>
      </c>
      <c r="C121" s="15">
        <f t="shared" si="77"/>
        <v>0.95602539473914416</v>
      </c>
      <c r="D121" s="15">
        <f t="shared" si="77"/>
        <v>19.586358378615287</v>
      </c>
      <c r="E121" s="15">
        <f t="shared" si="77"/>
        <v>64.77504116116927</v>
      </c>
      <c r="F121" s="15">
        <f t="shared" si="77"/>
        <v>120.89491816237017</v>
      </c>
      <c r="G121" s="15">
        <f t="shared" si="77"/>
        <v>164.23211795958667</v>
      </c>
      <c r="H121" s="15">
        <f t="shared" si="77"/>
        <v>194.85618448236909</v>
      </c>
      <c r="I121" s="15">
        <f t="shared" si="77"/>
        <v>202.68770647304422</v>
      </c>
      <c r="J121" s="15">
        <f t="shared" si="77"/>
        <v>193.64934416314736</v>
      </c>
      <c r="K121" s="15">
        <f t="shared" si="77"/>
        <v>178.10793502659516</v>
      </c>
      <c r="L121" s="15">
        <f t="shared" si="77"/>
        <v>161.63500044381081</v>
      </c>
      <c r="M121" s="15">
        <f t="shared" si="77"/>
        <v>136.65546983983234</v>
      </c>
      <c r="N121" s="15">
        <f t="shared" si="77"/>
        <v>111.66743299373488</v>
      </c>
      <c r="O121" s="15">
        <f t="shared" si="77"/>
        <v>87.012445420512904</v>
      </c>
      <c r="P121" s="15">
        <f t="shared" si="77"/>
        <v>43.558812092869687</v>
      </c>
      <c r="Q121" s="15">
        <f t="shared" si="77"/>
        <v>-9.6172119184616776</v>
      </c>
      <c r="R121" s="15">
        <f t="shared" si="77"/>
        <v>-52.234700363479746</v>
      </c>
      <c r="S121" s="15">
        <f t="shared" si="77"/>
        <v>-92.470924801024026</v>
      </c>
      <c r="T121" s="15">
        <f t="shared" si="77"/>
        <v>-142.91894450248472</v>
      </c>
      <c r="U121" s="15">
        <f t="shared" si="77"/>
        <v>-201.17184200643345</v>
      </c>
      <c r="V121" s="15">
        <f t="shared" si="77"/>
        <v>-260.5869240921333</v>
      </c>
      <c r="W121" s="15">
        <f t="shared" si="77"/>
        <v>-320.17566815680016</v>
      </c>
      <c r="X121" s="15">
        <f t="shared" si="77"/>
        <v>-376.66760389217347</v>
      </c>
      <c r="Y121" s="15">
        <f t="shared" si="77"/>
        <v>-433.79022214704133</v>
      </c>
      <c r="Z121" s="15">
        <f t="shared" si="77"/>
        <v>-486.53404534925272</v>
      </c>
      <c r="AA121" s="15">
        <f t="shared" si="77"/>
        <v>-540.16593421894481</v>
      </c>
      <c r="AB121" s="15">
        <f t="shared" si="77"/>
        <v>-586.15278785290593</v>
      </c>
      <c r="AC121" s="52">
        <f t="shared" si="77"/>
        <v>-625.42736457687124</v>
      </c>
      <c r="AD121" s="214">
        <f t="shared" si="77"/>
        <v>-668.20664074952754</v>
      </c>
      <c r="AE121" s="15">
        <f t="shared" si="77"/>
        <v>-706.52060893583075</v>
      </c>
      <c r="AF121" s="15">
        <f t="shared" si="77"/>
        <v>-744.85649475468381</v>
      </c>
      <c r="AG121" s="15">
        <f t="shared" si="77"/>
        <v>-782.88602513427304</v>
      </c>
      <c r="AH121" s="15">
        <f t="shared" si="77"/>
        <v>-814.84198092930751</v>
      </c>
      <c r="AI121" s="15">
        <f t="shared" si="77"/>
        <v>-831.34152061310328</v>
      </c>
      <c r="AJ121" s="15"/>
      <c r="AK121" s="6" t="s">
        <v>72</v>
      </c>
    </row>
    <row r="122" spans="1:38">
      <c r="A122" s="6" t="s">
        <v>73</v>
      </c>
      <c r="B122" s="15">
        <f t="shared" ref="B122:AI122" si="78">B121-B120</f>
        <v>0</v>
      </c>
      <c r="C122" s="15">
        <f t="shared" si="78"/>
        <v>0.95602539473914416</v>
      </c>
      <c r="D122" s="15">
        <f t="shared" si="78"/>
        <v>19.586358378615287</v>
      </c>
      <c r="E122" s="15">
        <f t="shared" si="78"/>
        <v>64.77504116116927</v>
      </c>
      <c r="F122" s="15">
        <f t="shared" si="78"/>
        <v>120.89491816237017</v>
      </c>
      <c r="G122" s="15">
        <f t="shared" si="78"/>
        <v>167.83323939969364</v>
      </c>
      <c r="H122" s="15">
        <f t="shared" si="78"/>
        <v>204.28667435041569</v>
      </c>
      <c r="I122" s="15">
        <f t="shared" si="78"/>
        <v>219.82518198562173</v>
      </c>
      <c r="J122" s="15">
        <f t="shared" si="78"/>
        <v>220.55056407980135</v>
      </c>
      <c r="K122" s="15">
        <f t="shared" si="78"/>
        <v>216.52171875542336</v>
      </c>
      <c r="L122" s="15">
        <f t="shared" si="78"/>
        <v>212.18189042720624</v>
      </c>
      <c r="M122" s="15">
        <f t="shared" si="78"/>
        <v>201.22944802271275</v>
      </c>
      <c r="N122" s="15">
        <f t="shared" si="78"/>
        <v>189.19124563297768</v>
      </c>
      <c r="O122" s="15">
        <f t="shared" si="78"/>
        <v>178.07577104918573</v>
      </c>
      <c r="P122" s="15">
        <f t="shared" si="78"/>
        <v>148.19579895604153</v>
      </c>
      <c r="Q122" s="15">
        <f t="shared" si="78"/>
        <v>108.23355993452238</v>
      </c>
      <c r="R122" s="15">
        <f t="shared" si="78"/>
        <v>80.46094042383335</v>
      </c>
      <c r="S122" s="15">
        <f t="shared" si="78"/>
        <v>56.956015098218799</v>
      </c>
      <c r="T122" s="15">
        <f t="shared" si="78"/>
        <v>24.257247939654661</v>
      </c>
      <c r="U122" s="15">
        <f t="shared" si="78"/>
        <v>-14.584976231481903</v>
      </c>
      <c r="V122" s="15">
        <f t="shared" si="78"/>
        <v>-53.877574554011915</v>
      </c>
      <c r="W122" s="15">
        <f t="shared" si="78"/>
        <v>-92.74193376598555</v>
      </c>
      <c r="X122" s="15">
        <f t="shared" si="78"/>
        <v>-129.12721845388046</v>
      </c>
      <c r="Y122" s="15">
        <f t="shared" si="78"/>
        <v>-165.59138617953255</v>
      </c>
      <c r="Z122" s="15">
        <f t="shared" si="78"/>
        <v>-198.48376356596515</v>
      </c>
      <c r="AA122" s="15">
        <f t="shared" si="78"/>
        <v>-232.05425592462666</v>
      </c>
      <c r="AB122" s="15">
        <f t="shared" si="78"/>
        <v>-258.33017520025714</v>
      </c>
      <c r="AC122" s="52">
        <f t="shared" si="78"/>
        <v>-278.59055003364256</v>
      </c>
      <c r="AD122" s="214">
        <f t="shared" si="78"/>
        <v>-301.28513698101767</v>
      </c>
      <c r="AE122" s="15">
        <f t="shared" si="78"/>
        <v>-321.23081282653584</v>
      </c>
      <c r="AF122" s="15">
        <f t="shared" si="78"/>
        <v>-341.24207581290648</v>
      </c>
      <c r="AG122" s="15">
        <f t="shared" si="78"/>
        <v>-359.99632328210555</v>
      </c>
      <c r="AH122" s="15">
        <f t="shared" si="78"/>
        <v>-376.48682353986919</v>
      </c>
      <c r="AI122" s="15">
        <f t="shared" si="78"/>
        <v>-385.33215569120716</v>
      </c>
      <c r="AJ122" s="15"/>
      <c r="AK122" s="6" t="s">
        <v>73</v>
      </c>
    </row>
    <row r="123" spans="1:38">
      <c r="AG123" s="216"/>
      <c r="AH123" s="216"/>
      <c r="AI123" s="16">
        <f>Sensitivity_Summary!Q23</f>
        <v>-831.34152425159118</v>
      </c>
    </row>
    <row r="124" spans="1:38">
      <c r="AI124" s="16">
        <f>Sensitivity_Summary!Q21</f>
        <v>-385.33215932970052</v>
      </c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V38"/>
  <sheetViews>
    <sheetView zoomScale="52" workbookViewId="0">
      <pane xSplit="1" ySplit="2" topLeftCell="B3" activePane="bottomRight" state="frozen"/>
      <selection activeCell="Z112" sqref="Z112"/>
      <selection pane="topRight" activeCell="Z112" sqref="Z112"/>
      <selection pane="bottomLeft" activeCell="Z112" sqref="Z112"/>
      <selection pane="bottomRight" activeCell="E16" sqref="E16"/>
    </sheetView>
  </sheetViews>
  <sheetFormatPr defaultColWidth="8.90625" defaultRowHeight="14.5"/>
  <cols>
    <col min="1" max="1" width="47.6328125" style="6" bestFit="1" customWidth="1"/>
    <col min="2" max="2" width="8.36328125" style="6" bestFit="1" customWidth="1"/>
    <col min="3" max="3" width="11.36328125" style="6" customWidth="1"/>
    <col min="4" max="4" width="9.36328125" style="6" bestFit="1" customWidth="1"/>
    <col min="5" max="7" width="11.36328125" style="6" customWidth="1"/>
    <col min="8" max="8" width="8.36328125" style="6" bestFit="1" customWidth="1"/>
    <col min="9" max="9" width="11.36328125" style="6" customWidth="1"/>
    <col min="10" max="10" width="8.36328125" style="6" bestFit="1" customWidth="1"/>
    <col min="11" max="11" width="11.36328125" style="6" customWidth="1"/>
    <col min="12" max="12" width="3.1796875" style="6" customWidth="1"/>
    <col min="13" max="13" width="10.08984375" style="6" customWidth="1"/>
    <col min="14" max="14" width="11.453125" style="6" customWidth="1"/>
    <col min="15" max="15" width="10.1796875" style="6" customWidth="1"/>
    <col min="16" max="16" width="9.6328125" style="6" customWidth="1"/>
    <col min="17" max="17" width="10.36328125" style="6" customWidth="1"/>
    <col min="18" max="18" width="11" style="6" customWidth="1"/>
    <col min="19" max="19" width="10.08984375" style="6" bestFit="1" customWidth="1"/>
    <col min="20" max="20" width="24.54296875" style="6" bestFit="1" customWidth="1"/>
    <col min="21" max="16384" width="8.90625" style="6"/>
  </cols>
  <sheetData>
    <row r="1" spans="1:22" ht="36" customHeight="1" thickBot="1">
      <c r="A1" s="422" t="s">
        <v>241</v>
      </c>
      <c r="B1" s="424" t="s">
        <v>59</v>
      </c>
      <c r="C1" s="425"/>
      <c r="D1" s="424" t="s">
        <v>180</v>
      </c>
      <c r="E1" s="425"/>
      <c r="F1" s="424" t="s">
        <v>57</v>
      </c>
      <c r="G1" s="425"/>
      <c r="H1" s="424" t="s">
        <v>58</v>
      </c>
      <c r="I1" s="425"/>
      <c r="J1" s="424" t="s">
        <v>56</v>
      </c>
      <c r="K1" s="425"/>
      <c r="L1" s="170"/>
      <c r="M1" s="419" t="s">
        <v>204</v>
      </c>
      <c r="N1" s="420"/>
      <c r="O1" s="420"/>
      <c r="P1" s="420"/>
      <c r="Q1" s="421"/>
    </row>
    <row r="2" spans="1:22" ht="58.5" thickBot="1">
      <c r="A2" s="423"/>
      <c r="B2" s="356" t="s">
        <v>160</v>
      </c>
      <c r="C2" s="357" t="s">
        <v>203</v>
      </c>
      <c r="D2" s="356" t="s">
        <v>160</v>
      </c>
      <c r="E2" s="357" t="s">
        <v>203</v>
      </c>
      <c r="F2" s="356" t="s">
        <v>160</v>
      </c>
      <c r="G2" s="357" t="s">
        <v>203</v>
      </c>
      <c r="H2" s="356" t="s">
        <v>160</v>
      </c>
      <c r="I2" s="357" t="s">
        <v>203</v>
      </c>
      <c r="J2" s="356" t="s">
        <v>160</v>
      </c>
      <c r="K2" s="357" t="s">
        <v>203</v>
      </c>
      <c r="L2" s="36"/>
      <c r="M2" s="358" t="s">
        <v>59</v>
      </c>
      <c r="N2" s="358" t="s">
        <v>180</v>
      </c>
      <c r="O2" s="359" t="s">
        <v>57</v>
      </c>
      <c r="P2" s="358" t="s">
        <v>58</v>
      </c>
      <c r="Q2" s="360" t="s">
        <v>56</v>
      </c>
      <c r="R2" s="204"/>
      <c r="S2" s="204"/>
      <c r="T2" s="204"/>
      <c r="U2" s="204"/>
      <c r="V2" s="204"/>
    </row>
    <row r="3" spans="1:22">
      <c r="A3" s="208" t="s">
        <v>54</v>
      </c>
      <c r="B3" s="62">
        <f>SUM(NoCarbon_Summary_2053!$B$90:$B$97)</f>
        <v>161.43789640707516</v>
      </c>
      <c r="C3" s="63">
        <f>SUM(NoCarbon_Summary_2053!$C$90:$C$97)</f>
        <v>161.43789640707516</v>
      </c>
      <c r="D3" s="62">
        <f>SUM(LowCarbon_Summary_2053!$B$90:$B$97)</f>
        <v>161.43789640707516</v>
      </c>
      <c r="E3" s="63">
        <f>SUM(LowCarbon_Summary_2053!$C$90:$C$97)</f>
        <v>161.43789640707516</v>
      </c>
      <c r="F3" s="62">
        <f>SUM(LowFuel_Summary_2053!$B$90:$B$97)</f>
        <v>161.43789640707516</v>
      </c>
      <c r="G3" s="63">
        <f>SUM(LowFuel_Summary_2053!$C$90:$C$97)</f>
        <v>161.43789640707516</v>
      </c>
      <c r="H3" s="62">
        <f>SUM(Summary_2053!$B$90:$B$97)</f>
        <v>161.43789640707516</v>
      </c>
      <c r="I3" s="63">
        <f>SUM(Summary_2053!$C$90:$C$97)</f>
        <v>161.43789640707516</v>
      </c>
      <c r="J3" s="62">
        <f>SUM(HighFuel_Summary_2053!$B$90:$B$97)</f>
        <v>161.43789640707516</v>
      </c>
      <c r="K3" s="63">
        <f>SUM(HighFuel_Summary_2053!$C$90:$C$97)</f>
        <v>161.43789640707516</v>
      </c>
      <c r="L3" s="36"/>
      <c r="M3" s="113">
        <f t="shared" ref="M3:M23" si="0">C3-B3</f>
        <v>0</v>
      </c>
      <c r="N3" s="113">
        <f t="shared" ref="N3:N23" si="1">E3-D3</f>
        <v>0</v>
      </c>
      <c r="O3" s="116">
        <f t="shared" ref="O3:O23" si="2">G3-F3</f>
        <v>0</v>
      </c>
      <c r="P3" s="113">
        <f t="shared" ref="P3:P23" si="3">I3-H3</f>
        <v>0</v>
      </c>
      <c r="Q3" s="113">
        <f t="shared" ref="Q3:Q23" si="4">K3-J3</f>
        <v>0</v>
      </c>
      <c r="R3" s="204"/>
      <c r="S3" s="204"/>
      <c r="T3" s="204"/>
      <c r="U3" s="204"/>
      <c r="V3" s="204"/>
    </row>
    <row r="4" spans="1:22">
      <c r="A4" s="202" t="s">
        <v>55</v>
      </c>
      <c r="B4" s="64">
        <f>SUM(NoCarbon_Summary_2053!$B$98:$B$105)</f>
        <v>155.80325728668001</v>
      </c>
      <c r="C4" s="65">
        <f>SUM(NoCarbon_Summary_2053!$C$98:$C$105)</f>
        <v>155.80325728668001</v>
      </c>
      <c r="D4" s="64">
        <f>SUM(LowCarbon_Summary_2053!$B$98:$B$105)</f>
        <v>155.80325728668001</v>
      </c>
      <c r="E4" s="65">
        <f>SUM(LowCarbon_Summary_2053!$C$98:$C$105)</f>
        <v>155.80325728668001</v>
      </c>
      <c r="F4" s="64">
        <f>SUM(LowFuel_Summary_2053!$B$98:$B$105)</f>
        <v>155.80325728668001</v>
      </c>
      <c r="G4" s="65">
        <f>SUM(LowFuel_Summary_2053!$C$98:$C$105)</f>
        <v>155.80325728668001</v>
      </c>
      <c r="H4" s="64">
        <f>SUM(Summary_2053!$B$98:$B$105)</f>
        <v>155.80325728668001</v>
      </c>
      <c r="I4" s="65">
        <f>SUM(Summary_2053!$C$98:$C$105)</f>
        <v>155.80325728668001</v>
      </c>
      <c r="J4" s="64">
        <f>SUM(HighFuel_Summary_2053!$B$98:$B$105)</f>
        <v>155.80325728668001</v>
      </c>
      <c r="K4" s="65">
        <f>SUM(HighFuel_Summary_2053!$C$98:$C$105)</f>
        <v>155.80325728668001</v>
      </c>
      <c r="L4" s="36"/>
      <c r="M4" s="114">
        <f t="shared" si="0"/>
        <v>0</v>
      </c>
      <c r="N4" s="114">
        <f t="shared" si="1"/>
        <v>0</v>
      </c>
      <c r="O4" s="117">
        <f t="shared" si="2"/>
        <v>0</v>
      </c>
      <c r="P4" s="114">
        <f t="shared" si="3"/>
        <v>0</v>
      </c>
      <c r="Q4" s="114">
        <f t="shared" si="4"/>
        <v>0</v>
      </c>
      <c r="R4" s="204"/>
      <c r="S4" s="204"/>
      <c r="T4" s="204"/>
      <c r="U4" s="204"/>
      <c r="V4" s="204"/>
    </row>
    <row r="5" spans="1:22">
      <c r="A5" s="202" t="s">
        <v>81</v>
      </c>
      <c r="B5" s="64">
        <f>SUM(NoCarbon_Summary_2053!$B$66:$B$73)</f>
        <v>140.5223449183803</v>
      </c>
      <c r="C5" s="65">
        <f>SUM(NoCarbon_Summary_2053!$C$66:$C$73)</f>
        <v>140.5223449183803</v>
      </c>
      <c r="D5" s="64">
        <f>SUM(LowCarbon_Summary_2053!$B$66:$B$73)</f>
        <v>140.5223449183803</v>
      </c>
      <c r="E5" s="65">
        <f>SUM(LowCarbon_Summary_2053!$C$66:$C$73)</f>
        <v>140.5223449183803</v>
      </c>
      <c r="F5" s="64">
        <f>SUM(NoCarbon_Summary_2053!$B$66:$B$73)</f>
        <v>140.5223449183803</v>
      </c>
      <c r="G5" s="65">
        <f>SUM(NoCarbon_Summary_2053!$C$66:$C$73)</f>
        <v>140.5223449183803</v>
      </c>
      <c r="H5" s="64">
        <f>SUM(Summary_2053!$B$66:$B$73)</f>
        <v>140.5223449183803</v>
      </c>
      <c r="I5" s="65">
        <f>SUM(Summary_2053!$C$66:$C$73)</f>
        <v>140.5223449183803</v>
      </c>
      <c r="J5" s="64">
        <f>SUM(NoCarbon_Summary_2053!$B$66:$B$73)</f>
        <v>140.5223449183803</v>
      </c>
      <c r="K5" s="65">
        <f>SUM(NoCarbon_Summary_2053!$C$66:$C$73)</f>
        <v>140.5223449183803</v>
      </c>
      <c r="L5" s="36"/>
      <c r="M5" s="114">
        <f t="shared" si="0"/>
        <v>0</v>
      </c>
      <c r="N5" s="114">
        <f t="shared" si="1"/>
        <v>0</v>
      </c>
      <c r="O5" s="117">
        <f t="shared" si="2"/>
        <v>0</v>
      </c>
      <c r="P5" s="114">
        <f t="shared" ref="P5" si="5">I5-H5</f>
        <v>0</v>
      </c>
      <c r="Q5" s="114">
        <f t="shared" ref="Q5" si="6">K5-J5</f>
        <v>0</v>
      </c>
      <c r="R5" s="204"/>
      <c r="S5" s="204"/>
      <c r="T5" s="204"/>
      <c r="U5" s="204"/>
      <c r="V5" s="204"/>
    </row>
    <row r="6" spans="1:22">
      <c r="A6" s="202" t="s">
        <v>80</v>
      </c>
      <c r="B6" s="64">
        <f>SUM(NoCarbon_Summary_2053!$B$74:$B$81)</f>
        <v>87.229465023900957</v>
      </c>
      <c r="C6" s="65">
        <f>SUM(NoCarbon_Summary_2053!$C$74:$C$81)</f>
        <v>87.229465023900957</v>
      </c>
      <c r="D6" s="64">
        <f>SUM(LowCarbon_Summary_2053!$B$74:$B$81)</f>
        <v>87.229465023900957</v>
      </c>
      <c r="E6" s="65">
        <f>SUM(LowCarbon_Summary_2053!$C$74:$C$81)</f>
        <v>87.229465023900957</v>
      </c>
      <c r="F6" s="64">
        <f>SUM(NoCarbon_Summary_2053!$B$74:$B$81)</f>
        <v>87.229465023900957</v>
      </c>
      <c r="G6" s="65">
        <f>SUM(NoCarbon_Summary_2053!$C$74:$C$81)</f>
        <v>87.229465023900957</v>
      </c>
      <c r="H6" s="64">
        <f>SUM(Summary_2053!$B$74:$B$81)</f>
        <v>87.229465023900957</v>
      </c>
      <c r="I6" s="65">
        <f>SUM(Summary_2053!$C$74:$C$81)</f>
        <v>87.229465023900957</v>
      </c>
      <c r="J6" s="64">
        <f>SUM(NoCarbon_Summary_2053!$B$74:$B$81)</f>
        <v>87.229465023900957</v>
      </c>
      <c r="K6" s="65">
        <f>SUM(NoCarbon_Summary_2053!$C$74:$C$81)</f>
        <v>87.229465023900957</v>
      </c>
      <c r="L6" s="36"/>
      <c r="M6" s="114">
        <f t="shared" si="0"/>
        <v>0</v>
      </c>
      <c r="N6" s="114">
        <f t="shared" si="1"/>
        <v>0</v>
      </c>
      <c r="O6" s="117">
        <f t="shared" si="2"/>
        <v>0</v>
      </c>
      <c r="P6" s="114">
        <f t="shared" ref="P6" si="7">I6-H6</f>
        <v>0</v>
      </c>
      <c r="Q6" s="114">
        <f t="shared" ref="Q6" si="8">K6-J6</f>
        <v>0</v>
      </c>
      <c r="R6" s="204"/>
      <c r="S6" s="204"/>
      <c r="T6" s="204"/>
      <c r="U6" s="204"/>
      <c r="V6" s="204"/>
    </row>
    <row r="7" spans="1:22">
      <c r="A7" s="202" t="s">
        <v>82</v>
      </c>
      <c r="B7" s="64">
        <f>SUM(NoCarbon_Summary_2053!$B$82:$B$89)</f>
        <v>121.58363013940715</v>
      </c>
      <c r="C7" s="65">
        <f>SUM(NoCarbon_Summary_2053!$C$82:$C$89)</f>
        <v>121.58363013940715</v>
      </c>
      <c r="D7" s="64">
        <f>SUM(LowCarbon_Summary_2053!$B$82:$B$89)</f>
        <v>121.58363013940715</v>
      </c>
      <c r="E7" s="65">
        <f>SUM(LowCarbon_Summary_2053!$C$82:$C$89)</f>
        <v>121.58363013940715</v>
      </c>
      <c r="F7" s="64">
        <f>SUM(NoCarbon_Summary_2053!$B$82:$B$89)</f>
        <v>121.58363013940715</v>
      </c>
      <c r="G7" s="65">
        <f>SUM(NoCarbon_Summary_2053!$C$82:$C$89)</f>
        <v>121.58363013940715</v>
      </c>
      <c r="H7" s="64">
        <f>SUM(Summary_2053!$B$82:$B$89)</f>
        <v>121.58363013940715</v>
      </c>
      <c r="I7" s="65">
        <f>SUM(Summary_2053!$C$82:$C$89)</f>
        <v>121.58363013940715</v>
      </c>
      <c r="J7" s="64">
        <f>SUM(NoCarbon_Summary_2053!$B$82:$B$89)</f>
        <v>121.58363013940715</v>
      </c>
      <c r="K7" s="65">
        <f>SUM(NoCarbon_Summary_2053!$C$82:$C$89)</f>
        <v>121.58363013940715</v>
      </c>
      <c r="L7" s="36"/>
      <c r="M7" s="114">
        <f t="shared" si="0"/>
        <v>0</v>
      </c>
      <c r="N7" s="114">
        <f t="shared" si="1"/>
        <v>0</v>
      </c>
      <c r="O7" s="117">
        <f t="shared" si="2"/>
        <v>0</v>
      </c>
      <c r="P7" s="114">
        <f t="shared" ref="P7" si="9">I7-H7</f>
        <v>0</v>
      </c>
      <c r="Q7" s="114">
        <f t="shared" ref="Q7" si="10">K7-J7</f>
        <v>0</v>
      </c>
      <c r="R7" s="204"/>
      <c r="S7" s="204"/>
      <c r="T7" s="204"/>
      <c r="U7" s="204"/>
      <c r="V7" s="204"/>
    </row>
    <row r="8" spans="1:22">
      <c r="A8" s="202" t="s">
        <v>131</v>
      </c>
      <c r="B8" s="64">
        <f>SUM(NoCarbon_Summary_2053!$B$26:$B$33)</f>
        <v>155.63331305078157</v>
      </c>
      <c r="C8" s="65">
        <f>SUM(NoCarbon_Summary_2053!$C$26:$C$33)</f>
        <v>155.63331305078157</v>
      </c>
      <c r="D8" s="64">
        <f>SUM(LowCarbon_Summary_2053!$B$26:$B$33)</f>
        <v>155.63331305078157</v>
      </c>
      <c r="E8" s="65">
        <f>SUM(LowCarbon_Summary_2053!$C$26:$C$33)</f>
        <v>155.63331305078157</v>
      </c>
      <c r="F8" s="64">
        <f>SUM(LowFuel_Summary_2053!$B$26:$B$33)</f>
        <v>155.63331305078157</v>
      </c>
      <c r="G8" s="65">
        <f>SUM(LowFuel_Summary_2053!$C$26:$C$33)</f>
        <v>155.63331305078157</v>
      </c>
      <c r="H8" s="64">
        <f>SUM(Summary_2053!$B$26:$B$33)</f>
        <v>155.63331305078157</v>
      </c>
      <c r="I8" s="65">
        <f>SUM(Summary_2053!$C$26:$C$33)</f>
        <v>155.63331305078157</v>
      </c>
      <c r="J8" s="64">
        <f>SUM(HighFuel_Summary_2053!$B$26:$B$33)</f>
        <v>155.63331305078157</v>
      </c>
      <c r="K8" s="65">
        <f>SUM(HighFuel_Summary_2053!$C$26:$C$33)</f>
        <v>155.63331305078157</v>
      </c>
      <c r="L8" s="36"/>
      <c r="M8" s="114">
        <f t="shared" si="0"/>
        <v>0</v>
      </c>
      <c r="N8" s="114">
        <f t="shared" si="1"/>
        <v>0</v>
      </c>
      <c r="O8" s="117">
        <f t="shared" si="2"/>
        <v>0</v>
      </c>
      <c r="P8" s="114">
        <f t="shared" ref="P8:P15" si="11">I8-H8</f>
        <v>0</v>
      </c>
      <c r="Q8" s="114">
        <f t="shared" ref="Q8:Q12" si="12">K8-J8</f>
        <v>0</v>
      </c>
      <c r="R8" s="204"/>
      <c r="S8" s="204"/>
      <c r="T8" s="204"/>
      <c r="U8" s="204"/>
      <c r="V8" s="204"/>
    </row>
    <row r="9" spans="1:22">
      <c r="A9" s="202" t="s">
        <v>132</v>
      </c>
      <c r="B9" s="64">
        <f>SUM(NoCarbon_Summary_2053!$B$34:$B$41)</f>
        <v>144.43129884573909</v>
      </c>
      <c r="C9" s="65">
        <f>SUM(NoCarbon_Summary_2053!$C$34:$C$41)</f>
        <v>144.43129884573909</v>
      </c>
      <c r="D9" s="64">
        <f>SUM(LowCarbon_Summary_2053!$B$34:$B$41)</f>
        <v>144.43129884573909</v>
      </c>
      <c r="E9" s="65">
        <f>SUM(LowCarbon_Summary_2053!$C$34:$C$41)</f>
        <v>144.43129884573909</v>
      </c>
      <c r="F9" s="64">
        <f>SUM(LowFuel_Summary_2053!$B$34:$B$41)</f>
        <v>144.43129884573909</v>
      </c>
      <c r="G9" s="65">
        <f>SUM(LowFuel_Summary_2053!$C$34:$C$41)</f>
        <v>144.43129884573909</v>
      </c>
      <c r="H9" s="64">
        <f>SUM(Summary_2053!$B$34:$B$41)</f>
        <v>144.43129884573909</v>
      </c>
      <c r="I9" s="65">
        <f>SUM(Summary_2053!$C$34:$C$41)</f>
        <v>144.43129884573909</v>
      </c>
      <c r="J9" s="64">
        <f>SUM(HighFuel_Summary_2053!$B$34:$B$41)</f>
        <v>144.43129884573909</v>
      </c>
      <c r="K9" s="65">
        <f>SUM(HighFuel_Summary_2053!$C$34:$C$41)</f>
        <v>144.43129884573909</v>
      </c>
      <c r="L9" s="36"/>
      <c r="M9" s="114">
        <f t="shared" si="0"/>
        <v>0</v>
      </c>
      <c r="N9" s="114">
        <f t="shared" si="1"/>
        <v>0</v>
      </c>
      <c r="O9" s="117">
        <f t="shared" si="2"/>
        <v>0</v>
      </c>
      <c r="P9" s="114">
        <f t="shared" si="11"/>
        <v>0</v>
      </c>
      <c r="Q9" s="114">
        <f t="shared" si="12"/>
        <v>0</v>
      </c>
      <c r="R9" s="204"/>
      <c r="S9" s="204"/>
      <c r="T9" s="204"/>
      <c r="U9" s="204"/>
      <c r="V9" s="204"/>
    </row>
    <row r="10" spans="1:22">
      <c r="A10" s="202" t="s">
        <v>196</v>
      </c>
      <c r="B10" s="64">
        <f>SUM(NoCarbon_Summary_2053!$B$42:$B$49)</f>
        <v>121.97296846561844</v>
      </c>
      <c r="C10" s="65">
        <f>SUM(NoCarbon_Summary_2053!$C$42:$C$49)</f>
        <v>121.97296846561844</v>
      </c>
      <c r="D10" s="64">
        <f>SUM(LowCarbon_Summary_2053!$B$42:$B$49)</f>
        <v>121.97296846561844</v>
      </c>
      <c r="E10" s="65">
        <f>SUM(LowCarbon_Summary_2053!$C$42:$C$49)</f>
        <v>121.97296846561844</v>
      </c>
      <c r="F10" s="64">
        <f>SUM(LowFuel_Summary_2053!$B$42:$B$49)</f>
        <v>121.97296846561844</v>
      </c>
      <c r="G10" s="65">
        <f>SUM(LowFuel_Summary_2053!$C$42:$C$49)</f>
        <v>121.97296846561844</v>
      </c>
      <c r="H10" s="64">
        <f>SUM(Summary_2053!$B$42:$B$49)</f>
        <v>121.97296846561844</v>
      </c>
      <c r="I10" s="65">
        <f>SUM(Summary_2053!$C$42:$C$49)</f>
        <v>121.97296846561844</v>
      </c>
      <c r="J10" s="64">
        <f>SUM(HighFuel_Summary_2053!$B$42:$B$49)</f>
        <v>121.97296846561844</v>
      </c>
      <c r="K10" s="65">
        <f>SUM(HighFuel_Summary_2053!$C$42:$C$49)</f>
        <v>121.97296846561844</v>
      </c>
      <c r="L10" s="36"/>
      <c r="M10" s="114">
        <f t="shared" si="0"/>
        <v>0</v>
      </c>
      <c r="N10" s="114">
        <f t="shared" si="1"/>
        <v>0</v>
      </c>
      <c r="O10" s="117">
        <f t="shared" si="2"/>
        <v>0</v>
      </c>
      <c r="P10" s="114">
        <f t="shared" si="11"/>
        <v>0</v>
      </c>
      <c r="Q10" s="114">
        <f t="shared" si="12"/>
        <v>0</v>
      </c>
      <c r="R10" s="204"/>
      <c r="S10" s="204"/>
      <c r="T10" s="204"/>
      <c r="U10" s="204"/>
      <c r="V10" s="204"/>
    </row>
    <row r="11" spans="1:22">
      <c r="A11" s="202" t="s">
        <v>197</v>
      </c>
      <c r="B11" s="64">
        <f>SUM(NoCarbon_Summary_2053!$B$50:$B$57)</f>
        <v>132.41593119812623</v>
      </c>
      <c r="C11" s="65">
        <f>SUM(NoCarbon_Summary_2053!$C$50:$C$57)</f>
        <v>132.41593119812623</v>
      </c>
      <c r="D11" s="64">
        <f>SUM(LowCarbon_Summary_2053!$B$50:$B$57)</f>
        <v>132.41593119812623</v>
      </c>
      <c r="E11" s="65">
        <f>SUM(LowCarbon_Summary_2053!$C$50:$C$57)</f>
        <v>132.41593119812623</v>
      </c>
      <c r="F11" s="64">
        <f>SUM(LowFuel_Summary_2053!$B$50:$B$57)</f>
        <v>132.41593119812623</v>
      </c>
      <c r="G11" s="65">
        <f>SUM(LowFuel_Summary_2053!$C$50:$C$57)</f>
        <v>132.41593119812623</v>
      </c>
      <c r="H11" s="64">
        <f>SUM(Summary_2053!$B$50:$B$57)</f>
        <v>132.41593119812623</v>
      </c>
      <c r="I11" s="65">
        <f>SUM(Summary_2053!$C$50:$C$57)</f>
        <v>132.41593119812623</v>
      </c>
      <c r="J11" s="64">
        <f>SUM(HighFuel_Summary_2053!$B$50:$B$57)</f>
        <v>132.41593119812623</v>
      </c>
      <c r="K11" s="65">
        <f>SUM(HighFuel_Summary_2053!$C$50:$C$57)</f>
        <v>132.41593119812623</v>
      </c>
      <c r="L11" s="36"/>
      <c r="M11" s="114">
        <f t="shared" si="0"/>
        <v>0</v>
      </c>
      <c r="N11" s="114">
        <f t="shared" si="1"/>
        <v>0</v>
      </c>
      <c r="O11" s="117">
        <f t="shared" si="2"/>
        <v>0</v>
      </c>
      <c r="P11" s="114">
        <f t="shared" si="11"/>
        <v>0</v>
      </c>
      <c r="Q11" s="114">
        <f t="shared" si="12"/>
        <v>0</v>
      </c>
      <c r="R11" s="204"/>
      <c r="S11" s="204"/>
      <c r="T11" s="204"/>
      <c r="U11" s="204"/>
      <c r="V11" s="204"/>
    </row>
    <row r="12" spans="1:22">
      <c r="A12" s="202" t="s">
        <v>229</v>
      </c>
      <c r="B12" s="64">
        <f>SUM(NoCarbon_Summary_2053!$B$58:$B$65)</f>
        <v>99.406976316309184</v>
      </c>
      <c r="C12" s="65">
        <f>SUM(NoCarbon_Summary_2053!$C$58:$C$65)</f>
        <v>99.406976316309184</v>
      </c>
      <c r="D12" s="64">
        <f>SUM(LowCarbon_Summary_2053!$B$58:$B$65)</f>
        <v>99.406976316309184</v>
      </c>
      <c r="E12" s="65">
        <f>SUM(LowCarbon_Summary_2053!$C$58:$C$65)</f>
        <v>99.406976316309184</v>
      </c>
      <c r="F12" s="64">
        <f>SUM(LowFuel_Summary_2053!$B$58:$B$65)</f>
        <v>99.406976316309184</v>
      </c>
      <c r="G12" s="65">
        <f>SUM(LowFuel_Summary_2053!$C$58:$C$65)</f>
        <v>99.406976316309184</v>
      </c>
      <c r="H12" s="64">
        <f>SUM(Summary_2053!$B$58:$B$65)</f>
        <v>99.406976316309184</v>
      </c>
      <c r="I12" s="65">
        <f>SUM(Summary_2053!$C$58:$C$65)</f>
        <v>99.406976316309184</v>
      </c>
      <c r="J12" s="64">
        <f>SUM(HighFuel_Summary_2053!$B$58:$B$65)</f>
        <v>99.406976316309184</v>
      </c>
      <c r="K12" s="65">
        <f>SUM(HighFuel_Summary_2053!$C$58:$C$65)</f>
        <v>99.406976316309184</v>
      </c>
      <c r="L12" s="36"/>
      <c r="M12" s="114">
        <f t="shared" si="0"/>
        <v>0</v>
      </c>
      <c r="N12" s="114">
        <f t="shared" si="1"/>
        <v>0</v>
      </c>
      <c r="O12" s="117">
        <f t="shared" si="2"/>
        <v>0</v>
      </c>
      <c r="P12" s="114">
        <f t="shared" si="11"/>
        <v>0</v>
      </c>
      <c r="Q12" s="114">
        <f t="shared" si="12"/>
        <v>0</v>
      </c>
      <c r="R12" s="204"/>
      <c r="S12" s="204"/>
      <c r="T12" s="204"/>
      <c r="U12" s="204"/>
      <c r="V12" s="204"/>
    </row>
    <row r="13" spans="1:22">
      <c r="A13" s="202" t="s">
        <v>198</v>
      </c>
      <c r="B13" s="64"/>
      <c r="C13" s="65">
        <f>SUM(NoCarbon_Summary_2053!$C$2:$C$9)</f>
        <v>258.91381546253979</v>
      </c>
      <c r="D13" s="64"/>
      <c r="E13" s="65">
        <f>SUM(LowCarbon_Summary_2053!$C$2:$C$9)</f>
        <v>258.91381546253979</v>
      </c>
      <c r="F13" s="64"/>
      <c r="G13" s="65">
        <f>SUM(NoCarbon_Summary_2053!$C$2:$C$9)</f>
        <v>258.91381546253979</v>
      </c>
      <c r="H13" s="64"/>
      <c r="I13" s="65">
        <f>SUM(NoCarbon_Summary_2053!$C$2:$C$9)</f>
        <v>258.91381546253979</v>
      </c>
      <c r="J13" s="64"/>
      <c r="K13" s="65">
        <f>SUM(NoCarbon_Summary_2053!$C$2:$C$9)</f>
        <v>258.91381546253979</v>
      </c>
      <c r="L13" s="36"/>
      <c r="M13" s="114">
        <f t="shared" si="0"/>
        <v>258.91381546253979</v>
      </c>
      <c r="N13" s="114">
        <f t="shared" si="1"/>
        <v>258.91381546253979</v>
      </c>
      <c r="O13" s="117">
        <f t="shared" si="2"/>
        <v>258.91381546253979</v>
      </c>
      <c r="P13" s="114">
        <f t="shared" si="11"/>
        <v>258.91381546253979</v>
      </c>
      <c r="Q13" s="114">
        <f t="shared" si="4"/>
        <v>258.91381546253979</v>
      </c>
      <c r="R13" s="203"/>
      <c r="T13" s="204"/>
      <c r="U13" s="205"/>
      <c r="V13" s="204"/>
    </row>
    <row r="14" spans="1:22">
      <c r="A14" s="202" t="s">
        <v>199</v>
      </c>
      <c r="B14" s="64"/>
      <c r="C14" s="65">
        <f>SUM(NoCarbon_Summary_2053!$C$10:$C$17)</f>
        <v>454.43490689227434</v>
      </c>
      <c r="D14" s="64"/>
      <c r="E14" s="65">
        <f>SUM(LowCarbon_Summary_2053!$C$10:$C$17)</f>
        <v>454.43490689227434</v>
      </c>
      <c r="F14" s="64"/>
      <c r="G14" s="65">
        <f>SUM(NoCarbon_Summary_2053!$C$10:$C$17)</f>
        <v>454.43490689227434</v>
      </c>
      <c r="H14" s="64"/>
      <c r="I14" s="65">
        <f>SUM(NoCarbon_Summary_2053!$C$10:$C$17)</f>
        <v>454.43490689227434</v>
      </c>
      <c r="J14" s="64"/>
      <c r="K14" s="65">
        <f>SUM(NoCarbon_Summary_2053!$C$10:$C$17)</f>
        <v>454.43490689227434</v>
      </c>
      <c r="L14" s="36"/>
      <c r="M14" s="114">
        <f t="shared" si="0"/>
        <v>454.43490689227434</v>
      </c>
      <c r="N14" s="114">
        <f t="shared" si="1"/>
        <v>454.43490689227434</v>
      </c>
      <c r="O14" s="117">
        <f t="shared" si="2"/>
        <v>454.43490689227434</v>
      </c>
      <c r="P14" s="114">
        <f t="shared" si="11"/>
        <v>454.43490689227434</v>
      </c>
      <c r="Q14" s="114">
        <f t="shared" si="4"/>
        <v>454.43490689227434</v>
      </c>
      <c r="R14" s="203"/>
      <c r="S14" s="206"/>
      <c r="T14" s="206"/>
      <c r="U14" s="204"/>
      <c r="V14" s="204"/>
    </row>
    <row r="15" spans="1:22">
      <c r="A15" s="202" t="s">
        <v>200</v>
      </c>
      <c r="B15" s="64"/>
      <c r="C15" s="65">
        <f>SUM(NoCarbon_Summary_2053!$C$18:$C$25)</f>
        <v>426.94956199470352</v>
      </c>
      <c r="D15" s="64"/>
      <c r="E15" s="65">
        <f>SUM(LowCarbon_Summary_2053!$C$18:$C$25)</f>
        <v>426.94956199470352</v>
      </c>
      <c r="F15" s="64"/>
      <c r="G15" s="65">
        <f>SUM(NoCarbon_Summary_2053!$C$18:$C$25)</f>
        <v>426.94956199470352</v>
      </c>
      <c r="H15" s="64"/>
      <c r="I15" s="65">
        <f>SUM(NoCarbon_Summary_2053!$C$18:$C$25)</f>
        <v>426.94956199470352</v>
      </c>
      <c r="J15" s="64"/>
      <c r="K15" s="65">
        <f>SUM(NoCarbon_Summary_2053!$C$18:$C$25)</f>
        <v>426.94956199470352</v>
      </c>
      <c r="L15" s="36"/>
      <c r="M15" s="114">
        <f t="shared" si="0"/>
        <v>426.94956199470352</v>
      </c>
      <c r="N15" s="114">
        <f t="shared" si="1"/>
        <v>426.94956199470352</v>
      </c>
      <c r="O15" s="117">
        <f t="shared" si="2"/>
        <v>426.94956199470352</v>
      </c>
      <c r="P15" s="114">
        <f t="shared" si="11"/>
        <v>426.94956199470352</v>
      </c>
      <c r="Q15" s="114">
        <f t="shared" si="4"/>
        <v>426.94956199470352</v>
      </c>
      <c r="R15" s="203"/>
      <c r="S15" s="206"/>
      <c r="T15" s="206"/>
      <c r="U15" s="204"/>
      <c r="V15" s="204"/>
    </row>
    <row r="16" spans="1:22">
      <c r="A16" s="202" t="s">
        <v>163</v>
      </c>
      <c r="B16" s="64">
        <f>SUM(NoCarbon_Summary_2053!$B$106:$B$109)</f>
        <v>10782.189369538097</v>
      </c>
      <c r="C16" s="65">
        <f>SUM(NoCarbon_Summary_2053!$C$106:$C$109)</f>
        <v>10428.730586779457</v>
      </c>
      <c r="D16" s="64">
        <f>SUM(LowCarbon_Summary_2053!$B$106:$B$109)</f>
        <v>10782.189369538097</v>
      </c>
      <c r="E16" s="65">
        <f>SUM(LowCarbon_Summary_2053!$C$106:$C$109)</f>
        <v>10428.730586779457</v>
      </c>
      <c r="F16" s="64">
        <f>SUM(LowFuel_Summary_2053!$B$106:$B$109)</f>
        <v>10782.189369538097</v>
      </c>
      <c r="G16" s="65">
        <f>SUM(LowFuel_Summary_2053!$C$106:$C$109)</f>
        <v>10428.730586779457</v>
      </c>
      <c r="H16" s="64">
        <f>SUM(Summary_2053!$B$106:$B$109)</f>
        <v>10782.189369538097</v>
      </c>
      <c r="I16" s="65">
        <f>SUM(Summary_2053!$C$106:$C$109)</f>
        <v>10428.730586779457</v>
      </c>
      <c r="J16" s="64">
        <f>SUM(HighFuel_Summary_2053!$B$106:$B$109)</f>
        <v>10782.189369538097</v>
      </c>
      <c r="K16" s="65">
        <f>SUM(HighFuel_Summary_2053!$C$106:$C$109)</f>
        <v>10428.730586779457</v>
      </c>
      <c r="L16" s="36"/>
      <c r="M16" s="114">
        <f t="shared" si="0"/>
        <v>-353.45878275864015</v>
      </c>
      <c r="N16" s="114">
        <f t="shared" si="1"/>
        <v>-353.45878275864015</v>
      </c>
      <c r="O16" s="117">
        <f t="shared" si="2"/>
        <v>-353.45878275864015</v>
      </c>
      <c r="P16" s="207">
        <f t="shared" si="3"/>
        <v>-353.45878275864015</v>
      </c>
      <c r="Q16" s="114">
        <f t="shared" si="4"/>
        <v>-353.45878275864015</v>
      </c>
      <c r="R16" s="203"/>
      <c r="S16" s="206"/>
      <c r="T16" s="206"/>
      <c r="U16" s="204"/>
      <c r="V16" s="204"/>
    </row>
    <row r="17" spans="1:22">
      <c r="A17" s="202" t="s">
        <v>50</v>
      </c>
      <c r="B17" s="64">
        <f>NoCarbon_Summary_2053!$B$110</f>
        <v>22606.997126195511</v>
      </c>
      <c r="C17" s="65">
        <f>NoCarbon_Summary_2053!$C$110</f>
        <v>21785.143521003345</v>
      </c>
      <c r="D17" s="64">
        <f>LowCarbon_Summary_2053!$B$110</f>
        <v>22751.498310048952</v>
      </c>
      <c r="E17" s="65">
        <f>LowCarbon_Summary_2053!$C$110</f>
        <v>21923.813485886065</v>
      </c>
      <c r="F17" s="64">
        <f>LowFuel_Summary_2053!$B$110</f>
        <v>19702.536108267726</v>
      </c>
      <c r="G17" s="65">
        <f>LowFuel_Summary_2053!$C$110</f>
        <v>19000.606927998972</v>
      </c>
      <c r="H17" s="64">
        <f>Summary_2053!$B$110</f>
        <v>22836.677566587518</v>
      </c>
      <c r="I17" s="65">
        <f>Summary_2053!$C$110</f>
        <v>22009.800963732665</v>
      </c>
      <c r="J17" s="64">
        <f>HighFuel_Summary_2053!$B$110</f>
        <v>30192.112760523632</v>
      </c>
      <c r="K17" s="65">
        <f>HighFuel_Summary_2053!$C$110</f>
        <v>29079.503110650949</v>
      </c>
      <c r="L17" s="36"/>
      <c r="M17" s="114">
        <f t="shared" si="0"/>
        <v>-821.85360519216556</v>
      </c>
      <c r="N17" s="114">
        <f t="shared" si="1"/>
        <v>-827.6848241628868</v>
      </c>
      <c r="O17" s="117">
        <f t="shared" si="2"/>
        <v>-701.92918026875486</v>
      </c>
      <c r="P17" s="114">
        <f t="shared" si="3"/>
        <v>-826.87660285485254</v>
      </c>
      <c r="Q17" s="114">
        <f t="shared" si="4"/>
        <v>-1112.6096498726838</v>
      </c>
      <c r="R17" s="203"/>
      <c r="S17" s="206"/>
      <c r="T17" s="206"/>
      <c r="U17" s="204"/>
      <c r="V17" s="204"/>
    </row>
    <row r="18" spans="1:22">
      <c r="A18" s="202" t="s">
        <v>52</v>
      </c>
      <c r="B18" s="64">
        <f>SUM(NoCarbon_Summary_2053!$B$111:$B$114)</f>
        <v>3538.6470931193162</v>
      </c>
      <c r="C18" s="65">
        <f>SUM(NoCarbon_Summary_2053!$C$111:$C$114)</f>
        <v>3473.8736084135699</v>
      </c>
      <c r="D18" s="64">
        <f>SUM(LowCarbon_Summary_2053!$B$111:$B$114)</f>
        <v>3566.1389589794553</v>
      </c>
      <c r="E18" s="65">
        <f>SUM(LowCarbon_Summary_2053!$C$111:$C$114)</f>
        <v>3502.7189521137439</v>
      </c>
      <c r="F18" s="64">
        <f>SUM(LowFuel_Summary_2053!$B$111:$B$114)</f>
        <v>3570.0614615473551</v>
      </c>
      <c r="G18" s="65">
        <f>SUM(LowFuel_Summary_2053!$C$111:$C$114)</f>
        <v>3503.4040562204405</v>
      </c>
      <c r="H18" s="64">
        <f>SUM(Summary_2053!$B$111:$B$114)</f>
        <v>3573.419030516784</v>
      </c>
      <c r="I18" s="65">
        <f>SUM(Summary_2053!$C$111:$C$114)</f>
        <v>3508.8664940113395</v>
      </c>
      <c r="J18" s="64">
        <f>SUM(HighFuel_Summary_2053!$B$111:$B$114)</f>
        <v>3575.9736495912543</v>
      </c>
      <c r="K18" s="65">
        <f>SUM(HighFuel_Summary_2053!$C$111:$C$114)</f>
        <v>3512.2647715755693</v>
      </c>
      <c r="L18" s="36"/>
      <c r="M18" s="114">
        <f t="shared" si="0"/>
        <v>-64.773484705746341</v>
      </c>
      <c r="N18" s="114">
        <f t="shared" si="1"/>
        <v>-63.420006865711457</v>
      </c>
      <c r="O18" s="117">
        <f t="shared" si="2"/>
        <v>-66.657405326914613</v>
      </c>
      <c r="P18" s="114">
        <f t="shared" si="3"/>
        <v>-64.55253650544455</v>
      </c>
      <c r="Q18" s="114">
        <f t="shared" si="4"/>
        <v>-63.708878015685059</v>
      </c>
      <c r="R18" s="203"/>
      <c r="S18" s="206"/>
      <c r="T18" s="206"/>
      <c r="U18" s="204"/>
      <c r="V18" s="204"/>
    </row>
    <row r="19" spans="1:22">
      <c r="A19" s="202" t="s">
        <v>53</v>
      </c>
      <c r="B19" s="64">
        <f>SUM(NoCarbon_Summary_2053!$B$115:$B$118)</f>
        <v>87.637403440343945</v>
      </c>
      <c r="C19" s="65">
        <f>SUM(NoCarbon_Summary_2053!$C$115:$C$118)</f>
        <v>84.513397654539375</v>
      </c>
      <c r="D19" s="64">
        <f>SUM(LowCarbon_Summary_2053!$B$115:$B$118)</f>
        <v>74.17279137577701</v>
      </c>
      <c r="E19" s="65">
        <f>SUM(LowCarbon_Summary_2053!$C$115:$C$118)</f>
        <v>72.354634024024676</v>
      </c>
      <c r="F19" s="64">
        <f>SUM(LowFuel_Summary_2053!$B$115:$B$118)</f>
        <v>66.796842370716504</v>
      </c>
      <c r="G19" s="65">
        <f>SUM(LowFuel_Summary_2053!$C$115:$C$118)</f>
        <v>66.315151114914201</v>
      </c>
      <c r="H19" s="64">
        <f>SUM(Summary_2053!$B$115:$B$118)</f>
        <v>72.24067338683605</v>
      </c>
      <c r="I19" s="65">
        <f>SUM(Summary_2053!$C$115:$C$118)</f>
        <v>70.892887216429443</v>
      </c>
      <c r="J19" s="64">
        <f>SUM(HighFuel_Summary_2053!$B$115:$B$118)</f>
        <v>96.957512887014531</v>
      </c>
      <c r="K19" s="65">
        <f>SUM(HighFuel_Summary_2053!$C$115:$C$118)</f>
        <v>93.779174490639122</v>
      </c>
      <c r="L19" s="36"/>
      <c r="M19" s="115">
        <f t="shared" si="0"/>
        <v>-3.1240057858045702</v>
      </c>
      <c r="N19" s="115">
        <f t="shared" si="1"/>
        <v>-1.8181573517523333</v>
      </c>
      <c r="O19" s="118">
        <f t="shared" si="2"/>
        <v>-0.48169125580230343</v>
      </c>
      <c r="P19" s="115">
        <f t="shared" si="3"/>
        <v>-1.3477861704066072</v>
      </c>
      <c r="Q19" s="115">
        <f t="shared" si="4"/>
        <v>-3.178338396375409</v>
      </c>
      <c r="R19" s="203"/>
      <c r="S19" s="206"/>
      <c r="T19" s="206"/>
      <c r="U19" s="204"/>
      <c r="V19" s="204"/>
    </row>
    <row r="20" spans="1:22" ht="15" thickBot="1">
      <c r="A20" s="208" t="s">
        <v>342</v>
      </c>
      <c r="B20" s="62"/>
      <c r="C20" s="63">
        <f>'Program Admin Budget'!$A$105</f>
        <v>7.3252053641616302</v>
      </c>
      <c r="D20" s="62"/>
      <c r="E20" s="63">
        <f>'Program Admin Budget'!$A$105</f>
        <v>7.3252053641616302</v>
      </c>
      <c r="F20" s="62"/>
      <c r="G20" s="63">
        <f>'Program Admin Budget'!$A$105</f>
        <v>7.3252053641616302</v>
      </c>
      <c r="H20" s="62"/>
      <c r="I20" s="63">
        <f>'Program Admin Budget'!$A$105</f>
        <v>7.3252053641616302</v>
      </c>
      <c r="J20" s="62"/>
      <c r="K20" s="63">
        <f>'Program Admin Budget'!$A$105</f>
        <v>7.3252053641616302</v>
      </c>
      <c r="L20" s="36"/>
      <c r="M20" s="149">
        <f t="shared" ref="M20" si="13">C20-B20</f>
        <v>7.3252053641616302</v>
      </c>
      <c r="N20" s="149">
        <f t="shared" ref="N20" si="14">E20-D20</f>
        <v>7.3252053641616302</v>
      </c>
      <c r="O20" s="150">
        <f t="shared" ref="O20" si="15">G20-F20</f>
        <v>7.3252053641616302</v>
      </c>
      <c r="P20" s="149">
        <f t="shared" ref="P20" si="16">I20-H20</f>
        <v>7.3252053641616302</v>
      </c>
      <c r="Q20" s="149">
        <f t="shared" ref="Q20" si="17">K20-J20</f>
        <v>7.3252053641616302</v>
      </c>
      <c r="R20" s="203"/>
      <c r="S20" s="206"/>
      <c r="T20" s="206"/>
      <c r="U20" s="204"/>
      <c r="V20" s="204"/>
    </row>
    <row r="21" spans="1:22" ht="15" thickBot="1">
      <c r="A21" s="361" t="s">
        <v>49</v>
      </c>
      <c r="B21" s="362">
        <f t="shared" ref="B21:K21" si="18">SUM(B3:B20)</f>
        <v>38335.908073945284</v>
      </c>
      <c r="C21" s="362">
        <f t="shared" si="18"/>
        <v>38240.321685216608</v>
      </c>
      <c r="D21" s="362">
        <f t="shared" si="18"/>
        <v>38494.4365115943</v>
      </c>
      <c r="E21" s="362">
        <f t="shared" si="18"/>
        <v>38395.678230168989</v>
      </c>
      <c r="F21" s="362">
        <f t="shared" si="18"/>
        <v>35442.02086337591</v>
      </c>
      <c r="G21" s="362">
        <f t="shared" si="18"/>
        <v>35467.117293479481</v>
      </c>
      <c r="H21" s="362">
        <f t="shared" si="18"/>
        <v>38584.963721681255</v>
      </c>
      <c r="I21" s="362">
        <f t="shared" si="18"/>
        <v>38486.351503105594</v>
      </c>
      <c r="J21" s="362">
        <f t="shared" si="18"/>
        <v>45967.670374192014</v>
      </c>
      <c r="K21" s="363">
        <f t="shared" si="18"/>
        <v>45582.338214862313</v>
      </c>
      <c r="L21" s="36"/>
      <c r="M21" s="363">
        <f t="shared" si="0"/>
        <v>-95.586388728675956</v>
      </c>
      <c r="N21" s="363">
        <f t="shared" si="1"/>
        <v>-98.758281425310997</v>
      </c>
      <c r="O21" s="364">
        <f t="shared" si="2"/>
        <v>25.096430103571038</v>
      </c>
      <c r="P21" s="363">
        <f t="shared" si="3"/>
        <v>-98.612218575661245</v>
      </c>
      <c r="Q21" s="363">
        <f t="shared" si="4"/>
        <v>-385.33215932970052</v>
      </c>
      <c r="R21" s="203"/>
      <c r="S21" s="206"/>
      <c r="T21" s="206"/>
      <c r="U21" s="204"/>
      <c r="V21" s="204"/>
    </row>
    <row r="22" spans="1:22" ht="15" thickBot="1">
      <c r="A22" s="44" t="s">
        <v>51</v>
      </c>
      <c r="B22" s="365">
        <f>NoCarbon_Summary_2053!$B$120</f>
        <v>0</v>
      </c>
      <c r="C22" s="366">
        <f>NoCarbon_Summary_2053!$C$120</f>
        <v>0</v>
      </c>
      <c r="D22" s="365">
        <f>LowCarbon_Summary_2053!$B$120</f>
        <v>6802.2234299569136</v>
      </c>
      <c r="E22" s="366">
        <f>LowCarbon_Summary_2053!$C$120</f>
        <v>6544.6543072665318</v>
      </c>
      <c r="F22" s="365">
        <f>LowFuel_Summary_2053!$B$120</f>
        <v>11794.525774096777</v>
      </c>
      <c r="G22" s="366">
        <f>LowFuel_Summary_2053!$C$120</f>
        <v>11365.751411261779</v>
      </c>
      <c r="H22" s="365">
        <f>Summary_2053!$B$120</f>
        <v>11830.539811360284</v>
      </c>
      <c r="I22" s="366">
        <f>Summary_2053!$C$120</f>
        <v>11396.421213733121</v>
      </c>
      <c r="J22" s="365">
        <f>HighFuel_Summary_2053!$B$120</f>
        <v>11924.110324192567</v>
      </c>
      <c r="K22" s="366">
        <f>HighFuel_Summary_2053!$C$120</f>
        <v>11478.100959270674</v>
      </c>
      <c r="L22" s="36"/>
      <c r="M22" s="85">
        <f t="shared" si="0"/>
        <v>0</v>
      </c>
      <c r="N22" s="85">
        <f t="shared" si="1"/>
        <v>-257.56912269038185</v>
      </c>
      <c r="O22" s="52">
        <f t="shared" si="2"/>
        <v>-428.7743628349981</v>
      </c>
      <c r="P22" s="85">
        <f t="shared" si="3"/>
        <v>-434.11859762716267</v>
      </c>
      <c r="Q22" s="85">
        <f t="shared" si="4"/>
        <v>-446.00936492189248</v>
      </c>
      <c r="R22" s="203"/>
      <c r="S22" s="206"/>
      <c r="T22" s="204"/>
      <c r="U22" s="204"/>
      <c r="V22" s="204"/>
    </row>
    <row r="23" spans="1:22" ht="15" thickBot="1">
      <c r="A23" s="367" t="s">
        <v>242</v>
      </c>
      <c r="B23" s="368">
        <f t="shared" ref="B23:K23" si="19">B21+B22</f>
        <v>38335.908073945284</v>
      </c>
      <c r="C23" s="369">
        <f t="shared" si="19"/>
        <v>38240.321685216608</v>
      </c>
      <c r="D23" s="368">
        <f t="shared" si="19"/>
        <v>45296.659941551217</v>
      </c>
      <c r="E23" s="369">
        <f t="shared" si="19"/>
        <v>44940.332537435519</v>
      </c>
      <c r="F23" s="368">
        <f t="shared" si="19"/>
        <v>47236.546637472689</v>
      </c>
      <c r="G23" s="369">
        <f t="shared" si="19"/>
        <v>46832.86870474126</v>
      </c>
      <c r="H23" s="368">
        <f t="shared" si="19"/>
        <v>50415.503533041541</v>
      </c>
      <c r="I23" s="369">
        <f t="shared" si="19"/>
        <v>49882.772716838714</v>
      </c>
      <c r="J23" s="368">
        <f t="shared" si="19"/>
        <v>57891.78069838458</v>
      </c>
      <c r="K23" s="369">
        <f t="shared" si="19"/>
        <v>57060.439174132989</v>
      </c>
      <c r="L23" s="36"/>
      <c r="M23" s="363">
        <f t="shared" si="0"/>
        <v>-95.586388728675956</v>
      </c>
      <c r="N23" s="363">
        <f t="shared" si="1"/>
        <v>-356.3274041156983</v>
      </c>
      <c r="O23" s="364">
        <f t="shared" si="2"/>
        <v>-403.67793273142888</v>
      </c>
      <c r="P23" s="363">
        <f t="shared" si="3"/>
        <v>-532.73081620282755</v>
      </c>
      <c r="Q23" s="363">
        <f t="shared" si="4"/>
        <v>-831.34152425159118</v>
      </c>
      <c r="R23" s="203"/>
      <c r="S23" s="206"/>
      <c r="T23" s="204"/>
      <c r="U23" s="204"/>
      <c r="V23" s="204"/>
    </row>
    <row r="24" spans="1:22">
      <c r="K24" s="16"/>
      <c r="L24" s="16"/>
      <c r="M24" s="23"/>
      <c r="N24" s="23"/>
      <c r="O24" s="16"/>
      <c r="R24" s="204"/>
      <c r="S24" s="204"/>
      <c r="T24" s="204"/>
      <c r="U24" s="204"/>
      <c r="V24" s="204"/>
    </row>
    <row r="25" spans="1:22" ht="15" thickBot="1">
      <c r="K25" s="16"/>
      <c r="M25" s="16"/>
      <c r="N25" s="16"/>
      <c r="O25" s="16"/>
      <c r="R25" s="204"/>
      <c r="S25" s="204"/>
      <c r="T25" s="204"/>
      <c r="U25" s="204"/>
      <c r="V25" s="204"/>
    </row>
    <row r="26" spans="1:22" s="204" customFormat="1" ht="11.4" customHeight="1" thickBot="1">
      <c r="A26" s="6"/>
      <c r="B26" s="6"/>
      <c r="C26" s="6"/>
      <c r="D26" s="6"/>
      <c r="E26" s="6"/>
      <c r="F26" s="6"/>
      <c r="G26" s="6"/>
      <c r="H26" s="6"/>
      <c r="M26" s="370" t="s">
        <v>133</v>
      </c>
      <c r="N26" s="371"/>
      <c r="O26" s="372"/>
      <c r="P26" s="372"/>
      <c r="Q26" s="373"/>
    </row>
    <row r="27" spans="1:22" s="204" customFormat="1" ht="11.4" customHeight="1">
      <c r="A27" s="6"/>
      <c r="B27" s="6"/>
      <c r="C27" s="6"/>
      <c r="D27" s="6"/>
      <c r="E27" s="6"/>
      <c r="F27" s="6"/>
      <c r="G27" s="6"/>
      <c r="H27" s="6"/>
      <c r="K27" s="205"/>
    </row>
    <row r="28" spans="1:22" s="204" customFormat="1" ht="11.4" customHeight="1">
      <c r="A28" s="6"/>
      <c r="B28" s="6"/>
      <c r="C28" s="6"/>
      <c r="D28" s="6"/>
      <c r="E28" s="6"/>
      <c r="F28" s="6"/>
      <c r="G28" s="6"/>
      <c r="H28" s="6"/>
    </row>
    <row r="29" spans="1:22" s="204" customFormat="1" ht="11.4" customHeight="1">
      <c r="A29" s="6"/>
      <c r="B29" s="6"/>
      <c r="C29" s="6"/>
      <c r="D29" s="6"/>
      <c r="E29" s="6"/>
      <c r="F29" s="6"/>
      <c r="G29" s="6"/>
      <c r="H29" s="6"/>
    </row>
    <row r="30" spans="1:22" s="204" customFormat="1" ht="11.4" customHeight="1">
      <c r="A30" s="6"/>
      <c r="B30" s="6"/>
      <c r="C30" s="6"/>
      <c r="D30" s="6"/>
      <c r="E30" s="6"/>
      <c r="F30" s="6"/>
      <c r="G30" s="6"/>
      <c r="H30" s="6"/>
    </row>
    <row r="31" spans="1:22" s="204" customFormat="1" ht="11.4" customHeight="1">
      <c r="A31" s="6"/>
      <c r="B31" s="6"/>
      <c r="C31" s="6"/>
      <c r="D31" s="6"/>
      <c r="E31" s="6"/>
      <c r="F31" s="6"/>
      <c r="G31" s="6"/>
      <c r="H31" s="6"/>
    </row>
    <row r="32" spans="1:22" s="204" customFormat="1" ht="11.4" customHeight="1">
      <c r="A32" s="6"/>
      <c r="B32" s="6"/>
      <c r="C32" s="6"/>
      <c r="D32" s="6"/>
      <c r="E32" s="6"/>
      <c r="F32" s="6"/>
      <c r="G32" s="6"/>
      <c r="H32" s="6"/>
    </row>
    <row r="33" spans="1:8" s="204" customFormat="1" ht="11.4" customHeight="1">
      <c r="A33" s="6"/>
      <c r="B33" s="6"/>
      <c r="C33" s="6"/>
      <c r="D33" s="6"/>
      <c r="E33" s="6"/>
      <c r="F33" s="6"/>
      <c r="G33" s="6"/>
      <c r="H33" s="6"/>
    </row>
    <row r="34" spans="1:8" s="204" customFormat="1" ht="11.4" customHeight="1">
      <c r="A34" s="6"/>
      <c r="B34" s="6"/>
      <c r="C34" s="6"/>
      <c r="D34" s="6"/>
      <c r="E34" s="6"/>
      <c r="F34" s="6"/>
      <c r="G34" s="6"/>
      <c r="H34" s="6"/>
    </row>
    <row r="35" spans="1:8" s="204" customFormat="1" ht="11.4" customHeight="1">
      <c r="A35" s="6"/>
      <c r="B35" s="6"/>
      <c r="C35" s="6"/>
      <c r="D35" s="6"/>
      <c r="E35" s="6"/>
      <c r="F35" s="6"/>
      <c r="G35" s="6"/>
      <c r="H35" s="6"/>
    </row>
    <row r="36" spans="1:8" s="204" customFormat="1" ht="11.4" customHeight="1">
      <c r="A36" s="6"/>
      <c r="B36" s="6"/>
      <c r="C36" s="6"/>
      <c r="D36" s="6"/>
      <c r="E36" s="6"/>
      <c r="F36" s="6"/>
      <c r="G36" s="6"/>
      <c r="H36" s="6"/>
    </row>
    <row r="37" spans="1:8" s="204" customFormat="1" ht="11.4" customHeight="1">
      <c r="A37" s="6"/>
      <c r="B37" s="6"/>
      <c r="C37" s="6"/>
      <c r="D37" s="6"/>
      <c r="E37" s="6"/>
      <c r="F37" s="6"/>
      <c r="G37" s="6"/>
      <c r="H37" s="6"/>
    </row>
    <row r="38" spans="1:8" s="204" customFormat="1" ht="11.4" customHeight="1">
      <c r="A38" s="6"/>
      <c r="B38" s="6"/>
      <c r="C38" s="6"/>
      <c r="D38" s="6"/>
      <c r="E38" s="6"/>
      <c r="F38" s="6"/>
      <c r="G38" s="6"/>
      <c r="H38" s="6"/>
    </row>
  </sheetData>
  <mergeCells count="7">
    <mergeCell ref="M1:Q1"/>
    <mergeCell ref="A1:A2"/>
    <mergeCell ref="H1:I1"/>
    <mergeCell ref="B1:C1"/>
    <mergeCell ref="J1:K1"/>
    <mergeCell ref="F1:G1"/>
    <mergeCell ref="D1:E1"/>
  </mergeCells>
  <pageMargins left="0.7" right="0.7" top="0.75" bottom="0.75" header="0.3" footer="0.3"/>
  <pageSetup scale="68" orientation="landscape" r:id="rId1"/>
  <headerFooter>
    <oddFooter>&amp;L&amp;D &amp;T&amp;R&amp;Z&amp;F</oddFooter>
  </headerFooter>
  <ignoredErrors>
    <ignoredError sqref="C5:C7 F5:F7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A0E62-F2B7-4DF8-8579-176CEDEADCE0}">
  <sheetPr>
    <pageSetUpPr fitToPage="1"/>
  </sheetPr>
  <dimension ref="A1:H131"/>
  <sheetViews>
    <sheetView topLeftCell="A81" workbookViewId="0">
      <selection sqref="A1:D105"/>
    </sheetView>
  </sheetViews>
  <sheetFormatPr defaultColWidth="8.90625" defaultRowHeight="14.5"/>
  <cols>
    <col min="1" max="1" width="47.6328125" style="6" bestFit="1" customWidth="1"/>
    <col min="2" max="2" width="10.54296875" style="6" bestFit="1" customWidth="1"/>
    <col min="3" max="3" width="22.36328125" style="6" bestFit="1" customWidth="1"/>
    <col min="4" max="4" width="29.1796875" style="6" bestFit="1" customWidth="1"/>
    <col min="5" max="5" width="8.90625" style="6"/>
    <col min="6" max="6" width="8.36328125" style="6" bestFit="1" customWidth="1"/>
    <col min="7" max="7" width="9" style="25" bestFit="1" customWidth="1"/>
    <col min="8" max="16384" width="8.90625" style="6"/>
  </cols>
  <sheetData>
    <row r="1" spans="1:7" ht="15" thickBot="1">
      <c r="A1" s="314" t="s">
        <v>231</v>
      </c>
      <c r="B1" s="315" t="s">
        <v>161</v>
      </c>
      <c r="C1" s="315" t="s">
        <v>201</v>
      </c>
      <c r="D1" s="316" t="str">
        <f>C1&amp;" Savings"</f>
        <v>Clean Energy Connection Savings</v>
      </c>
      <c r="F1" s="33"/>
      <c r="G1" s="34"/>
    </row>
    <row r="2" spans="1:7">
      <c r="A2" s="317" t="s">
        <v>136</v>
      </c>
      <c r="B2" s="318"/>
      <c r="C2" s="319">
        <f>CEC_2022!A2/1000</f>
        <v>191.26908306813931</v>
      </c>
      <c r="D2" s="320">
        <f>B2-C2</f>
        <v>-191.26908306813931</v>
      </c>
      <c r="E2" s="216">
        <f>SUM(D2:D25)</f>
        <v>-1140.2982843495176</v>
      </c>
      <c r="F2" s="33"/>
      <c r="G2" s="34"/>
    </row>
    <row r="3" spans="1:7">
      <c r="A3" s="321" t="s">
        <v>137</v>
      </c>
      <c r="B3" s="322"/>
      <c r="C3" s="323">
        <f>CEC_2022!A3/1000</f>
        <v>8.0267072871054399</v>
      </c>
      <c r="D3" s="324">
        <f t="shared" ref="D3:D25" si="0">B3-C3</f>
        <v>-8.0267072871054399</v>
      </c>
      <c r="F3" s="33"/>
      <c r="G3" s="34"/>
    </row>
    <row r="4" spans="1:7">
      <c r="A4" s="321" t="s">
        <v>138</v>
      </c>
      <c r="B4" s="322"/>
      <c r="C4" s="323">
        <f>CEC_2022!A4/1000</f>
        <v>4.1771082843542722</v>
      </c>
      <c r="D4" s="324">
        <f t="shared" si="0"/>
        <v>-4.1771082843542722</v>
      </c>
      <c r="F4" s="33"/>
      <c r="G4" s="34"/>
    </row>
    <row r="5" spans="1:7">
      <c r="A5" s="380" t="s">
        <v>139</v>
      </c>
      <c r="B5" s="404"/>
      <c r="C5" s="405">
        <f>CEC_2022!A5/1000</f>
        <v>11.875399225644381</v>
      </c>
      <c r="D5" s="406">
        <f t="shared" si="0"/>
        <v>-11.875399225644381</v>
      </c>
      <c r="F5" s="33"/>
      <c r="G5" s="34"/>
    </row>
    <row r="6" spans="1:7">
      <c r="A6" s="321" t="s">
        <v>140</v>
      </c>
      <c r="B6" s="322"/>
      <c r="C6" s="323">
        <f>CEC_2022!A6/1000</f>
        <v>19.889076197292866</v>
      </c>
      <c r="D6" s="324">
        <f t="shared" si="0"/>
        <v>-19.889076197292866</v>
      </c>
      <c r="F6" s="33"/>
      <c r="G6" s="34"/>
    </row>
    <row r="7" spans="1:7">
      <c r="A7" s="321" t="s">
        <v>141</v>
      </c>
      <c r="B7" s="322"/>
      <c r="C7" s="323">
        <f>CEC_2022!A7/1000</f>
        <v>21.347848303116155</v>
      </c>
      <c r="D7" s="324">
        <f t="shared" si="0"/>
        <v>-21.347848303116155</v>
      </c>
      <c r="F7" s="33"/>
      <c r="G7" s="34"/>
    </row>
    <row r="8" spans="1:7">
      <c r="A8" s="321" t="s">
        <v>142</v>
      </c>
      <c r="B8" s="322"/>
      <c r="C8" s="323">
        <f>CEC_2022!A8/1000</f>
        <v>1.9025686873718954</v>
      </c>
      <c r="D8" s="324">
        <f t="shared" si="0"/>
        <v>-1.9025686873718954</v>
      </c>
      <c r="F8" s="33"/>
      <c r="G8" s="34"/>
    </row>
    <row r="9" spans="1:7" ht="15" thickBot="1">
      <c r="A9" s="325" t="s">
        <v>143</v>
      </c>
      <c r="B9" s="326"/>
      <c r="C9" s="327">
        <f>CEC_2022!A9/1000</f>
        <v>0.42602440951546988</v>
      </c>
      <c r="D9" s="328">
        <f t="shared" si="0"/>
        <v>-0.42602440951546988</v>
      </c>
      <c r="F9" s="33"/>
      <c r="G9" s="34"/>
    </row>
    <row r="10" spans="1:7">
      <c r="A10" s="317" t="s">
        <v>144</v>
      </c>
      <c r="B10" s="318"/>
      <c r="C10" s="319">
        <f>CEC_2023!A2/1000</f>
        <v>328.32876164617068</v>
      </c>
      <c r="D10" s="320">
        <f>B10-C10</f>
        <v>-328.32876164617068</v>
      </c>
      <c r="F10" s="33"/>
      <c r="G10" s="34"/>
    </row>
    <row r="11" spans="1:7">
      <c r="A11" s="321" t="s">
        <v>145</v>
      </c>
      <c r="B11" s="322"/>
      <c r="C11" s="323">
        <f>CEC_2023!A3/1000</f>
        <v>14.738395644554535</v>
      </c>
      <c r="D11" s="324">
        <f t="shared" si="0"/>
        <v>-14.738395644554535</v>
      </c>
      <c r="F11" s="33"/>
      <c r="G11" s="34"/>
    </row>
    <row r="12" spans="1:7">
      <c r="A12" s="321" t="s">
        <v>146</v>
      </c>
      <c r="B12" s="322"/>
      <c r="C12" s="323">
        <f>CEC_2023!A4/1000</f>
        <v>7.2693265420457012</v>
      </c>
      <c r="D12" s="324">
        <f t="shared" si="0"/>
        <v>-7.2693265420457012</v>
      </c>
      <c r="F12" s="33"/>
      <c r="G12" s="34"/>
    </row>
    <row r="13" spans="1:7">
      <c r="A13" s="380" t="s">
        <v>147</v>
      </c>
      <c r="B13" s="404"/>
      <c r="C13" s="405">
        <f>CEC_2023!A5/1000</f>
        <v>22.704605829723096</v>
      </c>
      <c r="D13" s="406">
        <f t="shared" si="0"/>
        <v>-22.704605829723096</v>
      </c>
      <c r="F13" s="33"/>
      <c r="G13" s="34"/>
    </row>
    <row r="14" spans="1:7">
      <c r="A14" s="321" t="s">
        <v>148</v>
      </c>
      <c r="B14" s="322"/>
      <c r="C14" s="323">
        <f>CEC_2023!A6/1000</f>
        <v>37.851128208366632</v>
      </c>
      <c r="D14" s="324">
        <f t="shared" si="0"/>
        <v>-37.851128208366632</v>
      </c>
      <c r="F14" s="33"/>
      <c r="G14" s="34"/>
    </row>
    <row r="15" spans="1:7">
      <c r="A15" s="321" t="s">
        <v>149</v>
      </c>
      <c r="B15" s="322"/>
      <c r="C15" s="323">
        <f>CEC_2023!A7/1000</f>
        <v>39.119262856534156</v>
      </c>
      <c r="D15" s="324">
        <f t="shared" si="0"/>
        <v>-39.119262856534156</v>
      </c>
      <c r="F15" s="33"/>
      <c r="G15" s="34"/>
    </row>
    <row r="16" spans="1:7">
      <c r="A16" s="321" t="s">
        <v>150</v>
      </c>
      <c r="B16" s="322"/>
      <c r="C16" s="323">
        <f>CEC_2023!A8/1000</f>
        <v>3.6375258877588266</v>
      </c>
      <c r="D16" s="324">
        <f t="shared" si="0"/>
        <v>-3.6375258877588266</v>
      </c>
      <c r="F16" s="33"/>
      <c r="G16" s="34"/>
    </row>
    <row r="17" spans="1:8" ht="15" thickBot="1">
      <c r="A17" s="325" t="s">
        <v>151</v>
      </c>
      <c r="B17" s="326"/>
      <c r="C17" s="327">
        <f>CEC_2023!A9/1000</f>
        <v>0.7859002771207596</v>
      </c>
      <c r="D17" s="328">
        <f t="shared" si="0"/>
        <v>-0.7859002771207596</v>
      </c>
      <c r="F17" s="33"/>
      <c r="G17" s="34"/>
    </row>
    <row r="18" spans="1:8">
      <c r="A18" s="317" t="s">
        <v>152</v>
      </c>
      <c r="B18" s="318"/>
      <c r="C18" s="319">
        <f>CEC_2024!A2/1000</f>
        <v>306.95378984074983</v>
      </c>
      <c r="D18" s="320">
        <f>B18-C18</f>
        <v>-306.95378984074983</v>
      </c>
      <c r="F18" s="33"/>
      <c r="G18" s="34"/>
    </row>
    <row r="19" spans="1:8">
      <c r="A19" s="321" t="s">
        <v>153</v>
      </c>
      <c r="B19" s="322"/>
      <c r="C19" s="323">
        <f>CEC_2024!A3/1000</f>
        <v>14.072301078252696</v>
      </c>
      <c r="D19" s="324">
        <f t="shared" si="0"/>
        <v>-14.072301078252696</v>
      </c>
      <c r="F19" s="33"/>
      <c r="G19" s="34"/>
    </row>
    <row r="20" spans="1:8">
      <c r="A20" s="321" t="s">
        <v>154</v>
      </c>
      <c r="B20" s="322"/>
      <c r="C20" s="323">
        <f>CEC_2024!A4/1000</f>
        <v>6.5436031216416541</v>
      </c>
      <c r="D20" s="324">
        <f t="shared" si="0"/>
        <v>-6.5436031216416541</v>
      </c>
      <c r="F20" s="33"/>
      <c r="G20" s="34"/>
    </row>
    <row r="21" spans="1:8">
      <c r="A21" s="380" t="s">
        <v>155</v>
      </c>
      <c r="B21" s="404"/>
      <c r="C21" s="405">
        <f>CEC_2024!A5/1000</f>
        <v>21.704496669463509</v>
      </c>
      <c r="D21" s="406">
        <f t="shared" si="0"/>
        <v>-21.704496669463509</v>
      </c>
      <c r="F21" s="33"/>
      <c r="G21" s="34"/>
    </row>
    <row r="22" spans="1:8">
      <c r="A22" s="321" t="s">
        <v>156</v>
      </c>
      <c r="B22" s="322"/>
      <c r="C22" s="323">
        <f>CEC_2024!A6/1000</f>
        <v>36.05068262307573</v>
      </c>
      <c r="D22" s="324">
        <f t="shared" si="0"/>
        <v>-36.05068262307573</v>
      </c>
      <c r="F22" s="33"/>
      <c r="G22" s="34"/>
    </row>
    <row r="23" spans="1:8">
      <c r="A23" s="321" t="s">
        <v>157</v>
      </c>
      <c r="B23" s="322"/>
      <c r="C23" s="323">
        <f>CEC_2024!A7/1000</f>
        <v>37.396108822553757</v>
      </c>
      <c r="D23" s="324">
        <f t="shared" si="0"/>
        <v>-37.396108822553757</v>
      </c>
      <c r="F23" s="33"/>
      <c r="G23" s="34"/>
    </row>
    <row r="24" spans="1:8">
      <c r="A24" s="321" t="s">
        <v>158</v>
      </c>
      <c r="B24" s="322"/>
      <c r="C24" s="323">
        <f>CEC_2024!A8/1000</f>
        <v>3.4772974747085321</v>
      </c>
      <c r="D24" s="324">
        <f t="shared" si="0"/>
        <v>-3.4772974747085321</v>
      </c>
      <c r="F24" s="33"/>
      <c r="G24" s="34"/>
    </row>
    <row r="25" spans="1:8" ht="15" thickBot="1">
      <c r="A25" s="325" t="s">
        <v>159</v>
      </c>
      <c r="B25" s="326"/>
      <c r="C25" s="327">
        <f>CEC_2024!A9/1000</f>
        <v>0.75128236425789607</v>
      </c>
      <c r="D25" s="328">
        <f t="shared" si="0"/>
        <v>-0.75128236425789607</v>
      </c>
      <c r="F25" s="33"/>
      <c r="G25" s="34"/>
    </row>
    <row r="26" spans="1:8">
      <c r="A26" s="329" t="s">
        <v>114</v>
      </c>
      <c r="B26" s="330">
        <f>C26</f>
        <v>107.07477379559242</v>
      </c>
      <c r="C26" s="330">
        <f>Santa_Fe!A$2/1000</f>
        <v>107.07477379559242</v>
      </c>
      <c r="D26" s="63">
        <f>B26-C26</f>
        <v>0</v>
      </c>
      <c r="E26" s="16">
        <f>SUM(D26:D33)</f>
        <v>0</v>
      </c>
      <c r="F26" s="16"/>
      <c r="G26" s="6"/>
      <c r="H26" s="16"/>
    </row>
    <row r="27" spans="1:8">
      <c r="A27" s="321" t="s">
        <v>115</v>
      </c>
      <c r="B27" s="330">
        <f t="shared" ref="B27:B49" si="1">C27</f>
        <v>5.2259381883184615</v>
      </c>
      <c r="C27" s="330">
        <f>Santa_Fe!A$3/1000</f>
        <v>5.2259381883184615</v>
      </c>
      <c r="D27" s="65">
        <f t="shared" ref="D27:D49" si="2">B27-C27</f>
        <v>0</v>
      </c>
      <c r="E27" s="16"/>
      <c r="G27" s="6"/>
    </row>
    <row r="28" spans="1:8">
      <c r="A28" s="321" t="s">
        <v>116</v>
      </c>
      <c r="B28" s="330">
        <f t="shared" si="1"/>
        <v>2.367014372734261</v>
      </c>
      <c r="C28" s="330">
        <f>Santa_Fe!A$4/1000</f>
        <v>2.367014372734261</v>
      </c>
      <c r="D28" s="65">
        <f t="shared" si="2"/>
        <v>0</v>
      </c>
      <c r="E28" s="16"/>
      <c r="G28" s="6"/>
    </row>
    <row r="29" spans="1:8">
      <c r="A29" s="380" t="s">
        <v>117</v>
      </c>
      <c r="B29" s="407">
        <f t="shared" si="1"/>
        <v>0</v>
      </c>
      <c r="C29" s="405">
        <f>Santa_Fe!A$5/1000</f>
        <v>0</v>
      </c>
      <c r="D29" s="406">
        <f t="shared" si="2"/>
        <v>0</v>
      </c>
      <c r="E29" s="16"/>
      <c r="G29" s="6"/>
    </row>
    <row r="30" spans="1:8">
      <c r="A30" s="321" t="s">
        <v>118</v>
      </c>
      <c r="B30" s="330">
        <f t="shared" si="1"/>
        <v>17.439635455975765</v>
      </c>
      <c r="C30" s="330">
        <f>Santa_Fe!A$6/1000</f>
        <v>17.439635455975765</v>
      </c>
      <c r="D30" s="65">
        <f t="shared" si="2"/>
        <v>0</v>
      </c>
      <c r="E30" s="16"/>
      <c r="G30" s="6"/>
    </row>
    <row r="31" spans="1:8">
      <c r="A31" s="321" t="s">
        <v>119</v>
      </c>
      <c r="B31" s="330">
        <f t="shared" si="1"/>
        <v>20.493313805553452</v>
      </c>
      <c r="C31" s="330">
        <f>Santa_Fe!A$7/1000</f>
        <v>20.493313805553452</v>
      </c>
      <c r="D31" s="65">
        <f t="shared" si="2"/>
        <v>0</v>
      </c>
      <c r="E31" s="16"/>
      <c r="G31" s="6"/>
    </row>
    <row r="32" spans="1:8">
      <c r="A32" s="321" t="s">
        <v>120</v>
      </c>
      <c r="B32" s="330">
        <f t="shared" si="1"/>
        <v>2.6169955465586594</v>
      </c>
      <c r="C32" s="330">
        <f>Santa_Fe!A$8/1000</f>
        <v>2.6169955465586594</v>
      </c>
      <c r="D32" s="65">
        <f t="shared" si="2"/>
        <v>0</v>
      </c>
      <c r="E32" s="16"/>
      <c r="G32" s="6"/>
    </row>
    <row r="33" spans="1:8" ht="15" thickBot="1">
      <c r="A33" s="325" t="s">
        <v>121</v>
      </c>
      <c r="B33" s="331">
        <f t="shared" si="1"/>
        <v>0.41564188604853647</v>
      </c>
      <c r="C33" s="332">
        <f>Santa_Fe!A$9/1000</f>
        <v>0.41564188604853647</v>
      </c>
      <c r="D33" s="333">
        <f t="shared" si="2"/>
        <v>0</v>
      </c>
      <c r="E33" s="334"/>
      <c r="G33" s="6"/>
    </row>
    <row r="34" spans="1:8">
      <c r="A34" s="317" t="s">
        <v>122</v>
      </c>
      <c r="B34" s="335">
        <f t="shared" si="1"/>
        <v>96.73351928256541</v>
      </c>
      <c r="C34" s="335">
        <f>Twin_Rivers!A$2/1000</f>
        <v>96.73351928256541</v>
      </c>
      <c r="D34" s="336">
        <f t="shared" si="2"/>
        <v>0</v>
      </c>
      <c r="E34" s="16">
        <f>SUM(D34:D41)</f>
        <v>0</v>
      </c>
      <c r="G34" s="6"/>
    </row>
    <row r="35" spans="1:8">
      <c r="A35" s="321" t="s">
        <v>123</v>
      </c>
      <c r="B35" s="330">
        <f t="shared" si="1"/>
        <v>4.3602151175681039</v>
      </c>
      <c r="C35" s="330">
        <f>Twin_Rivers!A$3/1000</f>
        <v>4.3602151175681039</v>
      </c>
      <c r="D35" s="65">
        <f t="shared" si="2"/>
        <v>0</v>
      </c>
      <c r="E35" s="16"/>
      <c r="G35" s="6"/>
    </row>
    <row r="36" spans="1:8">
      <c r="A36" s="321" t="s">
        <v>124</v>
      </c>
      <c r="B36" s="330">
        <f t="shared" si="1"/>
        <v>2.1508045495741159</v>
      </c>
      <c r="C36" s="330">
        <f>Twin_Rivers!A$4/1000</f>
        <v>2.1508045495741159</v>
      </c>
      <c r="D36" s="65">
        <f t="shared" si="2"/>
        <v>0</v>
      </c>
      <c r="E36" s="16"/>
      <c r="G36" s="6"/>
    </row>
    <row r="37" spans="1:8">
      <c r="A37" s="380" t="s">
        <v>125</v>
      </c>
      <c r="B37" s="407">
        <f t="shared" si="1"/>
        <v>4.7500995093539187</v>
      </c>
      <c r="C37" s="405">
        <f>Twin_Rivers!A$5/1000</f>
        <v>4.7500995093539187</v>
      </c>
      <c r="D37" s="406">
        <f t="shared" si="2"/>
        <v>0</v>
      </c>
      <c r="E37" s="16"/>
      <c r="G37" s="6"/>
    </row>
    <row r="38" spans="1:8">
      <c r="A38" s="321" t="s">
        <v>126</v>
      </c>
      <c r="B38" s="330">
        <f t="shared" si="1"/>
        <v>16.048076811603917</v>
      </c>
      <c r="C38" s="330">
        <f>Twin_Rivers!A$6/1000</f>
        <v>16.048076811603917</v>
      </c>
      <c r="D38" s="65">
        <f t="shared" si="2"/>
        <v>0</v>
      </c>
      <c r="E38" s="16"/>
      <c r="G38" s="6"/>
    </row>
    <row r="39" spans="1:8">
      <c r="A39" s="321" t="s">
        <v>127</v>
      </c>
      <c r="B39" s="330">
        <f t="shared" si="1"/>
        <v>17.606367664101597</v>
      </c>
      <c r="C39" s="330">
        <f>Twin_Rivers!A$7/1000</f>
        <v>17.606367664101597</v>
      </c>
      <c r="D39" s="65">
        <f t="shared" si="2"/>
        <v>0</v>
      </c>
      <c r="E39" s="16"/>
      <c r="G39" s="6"/>
    </row>
    <row r="40" spans="1:8">
      <c r="A40" s="321" t="s">
        <v>128</v>
      </c>
      <c r="B40" s="330">
        <f t="shared" si="1"/>
        <v>2.4264302612241475</v>
      </c>
      <c r="C40" s="330">
        <f>Twin_Rivers!A$8/1000</f>
        <v>2.4264302612241475</v>
      </c>
      <c r="D40" s="65">
        <f t="shared" si="2"/>
        <v>0</v>
      </c>
      <c r="E40" s="16"/>
      <c r="G40" s="6"/>
    </row>
    <row r="41" spans="1:8" ht="15" thickBot="1">
      <c r="A41" s="325" t="s">
        <v>129</v>
      </c>
      <c r="B41" s="331">
        <f t="shared" si="1"/>
        <v>0.35578564974786198</v>
      </c>
      <c r="C41" s="332">
        <f>Twin_Rivers!A$9/1000</f>
        <v>0.35578564974786198</v>
      </c>
      <c r="D41" s="333">
        <f t="shared" si="2"/>
        <v>0</v>
      </c>
      <c r="E41" s="334"/>
      <c r="G41" s="6"/>
    </row>
    <row r="42" spans="1:8">
      <c r="A42" s="317" t="s">
        <v>213</v>
      </c>
      <c r="B42" s="335">
        <f t="shared" si="1"/>
        <v>102.1714837434333</v>
      </c>
      <c r="C42" s="335">
        <f>Duette!A$2/1000</f>
        <v>102.1714837434333</v>
      </c>
      <c r="D42" s="336">
        <f t="shared" si="2"/>
        <v>0</v>
      </c>
      <c r="E42" s="16">
        <f>SUM(D42:D49)</f>
        <v>0</v>
      </c>
      <c r="G42" s="6"/>
      <c r="H42" s="16"/>
    </row>
    <row r="43" spans="1:8">
      <c r="A43" s="321" t="s">
        <v>214</v>
      </c>
      <c r="B43" s="330">
        <f t="shared" si="1"/>
        <v>4.164130671522936</v>
      </c>
      <c r="C43" s="330">
        <f>Duette!A$3/1000</f>
        <v>4.164130671522936</v>
      </c>
      <c r="D43" s="65">
        <f t="shared" si="2"/>
        <v>0</v>
      </c>
      <c r="E43" s="16"/>
      <c r="G43" s="6"/>
    </row>
    <row r="44" spans="1:8">
      <c r="A44" s="321" t="s">
        <v>215</v>
      </c>
      <c r="B44" s="330">
        <f t="shared" si="1"/>
        <v>2.2061065967588469</v>
      </c>
      <c r="C44" s="330">
        <f>Duette!A$4/1000</f>
        <v>2.2061065967588469</v>
      </c>
      <c r="D44" s="65">
        <f t="shared" si="2"/>
        <v>0</v>
      </c>
      <c r="E44" s="16"/>
      <c r="G44" s="6"/>
    </row>
    <row r="45" spans="1:8">
      <c r="A45" s="380" t="s">
        <v>216</v>
      </c>
      <c r="B45" s="407">
        <f t="shared" si="1"/>
        <v>0</v>
      </c>
      <c r="C45" s="405">
        <f>Duette!A$5/1000</f>
        <v>0</v>
      </c>
      <c r="D45" s="406">
        <f t="shared" si="2"/>
        <v>0</v>
      </c>
      <c r="E45" s="16"/>
      <c r="G45" s="6"/>
    </row>
    <row r="46" spans="1:8">
      <c r="A46" s="321" t="s">
        <v>217</v>
      </c>
      <c r="B46" s="330">
        <f t="shared" si="1"/>
        <v>10.13220679393088</v>
      </c>
      <c r="C46" s="330">
        <f>Duette!A$6/1000</f>
        <v>10.13220679393088</v>
      </c>
      <c r="D46" s="65">
        <f t="shared" si="2"/>
        <v>0</v>
      </c>
      <c r="E46" s="16"/>
      <c r="G46" s="6"/>
    </row>
    <row r="47" spans="1:8">
      <c r="A47" s="321" t="s">
        <v>218</v>
      </c>
      <c r="B47" s="330">
        <f t="shared" si="1"/>
        <v>2.9081176013437666</v>
      </c>
      <c r="C47" s="330">
        <f>Duette!A$7/1000</f>
        <v>2.9081176013437666</v>
      </c>
      <c r="D47" s="65">
        <f t="shared" si="2"/>
        <v>0</v>
      </c>
      <c r="E47" s="16"/>
      <c r="G47" s="6"/>
    </row>
    <row r="48" spans="1:8">
      <c r="A48" s="321" t="s">
        <v>219</v>
      </c>
      <c r="B48" s="330">
        <f t="shared" si="1"/>
        <v>0.33217224186838656</v>
      </c>
      <c r="C48" s="330">
        <f>Duette!A$8/1000</f>
        <v>0.33217224186838656</v>
      </c>
      <c r="D48" s="65">
        <f t="shared" si="2"/>
        <v>0</v>
      </c>
      <c r="E48" s="16"/>
      <c r="G48" s="6"/>
    </row>
    <row r="49" spans="1:7" ht="15" thickBot="1">
      <c r="A49" s="325" t="s">
        <v>220</v>
      </c>
      <c r="B49" s="331">
        <f t="shared" si="1"/>
        <v>5.8750816760322677E-2</v>
      </c>
      <c r="C49" s="332">
        <f>Duette!A$9/1000</f>
        <v>5.8750816760322677E-2</v>
      </c>
      <c r="D49" s="333">
        <f t="shared" si="2"/>
        <v>0</v>
      </c>
      <c r="E49" s="334"/>
      <c r="G49" s="6"/>
    </row>
    <row r="50" spans="1:7">
      <c r="A50" s="329" t="s">
        <v>221</v>
      </c>
      <c r="B50" s="335">
        <f>Charlie_Creek!$A$2/1000</f>
        <v>89.888835522409764</v>
      </c>
      <c r="C50" s="335">
        <f>Charlie_Creek!$A$2/1000</f>
        <v>89.888835522409764</v>
      </c>
      <c r="D50" s="63">
        <f>B50-C50</f>
        <v>0</v>
      </c>
      <c r="E50" s="15">
        <f>SUM(D50:D57)</f>
        <v>0</v>
      </c>
      <c r="F50" s="16"/>
      <c r="G50" s="6"/>
    </row>
    <row r="51" spans="1:7">
      <c r="A51" s="321" t="s">
        <v>222</v>
      </c>
      <c r="B51" s="337">
        <f>Charlie_Creek!$A$3/1000</f>
        <v>3.3609913149940667</v>
      </c>
      <c r="C51" s="337">
        <f>Charlie_Creek!$A$3/1000</f>
        <v>3.3609913149940667</v>
      </c>
      <c r="D51" s="65">
        <f t="shared" ref="D51:D65" si="3">B51-C51</f>
        <v>0</v>
      </c>
      <c r="E51" s="15"/>
      <c r="G51" s="6"/>
    </row>
    <row r="52" spans="1:7">
      <c r="A52" s="321" t="s">
        <v>223</v>
      </c>
      <c r="B52" s="337">
        <f>Charlie_Creek!$A$4/1000</f>
        <v>1.9920951833168852</v>
      </c>
      <c r="C52" s="337">
        <f>Charlie_Creek!$A$4/1000</f>
        <v>1.9920951833168852</v>
      </c>
      <c r="D52" s="65">
        <f t="shared" si="3"/>
        <v>0</v>
      </c>
      <c r="E52" s="15"/>
      <c r="G52" s="6"/>
    </row>
    <row r="53" spans="1:7">
      <c r="A53" s="380" t="s">
        <v>224</v>
      </c>
      <c r="B53" s="407">
        <f>Charlie_Creek!$A$5/1000</f>
        <v>6.8089901767976535</v>
      </c>
      <c r="C53" s="405">
        <f>Charlie_Creek!$A$5/1000</f>
        <v>6.8089901767976535</v>
      </c>
      <c r="D53" s="406">
        <f t="shared" si="3"/>
        <v>0</v>
      </c>
      <c r="E53" s="15"/>
      <c r="G53" s="6"/>
    </row>
    <row r="54" spans="1:7">
      <c r="A54" s="321" t="s">
        <v>225</v>
      </c>
      <c r="B54" s="337">
        <f>Charlie_Creek!$A$6/1000</f>
        <v>8.2929586245951921</v>
      </c>
      <c r="C54" s="337">
        <f>Charlie_Creek!$A$6/1000</f>
        <v>8.2929586245951921</v>
      </c>
      <c r="D54" s="65">
        <f t="shared" si="3"/>
        <v>0</v>
      </c>
      <c r="E54" s="15"/>
      <c r="G54" s="6"/>
    </row>
    <row r="55" spans="1:7">
      <c r="A55" s="321" t="s">
        <v>226</v>
      </c>
      <c r="B55" s="337">
        <f>Charlie_Creek!$A$7/1000</f>
        <v>19.360587775879008</v>
      </c>
      <c r="C55" s="337">
        <f>Charlie_Creek!$A$7/1000</f>
        <v>19.360587775879008</v>
      </c>
      <c r="D55" s="65">
        <f t="shared" si="3"/>
        <v>0</v>
      </c>
      <c r="E55" s="15"/>
      <c r="G55" s="6"/>
    </row>
    <row r="56" spans="1:7">
      <c r="A56" s="321" t="s">
        <v>227</v>
      </c>
      <c r="B56" s="337">
        <f>Charlie_Creek!$A$8/1000</f>
        <v>2.3226394902331249</v>
      </c>
      <c r="C56" s="337">
        <f>Charlie_Creek!$A$8/1000</f>
        <v>2.3226394902331249</v>
      </c>
      <c r="D56" s="65">
        <f t="shared" si="3"/>
        <v>0</v>
      </c>
      <c r="E56" s="15"/>
      <c r="G56" s="6"/>
    </row>
    <row r="57" spans="1:7" ht="15" thickBot="1">
      <c r="A57" s="325" t="s">
        <v>228</v>
      </c>
      <c r="B57" s="332">
        <f>Charlie_Creek!$A$9/1000</f>
        <v>0.38883310990055275</v>
      </c>
      <c r="C57" s="332">
        <f>Charlie_Creek!$A$9/1000</f>
        <v>0.38883310990055275</v>
      </c>
      <c r="D57" s="333">
        <f t="shared" si="3"/>
        <v>0</v>
      </c>
      <c r="E57" s="15"/>
      <c r="G57" s="6"/>
    </row>
    <row r="58" spans="1:7">
      <c r="A58" s="317" t="s">
        <v>205</v>
      </c>
      <c r="B58" s="335">
        <f>Archer!$A$2/1000</f>
        <v>77.686640419132644</v>
      </c>
      <c r="C58" s="335">
        <f>Archer!$A$2/1000</f>
        <v>77.686640419132644</v>
      </c>
      <c r="D58" s="336">
        <f t="shared" si="3"/>
        <v>0</v>
      </c>
      <c r="E58" s="15">
        <f>SUM(D58:D65)</f>
        <v>0</v>
      </c>
      <c r="G58" s="6"/>
    </row>
    <row r="59" spans="1:7">
      <c r="A59" s="321" t="s">
        <v>206</v>
      </c>
      <c r="B59" s="337">
        <f>Archer!$A$3/1000</f>
        <v>4.5653752025876573</v>
      </c>
      <c r="C59" s="337">
        <f>Archer!$A$3/1000</f>
        <v>4.5653752025876573</v>
      </c>
      <c r="D59" s="65">
        <f t="shared" si="3"/>
        <v>0</v>
      </c>
      <c r="E59" s="15"/>
      <c r="G59" s="6"/>
    </row>
    <row r="60" spans="1:7">
      <c r="A60" s="321" t="s">
        <v>207</v>
      </c>
      <c r="B60" s="337">
        <f>Archer!$A$4/1000</f>
        <v>1.6753964670626824</v>
      </c>
      <c r="C60" s="337">
        <f>Archer!$A$4/1000</f>
        <v>1.6753964670626824</v>
      </c>
      <c r="D60" s="65">
        <f t="shared" si="3"/>
        <v>0</v>
      </c>
      <c r="E60" s="15"/>
      <c r="G60" s="6"/>
    </row>
    <row r="61" spans="1:7">
      <c r="A61" s="380" t="s">
        <v>208</v>
      </c>
      <c r="B61" s="407">
        <f>Archer!$A$5/1000</f>
        <v>0</v>
      </c>
      <c r="C61" s="405">
        <f>Archer!$A$5/1000</f>
        <v>0</v>
      </c>
      <c r="D61" s="406">
        <f t="shared" si="3"/>
        <v>0</v>
      </c>
      <c r="E61" s="15"/>
      <c r="G61" s="6"/>
    </row>
    <row r="62" spans="1:7">
      <c r="A62" s="321" t="s">
        <v>209</v>
      </c>
      <c r="B62" s="337">
        <f>Archer!$A$6/1000</f>
        <v>8.3002912093679786</v>
      </c>
      <c r="C62" s="337">
        <f>Archer!$A$6/1000</f>
        <v>8.3002912093679786</v>
      </c>
      <c r="D62" s="65">
        <f t="shared" si="3"/>
        <v>0</v>
      </c>
      <c r="E62" s="15"/>
      <c r="G62" s="6"/>
    </row>
    <row r="63" spans="1:7">
      <c r="A63" s="321" t="s">
        <v>210</v>
      </c>
      <c r="B63" s="337">
        <f>Archer!$A$7/1000</f>
        <v>6.0888379283304337</v>
      </c>
      <c r="C63" s="337">
        <f>Archer!$A$7/1000</f>
        <v>6.0888379283304337</v>
      </c>
      <c r="D63" s="65">
        <f t="shared" si="3"/>
        <v>0</v>
      </c>
      <c r="E63" s="15"/>
      <c r="G63" s="6"/>
    </row>
    <row r="64" spans="1:7">
      <c r="A64" s="321" t="s">
        <v>211</v>
      </c>
      <c r="B64" s="337">
        <f>Archer!$A$8/1000</f>
        <v>0.96894553680090834</v>
      </c>
      <c r="C64" s="337">
        <f>Archer!$A$8/1000</f>
        <v>0.96894553680090834</v>
      </c>
      <c r="D64" s="65">
        <f t="shared" si="3"/>
        <v>0</v>
      </c>
      <c r="E64" s="15"/>
      <c r="G64" s="6"/>
    </row>
    <row r="65" spans="1:7" ht="15" thickBot="1">
      <c r="A65" s="325" t="s">
        <v>212</v>
      </c>
      <c r="B65" s="332">
        <f>Archer!$A$9/1000</f>
        <v>0.12148955302687416</v>
      </c>
      <c r="C65" s="332">
        <f>Archer!$A$9/1000</f>
        <v>0.12148955302687416</v>
      </c>
      <c r="D65" s="333">
        <f t="shared" si="3"/>
        <v>0</v>
      </c>
      <c r="E65" s="15"/>
      <c r="G65" s="6"/>
    </row>
    <row r="66" spans="1:7">
      <c r="A66" s="329" t="s">
        <v>83</v>
      </c>
      <c r="B66" s="330">
        <f>Trenton!A$2/1000</f>
        <v>104.63850602209902</v>
      </c>
      <c r="C66" s="330">
        <f>Trenton!A$2/1000</f>
        <v>104.63850602209902</v>
      </c>
      <c r="D66" s="63">
        <f>B66-C66</f>
        <v>0</v>
      </c>
      <c r="E66" s="16"/>
      <c r="G66" s="6"/>
    </row>
    <row r="67" spans="1:7">
      <c r="A67" s="321" t="s">
        <v>84</v>
      </c>
      <c r="B67" s="330">
        <f>Trenton!A$3/1000</f>
        <v>4.3227037691569139</v>
      </c>
      <c r="C67" s="330">
        <f>Trenton!A$3/1000</f>
        <v>4.3227037691569139</v>
      </c>
      <c r="D67" s="65">
        <f t="shared" ref="D67:D89" si="4">B67-C67</f>
        <v>0</v>
      </c>
      <c r="E67" s="16"/>
      <c r="G67" s="6"/>
    </row>
    <row r="68" spans="1:7">
      <c r="A68" s="321" t="s">
        <v>85</v>
      </c>
      <c r="B68" s="330">
        <f>Trenton!A$4/1000</f>
        <v>2.5197193510928337</v>
      </c>
      <c r="C68" s="330">
        <f>Trenton!A$4/1000</f>
        <v>2.5197193510928337</v>
      </c>
      <c r="D68" s="65">
        <f t="shared" si="4"/>
        <v>0</v>
      </c>
      <c r="E68" s="16"/>
      <c r="G68" s="6"/>
    </row>
    <row r="69" spans="1:7">
      <c r="A69" s="380" t="s">
        <v>86</v>
      </c>
      <c r="B69" s="407">
        <f>Trenton!A$5/1000</f>
        <v>4.8086327024804696</v>
      </c>
      <c r="C69" s="405">
        <f>Trenton!A$5/1000</f>
        <v>4.8086327024804696</v>
      </c>
      <c r="D69" s="406">
        <f t="shared" si="4"/>
        <v>0</v>
      </c>
      <c r="E69" s="16"/>
      <c r="G69" s="6"/>
    </row>
    <row r="70" spans="1:7">
      <c r="A70" s="321" t="s">
        <v>87</v>
      </c>
      <c r="B70" s="330">
        <f>Trenton!A$6/1000</f>
        <v>18.300068474538069</v>
      </c>
      <c r="C70" s="330">
        <f>Trenton!A$6/1000</f>
        <v>18.300068474538069</v>
      </c>
      <c r="D70" s="65">
        <f t="shared" si="4"/>
        <v>0</v>
      </c>
      <c r="E70" s="16"/>
      <c r="G70" s="6"/>
    </row>
    <row r="71" spans="1:7">
      <c r="A71" s="321" t="s">
        <v>88</v>
      </c>
      <c r="B71" s="330">
        <f>Trenton!A$7/1000</f>
        <v>5.2993724899509838</v>
      </c>
      <c r="C71" s="330">
        <f>Trenton!A$7/1000</f>
        <v>5.2993724899509838</v>
      </c>
      <c r="D71" s="65">
        <f t="shared" si="4"/>
        <v>0</v>
      </c>
      <c r="E71" s="16"/>
      <c r="G71" s="6"/>
    </row>
    <row r="72" spans="1:7">
      <c r="A72" s="321" t="s">
        <v>89</v>
      </c>
      <c r="B72" s="330">
        <f>Trenton!A$8/1000</f>
        <v>0.51853675018397505</v>
      </c>
      <c r="C72" s="330">
        <f>Trenton!A$8/1000</f>
        <v>0.51853675018397505</v>
      </c>
      <c r="D72" s="65">
        <f t="shared" si="4"/>
        <v>0</v>
      </c>
      <c r="E72" s="16"/>
      <c r="G72" s="6"/>
    </row>
    <row r="73" spans="1:7" ht="15" thickBot="1">
      <c r="A73" s="325" t="s">
        <v>90</v>
      </c>
      <c r="B73" s="330">
        <f>Trenton!A$9/1000</f>
        <v>0.11480535887801614</v>
      </c>
      <c r="C73" s="332">
        <f>Trenton!A$9/1000</f>
        <v>0.11480535887801614</v>
      </c>
      <c r="D73" s="333">
        <f t="shared" si="4"/>
        <v>0</v>
      </c>
      <c r="E73" s="334"/>
      <c r="G73" s="6"/>
    </row>
    <row r="74" spans="1:7">
      <c r="A74" s="317" t="s">
        <v>91</v>
      </c>
      <c r="B74" s="338">
        <f>Lake_Placid!A$2/1000</f>
        <v>63.458705733840326</v>
      </c>
      <c r="C74" s="335">
        <f>Lake_Placid!A$2/1000</f>
        <v>63.458705733840326</v>
      </c>
      <c r="D74" s="336">
        <f t="shared" si="4"/>
        <v>0</v>
      </c>
      <c r="E74" s="16"/>
      <c r="G74" s="6"/>
    </row>
    <row r="75" spans="1:7">
      <c r="A75" s="321" t="s">
        <v>92</v>
      </c>
      <c r="B75" s="339">
        <f>Lake_Placid!A$3/1000</f>
        <v>2.2300211676948885</v>
      </c>
      <c r="C75" s="330">
        <f>Lake_Placid!A$3/1000</f>
        <v>2.2300211676948885</v>
      </c>
      <c r="D75" s="65">
        <f t="shared" si="4"/>
        <v>0</v>
      </c>
      <c r="E75" s="16"/>
      <c r="G75" s="6"/>
    </row>
    <row r="76" spans="1:7">
      <c r="A76" s="321" t="s">
        <v>93</v>
      </c>
      <c r="B76" s="339">
        <f>Lake_Placid!A$4/1000</f>
        <v>1.5266138801467606</v>
      </c>
      <c r="C76" s="330">
        <f>Lake_Placid!A$4/1000</f>
        <v>1.5266138801467606</v>
      </c>
      <c r="D76" s="65">
        <f t="shared" si="4"/>
        <v>0</v>
      </c>
      <c r="E76" s="16"/>
      <c r="G76" s="6"/>
    </row>
    <row r="77" spans="1:7">
      <c r="A77" s="380" t="s">
        <v>94</v>
      </c>
      <c r="B77" s="407">
        <f>Lake_Placid!A$5/1000</f>
        <v>5.2757230605053254</v>
      </c>
      <c r="C77" s="405">
        <f>Lake_Placid!A$5/1000</f>
        <v>5.2757230605053254</v>
      </c>
      <c r="D77" s="406">
        <f t="shared" si="4"/>
        <v>0</v>
      </c>
      <c r="E77" s="16"/>
      <c r="G77" s="6"/>
    </row>
    <row r="78" spans="1:7">
      <c r="A78" s="321" t="s">
        <v>95</v>
      </c>
      <c r="B78" s="339">
        <f>Lake_Placid!A$6/1000</f>
        <v>10.430766415246898</v>
      </c>
      <c r="C78" s="330">
        <f>Lake_Placid!A$6/1000</f>
        <v>10.430766415246898</v>
      </c>
      <c r="D78" s="65">
        <f t="shared" si="4"/>
        <v>0</v>
      </c>
      <c r="E78" s="16"/>
      <c r="G78" s="6"/>
    </row>
    <row r="79" spans="1:7">
      <c r="A79" s="321" t="s">
        <v>96</v>
      </c>
      <c r="B79" s="339">
        <f>Lake_Placid!A$7/1000</f>
        <v>3.7889256804468134</v>
      </c>
      <c r="C79" s="330">
        <f>Lake_Placid!A$7/1000</f>
        <v>3.7889256804468134</v>
      </c>
      <c r="D79" s="65">
        <f t="shared" si="4"/>
        <v>0</v>
      </c>
      <c r="E79" s="16"/>
      <c r="G79" s="6"/>
    </row>
    <row r="80" spans="1:7">
      <c r="A80" s="321" t="s">
        <v>97</v>
      </c>
      <c r="B80" s="339">
        <f>Lake_Placid!A$8/1000</f>
        <v>0.43688765786684253</v>
      </c>
      <c r="C80" s="330">
        <f>Lake_Placid!A$8/1000</f>
        <v>0.43688765786684253</v>
      </c>
      <c r="D80" s="65">
        <f t="shared" si="4"/>
        <v>0</v>
      </c>
      <c r="E80" s="16"/>
      <c r="G80" s="6"/>
    </row>
    <row r="81" spans="1:7" ht="15" thickBot="1">
      <c r="A81" s="325" t="s">
        <v>98</v>
      </c>
      <c r="B81" s="340">
        <f>Lake_Placid!A$9/1000</f>
        <v>8.1821428153099549E-2</v>
      </c>
      <c r="C81" s="332">
        <f>Lake_Placid!A$9/1000</f>
        <v>8.1821428153099549E-2</v>
      </c>
      <c r="D81" s="333">
        <f t="shared" si="4"/>
        <v>0</v>
      </c>
      <c r="E81" s="334"/>
      <c r="G81" s="6"/>
    </row>
    <row r="82" spans="1:7">
      <c r="A82" s="317" t="s">
        <v>99</v>
      </c>
      <c r="B82" s="330">
        <f>Debary!A$2/1000</f>
        <v>92.917550755674156</v>
      </c>
      <c r="C82" s="330">
        <f>Debary!A$2/1000</f>
        <v>92.917550755674156</v>
      </c>
      <c r="D82" s="63">
        <f t="shared" si="4"/>
        <v>0</v>
      </c>
      <c r="E82" s="16"/>
      <c r="G82" s="6"/>
    </row>
    <row r="83" spans="1:7">
      <c r="A83" s="321" t="s">
        <v>100</v>
      </c>
      <c r="B83" s="330">
        <f>Debary!A$3/1000</f>
        <v>3.8436070304238488</v>
      </c>
      <c r="C83" s="330">
        <f>Debary!A$3/1000</f>
        <v>3.8436070304238488</v>
      </c>
      <c r="D83" s="65">
        <f t="shared" si="4"/>
        <v>0</v>
      </c>
      <c r="E83" s="16"/>
      <c r="G83" s="6"/>
    </row>
    <row r="84" spans="1:7">
      <c r="A84" s="321" t="s">
        <v>101</v>
      </c>
      <c r="B84" s="330">
        <f>Debary!A$4/1000</f>
        <v>2.2495952288842731</v>
      </c>
      <c r="C84" s="330">
        <f>Debary!A$4/1000</f>
        <v>2.2495952288842731</v>
      </c>
      <c r="D84" s="65">
        <f t="shared" si="4"/>
        <v>0</v>
      </c>
      <c r="E84" s="16"/>
      <c r="G84" s="6"/>
    </row>
    <row r="85" spans="1:7">
      <c r="A85" s="380" t="s">
        <v>102</v>
      </c>
      <c r="B85" s="407">
        <f>Debary!A$5/1000</f>
        <v>0</v>
      </c>
      <c r="C85" s="405">
        <f>Debary!A$5/1000</f>
        <v>0</v>
      </c>
      <c r="D85" s="406">
        <f t="shared" si="4"/>
        <v>0</v>
      </c>
      <c r="E85" s="16"/>
      <c r="G85" s="6"/>
    </row>
    <row r="86" spans="1:7">
      <c r="A86" s="321" t="s">
        <v>103</v>
      </c>
      <c r="B86" s="330">
        <f>Debary!A$6/1000</f>
        <v>15.189948601725039</v>
      </c>
      <c r="C86" s="330">
        <f>Debary!A$6/1000</f>
        <v>15.189948601725039</v>
      </c>
      <c r="D86" s="65">
        <f t="shared" si="4"/>
        <v>0</v>
      </c>
      <c r="E86" s="16"/>
      <c r="G86" s="6"/>
    </row>
    <row r="87" spans="1:7">
      <c r="A87" s="321" t="s">
        <v>104</v>
      </c>
      <c r="B87" s="330">
        <f>Debary!A$7/1000</f>
        <v>6.3951739382934614</v>
      </c>
      <c r="C87" s="330">
        <f>Debary!A$7/1000</f>
        <v>6.3951739382934614</v>
      </c>
      <c r="D87" s="65">
        <f t="shared" si="4"/>
        <v>0</v>
      </c>
      <c r="E87" s="16"/>
      <c r="G87" s="6"/>
    </row>
    <row r="88" spans="1:7">
      <c r="A88" s="321" t="s">
        <v>105</v>
      </c>
      <c r="B88" s="330">
        <f>Debary!A$8/1000</f>
        <v>0.85063163480304327</v>
      </c>
      <c r="C88" s="330">
        <f>Debary!A$8/1000</f>
        <v>0.85063163480304327</v>
      </c>
      <c r="D88" s="65">
        <f t="shared" si="4"/>
        <v>0</v>
      </c>
      <c r="E88" s="16"/>
      <c r="G88" s="6"/>
    </row>
    <row r="89" spans="1:7" ht="15" thickBot="1">
      <c r="A89" s="325" t="s">
        <v>106</v>
      </c>
      <c r="B89" s="332">
        <f>Debary!A$9/1000</f>
        <v>0.13712294960331972</v>
      </c>
      <c r="C89" s="340">
        <f>Debary!A$9/1000</f>
        <v>0.13712294960331972</v>
      </c>
      <c r="D89" s="333">
        <f t="shared" si="4"/>
        <v>0</v>
      </c>
      <c r="E89" s="334"/>
      <c r="G89" s="6"/>
    </row>
    <row r="90" spans="1:7">
      <c r="A90" s="329" t="s">
        <v>26</v>
      </c>
      <c r="B90" s="335">
        <f>Hamilton!A$2/1000</f>
        <v>108.98693633025789</v>
      </c>
      <c r="C90" s="335">
        <f>Hamilton!A2/1000</f>
        <v>108.98693633025789</v>
      </c>
      <c r="D90" s="341">
        <f>B90-C90</f>
        <v>0</v>
      </c>
      <c r="E90" s="15"/>
      <c r="G90" s="6"/>
    </row>
    <row r="91" spans="1:7">
      <c r="A91" s="321" t="s">
        <v>28</v>
      </c>
      <c r="B91" s="337">
        <f>Hamilton!A$3/1000</f>
        <v>10.980767611022506</v>
      </c>
      <c r="C91" s="337">
        <f>Hamilton!A3/1000</f>
        <v>10.980767611022506</v>
      </c>
      <c r="D91" s="342">
        <f t="shared" ref="D91:D118" si="5">B91-C91</f>
        <v>0</v>
      </c>
      <c r="E91" s="15"/>
      <c r="G91" s="6"/>
    </row>
    <row r="92" spans="1:7">
      <c r="A92" s="321" t="s">
        <v>29</v>
      </c>
      <c r="B92" s="337">
        <f>Hamilton!A$4/1000</f>
        <v>2.8841560522540384</v>
      </c>
      <c r="C92" s="337">
        <f>Hamilton!A4/1000</f>
        <v>2.8841560522540384</v>
      </c>
      <c r="D92" s="342">
        <f t="shared" si="5"/>
        <v>0</v>
      </c>
      <c r="E92" s="15"/>
      <c r="G92" s="6"/>
    </row>
    <row r="93" spans="1:7">
      <c r="A93" s="380" t="s">
        <v>27</v>
      </c>
      <c r="B93" s="407">
        <f>Hamilton!A$5/1000</f>
        <v>5.6799053467034382</v>
      </c>
      <c r="C93" s="405">
        <f>Hamilton!A5/1000</f>
        <v>5.6799053467034382</v>
      </c>
      <c r="D93" s="406">
        <f t="shared" si="5"/>
        <v>0</v>
      </c>
      <c r="E93" s="15"/>
      <c r="G93" s="6"/>
    </row>
    <row r="94" spans="1:7">
      <c r="A94" s="321" t="s">
        <v>37</v>
      </c>
      <c r="B94" s="337">
        <f>Hamilton!A$6/1000</f>
        <v>19.487136140031726</v>
      </c>
      <c r="C94" s="337">
        <f>Hamilton!A6/1000</f>
        <v>19.487136140031726</v>
      </c>
      <c r="D94" s="342">
        <f t="shared" si="5"/>
        <v>0</v>
      </c>
      <c r="E94" s="15"/>
      <c r="G94" s="6"/>
    </row>
    <row r="95" spans="1:7">
      <c r="A95" s="321" t="s">
        <v>41</v>
      </c>
      <c r="B95" s="337">
        <f>Hamilton!A$7/1000</f>
        <v>8.4673371307817824</v>
      </c>
      <c r="C95" s="337">
        <f>Hamilton!A7/1000</f>
        <v>8.4673371307817824</v>
      </c>
      <c r="D95" s="342">
        <f t="shared" si="5"/>
        <v>0</v>
      </c>
      <c r="E95" s="15"/>
      <c r="G95" s="6"/>
    </row>
    <row r="96" spans="1:7">
      <c r="A96" s="321" t="s">
        <v>42</v>
      </c>
      <c r="B96" s="337">
        <f>Hamilton!A$8/1000</f>
        <v>1.4092890853458413</v>
      </c>
      <c r="C96" s="337">
        <f>Hamilton!A8/1000</f>
        <v>1.4092890853458413</v>
      </c>
      <c r="D96" s="342">
        <f t="shared" si="5"/>
        <v>0</v>
      </c>
      <c r="E96" s="15"/>
      <c r="G96" s="6"/>
    </row>
    <row r="97" spans="1:7" ht="15" thickBot="1">
      <c r="A97" s="325" t="s">
        <v>43</v>
      </c>
      <c r="B97" s="332">
        <f>Hamilton!A$9/1000</f>
        <v>3.5423687106779198</v>
      </c>
      <c r="C97" s="332">
        <f>Hamilton!A9/1000</f>
        <v>3.5423687106779198</v>
      </c>
      <c r="D97" s="343">
        <f t="shared" si="5"/>
        <v>0</v>
      </c>
      <c r="E97" s="15"/>
      <c r="G97" s="6"/>
    </row>
    <row r="98" spans="1:7">
      <c r="A98" s="317" t="s">
        <v>30</v>
      </c>
      <c r="B98" s="335">
        <f>Columbia!A$2/1000</f>
        <v>114.31744816712227</v>
      </c>
      <c r="C98" s="335">
        <f>Columbia!A2/1000</f>
        <v>114.31744816712227</v>
      </c>
      <c r="D98" s="344">
        <f t="shared" si="5"/>
        <v>0</v>
      </c>
      <c r="E98" s="15"/>
      <c r="G98" s="6"/>
    </row>
    <row r="99" spans="1:7">
      <c r="A99" s="321" t="s">
        <v>32</v>
      </c>
      <c r="B99" s="337">
        <f>Columbia!A$3/1000</f>
        <v>4.1394460232552674</v>
      </c>
      <c r="C99" s="337">
        <f>Columbia!A3/1000</f>
        <v>4.1394460232552674</v>
      </c>
      <c r="D99" s="342">
        <f t="shared" si="5"/>
        <v>0</v>
      </c>
      <c r="E99" s="15"/>
      <c r="G99" s="6"/>
    </row>
    <row r="100" spans="1:7">
      <c r="A100" s="321" t="s">
        <v>33</v>
      </c>
      <c r="B100" s="337">
        <f>Columbia!A$4/1000</f>
        <v>2.7436055196183755</v>
      </c>
      <c r="C100" s="337">
        <f>Columbia!A4/1000</f>
        <v>2.7436055196183755</v>
      </c>
      <c r="D100" s="342">
        <f t="shared" si="5"/>
        <v>0</v>
      </c>
      <c r="E100" s="15"/>
      <c r="G100" s="6"/>
    </row>
    <row r="101" spans="1:7">
      <c r="A101" s="380" t="s">
        <v>31</v>
      </c>
      <c r="B101" s="407">
        <f>Columbia!A$5/1000</f>
        <v>6.4571957828335815</v>
      </c>
      <c r="C101" s="405">
        <f>Columbia!A5/1000</f>
        <v>6.4571957828335815</v>
      </c>
      <c r="D101" s="406">
        <f t="shared" si="5"/>
        <v>0</v>
      </c>
      <c r="E101" s="15"/>
      <c r="G101" s="6"/>
    </row>
    <row r="102" spans="1:7">
      <c r="A102" s="321" t="s">
        <v>36</v>
      </c>
      <c r="B102" s="337">
        <f>Columbia!A$6/1000</f>
        <v>14.201203331068434</v>
      </c>
      <c r="C102" s="337">
        <f>Columbia!A6/1000</f>
        <v>14.201203331068434</v>
      </c>
      <c r="D102" s="342">
        <f t="shared" si="5"/>
        <v>0</v>
      </c>
      <c r="E102" s="15"/>
      <c r="G102" s="6"/>
    </row>
    <row r="103" spans="1:7">
      <c r="A103" s="321" t="s">
        <v>44</v>
      </c>
      <c r="B103" s="337">
        <f>Columbia!A$7/1000</f>
        <v>9.4041421438927184</v>
      </c>
      <c r="C103" s="337">
        <f>Columbia!A7/1000</f>
        <v>9.4041421438927184</v>
      </c>
      <c r="D103" s="342">
        <f t="shared" si="5"/>
        <v>0</v>
      </c>
      <c r="E103" s="15"/>
      <c r="G103" s="6"/>
    </row>
    <row r="104" spans="1:7">
      <c r="A104" s="321" t="s">
        <v>45</v>
      </c>
      <c r="B104" s="337">
        <f>Columbia!A$8/1000</f>
        <v>0.94238005891945165</v>
      </c>
      <c r="C104" s="337">
        <f>Columbia!A8/1000</f>
        <v>0.94238005891945165</v>
      </c>
      <c r="D104" s="342">
        <f t="shared" si="5"/>
        <v>0</v>
      </c>
      <c r="E104" s="15"/>
      <c r="G104" s="6"/>
    </row>
    <row r="105" spans="1:7" ht="15" thickBot="1">
      <c r="A105" s="325" t="s">
        <v>46</v>
      </c>
      <c r="B105" s="332">
        <f>Columbia!A$9/1000</f>
        <v>3.5978362599699025</v>
      </c>
      <c r="C105" s="332">
        <f>Columbia!A9/1000</f>
        <v>3.5978362599699025</v>
      </c>
      <c r="D105" s="343">
        <f t="shared" si="5"/>
        <v>0</v>
      </c>
      <c r="E105" s="15"/>
      <c r="G105" s="6"/>
    </row>
    <row r="106" spans="1:7">
      <c r="A106" s="329" t="s">
        <v>35</v>
      </c>
      <c r="B106" s="35">
        <f>'[9]2019Fall_SoB700_GENCAP_2048'!$C$18/1000</f>
        <v>1740.3940671948026</v>
      </c>
      <c r="C106" s="35">
        <f>'[9]2019Fall_GenCap_CEC'!$C$18/1000</f>
        <v>1581.7154543752474</v>
      </c>
      <c r="D106" s="341">
        <f t="shared" si="5"/>
        <v>158.67861281955516</v>
      </c>
      <c r="E106" s="16">
        <f>SUM(D106:D109)</f>
        <v>353.45878275864129</v>
      </c>
      <c r="G106" s="6"/>
    </row>
    <row r="107" spans="1:7">
      <c r="A107" s="321" t="s">
        <v>34</v>
      </c>
      <c r="B107" s="172">
        <f>'[9]2019Fall_SoB700_TRANSCAP_2048'!$C$18/1000</f>
        <v>1986.6902365461219</v>
      </c>
      <c r="C107" s="172">
        <f>'[9]2019Fall_TrCap_CEC'!$C$18/1000</f>
        <v>1957.7861538403934</v>
      </c>
      <c r="D107" s="342">
        <f t="shared" si="5"/>
        <v>28.90408270572857</v>
      </c>
      <c r="E107" s="16"/>
      <c r="G107" s="6"/>
    </row>
    <row r="108" spans="1:7">
      <c r="A108" s="329" t="s">
        <v>47</v>
      </c>
      <c r="B108" s="172">
        <f>NPV('Financial Information'!$B$5,[12]System!$B$13:$AI$13)/1000*(1+'Financial Information'!$B$5)</f>
        <v>6924.2671265790241</v>
      </c>
      <c r="C108" s="172">
        <f>NPV('Financial Information'!$B$5,[17]System!$B$13:$AI$13)/1000*(1+'Financial Information'!$B$5)</f>
        <v>6770.3813448562632</v>
      </c>
      <c r="D108" s="342">
        <f t="shared" si="5"/>
        <v>153.88578172276084</v>
      </c>
      <c r="E108" s="16"/>
      <c r="G108" s="6"/>
    </row>
    <row r="109" spans="1:7">
      <c r="A109" s="321" t="s">
        <v>48</v>
      </c>
      <c r="B109" s="172">
        <f>'[9]2019Fall_SoB700_FOM_2048'!$C$18/1000</f>
        <v>130.83793921814879</v>
      </c>
      <c r="C109" s="172">
        <f>'[9]2019Fall_CEC_FOM'!$C$18/1000</f>
        <v>118.84763370755208</v>
      </c>
      <c r="D109" s="342">
        <f>B109-C109</f>
        <v>11.990305510596713</v>
      </c>
      <c r="E109" s="16"/>
      <c r="G109" s="6"/>
    </row>
    <row r="110" spans="1:7">
      <c r="A110" s="321" t="s">
        <v>50</v>
      </c>
      <c r="B110" s="172">
        <f>NPV('Financial Information'!$B$5,'[12]Fuel Cost'!$C$150:$AJ$150)/1000*(1+'Financial Information'!$B$5)</f>
        <v>22751.498310048952</v>
      </c>
      <c r="C110" s="172">
        <f>NPV('Financial Information'!$B$5,'[13]Fuel Cost'!$C$150:$AJ$150)/1000*(1+'Financial Information'!$B$5)</f>
        <v>21923.813485886065</v>
      </c>
      <c r="D110" s="342">
        <f t="shared" si="5"/>
        <v>827.6848241628868</v>
      </c>
      <c r="E110" s="16">
        <f>SUM(D110:D118)</f>
        <v>892.92298838035083</v>
      </c>
      <c r="G110" s="6"/>
    </row>
    <row r="111" spans="1:7">
      <c r="A111" s="321" t="s">
        <v>181</v>
      </c>
      <c r="B111" s="172">
        <f>NPV('Financial Information'!$B$5,'[12]VOM Cost'!$C$150:$AJ$150)/1000*(1+'Financial Information'!$B$5)</f>
        <v>3143.4554798685172</v>
      </c>
      <c r="C111" s="172">
        <f>NPV('Financial Information'!$B$5,'[13]VOM Cost'!$C$150:$AJ$150)/1000*(1+'Financial Information'!$B$5)</f>
        <v>3098.7381791752332</v>
      </c>
      <c r="D111" s="342">
        <f t="shared" si="5"/>
        <v>44.71730069328396</v>
      </c>
      <c r="E111" s="16"/>
      <c r="G111" s="6"/>
    </row>
    <row r="112" spans="1:7">
      <c r="A112" s="321" t="s">
        <v>182</v>
      </c>
      <c r="B112" s="172">
        <f>NPV('Financial Information'!$B$5,[12]System!$B$9:$AI$9)/1000*(1+'Financial Information'!$B$5)</f>
        <v>1.6610540932439621</v>
      </c>
      <c r="C112" s="172">
        <f>NPV('Financial Information'!$B$5,[13]System!$B$9:$AI$9)/1000*(1+'Financial Information'!$B$5)</f>
        <v>4.1469594296410577</v>
      </c>
      <c r="D112" s="342">
        <f t="shared" si="5"/>
        <v>-2.4859053363970958</v>
      </c>
      <c r="E112" s="16"/>
      <c r="G112" s="6"/>
    </row>
    <row r="113" spans="1:7">
      <c r="A113" s="321" t="s">
        <v>183</v>
      </c>
      <c r="B113" s="172">
        <f>NPV('Financial Information'!$B$5,[12]System!$B$7:$AI$7)/1000*(1+'Financial Information'!$B$5)</f>
        <v>0</v>
      </c>
      <c r="C113" s="172">
        <f>NPV('Financial Information'!$B$5,[13]System!$B$7:$AI$7)/1000*(1+'Financial Information'!$B$5)</f>
        <v>0</v>
      </c>
      <c r="D113" s="342">
        <f t="shared" si="5"/>
        <v>0</v>
      </c>
      <c r="E113" s="16"/>
      <c r="G113" s="6"/>
    </row>
    <row r="114" spans="1:7">
      <c r="A114" s="321" t="s">
        <v>184</v>
      </c>
      <c r="B114" s="172">
        <f>NPV('Financial Information'!$B$5,'[12]Start Cost'!$C$150:$AJ$150)/1000*(1+'Financial Information'!$B$5)</f>
        <v>421.02242501769456</v>
      </c>
      <c r="C114" s="172">
        <f>NPV('Financial Information'!$B$5,'[13]Start Cost'!$C$150:$AJ$150)/1000*(1+'Financial Information'!$B$5)</f>
        <v>399.83381350886964</v>
      </c>
      <c r="D114" s="342">
        <f>B114-C114</f>
        <v>21.18861150882492</v>
      </c>
      <c r="E114" s="16"/>
      <c r="G114" s="6"/>
    </row>
    <row r="115" spans="1:7">
      <c r="A115" s="321" t="s">
        <v>185</v>
      </c>
      <c r="B115" s="345">
        <f>NPV('Financial Information'!$B$5,'[12]Lime Cost'!$C$150:$AJ$150)/1000*(1+'Financial Information'!$B$5)</f>
        <v>10.668124160704371</v>
      </c>
      <c r="C115" s="345">
        <f>NPV('Financial Information'!$B$5,'[13]Lime Cost'!$C$150:$AJ$150)/1000*(1+'Financial Information'!$B$5)</f>
        <v>10.445725504824754</v>
      </c>
      <c r="D115" s="342">
        <f>B115-C115</f>
        <v>0.22239865587961738</v>
      </c>
      <c r="E115" s="16"/>
      <c r="G115" s="6"/>
    </row>
    <row r="116" spans="1:7">
      <c r="A116" s="321" t="s">
        <v>186</v>
      </c>
      <c r="B116" s="172">
        <f>NPV('Financial Information'!$B$5,'[12]Reagent Cost'!$C$150:$AJ$150)/1000*(1+'Financial Information'!$B$5)</f>
        <v>57.263948140603617</v>
      </c>
      <c r="C116" s="172">
        <f>NPV('Financial Information'!$B$5,'[13]Reagent Cost'!$C$150:$AJ$150)/1000*(1+'Financial Information'!$B$5)</f>
        <v>55.955008398023104</v>
      </c>
      <c r="D116" s="342">
        <f>B116-C116</f>
        <v>1.3089397425805132</v>
      </c>
      <c r="E116" s="16"/>
      <c r="G116" s="6"/>
    </row>
    <row r="117" spans="1:7">
      <c r="A117" s="321" t="s">
        <v>187</v>
      </c>
      <c r="B117" s="172">
        <f>NPV('Financial Information'!$B$5,'[12]NOx Cost'!$C$150:$AJ$150)/1000*(1+'Financial Information'!$B$5)</f>
        <v>6.1318057357322724</v>
      </c>
      <c r="C117" s="172">
        <f>NPV('Financial Information'!$B$5,'[13]NOx Cost'!$C$150:$AJ$150)/1000*(1+'Financial Information'!$B$5)</f>
        <v>5.8475564461534022</v>
      </c>
      <c r="D117" s="342">
        <f t="shared" si="5"/>
        <v>0.28424928957887019</v>
      </c>
      <c r="E117" s="16"/>
      <c r="G117" s="6"/>
    </row>
    <row r="118" spans="1:7" ht="15" thickBot="1">
      <c r="A118" s="325" t="s">
        <v>188</v>
      </c>
      <c r="B118" s="346">
        <f>NPV('Financial Information'!$B$5,'[12]SO2 Cost'!$C$150:$AJ$150)/1000*(1+'Financial Information'!$B$5)</f>
        <v>0.10891333873675717</v>
      </c>
      <c r="C118" s="346">
        <f>NPV('Financial Information'!$B$5,'[13]SO2 Cost'!$C$150:$AJ$150)/1000*(1+'Financial Information'!$B$5)</f>
        <v>0.10634367502341506</v>
      </c>
      <c r="D118" s="343">
        <f t="shared" si="5"/>
        <v>2.5696637133421074E-3</v>
      </c>
      <c r="E118" s="16"/>
      <c r="G118" s="6"/>
    </row>
    <row r="119" spans="1:7">
      <c r="A119" s="9" t="s">
        <v>49</v>
      </c>
      <c r="B119" s="35">
        <f>SUM(B26:B118)</f>
        <v>38494.436511594307</v>
      </c>
      <c r="C119" s="35">
        <f>SUM(C26:C118)</f>
        <v>37248.054740455314</v>
      </c>
      <c r="D119" s="35">
        <f>SUM(D2:D118)</f>
        <v>106.08348678947458</v>
      </c>
      <c r="E119" s="16"/>
      <c r="G119" s="6"/>
    </row>
    <row r="120" spans="1:7">
      <c r="A120" s="321" t="s">
        <v>51</v>
      </c>
      <c r="B120" s="172">
        <f>NPV('Financial Information'!$B$5,'[12]CO2 Cost'!$C$150:$AJ$150)/1000*(1+'Financial Information'!$B$5)</f>
        <v>6802.2234299569136</v>
      </c>
      <c r="C120" s="172">
        <f>NPV('Financial Information'!$B$5,'[13]CO2 Cost'!$C$150:$AJ$150)/1000*(1+'Financial Information'!$B$5)</f>
        <v>6544.6543072665318</v>
      </c>
      <c r="D120" s="342">
        <f>B120-C120</f>
        <v>257.56912269038185</v>
      </c>
      <c r="E120" s="16">
        <f>D120</f>
        <v>257.56912269038185</v>
      </c>
      <c r="F120" s="16"/>
      <c r="G120" s="6"/>
    </row>
    <row r="121" spans="1:7">
      <c r="A121" s="171" t="s">
        <v>189</v>
      </c>
      <c r="B121" s="172">
        <f>B119+B120</f>
        <v>45296.659941551217</v>
      </c>
      <c r="C121" s="172">
        <f>C119+C120</f>
        <v>43792.709047721844</v>
      </c>
      <c r="D121" s="172">
        <f>+D119+D120</f>
        <v>363.65260947985644</v>
      </c>
      <c r="E121" s="52">
        <f>SUM(E2:E120)</f>
        <v>363.65260947985632</v>
      </c>
      <c r="G121" s="6"/>
    </row>
    <row r="122" spans="1:7">
      <c r="E122" s="32"/>
      <c r="G122" s="6"/>
    </row>
    <row r="123" spans="1:7">
      <c r="A123" s="347" t="s">
        <v>179</v>
      </c>
      <c r="B123" s="348">
        <f>SUM(B2:B105)</f>
        <v>1320.4370816520175</v>
      </c>
      <c r="C123" s="348">
        <f>SUM(C2:C105)</f>
        <v>2460.7353660015347</v>
      </c>
      <c r="D123" s="349">
        <f>B123-C123</f>
        <v>-1140.2982843495172</v>
      </c>
      <c r="E123" s="32"/>
      <c r="G123" s="6"/>
    </row>
    <row r="124" spans="1:7">
      <c r="A124" s="350" t="s">
        <v>178</v>
      </c>
      <c r="B124" s="119">
        <f>SUM(B106:B109)</f>
        <v>10782.189369538097</v>
      </c>
      <c r="C124" s="119">
        <f>SUM(C106:C109)</f>
        <v>10428.730586779457</v>
      </c>
      <c r="D124" s="211">
        <f>B124-C124</f>
        <v>353.45878275864015</v>
      </c>
      <c r="E124" s="32"/>
      <c r="G124" s="6"/>
    </row>
    <row r="125" spans="1:7">
      <c r="A125" s="351" t="s">
        <v>113</v>
      </c>
      <c r="B125" s="212">
        <f>SUM(B110:B118)+B120</f>
        <v>33194.033490361093</v>
      </c>
      <c r="C125" s="212">
        <f>SUM(C110:C118)+C120</f>
        <v>32043.541379290371</v>
      </c>
      <c r="D125" s="213">
        <f>B125-C125</f>
        <v>1150.4921110707219</v>
      </c>
      <c r="G125" s="6"/>
    </row>
    <row r="126" spans="1:7">
      <c r="B126" s="16">
        <f>SUM(B123:B125)</f>
        <v>45296.659941551203</v>
      </c>
      <c r="C126" s="16">
        <f>SUM(C123:C125)</f>
        <v>44933.007332071364</v>
      </c>
      <c r="D126" s="16">
        <f>SUM(D123:D125)</f>
        <v>363.65260947984484</v>
      </c>
      <c r="G126" s="6"/>
    </row>
    <row r="127" spans="1:7">
      <c r="G127" s="6"/>
    </row>
    <row r="128" spans="1:7">
      <c r="B128" s="216"/>
      <c r="C128" s="216"/>
      <c r="D128" s="23"/>
      <c r="E128" s="23"/>
    </row>
    <row r="129" spans="1:5">
      <c r="A129" s="36"/>
      <c r="B129" s="16"/>
      <c r="C129" s="16"/>
      <c r="D129" s="16"/>
    </row>
    <row r="130" spans="1:5">
      <c r="B130" s="352"/>
      <c r="C130" s="352"/>
    </row>
    <row r="131" spans="1:5">
      <c r="B131" s="352"/>
      <c r="C131" s="352"/>
      <c r="E131" s="24"/>
    </row>
  </sheetData>
  <pageMargins left="0.7" right="0.7" top="0.75" bottom="0.75" header="0.3" footer="0.3"/>
  <pageSetup scale="8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X131"/>
  <sheetViews>
    <sheetView zoomScale="90" zoomScaleNormal="90" workbookViewId="0">
      <selection sqref="A1:D105"/>
    </sheetView>
  </sheetViews>
  <sheetFormatPr defaultColWidth="8.90625" defaultRowHeight="14.5"/>
  <cols>
    <col min="1" max="1" width="47.6328125" style="6" bestFit="1" customWidth="1"/>
    <col min="2" max="2" width="10.54296875" style="6" bestFit="1" customWidth="1"/>
    <col min="3" max="3" width="23" style="6" bestFit="1" customWidth="1"/>
    <col min="4" max="4" width="30.08984375" style="6" bestFit="1" customWidth="1"/>
    <col min="5" max="5" width="9.453125" style="6" bestFit="1" customWidth="1"/>
    <col min="6" max="6" width="8.36328125" style="6" bestFit="1" customWidth="1"/>
    <col min="7" max="7" width="9" style="25" bestFit="1" customWidth="1"/>
    <col min="8" max="8" width="9" style="25" customWidth="1"/>
    <col min="9" max="9" width="9.08984375" style="6"/>
    <col min="10" max="10" width="46.08984375" style="6" bestFit="1" customWidth="1"/>
    <col min="11" max="11" width="8.36328125" style="6" bestFit="1" customWidth="1"/>
    <col min="12" max="12" width="9.6328125" style="6" bestFit="1" customWidth="1"/>
    <col min="13" max="13" width="16.6328125" style="6" bestFit="1" customWidth="1"/>
    <col min="14" max="14" width="7.90625" style="6" bestFit="1" customWidth="1"/>
    <col min="15" max="15" width="7.1796875" style="6" customWidth="1"/>
    <col min="16" max="16" width="9" style="6" bestFit="1" customWidth="1"/>
    <col min="17" max="17" width="8.90625" style="6"/>
    <col min="18" max="18" width="46.08984375" style="6" bestFit="1" customWidth="1"/>
    <col min="19" max="20" width="10" style="6" bestFit="1" customWidth="1"/>
    <col min="21" max="21" width="16.6328125" style="6" bestFit="1" customWidth="1"/>
    <col min="22" max="22" width="7.90625" style="6" bestFit="1" customWidth="1"/>
    <col min="23" max="23" width="7.1796875" style="6" customWidth="1"/>
    <col min="24" max="24" width="9" style="6" bestFit="1" customWidth="1"/>
    <col min="25" max="16384" width="8.90625" style="6"/>
  </cols>
  <sheetData>
    <row r="1" spans="1:24" ht="15" thickBot="1">
      <c r="A1" s="314" t="s">
        <v>231</v>
      </c>
      <c r="B1" s="315" t="s">
        <v>161</v>
      </c>
      <c r="C1" s="315" t="s">
        <v>201</v>
      </c>
      <c r="D1" s="316" t="str">
        <f>C1&amp;" Savings"</f>
        <v>Clean Energy Connection Savings</v>
      </c>
      <c r="F1" s="33"/>
      <c r="G1" s="34"/>
      <c r="H1" s="34"/>
      <c r="P1" s="25"/>
      <c r="X1" s="25" t="s">
        <v>112</v>
      </c>
    </row>
    <row r="2" spans="1:24">
      <c r="A2" s="317" t="s">
        <v>136</v>
      </c>
      <c r="B2" s="318"/>
      <c r="C2" s="319">
        <f>CEC_2022!A2/1000</f>
        <v>191.26908306813931</v>
      </c>
      <c r="D2" s="320">
        <f>B2-C2</f>
        <v>-191.26908306813931</v>
      </c>
      <c r="E2" s="216">
        <f>SUM(D2:D25)</f>
        <v>-1140.2982843495176</v>
      </c>
      <c r="F2" s="33"/>
      <c r="G2" s="34"/>
      <c r="H2" s="34"/>
      <c r="P2" s="25"/>
      <c r="X2" s="25"/>
    </row>
    <row r="3" spans="1:24">
      <c r="A3" s="321" t="s">
        <v>137</v>
      </c>
      <c r="B3" s="322"/>
      <c r="C3" s="323">
        <f>CEC_2022!A3/1000</f>
        <v>8.0267072871054399</v>
      </c>
      <c r="D3" s="324">
        <f t="shared" ref="D3:D25" si="0">B3-C3</f>
        <v>-8.0267072871054399</v>
      </c>
      <c r="F3" s="33"/>
      <c r="G3" s="34"/>
      <c r="H3" s="34"/>
      <c r="P3" s="25"/>
      <c r="X3" s="25"/>
    </row>
    <row r="4" spans="1:24">
      <c r="A4" s="321" t="s">
        <v>138</v>
      </c>
      <c r="B4" s="322"/>
      <c r="C4" s="323">
        <f>CEC_2022!A4/1000</f>
        <v>4.1771082843542722</v>
      </c>
      <c r="D4" s="324">
        <f t="shared" si="0"/>
        <v>-4.1771082843542722</v>
      </c>
      <c r="F4" s="33"/>
      <c r="G4" s="34"/>
      <c r="H4" s="34"/>
      <c r="P4" s="25"/>
      <c r="X4" s="25"/>
    </row>
    <row r="5" spans="1:24">
      <c r="A5" s="380" t="s">
        <v>139</v>
      </c>
      <c r="B5" s="404"/>
      <c r="C5" s="405">
        <f>CEC_2022!A5/1000</f>
        <v>11.875399225644381</v>
      </c>
      <c r="D5" s="406">
        <f t="shared" si="0"/>
        <v>-11.875399225644381</v>
      </c>
      <c r="F5" s="33"/>
      <c r="G5" s="34"/>
      <c r="H5" s="34"/>
      <c r="P5" s="25"/>
      <c r="X5" s="25"/>
    </row>
    <row r="6" spans="1:24">
      <c r="A6" s="321" t="s">
        <v>140</v>
      </c>
      <c r="B6" s="322"/>
      <c r="C6" s="323">
        <f>CEC_2022!A6/1000</f>
        <v>19.889076197292866</v>
      </c>
      <c r="D6" s="324">
        <f t="shared" si="0"/>
        <v>-19.889076197292866</v>
      </c>
      <c r="F6" s="33"/>
      <c r="G6" s="34"/>
      <c r="H6" s="34"/>
      <c r="P6" s="25"/>
      <c r="X6" s="25"/>
    </row>
    <row r="7" spans="1:24">
      <c r="A7" s="321" t="s">
        <v>141</v>
      </c>
      <c r="B7" s="322"/>
      <c r="C7" s="323">
        <f>CEC_2022!A7/1000</f>
        <v>21.347848303116155</v>
      </c>
      <c r="D7" s="324">
        <f t="shared" si="0"/>
        <v>-21.347848303116155</v>
      </c>
      <c r="F7" s="33"/>
      <c r="G7" s="34"/>
      <c r="H7" s="34"/>
      <c r="P7" s="25"/>
      <c r="X7" s="25"/>
    </row>
    <row r="8" spans="1:24">
      <c r="A8" s="321" t="s">
        <v>142</v>
      </c>
      <c r="B8" s="322"/>
      <c r="C8" s="323">
        <f>CEC_2022!A8/1000</f>
        <v>1.9025686873718954</v>
      </c>
      <c r="D8" s="324">
        <f t="shared" si="0"/>
        <v>-1.9025686873718954</v>
      </c>
      <c r="F8" s="33"/>
      <c r="G8" s="34"/>
      <c r="H8" s="34"/>
      <c r="P8" s="25"/>
      <c r="X8" s="25"/>
    </row>
    <row r="9" spans="1:24" ht="15" thickBot="1">
      <c r="A9" s="325" t="s">
        <v>143</v>
      </c>
      <c r="B9" s="326"/>
      <c r="C9" s="327">
        <f>CEC_2022!A9/1000</f>
        <v>0.42602440951546988</v>
      </c>
      <c r="D9" s="328">
        <f t="shared" si="0"/>
        <v>-0.42602440951546988</v>
      </c>
      <c r="F9" s="33"/>
      <c r="G9" s="34"/>
      <c r="H9" s="34"/>
      <c r="P9" s="25"/>
      <c r="X9" s="25"/>
    </row>
    <row r="10" spans="1:24">
      <c r="A10" s="317" t="s">
        <v>144</v>
      </c>
      <c r="B10" s="318"/>
      <c r="C10" s="319">
        <f>CEC_2023!A2/1000</f>
        <v>328.32876164617068</v>
      </c>
      <c r="D10" s="320">
        <f>B10-C10</f>
        <v>-328.32876164617068</v>
      </c>
      <c r="F10" s="33"/>
      <c r="G10" s="34"/>
      <c r="H10" s="34"/>
      <c r="P10" s="25"/>
      <c r="X10" s="25"/>
    </row>
    <row r="11" spans="1:24">
      <c r="A11" s="321" t="s">
        <v>145</v>
      </c>
      <c r="B11" s="322"/>
      <c r="C11" s="323">
        <f>CEC_2023!A3/1000</f>
        <v>14.738395644554535</v>
      </c>
      <c r="D11" s="324">
        <f t="shared" si="0"/>
        <v>-14.738395644554535</v>
      </c>
      <c r="F11" s="33"/>
      <c r="G11" s="34"/>
      <c r="H11" s="34"/>
      <c r="P11" s="25"/>
      <c r="X11" s="25"/>
    </row>
    <row r="12" spans="1:24">
      <c r="A12" s="321" t="s">
        <v>146</v>
      </c>
      <c r="B12" s="322"/>
      <c r="C12" s="323">
        <f>CEC_2023!A4/1000</f>
        <v>7.2693265420457012</v>
      </c>
      <c r="D12" s="324">
        <f t="shared" si="0"/>
        <v>-7.2693265420457012</v>
      </c>
      <c r="F12" s="33"/>
      <c r="G12" s="34"/>
      <c r="H12" s="34"/>
      <c r="P12" s="25"/>
      <c r="X12" s="25"/>
    </row>
    <row r="13" spans="1:24">
      <c r="A13" s="380" t="s">
        <v>147</v>
      </c>
      <c r="B13" s="404"/>
      <c r="C13" s="405">
        <f>CEC_2023!A5/1000</f>
        <v>22.704605829723096</v>
      </c>
      <c r="D13" s="406">
        <f t="shared" si="0"/>
        <v>-22.704605829723096</v>
      </c>
      <c r="F13" s="33"/>
      <c r="G13" s="34"/>
      <c r="H13" s="34"/>
      <c r="P13" s="25"/>
      <c r="X13" s="25"/>
    </row>
    <row r="14" spans="1:24">
      <c r="A14" s="321" t="s">
        <v>148</v>
      </c>
      <c r="B14" s="322"/>
      <c r="C14" s="323">
        <f>CEC_2023!A6/1000</f>
        <v>37.851128208366632</v>
      </c>
      <c r="D14" s="324">
        <f t="shared" si="0"/>
        <v>-37.851128208366632</v>
      </c>
      <c r="F14" s="33"/>
      <c r="G14" s="34"/>
      <c r="H14" s="34"/>
      <c r="P14" s="25"/>
      <c r="X14" s="25"/>
    </row>
    <row r="15" spans="1:24">
      <c r="A15" s="321" t="s">
        <v>149</v>
      </c>
      <c r="B15" s="322"/>
      <c r="C15" s="323">
        <f>CEC_2023!A7/1000</f>
        <v>39.119262856534156</v>
      </c>
      <c r="D15" s="324">
        <f t="shared" si="0"/>
        <v>-39.119262856534156</v>
      </c>
      <c r="F15" s="33"/>
      <c r="G15" s="34"/>
      <c r="H15" s="34"/>
      <c r="P15" s="25"/>
      <c r="X15" s="25"/>
    </row>
    <row r="16" spans="1:24">
      <c r="A16" s="321" t="s">
        <v>150</v>
      </c>
      <c r="B16" s="322"/>
      <c r="C16" s="323">
        <f>CEC_2023!A8/1000</f>
        <v>3.6375258877588266</v>
      </c>
      <c r="D16" s="324">
        <f t="shared" si="0"/>
        <v>-3.6375258877588266</v>
      </c>
      <c r="F16" s="33"/>
      <c r="G16" s="34"/>
      <c r="H16" s="34"/>
      <c r="P16" s="25"/>
      <c r="X16" s="25"/>
    </row>
    <row r="17" spans="1:24" ht="15" thickBot="1">
      <c r="A17" s="325" t="s">
        <v>151</v>
      </c>
      <c r="B17" s="326"/>
      <c r="C17" s="327">
        <f>CEC_2023!A9/1000</f>
        <v>0.7859002771207596</v>
      </c>
      <c r="D17" s="328">
        <f t="shared" si="0"/>
        <v>-0.7859002771207596</v>
      </c>
      <c r="F17" s="33"/>
      <c r="G17" s="34"/>
      <c r="H17" s="34"/>
      <c r="P17" s="25"/>
      <c r="X17" s="25"/>
    </row>
    <row r="18" spans="1:24">
      <c r="A18" s="317" t="s">
        <v>152</v>
      </c>
      <c r="B18" s="318"/>
      <c r="C18" s="319">
        <f>CEC_2024!A2/1000</f>
        <v>306.95378984074983</v>
      </c>
      <c r="D18" s="320">
        <f>B18-C18</f>
        <v>-306.95378984074983</v>
      </c>
      <c r="F18" s="33"/>
      <c r="G18" s="34"/>
      <c r="H18" s="34"/>
      <c r="P18" s="25"/>
      <c r="X18" s="25"/>
    </row>
    <row r="19" spans="1:24">
      <c r="A19" s="321" t="s">
        <v>153</v>
      </c>
      <c r="B19" s="322"/>
      <c r="C19" s="323">
        <f>CEC_2024!A3/1000</f>
        <v>14.072301078252696</v>
      </c>
      <c r="D19" s="324">
        <f t="shared" si="0"/>
        <v>-14.072301078252696</v>
      </c>
      <c r="F19" s="33"/>
      <c r="G19" s="34"/>
      <c r="H19" s="34"/>
      <c r="P19" s="25"/>
      <c r="X19" s="25"/>
    </row>
    <row r="20" spans="1:24">
      <c r="A20" s="321" t="s">
        <v>154</v>
      </c>
      <c r="B20" s="322"/>
      <c r="C20" s="323">
        <f>CEC_2024!A4/1000</f>
        <v>6.5436031216416541</v>
      </c>
      <c r="D20" s="324">
        <f t="shared" si="0"/>
        <v>-6.5436031216416541</v>
      </c>
      <c r="F20" s="33"/>
      <c r="G20" s="34"/>
      <c r="H20" s="34"/>
      <c r="P20" s="25"/>
      <c r="X20" s="25"/>
    </row>
    <row r="21" spans="1:24">
      <c r="A21" s="380" t="s">
        <v>155</v>
      </c>
      <c r="B21" s="404"/>
      <c r="C21" s="405">
        <f>CEC_2024!A5/1000</f>
        <v>21.704496669463509</v>
      </c>
      <c r="D21" s="406">
        <f t="shared" si="0"/>
        <v>-21.704496669463509</v>
      </c>
      <c r="F21" s="33"/>
      <c r="G21" s="34"/>
      <c r="H21" s="34"/>
      <c r="P21" s="25"/>
      <c r="X21" s="25"/>
    </row>
    <row r="22" spans="1:24">
      <c r="A22" s="321" t="s">
        <v>156</v>
      </c>
      <c r="B22" s="322"/>
      <c r="C22" s="323">
        <f>CEC_2024!A6/1000</f>
        <v>36.05068262307573</v>
      </c>
      <c r="D22" s="324">
        <f t="shared" si="0"/>
        <v>-36.05068262307573</v>
      </c>
      <c r="F22" s="33"/>
      <c r="G22" s="34"/>
      <c r="H22" s="34"/>
      <c r="P22" s="25"/>
      <c r="X22" s="25"/>
    </row>
    <row r="23" spans="1:24">
      <c r="A23" s="321" t="s">
        <v>157</v>
      </c>
      <c r="B23" s="322"/>
      <c r="C23" s="323">
        <f>CEC_2024!A7/1000</f>
        <v>37.396108822553757</v>
      </c>
      <c r="D23" s="324">
        <f t="shared" si="0"/>
        <v>-37.396108822553757</v>
      </c>
      <c r="F23" s="33"/>
      <c r="G23" s="34"/>
      <c r="H23" s="34"/>
      <c r="P23" s="25"/>
      <c r="X23" s="25"/>
    </row>
    <row r="24" spans="1:24">
      <c r="A24" s="321" t="s">
        <v>158</v>
      </c>
      <c r="B24" s="322"/>
      <c r="C24" s="323">
        <f>CEC_2024!A8/1000</f>
        <v>3.4772974747085321</v>
      </c>
      <c r="D24" s="324">
        <f t="shared" si="0"/>
        <v>-3.4772974747085321</v>
      </c>
      <c r="F24" s="33"/>
      <c r="G24" s="34"/>
      <c r="H24" s="34"/>
      <c r="P24" s="25"/>
      <c r="X24" s="25"/>
    </row>
    <row r="25" spans="1:24" ht="15" thickBot="1">
      <c r="A25" s="325" t="s">
        <v>159</v>
      </c>
      <c r="B25" s="326"/>
      <c r="C25" s="327">
        <f>CEC_2024!A9/1000</f>
        <v>0.75128236425789607</v>
      </c>
      <c r="D25" s="328">
        <f t="shared" si="0"/>
        <v>-0.75128236425789607</v>
      </c>
      <c r="F25" s="33"/>
      <c r="G25" s="34"/>
      <c r="H25" s="34"/>
      <c r="P25" s="25"/>
      <c r="X25" s="25"/>
    </row>
    <row r="26" spans="1:24">
      <c r="A26" s="329" t="s">
        <v>114</v>
      </c>
      <c r="B26" s="330">
        <f>C26</f>
        <v>107.07477379559242</v>
      </c>
      <c r="C26" s="330">
        <f>Santa_Fe!A$2/1000</f>
        <v>107.07477379559242</v>
      </c>
      <c r="D26" s="63">
        <f>B26-C26</f>
        <v>0</v>
      </c>
      <c r="E26" s="16">
        <f>SUM(D26:D33)</f>
        <v>0</v>
      </c>
      <c r="F26" s="16"/>
      <c r="G26" s="6"/>
      <c r="H26" s="6"/>
    </row>
    <row r="27" spans="1:24">
      <c r="A27" s="321" t="s">
        <v>115</v>
      </c>
      <c r="B27" s="330">
        <f t="shared" ref="B27:B49" si="1">C27</f>
        <v>5.2259381883184615</v>
      </c>
      <c r="C27" s="330">
        <f>Santa_Fe!A$3/1000</f>
        <v>5.2259381883184615</v>
      </c>
      <c r="D27" s="65">
        <f t="shared" ref="D27:D49" si="2">B27-C27</f>
        <v>0</v>
      </c>
      <c r="E27" s="16"/>
      <c r="G27" s="6"/>
      <c r="H27" s="6"/>
    </row>
    <row r="28" spans="1:24">
      <c r="A28" s="321" t="s">
        <v>116</v>
      </c>
      <c r="B28" s="330">
        <f t="shared" si="1"/>
        <v>2.367014372734261</v>
      </c>
      <c r="C28" s="330">
        <f>Santa_Fe!A$4/1000</f>
        <v>2.367014372734261</v>
      </c>
      <c r="D28" s="65">
        <f t="shared" si="2"/>
        <v>0</v>
      </c>
      <c r="E28" s="16"/>
      <c r="G28" s="6"/>
      <c r="H28" s="6"/>
    </row>
    <row r="29" spans="1:24">
      <c r="A29" s="380" t="s">
        <v>117</v>
      </c>
      <c r="B29" s="407">
        <f t="shared" si="1"/>
        <v>0</v>
      </c>
      <c r="C29" s="405">
        <f>Santa_Fe!A$5/1000</f>
        <v>0</v>
      </c>
      <c r="D29" s="406">
        <f t="shared" si="2"/>
        <v>0</v>
      </c>
      <c r="E29" s="16"/>
      <c r="G29" s="6"/>
      <c r="H29" s="6"/>
    </row>
    <row r="30" spans="1:24">
      <c r="A30" s="321" t="s">
        <v>118</v>
      </c>
      <c r="B30" s="330">
        <f t="shared" si="1"/>
        <v>17.439635455975765</v>
      </c>
      <c r="C30" s="330">
        <f>Santa_Fe!A$6/1000</f>
        <v>17.439635455975765</v>
      </c>
      <c r="D30" s="65">
        <f t="shared" si="2"/>
        <v>0</v>
      </c>
      <c r="E30" s="16"/>
      <c r="G30" s="6"/>
      <c r="H30" s="6"/>
    </row>
    <row r="31" spans="1:24">
      <c r="A31" s="321" t="s">
        <v>119</v>
      </c>
      <c r="B31" s="330">
        <f t="shared" si="1"/>
        <v>20.493313805553452</v>
      </c>
      <c r="C31" s="330">
        <f>Santa_Fe!A$7/1000</f>
        <v>20.493313805553452</v>
      </c>
      <c r="D31" s="65">
        <f t="shared" si="2"/>
        <v>0</v>
      </c>
      <c r="E31" s="16"/>
      <c r="G31" s="6"/>
      <c r="H31" s="6"/>
    </row>
    <row r="32" spans="1:24">
      <c r="A32" s="321" t="s">
        <v>120</v>
      </c>
      <c r="B32" s="330">
        <f t="shared" si="1"/>
        <v>2.6169955465586594</v>
      </c>
      <c r="C32" s="330">
        <f>Santa_Fe!A$8/1000</f>
        <v>2.6169955465586594</v>
      </c>
      <c r="D32" s="65">
        <f t="shared" si="2"/>
        <v>0</v>
      </c>
      <c r="E32" s="16"/>
      <c r="G32" s="6"/>
      <c r="H32" s="6"/>
    </row>
    <row r="33" spans="1:8" ht="15" thickBot="1">
      <c r="A33" s="325" t="s">
        <v>121</v>
      </c>
      <c r="B33" s="331">
        <f t="shared" si="1"/>
        <v>0.41564188604853647</v>
      </c>
      <c r="C33" s="332">
        <f>Santa_Fe!A$9/1000</f>
        <v>0.41564188604853647</v>
      </c>
      <c r="D33" s="333">
        <f t="shared" si="2"/>
        <v>0</v>
      </c>
      <c r="E33" s="334"/>
      <c r="G33" s="6"/>
      <c r="H33" s="6"/>
    </row>
    <row r="34" spans="1:8">
      <c r="A34" s="317" t="s">
        <v>122</v>
      </c>
      <c r="B34" s="335">
        <f t="shared" si="1"/>
        <v>96.73351928256541</v>
      </c>
      <c r="C34" s="335">
        <f>Twin_Rivers!A$2/1000</f>
        <v>96.73351928256541</v>
      </c>
      <c r="D34" s="336">
        <f t="shared" si="2"/>
        <v>0</v>
      </c>
      <c r="E34" s="16">
        <f>SUM(D34:D41)</f>
        <v>0</v>
      </c>
      <c r="G34" s="6"/>
      <c r="H34" s="6"/>
    </row>
    <row r="35" spans="1:8">
      <c r="A35" s="321" t="s">
        <v>123</v>
      </c>
      <c r="B35" s="330">
        <f t="shared" si="1"/>
        <v>4.3602151175681039</v>
      </c>
      <c r="C35" s="330">
        <f>Twin_Rivers!A$3/1000</f>
        <v>4.3602151175681039</v>
      </c>
      <c r="D35" s="65">
        <f t="shared" si="2"/>
        <v>0</v>
      </c>
      <c r="E35" s="16"/>
      <c r="G35" s="6"/>
      <c r="H35" s="6"/>
    </row>
    <row r="36" spans="1:8">
      <c r="A36" s="321" t="s">
        <v>124</v>
      </c>
      <c r="B36" s="330">
        <f t="shared" si="1"/>
        <v>2.1508045495741159</v>
      </c>
      <c r="C36" s="330">
        <f>Twin_Rivers!A$4/1000</f>
        <v>2.1508045495741159</v>
      </c>
      <c r="D36" s="65">
        <f t="shared" si="2"/>
        <v>0</v>
      </c>
      <c r="E36" s="16"/>
      <c r="G36" s="6"/>
      <c r="H36" s="6"/>
    </row>
    <row r="37" spans="1:8">
      <c r="A37" s="380" t="s">
        <v>125</v>
      </c>
      <c r="B37" s="407">
        <f t="shared" si="1"/>
        <v>4.7500995093539187</v>
      </c>
      <c r="C37" s="405">
        <f>Twin_Rivers!A$5/1000</f>
        <v>4.7500995093539187</v>
      </c>
      <c r="D37" s="406">
        <f t="shared" si="2"/>
        <v>0</v>
      </c>
      <c r="E37" s="16"/>
      <c r="G37" s="6"/>
      <c r="H37" s="6"/>
    </row>
    <row r="38" spans="1:8">
      <c r="A38" s="321" t="s">
        <v>126</v>
      </c>
      <c r="B38" s="330">
        <f t="shared" si="1"/>
        <v>16.048076811603917</v>
      </c>
      <c r="C38" s="330">
        <f>Twin_Rivers!A$6/1000</f>
        <v>16.048076811603917</v>
      </c>
      <c r="D38" s="65">
        <f t="shared" si="2"/>
        <v>0</v>
      </c>
      <c r="E38" s="16"/>
      <c r="G38" s="6"/>
      <c r="H38" s="6"/>
    </row>
    <row r="39" spans="1:8">
      <c r="A39" s="321" t="s">
        <v>127</v>
      </c>
      <c r="B39" s="330">
        <f t="shared" si="1"/>
        <v>17.606367664101597</v>
      </c>
      <c r="C39" s="330">
        <f>Twin_Rivers!A$7/1000</f>
        <v>17.606367664101597</v>
      </c>
      <c r="D39" s="65">
        <f t="shared" si="2"/>
        <v>0</v>
      </c>
      <c r="E39" s="16"/>
      <c r="G39" s="6"/>
      <c r="H39" s="6"/>
    </row>
    <row r="40" spans="1:8">
      <c r="A40" s="321" t="s">
        <v>128</v>
      </c>
      <c r="B40" s="330">
        <f t="shared" si="1"/>
        <v>2.4264302612241475</v>
      </c>
      <c r="C40" s="330">
        <f>Twin_Rivers!A$8/1000</f>
        <v>2.4264302612241475</v>
      </c>
      <c r="D40" s="65">
        <f t="shared" si="2"/>
        <v>0</v>
      </c>
      <c r="E40" s="16"/>
      <c r="G40" s="6"/>
      <c r="H40" s="6"/>
    </row>
    <row r="41" spans="1:8" ht="15" thickBot="1">
      <c r="A41" s="325" t="s">
        <v>129</v>
      </c>
      <c r="B41" s="331">
        <f t="shared" si="1"/>
        <v>0.35578564974786198</v>
      </c>
      <c r="C41" s="332">
        <f>Twin_Rivers!A$9/1000</f>
        <v>0.35578564974786198</v>
      </c>
      <c r="D41" s="333">
        <f t="shared" si="2"/>
        <v>0</v>
      </c>
      <c r="E41" s="334"/>
      <c r="G41" s="6"/>
      <c r="H41" s="6"/>
    </row>
    <row r="42" spans="1:8">
      <c r="A42" s="317" t="s">
        <v>213</v>
      </c>
      <c r="B42" s="335">
        <f t="shared" si="1"/>
        <v>102.1714837434333</v>
      </c>
      <c r="C42" s="335">
        <f>Duette!A$2/1000</f>
        <v>102.1714837434333</v>
      </c>
      <c r="D42" s="336">
        <f t="shared" si="2"/>
        <v>0</v>
      </c>
      <c r="E42" s="16">
        <f>SUM(D42:D49)</f>
        <v>0</v>
      </c>
      <c r="G42" s="6"/>
      <c r="H42" s="6"/>
    </row>
    <row r="43" spans="1:8">
      <c r="A43" s="321" t="s">
        <v>214</v>
      </c>
      <c r="B43" s="330">
        <f t="shared" si="1"/>
        <v>4.164130671522936</v>
      </c>
      <c r="C43" s="330">
        <f>Duette!A$3/1000</f>
        <v>4.164130671522936</v>
      </c>
      <c r="D43" s="65">
        <f t="shared" si="2"/>
        <v>0</v>
      </c>
      <c r="E43" s="16"/>
      <c r="G43" s="6"/>
      <c r="H43" s="6"/>
    </row>
    <row r="44" spans="1:8">
      <c r="A44" s="321" t="s">
        <v>215</v>
      </c>
      <c r="B44" s="330">
        <f t="shared" si="1"/>
        <v>2.2061065967588469</v>
      </c>
      <c r="C44" s="330">
        <f>Duette!A$4/1000</f>
        <v>2.2061065967588469</v>
      </c>
      <c r="D44" s="65">
        <f t="shared" si="2"/>
        <v>0</v>
      </c>
      <c r="E44" s="16"/>
      <c r="G44" s="6"/>
      <c r="H44" s="6"/>
    </row>
    <row r="45" spans="1:8">
      <c r="A45" s="380" t="s">
        <v>216</v>
      </c>
      <c r="B45" s="407">
        <f t="shared" si="1"/>
        <v>0</v>
      </c>
      <c r="C45" s="405">
        <f>Duette!A$5/1000</f>
        <v>0</v>
      </c>
      <c r="D45" s="406">
        <f t="shared" si="2"/>
        <v>0</v>
      </c>
      <c r="E45" s="16"/>
      <c r="G45" s="6"/>
      <c r="H45" s="6"/>
    </row>
    <row r="46" spans="1:8">
      <c r="A46" s="321" t="s">
        <v>217</v>
      </c>
      <c r="B46" s="330">
        <f t="shared" si="1"/>
        <v>10.13220679393088</v>
      </c>
      <c r="C46" s="330">
        <f>Duette!A$6/1000</f>
        <v>10.13220679393088</v>
      </c>
      <c r="D46" s="65">
        <f t="shared" si="2"/>
        <v>0</v>
      </c>
      <c r="E46" s="16"/>
      <c r="G46" s="6"/>
      <c r="H46" s="6"/>
    </row>
    <row r="47" spans="1:8">
      <c r="A47" s="321" t="s">
        <v>218</v>
      </c>
      <c r="B47" s="330">
        <f t="shared" si="1"/>
        <v>2.9081176013437666</v>
      </c>
      <c r="C47" s="330">
        <f>Duette!A$7/1000</f>
        <v>2.9081176013437666</v>
      </c>
      <c r="D47" s="65">
        <f t="shared" si="2"/>
        <v>0</v>
      </c>
      <c r="E47" s="16"/>
      <c r="G47" s="6"/>
      <c r="H47" s="6"/>
    </row>
    <row r="48" spans="1:8">
      <c r="A48" s="321" t="s">
        <v>219</v>
      </c>
      <c r="B48" s="330">
        <f t="shared" si="1"/>
        <v>0.33217224186838656</v>
      </c>
      <c r="C48" s="330">
        <f>Duette!A$8/1000</f>
        <v>0.33217224186838656</v>
      </c>
      <c r="D48" s="65">
        <f t="shared" si="2"/>
        <v>0</v>
      </c>
      <c r="E48" s="16"/>
      <c r="G48" s="6"/>
      <c r="H48" s="6"/>
    </row>
    <row r="49" spans="1:8" ht="15" thickBot="1">
      <c r="A49" s="325" t="s">
        <v>220</v>
      </c>
      <c r="B49" s="331">
        <f t="shared" si="1"/>
        <v>5.8750816760322677E-2</v>
      </c>
      <c r="C49" s="332">
        <f>Duette!A$9/1000</f>
        <v>5.8750816760322677E-2</v>
      </c>
      <c r="D49" s="333">
        <f t="shared" si="2"/>
        <v>0</v>
      </c>
      <c r="E49" s="334"/>
      <c r="G49" s="6"/>
      <c r="H49" s="6"/>
    </row>
    <row r="50" spans="1:8">
      <c r="A50" s="329" t="s">
        <v>221</v>
      </c>
      <c r="B50" s="335">
        <f>Charlie_Creek!$A$2/1000</f>
        <v>89.888835522409764</v>
      </c>
      <c r="C50" s="335">
        <f>Charlie_Creek!$A$2/1000</f>
        <v>89.888835522409764</v>
      </c>
      <c r="D50" s="63">
        <f>B50-C50</f>
        <v>0</v>
      </c>
      <c r="E50" s="15">
        <f>SUM(D50:D57)</f>
        <v>0</v>
      </c>
      <c r="F50" s="16"/>
      <c r="G50" s="6"/>
      <c r="H50" s="6"/>
    </row>
    <row r="51" spans="1:8">
      <c r="A51" s="321" t="s">
        <v>222</v>
      </c>
      <c r="B51" s="337">
        <f>Charlie_Creek!$A$3/1000</f>
        <v>3.3609913149940667</v>
      </c>
      <c r="C51" s="337">
        <f>Charlie_Creek!$A$3/1000</f>
        <v>3.3609913149940667</v>
      </c>
      <c r="D51" s="65">
        <f t="shared" ref="D51:D65" si="3">B51-C51</f>
        <v>0</v>
      </c>
      <c r="E51" s="15"/>
      <c r="G51" s="6"/>
      <c r="H51" s="6"/>
    </row>
    <row r="52" spans="1:8">
      <c r="A52" s="321" t="s">
        <v>223</v>
      </c>
      <c r="B52" s="337">
        <f>Charlie_Creek!$A$4/1000</f>
        <v>1.9920951833168852</v>
      </c>
      <c r="C52" s="337">
        <f>Charlie_Creek!$A$4/1000</f>
        <v>1.9920951833168852</v>
      </c>
      <c r="D52" s="65">
        <f t="shared" si="3"/>
        <v>0</v>
      </c>
      <c r="E52" s="15"/>
      <c r="G52" s="6"/>
      <c r="H52" s="6"/>
    </row>
    <row r="53" spans="1:8">
      <c r="A53" s="380" t="s">
        <v>224</v>
      </c>
      <c r="B53" s="407">
        <f>Charlie_Creek!$A$5/1000</f>
        <v>6.8089901767976535</v>
      </c>
      <c r="C53" s="405">
        <f>Charlie_Creek!$A$5/1000</f>
        <v>6.8089901767976535</v>
      </c>
      <c r="D53" s="406">
        <f t="shared" si="3"/>
        <v>0</v>
      </c>
      <c r="E53" s="15"/>
      <c r="G53" s="6"/>
      <c r="H53" s="6"/>
    </row>
    <row r="54" spans="1:8">
      <c r="A54" s="321" t="s">
        <v>225</v>
      </c>
      <c r="B54" s="337">
        <f>Charlie_Creek!$A$6/1000</f>
        <v>8.2929586245951921</v>
      </c>
      <c r="C54" s="337">
        <f>Charlie_Creek!$A$6/1000</f>
        <v>8.2929586245951921</v>
      </c>
      <c r="D54" s="65">
        <f t="shared" si="3"/>
        <v>0</v>
      </c>
      <c r="E54" s="15"/>
      <c r="G54" s="6"/>
      <c r="H54" s="6"/>
    </row>
    <row r="55" spans="1:8">
      <c r="A55" s="321" t="s">
        <v>226</v>
      </c>
      <c r="B55" s="337">
        <f>Charlie_Creek!$A$7/1000</f>
        <v>19.360587775879008</v>
      </c>
      <c r="C55" s="337">
        <f>Charlie_Creek!$A$7/1000</f>
        <v>19.360587775879008</v>
      </c>
      <c r="D55" s="65">
        <f t="shared" si="3"/>
        <v>0</v>
      </c>
      <c r="E55" s="15"/>
      <c r="G55" s="6"/>
      <c r="H55" s="6"/>
    </row>
    <row r="56" spans="1:8">
      <c r="A56" s="321" t="s">
        <v>227</v>
      </c>
      <c r="B56" s="337">
        <f>Charlie_Creek!$A$8/1000</f>
        <v>2.3226394902331249</v>
      </c>
      <c r="C56" s="337">
        <f>Charlie_Creek!$A$8/1000</f>
        <v>2.3226394902331249</v>
      </c>
      <c r="D56" s="65">
        <f t="shared" si="3"/>
        <v>0</v>
      </c>
      <c r="E56" s="15"/>
      <c r="G56" s="6"/>
      <c r="H56" s="6"/>
    </row>
    <row r="57" spans="1:8" ht="15" thickBot="1">
      <c r="A57" s="325" t="s">
        <v>228</v>
      </c>
      <c r="B57" s="332">
        <f>Charlie_Creek!$A$9/1000</f>
        <v>0.38883310990055275</v>
      </c>
      <c r="C57" s="332">
        <f>Charlie_Creek!$A$9/1000</f>
        <v>0.38883310990055275</v>
      </c>
      <c r="D57" s="333">
        <f t="shared" si="3"/>
        <v>0</v>
      </c>
      <c r="E57" s="15"/>
      <c r="G57" s="6"/>
      <c r="H57" s="6"/>
    </row>
    <row r="58" spans="1:8">
      <c r="A58" s="317" t="s">
        <v>205</v>
      </c>
      <c r="B58" s="335">
        <f>Archer!$A$2/1000</f>
        <v>77.686640419132644</v>
      </c>
      <c r="C58" s="335">
        <f>Archer!$A$2/1000</f>
        <v>77.686640419132644</v>
      </c>
      <c r="D58" s="336">
        <f t="shared" si="3"/>
        <v>0</v>
      </c>
      <c r="E58" s="15">
        <f>SUM(D58:D65)</f>
        <v>0</v>
      </c>
      <c r="G58" s="6"/>
      <c r="H58" s="6"/>
    </row>
    <row r="59" spans="1:8">
      <c r="A59" s="321" t="s">
        <v>206</v>
      </c>
      <c r="B59" s="337">
        <f>Archer!$A$3/1000</f>
        <v>4.5653752025876573</v>
      </c>
      <c r="C59" s="337">
        <f>Archer!$A$3/1000</f>
        <v>4.5653752025876573</v>
      </c>
      <c r="D59" s="65">
        <f t="shared" si="3"/>
        <v>0</v>
      </c>
      <c r="E59" s="15"/>
      <c r="G59" s="6"/>
      <c r="H59" s="6"/>
    </row>
    <row r="60" spans="1:8">
      <c r="A60" s="321" t="s">
        <v>207</v>
      </c>
      <c r="B60" s="337">
        <f>Archer!$A$4/1000</f>
        <v>1.6753964670626824</v>
      </c>
      <c r="C60" s="337">
        <f>Archer!$A$4/1000</f>
        <v>1.6753964670626824</v>
      </c>
      <c r="D60" s="65">
        <f t="shared" si="3"/>
        <v>0</v>
      </c>
      <c r="E60" s="15"/>
      <c r="G60" s="6"/>
      <c r="H60" s="6"/>
    </row>
    <row r="61" spans="1:8">
      <c r="A61" s="380" t="s">
        <v>208</v>
      </c>
      <c r="B61" s="407">
        <f>Archer!$A$5/1000</f>
        <v>0</v>
      </c>
      <c r="C61" s="405">
        <f>Archer!$A$5/1000</f>
        <v>0</v>
      </c>
      <c r="D61" s="406">
        <f t="shared" si="3"/>
        <v>0</v>
      </c>
      <c r="E61" s="15"/>
      <c r="G61" s="6"/>
      <c r="H61" s="6"/>
    </row>
    <row r="62" spans="1:8">
      <c r="A62" s="321" t="s">
        <v>209</v>
      </c>
      <c r="B62" s="337">
        <f>Archer!$A$6/1000</f>
        <v>8.3002912093679786</v>
      </c>
      <c r="C62" s="337">
        <f>Archer!$A$6/1000</f>
        <v>8.3002912093679786</v>
      </c>
      <c r="D62" s="65">
        <f t="shared" si="3"/>
        <v>0</v>
      </c>
      <c r="E62" s="15"/>
      <c r="G62" s="6"/>
      <c r="H62" s="6"/>
    </row>
    <row r="63" spans="1:8">
      <c r="A63" s="321" t="s">
        <v>210</v>
      </c>
      <c r="B63" s="337">
        <f>Archer!$A$7/1000</f>
        <v>6.0888379283304337</v>
      </c>
      <c r="C63" s="337">
        <f>Archer!$A$7/1000</f>
        <v>6.0888379283304337</v>
      </c>
      <c r="D63" s="65">
        <f t="shared" si="3"/>
        <v>0</v>
      </c>
      <c r="E63" s="15"/>
      <c r="G63" s="6"/>
      <c r="H63" s="6"/>
    </row>
    <row r="64" spans="1:8">
      <c r="A64" s="321" t="s">
        <v>211</v>
      </c>
      <c r="B64" s="337">
        <f>Archer!$A$8/1000</f>
        <v>0.96894553680090834</v>
      </c>
      <c r="C64" s="337">
        <f>Archer!$A$8/1000</f>
        <v>0.96894553680090834</v>
      </c>
      <c r="D64" s="65">
        <f t="shared" si="3"/>
        <v>0</v>
      </c>
      <c r="E64" s="15"/>
      <c r="G64" s="6"/>
      <c r="H64" s="6"/>
    </row>
    <row r="65" spans="1:8" ht="15" thickBot="1">
      <c r="A65" s="325" t="s">
        <v>212</v>
      </c>
      <c r="B65" s="332">
        <f>Archer!$A$9/1000</f>
        <v>0.12148955302687416</v>
      </c>
      <c r="C65" s="332">
        <f>Archer!$A$9/1000</f>
        <v>0.12148955302687416</v>
      </c>
      <c r="D65" s="333">
        <f t="shared" si="3"/>
        <v>0</v>
      </c>
      <c r="E65" s="15"/>
      <c r="G65" s="6"/>
      <c r="H65" s="6"/>
    </row>
    <row r="66" spans="1:8">
      <c r="A66" s="329" t="s">
        <v>83</v>
      </c>
      <c r="B66" s="330">
        <f>Trenton!A$2/1000</f>
        <v>104.63850602209902</v>
      </c>
      <c r="C66" s="330">
        <f>Trenton!A$2/1000</f>
        <v>104.63850602209902</v>
      </c>
      <c r="D66" s="63">
        <f>B66-C66</f>
        <v>0</v>
      </c>
      <c r="E66" s="16"/>
      <c r="G66" s="6"/>
      <c r="H66" s="6"/>
    </row>
    <row r="67" spans="1:8">
      <c r="A67" s="321" t="s">
        <v>84</v>
      </c>
      <c r="B67" s="330">
        <f>Trenton!A$3/1000</f>
        <v>4.3227037691569139</v>
      </c>
      <c r="C67" s="330">
        <f>Trenton!A$3/1000</f>
        <v>4.3227037691569139</v>
      </c>
      <c r="D67" s="65">
        <f t="shared" ref="D67:D81" si="4">B67-C67</f>
        <v>0</v>
      </c>
      <c r="E67" s="16"/>
      <c r="G67" s="6"/>
      <c r="H67" s="6"/>
    </row>
    <row r="68" spans="1:8">
      <c r="A68" s="321" t="s">
        <v>85</v>
      </c>
      <c r="B68" s="330">
        <f>Trenton!A$4/1000</f>
        <v>2.5197193510928337</v>
      </c>
      <c r="C68" s="330">
        <f>Trenton!A$4/1000</f>
        <v>2.5197193510928337</v>
      </c>
      <c r="D68" s="65">
        <f t="shared" si="4"/>
        <v>0</v>
      </c>
      <c r="E68" s="16"/>
      <c r="G68" s="6"/>
      <c r="H68" s="6"/>
    </row>
    <row r="69" spans="1:8">
      <c r="A69" s="380" t="s">
        <v>86</v>
      </c>
      <c r="B69" s="407">
        <f>Trenton!A$5/1000</f>
        <v>4.8086327024804696</v>
      </c>
      <c r="C69" s="405">
        <f>Trenton!A$5/1000</f>
        <v>4.8086327024804696</v>
      </c>
      <c r="D69" s="406">
        <f t="shared" si="4"/>
        <v>0</v>
      </c>
      <c r="E69" s="16"/>
      <c r="G69" s="6"/>
      <c r="H69" s="6"/>
    </row>
    <row r="70" spans="1:8">
      <c r="A70" s="321" t="s">
        <v>87</v>
      </c>
      <c r="B70" s="330">
        <f>Trenton!A$6/1000</f>
        <v>18.300068474538069</v>
      </c>
      <c r="C70" s="330">
        <f>Trenton!A$6/1000</f>
        <v>18.300068474538069</v>
      </c>
      <c r="D70" s="65">
        <f t="shared" si="4"/>
        <v>0</v>
      </c>
      <c r="E70" s="16"/>
      <c r="G70" s="6"/>
      <c r="H70" s="6"/>
    </row>
    <row r="71" spans="1:8">
      <c r="A71" s="321" t="s">
        <v>88</v>
      </c>
      <c r="B71" s="330">
        <f>Trenton!A$7/1000</f>
        <v>5.2993724899509838</v>
      </c>
      <c r="C71" s="330">
        <f>Trenton!A$7/1000</f>
        <v>5.2993724899509838</v>
      </c>
      <c r="D71" s="65">
        <f t="shared" si="4"/>
        <v>0</v>
      </c>
      <c r="E71" s="16"/>
      <c r="G71" s="6"/>
      <c r="H71" s="6"/>
    </row>
    <row r="72" spans="1:8">
      <c r="A72" s="321" t="s">
        <v>89</v>
      </c>
      <c r="B72" s="330">
        <f>Trenton!A$8/1000</f>
        <v>0.51853675018397505</v>
      </c>
      <c r="C72" s="330">
        <f>Trenton!A$8/1000</f>
        <v>0.51853675018397505</v>
      </c>
      <c r="D72" s="65">
        <f t="shared" si="4"/>
        <v>0</v>
      </c>
      <c r="E72" s="16"/>
      <c r="G72" s="6"/>
      <c r="H72" s="6"/>
    </row>
    <row r="73" spans="1:8" ht="15" thickBot="1">
      <c r="A73" s="325" t="s">
        <v>90</v>
      </c>
      <c r="B73" s="330">
        <f>Trenton!A$9/1000</f>
        <v>0.11480535887801614</v>
      </c>
      <c r="C73" s="332">
        <f>Trenton!A$9/1000</f>
        <v>0.11480535887801614</v>
      </c>
      <c r="D73" s="333">
        <f t="shared" si="4"/>
        <v>0</v>
      </c>
      <c r="E73" s="334"/>
      <c r="G73" s="6"/>
      <c r="H73" s="6"/>
    </row>
    <row r="74" spans="1:8">
      <c r="A74" s="317" t="s">
        <v>91</v>
      </c>
      <c r="B74" s="338">
        <f>Lake_Placid!A$2/1000</f>
        <v>63.458705733840326</v>
      </c>
      <c r="C74" s="335">
        <f>Lake_Placid!A$2/1000</f>
        <v>63.458705733840326</v>
      </c>
      <c r="D74" s="336">
        <f t="shared" si="4"/>
        <v>0</v>
      </c>
      <c r="E74" s="16"/>
      <c r="G74" s="6"/>
      <c r="H74" s="6"/>
    </row>
    <row r="75" spans="1:8">
      <c r="A75" s="321" t="s">
        <v>92</v>
      </c>
      <c r="B75" s="339">
        <f>Lake_Placid!A$3/1000</f>
        <v>2.2300211676948885</v>
      </c>
      <c r="C75" s="330">
        <f>Lake_Placid!A$3/1000</f>
        <v>2.2300211676948885</v>
      </c>
      <c r="D75" s="65">
        <f t="shared" si="4"/>
        <v>0</v>
      </c>
      <c r="E75" s="16"/>
      <c r="G75" s="6"/>
      <c r="H75" s="6"/>
    </row>
    <row r="76" spans="1:8">
      <c r="A76" s="321" t="s">
        <v>93</v>
      </c>
      <c r="B76" s="339">
        <f>Lake_Placid!A$4/1000</f>
        <v>1.5266138801467606</v>
      </c>
      <c r="C76" s="330">
        <f>Lake_Placid!A$4/1000</f>
        <v>1.5266138801467606</v>
      </c>
      <c r="D76" s="65">
        <f t="shared" si="4"/>
        <v>0</v>
      </c>
      <c r="E76" s="16"/>
      <c r="G76" s="6"/>
      <c r="H76" s="6"/>
    </row>
    <row r="77" spans="1:8">
      <c r="A77" s="380" t="s">
        <v>94</v>
      </c>
      <c r="B77" s="407">
        <f>Lake_Placid!A$5/1000</f>
        <v>5.2757230605053254</v>
      </c>
      <c r="C77" s="405">
        <f>Lake_Placid!A$5/1000</f>
        <v>5.2757230605053254</v>
      </c>
      <c r="D77" s="406">
        <f t="shared" si="4"/>
        <v>0</v>
      </c>
      <c r="E77" s="16"/>
      <c r="G77" s="6"/>
      <c r="H77" s="6"/>
    </row>
    <row r="78" spans="1:8">
      <c r="A78" s="321" t="s">
        <v>95</v>
      </c>
      <c r="B78" s="339">
        <f>Lake_Placid!A$6/1000</f>
        <v>10.430766415246898</v>
      </c>
      <c r="C78" s="330">
        <f>Lake_Placid!A$6/1000</f>
        <v>10.430766415246898</v>
      </c>
      <c r="D78" s="65">
        <f t="shared" si="4"/>
        <v>0</v>
      </c>
      <c r="E78" s="16"/>
      <c r="G78" s="6"/>
      <c r="H78" s="6"/>
    </row>
    <row r="79" spans="1:8">
      <c r="A79" s="321" t="s">
        <v>96</v>
      </c>
      <c r="B79" s="339">
        <f>Lake_Placid!A$7/1000</f>
        <v>3.7889256804468134</v>
      </c>
      <c r="C79" s="330">
        <f>Lake_Placid!A$7/1000</f>
        <v>3.7889256804468134</v>
      </c>
      <c r="D79" s="65">
        <f t="shared" si="4"/>
        <v>0</v>
      </c>
      <c r="E79" s="16"/>
      <c r="G79" s="6"/>
      <c r="H79" s="6"/>
    </row>
    <row r="80" spans="1:8">
      <c r="A80" s="321" t="s">
        <v>97</v>
      </c>
      <c r="B80" s="339">
        <f>Lake_Placid!A$8/1000</f>
        <v>0.43688765786684253</v>
      </c>
      <c r="C80" s="330">
        <f>Lake_Placid!A$8/1000</f>
        <v>0.43688765786684253</v>
      </c>
      <c r="D80" s="65">
        <f t="shared" si="4"/>
        <v>0</v>
      </c>
      <c r="E80" s="16"/>
      <c r="G80" s="6"/>
      <c r="H80" s="6"/>
    </row>
    <row r="81" spans="1:8" ht="15" thickBot="1">
      <c r="A81" s="325" t="s">
        <v>98</v>
      </c>
      <c r="B81" s="340">
        <f>Lake_Placid!A$9/1000</f>
        <v>8.1821428153099549E-2</v>
      </c>
      <c r="C81" s="332">
        <f>Lake_Placid!A$9/1000</f>
        <v>8.1821428153099549E-2</v>
      </c>
      <c r="D81" s="333">
        <f t="shared" si="4"/>
        <v>0</v>
      </c>
      <c r="E81" s="334"/>
      <c r="G81" s="6"/>
      <c r="H81" s="6"/>
    </row>
    <row r="82" spans="1:8">
      <c r="A82" s="317" t="s">
        <v>99</v>
      </c>
      <c r="B82" s="330">
        <f>Debary!A$2/1000</f>
        <v>92.917550755674156</v>
      </c>
      <c r="C82" s="330">
        <f>Debary!A$2/1000</f>
        <v>92.917550755674156</v>
      </c>
      <c r="D82" s="63">
        <f t="shared" ref="D82:D89" si="5">B82-C82</f>
        <v>0</v>
      </c>
      <c r="E82" s="16"/>
      <c r="G82" s="6"/>
      <c r="H82" s="6"/>
    </row>
    <row r="83" spans="1:8">
      <c r="A83" s="321" t="s">
        <v>100</v>
      </c>
      <c r="B83" s="330">
        <f>Debary!A$3/1000</f>
        <v>3.8436070304238488</v>
      </c>
      <c r="C83" s="330">
        <f>Debary!A$3/1000</f>
        <v>3.8436070304238488</v>
      </c>
      <c r="D83" s="65">
        <f t="shared" si="5"/>
        <v>0</v>
      </c>
      <c r="E83" s="16"/>
      <c r="G83" s="6"/>
      <c r="H83" s="6"/>
    </row>
    <row r="84" spans="1:8">
      <c r="A84" s="321" t="s">
        <v>101</v>
      </c>
      <c r="B84" s="330">
        <f>Debary!A$4/1000</f>
        <v>2.2495952288842731</v>
      </c>
      <c r="C84" s="330">
        <f>Debary!A$4/1000</f>
        <v>2.2495952288842731</v>
      </c>
      <c r="D84" s="65">
        <f t="shared" si="5"/>
        <v>0</v>
      </c>
      <c r="E84" s="16"/>
      <c r="G84" s="6"/>
      <c r="H84" s="6"/>
    </row>
    <row r="85" spans="1:8">
      <c r="A85" s="380" t="s">
        <v>102</v>
      </c>
      <c r="B85" s="407">
        <f>Debary!A$5/1000</f>
        <v>0</v>
      </c>
      <c r="C85" s="405">
        <f>Debary!A$5/1000</f>
        <v>0</v>
      </c>
      <c r="D85" s="406">
        <f t="shared" si="5"/>
        <v>0</v>
      </c>
      <c r="E85" s="16"/>
      <c r="G85" s="6"/>
      <c r="H85" s="6"/>
    </row>
    <row r="86" spans="1:8">
      <c r="A86" s="321" t="s">
        <v>103</v>
      </c>
      <c r="B86" s="330">
        <f>Debary!A$6/1000</f>
        <v>15.189948601725039</v>
      </c>
      <c r="C86" s="330">
        <f>Debary!A$6/1000</f>
        <v>15.189948601725039</v>
      </c>
      <c r="D86" s="65">
        <f t="shared" si="5"/>
        <v>0</v>
      </c>
      <c r="E86" s="16"/>
      <c r="G86" s="6"/>
      <c r="H86" s="6"/>
    </row>
    <row r="87" spans="1:8">
      <c r="A87" s="321" t="s">
        <v>104</v>
      </c>
      <c r="B87" s="330">
        <f>Debary!A$7/1000</f>
        <v>6.3951739382934614</v>
      </c>
      <c r="C87" s="330">
        <f>Debary!A$7/1000</f>
        <v>6.3951739382934614</v>
      </c>
      <c r="D87" s="65">
        <f t="shared" si="5"/>
        <v>0</v>
      </c>
      <c r="E87" s="16"/>
      <c r="G87" s="6"/>
      <c r="H87" s="6"/>
    </row>
    <row r="88" spans="1:8">
      <c r="A88" s="321" t="s">
        <v>105</v>
      </c>
      <c r="B88" s="330">
        <f>Debary!A$8/1000</f>
        <v>0.85063163480304327</v>
      </c>
      <c r="C88" s="330">
        <f>Debary!A$8/1000</f>
        <v>0.85063163480304327</v>
      </c>
      <c r="D88" s="65">
        <f t="shared" si="5"/>
        <v>0</v>
      </c>
      <c r="E88" s="16"/>
      <c r="G88" s="6"/>
      <c r="H88" s="6"/>
    </row>
    <row r="89" spans="1:8" ht="15" thickBot="1">
      <c r="A89" s="325" t="s">
        <v>106</v>
      </c>
      <c r="B89" s="332">
        <f>Debary!A$9/1000</f>
        <v>0.13712294960331972</v>
      </c>
      <c r="C89" s="340">
        <f>Debary!A$9/1000</f>
        <v>0.13712294960331972</v>
      </c>
      <c r="D89" s="333">
        <f t="shared" si="5"/>
        <v>0</v>
      </c>
      <c r="E89" s="334"/>
      <c r="G89" s="6"/>
      <c r="H89" s="6"/>
    </row>
    <row r="90" spans="1:8">
      <c r="A90" s="329" t="s">
        <v>26</v>
      </c>
      <c r="B90" s="335">
        <f>Hamilton!A$2/1000</f>
        <v>108.98693633025789</v>
      </c>
      <c r="C90" s="335">
        <f>Hamilton!A$2/1000</f>
        <v>108.98693633025789</v>
      </c>
      <c r="D90" s="341">
        <f>B90-C90</f>
        <v>0</v>
      </c>
      <c r="E90" s="15"/>
      <c r="G90" s="6"/>
      <c r="H90" s="6"/>
    </row>
    <row r="91" spans="1:8">
      <c r="A91" s="321" t="s">
        <v>28</v>
      </c>
      <c r="B91" s="337">
        <f>Hamilton!A$3/1000</f>
        <v>10.980767611022506</v>
      </c>
      <c r="C91" s="337">
        <f>Hamilton!A$3/1000</f>
        <v>10.980767611022506</v>
      </c>
      <c r="D91" s="342">
        <f t="shared" ref="D91:D118" si="6">B91-C91</f>
        <v>0</v>
      </c>
      <c r="E91" s="15"/>
      <c r="G91" s="6"/>
      <c r="H91" s="6"/>
    </row>
    <row r="92" spans="1:8">
      <c r="A92" s="321" t="s">
        <v>29</v>
      </c>
      <c r="B92" s="337">
        <f>Hamilton!A$4/1000</f>
        <v>2.8841560522540384</v>
      </c>
      <c r="C92" s="337">
        <f>Hamilton!A$4/1000</f>
        <v>2.8841560522540384</v>
      </c>
      <c r="D92" s="342">
        <f t="shared" si="6"/>
        <v>0</v>
      </c>
      <c r="E92" s="15"/>
      <c r="G92" s="6"/>
      <c r="H92" s="6"/>
    </row>
    <row r="93" spans="1:8">
      <c r="A93" s="380" t="s">
        <v>27</v>
      </c>
      <c r="B93" s="407">
        <f>Hamilton!A$5/1000</f>
        <v>5.6799053467034382</v>
      </c>
      <c r="C93" s="405">
        <f>Hamilton!A$5/1000</f>
        <v>5.6799053467034382</v>
      </c>
      <c r="D93" s="406">
        <f t="shared" si="6"/>
        <v>0</v>
      </c>
      <c r="E93" s="15"/>
      <c r="G93" s="6"/>
      <c r="H93" s="6"/>
    </row>
    <row r="94" spans="1:8">
      <c r="A94" s="321" t="s">
        <v>37</v>
      </c>
      <c r="B94" s="337">
        <f>Hamilton!A$6/1000</f>
        <v>19.487136140031726</v>
      </c>
      <c r="C94" s="337">
        <f>Hamilton!A$6/1000</f>
        <v>19.487136140031726</v>
      </c>
      <c r="D94" s="342">
        <f t="shared" si="6"/>
        <v>0</v>
      </c>
      <c r="E94" s="15"/>
      <c r="G94" s="6"/>
      <c r="H94" s="6"/>
    </row>
    <row r="95" spans="1:8">
      <c r="A95" s="321" t="s">
        <v>41</v>
      </c>
      <c r="B95" s="337">
        <f>Hamilton!A$7/1000</f>
        <v>8.4673371307817824</v>
      </c>
      <c r="C95" s="337">
        <f>Hamilton!A$7/1000</f>
        <v>8.4673371307817824</v>
      </c>
      <c r="D95" s="342">
        <f t="shared" si="6"/>
        <v>0</v>
      </c>
      <c r="E95" s="15"/>
      <c r="G95" s="6"/>
      <c r="H95" s="6"/>
    </row>
    <row r="96" spans="1:8">
      <c r="A96" s="321" t="s">
        <v>42</v>
      </c>
      <c r="B96" s="337">
        <f>Hamilton!A$8/1000</f>
        <v>1.4092890853458413</v>
      </c>
      <c r="C96" s="337">
        <f>Hamilton!A$8/1000</f>
        <v>1.4092890853458413</v>
      </c>
      <c r="D96" s="342">
        <f t="shared" si="6"/>
        <v>0</v>
      </c>
      <c r="E96" s="15"/>
      <c r="G96" s="6"/>
      <c r="H96" s="6"/>
    </row>
    <row r="97" spans="1:8" ht="15" thickBot="1">
      <c r="A97" s="325" t="s">
        <v>43</v>
      </c>
      <c r="B97" s="332">
        <f>Hamilton!A$9/1000</f>
        <v>3.5423687106779198</v>
      </c>
      <c r="C97" s="332">
        <f>Hamilton!A$9/1000</f>
        <v>3.5423687106779198</v>
      </c>
      <c r="D97" s="343">
        <f t="shared" si="6"/>
        <v>0</v>
      </c>
      <c r="E97" s="15"/>
      <c r="G97" s="6"/>
      <c r="H97" s="6"/>
    </row>
    <row r="98" spans="1:8">
      <c r="A98" s="317" t="s">
        <v>30</v>
      </c>
      <c r="B98" s="335">
        <f>Columbia!A$2/1000</f>
        <v>114.31744816712227</v>
      </c>
      <c r="C98" s="335">
        <f>Columbia!A2/1000</f>
        <v>114.31744816712227</v>
      </c>
      <c r="D98" s="344">
        <f t="shared" si="6"/>
        <v>0</v>
      </c>
      <c r="E98" s="15"/>
      <c r="G98" s="6"/>
      <c r="H98" s="6"/>
    </row>
    <row r="99" spans="1:8">
      <c r="A99" s="321" t="s">
        <v>32</v>
      </c>
      <c r="B99" s="337">
        <f>Columbia!A$3/1000</f>
        <v>4.1394460232552674</v>
      </c>
      <c r="C99" s="337">
        <f>Columbia!A3/1000</f>
        <v>4.1394460232552674</v>
      </c>
      <c r="D99" s="342">
        <f t="shared" si="6"/>
        <v>0</v>
      </c>
      <c r="E99" s="15"/>
      <c r="G99" s="6"/>
      <c r="H99" s="6"/>
    </row>
    <row r="100" spans="1:8">
      <c r="A100" s="321" t="s">
        <v>33</v>
      </c>
      <c r="B100" s="337">
        <f>Columbia!A$4/1000</f>
        <v>2.7436055196183755</v>
      </c>
      <c r="C100" s="337">
        <f>Columbia!A4/1000</f>
        <v>2.7436055196183755</v>
      </c>
      <c r="D100" s="342">
        <f t="shared" si="6"/>
        <v>0</v>
      </c>
      <c r="E100" s="15"/>
      <c r="G100" s="6"/>
      <c r="H100" s="6"/>
    </row>
    <row r="101" spans="1:8">
      <c r="A101" s="380" t="s">
        <v>31</v>
      </c>
      <c r="B101" s="407">
        <f>Columbia!A$5/1000</f>
        <v>6.4571957828335815</v>
      </c>
      <c r="C101" s="405">
        <f>Columbia!A5/1000</f>
        <v>6.4571957828335815</v>
      </c>
      <c r="D101" s="406">
        <f t="shared" si="6"/>
        <v>0</v>
      </c>
      <c r="E101" s="15"/>
      <c r="G101" s="6"/>
      <c r="H101" s="6"/>
    </row>
    <row r="102" spans="1:8">
      <c r="A102" s="321" t="s">
        <v>36</v>
      </c>
      <c r="B102" s="337">
        <f>Columbia!A$6/1000</f>
        <v>14.201203331068434</v>
      </c>
      <c r="C102" s="337">
        <f>Columbia!A6/1000</f>
        <v>14.201203331068434</v>
      </c>
      <c r="D102" s="342">
        <f t="shared" si="6"/>
        <v>0</v>
      </c>
      <c r="E102" s="15"/>
      <c r="G102" s="6"/>
      <c r="H102" s="6"/>
    </row>
    <row r="103" spans="1:8">
      <c r="A103" s="321" t="s">
        <v>44</v>
      </c>
      <c r="B103" s="337">
        <f>Columbia!A$7/1000</f>
        <v>9.4041421438927184</v>
      </c>
      <c r="C103" s="337">
        <f>Columbia!A7/1000</f>
        <v>9.4041421438927184</v>
      </c>
      <c r="D103" s="342">
        <f t="shared" si="6"/>
        <v>0</v>
      </c>
      <c r="E103" s="15"/>
      <c r="G103" s="6"/>
      <c r="H103" s="6"/>
    </row>
    <row r="104" spans="1:8">
      <c r="A104" s="321" t="s">
        <v>45</v>
      </c>
      <c r="B104" s="337">
        <f>Columbia!A$8/1000</f>
        <v>0.94238005891945165</v>
      </c>
      <c r="C104" s="337">
        <f>Columbia!A8/1000</f>
        <v>0.94238005891945165</v>
      </c>
      <c r="D104" s="342">
        <f t="shared" si="6"/>
        <v>0</v>
      </c>
      <c r="E104" s="15"/>
      <c r="G104" s="6"/>
      <c r="H104" s="6"/>
    </row>
    <row r="105" spans="1:8" ht="15" thickBot="1">
      <c r="A105" s="325" t="s">
        <v>46</v>
      </c>
      <c r="B105" s="332">
        <f>Columbia!A$9/1000</f>
        <v>3.5978362599699025</v>
      </c>
      <c r="C105" s="332">
        <f>Columbia!A9/1000</f>
        <v>3.5978362599699025</v>
      </c>
      <c r="D105" s="343">
        <f t="shared" si="6"/>
        <v>0</v>
      </c>
      <c r="E105" s="15"/>
      <c r="G105" s="6"/>
      <c r="H105" s="6"/>
    </row>
    <row r="106" spans="1:8">
      <c r="A106" s="329" t="s">
        <v>35</v>
      </c>
      <c r="B106" s="35">
        <f>'[9]2019Fall_SoB700_GENCAP_2048'!$C$18/1000</f>
        <v>1740.3940671948026</v>
      </c>
      <c r="C106" s="35">
        <f>'[9]2019Fall_GenCap_CEC'!$C$18/1000</f>
        <v>1581.7154543752474</v>
      </c>
      <c r="D106" s="353">
        <f t="shared" si="6"/>
        <v>158.67861281955516</v>
      </c>
      <c r="E106" s="16">
        <f>SUM(D106:D109)</f>
        <v>353.45878275864129</v>
      </c>
      <c r="F106" s="25"/>
      <c r="G106" s="23"/>
      <c r="H106" s="6"/>
    </row>
    <row r="107" spans="1:8">
      <c r="A107" s="321" t="s">
        <v>34</v>
      </c>
      <c r="B107" s="172">
        <f>'[9]2019Fall_SoB700_TRANSCAP_2048'!$C$18/1000</f>
        <v>1986.6902365461219</v>
      </c>
      <c r="C107" s="172">
        <f>'[9]2019Fall_TrCap_CEC'!$C$18/1000</f>
        <v>1957.7861538403934</v>
      </c>
      <c r="D107" s="354">
        <f t="shared" si="6"/>
        <v>28.90408270572857</v>
      </c>
      <c r="E107" s="16"/>
      <c r="F107" s="25"/>
      <c r="G107" s="23"/>
      <c r="H107" s="6"/>
    </row>
    <row r="108" spans="1:8">
      <c r="A108" s="329" t="s">
        <v>47</v>
      </c>
      <c r="B108" s="172">
        <f>NPV('Financial Information'!$B$5,[16]System!$B$13:$AI$13)/1000*(1+'Financial Information'!$B$5)</f>
        <v>6924.2671265790241</v>
      </c>
      <c r="C108" s="172">
        <f>NPV('Financial Information'!$B$5,[17]System!$B$13:$AI$13)/1000*(1+'Financial Information'!$B$5)</f>
        <v>6770.3813448562632</v>
      </c>
      <c r="D108" s="354">
        <f t="shared" si="6"/>
        <v>153.88578172276084</v>
      </c>
      <c r="E108" s="16"/>
      <c r="F108" s="25"/>
      <c r="G108" s="23"/>
      <c r="H108" s="6"/>
    </row>
    <row r="109" spans="1:8">
      <c r="A109" s="321" t="s">
        <v>48</v>
      </c>
      <c r="B109" s="172">
        <f>'[9]2019Fall_SoB700_FOM_2048'!$C$18/1000</f>
        <v>130.83793921814879</v>
      </c>
      <c r="C109" s="172">
        <f>'[9]2019Fall_CEC_FOM'!$C$18/1000</f>
        <v>118.84763370755208</v>
      </c>
      <c r="D109" s="342">
        <f>B109-C109</f>
        <v>11.990305510596713</v>
      </c>
      <c r="E109" s="16"/>
      <c r="F109" s="25"/>
      <c r="G109" s="23"/>
      <c r="H109" s="6"/>
    </row>
    <row r="110" spans="1:8">
      <c r="A110" s="321" t="s">
        <v>50</v>
      </c>
      <c r="B110" s="172">
        <f>NPV('Financial Information'!$B$5,'[16]Fuel Cost'!$C$150:$AJ$150)/1000*(1+'Financial Information'!$B$5)</f>
        <v>22836.677566587518</v>
      </c>
      <c r="C110" s="172">
        <f>NPV('Financial Information'!$B$5,'[17]Fuel Cost'!$C$150:$AJ$150)/1000*(1+'Financial Information'!$B$5)</f>
        <v>22009.800963732665</v>
      </c>
      <c r="D110" s="354">
        <f t="shared" si="6"/>
        <v>826.87660285485254</v>
      </c>
      <c r="E110" s="16">
        <f>SUM(D110:D118)</f>
        <v>892.77692553070358</v>
      </c>
      <c r="G110" s="23"/>
      <c r="H110" s="6"/>
    </row>
    <row r="111" spans="1:8">
      <c r="A111" s="321" t="s">
        <v>181</v>
      </c>
      <c r="B111" s="172">
        <f>NPV('Financial Information'!$B$5,'[16]VOM Cost'!$C$150:$AJ$150)/1000*(1+'Financial Information'!$B$5)</f>
        <v>3145.0761605263983</v>
      </c>
      <c r="C111" s="172">
        <f>NPV('Financial Information'!$B$5,'[17]VOM Cost'!$C$150:$AJ$150)/1000*(1+'Financial Information'!$B$5)</f>
        <v>3100.1177585582236</v>
      </c>
      <c r="D111" s="354">
        <f t="shared" si="6"/>
        <v>44.958401968174712</v>
      </c>
      <c r="E111" s="16"/>
      <c r="G111" s="23"/>
      <c r="H111" s="6"/>
    </row>
    <row r="112" spans="1:8">
      <c r="A112" s="321" t="s">
        <v>182</v>
      </c>
      <c r="B112" s="172">
        <f>NPV('Financial Information'!$B$5,[16]System!$B$9:$AI$9)/1000*(1+'Financial Information'!$B$5)</f>
        <v>1.6610540932439621</v>
      </c>
      <c r="C112" s="172">
        <f>NPV('Financial Information'!$B$5,[17]System!$B$9:$AI$9)/1000*(1+'Financial Information'!$B$5)</f>
        <v>4.1469594296410577</v>
      </c>
      <c r="D112" s="354">
        <f t="shared" si="6"/>
        <v>-2.4859053363970958</v>
      </c>
      <c r="E112" s="16"/>
      <c r="G112" s="23"/>
      <c r="H112" s="6"/>
    </row>
    <row r="113" spans="1:8">
      <c r="A113" s="321" t="s">
        <v>183</v>
      </c>
      <c r="B113" s="172">
        <f>NPV('Financial Information'!$B$5,[16]System!$B$7:$AI$7)/1000*(1+'Financial Information'!$B$5)</f>
        <v>0</v>
      </c>
      <c r="C113" s="172">
        <f>NPV('Financial Information'!$B$5,[17]System!$B$7:$AI$7)/1000*(1+'Financial Information'!$B$5)</f>
        <v>0</v>
      </c>
      <c r="D113" s="354">
        <f t="shared" si="6"/>
        <v>0</v>
      </c>
      <c r="E113" s="16"/>
      <c r="G113" s="23"/>
      <c r="H113" s="6"/>
    </row>
    <row r="114" spans="1:8">
      <c r="A114" s="321" t="s">
        <v>184</v>
      </c>
      <c r="B114" s="172">
        <f>NPV('Financial Information'!$B$5,'[16]Start Cost'!$C$150:$AJ$150)/1000*(1+'Financial Information'!$B$5)</f>
        <v>426.68181589714192</v>
      </c>
      <c r="C114" s="172">
        <f>NPV('Financial Information'!$B$5,'[17]Start Cost'!$C$150:$AJ$150)/1000*(1+'Financial Information'!$B$5)</f>
        <v>404.60177602347517</v>
      </c>
      <c r="D114" s="354">
        <f>B114-C114</f>
        <v>22.080039873666749</v>
      </c>
      <c r="E114" s="16"/>
      <c r="G114" s="23"/>
      <c r="H114" s="6"/>
    </row>
    <row r="115" spans="1:8">
      <c r="A115" s="321" t="s">
        <v>185</v>
      </c>
      <c r="B115" s="345">
        <f>NPV('Financial Information'!$B$5,'[16]Lime Cost'!$C$150:$AJ$150)/1000*(1+'Financial Information'!$B$5)</f>
        <v>10.30145038827934</v>
      </c>
      <c r="C115" s="172">
        <f>NPV('Financial Information'!$B$5,'[17]Lime Cost'!$C$150:$AJ$150)/1000*(1+'Financial Information'!$B$5)</f>
        <v>10.170098131537298</v>
      </c>
      <c r="D115" s="354">
        <f>B115-C115</f>
        <v>0.13135225674204243</v>
      </c>
      <c r="E115" s="16"/>
      <c r="G115" s="23"/>
      <c r="H115" s="6"/>
    </row>
    <row r="116" spans="1:8">
      <c r="A116" s="321" t="s">
        <v>186</v>
      </c>
      <c r="B116" s="172">
        <f>NPV('Financial Information'!$B$5,'[16]Reagent Cost'!$C$150:$AJ$150)/1000*(1+'Financial Information'!$B$5)</f>
        <v>55.70143590205398</v>
      </c>
      <c r="C116" s="172">
        <f>NPV('Financial Information'!$B$5,'[17]Reagent Cost'!$C$150:$AJ$150)/1000*(1+'Financial Information'!$B$5)</f>
        <v>54.765968444129548</v>
      </c>
      <c r="D116" s="354">
        <f>B116-C116</f>
        <v>0.93546745792443176</v>
      </c>
      <c r="E116" s="16"/>
      <c r="G116" s="23"/>
      <c r="H116" s="6"/>
    </row>
    <row r="117" spans="1:8">
      <c r="A117" s="321" t="s">
        <v>187</v>
      </c>
      <c r="B117" s="172">
        <f>NPV('Financial Information'!$B$5,'[16]NOx Cost'!$C$150:$AJ$150)/1000*(1+'Financial Information'!$B$5)</f>
        <v>6.1324643844038595</v>
      </c>
      <c r="C117" s="172">
        <f>NPV('Financial Information'!$B$5,'[17]NOx Cost'!$C$150:$AJ$150)/1000*(1+'Financial Information'!$B$5)</f>
        <v>5.8531752883460717</v>
      </c>
      <c r="D117" s="354">
        <f t="shared" si="6"/>
        <v>0.27928909605778784</v>
      </c>
      <c r="E117" s="16"/>
      <c r="G117" s="23"/>
      <c r="H117" s="6"/>
    </row>
    <row r="118" spans="1:8" ht="15" thickBot="1">
      <c r="A118" s="325" t="s">
        <v>188</v>
      </c>
      <c r="B118" s="346">
        <f>NPV('Financial Information'!$B$5,'[16]SO2 Cost'!$C$150:$AJ$150)/1000*(1+'Financial Information'!$B$5)</f>
        <v>0.10532271209887201</v>
      </c>
      <c r="C118" s="346">
        <f>NPV('Financial Information'!$B$5,'[17]SO2 Cost'!$C$150:$AJ$150)/1000*(1+'Financial Information'!$B$5)</f>
        <v>0.10364535241653218</v>
      </c>
      <c r="D118" s="355">
        <f t="shared" si="6"/>
        <v>1.6773596823398268E-3</v>
      </c>
      <c r="E118" s="16"/>
      <c r="G118" s="23"/>
      <c r="H118" s="6"/>
    </row>
    <row r="119" spans="1:8">
      <c r="A119" s="9" t="s">
        <v>49</v>
      </c>
      <c r="B119" s="35">
        <f>SUM(B26:B118)</f>
        <v>38584.963721681255</v>
      </c>
      <c r="C119" s="35">
        <f>SUM(C26:C118)</f>
        <v>37338.728013391905</v>
      </c>
      <c r="D119" s="35">
        <f>SUM(D2:D118)</f>
        <v>105.93742393982714</v>
      </c>
      <c r="E119" s="16"/>
      <c r="G119" s="6"/>
      <c r="H119" s="6"/>
    </row>
    <row r="120" spans="1:8">
      <c r="A120" s="321" t="s">
        <v>51</v>
      </c>
      <c r="B120" s="172">
        <f>NPV('Financial Information'!$B$5,'[16]CO2 Cost'!$C$150:$AJ$150)/1000*(1+'Financial Information'!$B$5)</f>
        <v>11830.539811360284</v>
      </c>
      <c r="C120" s="172">
        <f>NPV('Financial Information'!$B$5,'[17]CO2 Cost'!$C$150:$AJ$150)/1000*(1+'Financial Information'!$B$5)</f>
        <v>11396.421213733121</v>
      </c>
      <c r="D120" s="172">
        <f>B120-C120</f>
        <v>434.11859762716267</v>
      </c>
      <c r="E120" s="16">
        <f>D120</f>
        <v>434.11859762716267</v>
      </c>
      <c r="F120" s="16"/>
      <c r="G120" s="23"/>
      <c r="H120" s="6"/>
    </row>
    <row r="121" spans="1:8">
      <c r="A121" s="171" t="s">
        <v>189</v>
      </c>
      <c r="B121" s="172">
        <f>B119+B120</f>
        <v>50415.503533041541</v>
      </c>
      <c r="C121" s="172">
        <f>C119+C120</f>
        <v>48735.149227125024</v>
      </c>
      <c r="D121" s="172">
        <f>+D119+D120</f>
        <v>540.05602156698978</v>
      </c>
      <c r="E121" s="52">
        <f>SUM(E2:E120)</f>
        <v>540.0560215669899</v>
      </c>
      <c r="G121" s="6"/>
      <c r="H121" s="6"/>
    </row>
    <row r="122" spans="1:8">
      <c r="B122" s="16"/>
      <c r="C122" s="16"/>
      <c r="E122" s="32"/>
      <c r="G122" s="6"/>
      <c r="H122" s="6"/>
    </row>
    <row r="123" spans="1:8">
      <c r="A123" s="347" t="s">
        <v>179</v>
      </c>
      <c r="B123" s="348">
        <f>SUM(B2:B105)</f>
        <v>1320.4370816520175</v>
      </c>
      <c r="C123" s="348">
        <f>SUM(C2:C105)</f>
        <v>2460.7353660015347</v>
      </c>
      <c r="D123" s="349">
        <f>B123-C123</f>
        <v>-1140.2982843495172</v>
      </c>
      <c r="E123" s="32"/>
      <c r="G123" s="6"/>
      <c r="H123" s="6"/>
    </row>
    <row r="124" spans="1:8">
      <c r="A124" s="350" t="s">
        <v>178</v>
      </c>
      <c r="B124" s="119">
        <f>SUM(B106:B109)</f>
        <v>10782.189369538097</v>
      </c>
      <c r="C124" s="119">
        <f>SUM(C106:C109)</f>
        <v>10428.730586779457</v>
      </c>
      <c r="D124" s="211">
        <f>B124-C124</f>
        <v>353.45878275864015</v>
      </c>
      <c r="E124" s="32"/>
      <c r="G124" s="6"/>
      <c r="H124" s="6"/>
    </row>
    <row r="125" spans="1:8">
      <c r="A125" s="351" t="s">
        <v>113</v>
      </c>
      <c r="B125" s="212">
        <f>SUM(B110:B118)+B120</f>
        <v>38312.877081851424</v>
      </c>
      <c r="C125" s="212">
        <f>SUM(C110:C118)+C120</f>
        <v>36985.981558693551</v>
      </c>
      <c r="D125" s="213">
        <f>B125-C125</f>
        <v>1326.895523157873</v>
      </c>
      <c r="G125" s="6"/>
      <c r="H125" s="6"/>
    </row>
    <row r="126" spans="1:8">
      <c r="B126" s="16">
        <f>SUM(B123:B125)</f>
        <v>50415.503533041541</v>
      </c>
      <c r="C126" s="16">
        <f>SUM(C123:C125)</f>
        <v>49875.447511474544</v>
      </c>
      <c r="D126" s="16">
        <f>SUM(D123:D125)</f>
        <v>540.05602156699592</v>
      </c>
      <c r="G126" s="6"/>
      <c r="H126" s="6"/>
    </row>
    <row r="127" spans="1:8">
      <c r="G127" s="6"/>
      <c r="H127" s="6"/>
    </row>
    <row r="128" spans="1:8">
      <c r="B128" s="216"/>
      <c r="C128" s="216"/>
      <c r="D128" s="23"/>
      <c r="E128" s="23"/>
    </row>
    <row r="129" spans="1:5">
      <c r="A129" s="36"/>
      <c r="B129" s="16"/>
      <c r="C129" s="16"/>
      <c r="D129" s="16"/>
    </row>
    <row r="130" spans="1:5">
      <c r="B130" s="352"/>
      <c r="C130" s="352"/>
    </row>
    <row r="131" spans="1:5">
      <c r="B131" s="352"/>
      <c r="C131" s="352"/>
      <c r="D131" s="24"/>
      <c r="E131" s="24"/>
    </row>
  </sheetData>
  <pageMargins left="0.7" right="0.7" top="0.75" bottom="0.75" header="0.3" footer="0.3"/>
  <pageSetup scale="8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H131"/>
  <sheetViews>
    <sheetView workbookViewId="0">
      <selection sqref="A1:D105"/>
    </sheetView>
  </sheetViews>
  <sheetFormatPr defaultColWidth="8.90625" defaultRowHeight="14.5"/>
  <cols>
    <col min="1" max="1" width="47.6328125" style="6" bestFit="1" customWidth="1"/>
    <col min="2" max="2" width="10.54296875" style="6" bestFit="1" customWidth="1"/>
    <col min="3" max="3" width="22.36328125" style="6" bestFit="1" customWidth="1"/>
    <col min="4" max="4" width="29.1796875" style="6" bestFit="1" customWidth="1"/>
    <col min="5" max="5" width="8.90625" style="6"/>
    <col min="6" max="6" width="8.36328125" style="6" bestFit="1" customWidth="1"/>
    <col min="7" max="7" width="9" style="25" bestFit="1" customWidth="1"/>
    <col min="8" max="16384" width="8.90625" style="6"/>
  </cols>
  <sheetData>
    <row r="1" spans="1:7" ht="15" thickBot="1">
      <c r="A1" s="314" t="s">
        <v>231</v>
      </c>
      <c r="B1" s="315" t="s">
        <v>161</v>
      </c>
      <c r="C1" s="315" t="s">
        <v>201</v>
      </c>
      <c r="D1" s="316" t="str">
        <f>C1&amp;" Savings"</f>
        <v>Clean Energy Connection Savings</v>
      </c>
      <c r="F1" s="33"/>
      <c r="G1" s="34"/>
    </row>
    <row r="2" spans="1:7">
      <c r="A2" s="317" t="s">
        <v>136</v>
      </c>
      <c r="B2" s="318"/>
      <c r="C2" s="319">
        <f>CEC_2022!A2/1000</f>
        <v>191.26908306813931</v>
      </c>
      <c r="D2" s="320">
        <f>B2-C2</f>
        <v>-191.26908306813931</v>
      </c>
      <c r="E2" s="216">
        <f>SUM(D2:D25)</f>
        <v>-1140.2982843495176</v>
      </c>
      <c r="F2" s="33"/>
      <c r="G2" s="34"/>
    </row>
    <row r="3" spans="1:7">
      <c r="A3" s="321" t="s">
        <v>137</v>
      </c>
      <c r="B3" s="322"/>
      <c r="C3" s="323">
        <f>CEC_2022!A3/1000</f>
        <v>8.0267072871054399</v>
      </c>
      <c r="D3" s="324">
        <f t="shared" ref="D3:D25" si="0">B3-C3</f>
        <v>-8.0267072871054399</v>
      </c>
      <c r="F3" s="33"/>
      <c r="G3" s="34"/>
    </row>
    <row r="4" spans="1:7">
      <c r="A4" s="321" t="s">
        <v>138</v>
      </c>
      <c r="B4" s="322"/>
      <c r="C4" s="323">
        <f>CEC_2022!A4/1000</f>
        <v>4.1771082843542722</v>
      </c>
      <c r="D4" s="324">
        <f t="shared" si="0"/>
        <v>-4.1771082843542722</v>
      </c>
      <c r="F4" s="33"/>
      <c r="G4" s="34"/>
    </row>
    <row r="5" spans="1:7">
      <c r="A5" s="380" t="s">
        <v>139</v>
      </c>
      <c r="B5" s="404"/>
      <c r="C5" s="405">
        <f>CEC_2022!A5/1000</f>
        <v>11.875399225644381</v>
      </c>
      <c r="D5" s="406">
        <f t="shared" si="0"/>
        <v>-11.875399225644381</v>
      </c>
      <c r="F5" s="33"/>
      <c r="G5" s="34"/>
    </row>
    <row r="6" spans="1:7">
      <c r="A6" s="321" t="s">
        <v>140</v>
      </c>
      <c r="B6" s="322"/>
      <c r="C6" s="323">
        <f>CEC_2022!A6/1000</f>
        <v>19.889076197292866</v>
      </c>
      <c r="D6" s="324">
        <f t="shared" si="0"/>
        <v>-19.889076197292866</v>
      </c>
      <c r="F6" s="33"/>
      <c r="G6" s="34"/>
    </row>
    <row r="7" spans="1:7">
      <c r="A7" s="321" t="s">
        <v>141</v>
      </c>
      <c r="B7" s="322"/>
      <c r="C7" s="323">
        <f>CEC_2022!A7/1000</f>
        <v>21.347848303116155</v>
      </c>
      <c r="D7" s="324">
        <f t="shared" si="0"/>
        <v>-21.347848303116155</v>
      </c>
      <c r="F7" s="33"/>
      <c r="G7" s="34"/>
    </row>
    <row r="8" spans="1:7">
      <c r="A8" s="321" t="s">
        <v>142</v>
      </c>
      <c r="B8" s="322"/>
      <c r="C8" s="323">
        <f>CEC_2022!A8/1000</f>
        <v>1.9025686873718954</v>
      </c>
      <c r="D8" s="324">
        <f t="shared" si="0"/>
        <v>-1.9025686873718954</v>
      </c>
      <c r="F8" s="33"/>
      <c r="G8" s="34"/>
    </row>
    <row r="9" spans="1:7" ht="15" thickBot="1">
      <c r="A9" s="325" t="s">
        <v>143</v>
      </c>
      <c r="B9" s="326"/>
      <c r="C9" s="327">
        <f>CEC_2022!A9/1000</f>
        <v>0.42602440951546988</v>
      </c>
      <c r="D9" s="328">
        <f t="shared" si="0"/>
        <v>-0.42602440951546988</v>
      </c>
      <c r="F9" s="33"/>
      <c r="G9" s="34"/>
    </row>
    <row r="10" spans="1:7">
      <c r="A10" s="317" t="s">
        <v>144</v>
      </c>
      <c r="B10" s="318"/>
      <c r="C10" s="319">
        <f>CEC_2023!A2/1000</f>
        <v>328.32876164617068</v>
      </c>
      <c r="D10" s="320">
        <f>B10-C10</f>
        <v>-328.32876164617068</v>
      </c>
      <c r="F10" s="33"/>
      <c r="G10" s="34"/>
    </row>
    <row r="11" spans="1:7">
      <c r="A11" s="321" t="s">
        <v>145</v>
      </c>
      <c r="B11" s="322"/>
      <c r="C11" s="323">
        <f>CEC_2023!A3/1000</f>
        <v>14.738395644554535</v>
      </c>
      <c r="D11" s="324">
        <f t="shared" si="0"/>
        <v>-14.738395644554535</v>
      </c>
      <c r="F11" s="33"/>
      <c r="G11" s="34"/>
    </row>
    <row r="12" spans="1:7">
      <c r="A12" s="321" t="s">
        <v>146</v>
      </c>
      <c r="B12" s="322"/>
      <c r="C12" s="323">
        <f>CEC_2023!A4/1000</f>
        <v>7.2693265420457012</v>
      </c>
      <c r="D12" s="324">
        <f t="shared" si="0"/>
        <v>-7.2693265420457012</v>
      </c>
      <c r="F12" s="33"/>
      <c r="G12" s="34"/>
    </row>
    <row r="13" spans="1:7">
      <c r="A13" s="380" t="s">
        <v>147</v>
      </c>
      <c r="B13" s="404"/>
      <c r="C13" s="405">
        <f>CEC_2023!A5/1000</f>
        <v>22.704605829723096</v>
      </c>
      <c r="D13" s="406">
        <f t="shared" si="0"/>
        <v>-22.704605829723096</v>
      </c>
      <c r="F13" s="33"/>
      <c r="G13" s="34"/>
    </row>
    <row r="14" spans="1:7">
      <c r="A14" s="321" t="s">
        <v>148</v>
      </c>
      <c r="B14" s="322"/>
      <c r="C14" s="323">
        <f>CEC_2023!A6/1000</f>
        <v>37.851128208366632</v>
      </c>
      <c r="D14" s="324">
        <f t="shared" si="0"/>
        <v>-37.851128208366632</v>
      </c>
      <c r="F14" s="33"/>
      <c r="G14" s="34"/>
    </row>
    <row r="15" spans="1:7">
      <c r="A15" s="321" t="s">
        <v>149</v>
      </c>
      <c r="B15" s="322"/>
      <c r="C15" s="323">
        <f>CEC_2023!A7/1000</f>
        <v>39.119262856534156</v>
      </c>
      <c r="D15" s="324">
        <f t="shared" si="0"/>
        <v>-39.119262856534156</v>
      </c>
      <c r="F15" s="33"/>
      <c r="G15" s="34"/>
    </row>
    <row r="16" spans="1:7">
      <c r="A16" s="321" t="s">
        <v>150</v>
      </c>
      <c r="B16" s="322"/>
      <c r="C16" s="323">
        <f>CEC_2023!A8/1000</f>
        <v>3.6375258877588266</v>
      </c>
      <c r="D16" s="324">
        <f t="shared" si="0"/>
        <v>-3.6375258877588266</v>
      </c>
      <c r="F16" s="33"/>
      <c r="G16" s="34"/>
    </row>
    <row r="17" spans="1:8" ht="15" thickBot="1">
      <c r="A17" s="325" t="s">
        <v>151</v>
      </c>
      <c r="B17" s="326"/>
      <c r="C17" s="327">
        <f>CEC_2023!A9/1000</f>
        <v>0.7859002771207596</v>
      </c>
      <c r="D17" s="328">
        <f t="shared" si="0"/>
        <v>-0.7859002771207596</v>
      </c>
      <c r="F17" s="33"/>
      <c r="G17" s="34"/>
    </row>
    <row r="18" spans="1:8">
      <c r="A18" s="317" t="s">
        <v>152</v>
      </c>
      <c r="B18" s="318"/>
      <c r="C18" s="319">
        <f>CEC_2024!A2/1000</f>
        <v>306.95378984074983</v>
      </c>
      <c r="D18" s="320">
        <f>B18-C18</f>
        <v>-306.95378984074983</v>
      </c>
      <c r="F18" s="33"/>
      <c r="G18" s="34"/>
    </row>
    <row r="19" spans="1:8">
      <c r="A19" s="321" t="s">
        <v>153</v>
      </c>
      <c r="B19" s="322"/>
      <c r="C19" s="323">
        <f>CEC_2024!A3/1000</f>
        <v>14.072301078252696</v>
      </c>
      <c r="D19" s="324">
        <f t="shared" si="0"/>
        <v>-14.072301078252696</v>
      </c>
      <c r="F19" s="33"/>
      <c r="G19" s="34"/>
    </row>
    <row r="20" spans="1:8">
      <c r="A20" s="321" t="s">
        <v>154</v>
      </c>
      <c r="B20" s="322"/>
      <c r="C20" s="323">
        <f>CEC_2024!A4/1000</f>
        <v>6.5436031216416541</v>
      </c>
      <c r="D20" s="324">
        <f t="shared" si="0"/>
        <v>-6.5436031216416541</v>
      </c>
      <c r="F20" s="33"/>
      <c r="G20" s="34"/>
    </row>
    <row r="21" spans="1:8">
      <c r="A21" s="380" t="s">
        <v>155</v>
      </c>
      <c r="B21" s="404"/>
      <c r="C21" s="405">
        <f>CEC_2024!A5/1000</f>
        <v>21.704496669463509</v>
      </c>
      <c r="D21" s="406">
        <f t="shared" si="0"/>
        <v>-21.704496669463509</v>
      </c>
      <c r="F21" s="33"/>
      <c r="G21" s="34"/>
    </row>
    <row r="22" spans="1:8">
      <c r="A22" s="321" t="s">
        <v>156</v>
      </c>
      <c r="B22" s="322"/>
      <c r="C22" s="323">
        <f>CEC_2024!A6/1000</f>
        <v>36.05068262307573</v>
      </c>
      <c r="D22" s="324">
        <f t="shared" si="0"/>
        <v>-36.05068262307573</v>
      </c>
      <c r="F22" s="33"/>
      <c r="G22" s="34"/>
    </row>
    <row r="23" spans="1:8">
      <c r="A23" s="321" t="s">
        <v>157</v>
      </c>
      <c r="B23" s="322"/>
      <c r="C23" s="323">
        <f>CEC_2024!A7/1000</f>
        <v>37.396108822553757</v>
      </c>
      <c r="D23" s="324">
        <f t="shared" si="0"/>
        <v>-37.396108822553757</v>
      </c>
      <c r="F23" s="33"/>
      <c r="G23" s="34"/>
    </row>
    <row r="24" spans="1:8">
      <c r="A24" s="321" t="s">
        <v>158</v>
      </c>
      <c r="B24" s="322"/>
      <c r="C24" s="323">
        <f>CEC_2024!A8/1000</f>
        <v>3.4772974747085321</v>
      </c>
      <c r="D24" s="324">
        <f t="shared" si="0"/>
        <v>-3.4772974747085321</v>
      </c>
      <c r="F24" s="33"/>
      <c r="G24" s="34"/>
    </row>
    <row r="25" spans="1:8" ht="15" thickBot="1">
      <c r="A25" s="325" t="s">
        <v>159</v>
      </c>
      <c r="B25" s="326"/>
      <c r="C25" s="327">
        <f>CEC_2024!A9/1000</f>
        <v>0.75128236425789607</v>
      </c>
      <c r="D25" s="328">
        <f t="shared" si="0"/>
        <v>-0.75128236425789607</v>
      </c>
      <c r="F25" s="33"/>
      <c r="G25" s="34"/>
    </row>
    <row r="26" spans="1:8">
      <c r="A26" s="329" t="s">
        <v>114</v>
      </c>
      <c r="B26" s="330">
        <f>C26</f>
        <v>107.07477379559242</v>
      </c>
      <c r="C26" s="330">
        <f>Santa_Fe!A$2/1000</f>
        <v>107.07477379559242</v>
      </c>
      <c r="D26" s="63">
        <f>B26-C26</f>
        <v>0</v>
      </c>
      <c r="E26" s="16">
        <f>SUM(D26:D33)</f>
        <v>0</v>
      </c>
      <c r="F26" s="16"/>
      <c r="G26" s="6"/>
      <c r="H26" s="16"/>
    </row>
    <row r="27" spans="1:8">
      <c r="A27" s="321" t="s">
        <v>115</v>
      </c>
      <c r="B27" s="330">
        <f t="shared" ref="B27:B49" si="1">C27</f>
        <v>5.2259381883184615</v>
      </c>
      <c r="C27" s="330">
        <f>Santa_Fe!A$3/1000</f>
        <v>5.2259381883184615</v>
      </c>
      <c r="D27" s="65">
        <f t="shared" ref="D27:D49" si="2">B27-C27</f>
        <v>0</v>
      </c>
      <c r="E27" s="16"/>
      <c r="G27" s="6"/>
    </row>
    <row r="28" spans="1:8">
      <c r="A28" s="321" t="s">
        <v>116</v>
      </c>
      <c r="B28" s="330">
        <f t="shared" si="1"/>
        <v>2.367014372734261</v>
      </c>
      <c r="C28" s="330">
        <f>Santa_Fe!A$4/1000</f>
        <v>2.367014372734261</v>
      </c>
      <c r="D28" s="65">
        <f t="shared" si="2"/>
        <v>0</v>
      </c>
      <c r="E28" s="16"/>
      <c r="G28" s="6"/>
    </row>
    <row r="29" spans="1:8">
      <c r="A29" s="380" t="s">
        <v>117</v>
      </c>
      <c r="B29" s="407">
        <f t="shared" si="1"/>
        <v>0</v>
      </c>
      <c r="C29" s="405">
        <f>Santa_Fe!A$5/1000</f>
        <v>0</v>
      </c>
      <c r="D29" s="406">
        <f t="shared" si="2"/>
        <v>0</v>
      </c>
      <c r="E29" s="16"/>
      <c r="G29" s="6"/>
    </row>
    <row r="30" spans="1:8">
      <c r="A30" s="321" t="s">
        <v>118</v>
      </c>
      <c r="B30" s="330">
        <f t="shared" si="1"/>
        <v>17.439635455975765</v>
      </c>
      <c r="C30" s="330">
        <f>Santa_Fe!A$6/1000</f>
        <v>17.439635455975765</v>
      </c>
      <c r="D30" s="65">
        <f t="shared" si="2"/>
        <v>0</v>
      </c>
      <c r="E30" s="16"/>
      <c r="G30" s="6"/>
    </row>
    <row r="31" spans="1:8">
      <c r="A31" s="321" t="s">
        <v>119</v>
      </c>
      <c r="B31" s="330">
        <f t="shared" si="1"/>
        <v>20.493313805553452</v>
      </c>
      <c r="C31" s="330">
        <f>Santa_Fe!A$7/1000</f>
        <v>20.493313805553452</v>
      </c>
      <c r="D31" s="65">
        <f t="shared" si="2"/>
        <v>0</v>
      </c>
      <c r="E31" s="16"/>
      <c r="G31" s="6"/>
    </row>
    <row r="32" spans="1:8">
      <c r="A32" s="321" t="s">
        <v>120</v>
      </c>
      <c r="B32" s="330">
        <f t="shared" si="1"/>
        <v>2.6169955465586594</v>
      </c>
      <c r="C32" s="330">
        <f>Santa_Fe!A$8/1000</f>
        <v>2.6169955465586594</v>
      </c>
      <c r="D32" s="65">
        <f t="shared" si="2"/>
        <v>0</v>
      </c>
      <c r="E32" s="16"/>
      <c r="G32" s="6"/>
    </row>
    <row r="33" spans="1:8" ht="15" thickBot="1">
      <c r="A33" s="325" t="s">
        <v>121</v>
      </c>
      <c r="B33" s="331">
        <f t="shared" si="1"/>
        <v>0.41564188604853647</v>
      </c>
      <c r="C33" s="332">
        <f>Santa_Fe!A$9/1000</f>
        <v>0.41564188604853647</v>
      </c>
      <c r="D33" s="333">
        <f t="shared" si="2"/>
        <v>0</v>
      </c>
      <c r="E33" s="334"/>
      <c r="G33" s="6"/>
    </row>
    <row r="34" spans="1:8">
      <c r="A34" s="317" t="s">
        <v>122</v>
      </c>
      <c r="B34" s="335">
        <f t="shared" si="1"/>
        <v>96.73351928256541</v>
      </c>
      <c r="C34" s="335">
        <f>Twin_Rivers!A$2/1000</f>
        <v>96.73351928256541</v>
      </c>
      <c r="D34" s="336">
        <f t="shared" si="2"/>
        <v>0</v>
      </c>
      <c r="E34" s="16">
        <f>SUM(D34:D41)</f>
        <v>0</v>
      </c>
      <c r="G34" s="6"/>
    </row>
    <row r="35" spans="1:8">
      <c r="A35" s="321" t="s">
        <v>123</v>
      </c>
      <c r="B35" s="330">
        <f t="shared" si="1"/>
        <v>4.3602151175681039</v>
      </c>
      <c r="C35" s="330">
        <f>Twin_Rivers!A$3/1000</f>
        <v>4.3602151175681039</v>
      </c>
      <c r="D35" s="65">
        <f t="shared" si="2"/>
        <v>0</v>
      </c>
      <c r="E35" s="16"/>
      <c r="G35" s="6"/>
    </row>
    <row r="36" spans="1:8">
      <c r="A36" s="321" t="s">
        <v>124</v>
      </c>
      <c r="B36" s="330">
        <f t="shared" si="1"/>
        <v>2.1508045495741159</v>
      </c>
      <c r="C36" s="330">
        <f>Twin_Rivers!A$4/1000</f>
        <v>2.1508045495741159</v>
      </c>
      <c r="D36" s="65">
        <f t="shared" si="2"/>
        <v>0</v>
      </c>
      <c r="E36" s="16"/>
      <c r="G36" s="6"/>
    </row>
    <row r="37" spans="1:8">
      <c r="A37" s="380" t="s">
        <v>125</v>
      </c>
      <c r="B37" s="407">
        <f t="shared" si="1"/>
        <v>4.7500995093539187</v>
      </c>
      <c r="C37" s="405">
        <f>Twin_Rivers!A$5/1000</f>
        <v>4.7500995093539187</v>
      </c>
      <c r="D37" s="406">
        <f t="shared" si="2"/>
        <v>0</v>
      </c>
      <c r="E37" s="16"/>
      <c r="G37" s="6"/>
    </row>
    <row r="38" spans="1:8">
      <c r="A38" s="321" t="s">
        <v>126</v>
      </c>
      <c r="B38" s="330">
        <f t="shared" si="1"/>
        <v>16.048076811603917</v>
      </c>
      <c r="C38" s="330">
        <f>Twin_Rivers!A$6/1000</f>
        <v>16.048076811603917</v>
      </c>
      <c r="D38" s="65">
        <f t="shared" si="2"/>
        <v>0</v>
      </c>
      <c r="E38" s="16"/>
      <c r="G38" s="6"/>
    </row>
    <row r="39" spans="1:8">
      <c r="A39" s="321" t="s">
        <v>127</v>
      </c>
      <c r="B39" s="330">
        <f t="shared" si="1"/>
        <v>17.606367664101597</v>
      </c>
      <c r="C39" s="330">
        <f>Twin_Rivers!A$7/1000</f>
        <v>17.606367664101597</v>
      </c>
      <c r="D39" s="65">
        <f t="shared" si="2"/>
        <v>0</v>
      </c>
      <c r="E39" s="16"/>
      <c r="G39" s="6"/>
    </row>
    <row r="40" spans="1:8">
      <c r="A40" s="321" t="s">
        <v>128</v>
      </c>
      <c r="B40" s="330">
        <f t="shared" si="1"/>
        <v>2.4264302612241475</v>
      </c>
      <c r="C40" s="330">
        <f>Twin_Rivers!A$8/1000</f>
        <v>2.4264302612241475</v>
      </c>
      <c r="D40" s="65">
        <f t="shared" si="2"/>
        <v>0</v>
      </c>
      <c r="E40" s="16"/>
      <c r="G40" s="6"/>
    </row>
    <row r="41" spans="1:8" ht="15" thickBot="1">
      <c r="A41" s="325" t="s">
        <v>129</v>
      </c>
      <c r="B41" s="331">
        <f t="shared" si="1"/>
        <v>0.35578564974786198</v>
      </c>
      <c r="C41" s="332">
        <f>Twin_Rivers!A$9/1000</f>
        <v>0.35578564974786198</v>
      </c>
      <c r="D41" s="333">
        <f t="shared" si="2"/>
        <v>0</v>
      </c>
      <c r="E41" s="334"/>
      <c r="G41" s="6"/>
    </row>
    <row r="42" spans="1:8">
      <c r="A42" s="317" t="s">
        <v>213</v>
      </c>
      <c r="B42" s="335">
        <f t="shared" si="1"/>
        <v>102.1714837434333</v>
      </c>
      <c r="C42" s="335">
        <f>Duette!A$2/1000</f>
        <v>102.1714837434333</v>
      </c>
      <c r="D42" s="336">
        <f t="shared" si="2"/>
        <v>0</v>
      </c>
      <c r="E42" s="16">
        <f>SUM(D42:D49)</f>
        <v>0</v>
      </c>
      <c r="G42" s="6"/>
      <c r="H42" s="16"/>
    </row>
    <row r="43" spans="1:8">
      <c r="A43" s="321" t="s">
        <v>214</v>
      </c>
      <c r="B43" s="330">
        <f t="shared" si="1"/>
        <v>4.164130671522936</v>
      </c>
      <c r="C43" s="330">
        <f>Duette!A$3/1000</f>
        <v>4.164130671522936</v>
      </c>
      <c r="D43" s="65">
        <f t="shared" si="2"/>
        <v>0</v>
      </c>
      <c r="E43" s="16"/>
      <c r="G43" s="6"/>
    </row>
    <row r="44" spans="1:8">
      <c r="A44" s="321" t="s">
        <v>215</v>
      </c>
      <c r="B44" s="330">
        <f t="shared" si="1"/>
        <v>2.2061065967588469</v>
      </c>
      <c r="C44" s="330">
        <f>Duette!A$4/1000</f>
        <v>2.2061065967588469</v>
      </c>
      <c r="D44" s="65">
        <f t="shared" si="2"/>
        <v>0</v>
      </c>
      <c r="E44" s="16"/>
      <c r="G44" s="6"/>
    </row>
    <row r="45" spans="1:8">
      <c r="A45" s="380" t="s">
        <v>216</v>
      </c>
      <c r="B45" s="407">
        <f t="shared" si="1"/>
        <v>0</v>
      </c>
      <c r="C45" s="405">
        <f>Duette!A$5/1000</f>
        <v>0</v>
      </c>
      <c r="D45" s="406">
        <f t="shared" si="2"/>
        <v>0</v>
      </c>
      <c r="E45" s="16"/>
      <c r="G45" s="6"/>
    </row>
    <row r="46" spans="1:8">
      <c r="A46" s="321" t="s">
        <v>217</v>
      </c>
      <c r="B46" s="330">
        <f t="shared" si="1"/>
        <v>10.13220679393088</v>
      </c>
      <c r="C46" s="330">
        <f>Duette!A$6/1000</f>
        <v>10.13220679393088</v>
      </c>
      <c r="D46" s="65">
        <f t="shared" si="2"/>
        <v>0</v>
      </c>
      <c r="E46" s="16"/>
      <c r="G46" s="6"/>
    </row>
    <row r="47" spans="1:8">
      <c r="A47" s="321" t="s">
        <v>218</v>
      </c>
      <c r="B47" s="330">
        <f t="shared" si="1"/>
        <v>2.9081176013437666</v>
      </c>
      <c r="C47" s="330">
        <f>Duette!A$7/1000</f>
        <v>2.9081176013437666</v>
      </c>
      <c r="D47" s="65">
        <f t="shared" si="2"/>
        <v>0</v>
      </c>
      <c r="E47" s="16"/>
      <c r="G47" s="6"/>
    </row>
    <row r="48" spans="1:8">
      <c r="A48" s="321" t="s">
        <v>219</v>
      </c>
      <c r="B48" s="330">
        <f t="shared" si="1"/>
        <v>0.33217224186838656</v>
      </c>
      <c r="C48" s="330">
        <f>Duette!A$8/1000</f>
        <v>0.33217224186838656</v>
      </c>
      <c r="D48" s="65">
        <f t="shared" si="2"/>
        <v>0</v>
      </c>
      <c r="E48" s="16"/>
      <c r="G48" s="6"/>
    </row>
    <row r="49" spans="1:7" ht="15" thickBot="1">
      <c r="A49" s="325" t="s">
        <v>220</v>
      </c>
      <c r="B49" s="331">
        <f t="shared" si="1"/>
        <v>5.8750816760322677E-2</v>
      </c>
      <c r="C49" s="332">
        <f>Duette!A$9/1000</f>
        <v>5.8750816760322677E-2</v>
      </c>
      <c r="D49" s="333">
        <f t="shared" si="2"/>
        <v>0</v>
      </c>
      <c r="E49" s="334"/>
      <c r="G49" s="6"/>
    </row>
    <row r="50" spans="1:7">
      <c r="A50" s="329" t="s">
        <v>221</v>
      </c>
      <c r="B50" s="335">
        <f>Charlie_Creek!$A$2/1000</f>
        <v>89.888835522409764</v>
      </c>
      <c r="C50" s="335">
        <f>Charlie_Creek!$A$2/1000</f>
        <v>89.888835522409764</v>
      </c>
      <c r="D50" s="63">
        <f>B50-C50</f>
        <v>0</v>
      </c>
      <c r="E50" s="15">
        <f>SUM(D50:D57)</f>
        <v>0</v>
      </c>
      <c r="F50" s="16"/>
      <c r="G50" s="6"/>
    </row>
    <row r="51" spans="1:7">
      <c r="A51" s="321" t="s">
        <v>222</v>
      </c>
      <c r="B51" s="337">
        <f>Charlie_Creek!$A$3/1000</f>
        <v>3.3609913149940667</v>
      </c>
      <c r="C51" s="337">
        <f>Charlie_Creek!$A$3/1000</f>
        <v>3.3609913149940667</v>
      </c>
      <c r="D51" s="65">
        <f t="shared" ref="D51:D65" si="3">B51-C51</f>
        <v>0</v>
      </c>
      <c r="E51" s="15"/>
      <c r="G51" s="6"/>
    </row>
    <row r="52" spans="1:7">
      <c r="A52" s="321" t="s">
        <v>223</v>
      </c>
      <c r="B52" s="337">
        <f>Charlie_Creek!$A$4/1000</f>
        <v>1.9920951833168852</v>
      </c>
      <c r="C52" s="337">
        <f>Charlie_Creek!$A$4/1000</f>
        <v>1.9920951833168852</v>
      </c>
      <c r="D52" s="65">
        <f t="shared" si="3"/>
        <v>0</v>
      </c>
      <c r="E52" s="15"/>
      <c r="G52" s="6"/>
    </row>
    <row r="53" spans="1:7">
      <c r="A53" s="380" t="s">
        <v>224</v>
      </c>
      <c r="B53" s="407">
        <f>Charlie_Creek!$A$5/1000</f>
        <v>6.8089901767976535</v>
      </c>
      <c r="C53" s="405">
        <f>Charlie_Creek!$A$5/1000</f>
        <v>6.8089901767976535</v>
      </c>
      <c r="D53" s="406">
        <f t="shared" si="3"/>
        <v>0</v>
      </c>
      <c r="E53" s="15"/>
      <c r="G53" s="6"/>
    </row>
    <row r="54" spans="1:7">
      <c r="A54" s="321" t="s">
        <v>225</v>
      </c>
      <c r="B54" s="337">
        <f>Charlie_Creek!$A$6/1000</f>
        <v>8.2929586245951921</v>
      </c>
      <c r="C54" s="337">
        <f>Charlie_Creek!$A$6/1000</f>
        <v>8.2929586245951921</v>
      </c>
      <c r="D54" s="65">
        <f t="shared" si="3"/>
        <v>0</v>
      </c>
      <c r="E54" s="15"/>
      <c r="G54" s="6"/>
    </row>
    <row r="55" spans="1:7">
      <c r="A55" s="321" t="s">
        <v>226</v>
      </c>
      <c r="B55" s="337">
        <f>Charlie_Creek!$A$7/1000</f>
        <v>19.360587775879008</v>
      </c>
      <c r="C55" s="337">
        <f>Charlie_Creek!$A$7/1000</f>
        <v>19.360587775879008</v>
      </c>
      <c r="D55" s="65">
        <f t="shared" si="3"/>
        <v>0</v>
      </c>
      <c r="E55" s="15"/>
      <c r="G55" s="6"/>
    </row>
    <row r="56" spans="1:7">
      <c r="A56" s="321" t="s">
        <v>227</v>
      </c>
      <c r="B56" s="337">
        <f>Charlie_Creek!$A$8/1000</f>
        <v>2.3226394902331249</v>
      </c>
      <c r="C56" s="337">
        <f>Charlie_Creek!$A$8/1000</f>
        <v>2.3226394902331249</v>
      </c>
      <c r="D56" s="65">
        <f t="shared" si="3"/>
        <v>0</v>
      </c>
      <c r="E56" s="15"/>
      <c r="G56" s="6"/>
    </row>
    <row r="57" spans="1:7" ht="15" thickBot="1">
      <c r="A57" s="325" t="s">
        <v>228</v>
      </c>
      <c r="B57" s="332">
        <f>Charlie_Creek!$A$9/1000</f>
        <v>0.38883310990055275</v>
      </c>
      <c r="C57" s="332">
        <f>Charlie_Creek!$A$9/1000</f>
        <v>0.38883310990055275</v>
      </c>
      <c r="D57" s="333">
        <f t="shared" si="3"/>
        <v>0</v>
      </c>
      <c r="E57" s="15"/>
      <c r="G57" s="6"/>
    </row>
    <row r="58" spans="1:7">
      <c r="A58" s="317" t="s">
        <v>205</v>
      </c>
      <c r="B58" s="335">
        <f>Archer!$A$2/1000</f>
        <v>77.686640419132644</v>
      </c>
      <c r="C58" s="335">
        <f>Archer!$A$2/1000</f>
        <v>77.686640419132644</v>
      </c>
      <c r="D58" s="336">
        <f t="shared" si="3"/>
        <v>0</v>
      </c>
      <c r="E58" s="15">
        <f>SUM(D58:D65)</f>
        <v>0</v>
      </c>
      <c r="G58" s="6"/>
    </row>
    <row r="59" spans="1:7">
      <c r="A59" s="321" t="s">
        <v>206</v>
      </c>
      <c r="B59" s="337">
        <f>Archer!$A$3/1000</f>
        <v>4.5653752025876573</v>
      </c>
      <c r="C59" s="337">
        <f>Archer!$A$3/1000</f>
        <v>4.5653752025876573</v>
      </c>
      <c r="D59" s="65">
        <f t="shared" si="3"/>
        <v>0</v>
      </c>
      <c r="E59" s="15"/>
      <c r="G59" s="6"/>
    </row>
    <row r="60" spans="1:7">
      <c r="A60" s="321" t="s">
        <v>207</v>
      </c>
      <c r="B60" s="337">
        <f>Archer!$A$4/1000</f>
        <v>1.6753964670626824</v>
      </c>
      <c r="C60" s="337">
        <f>Archer!$A$4/1000</f>
        <v>1.6753964670626824</v>
      </c>
      <c r="D60" s="65">
        <f t="shared" si="3"/>
        <v>0</v>
      </c>
      <c r="E60" s="15"/>
      <c r="G60" s="6"/>
    </row>
    <row r="61" spans="1:7">
      <c r="A61" s="380" t="s">
        <v>208</v>
      </c>
      <c r="B61" s="407">
        <f>Archer!$A$5/1000</f>
        <v>0</v>
      </c>
      <c r="C61" s="405">
        <f>Archer!$A$5/1000</f>
        <v>0</v>
      </c>
      <c r="D61" s="406">
        <f t="shared" si="3"/>
        <v>0</v>
      </c>
      <c r="E61" s="15"/>
      <c r="G61" s="6"/>
    </row>
    <row r="62" spans="1:7">
      <c r="A62" s="321" t="s">
        <v>209</v>
      </c>
      <c r="B62" s="337">
        <f>Archer!$A$6/1000</f>
        <v>8.3002912093679786</v>
      </c>
      <c r="C62" s="337">
        <f>Archer!$A$6/1000</f>
        <v>8.3002912093679786</v>
      </c>
      <c r="D62" s="65">
        <f t="shared" si="3"/>
        <v>0</v>
      </c>
      <c r="E62" s="15"/>
      <c r="G62" s="6"/>
    </row>
    <row r="63" spans="1:7">
      <c r="A63" s="321" t="s">
        <v>210</v>
      </c>
      <c r="B63" s="337">
        <f>Archer!$A$7/1000</f>
        <v>6.0888379283304337</v>
      </c>
      <c r="C63" s="337">
        <f>Archer!$A$7/1000</f>
        <v>6.0888379283304337</v>
      </c>
      <c r="D63" s="65">
        <f t="shared" si="3"/>
        <v>0</v>
      </c>
      <c r="E63" s="15"/>
      <c r="G63" s="6"/>
    </row>
    <row r="64" spans="1:7">
      <c r="A64" s="321" t="s">
        <v>211</v>
      </c>
      <c r="B64" s="337">
        <f>Archer!$A$8/1000</f>
        <v>0.96894553680090834</v>
      </c>
      <c r="C64" s="337">
        <f>Archer!$A$8/1000</f>
        <v>0.96894553680090834</v>
      </c>
      <c r="D64" s="65">
        <f t="shared" si="3"/>
        <v>0</v>
      </c>
      <c r="E64" s="15"/>
      <c r="G64" s="6"/>
    </row>
    <row r="65" spans="1:7" ht="15" thickBot="1">
      <c r="A65" s="325" t="s">
        <v>212</v>
      </c>
      <c r="B65" s="332">
        <f>Archer!$A$9/1000</f>
        <v>0.12148955302687416</v>
      </c>
      <c r="C65" s="332">
        <f>Archer!$A$9/1000</f>
        <v>0.12148955302687416</v>
      </c>
      <c r="D65" s="333">
        <f t="shared" si="3"/>
        <v>0</v>
      </c>
      <c r="E65" s="15"/>
      <c r="G65" s="6"/>
    </row>
    <row r="66" spans="1:7">
      <c r="A66" s="329" t="s">
        <v>83</v>
      </c>
      <c r="B66" s="330">
        <f>Trenton!A$2/1000</f>
        <v>104.63850602209902</v>
      </c>
      <c r="C66" s="330">
        <f>Trenton!A$2/1000</f>
        <v>104.63850602209902</v>
      </c>
      <c r="D66" s="63">
        <f>B66-C66</f>
        <v>0</v>
      </c>
      <c r="E66" s="16"/>
      <c r="G66" s="6"/>
    </row>
    <row r="67" spans="1:7">
      <c r="A67" s="321" t="s">
        <v>84</v>
      </c>
      <c r="B67" s="330">
        <f>Trenton!A$3/1000</f>
        <v>4.3227037691569139</v>
      </c>
      <c r="C67" s="330">
        <f>Trenton!A$3/1000</f>
        <v>4.3227037691569139</v>
      </c>
      <c r="D67" s="65">
        <f t="shared" ref="D67:D89" si="4">B67-C67</f>
        <v>0</v>
      </c>
      <c r="E67" s="16"/>
      <c r="G67" s="6"/>
    </row>
    <row r="68" spans="1:7">
      <c r="A68" s="321" t="s">
        <v>85</v>
      </c>
      <c r="B68" s="330">
        <f>Trenton!A$4/1000</f>
        <v>2.5197193510928337</v>
      </c>
      <c r="C68" s="330">
        <f>Trenton!A$4/1000</f>
        <v>2.5197193510928337</v>
      </c>
      <c r="D68" s="65">
        <f t="shared" si="4"/>
        <v>0</v>
      </c>
      <c r="E68" s="16"/>
      <c r="G68" s="6"/>
    </row>
    <row r="69" spans="1:7">
      <c r="A69" s="380" t="s">
        <v>86</v>
      </c>
      <c r="B69" s="407">
        <f>Trenton!A$5/1000</f>
        <v>4.8086327024804696</v>
      </c>
      <c r="C69" s="405">
        <f>Trenton!A$5/1000</f>
        <v>4.8086327024804696</v>
      </c>
      <c r="D69" s="406">
        <f t="shared" si="4"/>
        <v>0</v>
      </c>
      <c r="E69" s="16"/>
      <c r="G69" s="6"/>
    </row>
    <row r="70" spans="1:7">
      <c r="A70" s="321" t="s">
        <v>87</v>
      </c>
      <c r="B70" s="330">
        <f>Trenton!A$6/1000</f>
        <v>18.300068474538069</v>
      </c>
      <c r="C70" s="330">
        <f>Trenton!A$6/1000</f>
        <v>18.300068474538069</v>
      </c>
      <c r="D70" s="65">
        <f t="shared" si="4"/>
        <v>0</v>
      </c>
      <c r="E70" s="16"/>
      <c r="G70" s="6"/>
    </row>
    <row r="71" spans="1:7">
      <c r="A71" s="321" t="s">
        <v>88</v>
      </c>
      <c r="B71" s="330">
        <f>Trenton!A$7/1000</f>
        <v>5.2993724899509838</v>
      </c>
      <c r="C71" s="330">
        <f>Trenton!A$7/1000</f>
        <v>5.2993724899509838</v>
      </c>
      <c r="D71" s="65">
        <f t="shared" si="4"/>
        <v>0</v>
      </c>
      <c r="E71" s="16"/>
      <c r="G71" s="6"/>
    </row>
    <row r="72" spans="1:7">
      <c r="A72" s="321" t="s">
        <v>89</v>
      </c>
      <c r="B72" s="330">
        <f>Trenton!A$8/1000</f>
        <v>0.51853675018397505</v>
      </c>
      <c r="C72" s="330">
        <f>Trenton!A$8/1000</f>
        <v>0.51853675018397505</v>
      </c>
      <c r="D72" s="65">
        <f t="shared" si="4"/>
        <v>0</v>
      </c>
      <c r="E72" s="16"/>
      <c r="G72" s="6"/>
    </row>
    <row r="73" spans="1:7" ht="15" thickBot="1">
      <c r="A73" s="325" t="s">
        <v>90</v>
      </c>
      <c r="B73" s="330">
        <f>Trenton!A$9/1000</f>
        <v>0.11480535887801614</v>
      </c>
      <c r="C73" s="332">
        <f>Trenton!A$9/1000</f>
        <v>0.11480535887801614</v>
      </c>
      <c r="D73" s="333">
        <f t="shared" si="4"/>
        <v>0</v>
      </c>
      <c r="E73" s="334"/>
      <c r="G73" s="6"/>
    </row>
    <row r="74" spans="1:7">
      <c r="A74" s="317" t="s">
        <v>91</v>
      </c>
      <c r="B74" s="338">
        <f>Lake_Placid!A$2/1000</f>
        <v>63.458705733840326</v>
      </c>
      <c r="C74" s="335">
        <f>Lake_Placid!A$2/1000</f>
        <v>63.458705733840326</v>
      </c>
      <c r="D74" s="336">
        <f t="shared" si="4"/>
        <v>0</v>
      </c>
      <c r="E74" s="16"/>
      <c r="G74" s="6"/>
    </row>
    <row r="75" spans="1:7">
      <c r="A75" s="321" t="s">
        <v>92</v>
      </c>
      <c r="B75" s="339">
        <f>Lake_Placid!A$3/1000</f>
        <v>2.2300211676948885</v>
      </c>
      <c r="C75" s="330">
        <f>Lake_Placid!A$3/1000</f>
        <v>2.2300211676948885</v>
      </c>
      <c r="D75" s="65">
        <f t="shared" si="4"/>
        <v>0</v>
      </c>
      <c r="E75" s="16"/>
      <c r="G75" s="6"/>
    </row>
    <row r="76" spans="1:7">
      <c r="A76" s="321" t="s">
        <v>93</v>
      </c>
      <c r="B76" s="339">
        <f>Lake_Placid!A$4/1000</f>
        <v>1.5266138801467606</v>
      </c>
      <c r="C76" s="330">
        <f>Lake_Placid!A$4/1000</f>
        <v>1.5266138801467606</v>
      </c>
      <c r="D76" s="65">
        <f t="shared" si="4"/>
        <v>0</v>
      </c>
      <c r="E76" s="16"/>
      <c r="G76" s="6"/>
    </row>
    <row r="77" spans="1:7">
      <c r="A77" s="380" t="s">
        <v>94</v>
      </c>
      <c r="B77" s="407">
        <f>Lake_Placid!A$5/1000</f>
        <v>5.2757230605053254</v>
      </c>
      <c r="C77" s="405">
        <f>Lake_Placid!A$5/1000</f>
        <v>5.2757230605053254</v>
      </c>
      <c r="D77" s="406">
        <f t="shared" si="4"/>
        <v>0</v>
      </c>
      <c r="E77" s="16"/>
      <c r="G77" s="6"/>
    </row>
    <row r="78" spans="1:7">
      <c r="A78" s="321" t="s">
        <v>95</v>
      </c>
      <c r="B78" s="339">
        <f>Lake_Placid!A$6/1000</f>
        <v>10.430766415246898</v>
      </c>
      <c r="C78" s="330">
        <f>Lake_Placid!A$6/1000</f>
        <v>10.430766415246898</v>
      </c>
      <c r="D78" s="65">
        <f t="shared" si="4"/>
        <v>0</v>
      </c>
      <c r="E78" s="16"/>
      <c r="G78" s="6"/>
    </row>
    <row r="79" spans="1:7">
      <c r="A79" s="321" t="s">
        <v>96</v>
      </c>
      <c r="B79" s="339">
        <f>Lake_Placid!A$7/1000</f>
        <v>3.7889256804468134</v>
      </c>
      <c r="C79" s="330">
        <f>Lake_Placid!A$7/1000</f>
        <v>3.7889256804468134</v>
      </c>
      <c r="D79" s="65">
        <f t="shared" si="4"/>
        <v>0</v>
      </c>
      <c r="E79" s="16"/>
      <c r="G79" s="6"/>
    </row>
    <row r="80" spans="1:7">
      <c r="A80" s="321" t="s">
        <v>97</v>
      </c>
      <c r="B80" s="339">
        <f>Lake_Placid!A$8/1000</f>
        <v>0.43688765786684253</v>
      </c>
      <c r="C80" s="330">
        <f>Lake_Placid!A$8/1000</f>
        <v>0.43688765786684253</v>
      </c>
      <c r="D80" s="65">
        <f t="shared" si="4"/>
        <v>0</v>
      </c>
      <c r="E80" s="16"/>
      <c r="G80" s="6"/>
    </row>
    <row r="81" spans="1:7" ht="15" thickBot="1">
      <c r="A81" s="325" t="s">
        <v>98</v>
      </c>
      <c r="B81" s="340">
        <f>Lake_Placid!A$9/1000</f>
        <v>8.1821428153099549E-2</v>
      </c>
      <c r="C81" s="332">
        <f>Lake_Placid!A$9/1000</f>
        <v>8.1821428153099549E-2</v>
      </c>
      <c r="D81" s="333">
        <f t="shared" si="4"/>
        <v>0</v>
      </c>
      <c r="E81" s="334"/>
      <c r="G81" s="6"/>
    </row>
    <row r="82" spans="1:7">
      <c r="A82" s="317" t="s">
        <v>99</v>
      </c>
      <c r="B82" s="330">
        <f>Debary!A$2/1000</f>
        <v>92.917550755674156</v>
      </c>
      <c r="C82" s="330">
        <f>Debary!A$2/1000</f>
        <v>92.917550755674156</v>
      </c>
      <c r="D82" s="63">
        <f t="shared" si="4"/>
        <v>0</v>
      </c>
      <c r="E82" s="16"/>
      <c r="G82" s="6"/>
    </row>
    <row r="83" spans="1:7">
      <c r="A83" s="321" t="s">
        <v>100</v>
      </c>
      <c r="B83" s="330">
        <f>Debary!A$3/1000</f>
        <v>3.8436070304238488</v>
      </c>
      <c r="C83" s="330">
        <f>Debary!A$3/1000</f>
        <v>3.8436070304238488</v>
      </c>
      <c r="D83" s="65">
        <f t="shared" si="4"/>
        <v>0</v>
      </c>
      <c r="E83" s="16"/>
      <c r="G83" s="6"/>
    </row>
    <row r="84" spans="1:7">
      <c r="A84" s="321" t="s">
        <v>101</v>
      </c>
      <c r="B84" s="330">
        <f>Debary!A$4/1000</f>
        <v>2.2495952288842731</v>
      </c>
      <c r="C84" s="330">
        <f>Debary!A$4/1000</f>
        <v>2.2495952288842731</v>
      </c>
      <c r="D84" s="65">
        <f t="shared" si="4"/>
        <v>0</v>
      </c>
      <c r="E84" s="16"/>
      <c r="G84" s="6"/>
    </row>
    <row r="85" spans="1:7">
      <c r="A85" s="380" t="s">
        <v>102</v>
      </c>
      <c r="B85" s="407">
        <f>Debary!A$5/1000</f>
        <v>0</v>
      </c>
      <c r="C85" s="405">
        <f>Debary!A$5/1000</f>
        <v>0</v>
      </c>
      <c r="D85" s="406">
        <f t="shared" si="4"/>
        <v>0</v>
      </c>
      <c r="E85" s="16"/>
      <c r="G85" s="6"/>
    </row>
    <row r="86" spans="1:7">
      <c r="A86" s="321" t="s">
        <v>103</v>
      </c>
      <c r="B86" s="330">
        <f>Debary!A$6/1000</f>
        <v>15.189948601725039</v>
      </c>
      <c r="C86" s="330">
        <f>Debary!A$6/1000</f>
        <v>15.189948601725039</v>
      </c>
      <c r="D86" s="65">
        <f t="shared" si="4"/>
        <v>0</v>
      </c>
      <c r="E86" s="16"/>
      <c r="G86" s="6"/>
    </row>
    <row r="87" spans="1:7">
      <c r="A87" s="321" t="s">
        <v>104</v>
      </c>
      <c r="B87" s="330">
        <f>Debary!A$7/1000</f>
        <v>6.3951739382934614</v>
      </c>
      <c r="C87" s="330">
        <f>Debary!A$7/1000</f>
        <v>6.3951739382934614</v>
      </c>
      <c r="D87" s="65">
        <f t="shared" si="4"/>
        <v>0</v>
      </c>
      <c r="E87" s="16"/>
      <c r="G87" s="6"/>
    </row>
    <row r="88" spans="1:7">
      <c r="A88" s="321" t="s">
        <v>105</v>
      </c>
      <c r="B88" s="330">
        <f>Debary!A$8/1000</f>
        <v>0.85063163480304327</v>
      </c>
      <c r="C88" s="330">
        <f>Debary!A$8/1000</f>
        <v>0.85063163480304327</v>
      </c>
      <c r="D88" s="65">
        <f t="shared" si="4"/>
        <v>0</v>
      </c>
      <c r="E88" s="16"/>
      <c r="G88" s="6"/>
    </row>
    <row r="89" spans="1:7" ht="15" thickBot="1">
      <c r="A89" s="325" t="s">
        <v>106</v>
      </c>
      <c r="B89" s="332">
        <f>Debary!A$9/1000</f>
        <v>0.13712294960331972</v>
      </c>
      <c r="C89" s="340">
        <f>Debary!A$9/1000</f>
        <v>0.13712294960331972</v>
      </c>
      <c r="D89" s="333">
        <f t="shared" si="4"/>
        <v>0</v>
      </c>
      <c r="E89" s="334"/>
      <c r="G89" s="6"/>
    </row>
    <row r="90" spans="1:7">
      <c r="A90" s="329" t="s">
        <v>26</v>
      </c>
      <c r="B90" s="335">
        <f>Hamilton!A$2/1000</f>
        <v>108.98693633025789</v>
      </c>
      <c r="C90" s="335">
        <f>Hamilton!A2/1000</f>
        <v>108.98693633025789</v>
      </c>
      <c r="D90" s="341">
        <f>B90-C90</f>
        <v>0</v>
      </c>
      <c r="E90" s="15"/>
      <c r="G90" s="6"/>
    </row>
    <row r="91" spans="1:7">
      <c r="A91" s="321" t="s">
        <v>28</v>
      </c>
      <c r="B91" s="337">
        <f>Hamilton!A$3/1000</f>
        <v>10.980767611022506</v>
      </c>
      <c r="C91" s="337">
        <f>Hamilton!A3/1000</f>
        <v>10.980767611022506</v>
      </c>
      <c r="D91" s="342">
        <f t="shared" ref="D91:D118" si="5">B91-C91</f>
        <v>0</v>
      </c>
      <c r="E91" s="15"/>
      <c r="G91" s="6"/>
    </row>
    <row r="92" spans="1:7">
      <c r="A92" s="321" t="s">
        <v>29</v>
      </c>
      <c r="B92" s="337">
        <f>Hamilton!A$4/1000</f>
        <v>2.8841560522540384</v>
      </c>
      <c r="C92" s="337">
        <f>Hamilton!A4/1000</f>
        <v>2.8841560522540384</v>
      </c>
      <c r="D92" s="342">
        <f t="shared" si="5"/>
        <v>0</v>
      </c>
      <c r="E92" s="15"/>
      <c r="G92" s="6"/>
    </row>
    <row r="93" spans="1:7">
      <c r="A93" s="380" t="s">
        <v>27</v>
      </c>
      <c r="B93" s="407">
        <f>Hamilton!A$5/1000</f>
        <v>5.6799053467034382</v>
      </c>
      <c r="C93" s="405">
        <f>Hamilton!A5/1000</f>
        <v>5.6799053467034382</v>
      </c>
      <c r="D93" s="406">
        <f t="shared" si="5"/>
        <v>0</v>
      </c>
      <c r="E93" s="15"/>
      <c r="G93" s="6"/>
    </row>
    <row r="94" spans="1:7">
      <c r="A94" s="321" t="s">
        <v>37</v>
      </c>
      <c r="B94" s="337">
        <f>Hamilton!A$6/1000</f>
        <v>19.487136140031726</v>
      </c>
      <c r="C94" s="337">
        <f>Hamilton!A6/1000</f>
        <v>19.487136140031726</v>
      </c>
      <c r="D94" s="342">
        <f t="shared" si="5"/>
        <v>0</v>
      </c>
      <c r="E94" s="15"/>
      <c r="G94" s="6"/>
    </row>
    <row r="95" spans="1:7">
      <c r="A95" s="321" t="s">
        <v>41</v>
      </c>
      <c r="B95" s="337">
        <f>Hamilton!A$7/1000</f>
        <v>8.4673371307817824</v>
      </c>
      <c r="C95" s="337">
        <f>Hamilton!A7/1000</f>
        <v>8.4673371307817824</v>
      </c>
      <c r="D95" s="342">
        <f t="shared" si="5"/>
        <v>0</v>
      </c>
      <c r="E95" s="15"/>
      <c r="G95" s="6"/>
    </row>
    <row r="96" spans="1:7">
      <c r="A96" s="321" t="s">
        <v>42</v>
      </c>
      <c r="B96" s="337">
        <f>Hamilton!A$8/1000</f>
        <v>1.4092890853458413</v>
      </c>
      <c r="C96" s="337">
        <f>Hamilton!A8/1000</f>
        <v>1.4092890853458413</v>
      </c>
      <c r="D96" s="342">
        <f t="shared" si="5"/>
        <v>0</v>
      </c>
      <c r="E96" s="15"/>
      <c r="G96" s="6"/>
    </row>
    <row r="97" spans="1:7" ht="15" thickBot="1">
      <c r="A97" s="325" t="s">
        <v>43</v>
      </c>
      <c r="B97" s="332">
        <f>Hamilton!A$9/1000</f>
        <v>3.5423687106779198</v>
      </c>
      <c r="C97" s="332">
        <f>Hamilton!A9/1000</f>
        <v>3.5423687106779198</v>
      </c>
      <c r="D97" s="343">
        <f t="shared" si="5"/>
        <v>0</v>
      </c>
      <c r="E97" s="15"/>
      <c r="G97" s="6"/>
    </row>
    <row r="98" spans="1:7">
      <c r="A98" s="317" t="s">
        <v>30</v>
      </c>
      <c r="B98" s="335">
        <f>Columbia!A$2/1000</f>
        <v>114.31744816712227</v>
      </c>
      <c r="C98" s="335">
        <f>Columbia!A2/1000</f>
        <v>114.31744816712227</v>
      </c>
      <c r="D98" s="344">
        <f t="shared" si="5"/>
        <v>0</v>
      </c>
      <c r="E98" s="15"/>
      <c r="G98" s="6"/>
    </row>
    <row r="99" spans="1:7">
      <c r="A99" s="321" t="s">
        <v>32</v>
      </c>
      <c r="B99" s="337">
        <f>Columbia!A$3/1000</f>
        <v>4.1394460232552674</v>
      </c>
      <c r="C99" s="337">
        <f>Columbia!A3/1000</f>
        <v>4.1394460232552674</v>
      </c>
      <c r="D99" s="342">
        <f t="shared" si="5"/>
        <v>0</v>
      </c>
      <c r="E99" s="15"/>
      <c r="G99" s="6"/>
    </row>
    <row r="100" spans="1:7">
      <c r="A100" s="321" t="s">
        <v>33</v>
      </c>
      <c r="B100" s="337">
        <f>Columbia!A$4/1000</f>
        <v>2.7436055196183755</v>
      </c>
      <c r="C100" s="337">
        <f>Columbia!A4/1000</f>
        <v>2.7436055196183755</v>
      </c>
      <c r="D100" s="342">
        <f t="shared" si="5"/>
        <v>0</v>
      </c>
      <c r="E100" s="15"/>
      <c r="G100" s="6"/>
    </row>
    <row r="101" spans="1:7">
      <c r="A101" s="380" t="s">
        <v>31</v>
      </c>
      <c r="B101" s="407">
        <f>Columbia!A$5/1000</f>
        <v>6.4571957828335815</v>
      </c>
      <c r="C101" s="405">
        <f>Columbia!A5/1000</f>
        <v>6.4571957828335815</v>
      </c>
      <c r="D101" s="406">
        <f t="shared" si="5"/>
        <v>0</v>
      </c>
      <c r="E101" s="15"/>
      <c r="G101" s="6"/>
    </row>
    <row r="102" spans="1:7">
      <c r="A102" s="321" t="s">
        <v>36</v>
      </c>
      <c r="B102" s="337">
        <f>Columbia!A$6/1000</f>
        <v>14.201203331068434</v>
      </c>
      <c r="C102" s="337">
        <f>Columbia!A6/1000</f>
        <v>14.201203331068434</v>
      </c>
      <c r="D102" s="342">
        <f t="shared" si="5"/>
        <v>0</v>
      </c>
      <c r="E102" s="15"/>
      <c r="G102" s="6"/>
    </row>
    <row r="103" spans="1:7">
      <c r="A103" s="321" t="s">
        <v>44</v>
      </c>
      <c r="B103" s="337">
        <f>Columbia!A$7/1000</f>
        <v>9.4041421438927184</v>
      </c>
      <c r="C103" s="337">
        <f>Columbia!A7/1000</f>
        <v>9.4041421438927184</v>
      </c>
      <c r="D103" s="342">
        <f t="shared" si="5"/>
        <v>0</v>
      </c>
      <c r="E103" s="15"/>
      <c r="G103" s="6"/>
    </row>
    <row r="104" spans="1:7">
      <c r="A104" s="321" t="s">
        <v>45</v>
      </c>
      <c r="B104" s="337">
        <f>Columbia!A$8/1000</f>
        <v>0.94238005891945165</v>
      </c>
      <c r="C104" s="337">
        <f>Columbia!A8/1000</f>
        <v>0.94238005891945165</v>
      </c>
      <c r="D104" s="342">
        <f t="shared" si="5"/>
        <v>0</v>
      </c>
      <c r="E104" s="15"/>
      <c r="G104" s="6"/>
    </row>
    <row r="105" spans="1:7" ht="15" thickBot="1">
      <c r="A105" s="325" t="s">
        <v>46</v>
      </c>
      <c r="B105" s="332">
        <f>Columbia!A$9/1000</f>
        <v>3.5978362599699025</v>
      </c>
      <c r="C105" s="332">
        <f>Columbia!A9/1000</f>
        <v>3.5978362599699025</v>
      </c>
      <c r="D105" s="343">
        <f t="shared" si="5"/>
        <v>0</v>
      </c>
      <c r="E105" s="15"/>
      <c r="G105" s="6"/>
    </row>
    <row r="106" spans="1:7">
      <c r="A106" s="329" t="s">
        <v>35</v>
      </c>
      <c r="B106" s="35">
        <f>'[9]2019Fall_SoB700_GENCAP_2048'!$C$18/1000</f>
        <v>1740.3940671948026</v>
      </c>
      <c r="C106" s="35">
        <f>'[9]2019Fall_GenCap_CEC'!$C$18/1000</f>
        <v>1581.7154543752474</v>
      </c>
      <c r="D106" s="341">
        <f t="shared" si="5"/>
        <v>158.67861281955516</v>
      </c>
      <c r="E106" s="16">
        <f>SUM(D106:D109)</f>
        <v>353.45878275864129</v>
      </c>
      <c r="G106" s="6"/>
    </row>
    <row r="107" spans="1:7">
      <c r="A107" s="321" t="s">
        <v>34</v>
      </c>
      <c r="B107" s="172">
        <f>'[9]2019Fall_SoB700_TRANSCAP_2048'!$C$18/1000</f>
        <v>1986.6902365461219</v>
      </c>
      <c r="C107" s="172">
        <f>'[9]2019Fall_TrCap_CEC'!$C$18/1000</f>
        <v>1957.7861538403934</v>
      </c>
      <c r="D107" s="342">
        <f t="shared" si="5"/>
        <v>28.90408270572857</v>
      </c>
      <c r="E107" s="16"/>
      <c r="G107" s="6"/>
    </row>
    <row r="108" spans="1:7">
      <c r="A108" s="329" t="s">
        <v>47</v>
      </c>
      <c r="B108" s="172">
        <f>NPV('Financial Information'!$B$5,[10]System!$B$13:$AI$13)/1000*(1+'Financial Information'!$B$5)</f>
        <v>6924.2671265790241</v>
      </c>
      <c r="C108" s="172">
        <f>NPV('Financial Information'!$B$5,[17]System!$B$13:$AI$13)/1000*(1+'Financial Information'!$B$5)</f>
        <v>6770.3813448562632</v>
      </c>
      <c r="D108" s="342">
        <f t="shared" si="5"/>
        <v>153.88578172276084</v>
      </c>
      <c r="E108" s="16"/>
      <c r="G108" s="6"/>
    </row>
    <row r="109" spans="1:7">
      <c r="A109" s="321" t="s">
        <v>48</v>
      </c>
      <c r="B109" s="172">
        <f>'[9]2019Fall_SoB700_FOM_2048'!$C$18/1000</f>
        <v>130.83793921814879</v>
      </c>
      <c r="C109" s="172">
        <f>'[9]2019Fall_CEC_FOM'!$C$18/1000</f>
        <v>118.84763370755208</v>
      </c>
      <c r="D109" s="342">
        <f>B109-C109</f>
        <v>11.990305510596713</v>
      </c>
      <c r="E109" s="16"/>
      <c r="G109" s="6"/>
    </row>
    <row r="110" spans="1:7">
      <c r="A110" s="321" t="s">
        <v>50</v>
      </c>
      <c r="B110" s="172">
        <f>NPV('Financial Information'!$B$5,'[10]Fuel Cost'!$C$150:$AJ$150)/1000*(1+'Financial Information'!$B$5)</f>
        <v>22606.997126195511</v>
      </c>
      <c r="C110" s="172">
        <f>NPV('Financial Information'!$B$5,'[11]Fuel Cost'!$C$150:$AJ$150)/1000*(1+'Financial Information'!$B$5)</f>
        <v>21785.143521003345</v>
      </c>
      <c r="D110" s="342">
        <f t="shared" si="5"/>
        <v>821.85360519216556</v>
      </c>
      <c r="E110" s="16">
        <f>SUM(D110:D118)</f>
        <v>889.75109568371647</v>
      </c>
      <c r="G110" s="6"/>
    </row>
    <row r="111" spans="1:7">
      <c r="A111" s="321" t="s">
        <v>181</v>
      </c>
      <c r="B111" s="172">
        <f>NPV('Financial Information'!$B$5,'[10]VOM Cost'!$C$150:$AJ$150)/1000*(1+'Financial Information'!$B$5)</f>
        <v>3134.0597398673181</v>
      </c>
      <c r="C111" s="172">
        <f>NPV('Financial Information'!$B$5,'[11]VOM Cost'!$C$150:$AJ$150)/1000*(1+'Financial Information'!$B$5)</f>
        <v>3089.3097170725391</v>
      </c>
      <c r="D111" s="342">
        <f t="shared" si="5"/>
        <v>44.750022794778943</v>
      </c>
      <c r="E111" s="16"/>
      <c r="G111" s="6"/>
    </row>
    <row r="112" spans="1:7">
      <c r="A112" s="321" t="s">
        <v>182</v>
      </c>
      <c r="B112" s="172">
        <f>NPV('Financial Information'!$B$5,[10]System!$B$9:$AI$9)/1000*(1+'Financial Information'!$B$5)</f>
        <v>1.6610540932439621</v>
      </c>
      <c r="C112" s="172">
        <f>NPV('Financial Information'!$B$5,[11]System!$B$9:$AI$9)/1000*(1+'Financial Information'!$B$5)</f>
        <v>4.1469594296410577</v>
      </c>
      <c r="D112" s="342">
        <f t="shared" si="5"/>
        <v>-2.4859053363970958</v>
      </c>
      <c r="E112" s="16"/>
      <c r="G112" s="6"/>
    </row>
    <row r="113" spans="1:7">
      <c r="A113" s="321" t="s">
        <v>183</v>
      </c>
      <c r="B113" s="172">
        <f>NPV('Financial Information'!$B$5,[10]System!$B$7:$AI$7)/1000*(1+'Financial Information'!$B$5)</f>
        <v>0</v>
      </c>
      <c r="C113" s="172">
        <f>NPV('Financial Information'!$B$5,[11]System!$B$7:$AI$7)/1000*(1+'Financial Information'!$B$5)</f>
        <v>0</v>
      </c>
      <c r="D113" s="342">
        <f t="shared" si="5"/>
        <v>0</v>
      </c>
      <c r="E113" s="16"/>
      <c r="G113" s="6"/>
    </row>
    <row r="114" spans="1:7">
      <c r="A114" s="321" t="s">
        <v>184</v>
      </c>
      <c r="B114" s="172">
        <f>NPV('Financial Information'!$B$5,'[10]Start Cost'!$C$150:$AJ$150)/1000*(1+'Financial Information'!$B$5)</f>
        <v>402.92629915875432</v>
      </c>
      <c r="C114" s="172">
        <f>NPV('Financial Information'!$B$5,'[11]Start Cost'!$C$150:$AJ$150)/1000*(1+'Financial Information'!$B$5)</f>
        <v>380.4169319113899</v>
      </c>
      <c r="D114" s="342">
        <f>B114-C114</f>
        <v>22.509367247364423</v>
      </c>
      <c r="E114" s="16"/>
      <c r="G114" s="6"/>
    </row>
    <row r="115" spans="1:7">
      <c r="A115" s="321" t="s">
        <v>185</v>
      </c>
      <c r="B115" s="345">
        <f>NPV('Financial Information'!$B$5,'[10]Lime Cost'!$C$150:$AJ$150)/1000*(1+'Financial Information'!$B$5)</f>
        <v>13.290460062263286</v>
      </c>
      <c r="C115" s="345">
        <f>NPV('Financial Information'!$B$5,'[11]Lime Cost'!$C$150:$AJ$150)/1000*(1+'Financial Information'!$B$5)</f>
        <v>12.818911168461327</v>
      </c>
      <c r="D115" s="342">
        <f>B115-C115</f>
        <v>0.47154889380195897</v>
      </c>
      <c r="E115" s="16"/>
      <c r="G115" s="6"/>
    </row>
    <row r="116" spans="1:7">
      <c r="A116" s="321" t="s">
        <v>186</v>
      </c>
      <c r="B116" s="172">
        <f>NPV('Financial Information'!$B$5,'[10]Reagent Cost'!$C$150:$AJ$150)/1000*(1+'Financial Information'!$B$5)</f>
        <v>67.949434984470528</v>
      </c>
      <c r="C116" s="172">
        <f>NPV('Financial Information'!$B$5,'[11]Reagent Cost'!$C$150:$AJ$150)/1000*(1+'Financial Information'!$B$5)</f>
        <v>65.603906799976201</v>
      </c>
      <c r="D116" s="342">
        <f>B116-C116</f>
        <v>2.3455281844943272</v>
      </c>
      <c r="E116" s="16"/>
      <c r="G116" s="6"/>
    </row>
    <row r="117" spans="1:7">
      <c r="A117" s="321" t="s">
        <v>187</v>
      </c>
      <c r="B117" s="172">
        <f>NPV('Financial Information'!$B$5,'[10]NOx Cost'!$C$150:$AJ$150)/1000*(1+'Financial Information'!$B$5)</f>
        <v>6.2634165421206385</v>
      </c>
      <c r="C117" s="172">
        <f>NPV('Financial Information'!$B$5,'[11]NOx Cost'!$C$150:$AJ$150)/1000*(1+'Financial Information'!$B$5)</f>
        <v>5.9614779782188689</v>
      </c>
      <c r="D117" s="342">
        <f t="shared" si="5"/>
        <v>0.30193856390176954</v>
      </c>
      <c r="E117" s="16"/>
      <c r="G117" s="6"/>
    </row>
    <row r="118" spans="1:7" ht="15" thickBot="1">
      <c r="A118" s="325" t="s">
        <v>188</v>
      </c>
      <c r="B118" s="346">
        <f>NPV('Financial Information'!$B$5,'[10]SO2 Cost'!$C$150:$AJ$150)/1000*(1+'Financial Information'!$B$5)</f>
        <v>0.13409185148950228</v>
      </c>
      <c r="C118" s="346">
        <f>NPV('Financial Information'!$B$5,'[11]SO2 Cost'!$C$150:$AJ$150)/1000*(1+'Financial Information'!$B$5)</f>
        <v>0.12910170788297964</v>
      </c>
      <c r="D118" s="343">
        <f t="shared" si="5"/>
        <v>4.9901436065226401E-3</v>
      </c>
      <c r="E118" s="16"/>
      <c r="G118" s="6"/>
    </row>
    <row r="119" spans="1:7">
      <c r="A119" s="9" t="s">
        <v>49</v>
      </c>
      <c r="B119" s="35">
        <f>SUM(B26:B118)</f>
        <v>38335.908073945284</v>
      </c>
      <c r="C119" s="35">
        <f>SUM(C26:C118)</f>
        <v>37092.698195502933</v>
      </c>
      <c r="D119" s="35">
        <f>SUM(D2:D118)</f>
        <v>102.91159409284006</v>
      </c>
      <c r="E119" s="16"/>
      <c r="G119" s="6"/>
    </row>
    <row r="120" spans="1:7">
      <c r="A120" s="321" t="s">
        <v>51</v>
      </c>
      <c r="B120" s="172">
        <f>NPV('Financial Information'!$B$5,'[10]CO2 Cost'!$C$150:$AJ$150)/1000*(1+'Financial Information'!$B$5)</f>
        <v>0</v>
      </c>
      <c r="C120" s="172">
        <f>NPV('Financial Information'!$B$5,'[11]CO2 Cost'!$C$150:$AJ$150)/1000*(1+'Financial Information'!$B$5)</f>
        <v>0</v>
      </c>
      <c r="D120" s="342">
        <f>B120-C120</f>
        <v>0</v>
      </c>
      <c r="E120" s="16">
        <f>D120</f>
        <v>0</v>
      </c>
      <c r="F120" s="16"/>
      <c r="G120" s="6"/>
    </row>
    <row r="121" spans="1:7">
      <c r="A121" s="171" t="s">
        <v>189</v>
      </c>
      <c r="B121" s="172">
        <f>B119+B120</f>
        <v>38335.908073945284</v>
      </c>
      <c r="C121" s="172">
        <f>C119+C120</f>
        <v>37092.698195502933</v>
      </c>
      <c r="D121" s="172">
        <f>+D119+D120</f>
        <v>102.91159409284006</v>
      </c>
      <c r="E121" s="52">
        <f>SUM(E2:E120)</f>
        <v>102.91159409284012</v>
      </c>
      <c r="G121" s="6"/>
    </row>
    <row r="122" spans="1:7">
      <c r="E122" s="32"/>
      <c r="G122" s="6"/>
    </row>
    <row r="123" spans="1:7">
      <c r="A123" s="347" t="s">
        <v>179</v>
      </c>
      <c r="B123" s="348">
        <f>SUM(B2:B105)</f>
        <v>1320.4370816520175</v>
      </c>
      <c r="C123" s="348">
        <f>SUM(C2:C105)</f>
        <v>2460.7353660015347</v>
      </c>
      <c r="D123" s="349">
        <f>B123-C123</f>
        <v>-1140.2982843495172</v>
      </c>
      <c r="E123" s="32"/>
      <c r="G123" s="6"/>
    </row>
    <row r="124" spans="1:7">
      <c r="A124" s="350" t="s">
        <v>178</v>
      </c>
      <c r="B124" s="119">
        <f>SUM(B106:B109)</f>
        <v>10782.189369538097</v>
      </c>
      <c r="C124" s="119">
        <f>SUM(C106:C109)</f>
        <v>10428.730586779457</v>
      </c>
      <c r="D124" s="211">
        <f>B124-C124</f>
        <v>353.45878275864015</v>
      </c>
      <c r="E124" s="32"/>
      <c r="G124" s="6"/>
    </row>
    <row r="125" spans="1:7">
      <c r="A125" s="351" t="s">
        <v>113</v>
      </c>
      <c r="B125" s="212">
        <f>SUM(B110:B118)+B120</f>
        <v>26233.281622755174</v>
      </c>
      <c r="C125" s="212">
        <f>SUM(C110:C118)+C120</f>
        <v>25343.530527071456</v>
      </c>
      <c r="D125" s="213">
        <f>B125-C125</f>
        <v>889.75109568371772</v>
      </c>
      <c r="G125" s="6"/>
    </row>
    <row r="126" spans="1:7">
      <c r="B126" s="16">
        <f>SUM(B123:B125)</f>
        <v>38335.908073945291</v>
      </c>
      <c r="C126" s="16">
        <f>SUM(C123:C125)</f>
        <v>38232.996479852445</v>
      </c>
      <c r="D126" s="16">
        <f>SUM(D123:D125)</f>
        <v>102.91159409284069</v>
      </c>
      <c r="G126" s="6"/>
    </row>
    <row r="127" spans="1:7">
      <c r="G127" s="6"/>
    </row>
    <row r="128" spans="1:7">
      <c r="B128" s="216"/>
      <c r="C128" s="216"/>
      <c r="D128" s="23"/>
      <c r="E128" s="23"/>
    </row>
    <row r="129" spans="1:5">
      <c r="A129" s="36"/>
      <c r="B129" s="16"/>
      <c r="C129" s="16"/>
      <c r="D129" s="16"/>
    </row>
    <row r="130" spans="1:5">
      <c r="B130" s="352"/>
      <c r="C130" s="352"/>
    </row>
    <row r="131" spans="1:5">
      <c r="B131" s="352"/>
      <c r="C131" s="352"/>
      <c r="E131" s="24"/>
    </row>
  </sheetData>
  <pageMargins left="0.7" right="0.7" top="0.75" bottom="0.75" header="0.3" footer="0.3"/>
  <pageSetup scale="8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131"/>
  <sheetViews>
    <sheetView workbookViewId="0">
      <selection sqref="A1:D105"/>
    </sheetView>
  </sheetViews>
  <sheetFormatPr defaultColWidth="8.90625" defaultRowHeight="14.5"/>
  <cols>
    <col min="1" max="1" width="47.6328125" style="6" bestFit="1" customWidth="1"/>
    <col min="2" max="2" width="10.54296875" style="6" bestFit="1" customWidth="1"/>
    <col min="3" max="3" width="22.36328125" style="6" bestFit="1" customWidth="1"/>
    <col min="4" max="4" width="29.1796875" style="6" bestFit="1" customWidth="1"/>
    <col min="5" max="5" width="8.90625" style="6"/>
    <col min="6" max="6" width="8.36328125" style="6" bestFit="1" customWidth="1"/>
    <col min="7" max="7" width="9" style="25" bestFit="1" customWidth="1"/>
    <col min="8" max="10" width="9.08984375" style="6"/>
    <col min="11" max="16384" width="8.90625" style="6"/>
  </cols>
  <sheetData>
    <row r="1" spans="1:7" ht="15" thickBot="1">
      <c r="A1" s="314" t="s">
        <v>231</v>
      </c>
      <c r="B1" s="315" t="s">
        <v>161</v>
      </c>
      <c r="C1" s="315" t="s">
        <v>201</v>
      </c>
      <c r="D1" s="316" t="str">
        <f>C1&amp;" Savings"</f>
        <v>Clean Energy Connection Savings</v>
      </c>
      <c r="F1" s="33"/>
      <c r="G1" s="34"/>
    </row>
    <row r="2" spans="1:7">
      <c r="A2" s="317" t="s">
        <v>136</v>
      </c>
      <c r="B2" s="318"/>
      <c r="C2" s="319">
        <f>CEC_2022!A2/1000</f>
        <v>191.26908306813931</v>
      </c>
      <c r="D2" s="320">
        <f>B2-C2</f>
        <v>-191.26908306813931</v>
      </c>
      <c r="E2" s="216">
        <f>SUM(D2:D25)</f>
        <v>-1140.2982843495176</v>
      </c>
      <c r="F2" s="33"/>
      <c r="G2" s="34"/>
    </row>
    <row r="3" spans="1:7">
      <c r="A3" s="321" t="s">
        <v>137</v>
      </c>
      <c r="B3" s="322"/>
      <c r="C3" s="323">
        <f>CEC_2022!A3/1000</f>
        <v>8.0267072871054399</v>
      </c>
      <c r="D3" s="324">
        <f t="shared" ref="D3:D25" si="0">B3-C3</f>
        <v>-8.0267072871054399</v>
      </c>
      <c r="F3" s="33"/>
      <c r="G3" s="34"/>
    </row>
    <row r="4" spans="1:7">
      <c r="A4" s="321" t="s">
        <v>138</v>
      </c>
      <c r="B4" s="322"/>
      <c r="C4" s="323">
        <f>CEC_2022!A4/1000</f>
        <v>4.1771082843542722</v>
      </c>
      <c r="D4" s="324">
        <f t="shared" si="0"/>
        <v>-4.1771082843542722</v>
      </c>
      <c r="F4" s="33"/>
      <c r="G4" s="34"/>
    </row>
    <row r="5" spans="1:7">
      <c r="A5" s="380" t="s">
        <v>139</v>
      </c>
      <c r="B5" s="404"/>
      <c r="C5" s="405">
        <f>CEC_2022!A5/1000</f>
        <v>11.875399225644381</v>
      </c>
      <c r="D5" s="406">
        <f t="shared" si="0"/>
        <v>-11.875399225644381</v>
      </c>
      <c r="F5" s="33"/>
      <c r="G5" s="34"/>
    </row>
    <row r="6" spans="1:7">
      <c r="A6" s="321" t="s">
        <v>140</v>
      </c>
      <c r="B6" s="322"/>
      <c r="C6" s="323">
        <f>CEC_2022!A6/1000</f>
        <v>19.889076197292866</v>
      </c>
      <c r="D6" s="324">
        <f t="shared" si="0"/>
        <v>-19.889076197292866</v>
      </c>
      <c r="F6" s="33"/>
      <c r="G6" s="34"/>
    </row>
    <row r="7" spans="1:7">
      <c r="A7" s="321" t="s">
        <v>141</v>
      </c>
      <c r="B7" s="322"/>
      <c r="C7" s="323">
        <f>CEC_2022!A7/1000</f>
        <v>21.347848303116155</v>
      </c>
      <c r="D7" s="324">
        <f t="shared" si="0"/>
        <v>-21.347848303116155</v>
      </c>
      <c r="F7" s="33"/>
      <c r="G7" s="34"/>
    </row>
    <row r="8" spans="1:7">
      <c r="A8" s="321" t="s">
        <v>142</v>
      </c>
      <c r="B8" s="322"/>
      <c r="C8" s="323">
        <f>CEC_2022!A8/1000</f>
        <v>1.9025686873718954</v>
      </c>
      <c r="D8" s="324">
        <f t="shared" si="0"/>
        <v>-1.9025686873718954</v>
      </c>
      <c r="F8" s="33"/>
      <c r="G8" s="34"/>
    </row>
    <row r="9" spans="1:7" ht="15" thickBot="1">
      <c r="A9" s="325" t="s">
        <v>143</v>
      </c>
      <c r="B9" s="326"/>
      <c r="C9" s="327">
        <f>CEC_2022!A9/1000</f>
        <v>0.42602440951546988</v>
      </c>
      <c r="D9" s="328">
        <f t="shared" si="0"/>
        <v>-0.42602440951546988</v>
      </c>
      <c r="F9" s="33"/>
      <c r="G9" s="34"/>
    </row>
    <row r="10" spans="1:7">
      <c r="A10" s="317" t="s">
        <v>144</v>
      </c>
      <c r="B10" s="318"/>
      <c r="C10" s="319">
        <f>CEC_2023!A2/1000</f>
        <v>328.32876164617068</v>
      </c>
      <c r="D10" s="320">
        <f>B10-C10</f>
        <v>-328.32876164617068</v>
      </c>
      <c r="F10" s="33"/>
      <c r="G10" s="34"/>
    </row>
    <row r="11" spans="1:7">
      <c r="A11" s="321" t="s">
        <v>145</v>
      </c>
      <c r="B11" s="322"/>
      <c r="C11" s="323">
        <f>CEC_2023!A3/1000</f>
        <v>14.738395644554535</v>
      </c>
      <c r="D11" s="324">
        <f t="shared" si="0"/>
        <v>-14.738395644554535</v>
      </c>
      <c r="F11" s="33"/>
      <c r="G11" s="34"/>
    </row>
    <row r="12" spans="1:7">
      <c r="A12" s="321" t="s">
        <v>146</v>
      </c>
      <c r="B12" s="322"/>
      <c r="C12" s="323">
        <f>CEC_2023!A4/1000</f>
        <v>7.2693265420457012</v>
      </c>
      <c r="D12" s="324">
        <f t="shared" si="0"/>
        <v>-7.2693265420457012</v>
      </c>
      <c r="F12" s="33"/>
      <c r="G12" s="34"/>
    </row>
    <row r="13" spans="1:7">
      <c r="A13" s="380" t="s">
        <v>147</v>
      </c>
      <c r="B13" s="404"/>
      <c r="C13" s="405">
        <f>CEC_2023!A5/1000</f>
        <v>22.704605829723096</v>
      </c>
      <c r="D13" s="406">
        <f t="shared" si="0"/>
        <v>-22.704605829723096</v>
      </c>
      <c r="F13" s="33"/>
      <c r="G13" s="34"/>
    </row>
    <row r="14" spans="1:7">
      <c r="A14" s="321" t="s">
        <v>148</v>
      </c>
      <c r="B14" s="322"/>
      <c r="C14" s="323">
        <f>CEC_2023!A6/1000</f>
        <v>37.851128208366632</v>
      </c>
      <c r="D14" s="324">
        <f t="shared" si="0"/>
        <v>-37.851128208366632</v>
      </c>
      <c r="F14" s="33"/>
      <c r="G14" s="34"/>
    </row>
    <row r="15" spans="1:7">
      <c r="A15" s="321" t="s">
        <v>149</v>
      </c>
      <c r="B15" s="322"/>
      <c r="C15" s="323">
        <f>CEC_2023!A7/1000</f>
        <v>39.119262856534156</v>
      </c>
      <c r="D15" s="324">
        <f t="shared" si="0"/>
        <v>-39.119262856534156</v>
      </c>
      <c r="F15" s="33"/>
      <c r="G15" s="34"/>
    </row>
    <row r="16" spans="1:7">
      <c r="A16" s="321" t="s">
        <v>150</v>
      </c>
      <c r="B16" s="322"/>
      <c r="C16" s="323">
        <f>CEC_2023!A8/1000</f>
        <v>3.6375258877588266</v>
      </c>
      <c r="D16" s="324">
        <f t="shared" si="0"/>
        <v>-3.6375258877588266</v>
      </c>
      <c r="F16" s="33"/>
      <c r="G16" s="34"/>
    </row>
    <row r="17" spans="1:8" ht="15" thickBot="1">
      <c r="A17" s="325" t="s">
        <v>151</v>
      </c>
      <c r="B17" s="326"/>
      <c r="C17" s="327">
        <f>CEC_2023!A9/1000</f>
        <v>0.7859002771207596</v>
      </c>
      <c r="D17" s="328">
        <f t="shared" si="0"/>
        <v>-0.7859002771207596</v>
      </c>
      <c r="F17" s="33"/>
      <c r="G17" s="34"/>
    </row>
    <row r="18" spans="1:8">
      <c r="A18" s="317" t="s">
        <v>152</v>
      </c>
      <c r="B18" s="318"/>
      <c r="C18" s="319">
        <f>CEC_2024!A2/1000</f>
        <v>306.95378984074983</v>
      </c>
      <c r="D18" s="320">
        <f>B18-C18</f>
        <v>-306.95378984074983</v>
      </c>
      <c r="F18" s="33"/>
      <c r="G18" s="34"/>
    </row>
    <row r="19" spans="1:8">
      <c r="A19" s="321" t="s">
        <v>153</v>
      </c>
      <c r="B19" s="322"/>
      <c r="C19" s="323">
        <f>CEC_2024!A3/1000</f>
        <v>14.072301078252696</v>
      </c>
      <c r="D19" s="324">
        <f t="shared" si="0"/>
        <v>-14.072301078252696</v>
      </c>
      <c r="F19" s="33"/>
      <c r="G19" s="34"/>
    </row>
    <row r="20" spans="1:8">
      <c r="A20" s="321" t="s">
        <v>154</v>
      </c>
      <c r="B20" s="322"/>
      <c r="C20" s="323">
        <f>CEC_2024!A4/1000</f>
        <v>6.5436031216416541</v>
      </c>
      <c r="D20" s="324">
        <f t="shared" si="0"/>
        <v>-6.5436031216416541</v>
      </c>
      <c r="F20" s="33"/>
      <c r="G20" s="34"/>
    </row>
    <row r="21" spans="1:8">
      <c r="A21" s="380" t="s">
        <v>155</v>
      </c>
      <c r="B21" s="404"/>
      <c r="C21" s="405">
        <f>CEC_2024!A5/1000</f>
        <v>21.704496669463509</v>
      </c>
      <c r="D21" s="406">
        <f t="shared" si="0"/>
        <v>-21.704496669463509</v>
      </c>
      <c r="F21" s="33"/>
      <c r="G21" s="34"/>
    </row>
    <row r="22" spans="1:8">
      <c r="A22" s="321" t="s">
        <v>156</v>
      </c>
      <c r="B22" s="322"/>
      <c r="C22" s="323">
        <f>CEC_2024!A6/1000</f>
        <v>36.05068262307573</v>
      </c>
      <c r="D22" s="324">
        <f t="shared" si="0"/>
        <v>-36.05068262307573</v>
      </c>
      <c r="F22" s="33"/>
      <c r="G22" s="34"/>
    </row>
    <row r="23" spans="1:8">
      <c r="A23" s="321" t="s">
        <v>157</v>
      </c>
      <c r="B23" s="322"/>
      <c r="C23" s="323">
        <f>CEC_2024!A7/1000</f>
        <v>37.396108822553757</v>
      </c>
      <c r="D23" s="324">
        <f t="shared" si="0"/>
        <v>-37.396108822553757</v>
      </c>
      <c r="F23" s="33"/>
      <c r="G23" s="34"/>
    </row>
    <row r="24" spans="1:8">
      <c r="A24" s="321" t="s">
        <v>158</v>
      </c>
      <c r="B24" s="322"/>
      <c r="C24" s="323">
        <f>CEC_2024!A8/1000</f>
        <v>3.4772974747085321</v>
      </c>
      <c r="D24" s="324">
        <f t="shared" si="0"/>
        <v>-3.4772974747085321</v>
      </c>
      <c r="F24" s="33"/>
      <c r="G24" s="34"/>
    </row>
    <row r="25" spans="1:8" ht="15" thickBot="1">
      <c r="A25" s="325" t="s">
        <v>159</v>
      </c>
      <c r="B25" s="326"/>
      <c r="C25" s="327">
        <f>CEC_2024!A9/1000</f>
        <v>0.75128236425789607</v>
      </c>
      <c r="D25" s="328">
        <f t="shared" si="0"/>
        <v>-0.75128236425789607</v>
      </c>
      <c r="F25" s="33"/>
      <c r="G25" s="34"/>
    </row>
    <row r="26" spans="1:8">
      <c r="A26" s="329" t="s">
        <v>114</v>
      </c>
      <c r="B26" s="330">
        <f>C26</f>
        <v>107.07477379559242</v>
      </c>
      <c r="C26" s="330">
        <f>Santa_Fe!A$2/1000</f>
        <v>107.07477379559242</v>
      </c>
      <c r="D26" s="63">
        <f>B26-C26</f>
        <v>0</v>
      </c>
      <c r="E26" s="16">
        <f>SUM(D26:D33)</f>
        <v>0</v>
      </c>
      <c r="F26" s="16"/>
      <c r="G26" s="6"/>
      <c r="H26" s="16"/>
    </row>
    <row r="27" spans="1:8">
      <c r="A27" s="321" t="s">
        <v>115</v>
      </c>
      <c r="B27" s="330">
        <f t="shared" ref="B27:B49" si="1">C27</f>
        <v>5.2259381883184615</v>
      </c>
      <c r="C27" s="330">
        <f>Santa_Fe!A$3/1000</f>
        <v>5.2259381883184615</v>
      </c>
      <c r="D27" s="65">
        <f t="shared" ref="D27:D49" si="2">B27-C27</f>
        <v>0</v>
      </c>
      <c r="E27" s="16"/>
      <c r="G27" s="6"/>
    </row>
    <row r="28" spans="1:8">
      <c r="A28" s="321" t="s">
        <v>116</v>
      </c>
      <c r="B28" s="330">
        <f t="shared" si="1"/>
        <v>2.367014372734261</v>
      </c>
      <c r="C28" s="330">
        <f>Santa_Fe!A$4/1000</f>
        <v>2.367014372734261</v>
      </c>
      <c r="D28" s="65">
        <f t="shared" si="2"/>
        <v>0</v>
      </c>
      <c r="E28" s="16"/>
      <c r="G28" s="6"/>
    </row>
    <row r="29" spans="1:8">
      <c r="A29" s="380" t="s">
        <v>117</v>
      </c>
      <c r="B29" s="407">
        <f t="shared" si="1"/>
        <v>0</v>
      </c>
      <c r="C29" s="405">
        <f>Santa_Fe!A$5/1000</f>
        <v>0</v>
      </c>
      <c r="D29" s="406">
        <f t="shared" si="2"/>
        <v>0</v>
      </c>
      <c r="E29" s="16"/>
      <c r="G29" s="6"/>
    </row>
    <row r="30" spans="1:8">
      <c r="A30" s="321" t="s">
        <v>118</v>
      </c>
      <c r="B30" s="330">
        <f t="shared" si="1"/>
        <v>17.439635455975765</v>
      </c>
      <c r="C30" s="330">
        <f>Santa_Fe!A$6/1000</f>
        <v>17.439635455975765</v>
      </c>
      <c r="D30" s="65">
        <f t="shared" si="2"/>
        <v>0</v>
      </c>
      <c r="E30" s="16"/>
      <c r="G30" s="6"/>
    </row>
    <row r="31" spans="1:8">
      <c r="A31" s="321" t="s">
        <v>119</v>
      </c>
      <c r="B31" s="330">
        <f t="shared" si="1"/>
        <v>20.493313805553452</v>
      </c>
      <c r="C31" s="330">
        <f>Santa_Fe!A$7/1000</f>
        <v>20.493313805553452</v>
      </c>
      <c r="D31" s="65">
        <f t="shared" si="2"/>
        <v>0</v>
      </c>
      <c r="E31" s="16"/>
      <c r="G31" s="6"/>
    </row>
    <row r="32" spans="1:8">
      <c r="A32" s="321" t="s">
        <v>120</v>
      </c>
      <c r="B32" s="330">
        <f t="shared" si="1"/>
        <v>2.6169955465586594</v>
      </c>
      <c r="C32" s="330">
        <f>Santa_Fe!A$8/1000</f>
        <v>2.6169955465586594</v>
      </c>
      <c r="D32" s="65">
        <f t="shared" si="2"/>
        <v>0</v>
      </c>
      <c r="E32" s="16"/>
      <c r="G32" s="6"/>
    </row>
    <row r="33" spans="1:8" ht="15" thickBot="1">
      <c r="A33" s="325" t="s">
        <v>121</v>
      </c>
      <c r="B33" s="331">
        <f t="shared" si="1"/>
        <v>0.41564188604853647</v>
      </c>
      <c r="C33" s="332">
        <f>Santa_Fe!A$9/1000</f>
        <v>0.41564188604853647</v>
      </c>
      <c r="D33" s="333">
        <f t="shared" si="2"/>
        <v>0</v>
      </c>
      <c r="E33" s="334"/>
      <c r="G33" s="6"/>
    </row>
    <row r="34" spans="1:8">
      <c r="A34" s="317" t="s">
        <v>122</v>
      </c>
      <c r="B34" s="335">
        <f t="shared" si="1"/>
        <v>96.73351928256541</v>
      </c>
      <c r="C34" s="335">
        <f>Twin_Rivers!A$2/1000</f>
        <v>96.73351928256541</v>
      </c>
      <c r="D34" s="336">
        <f t="shared" si="2"/>
        <v>0</v>
      </c>
      <c r="E34" s="16">
        <f>SUM(D34:D41)</f>
        <v>0</v>
      </c>
      <c r="G34" s="6"/>
    </row>
    <row r="35" spans="1:8">
      <c r="A35" s="321" t="s">
        <v>123</v>
      </c>
      <c r="B35" s="330">
        <f t="shared" si="1"/>
        <v>4.3602151175681039</v>
      </c>
      <c r="C35" s="330">
        <f>Twin_Rivers!A$3/1000</f>
        <v>4.3602151175681039</v>
      </c>
      <c r="D35" s="65">
        <f t="shared" si="2"/>
        <v>0</v>
      </c>
      <c r="E35" s="16"/>
      <c r="G35" s="6"/>
    </row>
    <row r="36" spans="1:8">
      <c r="A36" s="321" t="s">
        <v>124</v>
      </c>
      <c r="B36" s="330">
        <f t="shared" si="1"/>
        <v>2.1508045495741159</v>
      </c>
      <c r="C36" s="330">
        <f>Twin_Rivers!A$4/1000</f>
        <v>2.1508045495741159</v>
      </c>
      <c r="D36" s="65">
        <f t="shared" si="2"/>
        <v>0</v>
      </c>
      <c r="E36" s="16"/>
      <c r="G36" s="6"/>
    </row>
    <row r="37" spans="1:8">
      <c r="A37" s="380" t="s">
        <v>125</v>
      </c>
      <c r="B37" s="407">
        <f t="shared" si="1"/>
        <v>4.7500995093539187</v>
      </c>
      <c r="C37" s="405">
        <f>Twin_Rivers!A$5/1000</f>
        <v>4.7500995093539187</v>
      </c>
      <c r="D37" s="406">
        <f t="shared" si="2"/>
        <v>0</v>
      </c>
      <c r="E37" s="16"/>
      <c r="G37" s="6"/>
    </row>
    <row r="38" spans="1:8">
      <c r="A38" s="321" t="s">
        <v>126</v>
      </c>
      <c r="B38" s="330">
        <f t="shared" si="1"/>
        <v>16.048076811603917</v>
      </c>
      <c r="C38" s="330">
        <f>Twin_Rivers!A$6/1000</f>
        <v>16.048076811603917</v>
      </c>
      <c r="D38" s="65">
        <f t="shared" si="2"/>
        <v>0</v>
      </c>
      <c r="E38" s="16"/>
      <c r="G38" s="6"/>
    </row>
    <row r="39" spans="1:8">
      <c r="A39" s="321" t="s">
        <v>127</v>
      </c>
      <c r="B39" s="330">
        <f t="shared" si="1"/>
        <v>17.606367664101597</v>
      </c>
      <c r="C39" s="330">
        <f>Twin_Rivers!A$7/1000</f>
        <v>17.606367664101597</v>
      </c>
      <c r="D39" s="65">
        <f t="shared" si="2"/>
        <v>0</v>
      </c>
      <c r="E39" s="16"/>
      <c r="G39" s="6"/>
    </row>
    <row r="40" spans="1:8">
      <c r="A40" s="321" t="s">
        <v>128</v>
      </c>
      <c r="B40" s="330">
        <f t="shared" si="1"/>
        <v>2.4264302612241475</v>
      </c>
      <c r="C40" s="330">
        <f>Twin_Rivers!A$8/1000</f>
        <v>2.4264302612241475</v>
      </c>
      <c r="D40" s="65">
        <f t="shared" si="2"/>
        <v>0</v>
      </c>
      <c r="E40" s="16"/>
      <c r="G40" s="6"/>
    </row>
    <row r="41" spans="1:8" ht="15" thickBot="1">
      <c r="A41" s="325" t="s">
        <v>129</v>
      </c>
      <c r="B41" s="331">
        <f t="shared" si="1"/>
        <v>0.35578564974786198</v>
      </c>
      <c r="C41" s="332">
        <f>Twin_Rivers!A$9/1000</f>
        <v>0.35578564974786198</v>
      </c>
      <c r="D41" s="333">
        <f t="shared" si="2"/>
        <v>0</v>
      </c>
      <c r="E41" s="334"/>
      <c r="G41" s="6"/>
    </row>
    <row r="42" spans="1:8">
      <c r="A42" s="317" t="s">
        <v>213</v>
      </c>
      <c r="B42" s="335">
        <f t="shared" si="1"/>
        <v>102.1714837434333</v>
      </c>
      <c r="C42" s="335">
        <f>Duette!A$2/1000</f>
        <v>102.1714837434333</v>
      </c>
      <c r="D42" s="336">
        <f t="shared" si="2"/>
        <v>0</v>
      </c>
      <c r="E42" s="16">
        <f>SUM(D42:D49)</f>
        <v>0</v>
      </c>
      <c r="G42" s="6"/>
      <c r="H42" s="16"/>
    </row>
    <row r="43" spans="1:8">
      <c r="A43" s="321" t="s">
        <v>214</v>
      </c>
      <c r="B43" s="330">
        <f t="shared" si="1"/>
        <v>4.164130671522936</v>
      </c>
      <c r="C43" s="330">
        <f>Duette!A$3/1000</f>
        <v>4.164130671522936</v>
      </c>
      <c r="D43" s="65">
        <f t="shared" si="2"/>
        <v>0</v>
      </c>
      <c r="E43" s="16"/>
      <c r="G43" s="6"/>
    </row>
    <row r="44" spans="1:8">
      <c r="A44" s="321" t="s">
        <v>215</v>
      </c>
      <c r="B44" s="330">
        <f t="shared" si="1"/>
        <v>2.2061065967588469</v>
      </c>
      <c r="C44" s="330">
        <f>Duette!A$4/1000</f>
        <v>2.2061065967588469</v>
      </c>
      <c r="D44" s="65">
        <f t="shared" si="2"/>
        <v>0</v>
      </c>
      <c r="E44" s="16"/>
      <c r="G44" s="6"/>
    </row>
    <row r="45" spans="1:8">
      <c r="A45" s="380" t="s">
        <v>216</v>
      </c>
      <c r="B45" s="407">
        <f t="shared" si="1"/>
        <v>0</v>
      </c>
      <c r="C45" s="405">
        <f>Duette!A$5/1000</f>
        <v>0</v>
      </c>
      <c r="D45" s="406">
        <f t="shared" si="2"/>
        <v>0</v>
      </c>
      <c r="E45" s="16"/>
      <c r="G45" s="6"/>
    </row>
    <row r="46" spans="1:8">
      <c r="A46" s="321" t="s">
        <v>217</v>
      </c>
      <c r="B46" s="330">
        <f t="shared" si="1"/>
        <v>10.13220679393088</v>
      </c>
      <c r="C46" s="330">
        <f>Duette!A$6/1000</f>
        <v>10.13220679393088</v>
      </c>
      <c r="D46" s="65">
        <f t="shared" si="2"/>
        <v>0</v>
      </c>
      <c r="E46" s="16"/>
      <c r="G46" s="6"/>
    </row>
    <row r="47" spans="1:8">
      <c r="A47" s="321" t="s">
        <v>218</v>
      </c>
      <c r="B47" s="330">
        <f t="shared" si="1"/>
        <v>2.9081176013437666</v>
      </c>
      <c r="C47" s="330">
        <f>Duette!A$7/1000</f>
        <v>2.9081176013437666</v>
      </c>
      <c r="D47" s="65">
        <f t="shared" si="2"/>
        <v>0</v>
      </c>
      <c r="E47" s="16"/>
      <c r="G47" s="6"/>
    </row>
    <row r="48" spans="1:8">
      <c r="A48" s="321" t="s">
        <v>219</v>
      </c>
      <c r="B48" s="330">
        <f t="shared" si="1"/>
        <v>0.33217224186838656</v>
      </c>
      <c r="C48" s="330">
        <f>Duette!A$8/1000</f>
        <v>0.33217224186838656</v>
      </c>
      <c r="D48" s="65">
        <f t="shared" si="2"/>
        <v>0</v>
      </c>
      <c r="E48" s="16"/>
      <c r="G48" s="6"/>
    </row>
    <row r="49" spans="1:7" ht="15" thickBot="1">
      <c r="A49" s="325" t="s">
        <v>220</v>
      </c>
      <c r="B49" s="331">
        <f t="shared" si="1"/>
        <v>5.8750816760322677E-2</v>
      </c>
      <c r="C49" s="332">
        <f>Duette!A$9/1000</f>
        <v>5.8750816760322677E-2</v>
      </c>
      <c r="D49" s="333">
        <f t="shared" si="2"/>
        <v>0</v>
      </c>
      <c r="E49" s="334"/>
      <c r="G49" s="6"/>
    </row>
    <row r="50" spans="1:7">
      <c r="A50" s="329" t="s">
        <v>221</v>
      </c>
      <c r="B50" s="335">
        <f>Charlie_Creek!$A$2/1000</f>
        <v>89.888835522409764</v>
      </c>
      <c r="C50" s="335">
        <f>Charlie_Creek!$A$2/1000</f>
        <v>89.888835522409764</v>
      </c>
      <c r="D50" s="63">
        <f>B50-C50</f>
        <v>0</v>
      </c>
      <c r="E50" s="15">
        <f>SUM(D50:D57)</f>
        <v>0</v>
      </c>
      <c r="F50" s="16"/>
      <c r="G50" s="6"/>
    </row>
    <row r="51" spans="1:7">
      <c r="A51" s="321" t="s">
        <v>222</v>
      </c>
      <c r="B51" s="337">
        <f>Charlie_Creek!$A$3/1000</f>
        <v>3.3609913149940667</v>
      </c>
      <c r="C51" s="337">
        <f>Charlie_Creek!$A$3/1000</f>
        <v>3.3609913149940667</v>
      </c>
      <c r="D51" s="65">
        <f t="shared" ref="D51:D65" si="3">B51-C51</f>
        <v>0</v>
      </c>
      <c r="E51" s="15"/>
      <c r="G51" s="6"/>
    </row>
    <row r="52" spans="1:7">
      <c r="A52" s="321" t="s">
        <v>223</v>
      </c>
      <c r="B52" s="337">
        <f>Charlie_Creek!$A$4/1000</f>
        <v>1.9920951833168852</v>
      </c>
      <c r="C52" s="337">
        <f>Charlie_Creek!$A$4/1000</f>
        <v>1.9920951833168852</v>
      </c>
      <c r="D52" s="65">
        <f t="shared" si="3"/>
        <v>0</v>
      </c>
      <c r="E52" s="15"/>
      <c r="G52" s="6"/>
    </row>
    <row r="53" spans="1:7">
      <c r="A53" s="380" t="s">
        <v>224</v>
      </c>
      <c r="B53" s="407">
        <f>Charlie_Creek!$A$5/1000</f>
        <v>6.8089901767976535</v>
      </c>
      <c r="C53" s="405">
        <f>Charlie_Creek!$A$5/1000</f>
        <v>6.8089901767976535</v>
      </c>
      <c r="D53" s="406">
        <f t="shared" si="3"/>
        <v>0</v>
      </c>
      <c r="E53" s="15"/>
      <c r="G53" s="6"/>
    </row>
    <row r="54" spans="1:7">
      <c r="A54" s="321" t="s">
        <v>225</v>
      </c>
      <c r="B54" s="337">
        <f>Charlie_Creek!$A$6/1000</f>
        <v>8.2929586245951921</v>
      </c>
      <c r="C54" s="337">
        <f>Charlie_Creek!$A$6/1000</f>
        <v>8.2929586245951921</v>
      </c>
      <c r="D54" s="65">
        <f t="shared" si="3"/>
        <v>0</v>
      </c>
      <c r="E54" s="15"/>
      <c r="G54" s="6"/>
    </row>
    <row r="55" spans="1:7">
      <c r="A55" s="321" t="s">
        <v>226</v>
      </c>
      <c r="B55" s="337">
        <f>Charlie_Creek!$A$7/1000</f>
        <v>19.360587775879008</v>
      </c>
      <c r="C55" s="337">
        <f>Charlie_Creek!$A$7/1000</f>
        <v>19.360587775879008</v>
      </c>
      <c r="D55" s="65">
        <f t="shared" si="3"/>
        <v>0</v>
      </c>
      <c r="E55" s="15"/>
      <c r="G55" s="6"/>
    </row>
    <row r="56" spans="1:7">
      <c r="A56" s="321" t="s">
        <v>227</v>
      </c>
      <c r="B56" s="337">
        <f>Charlie_Creek!$A$8/1000</f>
        <v>2.3226394902331249</v>
      </c>
      <c r="C56" s="337">
        <f>Charlie_Creek!$A$8/1000</f>
        <v>2.3226394902331249</v>
      </c>
      <c r="D56" s="65">
        <f t="shared" si="3"/>
        <v>0</v>
      </c>
      <c r="E56" s="15"/>
      <c r="G56" s="6"/>
    </row>
    <row r="57" spans="1:7" ht="15" thickBot="1">
      <c r="A57" s="325" t="s">
        <v>228</v>
      </c>
      <c r="B57" s="332">
        <f>Charlie_Creek!$A$9/1000</f>
        <v>0.38883310990055275</v>
      </c>
      <c r="C57" s="332">
        <f>Charlie_Creek!$A$9/1000</f>
        <v>0.38883310990055275</v>
      </c>
      <c r="D57" s="333">
        <f t="shared" si="3"/>
        <v>0</v>
      </c>
      <c r="E57" s="15"/>
      <c r="G57" s="6"/>
    </row>
    <row r="58" spans="1:7">
      <c r="A58" s="317" t="s">
        <v>205</v>
      </c>
      <c r="B58" s="335">
        <f>Archer!$A$2/1000</f>
        <v>77.686640419132644</v>
      </c>
      <c r="C58" s="335">
        <f>Archer!$A$2/1000</f>
        <v>77.686640419132644</v>
      </c>
      <c r="D58" s="336">
        <f t="shared" si="3"/>
        <v>0</v>
      </c>
      <c r="E58" s="15">
        <f>SUM(D58:D65)</f>
        <v>0</v>
      </c>
      <c r="G58" s="6"/>
    </row>
    <row r="59" spans="1:7">
      <c r="A59" s="321" t="s">
        <v>206</v>
      </c>
      <c r="B59" s="337">
        <f>Archer!$A$3/1000</f>
        <v>4.5653752025876573</v>
      </c>
      <c r="C59" s="337">
        <f>Archer!$A$3/1000</f>
        <v>4.5653752025876573</v>
      </c>
      <c r="D59" s="65">
        <f t="shared" si="3"/>
        <v>0</v>
      </c>
      <c r="E59" s="15"/>
      <c r="G59" s="6"/>
    </row>
    <row r="60" spans="1:7">
      <c r="A60" s="321" t="s">
        <v>207</v>
      </c>
      <c r="B60" s="337">
        <f>Archer!$A$4/1000</f>
        <v>1.6753964670626824</v>
      </c>
      <c r="C60" s="337">
        <f>Archer!$A$4/1000</f>
        <v>1.6753964670626824</v>
      </c>
      <c r="D60" s="65">
        <f t="shared" si="3"/>
        <v>0</v>
      </c>
      <c r="E60" s="15"/>
      <c r="G60" s="6"/>
    </row>
    <row r="61" spans="1:7">
      <c r="A61" s="380" t="s">
        <v>208</v>
      </c>
      <c r="B61" s="407">
        <f>Archer!$A$5/1000</f>
        <v>0</v>
      </c>
      <c r="C61" s="405">
        <f>Archer!$A$5/1000</f>
        <v>0</v>
      </c>
      <c r="D61" s="406">
        <f t="shared" si="3"/>
        <v>0</v>
      </c>
      <c r="E61" s="15"/>
      <c r="G61" s="6"/>
    </row>
    <row r="62" spans="1:7">
      <c r="A62" s="321" t="s">
        <v>209</v>
      </c>
      <c r="B62" s="337">
        <f>Archer!$A$6/1000</f>
        <v>8.3002912093679786</v>
      </c>
      <c r="C62" s="337">
        <f>Archer!$A$6/1000</f>
        <v>8.3002912093679786</v>
      </c>
      <c r="D62" s="65">
        <f t="shared" si="3"/>
        <v>0</v>
      </c>
      <c r="E62" s="15"/>
      <c r="G62" s="6"/>
    </row>
    <row r="63" spans="1:7">
      <c r="A63" s="321" t="s">
        <v>210</v>
      </c>
      <c r="B63" s="337">
        <f>Archer!$A$7/1000</f>
        <v>6.0888379283304337</v>
      </c>
      <c r="C63" s="337">
        <f>Archer!$A$7/1000</f>
        <v>6.0888379283304337</v>
      </c>
      <c r="D63" s="65">
        <f t="shared" si="3"/>
        <v>0</v>
      </c>
      <c r="E63" s="15"/>
      <c r="G63" s="6"/>
    </row>
    <row r="64" spans="1:7">
      <c r="A64" s="321" t="s">
        <v>211</v>
      </c>
      <c r="B64" s="337">
        <f>Archer!$A$8/1000</f>
        <v>0.96894553680090834</v>
      </c>
      <c r="C64" s="337">
        <f>Archer!$A$8/1000</f>
        <v>0.96894553680090834</v>
      </c>
      <c r="D64" s="65">
        <f t="shared" si="3"/>
        <v>0</v>
      </c>
      <c r="E64" s="15"/>
      <c r="G64" s="6"/>
    </row>
    <row r="65" spans="1:7" ht="15" thickBot="1">
      <c r="A65" s="325" t="s">
        <v>212</v>
      </c>
      <c r="B65" s="332">
        <f>Archer!$A$9/1000</f>
        <v>0.12148955302687416</v>
      </c>
      <c r="C65" s="332">
        <f>Archer!$A$9/1000</f>
        <v>0.12148955302687416</v>
      </c>
      <c r="D65" s="333">
        <f t="shared" si="3"/>
        <v>0</v>
      </c>
      <c r="E65" s="15"/>
      <c r="G65" s="6"/>
    </row>
    <row r="66" spans="1:7">
      <c r="A66" s="329" t="s">
        <v>83</v>
      </c>
      <c r="B66" s="330">
        <f>Trenton!A$2/1000</f>
        <v>104.63850602209902</v>
      </c>
      <c r="C66" s="330">
        <f>Trenton!A$2/1000</f>
        <v>104.63850602209902</v>
      </c>
      <c r="D66" s="63">
        <f>B66-C66</f>
        <v>0</v>
      </c>
      <c r="E66" s="16"/>
      <c r="G66" s="6"/>
    </row>
    <row r="67" spans="1:7">
      <c r="A67" s="321" t="s">
        <v>84</v>
      </c>
      <c r="B67" s="330">
        <f>Trenton!A$3/1000</f>
        <v>4.3227037691569139</v>
      </c>
      <c r="C67" s="330">
        <f>Trenton!A$3/1000</f>
        <v>4.3227037691569139</v>
      </c>
      <c r="D67" s="65">
        <f t="shared" ref="D67:D89" si="4">B67-C67</f>
        <v>0</v>
      </c>
      <c r="E67" s="16"/>
      <c r="G67" s="6"/>
    </row>
    <row r="68" spans="1:7">
      <c r="A68" s="321" t="s">
        <v>85</v>
      </c>
      <c r="B68" s="330">
        <f>Trenton!A$4/1000</f>
        <v>2.5197193510928337</v>
      </c>
      <c r="C68" s="330">
        <f>Trenton!A$4/1000</f>
        <v>2.5197193510928337</v>
      </c>
      <c r="D68" s="65">
        <f t="shared" si="4"/>
        <v>0</v>
      </c>
      <c r="E68" s="16"/>
      <c r="G68" s="6"/>
    </row>
    <row r="69" spans="1:7">
      <c r="A69" s="380" t="s">
        <v>86</v>
      </c>
      <c r="B69" s="407">
        <f>Trenton!A$5/1000</f>
        <v>4.8086327024804696</v>
      </c>
      <c r="C69" s="405">
        <f>Trenton!A$5/1000</f>
        <v>4.8086327024804696</v>
      </c>
      <c r="D69" s="406">
        <f t="shared" si="4"/>
        <v>0</v>
      </c>
      <c r="E69" s="16"/>
      <c r="G69" s="6"/>
    </row>
    <row r="70" spans="1:7">
      <c r="A70" s="321" t="s">
        <v>87</v>
      </c>
      <c r="B70" s="330">
        <f>Trenton!A$6/1000</f>
        <v>18.300068474538069</v>
      </c>
      <c r="C70" s="330">
        <f>Trenton!A$6/1000</f>
        <v>18.300068474538069</v>
      </c>
      <c r="D70" s="65">
        <f t="shared" si="4"/>
        <v>0</v>
      </c>
      <c r="E70" s="16"/>
      <c r="G70" s="6"/>
    </row>
    <row r="71" spans="1:7">
      <c r="A71" s="321" t="s">
        <v>88</v>
      </c>
      <c r="B71" s="330">
        <f>Trenton!A$7/1000</f>
        <v>5.2993724899509838</v>
      </c>
      <c r="C71" s="330">
        <f>Trenton!A$7/1000</f>
        <v>5.2993724899509838</v>
      </c>
      <c r="D71" s="65">
        <f t="shared" si="4"/>
        <v>0</v>
      </c>
      <c r="E71" s="16"/>
      <c r="G71" s="6"/>
    </row>
    <row r="72" spans="1:7">
      <c r="A72" s="321" t="s">
        <v>89</v>
      </c>
      <c r="B72" s="330">
        <f>Trenton!A$8/1000</f>
        <v>0.51853675018397505</v>
      </c>
      <c r="C72" s="330">
        <f>Trenton!A$8/1000</f>
        <v>0.51853675018397505</v>
      </c>
      <c r="D72" s="65">
        <f t="shared" si="4"/>
        <v>0</v>
      </c>
      <c r="E72" s="16"/>
      <c r="G72" s="6"/>
    </row>
    <row r="73" spans="1:7" ht="15" thickBot="1">
      <c r="A73" s="325" t="s">
        <v>90</v>
      </c>
      <c r="B73" s="330">
        <f>Trenton!A$9/1000</f>
        <v>0.11480535887801614</v>
      </c>
      <c r="C73" s="332">
        <f>Trenton!A$9/1000</f>
        <v>0.11480535887801614</v>
      </c>
      <c r="D73" s="333">
        <f t="shared" si="4"/>
        <v>0</v>
      </c>
      <c r="E73" s="334"/>
      <c r="G73" s="6"/>
    </row>
    <row r="74" spans="1:7">
      <c r="A74" s="317" t="s">
        <v>91</v>
      </c>
      <c r="B74" s="338">
        <f>Lake_Placid!A$2/1000</f>
        <v>63.458705733840326</v>
      </c>
      <c r="C74" s="335">
        <f>Lake_Placid!A$2/1000</f>
        <v>63.458705733840326</v>
      </c>
      <c r="D74" s="336">
        <f t="shared" si="4"/>
        <v>0</v>
      </c>
      <c r="E74" s="16"/>
      <c r="G74" s="6"/>
    </row>
    <row r="75" spans="1:7">
      <c r="A75" s="321" t="s">
        <v>92</v>
      </c>
      <c r="B75" s="339">
        <f>Lake_Placid!A$3/1000</f>
        <v>2.2300211676948885</v>
      </c>
      <c r="C75" s="330">
        <f>Lake_Placid!A$3/1000</f>
        <v>2.2300211676948885</v>
      </c>
      <c r="D75" s="65">
        <f t="shared" si="4"/>
        <v>0</v>
      </c>
      <c r="E75" s="16"/>
      <c r="G75" s="6"/>
    </row>
    <row r="76" spans="1:7">
      <c r="A76" s="321" t="s">
        <v>93</v>
      </c>
      <c r="B76" s="339">
        <f>Lake_Placid!A$4/1000</f>
        <v>1.5266138801467606</v>
      </c>
      <c r="C76" s="330">
        <f>Lake_Placid!A$4/1000</f>
        <v>1.5266138801467606</v>
      </c>
      <c r="D76" s="65">
        <f t="shared" si="4"/>
        <v>0</v>
      </c>
      <c r="E76" s="16"/>
      <c r="G76" s="6"/>
    </row>
    <row r="77" spans="1:7">
      <c r="A77" s="380" t="s">
        <v>94</v>
      </c>
      <c r="B77" s="407">
        <f>Lake_Placid!A$5/1000</f>
        <v>5.2757230605053254</v>
      </c>
      <c r="C77" s="405">
        <f>Lake_Placid!A$5/1000</f>
        <v>5.2757230605053254</v>
      </c>
      <c r="D77" s="406">
        <f t="shared" si="4"/>
        <v>0</v>
      </c>
      <c r="E77" s="16"/>
      <c r="G77" s="6"/>
    </row>
    <row r="78" spans="1:7">
      <c r="A78" s="321" t="s">
        <v>95</v>
      </c>
      <c r="B78" s="339">
        <f>Lake_Placid!A$6/1000</f>
        <v>10.430766415246898</v>
      </c>
      <c r="C78" s="330">
        <f>Lake_Placid!A$6/1000</f>
        <v>10.430766415246898</v>
      </c>
      <c r="D78" s="65">
        <f t="shared" si="4"/>
        <v>0</v>
      </c>
      <c r="E78" s="16"/>
      <c r="G78" s="6"/>
    </row>
    <row r="79" spans="1:7">
      <c r="A79" s="321" t="s">
        <v>96</v>
      </c>
      <c r="B79" s="339">
        <f>Lake_Placid!A$7/1000</f>
        <v>3.7889256804468134</v>
      </c>
      <c r="C79" s="330">
        <f>Lake_Placid!A$7/1000</f>
        <v>3.7889256804468134</v>
      </c>
      <c r="D79" s="65">
        <f t="shared" si="4"/>
        <v>0</v>
      </c>
      <c r="E79" s="16"/>
      <c r="G79" s="6"/>
    </row>
    <row r="80" spans="1:7">
      <c r="A80" s="321" t="s">
        <v>97</v>
      </c>
      <c r="B80" s="339">
        <f>Lake_Placid!A$8/1000</f>
        <v>0.43688765786684253</v>
      </c>
      <c r="C80" s="330">
        <f>Lake_Placid!A$8/1000</f>
        <v>0.43688765786684253</v>
      </c>
      <c r="D80" s="65">
        <f t="shared" si="4"/>
        <v>0</v>
      </c>
      <c r="E80" s="16"/>
      <c r="G80" s="6"/>
    </row>
    <row r="81" spans="1:7" ht="15" thickBot="1">
      <c r="A81" s="325" t="s">
        <v>98</v>
      </c>
      <c r="B81" s="340">
        <f>Lake_Placid!A$9/1000</f>
        <v>8.1821428153099549E-2</v>
      </c>
      <c r="C81" s="332">
        <f>Lake_Placid!A$9/1000</f>
        <v>8.1821428153099549E-2</v>
      </c>
      <c r="D81" s="333">
        <f t="shared" si="4"/>
        <v>0</v>
      </c>
      <c r="E81" s="334"/>
      <c r="G81" s="6"/>
    </row>
    <row r="82" spans="1:7">
      <c r="A82" s="317" t="s">
        <v>99</v>
      </c>
      <c r="B82" s="330">
        <f>Debary!A$2/1000</f>
        <v>92.917550755674156</v>
      </c>
      <c r="C82" s="330">
        <f>Debary!A$2/1000</f>
        <v>92.917550755674156</v>
      </c>
      <c r="D82" s="63">
        <f t="shared" si="4"/>
        <v>0</v>
      </c>
      <c r="E82" s="16"/>
      <c r="G82" s="6"/>
    </row>
    <row r="83" spans="1:7">
      <c r="A83" s="321" t="s">
        <v>100</v>
      </c>
      <c r="B83" s="330">
        <f>Debary!A$3/1000</f>
        <v>3.8436070304238488</v>
      </c>
      <c r="C83" s="330">
        <f>Debary!A$3/1000</f>
        <v>3.8436070304238488</v>
      </c>
      <c r="D83" s="65">
        <f t="shared" si="4"/>
        <v>0</v>
      </c>
      <c r="E83" s="16"/>
      <c r="G83" s="6"/>
    </row>
    <row r="84" spans="1:7">
      <c r="A84" s="321" t="s">
        <v>101</v>
      </c>
      <c r="B84" s="330">
        <f>Debary!A$4/1000</f>
        <v>2.2495952288842731</v>
      </c>
      <c r="C84" s="330">
        <f>Debary!A$4/1000</f>
        <v>2.2495952288842731</v>
      </c>
      <c r="D84" s="65">
        <f t="shared" si="4"/>
        <v>0</v>
      </c>
      <c r="E84" s="16"/>
      <c r="G84" s="6"/>
    </row>
    <row r="85" spans="1:7">
      <c r="A85" s="380" t="s">
        <v>102</v>
      </c>
      <c r="B85" s="407">
        <f>Debary!A$5/1000</f>
        <v>0</v>
      </c>
      <c r="C85" s="405">
        <f>Debary!A$5/1000</f>
        <v>0</v>
      </c>
      <c r="D85" s="406">
        <f t="shared" si="4"/>
        <v>0</v>
      </c>
      <c r="E85" s="16"/>
      <c r="G85" s="6"/>
    </row>
    <row r="86" spans="1:7">
      <c r="A86" s="321" t="s">
        <v>103</v>
      </c>
      <c r="B86" s="330">
        <f>Debary!A$6/1000</f>
        <v>15.189948601725039</v>
      </c>
      <c r="C86" s="330">
        <f>Debary!A$6/1000</f>
        <v>15.189948601725039</v>
      </c>
      <c r="D86" s="65">
        <f t="shared" si="4"/>
        <v>0</v>
      </c>
      <c r="E86" s="16"/>
      <c r="G86" s="6"/>
    </row>
    <row r="87" spans="1:7">
      <c r="A87" s="321" t="s">
        <v>104</v>
      </c>
      <c r="B87" s="330">
        <f>Debary!A$7/1000</f>
        <v>6.3951739382934614</v>
      </c>
      <c r="C87" s="330">
        <f>Debary!A$7/1000</f>
        <v>6.3951739382934614</v>
      </c>
      <c r="D87" s="65">
        <f t="shared" si="4"/>
        <v>0</v>
      </c>
      <c r="E87" s="16"/>
      <c r="G87" s="6"/>
    </row>
    <row r="88" spans="1:7">
      <c r="A88" s="321" t="s">
        <v>105</v>
      </c>
      <c r="B88" s="330">
        <f>Debary!A$8/1000</f>
        <v>0.85063163480304327</v>
      </c>
      <c r="C88" s="330">
        <f>Debary!A$8/1000</f>
        <v>0.85063163480304327</v>
      </c>
      <c r="D88" s="65">
        <f t="shared" si="4"/>
        <v>0</v>
      </c>
      <c r="E88" s="16"/>
      <c r="G88" s="6"/>
    </row>
    <row r="89" spans="1:7" ht="15" thickBot="1">
      <c r="A89" s="325" t="s">
        <v>106</v>
      </c>
      <c r="B89" s="332">
        <f>Debary!A$9/1000</f>
        <v>0.13712294960331972</v>
      </c>
      <c r="C89" s="340">
        <f>Debary!A$9/1000</f>
        <v>0.13712294960331972</v>
      </c>
      <c r="D89" s="333">
        <f t="shared" si="4"/>
        <v>0</v>
      </c>
      <c r="E89" s="334"/>
      <c r="G89" s="6"/>
    </row>
    <row r="90" spans="1:7">
      <c r="A90" s="329" t="s">
        <v>26</v>
      </c>
      <c r="B90" s="335">
        <f>Hamilton!A$2/1000</f>
        <v>108.98693633025789</v>
      </c>
      <c r="C90" s="335">
        <f>Hamilton!A2/1000</f>
        <v>108.98693633025789</v>
      </c>
      <c r="D90" s="341">
        <f>B90-C90</f>
        <v>0</v>
      </c>
      <c r="E90" s="15"/>
      <c r="G90" s="6"/>
    </row>
    <row r="91" spans="1:7">
      <c r="A91" s="321" t="s">
        <v>28</v>
      </c>
      <c r="B91" s="337">
        <f>Hamilton!A$3/1000</f>
        <v>10.980767611022506</v>
      </c>
      <c r="C91" s="337">
        <f>Hamilton!A3/1000</f>
        <v>10.980767611022506</v>
      </c>
      <c r="D91" s="342">
        <f t="shared" ref="D91:D118" si="5">B91-C91</f>
        <v>0</v>
      </c>
      <c r="E91" s="15"/>
      <c r="G91" s="6"/>
    </row>
    <row r="92" spans="1:7">
      <c r="A92" s="321" t="s">
        <v>29</v>
      </c>
      <c r="B92" s="337">
        <f>Hamilton!A$4/1000</f>
        <v>2.8841560522540384</v>
      </c>
      <c r="C92" s="337">
        <f>Hamilton!A4/1000</f>
        <v>2.8841560522540384</v>
      </c>
      <c r="D92" s="342">
        <f t="shared" si="5"/>
        <v>0</v>
      </c>
      <c r="E92" s="15"/>
      <c r="G92" s="6"/>
    </row>
    <row r="93" spans="1:7">
      <c r="A93" s="380" t="s">
        <v>27</v>
      </c>
      <c r="B93" s="407">
        <f>Hamilton!A$5/1000</f>
        <v>5.6799053467034382</v>
      </c>
      <c r="C93" s="405">
        <f>Hamilton!A5/1000</f>
        <v>5.6799053467034382</v>
      </c>
      <c r="D93" s="406">
        <f t="shared" si="5"/>
        <v>0</v>
      </c>
      <c r="E93" s="15"/>
      <c r="G93" s="6"/>
    </row>
    <row r="94" spans="1:7">
      <c r="A94" s="321" t="s">
        <v>37</v>
      </c>
      <c r="B94" s="337">
        <f>Hamilton!A$6/1000</f>
        <v>19.487136140031726</v>
      </c>
      <c r="C94" s="337">
        <f>Hamilton!A6/1000</f>
        <v>19.487136140031726</v>
      </c>
      <c r="D94" s="342">
        <f t="shared" si="5"/>
        <v>0</v>
      </c>
      <c r="E94" s="15"/>
      <c r="G94" s="6"/>
    </row>
    <row r="95" spans="1:7">
      <c r="A95" s="321" t="s">
        <v>41</v>
      </c>
      <c r="B95" s="337">
        <f>Hamilton!A$7/1000</f>
        <v>8.4673371307817824</v>
      </c>
      <c r="C95" s="337">
        <f>Hamilton!A7/1000</f>
        <v>8.4673371307817824</v>
      </c>
      <c r="D95" s="342">
        <f t="shared" si="5"/>
        <v>0</v>
      </c>
      <c r="E95" s="15"/>
      <c r="G95" s="6"/>
    </row>
    <row r="96" spans="1:7">
      <c r="A96" s="321" t="s">
        <v>42</v>
      </c>
      <c r="B96" s="337">
        <f>Hamilton!A$8/1000</f>
        <v>1.4092890853458413</v>
      </c>
      <c r="C96" s="337">
        <f>Hamilton!A8/1000</f>
        <v>1.4092890853458413</v>
      </c>
      <c r="D96" s="342">
        <f t="shared" si="5"/>
        <v>0</v>
      </c>
      <c r="E96" s="15"/>
      <c r="G96" s="6"/>
    </row>
    <row r="97" spans="1:7" ht="15" thickBot="1">
      <c r="A97" s="325" t="s">
        <v>43</v>
      </c>
      <c r="B97" s="332">
        <f>Hamilton!A$9/1000</f>
        <v>3.5423687106779198</v>
      </c>
      <c r="C97" s="332">
        <f>Hamilton!A9/1000</f>
        <v>3.5423687106779198</v>
      </c>
      <c r="D97" s="343">
        <f t="shared" si="5"/>
        <v>0</v>
      </c>
      <c r="E97" s="15"/>
      <c r="G97" s="6"/>
    </row>
    <row r="98" spans="1:7">
      <c r="A98" s="317" t="s">
        <v>30</v>
      </c>
      <c r="B98" s="335">
        <f>Columbia!A$2/1000</f>
        <v>114.31744816712227</v>
      </c>
      <c r="C98" s="335">
        <f>Columbia!A2/1000</f>
        <v>114.31744816712227</v>
      </c>
      <c r="D98" s="344">
        <f t="shared" si="5"/>
        <v>0</v>
      </c>
      <c r="E98" s="15"/>
      <c r="G98" s="6"/>
    </row>
    <row r="99" spans="1:7">
      <c r="A99" s="321" t="s">
        <v>32</v>
      </c>
      <c r="B99" s="337">
        <f>Columbia!A$3/1000</f>
        <v>4.1394460232552674</v>
      </c>
      <c r="C99" s="337">
        <f>Columbia!A3/1000</f>
        <v>4.1394460232552674</v>
      </c>
      <c r="D99" s="342">
        <f t="shared" si="5"/>
        <v>0</v>
      </c>
      <c r="E99" s="15"/>
      <c r="G99" s="6"/>
    </row>
    <row r="100" spans="1:7">
      <c r="A100" s="321" t="s">
        <v>33</v>
      </c>
      <c r="B100" s="337">
        <f>Columbia!A$4/1000</f>
        <v>2.7436055196183755</v>
      </c>
      <c r="C100" s="337">
        <f>Columbia!A4/1000</f>
        <v>2.7436055196183755</v>
      </c>
      <c r="D100" s="342">
        <f t="shared" si="5"/>
        <v>0</v>
      </c>
      <c r="E100" s="15"/>
      <c r="G100" s="6"/>
    </row>
    <row r="101" spans="1:7">
      <c r="A101" s="380" t="s">
        <v>31</v>
      </c>
      <c r="B101" s="407">
        <f>Columbia!A$5/1000</f>
        <v>6.4571957828335815</v>
      </c>
      <c r="C101" s="405">
        <f>Columbia!A5/1000</f>
        <v>6.4571957828335815</v>
      </c>
      <c r="D101" s="406">
        <f t="shared" si="5"/>
        <v>0</v>
      </c>
      <c r="E101" s="15"/>
      <c r="G101" s="6"/>
    </row>
    <row r="102" spans="1:7">
      <c r="A102" s="321" t="s">
        <v>36</v>
      </c>
      <c r="B102" s="337">
        <f>Columbia!A$6/1000</f>
        <v>14.201203331068434</v>
      </c>
      <c r="C102" s="337">
        <f>Columbia!A6/1000</f>
        <v>14.201203331068434</v>
      </c>
      <c r="D102" s="342">
        <f t="shared" si="5"/>
        <v>0</v>
      </c>
      <c r="E102" s="15"/>
      <c r="G102" s="6"/>
    </row>
    <row r="103" spans="1:7">
      <c r="A103" s="321" t="s">
        <v>44</v>
      </c>
      <c r="B103" s="337">
        <f>Columbia!A$7/1000</f>
        <v>9.4041421438927184</v>
      </c>
      <c r="C103" s="337">
        <f>Columbia!A7/1000</f>
        <v>9.4041421438927184</v>
      </c>
      <c r="D103" s="342">
        <f t="shared" si="5"/>
        <v>0</v>
      </c>
      <c r="E103" s="15"/>
      <c r="G103" s="6"/>
    </row>
    <row r="104" spans="1:7">
      <c r="A104" s="321" t="s">
        <v>45</v>
      </c>
      <c r="B104" s="337">
        <f>Columbia!A$8/1000</f>
        <v>0.94238005891945165</v>
      </c>
      <c r="C104" s="337">
        <f>Columbia!A8/1000</f>
        <v>0.94238005891945165</v>
      </c>
      <c r="D104" s="342">
        <f t="shared" si="5"/>
        <v>0</v>
      </c>
      <c r="E104" s="15"/>
      <c r="G104" s="6"/>
    </row>
    <row r="105" spans="1:7" ht="15" thickBot="1">
      <c r="A105" s="325" t="s">
        <v>46</v>
      </c>
      <c r="B105" s="332">
        <f>Columbia!A$9/1000</f>
        <v>3.5978362599699025</v>
      </c>
      <c r="C105" s="332">
        <f>Columbia!A9/1000</f>
        <v>3.5978362599699025</v>
      </c>
      <c r="D105" s="343">
        <f t="shared" si="5"/>
        <v>0</v>
      </c>
      <c r="E105" s="15"/>
      <c r="G105" s="6"/>
    </row>
    <row r="106" spans="1:7">
      <c r="A106" s="329" t="s">
        <v>35</v>
      </c>
      <c r="B106" s="35">
        <f>'[9]2019Fall_SoB700_GENCAP_2048'!$C$18/1000</f>
        <v>1740.3940671948026</v>
      </c>
      <c r="C106" s="35">
        <f>'[9]2019Fall_GenCap_CEC'!$C$18/1000</f>
        <v>1581.7154543752474</v>
      </c>
      <c r="D106" s="341">
        <f t="shared" si="5"/>
        <v>158.67861281955516</v>
      </c>
      <c r="E106" s="16">
        <f>SUM(D106:D109)</f>
        <v>353.45878275864129</v>
      </c>
      <c r="G106" s="6"/>
    </row>
    <row r="107" spans="1:7">
      <c r="A107" s="321" t="s">
        <v>34</v>
      </c>
      <c r="B107" s="172">
        <f>'[9]2019Fall_SoB700_TRANSCAP_2048'!$C$18/1000</f>
        <v>1986.6902365461219</v>
      </c>
      <c r="C107" s="172">
        <f>'[9]2019Fall_TrCap_CEC'!$C$18/1000</f>
        <v>1957.7861538403934</v>
      </c>
      <c r="D107" s="342">
        <f t="shared" si="5"/>
        <v>28.90408270572857</v>
      </c>
      <c r="E107" s="16"/>
      <c r="G107" s="6"/>
    </row>
    <row r="108" spans="1:7">
      <c r="A108" s="329" t="s">
        <v>47</v>
      </c>
      <c r="B108" s="172">
        <f>NPV('Financial Information'!$B$5,[14]System!$B$13:$AI$13)/1000*(1+'Financial Information'!$B$5)</f>
        <v>6924.2671265790241</v>
      </c>
      <c r="C108" s="172">
        <f>NPV('Financial Information'!$B$5,[17]System!$B$13:$AI$13)/1000*(1+'Financial Information'!$B$5)</f>
        <v>6770.3813448562632</v>
      </c>
      <c r="D108" s="342">
        <f t="shared" si="5"/>
        <v>153.88578172276084</v>
      </c>
      <c r="E108" s="16"/>
      <c r="G108" s="6"/>
    </row>
    <row r="109" spans="1:7">
      <c r="A109" s="321" t="s">
        <v>48</v>
      </c>
      <c r="B109" s="172">
        <f>'[9]2019Fall_SoB700_FOM_2048'!$C$18/1000</f>
        <v>130.83793921814879</v>
      </c>
      <c r="C109" s="172">
        <f>'[9]2019Fall_CEC_FOM'!$C$18/1000</f>
        <v>118.84763370755208</v>
      </c>
      <c r="D109" s="342">
        <f>B109-C109</f>
        <v>11.990305510596713</v>
      </c>
      <c r="E109" s="16"/>
      <c r="G109" s="6"/>
    </row>
    <row r="110" spans="1:7">
      <c r="A110" s="321" t="s">
        <v>50</v>
      </c>
      <c r="B110" s="172">
        <f>NPV('Financial Information'!$B$5,'[14]Fuel Cost'!$C$150:$AJ$150)/1000*(1+'Financial Information'!$B$5)</f>
        <v>19702.536108267726</v>
      </c>
      <c r="C110" s="172">
        <f>NPV('Financial Information'!$B$5,'[15]Fuel Cost'!$C$150:$AJ$150)/1000*(1+'Financial Information'!$B$5)</f>
        <v>19000.606927998972</v>
      </c>
      <c r="D110" s="342">
        <f t="shared" si="5"/>
        <v>701.92918026875486</v>
      </c>
      <c r="E110" s="16">
        <f>SUM(D110:D118)</f>
        <v>769.06827685147209</v>
      </c>
      <c r="G110" s="6"/>
    </row>
    <row r="111" spans="1:7">
      <c r="A111" s="321" t="s">
        <v>181</v>
      </c>
      <c r="B111" s="172">
        <f>NPV('Financial Information'!$B$5,'[14]VOM Cost'!$C$150:$AJ$150)/1000*(1+'Financial Information'!$B$5)</f>
        <v>3145.4172231259549</v>
      </c>
      <c r="C111" s="172">
        <f>NPV('Financial Information'!$B$5,'[15]VOM Cost'!$C$150:$AJ$150)/1000*(1+'Financial Information'!$B$5)</f>
        <v>3100.5452837931171</v>
      </c>
      <c r="D111" s="342">
        <f t="shared" si="5"/>
        <v>44.871939332837883</v>
      </c>
      <c r="E111" s="16"/>
      <c r="G111" s="6"/>
    </row>
    <row r="112" spans="1:7">
      <c r="A112" s="321" t="s">
        <v>182</v>
      </c>
      <c r="B112" s="172">
        <f>NPV('Financial Information'!$B$5,[14]System!$B$9:$AI$9)/1000*(1+'Financial Information'!$B$5)</f>
        <v>1.6610540932439621</v>
      </c>
      <c r="C112" s="172">
        <f>NPV('Financial Information'!$B$5,[15]System!$B$9:$AI$9)/1000*(1+'Financial Information'!$B$5)</f>
        <v>4.1469594296410577</v>
      </c>
      <c r="D112" s="342">
        <f t="shared" si="5"/>
        <v>-2.4859053363970958</v>
      </c>
      <c r="E112" s="16"/>
      <c r="G112" s="6"/>
    </row>
    <row r="113" spans="1:7">
      <c r="A113" s="321" t="s">
        <v>183</v>
      </c>
      <c r="B113" s="172">
        <f>NPV('Financial Information'!$B$5,[14]System!$B$7:$AI$7)/1000*(1+'Financial Information'!$B$5)</f>
        <v>0</v>
      </c>
      <c r="C113" s="172">
        <f>NPV('Financial Information'!$B$5,[15]System!$B$7:$AI$7)/1000*(1+'Financial Information'!$B$5)</f>
        <v>0</v>
      </c>
      <c r="D113" s="342">
        <f t="shared" si="5"/>
        <v>0</v>
      </c>
      <c r="E113" s="16"/>
      <c r="G113" s="6"/>
    </row>
    <row r="114" spans="1:7">
      <c r="A114" s="321" t="s">
        <v>184</v>
      </c>
      <c r="B114" s="172">
        <f>NPV('Financial Information'!$B$5,'[14]Start Cost'!$C$150:$AJ$150)/1000*(1+'Financial Information'!$B$5)</f>
        <v>422.98318432815648</v>
      </c>
      <c r="C114" s="172">
        <f>NPV('Financial Information'!$B$5,'[15]Start Cost'!$C$150:$AJ$150)/1000*(1+'Financial Information'!$B$5)</f>
        <v>398.7118129976825</v>
      </c>
      <c r="D114" s="342">
        <f>B114-C114</f>
        <v>24.271371330473983</v>
      </c>
      <c r="E114" s="16"/>
      <c r="G114" s="6"/>
    </row>
    <row r="115" spans="1:7">
      <c r="A115" s="321" t="s">
        <v>185</v>
      </c>
      <c r="B115" s="345">
        <f>NPV('Financial Information'!$B$5,'[14]Lime Cost'!$C$150:$AJ$150)/1000*(1+'Financial Information'!$B$5)</f>
        <v>9.209927151133984</v>
      </c>
      <c r="C115" s="345">
        <f>NPV('Financial Information'!$B$5,'[15]Lime Cost'!$C$150:$AJ$150)/1000*(1+'Financial Information'!$B$5)</f>
        <v>9.2508995025306291</v>
      </c>
      <c r="D115" s="342">
        <f>B115-C115</f>
        <v>-4.0972351396645124E-2</v>
      </c>
      <c r="E115" s="16"/>
      <c r="G115" s="6"/>
    </row>
    <row r="116" spans="1:7">
      <c r="A116" s="321" t="s">
        <v>186</v>
      </c>
      <c r="B116" s="172">
        <f>NPV('Financial Information'!$B$5,'[14]Reagent Cost'!$C$150:$AJ$150)/1000*(1+'Financial Information'!$B$5)</f>
        <v>51.289293845998344</v>
      </c>
      <c r="C116" s="172">
        <f>NPV('Financial Information'!$B$5,'[15]Reagent Cost'!$C$150:$AJ$150)/1000*(1+'Financial Information'!$B$5)</f>
        <v>51.026395565929093</v>
      </c>
      <c r="D116" s="342">
        <f>B116-C116</f>
        <v>0.2628982800692512</v>
      </c>
      <c r="E116" s="16"/>
      <c r="G116" s="6"/>
    </row>
    <row r="117" spans="1:7">
      <c r="A117" s="321" t="s">
        <v>187</v>
      </c>
      <c r="B117" s="172">
        <f>NPV('Financial Information'!$B$5,'[14]NOx Cost'!$C$150:$AJ$150)/1000*(1+'Financial Information'!$B$5)</f>
        <v>6.2026213399744625</v>
      </c>
      <c r="C117" s="172">
        <f>NPV('Financial Information'!$B$5,'[15]NOx Cost'!$C$150:$AJ$150)/1000*(1+'Financial Information'!$B$5)</f>
        <v>5.9428693735050846</v>
      </c>
      <c r="D117" s="342">
        <f t="shared" si="5"/>
        <v>0.25975196646937793</v>
      </c>
      <c r="E117" s="16"/>
      <c r="G117" s="6"/>
    </row>
    <row r="118" spans="1:7" ht="15" thickBot="1">
      <c r="A118" s="325" t="s">
        <v>188</v>
      </c>
      <c r="B118" s="346">
        <f>NPV('Financial Information'!$B$5,'[14]SO2 Cost'!$C$150:$AJ$150)/1000*(1+'Financial Information'!$B$5)</f>
        <v>9.5000033609724963E-2</v>
      </c>
      <c r="C118" s="346">
        <f>NPV('Financial Information'!$B$5,'[15]SO2 Cost'!$C$150:$AJ$150)/1000*(1+'Financial Information'!$B$5)</f>
        <v>9.4986672949385176E-2</v>
      </c>
      <c r="D118" s="343">
        <f t="shared" si="5"/>
        <v>1.3360660339786778E-5</v>
      </c>
      <c r="E118" s="16"/>
      <c r="G118" s="6"/>
    </row>
    <row r="119" spans="1:7">
      <c r="A119" s="9" t="s">
        <v>49</v>
      </c>
      <c r="B119" s="35">
        <f>SUM(B26:B118)</f>
        <v>35442.02086337591</v>
      </c>
      <c r="C119" s="35">
        <f>SUM(C26:C118)</f>
        <v>34319.493803765799</v>
      </c>
      <c r="D119" s="35">
        <f>SUM(D2:D118)</f>
        <v>-17.771224739404399</v>
      </c>
      <c r="E119" s="16"/>
      <c r="G119" s="6"/>
    </row>
    <row r="120" spans="1:7">
      <c r="A120" s="321" t="s">
        <v>51</v>
      </c>
      <c r="B120" s="172">
        <f>NPV('Financial Information'!$B$5,'[14]CO2 Cost'!$C$150:$AJ$150)/1000*(1+'Financial Information'!$B$5)</f>
        <v>11794.525774096777</v>
      </c>
      <c r="C120" s="172">
        <f>NPV('Financial Information'!$B$5,'[15]CO2 Cost'!$C$150:$AJ$150)/1000*(1+'Financial Information'!$B$5)</f>
        <v>11365.751411261779</v>
      </c>
      <c r="D120" s="342">
        <f>B120-C120</f>
        <v>428.7743628349981</v>
      </c>
      <c r="E120" s="16">
        <f>D120</f>
        <v>428.7743628349981</v>
      </c>
      <c r="F120" s="16"/>
      <c r="G120" s="6"/>
    </row>
    <row r="121" spans="1:7">
      <c r="A121" s="171" t="s">
        <v>189</v>
      </c>
      <c r="B121" s="172">
        <f>B119+B120</f>
        <v>47236.546637472689</v>
      </c>
      <c r="C121" s="172">
        <f>C119+C120</f>
        <v>45685.245215027579</v>
      </c>
      <c r="D121" s="172">
        <f>+D119+D120</f>
        <v>411.00313809559373</v>
      </c>
      <c r="E121" s="52">
        <f>SUM(E2:E120)</f>
        <v>411.00313809559384</v>
      </c>
      <c r="G121" s="6"/>
    </row>
    <row r="122" spans="1:7">
      <c r="E122" s="32"/>
      <c r="G122" s="6"/>
    </row>
    <row r="123" spans="1:7">
      <c r="A123" s="347" t="s">
        <v>179</v>
      </c>
      <c r="B123" s="348">
        <f>SUM(B2:B105)</f>
        <v>1320.4370816520175</v>
      </c>
      <c r="C123" s="348">
        <f>SUM(C2:C105)</f>
        <v>2460.7353660015347</v>
      </c>
      <c r="D123" s="349">
        <f>B123-C123</f>
        <v>-1140.2982843495172</v>
      </c>
      <c r="E123" s="32"/>
      <c r="G123" s="6"/>
    </row>
    <row r="124" spans="1:7">
      <c r="A124" s="350" t="s">
        <v>178</v>
      </c>
      <c r="B124" s="119">
        <f>SUM(B106:B109)</f>
        <v>10782.189369538097</v>
      </c>
      <c r="C124" s="119">
        <f>SUM(C106:C109)</f>
        <v>10428.730586779457</v>
      </c>
      <c r="D124" s="211">
        <f>B124-C124</f>
        <v>353.45878275864015</v>
      </c>
      <c r="E124" s="32"/>
      <c r="G124" s="6"/>
    </row>
    <row r="125" spans="1:7">
      <c r="A125" s="351" t="s">
        <v>113</v>
      </c>
      <c r="B125" s="212">
        <f>SUM(B110:B118)+B120</f>
        <v>35133.920186282572</v>
      </c>
      <c r="C125" s="212">
        <f>SUM(C110:C118)+C120</f>
        <v>33936.077546596105</v>
      </c>
      <c r="D125" s="213">
        <f>B125-C125</f>
        <v>1197.842639686467</v>
      </c>
      <c r="G125" s="6"/>
    </row>
    <row r="126" spans="1:7">
      <c r="B126" s="16">
        <f>SUM(B123:B125)</f>
        <v>47236.546637472682</v>
      </c>
      <c r="C126" s="16">
        <f>SUM(C123:C125)</f>
        <v>46825.543499377098</v>
      </c>
      <c r="D126" s="16">
        <f>SUM(D123:D125)</f>
        <v>411.00313809558997</v>
      </c>
      <c r="G126" s="6"/>
    </row>
    <row r="127" spans="1:7">
      <c r="G127" s="6"/>
    </row>
    <row r="128" spans="1:7">
      <c r="B128" s="216"/>
      <c r="C128" s="216"/>
      <c r="D128" s="23"/>
      <c r="E128" s="23"/>
    </row>
    <row r="129" spans="1:5">
      <c r="A129" s="36"/>
      <c r="B129" s="16"/>
      <c r="C129" s="16"/>
      <c r="D129" s="16"/>
    </row>
    <row r="130" spans="1:5">
      <c r="B130" s="352"/>
      <c r="C130" s="352"/>
    </row>
    <row r="131" spans="1:5">
      <c r="B131" s="352"/>
      <c r="C131" s="352"/>
      <c r="E131" s="24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131"/>
  <sheetViews>
    <sheetView workbookViewId="0">
      <selection activeCell="J30" sqref="J30"/>
    </sheetView>
  </sheetViews>
  <sheetFormatPr defaultColWidth="8.90625" defaultRowHeight="14.5"/>
  <cols>
    <col min="1" max="1" width="47.6328125" style="6" bestFit="1" customWidth="1"/>
    <col min="2" max="2" width="10.54296875" style="6" bestFit="1" customWidth="1"/>
    <col min="3" max="3" width="22.36328125" style="6" bestFit="1" customWidth="1"/>
    <col min="4" max="4" width="29.1796875" style="6" bestFit="1" customWidth="1"/>
    <col min="5" max="5" width="8.90625" style="6"/>
    <col min="6" max="6" width="8.36328125" style="6" bestFit="1" customWidth="1"/>
    <col min="7" max="7" width="9" style="25" bestFit="1" customWidth="1"/>
    <col min="8" max="12" width="9.08984375" style="6"/>
    <col min="13" max="16384" width="8.90625" style="6"/>
  </cols>
  <sheetData>
    <row r="1" spans="1:7" ht="15" thickBot="1">
      <c r="A1" s="314" t="s">
        <v>231</v>
      </c>
      <c r="B1" s="315" t="s">
        <v>161</v>
      </c>
      <c r="C1" s="315" t="s">
        <v>201</v>
      </c>
      <c r="D1" s="316" t="str">
        <f>C1&amp;" Savings"</f>
        <v>Clean Energy Connection Savings</v>
      </c>
      <c r="F1" s="33"/>
      <c r="G1" s="34"/>
    </row>
    <row r="2" spans="1:7">
      <c r="A2" s="317" t="s">
        <v>136</v>
      </c>
      <c r="B2" s="318"/>
      <c r="C2" s="319">
        <f>CEC_2022!A2/1000</f>
        <v>191.26908306813931</v>
      </c>
      <c r="D2" s="320">
        <f>B2-C2</f>
        <v>-191.26908306813931</v>
      </c>
      <c r="E2" s="216">
        <f>SUM(D2:D25)</f>
        <v>-1140.2982843495176</v>
      </c>
      <c r="F2" s="33"/>
      <c r="G2" s="34"/>
    </row>
    <row r="3" spans="1:7">
      <c r="A3" s="321" t="s">
        <v>137</v>
      </c>
      <c r="B3" s="322"/>
      <c r="C3" s="323">
        <f>CEC_2022!A3/1000</f>
        <v>8.0267072871054399</v>
      </c>
      <c r="D3" s="324">
        <f t="shared" ref="D3:D25" si="0">B3-C3</f>
        <v>-8.0267072871054399</v>
      </c>
      <c r="F3" s="33"/>
      <c r="G3" s="34"/>
    </row>
    <row r="4" spans="1:7">
      <c r="A4" s="321" t="s">
        <v>138</v>
      </c>
      <c r="B4" s="322"/>
      <c r="C4" s="323">
        <f>CEC_2022!A4/1000</f>
        <v>4.1771082843542722</v>
      </c>
      <c r="D4" s="324">
        <f t="shared" si="0"/>
        <v>-4.1771082843542722</v>
      </c>
      <c r="F4" s="33"/>
      <c r="G4" s="34"/>
    </row>
    <row r="5" spans="1:7">
      <c r="A5" s="380" t="s">
        <v>139</v>
      </c>
      <c r="B5" s="404"/>
      <c r="C5" s="405">
        <f>CEC_2022!A5/1000</f>
        <v>11.875399225644381</v>
      </c>
      <c r="D5" s="406">
        <f t="shared" si="0"/>
        <v>-11.875399225644381</v>
      </c>
      <c r="F5" s="33"/>
      <c r="G5" s="34"/>
    </row>
    <row r="6" spans="1:7">
      <c r="A6" s="321" t="s">
        <v>140</v>
      </c>
      <c r="B6" s="322"/>
      <c r="C6" s="323">
        <f>CEC_2022!A6/1000</f>
        <v>19.889076197292866</v>
      </c>
      <c r="D6" s="324">
        <f t="shared" si="0"/>
        <v>-19.889076197292866</v>
      </c>
      <c r="F6" s="33"/>
      <c r="G6" s="34"/>
    </row>
    <row r="7" spans="1:7">
      <c r="A7" s="321" t="s">
        <v>141</v>
      </c>
      <c r="B7" s="322"/>
      <c r="C7" s="323">
        <f>CEC_2022!A7/1000</f>
        <v>21.347848303116155</v>
      </c>
      <c r="D7" s="324">
        <f t="shared" si="0"/>
        <v>-21.347848303116155</v>
      </c>
      <c r="F7" s="33"/>
      <c r="G7" s="34"/>
    </row>
    <row r="8" spans="1:7">
      <c r="A8" s="321" t="s">
        <v>142</v>
      </c>
      <c r="B8" s="322"/>
      <c r="C8" s="323">
        <f>CEC_2022!A8/1000</f>
        <v>1.9025686873718954</v>
      </c>
      <c r="D8" s="324">
        <f t="shared" si="0"/>
        <v>-1.9025686873718954</v>
      </c>
      <c r="F8" s="33"/>
      <c r="G8" s="34"/>
    </row>
    <row r="9" spans="1:7" ht="15" thickBot="1">
      <c r="A9" s="325" t="s">
        <v>143</v>
      </c>
      <c r="B9" s="326"/>
      <c r="C9" s="327">
        <f>CEC_2022!A9/1000</f>
        <v>0.42602440951546988</v>
      </c>
      <c r="D9" s="328">
        <f t="shared" si="0"/>
        <v>-0.42602440951546988</v>
      </c>
      <c r="F9" s="33"/>
      <c r="G9" s="34"/>
    </row>
    <row r="10" spans="1:7">
      <c r="A10" s="317" t="s">
        <v>144</v>
      </c>
      <c r="B10" s="318"/>
      <c r="C10" s="319">
        <f>CEC_2023!A2/1000</f>
        <v>328.32876164617068</v>
      </c>
      <c r="D10" s="320">
        <f>B10-C10</f>
        <v>-328.32876164617068</v>
      </c>
      <c r="F10" s="33"/>
      <c r="G10" s="34"/>
    </row>
    <row r="11" spans="1:7">
      <c r="A11" s="321" t="s">
        <v>145</v>
      </c>
      <c r="B11" s="322"/>
      <c r="C11" s="323">
        <f>CEC_2023!A3/1000</f>
        <v>14.738395644554535</v>
      </c>
      <c r="D11" s="324">
        <f t="shared" si="0"/>
        <v>-14.738395644554535</v>
      </c>
      <c r="F11" s="33"/>
      <c r="G11" s="34"/>
    </row>
    <row r="12" spans="1:7">
      <c r="A12" s="321" t="s">
        <v>146</v>
      </c>
      <c r="B12" s="322"/>
      <c r="C12" s="323">
        <f>CEC_2023!A4/1000</f>
        <v>7.2693265420457012</v>
      </c>
      <c r="D12" s="324">
        <f t="shared" si="0"/>
        <v>-7.2693265420457012</v>
      </c>
      <c r="F12" s="33"/>
      <c r="G12" s="34"/>
    </row>
    <row r="13" spans="1:7">
      <c r="A13" s="380" t="s">
        <v>147</v>
      </c>
      <c r="B13" s="404"/>
      <c r="C13" s="405">
        <f>CEC_2023!A5/1000</f>
        <v>22.704605829723096</v>
      </c>
      <c r="D13" s="406">
        <f t="shared" si="0"/>
        <v>-22.704605829723096</v>
      </c>
      <c r="F13" s="33"/>
      <c r="G13" s="34"/>
    </row>
    <row r="14" spans="1:7">
      <c r="A14" s="321" t="s">
        <v>148</v>
      </c>
      <c r="B14" s="322"/>
      <c r="C14" s="323">
        <f>CEC_2023!A6/1000</f>
        <v>37.851128208366632</v>
      </c>
      <c r="D14" s="324">
        <f t="shared" si="0"/>
        <v>-37.851128208366632</v>
      </c>
      <c r="F14" s="33"/>
      <c r="G14" s="34"/>
    </row>
    <row r="15" spans="1:7">
      <c r="A15" s="321" t="s">
        <v>149</v>
      </c>
      <c r="B15" s="322"/>
      <c r="C15" s="323">
        <f>CEC_2023!A7/1000</f>
        <v>39.119262856534156</v>
      </c>
      <c r="D15" s="324">
        <f t="shared" si="0"/>
        <v>-39.119262856534156</v>
      </c>
      <c r="F15" s="33"/>
      <c r="G15" s="34"/>
    </row>
    <row r="16" spans="1:7">
      <c r="A16" s="321" t="s">
        <v>150</v>
      </c>
      <c r="B16" s="322"/>
      <c r="C16" s="323">
        <f>CEC_2023!A8/1000</f>
        <v>3.6375258877588266</v>
      </c>
      <c r="D16" s="324">
        <f t="shared" si="0"/>
        <v>-3.6375258877588266</v>
      </c>
      <c r="F16" s="33"/>
      <c r="G16" s="34"/>
    </row>
    <row r="17" spans="1:8" ht="15" thickBot="1">
      <c r="A17" s="325" t="s">
        <v>151</v>
      </c>
      <c r="B17" s="326"/>
      <c r="C17" s="327">
        <f>CEC_2023!A9/1000</f>
        <v>0.7859002771207596</v>
      </c>
      <c r="D17" s="328">
        <f t="shared" si="0"/>
        <v>-0.7859002771207596</v>
      </c>
      <c r="F17" s="33"/>
      <c r="G17" s="34"/>
    </row>
    <row r="18" spans="1:8">
      <c r="A18" s="317" t="s">
        <v>152</v>
      </c>
      <c r="B18" s="318"/>
      <c r="C18" s="319">
        <f>CEC_2024!A2/1000</f>
        <v>306.95378984074983</v>
      </c>
      <c r="D18" s="320">
        <f>B18-C18</f>
        <v>-306.95378984074983</v>
      </c>
      <c r="F18" s="33"/>
      <c r="G18" s="34"/>
    </row>
    <row r="19" spans="1:8">
      <c r="A19" s="321" t="s">
        <v>153</v>
      </c>
      <c r="B19" s="322"/>
      <c r="C19" s="323">
        <f>CEC_2024!A3/1000</f>
        <v>14.072301078252696</v>
      </c>
      <c r="D19" s="324">
        <f t="shared" si="0"/>
        <v>-14.072301078252696</v>
      </c>
      <c r="F19" s="33"/>
      <c r="G19" s="34"/>
    </row>
    <row r="20" spans="1:8">
      <c r="A20" s="321" t="s">
        <v>154</v>
      </c>
      <c r="B20" s="322"/>
      <c r="C20" s="323">
        <f>CEC_2024!A4/1000</f>
        <v>6.5436031216416541</v>
      </c>
      <c r="D20" s="324">
        <f t="shared" si="0"/>
        <v>-6.5436031216416541</v>
      </c>
      <c r="F20" s="33"/>
      <c r="G20" s="34"/>
    </row>
    <row r="21" spans="1:8">
      <c r="A21" s="380" t="s">
        <v>155</v>
      </c>
      <c r="B21" s="404"/>
      <c r="C21" s="405">
        <f>CEC_2024!A5/1000</f>
        <v>21.704496669463509</v>
      </c>
      <c r="D21" s="406">
        <f t="shared" si="0"/>
        <v>-21.704496669463509</v>
      </c>
      <c r="F21" s="33"/>
      <c r="G21" s="34"/>
    </row>
    <row r="22" spans="1:8">
      <c r="A22" s="321" t="s">
        <v>156</v>
      </c>
      <c r="B22" s="322"/>
      <c r="C22" s="323">
        <f>CEC_2024!A6/1000</f>
        <v>36.05068262307573</v>
      </c>
      <c r="D22" s="324">
        <f t="shared" si="0"/>
        <v>-36.05068262307573</v>
      </c>
      <c r="F22" s="33"/>
      <c r="G22" s="34"/>
    </row>
    <row r="23" spans="1:8">
      <c r="A23" s="321" t="s">
        <v>157</v>
      </c>
      <c r="B23" s="322"/>
      <c r="C23" s="323">
        <f>CEC_2024!A7/1000</f>
        <v>37.396108822553757</v>
      </c>
      <c r="D23" s="324">
        <f t="shared" si="0"/>
        <v>-37.396108822553757</v>
      </c>
      <c r="F23" s="33"/>
      <c r="G23" s="34"/>
    </row>
    <row r="24" spans="1:8">
      <c r="A24" s="321" t="s">
        <v>158</v>
      </c>
      <c r="B24" s="322"/>
      <c r="C24" s="323">
        <f>CEC_2024!A8/1000</f>
        <v>3.4772974747085321</v>
      </c>
      <c r="D24" s="324">
        <f t="shared" si="0"/>
        <v>-3.4772974747085321</v>
      </c>
      <c r="F24" s="33"/>
      <c r="G24" s="34"/>
    </row>
    <row r="25" spans="1:8" ht="15" thickBot="1">
      <c r="A25" s="325" t="s">
        <v>159</v>
      </c>
      <c r="B25" s="326"/>
      <c r="C25" s="327">
        <f>CEC_2024!A9/1000</f>
        <v>0.75128236425789607</v>
      </c>
      <c r="D25" s="328">
        <f t="shared" si="0"/>
        <v>-0.75128236425789607</v>
      </c>
      <c r="F25" s="33"/>
      <c r="G25" s="34"/>
    </row>
    <row r="26" spans="1:8">
      <c r="A26" s="329" t="s">
        <v>114</v>
      </c>
      <c r="B26" s="330">
        <f>C26</f>
        <v>107.07477379559242</v>
      </c>
      <c r="C26" s="330">
        <f>Santa_Fe!A$2/1000</f>
        <v>107.07477379559242</v>
      </c>
      <c r="D26" s="63">
        <f>B26-C26</f>
        <v>0</v>
      </c>
      <c r="E26" s="16">
        <f>SUM(D26:D33)</f>
        <v>0</v>
      </c>
      <c r="F26" s="16"/>
      <c r="G26" s="6"/>
      <c r="H26" s="16"/>
    </row>
    <row r="27" spans="1:8">
      <c r="A27" s="321" t="s">
        <v>115</v>
      </c>
      <c r="B27" s="330">
        <f t="shared" ref="B27:B49" si="1">C27</f>
        <v>5.2259381883184615</v>
      </c>
      <c r="C27" s="330">
        <f>Santa_Fe!A$3/1000</f>
        <v>5.2259381883184615</v>
      </c>
      <c r="D27" s="65">
        <f t="shared" ref="D27:D49" si="2">B27-C27</f>
        <v>0</v>
      </c>
      <c r="E27" s="16"/>
      <c r="G27" s="6"/>
    </row>
    <row r="28" spans="1:8">
      <c r="A28" s="321" t="s">
        <v>116</v>
      </c>
      <c r="B28" s="330">
        <f t="shared" si="1"/>
        <v>2.367014372734261</v>
      </c>
      <c r="C28" s="330">
        <f>Santa_Fe!A$4/1000</f>
        <v>2.367014372734261</v>
      </c>
      <c r="D28" s="65">
        <f t="shared" si="2"/>
        <v>0</v>
      </c>
      <c r="E28" s="16"/>
      <c r="G28" s="6"/>
    </row>
    <row r="29" spans="1:8">
      <c r="A29" s="380" t="s">
        <v>117</v>
      </c>
      <c r="B29" s="407">
        <f t="shared" si="1"/>
        <v>0</v>
      </c>
      <c r="C29" s="405">
        <f>Santa_Fe!A$5/1000</f>
        <v>0</v>
      </c>
      <c r="D29" s="406">
        <f t="shared" si="2"/>
        <v>0</v>
      </c>
      <c r="E29" s="16"/>
      <c r="G29" s="6"/>
    </row>
    <row r="30" spans="1:8">
      <c r="A30" s="321" t="s">
        <v>118</v>
      </c>
      <c r="B30" s="330">
        <f t="shared" si="1"/>
        <v>17.439635455975765</v>
      </c>
      <c r="C30" s="330">
        <f>Santa_Fe!A$6/1000</f>
        <v>17.439635455975765</v>
      </c>
      <c r="D30" s="65">
        <f t="shared" si="2"/>
        <v>0</v>
      </c>
      <c r="E30" s="16"/>
      <c r="G30" s="6"/>
    </row>
    <row r="31" spans="1:8">
      <c r="A31" s="321" t="s">
        <v>119</v>
      </c>
      <c r="B31" s="330">
        <f t="shared" si="1"/>
        <v>20.493313805553452</v>
      </c>
      <c r="C31" s="330">
        <f>Santa_Fe!A$7/1000</f>
        <v>20.493313805553452</v>
      </c>
      <c r="D31" s="65">
        <f t="shared" si="2"/>
        <v>0</v>
      </c>
      <c r="E31" s="16"/>
      <c r="G31" s="6"/>
    </row>
    <row r="32" spans="1:8">
      <c r="A32" s="321" t="s">
        <v>120</v>
      </c>
      <c r="B32" s="330">
        <f t="shared" si="1"/>
        <v>2.6169955465586594</v>
      </c>
      <c r="C32" s="330">
        <f>Santa_Fe!A$8/1000</f>
        <v>2.6169955465586594</v>
      </c>
      <c r="D32" s="65">
        <f t="shared" si="2"/>
        <v>0</v>
      </c>
      <c r="E32" s="16"/>
      <c r="G32" s="6"/>
    </row>
    <row r="33" spans="1:8" ht="15" thickBot="1">
      <c r="A33" s="325" t="s">
        <v>121</v>
      </c>
      <c r="B33" s="331">
        <f t="shared" si="1"/>
        <v>0.41564188604853647</v>
      </c>
      <c r="C33" s="332">
        <f>Santa_Fe!A$9/1000</f>
        <v>0.41564188604853647</v>
      </c>
      <c r="D33" s="333">
        <f t="shared" si="2"/>
        <v>0</v>
      </c>
      <c r="E33" s="334"/>
      <c r="G33" s="6"/>
    </row>
    <row r="34" spans="1:8">
      <c r="A34" s="317" t="s">
        <v>122</v>
      </c>
      <c r="B34" s="335">
        <f t="shared" si="1"/>
        <v>96.73351928256541</v>
      </c>
      <c r="C34" s="335">
        <f>Twin_Rivers!A$2/1000</f>
        <v>96.73351928256541</v>
      </c>
      <c r="D34" s="336">
        <f t="shared" si="2"/>
        <v>0</v>
      </c>
      <c r="E34" s="16">
        <f>SUM(D34:D41)</f>
        <v>0</v>
      </c>
      <c r="G34" s="6"/>
    </row>
    <row r="35" spans="1:8">
      <c r="A35" s="321" t="s">
        <v>123</v>
      </c>
      <c r="B35" s="330">
        <f t="shared" si="1"/>
        <v>4.3602151175681039</v>
      </c>
      <c r="C35" s="330">
        <f>Twin_Rivers!A$3/1000</f>
        <v>4.3602151175681039</v>
      </c>
      <c r="D35" s="65">
        <f t="shared" si="2"/>
        <v>0</v>
      </c>
      <c r="E35" s="16"/>
      <c r="G35" s="6"/>
    </row>
    <row r="36" spans="1:8">
      <c r="A36" s="321" t="s">
        <v>124</v>
      </c>
      <c r="B36" s="330">
        <f t="shared" si="1"/>
        <v>2.1508045495741159</v>
      </c>
      <c r="C36" s="330">
        <f>Twin_Rivers!A$4/1000</f>
        <v>2.1508045495741159</v>
      </c>
      <c r="D36" s="65">
        <f t="shared" si="2"/>
        <v>0</v>
      </c>
      <c r="E36" s="16"/>
      <c r="G36" s="6"/>
    </row>
    <row r="37" spans="1:8">
      <c r="A37" s="380" t="s">
        <v>125</v>
      </c>
      <c r="B37" s="407">
        <f t="shared" si="1"/>
        <v>4.7500995093539187</v>
      </c>
      <c r="C37" s="405">
        <f>Twin_Rivers!A$5/1000</f>
        <v>4.7500995093539187</v>
      </c>
      <c r="D37" s="406">
        <f t="shared" si="2"/>
        <v>0</v>
      </c>
      <c r="E37" s="16"/>
      <c r="G37" s="6"/>
    </row>
    <row r="38" spans="1:8">
      <c r="A38" s="321" t="s">
        <v>126</v>
      </c>
      <c r="B38" s="330">
        <f t="shared" si="1"/>
        <v>16.048076811603917</v>
      </c>
      <c r="C38" s="330">
        <f>Twin_Rivers!A$6/1000</f>
        <v>16.048076811603917</v>
      </c>
      <c r="D38" s="65">
        <f t="shared" si="2"/>
        <v>0</v>
      </c>
      <c r="E38" s="16"/>
      <c r="G38" s="6"/>
    </row>
    <row r="39" spans="1:8">
      <c r="A39" s="321" t="s">
        <v>127</v>
      </c>
      <c r="B39" s="330">
        <f t="shared" si="1"/>
        <v>17.606367664101597</v>
      </c>
      <c r="C39" s="330">
        <f>Twin_Rivers!A$7/1000</f>
        <v>17.606367664101597</v>
      </c>
      <c r="D39" s="65">
        <f t="shared" si="2"/>
        <v>0</v>
      </c>
      <c r="E39" s="16"/>
      <c r="G39" s="6"/>
    </row>
    <row r="40" spans="1:8">
      <c r="A40" s="321" t="s">
        <v>128</v>
      </c>
      <c r="B40" s="330">
        <f t="shared" si="1"/>
        <v>2.4264302612241475</v>
      </c>
      <c r="C40" s="330">
        <f>Twin_Rivers!A$8/1000</f>
        <v>2.4264302612241475</v>
      </c>
      <c r="D40" s="65">
        <f t="shared" si="2"/>
        <v>0</v>
      </c>
      <c r="E40" s="16"/>
      <c r="G40" s="6"/>
    </row>
    <row r="41" spans="1:8" ht="15" thickBot="1">
      <c r="A41" s="325" t="s">
        <v>129</v>
      </c>
      <c r="B41" s="331">
        <f t="shared" si="1"/>
        <v>0.35578564974786198</v>
      </c>
      <c r="C41" s="332">
        <f>Twin_Rivers!A$9/1000</f>
        <v>0.35578564974786198</v>
      </c>
      <c r="D41" s="333">
        <f t="shared" si="2"/>
        <v>0</v>
      </c>
      <c r="E41" s="334"/>
      <c r="G41" s="6"/>
    </row>
    <row r="42" spans="1:8">
      <c r="A42" s="317" t="s">
        <v>213</v>
      </c>
      <c r="B42" s="335">
        <f t="shared" si="1"/>
        <v>102.1714837434333</v>
      </c>
      <c r="C42" s="335">
        <f>Duette!A$2/1000</f>
        <v>102.1714837434333</v>
      </c>
      <c r="D42" s="336">
        <f t="shared" si="2"/>
        <v>0</v>
      </c>
      <c r="E42" s="16">
        <f>SUM(D42:D49)</f>
        <v>0</v>
      </c>
      <c r="G42" s="6"/>
      <c r="H42" s="16"/>
    </row>
    <row r="43" spans="1:8">
      <c r="A43" s="321" t="s">
        <v>214</v>
      </c>
      <c r="B43" s="330">
        <f t="shared" si="1"/>
        <v>4.164130671522936</v>
      </c>
      <c r="C43" s="330">
        <f>Duette!A$3/1000</f>
        <v>4.164130671522936</v>
      </c>
      <c r="D43" s="65">
        <f t="shared" si="2"/>
        <v>0</v>
      </c>
      <c r="E43" s="16"/>
      <c r="G43" s="6"/>
    </row>
    <row r="44" spans="1:8">
      <c r="A44" s="321" t="s">
        <v>215</v>
      </c>
      <c r="B44" s="330">
        <f t="shared" si="1"/>
        <v>2.2061065967588469</v>
      </c>
      <c r="C44" s="330">
        <f>Duette!A$4/1000</f>
        <v>2.2061065967588469</v>
      </c>
      <c r="D44" s="65">
        <f t="shared" si="2"/>
        <v>0</v>
      </c>
      <c r="E44" s="16"/>
      <c r="G44" s="6"/>
    </row>
    <row r="45" spans="1:8">
      <c r="A45" s="380" t="s">
        <v>216</v>
      </c>
      <c r="B45" s="407">
        <f t="shared" si="1"/>
        <v>0</v>
      </c>
      <c r="C45" s="405">
        <f>Duette!A$5/1000</f>
        <v>0</v>
      </c>
      <c r="D45" s="406">
        <f t="shared" si="2"/>
        <v>0</v>
      </c>
      <c r="E45" s="16"/>
      <c r="G45" s="6"/>
    </row>
    <row r="46" spans="1:8">
      <c r="A46" s="321" t="s">
        <v>217</v>
      </c>
      <c r="B46" s="330">
        <f t="shared" si="1"/>
        <v>10.13220679393088</v>
      </c>
      <c r="C46" s="330">
        <f>Duette!A$6/1000</f>
        <v>10.13220679393088</v>
      </c>
      <c r="D46" s="65">
        <f t="shared" si="2"/>
        <v>0</v>
      </c>
      <c r="E46" s="16"/>
      <c r="G46" s="6"/>
    </row>
    <row r="47" spans="1:8">
      <c r="A47" s="321" t="s">
        <v>218</v>
      </c>
      <c r="B47" s="330">
        <f t="shared" si="1"/>
        <v>2.9081176013437666</v>
      </c>
      <c r="C47" s="330">
        <f>Duette!A$7/1000</f>
        <v>2.9081176013437666</v>
      </c>
      <c r="D47" s="65">
        <f t="shared" si="2"/>
        <v>0</v>
      </c>
      <c r="E47" s="16"/>
      <c r="G47" s="6"/>
    </row>
    <row r="48" spans="1:8">
      <c r="A48" s="321" t="s">
        <v>219</v>
      </c>
      <c r="B48" s="330">
        <f t="shared" si="1"/>
        <v>0.33217224186838656</v>
      </c>
      <c r="C48" s="330">
        <f>Duette!A$8/1000</f>
        <v>0.33217224186838656</v>
      </c>
      <c r="D48" s="65">
        <f t="shared" si="2"/>
        <v>0</v>
      </c>
      <c r="E48" s="16"/>
      <c r="G48" s="6"/>
    </row>
    <row r="49" spans="1:7" ht="15" thickBot="1">
      <c r="A49" s="325" t="s">
        <v>220</v>
      </c>
      <c r="B49" s="331">
        <f t="shared" si="1"/>
        <v>5.8750816760322677E-2</v>
      </c>
      <c r="C49" s="332">
        <f>Duette!A$9/1000</f>
        <v>5.8750816760322677E-2</v>
      </c>
      <c r="D49" s="333">
        <f t="shared" si="2"/>
        <v>0</v>
      </c>
      <c r="E49" s="334"/>
      <c r="G49" s="6"/>
    </row>
    <row r="50" spans="1:7">
      <c r="A50" s="329" t="s">
        <v>221</v>
      </c>
      <c r="B50" s="335">
        <f>Charlie_Creek!$A$2/1000</f>
        <v>89.888835522409764</v>
      </c>
      <c r="C50" s="335">
        <f>Charlie_Creek!$A$2/1000</f>
        <v>89.888835522409764</v>
      </c>
      <c r="D50" s="63">
        <f>B50-C50</f>
        <v>0</v>
      </c>
      <c r="E50" s="15">
        <f>SUM(D50:D57)</f>
        <v>0</v>
      </c>
      <c r="F50" s="16"/>
      <c r="G50" s="6"/>
    </row>
    <row r="51" spans="1:7">
      <c r="A51" s="321" t="s">
        <v>222</v>
      </c>
      <c r="B51" s="337">
        <f>Charlie_Creek!$A$3/1000</f>
        <v>3.3609913149940667</v>
      </c>
      <c r="C51" s="337">
        <f>Charlie_Creek!$A$3/1000</f>
        <v>3.3609913149940667</v>
      </c>
      <c r="D51" s="65">
        <f t="shared" ref="D51:D65" si="3">B51-C51</f>
        <v>0</v>
      </c>
      <c r="E51" s="15"/>
      <c r="G51" s="6"/>
    </row>
    <row r="52" spans="1:7">
      <c r="A52" s="321" t="s">
        <v>223</v>
      </c>
      <c r="B52" s="337">
        <f>Charlie_Creek!$A$4/1000</f>
        <v>1.9920951833168852</v>
      </c>
      <c r="C52" s="337">
        <f>Charlie_Creek!$A$4/1000</f>
        <v>1.9920951833168852</v>
      </c>
      <c r="D52" s="65">
        <f t="shared" si="3"/>
        <v>0</v>
      </c>
      <c r="E52" s="15"/>
      <c r="G52" s="6"/>
    </row>
    <row r="53" spans="1:7">
      <c r="A53" s="380" t="s">
        <v>224</v>
      </c>
      <c r="B53" s="407">
        <f>Charlie_Creek!$A$5/1000</f>
        <v>6.8089901767976535</v>
      </c>
      <c r="C53" s="405">
        <f>Charlie_Creek!$A$5/1000</f>
        <v>6.8089901767976535</v>
      </c>
      <c r="D53" s="406">
        <f t="shared" si="3"/>
        <v>0</v>
      </c>
      <c r="E53" s="15"/>
      <c r="G53" s="6"/>
    </row>
    <row r="54" spans="1:7">
      <c r="A54" s="321" t="s">
        <v>225</v>
      </c>
      <c r="B54" s="337">
        <f>Charlie_Creek!$A$6/1000</f>
        <v>8.2929586245951921</v>
      </c>
      <c r="C54" s="337">
        <f>Charlie_Creek!$A$6/1000</f>
        <v>8.2929586245951921</v>
      </c>
      <c r="D54" s="65">
        <f t="shared" si="3"/>
        <v>0</v>
      </c>
      <c r="E54" s="15"/>
      <c r="G54" s="6"/>
    </row>
    <row r="55" spans="1:7">
      <c r="A55" s="321" t="s">
        <v>226</v>
      </c>
      <c r="B55" s="337">
        <f>Charlie_Creek!$A$7/1000</f>
        <v>19.360587775879008</v>
      </c>
      <c r="C55" s="337">
        <f>Charlie_Creek!$A$7/1000</f>
        <v>19.360587775879008</v>
      </c>
      <c r="D55" s="65">
        <f t="shared" si="3"/>
        <v>0</v>
      </c>
      <c r="E55" s="15"/>
      <c r="G55" s="6"/>
    </row>
    <row r="56" spans="1:7">
      <c r="A56" s="321" t="s">
        <v>227</v>
      </c>
      <c r="B56" s="337">
        <f>Charlie_Creek!$A$8/1000</f>
        <v>2.3226394902331249</v>
      </c>
      <c r="C56" s="337">
        <f>Charlie_Creek!$A$8/1000</f>
        <v>2.3226394902331249</v>
      </c>
      <c r="D56" s="65">
        <f t="shared" si="3"/>
        <v>0</v>
      </c>
      <c r="E56" s="15"/>
      <c r="G56" s="6"/>
    </row>
    <row r="57" spans="1:7" ht="15" thickBot="1">
      <c r="A57" s="325" t="s">
        <v>228</v>
      </c>
      <c r="B57" s="332">
        <f>Charlie_Creek!$A$9/1000</f>
        <v>0.38883310990055275</v>
      </c>
      <c r="C57" s="332">
        <f>Charlie_Creek!$A$9/1000</f>
        <v>0.38883310990055275</v>
      </c>
      <c r="D57" s="333">
        <f t="shared" si="3"/>
        <v>0</v>
      </c>
      <c r="E57" s="15"/>
      <c r="G57" s="6"/>
    </row>
    <row r="58" spans="1:7">
      <c r="A58" s="317" t="s">
        <v>205</v>
      </c>
      <c r="B58" s="335">
        <f>Archer!$A$2/1000</f>
        <v>77.686640419132644</v>
      </c>
      <c r="C58" s="335">
        <f>Archer!$A$2/1000</f>
        <v>77.686640419132644</v>
      </c>
      <c r="D58" s="336">
        <f t="shared" si="3"/>
        <v>0</v>
      </c>
      <c r="E58" s="15">
        <f>SUM(D58:D65)</f>
        <v>0</v>
      </c>
      <c r="G58" s="6"/>
    </row>
    <row r="59" spans="1:7">
      <c r="A59" s="321" t="s">
        <v>206</v>
      </c>
      <c r="B59" s="337">
        <f>Archer!$A$3/1000</f>
        <v>4.5653752025876573</v>
      </c>
      <c r="C59" s="337">
        <f>Archer!$A$3/1000</f>
        <v>4.5653752025876573</v>
      </c>
      <c r="D59" s="65">
        <f t="shared" si="3"/>
        <v>0</v>
      </c>
      <c r="E59" s="15"/>
      <c r="G59" s="6"/>
    </row>
    <row r="60" spans="1:7">
      <c r="A60" s="321" t="s">
        <v>207</v>
      </c>
      <c r="B60" s="337">
        <f>Archer!$A$4/1000</f>
        <v>1.6753964670626824</v>
      </c>
      <c r="C60" s="337">
        <f>Archer!$A$4/1000</f>
        <v>1.6753964670626824</v>
      </c>
      <c r="D60" s="65">
        <f t="shared" si="3"/>
        <v>0</v>
      </c>
      <c r="E60" s="15"/>
      <c r="G60" s="6"/>
    </row>
    <row r="61" spans="1:7">
      <c r="A61" s="380" t="s">
        <v>208</v>
      </c>
      <c r="B61" s="407">
        <f>Archer!$A$5/1000</f>
        <v>0</v>
      </c>
      <c r="C61" s="405">
        <f>Archer!$A$5/1000</f>
        <v>0</v>
      </c>
      <c r="D61" s="406">
        <f t="shared" si="3"/>
        <v>0</v>
      </c>
      <c r="E61" s="15"/>
      <c r="G61" s="6"/>
    </row>
    <row r="62" spans="1:7">
      <c r="A62" s="321" t="s">
        <v>209</v>
      </c>
      <c r="B62" s="337">
        <f>Archer!$A$6/1000</f>
        <v>8.3002912093679786</v>
      </c>
      <c r="C62" s="337">
        <f>Archer!$A$6/1000</f>
        <v>8.3002912093679786</v>
      </c>
      <c r="D62" s="65">
        <f t="shared" si="3"/>
        <v>0</v>
      </c>
      <c r="E62" s="15"/>
      <c r="G62" s="6"/>
    </row>
    <row r="63" spans="1:7">
      <c r="A63" s="321" t="s">
        <v>210</v>
      </c>
      <c r="B63" s="337">
        <f>Archer!$A$7/1000</f>
        <v>6.0888379283304337</v>
      </c>
      <c r="C63" s="337">
        <f>Archer!$A$7/1000</f>
        <v>6.0888379283304337</v>
      </c>
      <c r="D63" s="65">
        <f t="shared" si="3"/>
        <v>0</v>
      </c>
      <c r="E63" s="15"/>
      <c r="G63" s="6"/>
    </row>
    <row r="64" spans="1:7">
      <c r="A64" s="321" t="s">
        <v>211</v>
      </c>
      <c r="B64" s="337">
        <f>Archer!$A$8/1000</f>
        <v>0.96894553680090834</v>
      </c>
      <c r="C64" s="337">
        <f>Archer!$A$8/1000</f>
        <v>0.96894553680090834</v>
      </c>
      <c r="D64" s="65">
        <f t="shared" si="3"/>
        <v>0</v>
      </c>
      <c r="E64" s="15"/>
      <c r="G64" s="6"/>
    </row>
    <row r="65" spans="1:7" ht="15" thickBot="1">
      <c r="A65" s="325" t="s">
        <v>212</v>
      </c>
      <c r="B65" s="332">
        <f>Archer!$A$9/1000</f>
        <v>0.12148955302687416</v>
      </c>
      <c r="C65" s="332">
        <f>Archer!$A$9/1000</f>
        <v>0.12148955302687416</v>
      </c>
      <c r="D65" s="333">
        <f t="shared" si="3"/>
        <v>0</v>
      </c>
      <c r="E65" s="15"/>
      <c r="G65" s="6"/>
    </row>
    <row r="66" spans="1:7">
      <c r="A66" s="329" t="s">
        <v>83</v>
      </c>
      <c r="B66" s="330">
        <f>Trenton!A$2/1000</f>
        <v>104.63850602209902</v>
      </c>
      <c r="C66" s="330">
        <f>Trenton!A$2/1000</f>
        <v>104.63850602209902</v>
      </c>
      <c r="D66" s="63">
        <f>B66-C66</f>
        <v>0</v>
      </c>
      <c r="E66" s="16"/>
      <c r="G66" s="6"/>
    </row>
    <row r="67" spans="1:7">
      <c r="A67" s="321" t="s">
        <v>84</v>
      </c>
      <c r="B67" s="330">
        <f>Trenton!A$3/1000</f>
        <v>4.3227037691569139</v>
      </c>
      <c r="C67" s="330">
        <f>Trenton!A$3/1000</f>
        <v>4.3227037691569139</v>
      </c>
      <c r="D67" s="65">
        <f t="shared" ref="D67:D89" si="4">B67-C67</f>
        <v>0</v>
      </c>
      <c r="E67" s="16"/>
      <c r="G67" s="6"/>
    </row>
    <row r="68" spans="1:7">
      <c r="A68" s="321" t="s">
        <v>85</v>
      </c>
      <c r="B68" s="330">
        <f>Trenton!A$4/1000</f>
        <v>2.5197193510928337</v>
      </c>
      <c r="C68" s="330">
        <f>Trenton!A$4/1000</f>
        <v>2.5197193510928337</v>
      </c>
      <c r="D68" s="65">
        <f t="shared" si="4"/>
        <v>0</v>
      </c>
      <c r="E68" s="16"/>
      <c r="G68" s="6"/>
    </row>
    <row r="69" spans="1:7">
      <c r="A69" s="380" t="s">
        <v>86</v>
      </c>
      <c r="B69" s="407">
        <f>Trenton!A$5/1000</f>
        <v>4.8086327024804696</v>
      </c>
      <c r="C69" s="405">
        <f>Trenton!A$5/1000</f>
        <v>4.8086327024804696</v>
      </c>
      <c r="D69" s="406">
        <f t="shared" si="4"/>
        <v>0</v>
      </c>
      <c r="E69" s="16"/>
      <c r="G69" s="6"/>
    </row>
    <row r="70" spans="1:7">
      <c r="A70" s="321" t="s">
        <v>87</v>
      </c>
      <c r="B70" s="330">
        <f>Trenton!A$6/1000</f>
        <v>18.300068474538069</v>
      </c>
      <c r="C70" s="330">
        <f>Trenton!A$6/1000</f>
        <v>18.300068474538069</v>
      </c>
      <c r="D70" s="65">
        <f t="shared" si="4"/>
        <v>0</v>
      </c>
      <c r="E70" s="16"/>
      <c r="G70" s="6"/>
    </row>
    <row r="71" spans="1:7">
      <c r="A71" s="321" t="s">
        <v>88</v>
      </c>
      <c r="B71" s="330">
        <f>Trenton!A$7/1000</f>
        <v>5.2993724899509838</v>
      </c>
      <c r="C71" s="330">
        <f>Trenton!A$7/1000</f>
        <v>5.2993724899509838</v>
      </c>
      <c r="D71" s="65">
        <f t="shared" si="4"/>
        <v>0</v>
      </c>
      <c r="E71" s="16"/>
      <c r="G71" s="6"/>
    </row>
    <row r="72" spans="1:7">
      <c r="A72" s="321" t="s">
        <v>89</v>
      </c>
      <c r="B72" s="330">
        <f>Trenton!A$8/1000</f>
        <v>0.51853675018397505</v>
      </c>
      <c r="C72" s="330">
        <f>Trenton!A$8/1000</f>
        <v>0.51853675018397505</v>
      </c>
      <c r="D72" s="65">
        <f t="shared" si="4"/>
        <v>0</v>
      </c>
      <c r="E72" s="16"/>
      <c r="G72" s="6"/>
    </row>
    <row r="73" spans="1:7" ht="15" thickBot="1">
      <c r="A73" s="325" t="s">
        <v>90</v>
      </c>
      <c r="B73" s="330">
        <f>Trenton!A$9/1000</f>
        <v>0.11480535887801614</v>
      </c>
      <c r="C73" s="332">
        <f>Trenton!A$9/1000</f>
        <v>0.11480535887801614</v>
      </c>
      <c r="D73" s="333">
        <f t="shared" si="4"/>
        <v>0</v>
      </c>
      <c r="E73" s="334"/>
      <c r="G73" s="6"/>
    </row>
    <row r="74" spans="1:7">
      <c r="A74" s="317" t="s">
        <v>91</v>
      </c>
      <c r="B74" s="338">
        <f>Lake_Placid!A$2/1000</f>
        <v>63.458705733840326</v>
      </c>
      <c r="C74" s="335">
        <f>Lake_Placid!A$2/1000</f>
        <v>63.458705733840326</v>
      </c>
      <c r="D74" s="336">
        <f t="shared" si="4"/>
        <v>0</v>
      </c>
      <c r="E74" s="16"/>
      <c r="G74" s="6"/>
    </row>
    <row r="75" spans="1:7">
      <c r="A75" s="321" t="s">
        <v>92</v>
      </c>
      <c r="B75" s="339">
        <f>Lake_Placid!A$3/1000</f>
        <v>2.2300211676948885</v>
      </c>
      <c r="C75" s="330">
        <f>Lake_Placid!A$3/1000</f>
        <v>2.2300211676948885</v>
      </c>
      <c r="D75" s="65">
        <f t="shared" si="4"/>
        <v>0</v>
      </c>
      <c r="E75" s="16"/>
      <c r="G75" s="6"/>
    </row>
    <row r="76" spans="1:7">
      <c r="A76" s="321" t="s">
        <v>93</v>
      </c>
      <c r="B76" s="339">
        <f>Lake_Placid!A$4/1000</f>
        <v>1.5266138801467606</v>
      </c>
      <c r="C76" s="330">
        <f>Lake_Placid!A$4/1000</f>
        <v>1.5266138801467606</v>
      </c>
      <c r="D76" s="65">
        <f t="shared" si="4"/>
        <v>0</v>
      </c>
      <c r="E76" s="16"/>
      <c r="G76" s="6"/>
    </row>
    <row r="77" spans="1:7">
      <c r="A77" s="380" t="s">
        <v>94</v>
      </c>
      <c r="B77" s="407">
        <f>Lake_Placid!A$5/1000</f>
        <v>5.2757230605053254</v>
      </c>
      <c r="C77" s="405">
        <f>Lake_Placid!A$5/1000</f>
        <v>5.2757230605053254</v>
      </c>
      <c r="D77" s="406">
        <f t="shared" si="4"/>
        <v>0</v>
      </c>
      <c r="E77" s="16"/>
      <c r="G77" s="6"/>
    </row>
    <row r="78" spans="1:7">
      <c r="A78" s="321" t="s">
        <v>95</v>
      </c>
      <c r="B78" s="339">
        <f>Lake_Placid!A$6/1000</f>
        <v>10.430766415246898</v>
      </c>
      <c r="C78" s="330">
        <f>Lake_Placid!A$6/1000</f>
        <v>10.430766415246898</v>
      </c>
      <c r="D78" s="65">
        <f t="shared" si="4"/>
        <v>0</v>
      </c>
      <c r="E78" s="16"/>
      <c r="G78" s="6"/>
    </row>
    <row r="79" spans="1:7">
      <c r="A79" s="321" t="s">
        <v>96</v>
      </c>
      <c r="B79" s="339">
        <f>Lake_Placid!A$7/1000</f>
        <v>3.7889256804468134</v>
      </c>
      <c r="C79" s="330">
        <f>Lake_Placid!A$7/1000</f>
        <v>3.7889256804468134</v>
      </c>
      <c r="D79" s="65">
        <f t="shared" si="4"/>
        <v>0</v>
      </c>
      <c r="E79" s="16"/>
      <c r="G79" s="6"/>
    </row>
    <row r="80" spans="1:7">
      <c r="A80" s="321" t="s">
        <v>97</v>
      </c>
      <c r="B80" s="339">
        <f>Lake_Placid!A$8/1000</f>
        <v>0.43688765786684253</v>
      </c>
      <c r="C80" s="330">
        <f>Lake_Placid!A$8/1000</f>
        <v>0.43688765786684253</v>
      </c>
      <c r="D80" s="65">
        <f t="shared" si="4"/>
        <v>0</v>
      </c>
      <c r="E80" s="16"/>
      <c r="G80" s="6"/>
    </row>
    <row r="81" spans="1:7" ht="15" thickBot="1">
      <c r="A81" s="325" t="s">
        <v>98</v>
      </c>
      <c r="B81" s="340">
        <f>Lake_Placid!A$9/1000</f>
        <v>8.1821428153099549E-2</v>
      </c>
      <c r="C81" s="332">
        <f>Lake_Placid!A$9/1000</f>
        <v>8.1821428153099549E-2</v>
      </c>
      <c r="D81" s="333">
        <f t="shared" si="4"/>
        <v>0</v>
      </c>
      <c r="E81" s="334"/>
      <c r="G81" s="6"/>
    </row>
    <row r="82" spans="1:7">
      <c r="A82" s="317" t="s">
        <v>99</v>
      </c>
      <c r="B82" s="330">
        <f>Debary!A$2/1000</f>
        <v>92.917550755674156</v>
      </c>
      <c r="C82" s="330">
        <f>Debary!A$2/1000</f>
        <v>92.917550755674156</v>
      </c>
      <c r="D82" s="63">
        <f t="shared" si="4"/>
        <v>0</v>
      </c>
      <c r="E82" s="16"/>
      <c r="G82" s="6"/>
    </row>
    <row r="83" spans="1:7">
      <c r="A83" s="321" t="s">
        <v>100</v>
      </c>
      <c r="B83" s="330">
        <f>Debary!A$3/1000</f>
        <v>3.8436070304238488</v>
      </c>
      <c r="C83" s="330">
        <f>Debary!A$3/1000</f>
        <v>3.8436070304238488</v>
      </c>
      <c r="D83" s="65">
        <f t="shared" si="4"/>
        <v>0</v>
      </c>
      <c r="E83" s="16"/>
      <c r="G83" s="6"/>
    </row>
    <row r="84" spans="1:7">
      <c r="A84" s="321" t="s">
        <v>101</v>
      </c>
      <c r="B84" s="330">
        <f>Debary!A$4/1000</f>
        <v>2.2495952288842731</v>
      </c>
      <c r="C84" s="330">
        <f>Debary!A$4/1000</f>
        <v>2.2495952288842731</v>
      </c>
      <c r="D84" s="65">
        <f t="shared" si="4"/>
        <v>0</v>
      </c>
      <c r="E84" s="16"/>
      <c r="G84" s="6"/>
    </row>
    <row r="85" spans="1:7">
      <c r="A85" s="380" t="s">
        <v>102</v>
      </c>
      <c r="B85" s="407">
        <f>Debary!A$5/1000</f>
        <v>0</v>
      </c>
      <c r="C85" s="405">
        <f>Debary!A$5/1000</f>
        <v>0</v>
      </c>
      <c r="D85" s="406">
        <f t="shared" si="4"/>
        <v>0</v>
      </c>
      <c r="E85" s="16"/>
      <c r="G85" s="6"/>
    </row>
    <row r="86" spans="1:7">
      <c r="A86" s="321" t="s">
        <v>103</v>
      </c>
      <c r="B86" s="330">
        <f>Debary!A$6/1000</f>
        <v>15.189948601725039</v>
      </c>
      <c r="C86" s="330">
        <f>Debary!A$6/1000</f>
        <v>15.189948601725039</v>
      </c>
      <c r="D86" s="65">
        <f t="shared" si="4"/>
        <v>0</v>
      </c>
      <c r="E86" s="16"/>
      <c r="G86" s="6"/>
    </row>
    <row r="87" spans="1:7">
      <c r="A87" s="321" t="s">
        <v>104</v>
      </c>
      <c r="B87" s="330">
        <f>Debary!A$7/1000</f>
        <v>6.3951739382934614</v>
      </c>
      <c r="C87" s="330">
        <f>Debary!A$7/1000</f>
        <v>6.3951739382934614</v>
      </c>
      <c r="D87" s="65">
        <f t="shared" si="4"/>
        <v>0</v>
      </c>
      <c r="E87" s="16"/>
      <c r="G87" s="6"/>
    </row>
    <row r="88" spans="1:7">
      <c r="A88" s="321" t="s">
        <v>105</v>
      </c>
      <c r="B88" s="330">
        <f>Debary!A$8/1000</f>
        <v>0.85063163480304327</v>
      </c>
      <c r="C88" s="330">
        <f>Debary!A$8/1000</f>
        <v>0.85063163480304327</v>
      </c>
      <c r="D88" s="65">
        <f t="shared" si="4"/>
        <v>0</v>
      </c>
      <c r="E88" s="16"/>
      <c r="G88" s="6"/>
    </row>
    <row r="89" spans="1:7" ht="15" thickBot="1">
      <c r="A89" s="325" t="s">
        <v>106</v>
      </c>
      <c r="B89" s="332">
        <f>Debary!A$9/1000</f>
        <v>0.13712294960331972</v>
      </c>
      <c r="C89" s="340">
        <f>Debary!A$9/1000</f>
        <v>0.13712294960331972</v>
      </c>
      <c r="D89" s="333">
        <f t="shared" si="4"/>
        <v>0</v>
      </c>
      <c r="E89" s="334"/>
      <c r="G89" s="6"/>
    </row>
    <row r="90" spans="1:7">
      <c r="A90" s="329" t="s">
        <v>26</v>
      </c>
      <c r="B90" s="335">
        <f>Hamilton!A$2/1000</f>
        <v>108.98693633025789</v>
      </c>
      <c r="C90" s="335">
        <f>Hamilton!A2/1000</f>
        <v>108.98693633025789</v>
      </c>
      <c r="D90" s="341">
        <f>B90-C90</f>
        <v>0</v>
      </c>
      <c r="E90" s="15"/>
      <c r="G90" s="6"/>
    </row>
    <row r="91" spans="1:7">
      <c r="A91" s="321" t="s">
        <v>28</v>
      </c>
      <c r="B91" s="337">
        <f>Hamilton!A$3/1000</f>
        <v>10.980767611022506</v>
      </c>
      <c r="C91" s="337">
        <f>Hamilton!A3/1000</f>
        <v>10.980767611022506</v>
      </c>
      <c r="D91" s="342">
        <f t="shared" ref="D91:D118" si="5">B91-C91</f>
        <v>0</v>
      </c>
      <c r="E91" s="15"/>
      <c r="G91" s="6"/>
    </row>
    <row r="92" spans="1:7">
      <c r="A92" s="321" t="s">
        <v>29</v>
      </c>
      <c r="B92" s="337">
        <f>Hamilton!A$4/1000</f>
        <v>2.8841560522540384</v>
      </c>
      <c r="C92" s="337">
        <f>Hamilton!A4/1000</f>
        <v>2.8841560522540384</v>
      </c>
      <c r="D92" s="342">
        <f t="shared" si="5"/>
        <v>0</v>
      </c>
      <c r="E92" s="15"/>
      <c r="G92" s="6"/>
    </row>
    <row r="93" spans="1:7">
      <c r="A93" s="380" t="s">
        <v>27</v>
      </c>
      <c r="B93" s="407">
        <f>Hamilton!A$5/1000</f>
        <v>5.6799053467034382</v>
      </c>
      <c r="C93" s="405">
        <f>Hamilton!A5/1000</f>
        <v>5.6799053467034382</v>
      </c>
      <c r="D93" s="406">
        <f t="shared" si="5"/>
        <v>0</v>
      </c>
      <c r="E93" s="15"/>
      <c r="G93" s="6"/>
    </row>
    <row r="94" spans="1:7">
      <c r="A94" s="321" t="s">
        <v>37</v>
      </c>
      <c r="B94" s="337">
        <f>Hamilton!A$6/1000</f>
        <v>19.487136140031726</v>
      </c>
      <c r="C94" s="337">
        <f>Hamilton!A6/1000</f>
        <v>19.487136140031726</v>
      </c>
      <c r="D94" s="342">
        <f t="shared" si="5"/>
        <v>0</v>
      </c>
      <c r="E94" s="15"/>
      <c r="G94" s="6"/>
    </row>
    <row r="95" spans="1:7">
      <c r="A95" s="321" t="s">
        <v>41</v>
      </c>
      <c r="B95" s="337">
        <f>Hamilton!A$7/1000</f>
        <v>8.4673371307817824</v>
      </c>
      <c r="C95" s="337">
        <f>Hamilton!A7/1000</f>
        <v>8.4673371307817824</v>
      </c>
      <c r="D95" s="342">
        <f t="shared" si="5"/>
        <v>0</v>
      </c>
      <c r="E95" s="15"/>
      <c r="G95" s="6"/>
    </row>
    <row r="96" spans="1:7">
      <c r="A96" s="321" t="s">
        <v>42</v>
      </c>
      <c r="B96" s="337">
        <f>Hamilton!A$8/1000</f>
        <v>1.4092890853458413</v>
      </c>
      <c r="C96" s="337">
        <f>Hamilton!A8/1000</f>
        <v>1.4092890853458413</v>
      </c>
      <c r="D96" s="342">
        <f t="shared" si="5"/>
        <v>0</v>
      </c>
      <c r="E96" s="15"/>
      <c r="G96" s="6"/>
    </row>
    <row r="97" spans="1:7" ht="15" thickBot="1">
      <c r="A97" s="325" t="s">
        <v>43</v>
      </c>
      <c r="B97" s="332">
        <f>Hamilton!A$9/1000</f>
        <v>3.5423687106779198</v>
      </c>
      <c r="C97" s="332">
        <f>Hamilton!A9/1000</f>
        <v>3.5423687106779198</v>
      </c>
      <c r="D97" s="343">
        <f t="shared" si="5"/>
        <v>0</v>
      </c>
      <c r="E97" s="15"/>
      <c r="G97" s="6"/>
    </row>
    <row r="98" spans="1:7">
      <c r="A98" s="317" t="s">
        <v>30</v>
      </c>
      <c r="B98" s="335">
        <f>Columbia!A$2/1000</f>
        <v>114.31744816712227</v>
      </c>
      <c r="C98" s="335">
        <f>Columbia!A2/1000</f>
        <v>114.31744816712227</v>
      </c>
      <c r="D98" s="344">
        <f t="shared" si="5"/>
        <v>0</v>
      </c>
      <c r="E98" s="15"/>
      <c r="G98" s="6"/>
    </row>
    <row r="99" spans="1:7">
      <c r="A99" s="321" t="s">
        <v>32</v>
      </c>
      <c r="B99" s="337">
        <f>Columbia!A$3/1000</f>
        <v>4.1394460232552674</v>
      </c>
      <c r="C99" s="337">
        <f>Columbia!A3/1000</f>
        <v>4.1394460232552674</v>
      </c>
      <c r="D99" s="342">
        <f t="shared" si="5"/>
        <v>0</v>
      </c>
      <c r="E99" s="15"/>
      <c r="G99" s="6"/>
    </row>
    <row r="100" spans="1:7">
      <c r="A100" s="321" t="s">
        <v>33</v>
      </c>
      <c r="B100" s="337">
        <f>Columbia!A$4/1000</f>
        <v>2.7436055196183755</v>
      </c>
      <c r="C100" s="337">
        <f>Columbia!A4/1000</f>
        <v>2.7436055196183755</v>
      </c>
      <c r="D100" s="342">
        <f t="shared" si="5"/>
        <v>0</v>
      </c>
      <c r="E100" s="15"/>
      <c r="G100" s="6"/>
    </row>
    <row r="101" spans="1:7">
      <c r="A101" s="380" t="s">
        <v>31</v>
      </c>
      <c r="B101" s="407">
        <f>Columbia!A$5/1000</f>
        <v>6.4571957828335815</v>
      </c>
      <c r="C101" s="405">
        <f>Columbia!A5/1000</f>
        <v>6.4571957828335815</v>
      </c>
      <c r="D101" s="406">
        <f t="shared" si="5"/>
        <v>0</v>
      </c>
      <c r="E101" s="15"/>
      <c r="G101" s="6"/>
    </row>
    <row r="102" spans="1:7">
      <c r="A102" s="321" t="s">
        <v>36</v>
      </c>
      <c r="B102" s="337">
        <f>Columbia!A$6/1000</f>
        <v>14.201203331068434</v>
      </c>
      <c r="C102" s="337">
        <f>Columbia!A6/1000</f>
        <v>14.201203331068434</v>
      </c>
      <c r="D102" s="342">
        <f t="shared" si="5"/>
        <v>0</v>
      </c>
      <c r="E102" s="15"/>
      <c r="G102" s="6"/>
    </row>
    <row r="103" spans="1:7">
      <c r="A103" s="321" t="s">
        <v>44</v>
      </c>
      <c r="B103" s="337">
        <f>Columbia!A$7/1000</f>
        <v>9.4041421438927184</v>
      </c>
      <c r="C103" s="337">
        <f>Columbia!A7/1000</f>
        <v>9.4041421438927184</v>
      </c>
      <c r="D103" s="342">
        <f t="shared" si="5"/>
        <v>0</v>
      </c>
      <c r="E103" s="15"/>
      <c r="G103" s="6"/>
    </row>
    <row r="104" spans="1:7">
      <c r="A104" s="321" t="s">
        <v>45</v>
      </c>
      <c r="B104" s="337">
        <f>Columbia!A$8/1000</f>
        <v>0.94238005891945165</v>
      </c>
      <c r="C104" s="337">
        <f>Columbia!A8/1000</f>
        <v>0.94238005891945165</v>
      </c>
      <c r="D104" s="342">
        <f t="shared" si="5"/>
        <v>0</v>
      </c>
      <c r="E104" s="15"/>
      <c r="G104" s="6"/>
    </row>
    <row r="105" spans="1:7" ht="15" thickBot="1">
      <c r="A105" s="325" t="s">
        <v>46</v>
      </c>
      <c r="B105" s="332">
        <f>Columbia!A$9/1000</f>
        <v>3.5978362599699025</v>
      </c>
      <c r="C105" s="332">
        <f>Columbia!A9/1000</f>
        <v>3.5978362599699025</v>
      </c>
      <c r="D105" s="343">
        <f t="shared" si="5"/>
        <v>0</v>
      </c>
      <c r="E105" s="15"/>
      <c r="G105" s="6"/>
    </row>
    <row r="106" spans="1:7">
      <c r="A106" s="329" t="s">
        <v>35</v>
      </c>
      <c r="B106" s="35">
        <f>'[9]2019Fall_SoB700_GENCAP_2048'!$C$18/1000</f>
        <v>1740.3940671948026</v>
      </c>
      <c r="C106" s="35">
        <f>'[9]2019Fall_GenCap_CEC'!$C$18/1000</f>
        <v>1581.7154543752474</v>
      </c>
      <c r="D106" s="341">
        <f t="shared" si="5"/>
        <v>158.67861281955516</v>
      </c>
      <c r="E106" s="16">
        <f>SUM(D106:D109)</f>
        <v>353.45878275864129</v>
      </c>
      <c r="G106" s="6"/>
    </row>
    <row r="107" spans="1:7">
      <c r="A107" s="321" t="s">
        <v>34</v>
      </c>
      <c r="B107" s="172">
        <f>'[9]2019Fall_SoB700_TRANSCAP_2048'!$C$18/1000</f>
        <v>1986.6902365461219</v>
      </c>
      <c r="C107" s="172">
        <f>'[9]2019Fall_TrCap_CEC'!$C$18/1000</f>
        <v>1957.7861538403934</v>
      </c>
      <c r="D107" s="342">
        <f t="shared" si="5"/>
        <v>28.90408270572857</v>
      </c>
      <c r="E107" s="16"/>
      <c r="G107" s="6"/>
    </row>
    <row r="108" spans="1:7">
      <c r="A108" s="329" t="s">
        <v>47</v>
      </c>
      <c r="B108" s="172">
        <f>NPV('Financial Information'!$B$5,[18]System!$B$13:$AI$13)/1000*(1+'Financial Information'!$B$5)</f>
        <v>6924.2671265790241</v>
      </c>
      <c r="C108" s="172">
        <f>NPV('Financial Information'!$B$5,[17]System!$B$13:$AI$13)/1000*(1+'Financial Information'!$B$5)</f>
        <v>6770.3813448562632</v>
      </c>
      <c r="D108" s="342">
        <f t="shared" si="5"/>
        <v>153.88578172276084</v>
      </c>
      <c r="E108" s="16"/>
      <c r="G108" s="6"/>
    </row>
    <row r="109" spans="1:7">
      <c r="A109" s="321" t="s">
        <v>48</v>
      </c>
      <c r="B109" s="172">
        <f>'[9]2019Fall_SoB700_FOM_2048'!$C$18/1000</f>
        <v>130.83793921814879</v>
      </c>
      <c r="C109" s="172">
        <f>'[9]2019Fall_CEC_FOM'!$C$18/1000</f>
        <v>118.84763370755208</v>
      </c>
      <c r="D109" s="342">
        <f>B109-C109</f>
        <v>11.990305510596713</v>
      </c>
      <c r="E109" s="16"/>
      <c r="G109" s="6"/>
    </row>
    <row r="110" spans="1:7">
      <c r="A110" s="321" t="s">
        <v>50</v>
      </c>
      <c r="B110" s="172">
        <f>NPV('Financial Information'!$B$5,'[18]Fuel Cost'!$C$150:$AJ$150)/1000*(1+'Financial Information'!$B$5)</f>
        <v>30192.112760523632</v>
      </c>
      <c r="C110" s="172">
        <f>NPV('Financial Information'!$B$5,'[19]Fuel Cost'!$C$150:$AJ$150)/1000*(1+'Financial Information'!$B$5)</f>
        <v>29079.503110650949</v>
      </c>
      <c r="D110" s="342">
        <f t="shared" si="5"/>
        <v>1112.6096498726838</v>
      </c>
      <c r="E110" s="16">
        <f>SUM(D110:D118)</f>
        <v>1179.4968662847448</v>
      </c>
      <c r="G110" s="6"/>
    </row>
    <row r="111" spans="1:7">
      <c r="A111" s="321" t="s">
        <v>181</v>
      </c>
      <c r="B111" s="172">
        <f>NPV('Financial Information'!$B$5,'[18]VOM Cost'!$C$150:$AJ$150)/1000*(1+'Financial Information'!$B$5)</f>
        <v>3132.8311437501466</v>
      </c>
      <c r="C111" s="172">
        <f>NPV('Financial Information'!$B$5,'[19]VOM Cost'!$C$150:$AJ$150)/1000*(1+'Financial Information'!$B$5)</f>
        <v>3088.0992393298607</v>
      </c>
      <c r="D111" s="342">
        <f t="shared" si="5"/>
        <v>44.7319044202859</v>
      </c>
      <c r="E111" s="16"/>
      <c r="G111" s="6"/>
    </row>
    <row r="112" spans="1:7">
      <c r="A112" s="321" t="s">
        <v>182</v>
      </c>
      <c r="B112" s="172">
        <f>NPV('Financial Information'!$B$5,[18]System!$B$9:$AI$9)/1000*(1+'Financial Information'!$B$5)</f>
        <v>1.6610540932439621</v>
      </c>
      <c r="C112" s="172">
        <f>NPV('Financial Information'!$B$5,[19]System!$B$9:$AI$9)/1000*(1+'Financial Information'!$B$5)</f>
        <v>4.1469594296410577</v>
      </c>
      <c r="D112" s="342">
        <f t="shared" si="5"/>
        <v>-2.4859053363970958</v>
      </c>
      <c r="E112" s="16"/>
      <c r="G112" s="6"/>
    </row>
    <row r="113" spans="1:7">
      <c r="A113" s="321" t="s">
        <v>183</v>
      </c>
      <c r="B113" s="172">
        <f>NPV('Financial Information'!$B$5,[18]System!$B$7:$AI$7)/1000*(1+'Financial Information'!$B$5)</f>
        <v>0</v>
      </c>
      <c r="C113" s="172">
        <f>NPV('Financial Information'!$B$5,[19]System!$B$7:$AI$7)/1000*(1+'Financial Information'!$B$5)</f>
        <v>0</v>
      </c>
      <c r="D113" s="342">
        <f t="shared" si="5"/>
        <v>0</v>
      </c>
      <c r="E113" s="16"/>
      <c r="G113" s="6"/>
    </row>
    <row r="114" spans="1:7">
      <c r="A114" s="321" t="s">
        <v>184</v>
      </c>
      <c r="B114" s="172">
        <f>NPV('Financial Information'!$B$5,'[18]Start Cost'!$C$150:$AJ$150)/1000*(1+'Financial Information'!$B$5)</f>
        <v>441.48145174786401</v>
      </c>
      <c r="C114" s="172">
        <f>NPV('Financial Information'!$B$5,'[19]Start Cost'!$C$150:$AJ$150)/1000*(1+'Financial Information'!$B$5)</f>
        <v>420.01857281606755</v>
      </c>
      <c r="D114" s="342">
        <f>B114-C114</f>
        <v>21.462878931796467</v>
      </c>
      <c r="E114" s="16"/>
      <c r="G114" s="6"/>
    </row>
    <row r="115" spans="1:7">
      <c r="A115" s="321" t="s">
        <v>185</v>
      </c>
      <c r="B115" s="345">
        <f>NPV('Financial Information'!$B$5,'[18]Lime Cost'!$C$150:$AJ$150)/1000*(1+'Financial Information'!$B$5)</f>
        <v>15.654070322172061</v>
      </c>
      <c r="C115" s="345">
        <f>NPV('Financial Information'!$B$5,'[19]Lime Cost'!$C$150:$AJ$150)/1000*(1+'Financial Information'!$B$5)</f>
        <v>15.15412327869395</v>
      </c>
      <c r="D115" s="342">
        <f>B115-C115</f>
        <v>0.49994704347811059</v>
      </c>
      <c r="E115" s="16"/>
      <c r="G115" s="6"/>
    </row>
    <row r="116" spans="1:7">
      <c r="A116" s="321" t="s">
        <v>186</v>
      </c>
      <c r="B116" s="172">
        <f>NPV('Financial Information'!$B$5,'[18]Reagent Cost'!$C$150:$AJ$150)/1000*(1+'Financial Information'!$B$5)</f>
        <v>74.845430281519938</v>
      </c>
      <c r="C116" s="172">
        <f>NPV('Financial Information'!$B$5,'[19]Reagent Cost'!$C$150:$AJ$150)/1000*(1+'Financial Information'!$B$5)</f>
        <v>72.465100989237854</v>
      </c>
      <c r="D116" s="342">
        <f>B116-C116</f>
        <v>2.3803292922820845</v>
      </c>
      <c r="E116" s="16"/>
      <c r="G116" s="6"/>
    </row>
    <row r="117" spans="1:7">
      <c r="A117" s="321" t="s">
        <v>187</v>
      </c>
      <c r="B117" s="172">
        <f>NPV('Financial Information'!$B$5,'[18]NOx Cost'!$C$150:$AJ$150)/1000*(1+'Financial Information'!$B$5)</f>
        <v>6.3022714084559146</v>
      </c>
      <c r="C117" s="172">
        <f>NPV('Financial Information'!$B$5,'[19]NOx Cost'!$C$150:$AJ$150)/1000*(1+'Financial Information'!$B$5)</f>
        <v>6.0094856341512077</v>
      </c>
      <c r="D117" s="342">
        <f t="shared" si="5"/>
        <v>0.29278577430470687</v>
      </c>
      <c r="E117" s="16"/>
      <c r="G117" s="6"/>
    </row>
    <row r="118" spans="1:7" ht="15" thickBot="1">
      <c r="A118" s="325" t="s">
        <v>188</v>
      </c>
      <c r="B118" s="346">
        <f>NPV('Financial Information'!$B$5,'[18]SO2 Cost'!$C$150:$AJ$150)/1000*(1+'Financial Information'!$B$5)</f>
        <v>0.1557408748666233</v>
      </c>
      <c r="C118" s="346">
        <f>NPV('Financial Information'!$B$5,'[19]SO2 Cost'!$C$150:$AJ$150)/1000*(1+'Financial Information'!$B$5)</f>
        <v>0.15046458855611311</v>
      </c>
      <c r="D118" s="343">
        <f t="shared" si="5"/>
        <v>5.276286310510192E-3</v>
      </c>
      <c r="E118" s="16"/>
      <c r="G118" s="6"/>
    </row>
    <row r="119" spans="1:7">
      <c r="A119" s="9" t="s">
        <v>49</v>
      </c>
      <c r="B119" s="35">
        <f>SUM(B26:B118)</f>
        <v>45967.670374192021</v>
      </c>
      <c r="C119" s="35">
        <f>SUM(C26:C118)</f>
        <v>44434.714725148631</v>
      </c>
      <c r="D119" s="35">
        <f>SUM(D2:D118)</f>
        <v>392.65736469386815</v>
      </c>
      <c r="E119" s="16"/>
      <c r="G119" s="6"/>
    </row>
    <row r="120" spans="1:7">
      <c r="A120" s="321" t="s">
        <v>51</v>
      </c>
      <c r="B120" s="172">
        <f>NPV('Financial Information'!$B$5,'[18]CO2 Cost'!$C$150:$AJ$150)/1000*(1+'Financial Information'!$B$5)</f>
        <v>11924.110324192567</v>
      </c>
      <c r="C120" s="172">
        <f>NPV('Financial Information'!$B$5,'[19]CO2 Cost'!$C$150:$AJ$150)/1000*(1+'Financial Information'!$B$5)</f>
        <v>11478.100959270674</v>
      </c>
      <c r="D120" s="342">
        <f>B120-C120</f>
        <v>446.00936492189248</v>
      </c>
      <c r="E120" s="16">
        <f>D120</f>
        <v>446.00936492189248</v>
      </c>
      <c r="F120" s="16"/>
      <c r="G120" s="6"/>
    </row>
    <row r="121" spans="1:7">
      <c r="A121" s="171" t="s">
        <v>189</v>
      </c>
      <c r="B121" s="172">
        <f>B119+B120</f>
        <v>57891.780698384588</v>
      </c>
      <c r="C121" s="172">
        <f>C119+C120</f>
        <v>55912.815684419307</v>
      </c>
      <c r="D121" s="172">
        <f>+D119+D120</f>
        <v>838.66672961576069</v>
      </c>
      <c r="E121" s="52">
        <f>SUM(E2:E120)</f>
        <v>838.66672961576091</v>
      </c>
      <c r="G121" s="6"/>
    </row>
    <row r="122" spans="1:7">
      <c r="E122" s="32"/>
      <c r="G122" s="6"/>
    </row>
    <row r="123" spans="1:7">
      <c r="A123" s="347" t="s">
        <v>179</v>
      </c>
      <c r="B123" s="348">
        <f>SUM(B2:B105)</f>
        <v>1320.4370816520175</v>
      </c>
      <c r="C123" s="348">
        <f>SUM(C2:C105)</f>
        <v>2460.7353660015347</v>
      </c>
      <c r="D123" s="349">
        <f>B123-C123</f>
        <v>-1140.2982843495172</v>
      </c>
      <c r="E123" s="32"/>
      <c r="G123" s="6"/>
    </row>
    <row r="124" spans="1:7">
      <c r="A124" s="350" t="s">
        <v>178</v>
      </c>
      <c r="B124" s="119">
        <f>SUM(B106:B109)</f>
        <v>10782.189369538097</v>
      </c>
      <c r="C124" s="119">
        <f>SUM(C106:C109)</f>
        <v>10428.730586779457</v>
      </c>
      <c r="D124" s="211">
        <f>B124-C124</f>
        <v>353.45878275864015</v>
      </c>
      <c r="E124" s="32"/>
      <c r="G124" s="6"/>
    </row>
    <row r="125" spans="1:7">
      <c r="A125" s="351" t="s">
        <v>113</v>
      </c>
      <c r="B125" s="212">
        <f>SUM(B110:B118)+B120</f>
        <v>45789.15424719447</v>
      </c>
      <c r="C125" s="212">
        <f>SUM(C110:C118)+C120</f>
        <v>44163.648015987834</v>
      </c>
      <c r="D125" s="213">
        <f>B125-C125</f>
        <v>1625.5062312066366</v>
      </c>
      <c r="G125" s="6"/>
    </row>
    <row r="126" spans="1:7">
      <c r="B126" s="16">
        <f>SUM(B123:B125)</f>
        <v>57891.78069838458</v>
      </c>
      <c r="C126" s="16">
        <f>SUM(C123:C125)</f>
        <v>57053.113968768826</v>
      </c>
      <c r="D126" s="16">
        <f>SUM(D123:D125)</f>
        <v>838.66672961575955</v>
      </c>
      <c r="G126" s="6"/>
    </row>
    <row r="127" spans="1:7">
      <c r="G127" s="6"/>
    </row>
    <row r="128" spans="1:7">
      <c r="B128" s="216"/>
      <c r="C128" s="216"/>
      <c r="D128" s="23"/>
      <c r="E128" s="23"/>
    </row>
    <row r="129" spans="1:5">
      <c r="A129" s="36"/>
      <c r="B129" s="16"/>
      <c r="C129" s="16"/>
      <c r="D129" s="16"/>
    </row>
    <row r="130" spans="1:5">
      <c r="B130" s="352"/>
      <c r="C130" s="352"/>
    </row>
    <row r="131" spans="1:5">
      <c r="B131" s="352"/>
      <c r="C131" s="352"/>
      <c r="E131" s="24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19"/>
  <sheetViews>
    <sheetView workbookViewId="0">
      <selection activeCell="Z112" sqref="Z112"/>
    </sheetView>
  </sheetViews>
  <sheetFormatPr defaultColWidth="8.90625" defaultRowHeight="14.5"/>
  <cols>
    <col min="1" max="1" width="31.36328125" style="6" bestFit="1" customWidth="1"/>
    <col min="2" max="2" width="10.08984375" style="6" bestFit="1" customWidth="1"/>
    <col min="3" max="3" width="13.36328125" style="6" bestFit="1" customWidth="1"/>
    <col min="4" max="4" width="8.90625" style="6"/>
    <col min="5" max="5" width="9.54296875" style="6" bestFit="1" customWidth="1"/>
    <col min="6" max="16384" width="8.90625" style="6"/>
  </cols>
  <sheetData>
    <row r="1" spans="1:10">
      <c r="B1" s="151" t="s">
        <v>6</v>
      </c>
      <c r="C1" s="151" t="s">
        <v>7</v>
      </c>
      <c r="F1" s="152" t="s">
        <v>190</v>
      </c>
      <c r="G1" s="152"/>
      <c r="H1" s="152"/>
      <c r="I1" s="152"/>
      <c r="J1" s="152"/>
    </row>
    <row r="2" spans="1:10">
      <c r="A2" s="6" t="s">
        <v>8</v>
      </c>
      <c r="B2" s="153">
        <v>3.15E-2</v>
      </c>
      <c r="C2" s="153">
        <f>(1-C3)</f>
        <v>0.47</v>
      </c>
      <c r="D2" s="154">
        <f>B2*C2</f>
        <v>1.4804999999999999E-2</v>
      </c>
      <c r="E2" s="23"/>
    </row>
    <row r="3" spans="1:10">
      <c r="A3" s="6" t="s">
        <v>9</v>
      </c>
      <c r="B3" s="153">
        <v>0.105</v>
      </c>
      <c r="C3" s="153">
        <v>0.53</v>
      </c>
      <c r="D3" s="154">
        <f>B3*C3</f>
        <v>5.5649999999999998E-2</v>
      </c>
      <c r="E3" s="23"/>
    </row>
    <row r="4" spans="1:10">
      <c r="A4" s="6" t="s">
        <v>10</v>
      </c>
      <c r="B4" s="154">
        <v>0.25015727999999998</v>
      </c>
      <c r="D4" s="154">
        <f>D2+D3</f>
        <v>7.045499999999999E-2</v>
      </c>
      <c r="E4" s="23"/>
    </row>
    <row r="5" spans="1:10">
      <c r="A5" s="6" t="s">
        <v>11</v>
      </c>
      <c r="B5" s="153">
        <f>MROUND(($B$2*$C$2*(1-$B$4)+$B$3*$C$3),0.0005)</f>
        <v>6.7000000000000004E-2</v>
      </c>
      <c r="D5" s="154"/>
    </row>
    <row r="6" spans="1:10">
      <c r="A6" s="6" t="s">
        <v>12</v>
      </c>
      <c r="B6" s="155">
        <v>1.2179620313929576E-3</v>
      </c>
      <c r="D6" s="6">
        <f>B6*100</f>
        <v>0.12179620313929576</v>
      </c>
    </row>
    <row r="7" spans="1:10">
      <c r="A7" s="6" t="s">
        <v>13</v>
      </c>
      <c r="B7" s="155">
        <v>7.7789940823406343E-3</v>
      </c>
      <c r="D7" s="6">
        <f>B7*100</f>
        <v>0.77789940823406345</v>
      </c>
      <c r="G7" s="153"/>
    </row>
    <row r="8" spans="1:10">
      <c r="A8" s="6" t="s">
        <v>14</v>
      </c>
      <c r="B8" s="155">
        <f>$B$2*$C$2+$B$3*$C$3</f>
        <v>7.045499999999999E-2</v>
      </c>
      <c r="C8" s="156">
        <f>$B$2*$C$2*(1-$B$4)+$B$3*$C$3</f>
        <v>6.6751421469600003E-2</v>
      </c>
    </row>
    <row r="9" spans="1:10">
      <c r="A9" s="6" t="s">
        <v>15</v>
      </c>
      <c r="B9" s="153">
        <f>B2</f>
        <v>3.15E-2</v>
      </c>
    </row>
    <row r="10" spans="1:10">
      <c r="A10" s="6" t="s">
        <v>16</v>
      </c>
      <c r="B10" s="155">
        <f>B2</f>
        <v>3.15E-2</v>
      </c>
    </row>
    <row r="11" spans="1:10">
      <c r="A11" s="6" t="s">
        <v>17</v>
      </c>
      <c r="B11" s="157">
        <v>2.5000000000000001E-2</v>
      </c>
    </row>
    <row r="12" spans="1:10">
      <c r="A12" s="6" t="s">
        <v>18</v>
      </c>
      <c r="B12" s="156">
        <f>$B$2*$C$2+$B$3*$C$3</f>
        <v>7.045499999999999E-2</v>
      </c>
      <c r="C12" s="158"/>
    </row>
    <row r="13" spans="1:10">
      <c r="A13" s="6" t="s">
        <v>19</v>
      </c>
      <c r="B13" s="159">
        <v>1.2875E-3</v>
      </c>
    </row>
    <row r="14" spans="1:10">
      <c r="A14" s="6" t="s">
        <v>20</v>
      </c>
      <c r="B14" s="154">
        <f>(1+B5)/(1+B15)-1</f>
        <v>4.0975609756097597E-2</v>
      </c>
    </row>
    <row r="15" spans="1:10">
      <c r="A15" s="6" t="s">
        <v>21</v>
      </c>
      <c r="B15" s="160">
        <v>2.5000000000000001E-2</v>
      </c>
    </row>
    <row r="16" spans="1:10">
      <c r="A16" s="6" t="s">
        <v>22</v>
      </c>
      <c r="B16" s="6">
        <v>2019</v>
      </c>
    </row>
    <row r="17" spans="1:2">
      <c r="A17" s="6" t="s">
        <v>23</v>
      </c>
      <c r="B17" s="160">
        <v>4.4580000000000002E-2</v>
      </c>
    </row>
    <row r="18" spans="1:2">
      <c r="A18" s="6" t="s">
        <v>24</v>
      </c>
      <c r="B18" s="160">
        <v>0.21</v>
      </c>
    </row>
    <row r="19" spans="1:2">
      <c r="A19" s="6" t="s">
        <v>130</v>
      </c>
      <c r="B19" s="161">
        <v>0.03</v>
      </c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83224-6BF5-479A-96FD-DB931DF550CF}">
  <dimension ref="A1:AN105"/>
  <sheetViews>
    <sheetView zoomScale="90" zoomScaleNormal="90" workbookViewId="0">
      <pane xSplit="1" ySplit="9" topLeftCell="B10" activePane="bottomRight" state="frozen"/>
      <selection activeCell="Z112" sqref="Z112"/>
      <selection pane="topRight" activeCell="Z112" sqref="Z112"/>
      <selection pane="bottomLeft" activeCell="Z112" sqref="Z112"/>
      <selection pane="bottomRight" activeCell="Z112" sqref="Z112"/>
    </sheetView>
  </sheetViews>
  <sheetFormatPr defaultColWidth="10" defaultRowHeight="14.5"/>
  <cols>
    <col min="1" max="1" width="25.453125" style="142" customWidth="1"/>
    <col min="2" max="2" width="18" style="142" customWidth="1"/>
    <col min="3" max="3" width="40.90625" style="142" customWidth="1"/>
    <col min="4" max="4" width="22" style="142" customWidth="1"/>
    <col min="5" max="5" width="16.08984375" style="142" customWidth="1"/>
    <col min="6" max="7" width="13.90625" style="142" customWidth="1"/>
    <col min="8" max="8" width="16.54296875" style="142" customWidth="1"/>
    <col min="9" max="9" width="16.08984375" style="142" bestFit="1" customWidth="1"/>
    <col min="10" max="14" width="13.90625" style="142" customWidth="1"/>
    <col min="15" max="15" width="15.36328125" style="142" customWidth="1"/>
    <col min="16" max="34" width="13.90625" style="142" customWidth="1"/>
    <col min="35" max="35" width="15.453125" style="142" customWidth="1"/>
    <col min="36" max="36" width="16.90625" style="142" customWidth="1"/>
    <col min="37" max="37" width="15.08984375" style="142" customWidth="1"/>
    <col min="38" max="38" width="10" style="142"/>
    <col min="39" max="39" width="11.6328125" style="142" customWidth="1"/>
    <col min="40" max="16384" width="10" style="142"/>
  </cols>
  <sheetData>
    <row r="1" spans="2:40" ht="15" thickBot="1"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</row>
    <row r="2" spans="2:40">
      <c r="B2" s="429" t="s">
        <v>243</v>
      </c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</row>
    <row r="3" spans="2:40">
      <c r="B3" s="218"/>
      <c r="C3" s="122"/>
      <c r="D3" s="122"/>
      <c r="E3" s="141"/>
      <c r="F3" s="122"/>
      <c r="G3" s="122"/>
      <c r="H3" s="122"/>
      <c r="I3" s="120"/>
      <c r="J3" s="121" t="s">
        <v>343</v>
      </c>
      <c r="K3" s="122"/>
      <c r="L3" s="122"/>
      <c r="M3" s="122"/>
      <c r="O3" s="219"/>
      <c r="P3" s="431" t="s">
        <v>244</v>
      </c>
      <c r="Q3" s="431"/>
      <c r="R3" s="220"/>
      <c r="U3" s="221" t="s">
        <v>344</v>
      </c>
      <c r="V3" s="2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M3" s="426" t="s">
        <v>345</v>
      </c>
      <c r="AN3" s="427"/>
    </row>
    <row r="4" spans="2:40" ht="15" customHeight="1">
      <c r="B4" s="223">
        <f>SUM(D33:AK33)+SUM(D34:AK34)</f>
        <v>700000</v>
      </c>
      <c r="C4" s="122" t="s">
        <v>245</v>
      </c>
      <c r="D4" s="123"/>
      <c r="E4" s="224">
        <f>F8*T5</f>
        <v>36509.256000000001</v>
      </c>
      <c r="F4" s="122" t="s">
        <v>246</v>
      </c>
      <c r="G4" s="122"/>
      <c r="H4" s="225">
        <v>149.80000000000001</v>
      </c>
      <c r="I4" s="120" t="s">
        <v>346</v>
      </c>
      <c r="J4" s="120" t="s">
        <v>232</v>
      </c>
      <c r="K4" s="226">
        <f>H4/(H4/2)</f>
        <v>2</v>
      </c>
      <c r="L4" s="122" t="s">
        <v>253</v>
      </c>
      <c r="M4" s="124"/>
      <c r="O4" s="125" t="s">
        <v>247</v>
      </c>
      <c r="P4" s="126" t="s">
        <v>248</v>
      </c>
      <c r="Q4" s="126" t="s">
        <v>249</v>
      </c>
      <c r="R4" s="126" t="s">
        <v>250</v>
      </c>
      <c r="T4" s="126" t="s">
        <v>248</v>
      </c>
      <c r="U4" s="126" t="s">
        <v>249</v>
      </c>
      <c r="V4" s="126" t="s">
        <v>250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M4" s="227" t="s">
        <v>110</v>
      </c>
      <c r="AN4" s="227" t="s">
        <v>347</v>
      </c>
    </row>
    <row r="5" spans="2:40">
      <c r="B5" s="223">
        <f>SUM(D41:AK41)</f>
        <v>10536448.984571252</v>
      </c>
      <c r="C5" s="127" t="s">
        <v>251</v>
      </c>
      <c r="D5" s="123"/>
      <c r="E5" s="224">
        <f>F8*U5</f>
        <v>1318164.1013333334</v>
      </c>
      <c r="F5" s="122" t="s">
        <v>252</v>
      </c>
      <c r="G5" s="122"/>
      <c r="H5" s="225">
        <v>299.60000000000002</v>
      </c>
      <c r="I5" s="120" t="s">
        <v>348</v>
      </c>
      <c r="J5" s="120" t="s">
        <v>232</v>
      </c>
      <c r="K5" s="226">
        <f>H5/(H5/4)</f>
        <v>4</v>
      </c>
      <c r="L5" s="122" t="s">
        <v>256</v>
      </c>
      <c r="M5" s="128"/>
      <c r="O5" s="125">
        <v>450</v>
      </c>
      <c r="P5" s="129">
        <f>$O5*T$5</f>
        <v>21934.799999999999</v>
      </c>
      <c r="Q5" s="129">
        <f t="shared" ref="Q5:R7" si="0">$O5*U$5</f>
        <v>791954.4</v>
      </c>
      <c r="R5" s="129">
        <f t="shared" si="0"/>
        <v>190443</v>
      </c>
      <c r="T5" s="228">
        <v>48.744</v>
      </c>
      <c r="U5" s="228">
        <v>1759.8986666666667</v>
      </c>
      <c r="V5" s="228">
        <v>423.20666666666665</v>
      </c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M5" s="136" t="s">
        <v>232</v>
      </c>
      <c r="AN5" s="229">
        <f>12/12</f>
        <v>1</v>
      </c>
    </row>
    <row r="6" spans="2:40" ht="15" customHeight="1">
      <c r="B6" s="223">
        <f>SUM(D67:AK67)</f>
        <v>2133538.9564533345</v>
      </c>
      <c r="C6" s="122" t="s">
        <v>254</v>
      </c>
      <c r="D6" s="123"/>
      <c r="E6" s="224">
        <f>F8*V5</f>
        <v>316981.79333333333</v>
      </c>
      <c r="F6" s="122" t="s">
        <v>255</v>
      </c>
      <c r="G6" s="230"/>
      <c r="H6" s="225">
        <f>H5</f>
        <v>299.60000000000002</v>
      </c>
      <c r="I6" s="120" t="s">
        <v>349</v>
      </c>
      <c r="J6" s="120" t="s">
        <v>232</v>
      </c>
      <c r="K6" s="226">
        <f>H6/(H6/4)</f>
        <v>4</v>
      </c>
      <c r="L6" s="122" t="s">
        <v>350</v>
      </c>
      <c r="M6" s="122"/>
      <c r="O6" s="125">
        <v>600</v>
      </c>
      <c r="P6" s="129">
        <f t="shared" ref="P6:P7" si="1">$O6*T$5</f>
        <v>29246.400000000001</v>
      </c>
      <c r="Q6" s="129">
        <f t="shared" si="0"/>
        <v>1055939.2</v>
      </c>
      <c r="R6" s="129">
        <f t="shared" si="0"/>
        <v>253924</v>
      </c>
      <c r="T6" s="231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M6" s="136" t="s">
        <v>351</v>
      </c>
      <c r="AN6" s="229">
        <f>11/12</f>
        <v>0.91666666666666663</v>
      </c>
    </row>
    <row r="7" spans="2:40" ht="16">
      <c r="B7" s="232">
        <f>SUM(D74:AK74)</f>
        <v>3263915.8940000013</v>
      </c>
      <c r="C7" s="130" t="s">
        <v>257</v>
      </c>
      <c r="D7" s="131"/>
      <c r="E7" s="132"/>
      <c r="F7" s="122"/>
      <c r="G7" s="122"/>
      <c r="H7" s="233">
        <v>2351</v>
      </c>
      <c r="I7" s="120" t="s">
        <v>258</v>
      </c>
      <c r="J7" s="122"/>
      <c r="K7" s="122"/>
      <c r="L7" s="122"/>
      <c r="M7" s="122"/>
      <c r="N7" s="122"/>
      <c r="O7" s="125">
        <v>750</v>
      </c>
      <c r="P7" s="129">
        <f t="shared" si="1"/>
        <v>36558</v>
      </c>
      <c r="Q7" s="129">
        <f t="shared" si="0"/>
        <v>1319924</v>
      </c>
      <c r="R7" s="129">
        <f t="shared" si="0"/>
        <v>317405</v>
      </c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M7" s="136" t="s">
        <v>352</v>
      </c>
      <c r="AN7" s="229">
        <f>10/12</f>
        <v>0.83333333333333337</v>
      </c>
    </row>
    <row r="8" spans="2:40">
      <c r="B8" s="234">
        <f>SUM(B4:B7)</f>
        <v>16633903.835024588</v>
      </c>
      <c r="C8" s="122"/>
      <c r="D8" s="122"/>
      <c r="E8" s="133" t="s">
        <v>259</v>
      </c>
      <c r="F8" s="125">
        <v>749</v>
      </c>
      <c r="G8" s="122"/>
      <c r="H8" s="122"/>
      <c r="I8" s="122"/>
      <c r="J8" s="122"/>
      <c r="K8" s="122"/>
      <c r="L8" s="122"/>
      <c r="M8" s="122"/>
      <c r="N8" s="122"/>
      <c r="O8" s="122"/>
      <c r="P8" s="235"/>
      <c r="Q8" s="235"/>
      <c r="R8" s="235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M8" s="136" t="s">
        <v>353</v>
      </c>
      <c r="AN8" s="229">
        <f>9/12</f>
        <v>0.75</v>
      </c>
    </row>
    <row r="9" spans="2:40" ht="15" thickBot="1">
      <c r="B9" s="236"/>
      <c r="C9" s="237"/>
      <c r="D9" s="237"/>
      <c r="E9" s="134"/>
      <c r="F9" s="237"/>
      <c r="G9" s="237"/>
      <c r="H9" s="237"/>
      <c r="I9" s="238"/>
      <c r="J9" s="238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M9" s="136" t="s">
        <v>354</v>
      </c>
      <c r="AN9" s="229">
        <f>8/12</f>
        <v>0.66666666666666663</v>
      </c>
    </row>
    <row r="10" spans="2:40">
      <c r="B10" s="432" t="s">
        <v>260</v>
      </c>
      <c r="C10" s="428"/>
      <c r="D10" s="428"/>
      <c r="E10" s="428"/>
      <c r="F10" s="428"/>
      <c r="G10" s="428"/>
      <c r="H10" s="428"/>
      <c r="I10" s="428"/>
      <c r="J10" s="428"/>
      <c r="K10" s="428"/>
      <c r="L10" s="428"/>
      <c r="M10" s="428"/>
      <c r="N10" s="428"/>
      <c r="O10" s="428"/>
      <c r="P10" s="428"/>
      <c r="Q10" s="428"/>
      <c r="R10" s="428"/>
      <c r="S10" s="428"/>
      <c r="T10" s="428"/>
      <c r="U10" s="428"/>
      <c r="V10" s="428"/>
      <c r="W10" s="428"/>
      <c r="X10" s="428"/>
      <c r="Y10" s="428"/>
      <c r="Z10" s="428"/>
      <c r="AA10" s="428"/>
      <c r="AB10" s="428"/>
      <c r="AC10" s="428"/>
      <c r="AD10" s="428"/>
      <c r="AE10" s="428"/>
      <c r="AF10" s="428"/>
      <c r="AG10" s="428"/>
      <c r="AH10" s="428"/>
      <c r="AI10" s="239"/>
      <c r="AJ10" s="239"/>
      <c r="AK10" s="239"/>
      <c r="AM10" s="136" t="s">
        <v>355</v>
      </c>
      <c r="AN10" s="229">
        <f>7/12</f>
        <v>0.58333333333333337</v>
      </c>
    </row>
    <row r="11" spans="2:40">
      <c r="B11" s="240" t="s">
        <v>261</v>
      </c>
      <c r="C11" s="224">
        <v>1000</v>
      </c>
      <c r="D11" s="122" t="s">
        <v>262</v>
      </c>
      <c r="E11" s="145" t="s">
        <v>263</v>
      </c>
      <c r="F11" s="241">
        <v>1</v>
      </c>
      <c r="G11" s="122" t="s">
        <v>262</v>
      </c>
      <c r="H11" s="135"/>
      <c r="I11" s="242" t="s">
        <v>264</v>
      </c>
      <c r="J11" s="135">
        <v>7</v>
      </c>
      <c r="K11" s="122" t="s">
        <v>265</v>
      </c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M11" s="136" t="s">
        <v>356</v>
      </c>
      <c r="AN11" s="229">
        <f>6/12</f>
        <v>0.5</v>
      </c>
    </row>
    <row r="12" spans="2:40">
      <c r="B12" s="243"/>
      <c r="C12" s="224"/>
      <c r="D12" s="122"/>
      <c r="E12" s="145"/>
      <c r="F12" s="241"/>
      <c r="G12" s="122"/>
      <c r="H12" s="122"/>
      <c r="I12" s="122" t="s">
        <v>266</v>
      </c>
      <c r="J12" s="135">
        <v>3</v>
      </c>
      <c r="K12" s="122" t="s">
        <v>265</v>
      </c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M12" s="136" t="s">
        <v>357</v>
      </c>
      <c r="AN12" s="229">
        <f>5/12</f>
        <v>0.41666666666666669</v>
      </c>
    </row>
    <row r="13" spans="2:40">
      <c r="B13" s="244"/>
      <c r="C13" s="224"/>
      <c r="D13" s="122"/>
      <c r="E13" s="145"/>
      <c r="F13" s="241"/>
      <c r="G13" s="122"/>
      <c r="H13" s="122"/>
      <c r="I13" s="122"/>
      <c r="J13" s="135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M13" s="136" t="s">
        <v>358</v>
      </c>
      <c r="AN13" s="229">
        <f>4/12</f>
        <v>0.33333333333333331</v>
      </c>
    </row>
    <row r="14" spans="2:40">
      <c r="B14" s="218"/>
      <c r="C14" s="245"/>
      <c r="D14" s="246" t="s">
        <v>267</v>
      </c>
      <c r="E14" s="246" t="s">
        <v>268</v>
      </c>
      <c r="F14" s="246" t="s">
        <v>269</v>
      </c>
      <c r="G14" s="246" t="s">
        <v>270</v>
      </c>
      <c r="H14" s="246" t="s">
        <v>271</v>
      </c>
      <c r="I14" s="246" t="s">
        <v>272</v>
      </c>
      <c r="J14" s="246" t="s">
        <v>273</v>
      </c>
      <c r="K14" s="246" t="s">
        <v>274</v>
      </c>
      <c r="L14" s="246" t="s">
        <v>275</v>
      </c>
      <c r="M14" s="246" t="s">
        <v>276</v>
      </c>
      <c r="N14" s="247" t="s">
        <v>277</v>
      </c>
      <c r="O14" s="247" t="s">
        <v>278</v>
      </c>
      <c r="P14" s="247" t="s">
        <v>279</v>
      </c>
      <c r="Q14" s="247" t="s">
        <v>280</v>
      </c>
      <c r="R14" s="247" t="s">
        <v>281</v>
      </c>
      <c r="S14" s="247" t="s">
        <v>282</v>
      </c>
      <c r="T14" s="247" t="s">
        <v>283</v>
      </c>
      <c r="U14" s="247" t="s">
        <v>284</v>
      </c>
      <c r="V14" s="247" t="s">
        <v>285</v>
      </c>
      <c r="W14" s="247" t="s">
        <v>286</v>
      </c>
      <c r="X14" s="247" t="s">
        <v>287</v>
      </c>
      <c r="Y14" s="247" t="s">
        <v>288</v>
      </c>
      <c r="Z14" s="247" t="s">
        <v>289</v>
      </c>
      <c r="AA14" s="247" t="s">
        <v>290</v>
      </c>
      <c r="AB14" s="247" t="s">
        <v>291</v>
      </c>
      <c r="AC14" s="247" t="s">
        <v>292</v>
      </c>
      <c r="AD14" s="247" t="s">
        <v>293</v>
      </c>
      <c r="AE14" s="247" t="s">
        <v>294</v>
      </c>
      <c r="AF14" s="247" t="s">
        <v>295</v>
      </c>
      <c r="AG14" s="247" t="s">
        <v>296</v>
      </c>
      <c r="AH14" s="246" t="s">
        <v>297</v>
      </c>
      <c r="AI14" s="246" t="s">
        <v>298</v>
      </c>
      <c r="AJ14" s="246" t="s">
        <v>299</v>
      </c>
      <c r="AK14" s="246" t="s">
        <v>300</v>
      </c>
      <c r="AM14" s="136" t="s">
        <v>359</v>
      </c>
      <c r="AN14" s="229">
        <f>3/12</f>
        <v>0.25</v>
      </c>
    </row>
    <row r="15" spans="2:40">
      <c r="B15" s="218"/>
      <c r="C15" s="122"/>
      <c r="D15" s="246">
        <v>2020</v>
      </c>
      <c r="E15" s="246">
        <f>D15+1</f>
        <v>2021</v>
      </c>
      <c r="F15" s="246">
        <v>2022</v>
      </c>
      <c r="G15" s="246">
        <v>2023</v>
      </c>
      <c r="H15" s="246">
        <v>2024</v>
      </c>
      <c r="I15" s="246">
        <v>2025</v>
      </c>
      <c r="J15" s="246">
        <v>2026</v>
      </c>
      <c r="K15" s="246">
        <v>2027</v>
      </c>
      <c r="L15" s="246">
        <v>2028</v>
      </c>
      <c r="M15" s="246">
        <v>2029</v>
      </c>
      <c r="N15" s="247">
        <v>2030</v>
      </c>
      <c r="O15" s="247">
        <f>N15+1</f>
        <v>2031</v>
      </c>
      <c r="P15" s="247">
        <f t="shared" ref="P15:AK15" si="2">O15+1</f>
        <v>2032</v>
      </c>
      <c r="Q15" s="247">
        <f t="shared" si="2"/>
        <v>2033</v>
      </c>
      <c r="R15" s="247">
        <f t="shared" si="2"/>
        <v>2034</v>
      </c>
      <c r="S15" s="247">
        <f t="shared" si="2"/>
        <v>2035</v>
      </c>
      <c r="T15" s="247">
        <f t="shared" si="2"/>
        <v>2036</v>
      </c>
      <c r="U15" s="247">
        <f t="shared" si="2"/>
        <v>2037</v>
      </c>
      <c r="V15" s="247">
        <f t="shared" si="2"/>
        <v>2038</v>
      </c>
      <c r="W15" s="247">
        <f t="shared" si="2"/>
        <v>2039</v>
      </c>
      <c r="X15" s="247">
        <f t="shared" si="2"/>
        <v>2040</v>
      </c>
      <c r="Y15" s="247">
        <f t="shared" si="2"/>
        <v>2041</v>
      </c>
      <c r="Z15" s="247">
        <f t="shared" si="2"/>
        <v>2042</v>
      </c>
      <c r="AA15" s="247">
        <f t="shared" si="2"/>
        <v>2043</v>
      </c>
      <c r="AB15" s="247">
        <f t="shared" si="2"/>
        <v>2044</v>
      </c>
      <c r="AC15" s="247">
        <f t="shared" si="2"/>
        <v>2045</v>
      </c>
      <c r="AD15" s="247">
        <f t="shared" si="2"/>
        <v>2046</v>
      </c>
      <c r="AE15" s="247">
        <f t="shared" si="2"/>
        <v>2047</v>
      </c>
      <c r="AF15" s="247">
        <f t="shared" si="2"/>
        <v>2048</v>
      </c>
      <c r="AG15" s="247">
        <f t="shared" si="2"/>
        <v>2049</v>
      </c>
      <c r="AH15" s="247">
        <f t="shared" si="2"/>
        <v>2050</v>
      </c>
      <c r="AI15" s="247">
        <f t="shared" si="2"/>
        <v>2051</v>
      </c>
      <c r="AJ15" s="247">
        <f t="shared" si="2"/>
        <v>2052</v>
      </c>
      <c r="AK15" s="247">
        <f t="shared" si="2"/>
        <v>2053</v>
      </c>
      <c r="AM15" s="136" t="s">
        <v>360</v>
      </c>
      <c r="AN15" s="229">
        <f>2/12</f>
        <v>0.16666666666666666</v>
      </c>
    </row>
    <row r="16" spans="2:40">
      <c r="B16" s="248" t="s">
        <v>301</v>
      </c>
      <c r="C16" s="249" t="s">
        <v>109</v>
      </c>
      <c r="D16" s="250">
        <v>0</v>
      </c>
      <c r="E16" s="241">
        <f>H4*0.25*0.9</f>
        <v>33.705000000000005</v>
      </c>
      <c r="F16" s="241">
        <f>H5*0.25*0.9</f>
        <v>67.410000000000011</v>
      </c>
      <c r="G16" s="241">
        <f>H6*0.25*0.9</f>
        <v>67.410000000000011</v>
      </c>
      <c r="H16" s="241">
        <v>0</v>
      </c>
      <c r="I16" s="241">
        <f t="shared" ref="I16:M16" si="3">H16</f>
        <v>0</v>
      </c>
      <c r="J16" s="241">
        <f t="shared" si="3"/>
        <v>0</v>
      </c>
      <c r="K16" s="241">
        <f t="shared" si="3"/>
        <v>0</v>
      </c>
      <c r="L16" s="241">
        <f t="shared" si="3"/>
        <v>0</v>
      </c>
      <c r="M16" s="241">
        <f t="shared" si="3"/>
        <v>0</v>
      </c>
      <c r="N16" s="241">
        <f>M16</f>
        <v>0</v>
      </c>
      <c r="O16" s="241">
        <f t="shared" ref="O16:AK16" si="4">N16</f>
        <v>0</v>
      </c>
      <c r="P16" s="241">
        <f t="shared" si="4"/>
        <v>0</v>
      </c>
      <c r="Q16" s="241">
        <f t="shared" si="4"/>
        <v>0</v>
      </c>
      <c r="R16" s="241">
        <f t="shared" si="4"/>
        <v>0</v>
      </c>
      <c r="S16" s="241">
        <f t="shared" si="4"/>
        <v>0</v>
      </c>
      <c r="T16" s="241">
        <f t="shared" si="4"/>
        <v>0</v>
      </c>
      <c r="U16" s="241">
        <f t="shared" si="4"/>
        <v>0</v>
      </c>
      <c r="V16" s="241">
        <f t="shared" si="4"/>
        <v>0</v>
      </c>
      <c r="W16" s="241">
        <f t="shared" si="4"/>
        <v>0</v>
      </c>
      <c r="X16" s="241">
        <f t="shared" si="4"/>
        <v>0</v>
      </c>
      <c r="Y16" s="241">
        <f t="shared" si="4"/>
        <v>0</v>
      </c>
      <c r="Z16" s="241">
        <f t="shared" si="4"/>
        <v>0</v>
      </c>
      <c r="AA16" s="241">
        <f t="shared" si="4"/>
        <v>0</v>
      </c>
      <c r="AB16" s="241">
        <f t="shared" si="4"/>
        <v>0</v>
      </c>
      <c r="AC16" s="241">
        <f t="shared" si="4"/>
        <v>0</v>
      </c>
      <c r="AD16" s="241">
        <f t="shared" si="4"/>
        <v>0</v>
      </c>
      <c r="AE16" s="241">
        <f t="shared" si="4"/>
        <v>0</v>
      </c>
      <c r="AF16" s="241">
        <f t="shared" si="4"/>
        <v>0</v>
      </c>
      <c r="AG16" s="241">
        <f t="shared" si="4"/>
        <v>0</v>
      </c>
      <c r="AH16" s="241">
        <f t="shared" si="4"/>
        <v>0</v>
      </c>
      <c r="AI16" s="241">
        <f t="shared" si="4"/>
        <v>0</v>
      </c>
      <c r="AJ16" s="241">
        <f t="shared" si="4"/>
        <v>0</v>
      </c>
      <c r="AK16" s="241">
        <f t="shared" si="4"/>
        <v>0</v>
      </c>
      <c r="AM16" s="136" t="s">
        <v>361</v>
      </c>
      <c r="AN16" s="229">
        <f>1/12</f>
        <v>8.3333333333333329E-2</v>
      </c>
    </row>
    <row r="17" spans="2:37">
      <c r="B17" s="244"/>
      <c r="C17" s="251" t="s">
        <v>302</v>
      </c>
      <c r="D17" s="252"/>
      <c r="E17" s="253">
        <f>E16*C11/J11</f>
        <v>4815.0000000000009</v>
      </c>
      <c r="F17" s="253">
        <f>-E18+(F16*$C$11/$J$11)</f>
        <v>10111.500000000002</v>
      </c>
      <c r="G17" s="253">
        <f t="shared" ref="G17:AK17" si="5">-F18+(G16*$C$11/$J$11)</f>
        <v>11122.650000000001</v>
      </c>
      <c r="H17" s="253">
        <f t="shared" si="5"/>
        <v>2407.5000000000005</v>
      </c>
      <c r="I17" s="253">
        <f t="shared" si="5"/>
        <v>2407.5000000000005</v>
      </c>
      <c r="J17" s="253">
        <f t="shared" si="5"/>
        <v>2407.5000000000005</v>
      </c>
      <c r="K17" s="253">
        <f t="shared" si="5"/>
        <v>2407.5000000000005</v>
      </c>
      <c r="L17" s="253">
        <f t="shared" si="5"/>
        <v>2407.5000000000005</v>
      </c>
      <c r="M17" s="253">
        <f t="shared" si="5"/>
        <v>2407.5000000000005</v>
      </c>
      <c r="N17" s="253">
        <f t="shared" si="5"/>
        <v>2407.5000000000005</v>
      </c>
      <c r="O17" s="253">
        <f t="shared" si="5"/>
        <v>2407.5000000000005</v>
      </c>
      <c r="P17" s="253">
        <f t="shared" si="5"/>
        <v>2407.5000000000005</v>
      </c>
      <c r="Q17" s="253">
        <f t="shared" si="5"/>
        <v>2407.5000000000005</v>
      </c>
      <c r="R17" s="253">
        <f t="shared" si="5"/>
        <v>2407.5000000000005</v>
      </c>
      <c r="S17" s="253">
        <f t="shared" si="5"/>
        <v>2407.5000000000005</v>
      </c>
      <c r="T17" s="253">
        <f t="shared" si="5"/>
        <v>2407.5000000000005</v>
      </c>
      <c r="U17" s="253">
        <f t="shared" si="5"/>
        <v>2407.5000000000005</v>
      </c>
      <c r="V17" s="253">
        <f t="shared" si="5"/>
        <v>2407.5000000000005</v>
      </c>
      <c r="W17" s="253">
        <f t="shared" si="5"/>
        <v>2407.5000000000005</v>
      </c>
      <c r="X17" s="253">
        <f t="shared" si="5"/>
        <v>2407.5000000000005</v>
      </c>
      <c r="Y17" s="253">
        <f t="shared" si="5"/>
        <v>2407.5000000000005</v>
      </c>
      <c r="Z17" s="253">
        <f t="shared" si="5"/>
        <v>2407.5000000000005</v>
      </c>
      <c r="AA17" s="253">
        <f t="shared" si="5"/>
        <v>2407.5000000000005</v>
      </c>
      <c r="AB17" s="253">
        <f t="shared" si="5"/>
        <v>2407.5000000000005</v>
      </c>
      <c r="AC17" s="253">
        <f t="shared" si="5"/>
        <v>2407.5000000000005</v>
      </c>
      <c r="AD17" s="253">
        <f t="shared" si="5"/>
        <v>2407.5000000000005</v>
      </c>
      <c r="AE17" s="253">
        <f t="shared" si="5"/>
        <v>2407.5000000000005</v>
      </c>
      <c r="AF17" s="253">
        <f t="shared" si="5"/>
        <v>2407.5000000000005</v>
      </c>
      <c r="AG17" s="253">
        <f t="shared" si="5"/>
        <v>2407.5000000000005</v>
      </c>
      <c r="AH17" s="253">
        <f t="shared" si="5"/>
        <v>2407.5000000000005</v>
      </c>
      <c r="AI17" s="253">
        <f t="shared" si="5"/>
        <v>2407.5000000000005</v>
      </c>
      <c r="AJ17" s="253">
        <f t="shared" si="5"/>
        <v>2407.5000000000005</v>
      </c>
      <c r="AK17" s="253">
        <f t="shared" si="5"/>
        <v>2407.5000000000005</v>
      </c>
    </row>
    <row r="18" spans="2:37">
      <c r="B18" s="137">
        <v>0.1</v>
      </c>
      <c r="C18" s="145" t="s">
        <v>303</v>
      </c>
      <c r="D18" s="122"/>
      <c r="E18" s="140">
        <f>E17*-$B$18</f>
        <v>-481.50000000000011</v>
      </c>
      <c r="F18" s="140">
        <f>(E17+F17)*-$B$18</f>
        <v>-1492.6500000000005</v>
      </c>
      <c r="G18" s="140">
        <f t="shared" ref="G18:AK18" si="6">(F19+G17)*-$B$18</f>
        <v>-2407.5000000000005</v>
      </c>
      <c r="H18" s="140">
        <f t="shared" si="6"/>
        <v>-2407.5000000000005</v>
      </c>
      <c r="I18" s="140">
        <f t="shared" si="6"/>
        <v>-2407.5000000000005</v>
      </c>
      <c r="J18" s="140">
        <f t="shared" si="6"/>
        <v>-2407.5000000000005</v>
      </c>
      <c r="K18" s="140">
        <f t="shared" si="6"/>
        <v>-2407.5000000000005</v>
      </c>
      <c r="L18" s="140">
        <f t="shared" si="6"/>
        <v>-2407.5000000000005</v>
      </c>
      <c r="M18" s="140">
        <f t="shared" si="6"/>
        <v>-2407.5000000000005</v>
      </c>
      <c r="N18" s="140">
        <f t="shared" si="6"/>
        <v>-2407.5000000000005</v>
      </c>
      <c r="O18" s="140">
        <f t="shared" si="6"/>
        <v>-2407.5000000000005</v>
      </c>
      <c r="P18" s="140">
        <f t="shared" si="6"/>
        <v>-2407.5000000000005</v>
      </c>
      <c r="Q18" s="140">
        <f t="shared" si="6"/>
        <v>-2407.5000000000005</v>
      </c>
      <c r="R18" s="140">
        <f t="shared" si="6"/>
        <v>-2407.5000000000005</v>
      </c>
      <c r="S18" s="140">
        <f t="shared" si="6"/>
        <v>-2407.5000000000005</v>
      </c>
      <c r="T18" s="140">
        <f t="shared" si="6"/>
        <v>-2407.5000000000005</v>
      </c>
      <c r="U18" s="140">
        <f t="shared" si="6"/>
        <v>-2407.5000000000005</v>
      </c>
      <c r="V18" s="140">
        <f t="shared" si="6"/>
        <v>-2407.5000000000005</v>
      </c>
      <c r="W18" s="140">
        <f t="shared" si="6"/>
        <v>-2407.5000000000005</v>
      </c>
      <c r="X18" s="140">
        <f t="shared" si="6"/>
        <v>-2407.5000000000005</v>
      </c>
      <c r="Y18" s="140">
        <f t="shared" si="6"/>
        <v>-2407.5000000000005</v>
      </c>
      <c r="Z18" s="140">
        <f t="shared" si="6"/>
        <v>-2407.5000000000005</v>
      </c>
      <c r="AA18" s="140">
        <f t="shared" si="6"/>
        <v>-2407.5000000000005</v>
      </c>
      <c r="AB18" s="140">
        <f t="shared" si="6"/>
        <v>-2407.5000000000005</v>
      </c>
      <c r="AC18" s="140">
        <f t="shared" si="6"/>
        <v>-2407.5000000000005</v>
      </c>
      <c r="AD18" s="140">
        <f t="shared" si="6"/>
        <v>-2407.5000000000005</v>
      </c>
      <c r="AE18" s="140">
        <f t="shared" si="6"/>
        <v>-2407.5000000000005</v>
      </c>
      <c r="AF18" s="140">
        <f t="shared" si="6"/>
        <v>-2407.5000000000005</v>
      </c>
      <c r="AG18" s="140">
        <f t="shared" si="6"/>
        <v>-2407.5000000000005</v>
      </c>
      <c r="AH18" s="140">
        <f t="shared" si="6"/>
        <v>-2407.5000000000005</v>
      </c>
      <c r="AI18" s="140">
        <f t="shared" si="6"/>
        <v>-2407.5000000000005</v>
      </c>
      <c r="AJ18" s="140">
        <f t="shared" si="6"/>
        <v>-2407.5000000000005</v>
      </c>
      <c r="AK18" s="140">
        <f t="shared" si="6"/>
        <v>-2407.5000000000005</v>
      </c>
    </row>
    <row r="19" spans="2:37" hidden="1">
      <c r="B19" s="254"/>
      <c r="C19" s="145" t="s">
        <v>304</v>
      </c>
      <c r="D19" s="122"/>
      <c r="E19" s="140">
        <f>SUM(E17:E18)</f>
        <v>4333.5000000000009</v>
      </c>
      <c r="F19" s="255">
        <f>E19+F17+F18</f>
        <v>12952.350000000002</v>
      </c>
      <c r="G19" s="255">
        <f>F19+G17+G18</f>
        <v>21667.500000000004</v>
      </c>
      <c r="H19" s="255">
        <f t="shared" ref="H19:M19" si="7">G19+H17+H18</f>
        <v>21667.500000000004</v>
      </c>
      <c r="I19" s="255">
        <f t="shared" si="7"/>
        <v>21667.500000000004</v>
      </c>
      <c r="J19" s="255">
        <f t="shared" si="7"/>
        <v>21667.500000000004</v>
      </c>
      <c r="K19" s="255">
        <f t="shared" si="7"/>
        <v>21667.500000000004</v>
      </c>
      <c r="L19" s="255">
        <f t="shared" si="7"/>
        <v>21667.500000000004</v>
      </c>
      <c r="M19" s="255">
        <f t="shared" si="7"/>
        <v>21667.500000000004</v>
      </c>
      <c r="N19" s="256">
        <f>M19+N17+N18</f>
        <v>21667.500000000004</v>
      </c>
      <c r="O19" s="256">
        <f t="shared" ref="O19:AK19" si="8">N19+O17+O18</f>
        <v>21667.500000000004</v>
      </c>
      <c r="P19" s="256">
        <f t="shared" si="8"/>
        <v>21667.500000000004</v>
      </c>
      <c r="Q19" s="256">
        <f t="shared" si="8"/>
        <v>21667.500000000004</v>
      </c>
      <c r="R19" s="256">
        <f t="shared" si="8"/>
        <v>21667.500000000004</v>
      </c>
      <c r="S19" s="256">
        <f t="shared" si="8"/>
        <v>21667.500000000004</v>
      </c>
      <c r="T19" s="256">
        <f t="shared" si="8"/>
        <v>21667.500000000004</v>
      </c>
      <c r="U19" s="256">
        <f t="shared" si="8"/>
        <v>21667.500000000004</v>
      </c>
      <c r="V19" s="256">
        <f t="shared" si="8"/>
        <v>21667.500000000004</v>
      </c>
      <c r="W19" s="256">
        <f t="shared" si="8"/>
        <v>21667.500000000004</v>
      </c>
      <c r="X19" s="256">
        <f t="shared" si="8"/>
        <v>21667.500000000004</v>
      </c>
      <c r="Y19" s="256">
        <f t="shared" si="8"/>
        <v>21667.500000000004</v>
      </c>
      <c r="Z19" s="256">
        <f t="shared" si="8"/>
        <v>21667.500000000004</v>
      </c>
      <c r="AA19" s="256">
        <f t="shared" si="8"/>
        <v>21667.500000000004</v>
      </c>
      <c r="AB19" s="256">
        <f t="shared" si="8"/>
        <v>21667.500000000004</v>
      </c>
      <c r="AC19" s="256">
        <f t="shared" si="8"/>
        <v>21667.500000000004</v>
      </c>
      <c r="AD19" s="256">
        <f t="shared" si="8"/>
        <v>21667.500000000004</v>
      </c>
      <c r="AE19" s="256">
        <f t="shared" si="8"/>
        <v>21667.500000000004</v>
      </c>
      <c r="AF19" s="256">
        <f t="shared" si="8"/>
        <v>21667.500000000004</v>
      </c>
      <c r="AG19" s="256">
        <f t="shared" si="8"/>
        <v>21667.500000000004</v>
      </c>
      <c r="AH19" s="256">
        <f t="shared" si="8"/>
        <v>21667.500000000004</v>
      </c>
      <c r="AI19" s="256">
        <f t="shared" si="8"/>
        <v>21667.500000000004</v>
      </c>
      <c r="AJ19" s="256">
        <f t="shared" si="8"/>
        <v>21667.500000000004</v>
      </c>
      <c r="AK19" s="256">
        <f t="shared" si="8"/>
        <v>21667.500000000004</v>
      </c>
    </row>
    <row r="20" spans="2:37" hidden="1">
      <c r="B20" s="257"/>
      <c r="C20" s="251" t="s">
        <v>305</v>
      </c>
      <c r="D20" s="252"/>
      <c r="E20" s="258">
        <f>AVERAGE(E19,E17)</f>
        <v>4574.2500000000009</v>
      </c>
      <c r="F20" s="258">
        <f>AVERAGE(E20,F19)</f>
        <v>8763.3000000000011</v>
      </c>
      <c r="G20" s="258">
        <f>AVERAGE($E$19:G19)</f>
        <v>12984.450000000003</v>
      </c>
      <c r="H20" s="258">
        <f>AVERAGE($E$19:H19)</f>
        <v>15155.212500000001</v>
      </c>
      <c r="I20" s="258">
        <f>AVERAGE($E$19:I19)</f>
        <v>16457.670000000002</v>
      </c>
      <c r="J20" s="258">
        <f>AVERAGE($E$19:J19)</f>
        <v>17325.975000000002</v>
      </c>
      <c r="K20" s="258">
        <f>AVERAGE($E$19:K19)</f>
        <v>17946.192857142858</v>
      </c>
      <c r="L20" s="258">
        <f>AVERAGE($E$19:L19)</f>
        <v>18411.356250000001</v>
      </c>
      <c r="M20" s="258">
        <f>AVERAGE($E$19:M19)</f>
        <v>18773.150000000001</v>
      </c>
      <c r="N20" s="259">
        <f>AVERAGE($E$19:N19)</f>
        <v>19062.584999999999</v>
      </c>
      <c r="O20" s="259">
        <f>AVERAGE($E$19:O19)</f>
        <v>19299.395454545454</v>
      </c>
      <c r="P20" s="259">
        <f>AVERAGE($E$19:P19)</f>
        <v>19496.737499999999</v>
      </c>
      <c r="Q20" s="259">
        <f>AVERAGE($E$19:Q19)</f>
        <v>19663.719230769231</v>
      </c>
      <c r="R20" s="259">
        <f>AVERAGE($E$19:R19)</f>
        <v>19806.846428571433</v>
      </c>
      <c r="S20" s="259">
        <f>AVERAGE($E$19:S19)</f>
        <v>19930.890000000003</v>
      </c>
      <c r="T20" s="259">
        <f>AVERAGE($E$19:T19)</f>
        <v>20039.428125000002</v>
      </c>
      <c r="U20" s="259">
        <f>AVERAGE($E$19:U19)</f>
        <v>20135.197058823531</v>
      </c>
      <c r="V20" s="259">
        <f>AVERAGE($E$19:V19)</f>
        <v>20220.325000000001</v>
      </c>
      <c r="W20" s="259">
        <f>AVERAGE($E$19:W19)</f>
        <v>20296.492105263158</v>
      </c>
      <c r="X20" s="259">
        <f>AVERAGE($E$19:X19)</f>
        <v>20365.042500000003</v>
      </c>
      <c r="Y20" s="259">
        <f>AVERAGE($E$19:Y19)</f>
        <v>20427.064285714288</v>
      </c>
      <c r="Z20" s="259">
        <f>AVERAGE($E$19:Z19)</f>
        <v>20483.447727272727</v>
      </c>
      <c r="AA20" s="259">
        <f>AVERAGE($E$19:AA19)</f>
        <v>20534.928260869568</v>
      </c>
      <c r="AB20" s="259">
        <f>AVERAGE($E$19:AB19)</f>
        <v>20582.118750000001</v>
      </c>
      <c r="AC20" s="259">
        <f>AVERAGE($E$19:AC19)</f>
        <v>20625.534</v>
      </c>
      <c r="AD20" s="259">
        <f>AVERAGE($E$19:AD19)</f>
        <v>20665.609615384619</v>
      </c>
      <c r="AE20" s="259">
        <f>AVERAGE($E$19:AE19)</f>
        <v>20702.716666666671</v>
      </c>
      <c r="AF20" s="259">
        <f>AVERAGE($E$19:AF19)</f>
        <v>20737.173214285718</v>
      </c>
      <c r="AG20" s="259">
        <f>AVERAGE($E$19:AG19)</f>
        <v>20769.253448275864</v>
      </c>
      <c r="AH20" s="259">
        <f>AVERAGE($E$19:AH19)</f>
        <v>20799.195000000003</v>
      </c>
      <c r="AI20" s="259">
        <f>AVERAGE($E$19:AI19)</f>
        <v>20827.20483870968</v>
      </c>
      <c r="AJ20" s="259">
        <f>AVERAGE($E$19:AJ19)</f>
        <v>20853.464062500003</v>
      </c>
      <c r="AK20" s="259">
        <f>AVERAGE($E$19:AK19)</f>
        <v>20878.131818181821</v>
      </c>
    </row>
    <row r="21" spans="2:37">
      <c r="B21" s="248" t="s">
        <v>250</v>
      </c>
      <c r="C21" s="249" t="s">
        <v>109</v>
      </c>
      <c r="D21" s="250">
        <v>0</v>
      </c>
      <c r="E21" s="250">
        <f>H4*0.25*0.1</f>
        <v>3.7450000000000006</v>
      </c>
      <c r="F21" s="250">
        <f>H5*0.25*0.1</f>
        <v>7.4900000000000011</v>
      </c>
      <c r="G21" s="250">
        <f>H6*0.25*0.1</f>
        <v>7.4900000000000011</v>
      </c>
      <c r="H21" s="250">
        <v>0</v>
      </c>
      <c r="I21" s="250">
        <v>0</v>
      </c>
      <c r="J21" s="250">
        <f t="shared" ref="J21:M21" si="9">I21</f>
        <v>0</v>
      </c>
      <c r="K21" s="250">
        <f t="shared" si="9"/>
        <v>0</v>
      </c>
      <c r="L21" s="250">
        <f t="shared" si="9"/>
        <v>0</v>
      </c>
      <c r="M21" s="250">
        <f t="shared" si="9"/>
        <v>0</v>
      </c>
      <c r="N21" s="250">
        <f>M21</f>
        <v>0</v>
      </c>
      <c r="O21" s="250">
        <f t="shared" ref="O21:AK21" si="10">N21</f>
        <v>0</v>
      </c>
      <c r="P21" s="250">
        <f t="shared" si="10"/>
        <v>0</v>
      </c>
      <c r="Q21" s="250">
        <f t="shared" si="10"/>
        <v>0</v>
      </c>
      <c r="R21" s="250">
        <f t="shared" si="10"/>
        <v>0</v>
      </c>
      <c r="S21" s="250">
        <f t="shared" si="10"/>
        <v>0</v>
      </c>
      <c r="T21" s="250">
        <f t="shared" si="10"/>
        <v>0</v>
      </c>
      <c r="U21" s="250">
        <f t="shared" si="10"/>
        <v>0</v>
      </c>
      <c r="V21" s="250">
        <f t="shared" si="10"/>
        <v>0</v>
      </c>
      <c r="W21" s="250">
        <f t="shared" si="10"/>
        <v>0</v>
      </c>
      <c r="X21" s="250">
        <f t="shared" si="10"/>
        <v>0</v>
      </c>
      <c r="Y21" s="250">
        <f t="shared" si="10"/>
        <v>0</v>
      </c>
      <c r="Z21" s="250">
        <f t="shared" si="10"/>
        <v>0</v>
      </c>
      <c r="AA21" s="250">
        <f t="shared" si="10"/>
        <v>0</v>
      </c>
      <c r="AB21" s="250">
        <f t="shared" si="10"/>
        <v>0</v>
      </c>
      <c r="AC21" s="250">
        <f t="shared" si="10"/>
        <v>0</v>
      </c>
      <c r="AD21" s="250">
        <f t="shared" si="10"/>
        <v>0</v>
      </c>
      <c r="AE21" s="250">
        <f t="shared" si="10"/>
        <v>0</v>
      </c>
      <c r="AF21" s="250">
        <f t="shared" si="10"/>
        <v>0</v>
      </c>
      <c r="AG21" s="250">
        <f t="shared" si="10"/>
        <v>0</v>
      </c>
      <c r="AH21" s="250">
        <f t="shared" si="10"/>
        <v>0</v>
      </c>
      <c r="AI21" s="250">
        <f t="shared" si="10"/>
        <v>0</v>
      </c>
      <c r="AJ21" s="250">
        <f t="shared" si="10"/>
        <v>0</v>
      </c>
      <c r="AK21" s="250">
        <f t="shared" si="10"/>
        <v>0</v>
      </c>
    </row>
    <row r="22" spans="2:37">
      <c r="B22" s="244"/>
      <c r="C22" s="251" t="s">
        <v>302</v>
      </c>
      <c r="D22" s="252"/>
      <c r="E22" s="253">
        <f>E21*$C$11/$J$11</f>
        <v>535.00000000000011</v>
      </c>
      <c r="F22" s="253">
        <f t="shared" ref="F22:AK22" si="11">F21*$C$11/$J$11</f>
        <v>1070.0000000000002</v>
      </c>
      <c r="G22" s="253">
        <f t="shared" si="11"/>
        <v>1070.0000000000002</v>
      </c>
      <c r="H22" s="253">
        <f t="shared" si="11"/>
        <v>0</v>
      </c>
      <c r="I22" s="253">
        <f t="shared" si="11"/>
        <v>0</v>
      </c>
      <c r="J22" s="253">
        <f t="shared" si="11"/>
        <v>0</v>
      </c>
      <c r="K22" s="253">
        <f t="shared" si="11"/>
        <v>0</v>
      </c>
      <c r="L22" s="253">
        <f t="shared" si="11"/>
        <v>0</v>
      </c>
      <c r="M22" s="253">
        <f t="shared" si="11"/>
        <v>0</v>
      </c>
      <c r="N22" s="253">
        <f t="shared" si="11"/>
        <v>0</v>
      </c>
      <c r="O22" s="253">
        <f t="shared" si="11"/>
        <v>0</v>
      </c>
      <c r="P22" s="253">
        <f t="shared" si="11"/>
        <v>0</v>
      </c>
      <c r="Q22" s="253">
        <f t="shared" si="11"/>
        <v>0</v>
      </c>
      <c r="R22" s="253">
        <f t="shared" si="11"/>
        <v>0</v>
      </c>
      <c r="S22" s="253">
        <f t="shared" si="11"/>
        <v>0</v>
      </c>
      <c r="T22" s="253">
        <f t="shared" si="11"/>
        <v>0</v>
      </c>
      <c r="U22" s="253">
        <f t="shared" si="11"/>
        <v>0</v>
      </c>
      <c r="V22" s="253">
        <f t="shared" si="11"/>
        <v>0</v>
      </c>
      <c r="W22" s="253">
        <f t="shared" si="11"/>
        <v>0</v>
      </c>
      <c r="X22" s="253">
        <f t="shared" si="11"/>
        <v>0</v>
      </c>
      <c r="Y22" s="253">
        <f t="shared" si="11"/>
        <v>0</v>
      </c>
      <c r="Z22" s="253">
        <f t="shared" si="11"/>
        <v>0</v>
      </c>
      <c r="AA22" s="253">
        <f t="shared" si="11"/>
        <v>0</v>
      </c>
      <c r="AB22" s="253">
        <f t="shared" si="11"/>
        <v>0</v>
      </c>
      <c r="AC22" s="253">
        <f t="shared" si="11"/>
        <v>0</v>
      </c>
      <c r="AD22" s="253">
        <f t="shared" si="11"/>
        <v>0</v>
      </c>
      <c r="AE22" s="253">
        <f t="shared" si="11"/>
        <v>0</v>
      </c>
      <c r="AF22" s="253">
        <f t="shared" si="11"/>
        <v>0</v>
      </c>
      <c r="AG22" s="253">
        <f t="shared" si="11"/>
        <v>0</v>
      </c>
      <c r="AH22" s="253">
        <f t="shared" si="11"/>
        <v>0</v>
      </c>
      <c r="AI22" s="253">
        <f t="shared" si="11"/>
        <v>0</v>
      </c>
      <c r="AJ22" s="253">
        <f t="shared" si="11"/>
        <v>0</v>
      </c>
      <c r="AK22" s="253">
        <f t="shared" si="11"/>
        <v>0</v>
      </c>
    </row>
    <row r="23" spans="2:37">
      <c r="B23" s="137">
        <f>B18</f>
        <v>0.1</v>
      </c>
      <c r="C23" s="145" t="s">
        <v>303</v>
      </c>
      <c r="D23" s="122"/>
      <c r="E23" s="140">
        <f>E21*-$B$17</f>
        <v>0</v>
      </c>
      <c r="F23" s="140">
        <f>F22*-$B$18</f>
        <v>-107.00000000000003</v>
      </c>
      <c r="G23" s="140">
        <f>(F22+G22)*-$B$18</f>
        <v>-214.00000000000006</v>
      </c>
      <c r="H23" s="140">
        <f t="shared" ref="H23:AK23" si="12">(G24+H22)*-$B$18</f>
        <v>-181.90000000000006</v>
      </c>
      <c r="I23" s="140">
        <f t="shared" si="12"/>
        <v>-163.71000000000004</v>
      </c>
      <c r="J23" s="140">
        <f t="shared" si="12"/>
        <v>-147.33900000000003</v>
      </c>
      <c r="K23" s="140">
        <f t="shared" si="12"/>
        <v>-132.60510000000005</v>
      </c>
      <c r="L23" s="140">
        <f t="shared" si="12"/>
        <v>-119.34459000000004</v>
      </c>
      <c r="M23" s="140">
        <f t="shared" si="12"/>
        <v>-107.41013100000005</v>
      </c>
      <c r="N23" s="260">
        <f t="shared" si="12"/>
        <v>-96.669117900000046</v>
      </c>
      <c r="O23" s="260">
        <f t="shared" si="12"/>
        <v>-87.002206110000031</v>
      </c>
      <c r="P23" s="260">
        <f t="shared" si="12"/>
        <v>-78.30198549900004</v>
      </c>
      <c r="Q23" s="260">
        <f t="shared" si="12"/>
        <v>-70.471786949100036</v>
      </c>
      <c r="R23" s="260">
        <f t="shared" si="12"/>
        <v>-63.424608254190026</v>
      </c>
      <c r="S23" s="260">
        <f t="shared" si="12"/>
        <v>-57.082147428771023</v>
      </c>
      <c r="T23" s="260">
        <f t="shared" si="12"/>
        <v>-51.373932685893919</v>
      </c>
      <c r="U23" s="260">
        <f t="shared" si="12"/>
        <v>-46.236539417304527</v>
      </c>
      <c r="V23" s="260">
        <f t="shared" si="12"/>
        <v>-41.612885475574075</v>
      </c>
      <c r="W23" s="260">
        <f t="shared" si="12"/>
        <v>-37.45159692801667</v>
      </c>
      <c r="X23" s="260">
        <f t="shared" si="12"/>
        <v>-33.706437235215006</v>
      </c>
      <c r="Y23" s="260">
        <f t="shared" si="12"/>
        <v>-30.335793511693506</v>
      </c>
      <c r="Z23" s="260">
        <f t="shared" si="12"/>
        <v>-27.302214160524155</v>
      </c>
      <c r="AA23" s="260">
        <f t="shared" si="12"/>
        <v>-24.571992744471739</v>
      </c>
      <c r="AB23" s="260">
        <f t="shared" si="12"/>
        <v>-22.114793470024566</v>
      </c>
      <c r="AC23" s="260">
        <f t="shared" si="12"/>
        <v>-19.90331412302211</v>
      </c>
      <c r="AD23" s="260">
        <f t="shared" si="12"/>
        <v>-17.912982710719898</v>
      </c>
      <c r="AE23" s="260">
        <f t="shared" si="12"/>
        <v>-16.121684439647908</v>
      </c>
      <c r="AF23" s="260">
        <f t="shared" si="12"/>
        <v>-14.509515995683117</v>
      </c>
      <c r="AG23" s="260">
        <f t="shared" si="12"/>
        <v>-13.058564396114804</v>
      </c>
      <c r="AH23" s="260">
        <f t="shared" si="12"/>
        <v>-11.752707956503324</v>
      </c>
      <c r="AI23" s="260">
        <f t="shared" si="12"/>
        <v>-10.577437160852991</v>
      </c>
      <c r="AJ23" s="260">
        <f t="shared" si="12"/>
        <v>-9.5196934447676913</v>
      </c>
      <c r="AK23" s="260">
        <f t="shared" si="12"/>
        <v>-8.5677241002909224</v>
      </c>
    </row>
    <row r="24" spans="2:37">
      <c r="B24" s="254"/>
      <c r="C24" s="145" t="s">
        <v>304</v>
      </c>
      <c r="D24" s="122"/>
      <c r="E24" s="140">
        <f>SUM(E21:E22)</f>
        <v>538.74500000000012</v>
      </c>
      <c r="F24" s="255">
        <f>SUM(F22:F23)</f>
        <v>963.00000000000023</v>
      </c>
      <c r="G24" s="255">
        <f>F24+G22+G23</f>
        <v>1819.0000000000005</v>
      </c>
      <c r="H24" s="255">
        <f t="shared" ref="H24:AK24" si="13">G24+H22+H23</f>
        <v>1637.1000000000004</v>
      </c>
      <c r="I24" s="255">
        <f t="shared" si="13"/>
        <v>1473.3900000000003</v>
      </c>
      <c r="J24" s="255">
        <f t="shared" si="13"/>
        <v>1326.0510000000004</v>
      </c>
      <c r="K24" s="255">
        <f t="shared" si="13"/>
        <v>1193.4459000000004</v>
      </c>
      <c r="L24" s="255">
        <f t="shared" si="13"/>
        <v>1074.1013100000005</v>
      </c>
      <c r="M24" s="255">
        <f t="shared" si="13"/>
        <v>966.69117900000037</v>
      </c>
      <c r="N24" s="255">
        <f t="shared" si="13"/>
        <v>870.02206110000031</v>
      </c>
      <c r="O24" s="255">
        <f t="shared" si="13"/>
        <v>783.01985499000034</v>
      </c>
      <c r="P24" s="255">
        <f t="shared" si="13"/>
        <v>704.71786949100033</v>
      </c>
      <c r="Q24" s="255">
        <f t="shared" si="13"/>
        <v>634.24608254190025</v>
      </c>
      <c r="R24" s="255">
        <f t="shared" si="13"/>
        <v>570.8214742877102</v>
      </c>
      <c r="S24" s="255">
        <f t="shared" si="13"/>
        <v>513.73932685893919</v>
      </c>
      <c r="T24" s="255">
        <f t="shared" si="13"/>
        <v>462.36539417304527</v>
      </c>
      <c r="U24" s="255">
        <f t="shared" si="13"/>
        <v>416.12885475574075</v>
      </c>
      <c r="V24" s="255">
        <f t="shared" si="13"/>
        <v>374.5159692801667</v>
      </c>
      <c r="W24" s="255">
        <f t="shared" si="13"/>
        <v>337.06437235215003</v>
      </c>
      <c r="X24" s="255">
        <f t="shared" si="13"/>
        <v>303.35793511693504</v>
      </c>
      <c r="Y24" s="255">
        <f t="shared" si="13"/>
        <v>273.02214160524153</v>
      </c>
      <c r="Z24" s="255">
        <f t="shared" si="13"/>
        <v>245.71992744471737</v>
      </c>
      <c r="AA24" s="255">
        <f t="shared" si="13"/>
        <v>221.14793470024563</v>
      </c>
      <c r="AB24" s="255">
        <f t="shared" si="13"/>
        <v>199.03314123022108</v>
      </c>
      <c r="AC24" s="255">
        <f t="shared" si="13"/>
        <v>179.12982710719896</v>
      </c>
      <c r="AD24" s="255">
        <f t="shared" si="13"/>
        <v>161.21684439647908</v>
      </c>
      <c r="AE24" s="255">
        <f t="shared" si="13"/>
        <v>145.09515995683117</v>
      </c>
      <c r="AF24" s="255">
        <f t="shared" si="13"/>
        <v>130.58564396114804</v>
      </c>
      <c r="AG24" s="255">
        <f t="shared" si="13"/>
        <v>117.52707956503323</v>
      </c>
      <c r="AH24" s="255">
        <f t="shared" si="13"/>
        <v>105.7743716085299</v>
      </c>
      <c r="AI24" s="255">
        <f t="shared" si="13"/>
        <v>95.196934447676909</v>
      </c>
      <c r="AJ24" s="255">
        <f t="shared" si="13"/>
        <v>85.677241002909213</v>
      </c>
      <c r="AK24" s="255">
        <f t="shared" si="13"/>
        <v>77.109516902618296</v>
      </c>
    </row>
    <row r="25" spans="2:37">
      <c r="B25" s="261" t="s">
        <v>306</v>
      </c>
      <c r="C25" s="145"/>
      <c r="D25" s="138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</row>
    <row r="26" spans="2:37">
      <c r="B26" s="243"/>
      <c r="C26" s="143" t="s">
        <v>109</v>
      </c>
      <c r="D26" s="122"/>
      <c r="E26" s="140">
        <f t="shared" ref="E26:AH26" si="14">SUM(E16+E21)</f>
        <v>37.450000000000003</v>
      </c>
      <c r="F26" s="140">
        <f t="shared" si="14"/>
        <v>74.900000000000006</v>
      </c>
      <c r="G26" s="140">
        <f t="shared" si="14"/>
        <v>74.900000000000006</v>
      </c>
      <c r="H26" s="140">
        <f t="shared" si="14"/>
        <v>0</v>
      </c>
      <c r="I26" s="140">
        <f t="shared" si="14"/>
        <v>0</v>
      </c>
      <c r="J26" s="140">
        <f t="shared" si="14"/>
        <v>0</v>
      </c>
      <c r="K26" s="140">
        <f t="shared" si="14"/>
        <v>0</v>
      </c>
      <c r="L26" s="140">
        <f t="shared" si="14"/>
        <v>0</v>
      </c>
      <c r="M26" s="140">
        <f t="shared" si="14"/>
        <v>0</v>
      </c>
      <c r="N26" s="140">
        <f t="shared" si="14"/>
        <v>0</v>
      </c>
      <c r="O26" s="140">
        <f t="shared" si="14"/>
        <v>0</v>
      </c>
      <c r="P26" s="140">
        <f t="shared" si="14"/>
        <v>0</v>
      </c>
      <c r="Q26" s="140">
        <f t="shared" si="14"/>
        <v>0</v>
      </c>
      <c r="R26" s="140">
        <f t="shared" si="14"/>
        <v>0</v>
      </c>
      <c r="S26" s="140">
        <f t="shared" si="14"/>
        <v>0</v>
      </c>
      <c r="T26" s="140">
        <f t="shared" si="14"/>
        <v>0</v>
      </c>
      <c r="U26" s="140">
        <f t="shared" si="14"/>
        <v>0</v>
      </c>
      <c r="V26" s="140">
        <f t="shared" si="14"/>
        <v>0</v>
      </c>
      <c r="W26" s="140">
        <f t="shared" si="14"/>
        <v>0</v>
      </c>
      <c r="X26" s="140">
        <f t="shared" si="14"/>
        <v>0</v>
      </c>
      <c r="Y26" s="140">
        <f t="shared" si="14"/>
        <v>0</v>
      </c>
      <c r="Z26" s="140">
        <f t="shared" si="14"/>
        <v>0</v>
      </c>
      <c r="AA26" s="140">
        <f t="shared" si="14"/>
        <v>0</v>
      </c>
      <c r="AB26" s="140">
        <f t="shared" si="14"/>
        <v>0</v>
      </c>
      <c r="AC26" s="140">
        <f t="shared" si="14"/>
        <v>0</v>
      </c>
      <c r="AD26" s="140">
        <f t="shared" si="14"/>
        <v>0</v>
      </c>
      <c r="AE26" s="140">
        <f t="shared" si="14"/>
        <v>0</v>
      </c>
      <c r="AF26" s="140">
        <f t="shared" si="14"/>
        <v>0</v>
      </c>
      <c r="AG26" s="140">
        <f t="shared" si="14"/>
        <v>0</v>
      </c>
      <c r="AH26" s="140">
        <f t="shared" si="14"/>
        <v>0</v>
      </c>
      <c r="AI26" s="140">
        <f t="shared" ref="AI26:AK28" si="15">SUM(AI16+AI21)</f>
        <v>0</v>
      </c>
      <c r="AJ26" s="140">
        <f t="shared" si="15"/>
        <v>0</v>
      </c>
      <c r="AK26" s="140">
        <f t="shared" si="15"/>
        <v>0</v>
      </c>
    </row>
    <row r="27" spans="2:37">
      <c r="B27" s="254"/>
      <c r="C27" s="262" t="s">
        <v>302</v>
      </c>
      <c r="D27" s="141"/>
      <c r="E27" s="140">
        <f t="shared" ref="E27:AH28" si="16">SUM(E17+E22)</f>
        <v>5350.0000000000009</v>
      </c>
      <c r="F27" s="140">
        <f t="shared" si="16"/>
        <v>11181.500000000002</v>
      </c>
      <c r="G27" s="140">
        <f t="shared" si="16"/>
        <v>12192.650000000001</v>
      </c>
      <c r="H27" s="140">
        <f t="shared" si="16"/>
        <v>2407.5000000000005</v>
      </c>
      <c r="I27" s="140">
        <f t="shared" si="16"/>
        <v>2407.5000000000005</v>
      </c>
      <c r="J27" s="140">
        <f t="shared" si="16"/>
        <v>2407.5000000000005</v>
      </c>
      <c r="K27" s="140">
        <f t="shared" si="16"/>
        <v>2407.5000000000005</v>
      </c>
      <c r="L27" s="140">
        <f t="shared" si="16"/>
        <v>2407.5000000000005</v>
      </c>
      <c r="M27" s="140">
        <f t="shared" si="16"/>
        <v>2407.5000000000005</v>
      </c>
      <c r="N27" s="140">
        <f t="shared" si="16"/>
        <v>2407.5000000000005</v>
      </c>
      <c r="O27" s="140">
        <f t="shared" si="16"/>
        <v>2407.5000000000005</v>
      </c>
      <c r="P27" s="140">
        <f t="shared" si="16"/>
        <v>2407.5000000000005</v>
      </c>
      <c r="Q27" s="140">
        <f t="shared" si="16"/>
        <v>2407.5000000000005</v>
      </c>
      <c r="R27" s="140">
        <f t="shared" si="16"/>
        <v>2407.5000000000005</v>
      </c>
      <c r="S27" s="140">
        <f t="shared" si="16"/>
        <v>2407.5000000000005</v>
      </c>
      <c r="T27" s="140">
        <f t="shared" si="16"/>
        <v>2407.5000000000005</v>
      </c>
      <c r="U27" s="140">
        <f t="shared" si="16"/>
        <v>2407.5000000000005</v>
      </c>
      <c r="V27" s="140">
        <f t="shared" si="16"/>
        <v>2407.5000000000005</v>
      </c>
      <c r="W27" s="140">
        <f t="shared" si="16"/>
        <v>2407.5000000000005</v>
      </c>
      <c r="X27" s="140">
        <f t="shared" si="16"/>
        <v>2407.5000000000005</v>
      </c>
      <c r="Y27" s="140">
        <f t="shared" si="16"/>
        <v>2407.5000000000005</v>
      </c>
      <c r="Z27" s="140">
        <f t="shared" si="16"/>
        <v>2407.5000000000005</v>
      </c>
      <c r="AA27" s="140">
        <f t="shared" si="16"/>
        <v>2407.5000000000005</v>
      </c>
      <c r="AB27" s="140">
        <f t="shared" si="16"/>
        <v>2407.5000000000005</v>
      </c>
      <c r="AC27" s="140">
        <f t="shared" si="16"/>
        <v>2407.5000000000005</v>
      </c>
      <c r="AD27" s="140">
        <f t="shared" si="16"/>
        <v>2407.5000000000005</v>
      </c>
      <c r="AE27" s="140">
        <f t="shared" si="16"/>
        <v>2407.5000000000005</v>
      </c>
      <c r="AF27" s="140">
        <f t="shared" si="16"/>
        <v>2407.5000000000005</v>
      </c>
      <c r="AG27" s="140">
        <f t="shared" si="16"/>
        <v>2407.5000000000005</v>
      </c>
      <c r="AH27" s="140">
        <f t="shared" si="16"/>
        <v>2407.5000000000005</v>
      </c>
      <c r="AI27" s="140">
        <f t="shared" si="15"/>
        <v>2407.5000000000005</v>
      </c>
      <c r="AJ27" s="140">
        <f t="shared" si="15"/>
        <v>2407.5000000000005</v>
      </c>
      <c r="AK27" s="140">
        <f t="shared" si="15"/>
        <v>2407.5000000000005</v>
      </c>
    </row>
    <row r="28" spans="2:37">
      <c r="B28" s="254"/>
      <c r="C28" s="143" t="s">
        <v>303</v>
      </c>
      <c r="D28" s="122"/>
      <c r="E28" s="140">
        <f t="shared" si="16"/>
        <v>-481.50000000000011</v>
      </c>
      <c r="F28" s="140">
        <f t="shared" si="16"/>
        <v>-1599.6500000000005</v>
      </c>
      <c r="G28" s="140">
        <f t="shared" si="16"/>
        <v>-2621.5000000000005</v>
      </c>
      <c r="H28" s="140">
        <f t="shared" si="16"/>
        <v>-2589.4000000000005</v>
      </c>
      <c r="I28" s="140">
        <f t="shared" si="16"/>
        <v>-2571.2100000000005</v>
      </c>
      <c r="J28" s="140">
        <f t="shared" si="16"/>
        <v>-2554.8390000000004</v>
      </c>
      <c r="K28" s="140">
        <f t="shared" si="16"/>
        <v>-2540.1051000000007</v>
      </c>
      <c r="L28" s="140">
        <f t="shared" si="16"/>
        <v>-2526.8445900000006</v>
      </c>
      <c r="M28" s="140">
        <f t="shared" si="16"/>
        <v>-2514.9101310000005</v>
      </c>
      <c r="N28" s="140">
        <f t="shared" si="16"/>
        <v>-2504.1691179000004</v>
      </c>
      <c r="O28" s="140">
        <f t="shared" si="16"/>
        <v>-2494.5022061100003</v>
      </c>
      <c r="P28" s="140">
        <f t="shared" si="16"/>
        <v>-2485.8019854990007</v>
      </c>
      <c r="Q28" s="140">
        <f t="shared" si="16"/>
        <v>-2477.9717869491005</v>
      </c>
      <c r="R28" s="140">
        <f t="shared" si="16"/>
        <v>-2470.9246082541904</v>
      </c>
      <c r="S28" s="140">
        <f t="shared" si="16"/>
        <v>-2464.5821474287713</v>
      </c>
      <c r="T28" s="140">
        <f t="shared" si="16"/>
        <v>-2458.8739326858945</v>
      </c>
      <c r="U28" s="140">
        <f t="shared" si="16"/>
        <v>-2453.7365394173048</v>
      </c>
      <c r="V28" s="140">
        <f t="shared" si="16"/>
        <v>-2449.1128854755743</v>
      </c>
      <c r="W28" s="140">
        <f t="shared" si="16"/>
        <v>-2444.9515969280174</v>
      </c>
      <c r="X28" s="140">
        <f t="shared" si="16"/>
        <v>-2441.2064372352156</v>
      </c>
      <c r="Y28" s="140">
        <f t="shared" si="16"/>
        <v>-2437.8357935116937</v>
      </c>
      <c r="Z28" s="140">
        <f t="shared" si="16"/>
        <v>-2434.8022141605247</v>
      </c>
      <c r="AA28" s="140">
        <f t="shared" si="16"/>
        <v>-2432.071992744472</v>
      </c>
      <c r="AB28" s="140">
        <f t="shared" si="16"/>
        <v>-2429.6147934700252</v>
      </c>
      <c r="AC28" s="140">
        <f t="shared" si="16"/>
        <v>-2427.4033141230225</v>
      </c>
      <c r="AD28" s="140">
        <f t="shared" si="16"/>
        <v>-2425.4129827107204</v>
      </c>
      <c r="AE28" s="140">
        <f t="shared" si="16"/>
        <v>-2423.6216844396486</v>
      </c>
      <c r="AF28" s="140">
        <f t="shared" si="16"/>
        <v>-2422.0095159956836</v>
      </c>
      <c r="AG28" s="140">
        <f t="shared" si="16"/>
        <v>-2420.5585643961153</v>
      </c>
      <c r="AH28" s="140">
        <f t="shared" si="16"/>
        <v>-2419.2527079565039</v>
      </c>
      <c r="AI28" s="140">
        <f t="shared" si="15"/>
        <v>-2418.0774371608536</v>
      </c>
      <c r="AJ28" s="140">
        <f t="shared" si="15"/>
        <v>-2417.0196934447681</v>
      </c>
      <c r="AK28" s="140">
        <f t="shared" si="15"/>
        <v>-2416.0677241002913</v>
      </c>
    </row>
    <row r="29" spans="2:37">
      <c r="B29" s="254"/>
      <c r="C29" s="262" t="s">
        <v>307</v>
      </c>
      <c r="D29" s="141"/>
      <c r="E29" s="263">
        <f>SUM(E27:E28)</f>
        <v>4868.5000000000009</v>
      </c>
      <c r="F29" s="263">
        <f>SUM(E29,F27:F28)</f>
        <v>14450.350000000002</v>
      </c>
      <c r="G29" s="263">
        <f t="shared" ref="G29:AK29" si="17">SUM(F29,G27:G28)</f>
        <v>24021.500000000004</v>
      </c>
      <c r="H29" s="263">
        <f t="shared" si="17"/>
        <v>23839.600000000002</v>
      </c>
      <c r="I29" s="263">
        <f t="shared" si="17"/>
        <v>23675.890000000003</v>
      </c>
      <c r="J29" s="263">
        <f>SUM(I29,J27:J28)</f>
        <v>23528.551000000003</v>
      </c>
      <c r="K29" s="263">
        <f>SUM(J29,K27:K28)</f>
        <v>23395.945900000002</v>
      </c>
      <c r="L29" s="263">
        <f>SUM(K29,L27:L28)</f>
        <v>23276.601310000002</v>
      </c>
      <c r="M29" s="263">
        <f>SUM(L29,M27:M28)</f>
        <v>23169.191179000001</v>
      </c>
      <c r="N29" s="263">
        <f t="shared" si="17"/>
        <v>23072.5220611</v>
      </c>
      <c r="O29" s="263">
        <f t="shared" si="17"/>
        <v>22985.519854990001</v>
      </c>
      <c r="P29" s="263">
        <f t="shared" si="17"/>
        <v>22907.217869491</v>
      </c>
      <c r="Q29" s="263">
        <f t="shared" si="17"/>
        <v>22836.7460825419</v>
      </c>
      <c r="R29" s="263">
        <f t="shared" si="17"/>
        <v>22773.32147428771</v>
      </c>
      <c r="S29" s="263">
        <f t="shared" si="17"/>
        <v>22716.239326858937</v>
      </c>
      <c r="T29" s="263">
        <f t="shared" si="17"/>
        <v>22664.865394173041</v>
      </c>
      <c r="U29" s="263">
        <f t="shared" si="17"/>
        <v>22618.628854755734</v>
      </c>
      <c r="V29" s="263">
        <f t="shared" si="17"/>
        <v>22577.015969280161</v>
      </c>
      <c r="W29" s="263">
        <f t="shared" si="17"/>
        <v>22539.564372352143</v>
      </c>
      <c r="X29" s="263">
        <f t="shared" si="17"/>
        <v>22505.857935116928</v>
      </c>
      <c r="Y29" s="263">
        <f t="shared" si="17"/>
        <v>22475.522141605234</v>
      </c>
      <c r="Z29" s="263">
        <f t="shared" si="17"/>
        <v>22448.219927444708</v>
      </c>
      <c r="AA29" s="263">
        <f t="shared" si="17"/>
        <v>22423.647934700235</v>
      </c>
      <c r="AB29" s="263">
        <f t="shared" si="17"/>
        <v>22401.533141230211</v>
      </c>
      <c r="AC29" s="263">
        <f t="shared" si="17"/>
        <v>22381.62982710719</v>
      </c>
      <c r="AD29" s="263">
        <f t="shared" si="17"/>
        <v>22363.716844396469</v>
      </c>
      <c r="AE29" s="263">
        <f t="shared" si="17"/>
        <v>22347.595159956822</v>
      </c>
      <c r="AF29" s="263">
        <f t="shared" si="17"/>
        <v>22333.085643961138</v>
      </c>
      <c r="AG29" s="263">
        <f t="shared" si="17"/>
        <v>22320.027079565021</v>
      </c>
      <c r="AH29" s="263">
        <f t="shared" si="17"/>
        <v>22308.274371608517</v>
      </c>
      <c r="AI29" s="263">
        <f t="shared" si="17"/>
        <v>22297.696934447664</v>
      </c>
      <c r="AJ29" s="263">
        <f t="shared" si="17"/>
        <v>22288.177241002897</v>
      </c>
      <c r="AK29" s="263">
        <f t="shared" si="17"/>
        <v>22279.609516902605</v>
      </c>
    </row>
    <row r="30" spans="2:37" ht="15" thickBot="1">
      <c r="B30" s="264"/>
      <c r="C30" s="265"/>
      <c r="D30" s="237"/>
      <c r="E30" s="266"/>
      <c r="F30" s="237"/>
      <c r="G30" s="266"/>
      <c r="H30" s="266"/>
      <c r="I30" s="266"/>
      <c r="J30" s="266"/>
      <c r="K30" s="266"/>
      <c r="L30" s="266"/>
      <c r="M30" s="266"/>
      <c r="N30" s="266"/>
      <c r="O30" s="266"/>
      <c r="P30" s="266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66"/>
      <c r="AE30" s="266"/>
      <c r="AF30" s="266"/>
      <c r="AG30" s="266"/>
      <c r="AH30" s="266"/>
      <c r="AI30" s="266"/>
      <c r="AJ30" s="266"/>
      <c r="AK30" s="266"/>
    </row>
    <row r="31" spans="2:37">
      <c r="B31" s="429" t="s">
        <v>68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  <c r="AA31" s="239"/>
      <c r="AB31" s="239"/>
      <c r="AC31" s="239"/>
      <c r="AD31" s="239"/>
      <c r="AE31" s="239"/>
      <c r="AF31" s="239"/>
      <c r="AG31" s="239"/>
      <c r="AH31" s="267"/>
      <c r="AI31" s="267"/>
      <c r="AJ31" s="267"/>
      <c r="AK31" s="267"/>
    </row>
    <row r="32" spans="2:37">
      <c r="B32" s="218"/>
      <c r="C32" s="122"/>
      <c r="D32" s="268" t="s">
        <v>267</v>
      </c>
      <c r="E32" s="268" t="s">
        <v>268</v>
      </c>
      <c r="F32" s="268" t="s">
        <v>269</v>
      </c>
      <c r="G32" s="268" t="s">
        <v>270</v>
      </c>
      <c r="H32" s="268" t="s">
        <v>271</v>
      </c>
      <c r="I32" s="268" t="s">
        <v>272</v>
      </c>
      <c r="J32" s="268" t="s">
        <v>273</v>
      </c>
      <c r="K32" s="268" t="s">
        <v>274</v>
      </c>
      <c r="L32" s="268" t="s">
        <v>275</v>
      </c>
      <c r="M32" s="268" t="s">
        <v>276</v>
      </c>
      <c r="N32" s="268" t="s">
        <v>277</v>
      </c>
      <c r="O32" s="268" t="s">
        <v>278</v>
      </c>
      <c r="P32" s="268" t="s">
        <v>279</v>
      </c>
      <c r="Q32" s="268" t="s">
        <v>280</v>
      </c>
      <c r="R32" s="268" t="s">
        <v>281</v>
      </c>
      <c r="S32" s="268" t="s">
        <v>282</v>
      </c>
      <c r="T32" s="268" t="s">
        <v>283</v>
      </c>
      <c r="U32" s="268" t="s">
        <v>284</v>
      </c>
      <c r="V32" s="268" t="s">
        <v>285</v>
      </c>
      <c r="W32" s="268" t="s">
        <v>286</v>
      </c>
      <c r="X32" s="268" t="s">
        <v>287</v>
      </c>
      <c r="Y32" s="268" t="s">
        <v>288</v>
      </c>
      <c r="Z32" s="268" t="s">
        <v>289</v>
      </c>
      <c r="AA32" s="268" t="s">
        <v>290</v>
      </c>
      <c r="AB32" s="268" t="s">
        <v>291</v>
      </c>
      <c r="AC32" s="268" t="s">
        <v>292</v>
      </c>
      <c r="AD32" s="268" t="s">
        <v>293</v>
      </c>
      <c r="AE32" s="268" t="s">
        <v>294</v>
      </c>
      <c r="AF32" s="268" t="s">
        <v>295</v>
      </c>
      <c r="AG32" s="268" t="s">
        <v>296</v>
      </c>
      <c r="AH32" s="268" t="s">
        <v>297</v>
      </c>
      <c r="AI32" s="268" t="s">
        <v>298</v>
      </c>
      <c r="AJ32" s="268" t="s">
        <v>299</v>
      </c>
      <c r="AK32" s="268" t="s">
        <v>300</v>
      </c>
    </row>
    <row r="33" spans="2:37">
      <c r="B33" s="218"/>
      <c r="C33" s="145" t="s">
        <v>308</v>
      </c>
      <c r="D33" s="269">
        <v>500000</v>
      </c>
      <c r="E33" s="269">
        <v>0</v>
      </c>
      <c r="F33" s="269">
        <v>0</v>
      </c>
      <c r="G33" s="269">
        <f>$AL$33*(G26-F26)</f>
        <v>0</v>
      </c>
      <c r="H33" s="269">
        <f t="shared" ref="H33:AK33" si="18">$AL$33*(H26-G26)</f>
        <v>0</v>
      </c>
      <c r="I33" s="269">
        <f t="shared" si="18"/>
        <v>0</v>
      </c>
      <c r="J33" s="269">
        <f t="shared" si="18"/>
        <v>0</v>
      </c>
      <c r="K33" s="269">
        <f t="shared" si="18"/>
        <v>0</v>
      </c>
      <c r="L33" s="269">
        <f t="shared" si="18"/>
        <v>0</v>
      </c>
      <c r="M33" s="269">
        <f t="shared" si="18"/>
        <v>0</v>
      </c>
      <c r="N33" s="269">
        <f t="shared" si="18"/>
        <v>0</v>
      </c>
      <c r="O33" s="269">
        <f t="shared" si="18"/>
        <v>0</v>
      </c>
      <c r="P33" s="269">
        <f t="shared" si="18"/>
        <v>0</v>
      </c>
      <c r="Q33" s="269">
        <f t="shared" si="18"/>
        <v>0</v>
      </c>
      <c r="R33" s="269">
        <f t="shared" si="18"/>
        <v>0</v>
      </c>
      <c r="S33" s="269">
        <f t="shared" si="18"/>
        <v>0</v>
      </c>
      <c r="T33" s="269">
        <f t="shared" si="18"/>
        <v>0</v>
      </c>
      <c r="U33" s="269">
        <f t="shared" si="18"/>
        <v>0</v>
      </c>
      <c r="V33" s="269">
        <f t="shared" si="18"/>
        <v>0</v>
      </c>
      <c r="W33" s="269">
        <f t="shared" si="18"/>
        <v>0</v>
      </c>
      <c r="X33" s="269">
        <f t="shared" si="18"/>
        <v>0</v>
      </c>
      <c r="Y33" s="269">
        <f t="shared" si="18"/>
        <v>0</v>
      </c>
      <c r="Z33" s="269">
        <f t="shared" si="18"/>
        <v>0</v>
      </c>
      <c r="AA33" s="269">
        <f t="shared" si="18"/>
        <v>0</v>
      </c>
      <c r="AB33" s="269">
        <f t="shared" si="18"/>
        <v>0</v>
      </c>
      <c r="AC33" s="269">
        <f t="shared" si="18"/>
        <v>0</v>
      </c>
      <c r="AD33" s="269">
        <f t="shared" si="18"/>
        <v>0</v>
      </c>
      <c r="AE33" s="269">
        <f t="shared" si="18"/>
        <v>0</v>
      </c>
      <c r="AF33" s="269">
        <f t="shared" si="18"/>
        <v>0</v>
      </c>
      <c r="AG33" s="269">
        <f t="shared" si="18"/>
        <v>0</v>
      </c>
      <c r="AH33" s="269">
        <f t="shared" si="18"/>
        <v>0</v>
      </c>
      <c r="AI33" s="269">
        <f t="shared" si="18"/>
        <v>0</v>
      </c>
      <c r="AJ33" s="269">
        <f t="shared" si="18"/>
        <v>0</v>
      </c>
      <c r="AK33" s="269">
        <f t="shared" si="18"/>
        <v>0</v>
      </c>
    </row>
    <row r="34" spans="2:37">
      <c r="B34" s="270"/>
      <c r="C34" s="251" t="s">
        <v>309</v>
      </c>
      <c r="D34" s="271">
        <v>200000</v>
      </c>
      <c r="E34" s="272">
        <v>0</v>
      </c>
      <c r="F34" s="272">
        <v>0</v>
      </c>
      <c r="G34" s="272">
        <v>0</v>
      </c>
      <c r="H34" s="272">
        <f>$AL$34*H26</f>
        <v>0</v>
      </c>
      <c r="I34" s="272">
        <f t="shared" ref="I34:AK34" si="19">$AL$34*I26</f>
        <v>0</v>
      </c>
      <c r="J34" s="272">
        <f t="shared" si="19"/>
        <v>0</v>
      </c>
      <c r="K34" s="272">
        <f t="shared" si="19"/>
        <v>0</v>
      </c>
      <c r="L34" s="272">
        <f t="shared" si="19"/>
        <v>0</v>
      </c>
      <c r="M34" s="272">
        <f t="shared" si="19"/>
        <v>0</v>
      </c>
      <c r="N34" s="272">
        <f t="shared" si="19"/>
        <v>0</v>
      </c>
      <c r="O34" s="272">
        <f t="shared" si="19"/>
        <v>0</v>
      </c>
      <c r="P34" s="272">
        <f t="shared" si="19"/>
        <v>0</v>
      </c>
      <c r="Q34" s="272">
        <f t="shared" si="19"/>
        <v>0</v>
      </c>
      <c r="R34" s="272">
        <f t="shared" si="19"/>
        <v>0</v>
      </c>
      <c r="S34" s="272">
        <f t="shared" si="19"/>
        <v>0</v>
      </c>
      <c r="T34" s="272">
        <f t="shared" si="19"/>
        <v>0</v>
      </c>
      <c r="U34" s="272">
        <f t="shared" si="19"/>
        <v>0</v>
      </c>
      <c r="V34" s="272">
        <f t="shared" si="19"/>
        <v>0</v>
      </c>
      <c r="W34" s="272">
        <f t="shared" si="19"/>
        <v>0</v>
      </c>
      <c r="X34" s="272">
        <f t="shared" si="19"/>
        <v>0</v>
      </c>
      <c r="Y34" s="272">
        <f t="shared" si="19"/>
        <v>0</v>
      </c>
      <c r="Z34" s="272">
        <f t="shared" si="19"/>
        <v>0</v>
      </c>
      <c r="AA34" s="272">
        <f t="shared" si="19"/>
        <v>0</v>
      </c>
      <c r="AB34" s="272">
        <f t="shared" si="19"/>
        <v>0</v>
      </c>
      <c r="AC34" s="272">
        <f t="shared" si="19"/>
        <v>0</v>
      </c>
      <c r="AD34" s="272">
        <f t="shared" si="19"/>
        <v>0</v>
      </c>
      <c r="AE34" s="272">
        <f t="shared" si="19"/>
        <v>0</v>
      </c>
      <c r="AF34" s="272">
        <f t="shared" si="19"/>
        <v>0</v>
      </c>
      <c r="AG34" s="272">
        <f t="shared" si="19"/>
        <v>0</v>
      </c>
      <c r="AH34" s="272">
        <f t="shared" si="19"/>
        <v>0</v>
      </c>
      <c r="AI34" s="272">
        <f t="shared" si="19"/>
        <v>0</v>
      </c>
      <c r="AJ34" s="272">
        <f t="shared" si="19"/>
        <v>0</v>
      </c>
      <c r="AK34" s="272">
        <f t="shared" si="19"/>
        <v>0</v>
      </c>
    </row>
    <row r="35" spans="2:37">
      <c r="B35" s="218" t="s">
        <v>310</v>
      </c>
      <c r="C35" s="122"/>
      <c r="D35" s="122"/>
      <c r="E35" s="122"/>
      <c r="F35" s="122"/>
      <c r="G35" s="122"/>
      <c r="H35" s="273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2:37">
      <c r="B36" s="218" t="s">
        <v>311</v>
      </c>
      <c r="C36" s="122"/>
      <c r="D36" s="268" t="s">
        <v>267</v>
      </c>
      <c r="E36" s="268" t="s">
        <v>268</v>
      </c>
      <c r="F36" s="268" t="s">
        <v>269</v>
      </c>
      <c r="G36" s="268" t="s">
        <v>270</v>
      </c>
      <c r="H36" s="268" t="s">
        <v>271</v>
      </c>
      <c r="I36" s="268" t="s">
        <v>272</v>
      </c>
      <c r="J36" s="268" t="s">
        <v>273</v>
      </c>
      <c r="K36" s="268" t="s">
        <v>274</v>
      </c>
      <c r="L36" s="268" t="s">
        <v>275</v>
      </c>
      <c r="M36" s="268" t="s">
        <v>276</v>
      </c>
      <c r="N36" s="268" t="s">
        <v>277</v>
      </c>
      <c r="O36" s="268" t="s">
        <v>278</v>
      </c>
      <c r="P36" s="268" t="s">
        <v>279</v>
      </c>
      <c r="Q36" s="268" t="s">
        <v>280</v>
      </c>
      <c r="R36" s="268" t="s">
        <v>281</v>
      </c>
      <c r="S36" s="268" t="s">
        <v>282</v>
      </c>
      <c r="T36" s="268" t="s">
        <v>283</v>
      </c>
      <c r="U36" s="268" t="s">
        <v>284</v>
      </c>
      <c r="V36" s="268" t="s">
        <v>285</v>
      </c>
      <c r="W36" s="268" t="s">
        <v>286</v>
      </c>
      <c r="X36" s="268" t="s">
        <v>287</v>
      </c>
      <c r="Y36" s="268" t="s">
        <v>288</v>
      </c>
      <c r="Z36" s="268" t="s">
        <v>289</v>
      </c>
      <c r="AA36" s="268" t="s">
        <v>290</v>
      </c>
      <c r="AB36" s="268" t="s">
        <v>291</v>
      </c>
      <c r="AC36" s="268" t="s">
        <v>292</v>
      </c>
      <c r="AD36" s="268" t="s">
        <v>293</v>
      </c>
      <c r="AE36" s="268" t="s">
        <v>294</v>
      </c>
      <c r="AF36" s="268" t="s">
        <v>295</v>
      </c>
      <c r="AG36" s="268" t="s">
        <v>296</v>
      </c>
      <c r="AH36" s="268" t="s">
        <v>297</v>
      </c>
      <c r="AI36" s="268" t="s">
        <v>298</v>
      </c>
      <c r="AJ36" s="268" t="s">
        <v>299</v>
      </c>
      <c r="AK36" s="268" t="s">
        <v>300</v>
      </c>
    </row>
    <row r="37" spans="2:37">
      <c r="B37" s="274"/>
      <c r="C37" s="143" t="s">
        <v>312</v>
      </c>
      <c r="D37" s="275">
        <f>100000*1.105*1.28*0.5</f>
        <v>70720</v>
      </c>
      <c r="E37" s="275">
        <f>100000*1.105*1.28</f>
        <v>141440</v>
      </c>
      <c r="F37" s="275">
        <f t="shared" ref="F37:N40" si="20">E37*1.03</f>
        <v>145683.20000000001</v>
      </c>
      <c r="G37" s="275">
        <f t="shared" si="20"/>
        <v>150053.69600000003</v>
      </c>
      <c r="H37" s="275">
        <f t="shared" si="20"/>
        <v>154555.30688000002</v>
      </c>
      <c r="I37" s="275">
        <f t="shared" si="20"/>
        <v>159191.96608640003</v>
      </c>
      <c r="J37" s="275">
        <f t="shared" si="20"/>
        <v>163967.72506899203</v>
      </c>
      <c r="K37" s="275">
        <f t="shared" si="20"/>
        <v>168886.7568210618</v>
      </c>
      <c r="L37" s="275">
        <f t="shared" si="20"/>
        <v>173953.35952569367</v>
      </c>
      <c r="M37" s="275">
        <f t="shared" si="20"/>
        <v>179171.96031146447</v>
      </c>
      <c r="N37" s="275">
        <f>M37*1.03/2</f>
        <v>92273.559560404203</v>
      </c>
      <c r="O37" s="275">
        <f t="shared" ref="O37:AD40" si="21">N37*1.03</f>
        <v>95041.766347216326</v>
      </c>
      <c r="P37" s="275">
        <f t="shared" si="21"/>
        <v>97893.019337632824</v>
      </c>
      <c r="Q37" s="275">
        <f t="shared" si="21"/>
        <v>100829.80991776181</v>
      </c>
      <c r="R37" s="275">
        <f t="shared" si="21"/>
        <v>103854.70421529467</v>
      </c>
      <c r="S37" s="275">
        <f t="shared" si="21"/>
        <v>106970.34534175351</v>
      </c>
      <c r="T37" s="275">
        <f t="shared" si="21"/>
        <v>110179.45570200612</v>
      </c>
      <c r="U37" s="275">
        <f t="shared" si="21"/>
        <v>113484.83937306631</v>
      </c>
      <c r="V37" s="275">
        <f t="shared" si="21"/>
        <v>116889.3845542583</v>
      </c>
      <c r="W37" s="275">
        <f t="shared" si="21"/>
        <v>120396.06609088606</v>
      </c>
      <c r="X37" s="275">
        <f t="shared" si="21"/>
        <v>124007.94807361264</v>
      </c>
      <c r="Y37" s="275">
        <f t="shared" si="21"/>
        <v>127728.18651582103</v>
      </c>
      <c r="Z37" s="275">
        <f t="shared" si="21"/>
        <v>131560.03211129567</v>
      </c>
      <c r="AA37" s="275">
        <f t="shared" si="21"/>
        <v>135506.83307463455</v>
      </c>
      <c r="AB37" s="275">
        <f t="shared" si="21"/>
        <v>139572.03806687359</v>
      </c>
      <c r="AC37" s="275">
        <f t="shared" si="21"/>
        <v>143759.19920887981</v>
      </c>
      <c r="AD37" s="275">
        <f t="shared" si="21"/>
        <v>148071.97518514621</v>
      </c>
      <c r="AE37" s="275">
        <f t="shared" ref="AE37:AJ40" si="22">AD37*1.03</f>
        <v>152514.13444070058</v>
      </c>
      <c r="AF37" s="275">
        <f t="shared" si="22"/>
        <v>157089.55847392161</v>
      </c>
      <c r="AG37" s="275">
        <f t="shared" si="22"/>
        <v>161802.24522813928</v>
      </c>
      <c r="AH37" s="275">
        <f t="shared" si="22"/>
        <v>166656.31258498345</v>
      </c>
      <c r="AI37" s="275">
        <f t="shared" si="22"/>
        <v>171656.00196253296</v>
      </c>
      <c r="AJ37" s="275">
        <f t="shared" si="22"/>
        <v>176805.68202140895</v>
      </c>
      <c r="AK37" s="275">
        <f>IF($AK$72=0,0,AJ37*1.03)</f>
        <v>0</v>
      </c>
    </row>
    <row r="38" spans="2:37">
      <c r="B38" s="274"/>
      <c r="C38" s="143" t="s">
        <v>313</v>
      </c>
      <c r="D38" s="275"/>
      <c r="E38" s="275">
        <f>68000*1.105*1.28*0.25</f>
        <v>24044.799999999999</v>
      </c>
      <c r="F38" s="275">
        <f>68000*1.105*1.28</f>
        <v>96179.199999999997</v>
      </c>
      <c r="G38" s="275">
        <f>F38*1.03</f>
        <v>99064.576000000001</v>
      </c>
      <c r="H38" s="275">
        <f t="shared" si="20"/>
        <v>102036.51328</v>
      </c>
      <c r="I38" s="275">
        <f t="shared" si="20"/>
        <v>105097.60867840001</v>
      </c>
      <c r="J38" s="275">
        <f t="shared" si="20"/>
        <v>108250.536938752</v>
      </c>
      <c r="K38" s="275">
        <f t="shared" si="20"/>
        <v>111498.05304691457</v>
      </c>
      <c r="L38" s="275">
        <f t="shared" si="20"/>
        <v>114842.99463832201</v>
      </c>
      <c r="M38" s="275">
        <f t="shared" si="20"/>
        <v>118288.28447747167</v>
      </c>
      <c r="N38" s="275">
        <f>M38*1.03/2</f>
        <v>60918.466505897908</v>
      </c>
      <c r="O38" s="275">
        <f t="shared" si="21"/>
        <v>62746.020501074847</v>
      </c>
      <c r="P38" s="275">
        <f t="shared" si="21"/>
        <v>64628.401116107096</v>
      </c>
      <c r="Q38" s="275">
        <f t="shared" si="21"/>
        <v>66567.253149590309</v>
      </c>
      <c r="R38" s="275">
        <f t="shared" si="21"/>
        <v>68564.270744078021</v>
      </c>
      <c r="S38" s="275">
        <f t="shared" si="21"/>
        <v>70621.198866400358</v>
      </c>
      <c r="T38" s="275">
        <f t="shared" si="21"/>
        <v>72739.834832392371</v>
      </c>
      <c r="U38" s="275">
        <f t="shared" si="21"/>
        <v>74922.029877364141</v>
      </c>
      <c r="V38" s="275">
        <f t="shared" si="21"/>
        <v>77169.69077368507</v>
      </c>
      <c r="W38" s="275">
        <f t="shared" si="21"/>
        <v>79484.781496895623</v>
      </c>
      <c r="X38" s="275">
        <f t="shared" si="21"/>
        <v>81869.324941802493</v>
      </c>
      <c r="Y38" s="275">
        <f t="shared" si="21"/>
        <v>84325.404690056574</v>
      </c>
      <c r="Z38" s="275">
        <f t="shared" si="21"/>
        <v>86855.166830758273</v>
      </c>
      <c r="AA38" s="275">
        <f t="shared" si="21"/>
        <v>89460.821835681025</v>
      </c>
      <c r="AB38" s="275">
        <f t="shared" si="21"/>
        <v>92144.64649075146</v>
      </c>
      <c r="AC38" s="275">
        <f t="shared" si="21"/>
        <v>94908.985885474001</v>
      </c>
      <c r="AD38" s="275">
        <f t="shared" si="21"/>
        <v>97756.255462038229</v>
      </c>
      <c r="AE38" s="275">
        <f t="shared" si="22"/>
        <v>100688.94312589937</v>
      </c>
      <c r="AF38" s="275">
        <f t="shared" si="22"/>
        <v>103709.61141967635</v>
      </c>
      <c r="AG38" s="275">
        <f t="shared" si="22"/>
        <v>106820.89976226665</v>
      </c>
      <c r="AH38" s="275">
        <f t="shared" si="22"/>
        <v>110025.52675513465</v>
      </c>
      <c r="AI38" s="275">
        <f t="shared" si="22"/>
        <v>113326.29255778869</v>
      </c>
      <c r="AJ38" s="275">
        <f t="shared" si="22"/>
        <v>116726.08133452236</v>
      </c>
      <c r="AK38" s="275">
        <f t="shared" ref="AK38:AK40" si="23">IF($AK$72=0,0,AJ38*1.03)</f>
        <v>0</v>
      </c>
    </row>
    <row r="39" spans="2:37">
      <c r="B39" s="274"/>
      <c r="C39" s="143" t="s">
        <v>314</v>
      </c>
      <c r="D39" s="275">
        <f>1.5*100000*1.105*1.28</f>
        <v>212160</v>
      </c>
      <c r="E39" s="275">
        <f>100000*1.105*1.28</f>
        <v>141440</v>
      </c>
      <c r="F39" s="275">
        <f>0.75*100000*1.105*1.28</f>
        <v>106080</v>
      </c>
      <c r="G39" s="275">
        <f>0.5*100000*1.105*1.28</f>
        <v>70720</v>
      </c>
      <c r="H39" s="275">
        <f>G39*1.03</f>
        <v>72841.600000000006</v>
      </c>
      <c r="I39" s="275">
        <f t="shared" si="20"/>
        <v>75026.848000000013</v>
      </c>
      <c r="J39" s="275">
        <f t="shared" si="20"/>
        <v>77277.653440000009</v>
      </c>
      <c r="K39" s="275">
        <f t="shared" si="20"/>
        <v>79595.983043200016</v>
      </c>
      <c r="L39" s="275">
        <f t="shared" si="20"/>
        <v>81983.862534496016</v>
      </c>
      <c r="M39" s="275">
        <f t="shared" si="20"/>
        <v>84443.378410530902</v>
      </c>
      <c r="N39" s="275">
        <f>M39*1.03/2</f>
        <v>43488.339881423417</v>
      </c>
      <c r="O39" s="275">
        <f t="shared" si="21"/>
        <v>44792.990077866118</v>
      </c>
      <c r="P39" s="275">
        <f t="shared" si="21"/>
        <v>46136.779780202101</v>
      </c>
      <c r="Q39" s="275">
        <f t="shared" si="21"/>
        <v>47520.883173608163</v>
      </c>
      <c r="R39" s="275">
        <f t="shared" si="21"/>
        <v>48946.509668816412</v>
      </c>
      <c r="S39" s="275">
        <f t="shared" si="21"/>
        <v>50414.904958880907</v>
      </c>
      <c r="T39" s="275">
        <f t="shared" si="21"/>
        <v>51927.352107647333</v>
      </c>
      <c r="U39" s="275">
        <f t="shared" si="21"/>
        <v>53485.172670876753</v>
      </c>
      <c r="V39" s="275">
        <f t="shared" si="21"/>
        <v>55089.727851003059</v>
      </c>
      <c r="W39" s="275">
        <f t="shared" si="21"/>
        <v>56742.419686533154</v>
      </c>
      <c r="X39" s="275">
        <f t="shared" si="21"/>
        <v>58444.69227712915</v>
      </c>
      <c r="Y39" s="275">
        <f t="shared" si="21"/>
        <v>60198.03304544303</v>
      </c>
      <c r="Z39" s="275">
        <f t="shared" si="21"/>
        <v>62003.974036806321</v>
      </c>
      <c r="AA39" s="275">
        <f t="shared" si="21"/>
        <v>63864.093257910514</v>
      </c>
      <c r="AB39" s="275">
        <f t="shared" si="21"/>
        <v>65780.016055647837</v>
      </c>
      <c r="AC39" s="275">
        <f t="shared" si="21"/>
        <v>67753.416537317273</v>
      </c>
      <c r="AD39" s="275">
        <f t="shared" si="21"/>
        <v>69786.019033436794</v>
      </c>
      <c r="AE39" s="275">
        <f t="shared" si="22"/>
        <v>71879.599604439907</v>
      </c>
      <c r="AF39" s="275">
        <f t="shared" si="22"/>
        <v>74035.987592573103</v>
      </c>
      <c r="AG39" s="275">
        <f t="shared" si="22"/>
        <v>76257.067220350291</v>
      </c>
      <c r="AH39" s="275">
        <f t="shared" si="22"/>
        <v>78544.779236960807</v>
      </c>
      <c r="AI39" s="275">
        <f t="shared" si="22"/>
        <v>80901.122614069638</v>
      </c>
      <c r="AJ39" s="275">
        <f t="shared" si="22"/>
        <v>83328.156292491723</v>
      </c>
      <c r="AK39" s="275">
        <f t="shared" si="23"/>
        <v>0</v>
      </c>
    </row>
    <row r="40" spans="2:37">
      <c r="B40" s="274"/>
      <c r="C40" s="143" t="s">
        <v>315</v>
      </c>
      <c r="D40" s="276">
        <v>0.2</v>
      </c>
      <c r="E40" s="276">
        <f>0.25*100000*1.105*1.3188</f>
        <v>36431.85</v>
      </c>
      <c r="F40" s="272">
        <f>0.1*100000*1.105*1.3188</f>
        <v>14572.74</v>
      </c>
      <c r="G40" s="272">
        <f>F40*1.03</f>
        <v>15009.922200000001</v>
      </c>
      <c r="H40" s="272">
        <f t="shared" ref="H40" si="24">G40*1.03</f>
        <v>15460.219866000001</v>
      </c>
      <c r="I40" s="272">
        <f t="shared" si="20"/>
        <v>15924.026461980002</v>
      </c>
      <c r="J40" s="272">
        <f t="shared" si="20"/>
        <v>16401.747255839404</v>
      </c>
      <c r="K40" s="272">
        <f t="shared" si="20"/>
        <v>16893.799673514586</v>
      </c>
      <c r="L40" s="272">
        <f t="shared" si="20"/>
        <v>17400.613663720025</v>
      </c>
      <c r="M40" s="272">
        <f t="shared" si="20"/>
        <v>17922.632073631627</v>
      </c>
      <c r="N40" s="272">
        <f t="shared" si="20"/>
        <v>18460.311035840576</v>
      </c>
      <c r="O40" s="272">
        <f t="shared" si="21"/>
        <v>19014.120366915795</v>
      </c>
      <c r="P40" s="272">
        <f t="shared" si="21"/>
        <v>19584.543977923269</v>
      </c>
      <c r="Q40" s="272">
        <f t="shared" si="21"/>
        <v>20172.080297260967</v>
      </c>
      <c r="R40" s="272">
        <f t="shared" si="21"/>
        <v>20777.242706178797</v>
      </c>
      <c r="S40" s="272">
        <f t="shared" si="21"/>
        <v>21400.559987364162</v>
      </c>
      <c r="T40" s="272">
        <f t="shared" si="21"/>
        <v>22042.576786985086</v>
      </c>
      <c r="U40" s="272">
        <f t="shared" si="21"/>
        <v>22703.854090594639</v>
      </c>
      <c r="V40" s="272">
        <f t="shared" si="21"/>
        <v>23384.969713312479</v>
      </c>
      <c r="W40" s="272">
        <f t="shared" si="21"/>
        <v>24086.518804711854</v>
      </c>
      <c r="X40" s="272">
        <f t="shared" si="21"/>
        <v>24809.11436885321</v>
      </c>
      <c r="Y40" s="272">
        <f t="shared" si="21"/>
        <v>25553.387799918808</v>
      </c>
      <c r="Z40" s="272">
        <f t="shared" si="21"/>
        <v>26319.989433916373</v>
      </c>
      <c r="AA40" s="272">
        <f t="shared" si="21"/>
        <v>27109.589116933865</v>
      </c>
      <c r="AB40" s="272">
        <f t="shared" si="21"/>
        <v>27922.876790441882</v>
      </c>
      <c r="AC40" s="272">
        <f t="shared" si="21"/>
        <v>28760.563094155139</v>
      </c>
      <c r="AD40" s="272">
        <f t="shared" si="21"/>
        <v>29623.379986979795</v>
      </c>
      <c r="AE40" s="272">
        <f t="shared" si="22"/>
        <v>30512.081386589191</v>
      </c>
      <c r="AF40" s="272">
        <f t="shared" si="22"/>
        <v>31427.443828186868</v>
      </c>
      <c r="AG40" s="272">
        <f t="shared" si="22"/>
        <v>32370.267143032474</v>
      </c>
      <c r="AH40" s="272">
        <f t="shared" si="22"/>
        <v>33341.375157323448</v>
      </c>
      <c r="AI40" s="272">
        <f t="shared" si="22"/>
        <v>34341.616412043149</v>
      </c>
      <c r="AJ40" s="272">
        <f t="shared" si="22"/>
        <v>35371.864904404443</v>
      </c>
      <c r="AK40" s="275">
        <f t="shared" si="23"/>
        <v>0</v>
      </c>
    </row>
    <row r="41" spans="2:37">
      <c r="B41" s="243"/>
      <c r="C41" s="143" t="s">
        <v>316</v>
      </c>
      <c r="D41" s="277">
        <f>SUM(D37:D40)</f>
        <v>282880.2</v>
      </c>
      <c r="E41" s="277">
        <f t="shared" ref="E41:AK41" si="25">SUM(E37:E40)</f>
        <v>343356.64999999997</v>
      </c>
      <c r="F41" s="277">
        <f t="shared" si="25"/>
        <v>362515.14</v>
      </c>
      <c r="G41" s="277">
        <f t="shared" si="25"/>
        <v>334848.19420000003</v>
      </c>
      <c r="H41" s="277">
        <f t="shared" si="25"/>
        <v>344893.64002599998</v>
      </c>
      <c r="I41" s="277">
        <f t="shared" si="25"/>
        <v>355240.44922678004</v>
      </c>
      <c r="J41" s="277">
        <f t="shared" si="25"/>
        <v>365897.66270358348</v>
      </c>
      <c r="K41" s="277">
        <f t="shared" si="25"/>
        <v>376874.59258469089</v>
      </c>
      <c r="L41" s="277">
        <f t="shared" si="25"/>
        <v>388180.8303622317</v>
      </c>
      <c r="M41" s="277">
        <f t="shared" si="25"/>
        <v>399826.25527309865</v>
      </c>
      <c r="N41" s="277">
        <f t="shared" si="25"/>
        <v>215140.67698356611</v>
      </c>
      <c r="O41" s="277">
        <f t="shared" si="25"/>
        <v>221594.8972930731</v>
      </c>
      <c r="P41" s="277">
        <f t="shared" si="25"/>
        <v>228242.7442118653</v>
      </c>
      <c r="Q41" s="277">
        <f t="shared" si="25"/>
        <v>235090.02653822122</v>
      </c>
      <c r="R41" s="277">
        <f t="shared" si="25"/>
        <v>242142.7273343679</v>
      </c>
      <c r="S41" s="277">
        <f t="shared" si="25"/>
        <v>249407.00915439893</v>
      </c>
      <c r="T41" s="277">
        <f t="shared" si="25"/>
        <v>256889.21942903093</v>
      </c>
      <c r="U41" s="277">
        <f t="shared" si="25"/>
        <v>264595.89601190184</v>
      </c>
      <c r="V41" s="277">
        <f t="shared" si="25"/>
        <v>272533.77289225889</v>
      </c>
      <c r="W41" s="277">
        <f t="shared" si="25"/>
        <v>280709.7860790267</v>
      </c>
      <c r="X41" s="277">
        <f t="shared" si="25"/>
        <v>289131.0796613975</v>
      </c>
      <c r="Y41" s="277">
        <f t="shared" si="25"/>
        <v>297805.01205123944</v>
      </c>
      <c r="Z41" s="277">
        <f t="shared" si="25"/>
        <v>306739.16241277661</v>
      </c>
      <c r="AA41" s="277">
        <f t="shared" si="25"/>
        <v>315941.33728515997</v>
      </c>
      <c r="AB41" s="277">
        <f t="shared" si="25"/>
        <v>325419.57740371471</v>
      </c>
      <c r="AC41" s="277">
        <f t="shared" si="25"/>
        <v>335182.16472582624</v>
      </c>
      <c r="AD41" s="277">
        <f t="shared" si="25"/>
        <v>345237.62966760097</v>
      </c>
      <c r="AE41" s="277">
        <f t="shared" si="25"/>
        <v>355594.75855762907</v>
      </c>
      <c r="AF41" s="277">
        <f t="shared" si="25"/>
        <v>366262.60131435795</v>
      </c>
      <c r="AG41" s="277">
        <f t="shared" si="25"/>
        <v>377250.47935378872</v>
      </c>
      <c r="AH41" s="277">
        <f t="shared" si="25"/>
        <v>388567.99373440235</v>
      </c>
      <c r="AI41" s="277">
        <f t="shared" si="25"/>
        <v>400225.03354643442</v>
      </c>
      <c r="AJ41" s="277">
        <f t="shared" si="25"/>
        <v>412231.78455282748</v>
      </c>
      <c r="AK41" s="277">
        <f t="shared" si="25"/>
        <v>0</v>
      </c>
    </row>
    <row r="42" spans="2:37" ht="15" thickBot="1">
      <c r="B42" s="244"/>
      <c r="C42" s="252"/>
      <c r="D42" s="278"/>
      <c r="E42" s="268"/>
      <c r="F42" s="272"/>
      <c r="G42" s="252"/>
      <c r="H42" s="252"/>
      <c r="I42" s="252"/>
      <c r="J42" s="279"/>
      <c r="K42" s="268"/>
      <c r="L42" s="252"/>
      <c r="M42" s="252"/>
      <c r="N42" s="25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</row>
    <row r="43" spans="2:37">
      <c r="B43" s="429" t="s">
        <v>52</v>
      </c>
      <c r="C43" s="430"/>
      <c r="D43" s="430"/>
      <c r="E43" s="430"/>
      <c r="F43" s="430"/>
      <c r="G43" s="430"/>
      <c r="H43" s="430"/>
      <c r="I43" s="430"/>
      <c r="J43" s="430"/>
      <c r="K43" s="430"/>
      <c r="L43" s="430"/>
      <c r="M43" s="430"/>
      <c r="N43" s="430"/>
      <c r="O43" s="280"/>
      <c r="P43" s="280"/>
      <c r="Q43" s="280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0"/>
      <c r="AH43" s="280"/>
      <c r="AI43" s="280"/>
      <c r="AJ43" s="280"/>
      <c r="AK43" s="280"/>
    </row>
    <row r="44" spans="2:37">
      <c r="B44" s="218" t="s">
        <v>254</v>
      </c>
      <c r="C44" s="122"/>
      <c r="D44" s="246" t="s">
        <v>317</v>
      </c>
      <c r="E44" s="246" t="s">
        <v>318</v>
      </c>
      <c r="F44" s="246" t="s">
        <v>319</v>
      </c>
      <c r="G44" s="246" t="s">
        <v>320</v>
      </c>
      <c r="H44" s="273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</row>
    <row r="45" spans="2:37">
      <c r="B45" s="243"/>
      <c r="C45" s="143" t="s">
        <v>321</v>
      </c>
      <c r="D45" s="281">
        <v>1.25</v>
      </c>
      <c r="E45" s="275">
        <v>2000</v>
      </c>
      <c r="F45" s="122"/>
      <c r="G45" s="122"/>
      <c r="H45" s="273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K45" s="282"/>
    </row>
    <row r="46" spans="2:37">
      <c r="B46" s="243"/>
      <c r="C46" s="143" t="s">
        <v>322</v>
      </c>
      <c r="D46" s="281">
        <v>0.01</v>
      </c>
      <c r="E46" s="275">
        <v>2000</v>
      </c>
      <c r="F46" s="122"/>
      <c r="G46" s="122"/>
      <c r="H46" s="273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</row>
    <row r="47" spans="2:37">
      <c r="B47" s="243"/>
      <c r="C47" s="143" t="s">
        <v>323</v>
      </c>
      <c r="D47" s="281"/>
      <c r="E47" s="275">
        <v>10000</v>
      </c>
      <c r="F47" s="122"/>
      <c r="G47" s="275">
        <v>25000</v>
      </c>
      <c r="H47" s="273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</row>
    <row r="48" spans="2:37">
      <c r="B48" s="243"/>
      <c r="C48" s="143" t="s">
        <v>324</v>
      </c>
      <c r="D48" s="241"/>
      <c r="E48" s="275">
        <v>8500</v>
      </c>
      <c r="F48" s="122"/>
      <c r="G48" s="122"/>
      <c r="H48" s="273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</row>
    <row r="49" spans="2:38">
      <c r="B49" s="243"/>
      <c r="C49" s="143" t="s">
        <v>325</v>
      </c>
      <c r="D49" s="281"/>
      <c r="E49" s="275">
        <f>E47</f>
        <v>10000</v>
      </c>
      <c r="F49" s="275"/>
      <c r="G49" s="275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</row>
    <row r="50" spans="2:38">
      <c r="B50" s="243"/>
      <c r="C50" s="143" t="s">
        <v>326</v>
      </c>
      <c r="D50" s="281">
        <v>0.02</v>
      </c>
      <c r="E50" s="275">
        <v>2000</v>
      </c>
      <c r="F50" s="275"/>
      <c r="G50" s="275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</row>
    <row r="51" spans="2:38">
      <c r="B51" s="243"/>
      <c r="C51" s="143" t="s">
        <v>327</v>
      </c>
      <c r="D51" s="281"/>
      <c r="E51" s="275">
        <v>3000</v>
      </c>
      <c r="F51" s="275"/>
      <c r="G51" s="275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</row>
    <row r="52" spans="2:38">
      <c r="B52" s="243"/>
      <c r="C52" s="143" t="s">
        <v>328</v>
      </c>
      <c r="D52" s="281"/>
      <c r="E52" s="275">
        <v>25000</v>
      </c>
      <c r="F52" s="275" t="s">
        <v>329</v>
      </c>
      <c r="G52" s="275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</row>
    <row r="53" spans="2:38">
      <c r="B53" s="243"/>
      <c r="C53" s="143" t="s">
        <v>330</v>
      </c>
      <c r="D53" s="122"/>
      <c r="E53" s="275">
        <v>5000</v>
      </c>
      <c r="F53" s="122" t="s">
        <v>331</v>
      </c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</row>
    <row r="54" spans="2:38">
      <c r="B54" s="244"/>
      <c r="C54" s="283" t="s">
        <v>332</v>
      </c>
      <c r="D54" s="284">
        <v>0.7</v>
      </c>
      <c r="E54" s="276">
        <v>3000</v>
      </c>
      <c r="F54" s="252"/>
      <c r="G54" s="252"/>
      <c r="H54" s="285"/>
      <c r="I54" s="252"/>
      <c r="J54" s="252"/>
      <c r="K54" s="252"/>
      <c r="L54" s="252"/>
      <c r="M54" s="25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</row>
    <row r="55" spans="2:38">
      <c r="B55" s="218" t="s">
        <v>333</v>
      </c>
      <c r="C55" s="141"/>
      <c r="D55" s="268" t="s">
        <v>267</v>
      </c>
      <c r="E55" s="268" t="s">
        <v>268</v>
      </c>
      <c r="F55" s="268" t="s">
        <v>269</v>
      </c>
      <c r="G55" s="268" t="s">
        <v>270</v>
      </c>
      <c r="H55" s="268" t="s">
        <v>271</v>
      </c>
      <c r="I55" s="268" t="s">
        <v>272</v>
      </c>
      <c r="J55" s="268" t="s">
        <v>273</v>
      </c>
      <c r="K55" s="268" t="s">
        <v>274</v>
      </c>
      <c r="L55" s="268" t="s">
        <v>275</v>
      </c>
      <c r="M55" s="268" t="s">
        <v>276</v>
      </c>
      <c r="N55" s="268" t="s">
        <v>277</v>
      </c>
      <c r="O55" s="268" t="s">
        <v>278</v>
      </c>
      <c r="P55" s="268" t="s">
        <v>279</v>
      </c>
      <c r="Q55" s="268" t="s">
        <v>280</v>
      </c>
      <c r="R55" s="268" t="s">
        <v>281</v>
      </c>
      <c r="S55" s="268" t="s">
        <v>282</v>
      </c>
      <c r="T55" s="268" t="s">
        <v>283</v>
      </c>
      <c r="U55" s="268" t="s">
        <v>284</v>
      </c>
      <c r="V55" s="268" t="s">
        <v>285</v>
      </c>
      <c r="W55" s="268" t="s">
        <v>286</v>
      </c>
      <c r="X55" s="268" t="s">
        <v>287</v>
      </c>
      <c r="Y55" s="268" t="s">
        <v>288</v>
      </c>
      <c r="Z55" s="268" t="s">
        <v>289</v>
      </c>
      <c r="AA55" s="268" t="s">
        <v>290</v>
      </c>
      <c r="AB55" s="268" t="s">
        <v>291</v>
      </c>
      <c r="AC55" s="268" t="s">
        <v>292</v>
      </c>
      <c r="AD55" s="268" t="s">
        <v>293</v>
      </c>
      <c r="AE55" s="268" t="s">
        <v>294</v>
      </c>
      <c r="AF55" s="268" t="s">
        <v>295</v>
      </c>
      <c r="AG55" s="268" t="s">
        <v>296</v>
      </c>
      <c r="AH55" s="268" t="s">
        <v>297</v>
      </c>
      <c r="AI55" s="268" t="s">
        <v>298</v>
      </c>
      <c r="AJ55" s="268" t="s">
        <v>299</v>
      </c>
      <c r="AK55" s="268" t="s">
        <v>300</v>
      </c>
      <c r="AL55" s="141"/>
    </row>
    <row r="56" spans="2:38">
      <c r="B56" s="286"/>
      <c r="C56" s="143" t="s">
        <v>321</v>
      </c>
      <c r="D56" s="287">
        <f>E6*D45+E45</f>
        <v>398227.2416666667</v>
      </c>
      <c r="E56" s="287">
        <v>0</v>
      </c>
      <c r="F56" s="287">
        <v>0</v>
      </c>
      <c r="G56" s="287"/>
      <c r="H56" s="287"/>
      <c r="I56" s="287"/>
      <c r="J56" s="287"/>
      <c r="K56" s="287"/>
      <c r="L56" s="287"/>
      <c r="M56" s="287"/>
      <c r="N56" s="287"/>
      <c r="O56" s="287"/>
      <c r="P56" s="287"/>
      <c r="Q56" s="287"/>
      <c r="R56" s="287"/>
      <c r="S56" s="287"/>
      <c r="T56" s="287"/>
      <c r="U56" s="287"/>
      <c r="V56" s="287"/>
      <c r="W56" s="287"/>
      <c r="X56" s="287"/>
      <c r="Y56" s="287"/>
      <c r="Z56" s="287"/>
      <c r="AA56" s="287"/>
      <c r="AB56" s="287"/>
      <c r="AC56" s="287"/>
      <c r="AD56" s="287"/>
      <c r="AE56" s="287"/>
      <c r="AF56" s="287"/>
      <c r="AG56" s="287"/>
      <c r="AH56" s="287"/>
      <c r="AK56" s="288"/>
      <c r="AL56" s="289"/>
    </row>
    <row r="57" spans="2:38">
      <c r="B57" s="286"/>
      <c r="C57" s="143" t="s">
        <v>322</v>
      </c>
      <c r="D57" s="287">
        <f>SUM($E$4:$E$6)*$D$46+$E$46</f>
        <v>18716.551506666667</v>
      </c>
      <c r="E57" s="287">
        <f t="shared" ref="E57:AB57" si="26">SUM($E$4:$E$6)*$D$46+$E$46</f>
        <v>18716.551506666667</v>
      </c>
      <c r="F57" s="287">
        <f t="shared" si="26"/>
        <v>18716.551506666667</v>
      </c>
      <c r="G57" s="287">
        <f t="shared" si="26"/>
        <v>18716.551506666667</v>
      </c>
      <c r="H57" s="287">
        <f t="shared" si="26"/>
        <v>18716.551506666667</v>
      </c>
      <c r="I57" s="287">
        <f t="shared" si="26"/>
        <v>18716.551506666667</v>
      </c>
      <c r="J57" s="287">
        <f t="shared" si="26"/>
        <v>18716.551506666667</v>
      </c>
      <c r="K57" s="287">
        <f t="shared" si="26"/>
        <v>18716.551506666667</v>
      </c>
      <c r="L57" s="287">
        <f t="shared" si="26"/>
        <v>18716.551506666667</v>
      </c>
      <c r="M57" s="287">
        <f t="shared" si="26"/>
        <v>18716.551506666667</v>
      </c>
      <c r="N57" s="287">
        <f t="shared" si="26"/>
        <v>18716.551506666667</v>
      </c>
      <c r="O57" s="287">
        <f t="shared" si="26"/>
        <v>18716.551506666667</v>
      </c>
      <c r="P57" s="287">
        <f t="shared" si="26"/>
        <v>18716.551506666667</v>
      </c>
      <c r="Q57" s="287">
        <f t="shared" si="26"/>
        <v>18716.551506666667</v>
      </c>
      <c r="R57" s="287">
        <f t="shared" si="26"/>
        <v>18716.551506666667</v>
      </c>
      <c r="S57" s="287">
        <f t="shared" si="26"/>
        <v>18716.551506666667</v>
      </c>
      <c r="T57" s="287">
        <f t="shared" si="26"/>
        <v>18716.551506666667</v>
      </c>
      <c r="U57" s="287">
        <f t="shared" si="26"/>
        <v>18716.551506666667</v>
      </c>
      <c r="V57" s="287">
        <f t="shared" si="26"/>
        <v>18716.551506666667</v>
      </c>
      <c r="W57" s="287">
        <f t="shared" si="26"/>
        <v>18716.551506666667</v>
      </c>
      <c r="X57" s="287">
        <f t="shared" si="26"/>
        <v>18716.551506666667</v>
      </c>
      <c r="Y57" s="287">
        <f t="shared" si="26"/>
        <v>18716.551506666667</v>
      </c>
      <c r="Z57" s="287">
        <f t="shared" si="26"/>
        <v>18716.551506666667</v>
      </c>
      <c r="AA57" s="287">
        <f t="shared" si="26"/>
        <v>18716.551506666667</v>
      </c>
      <c r="AB57" s="287">
        <f t="shared" si="26"/>
        <v>18716.551506666667</v>
      </c>
      <c r="AC57" s="287"/>
      <c r="AD57" s="287"/>
      <c r="AE57" s="287"/>
      <c r="AF57" s="287"/>
      <c r="AG57" s="287"/>
      <c r="AH57" s="287"/>
      <c r="AK57" s="288"/>
      <c r="AL57" s="289"/>
    </row>
    <row r="58" spans="2:38">
      <c r="B58" s="290"/>
      <c r="C58" s="143" t="s">
        <v>323</v>
      </c>
      <c r="D58" s="287">
        <f>E47</f>
        <v>10000</v>
      </c>
      <c r="E58" s="287">
        <f>E49</f>
        <v>10000</v>
      </c>
      <c r="F58" s="287">
        <f>E49</f>
        <v>10000</v>
      </c>
      <c r="G58" s="287">
        <f>$E$47/4</f>
        <v>2500</v>
      </c>
      <c r="H58" s="287">
        <f t="shared" ref="H58:AJ58" si="27">$E$47/4</f>
        <v>2500</v>
      </c>
      <c r="I58" s="287">
        <f t="shared" si="27"/>
        <v>2500</v>
      </c>
      <c r="J58" s="287">
        <f t="shared" si="27"/>
        <v>2500</v>
      </c>
      <c r="K58" s="287">
        <f t="shared" si="27"/>
        <v>2500</v>
      </c>
      <c r="L58" s="287">
        <f t="shared" si="27"/>
        <v>2500</v>
      </c>
      <c r="M58" s="287">
        <f t="shared" si="27"/>
        <v>2500</v>
      </c>
      <c r="N58" s="287">
        <f t="shared" si="27"/>
        <v>2500</v>
      </c>
      <c r="O58" s="287">
        <f t="shared" si="27"/>
        <v>2500</v>
      </c>
      <c r="P58" s="287">
        <f t="shared" si="27"/>
        <v>2500</v>
      </c>
      <c r="Q58" s="287">
        <f t="shared" si="27"/>
        <v>2500</v>
      </c>
      <c r="R58" s="287">
        <f t="shared" si="27"/>
        <v>2500</v>
      </c>
      <c r="S58" s="287">
        <f t="shared" si="27"/>
        <v>2500</v>
      </c>
      <c r="T58" s="287">
        <f t="shared" si="27"/>
        <v>2500</v>
      </c>
      <c r="U58" s="287">
        <f t="shared" si="27"/>
        <v>2500</v>
      </c>
      <c r="V58" s="287">
        <f t="shared" si="27"/>
        <v>2500</v>
      </c>
      <c r="W58" s="287">
        <f t="shared" si="27"/>
        <v>2500</v>
      </c>
      <c r="X58" s="287">
        <f t="shared" si="27"/>
        <v>2500</v>
      </c>
      <c r="Y58" s="287">
        <f t="shared" si="27"/>
        <v>2500</v>
      </c>
      <c r="Z58" s="287">
        <f t="shared" si="27"/>
        <v>2500</v>
      </c>
      <c r="AA58" s="287">
        <f t="shared" si="27"/>
        <v>2500</v>
      </c>
      <c r="AB58" s="287">
        <f t="shared" si="27"/>
        <v>2500</v>
      </c>
      <c r="AC58" s="287">
        <f t="shared" si="27"/>
        <v>2500</v>
      </c>
      <c r="AD58" s="287">
        <f t="shared" si="27"/>
        <v>2500</v>
      </c>
      <c r="AE58" s="287">
        <f t="shared" si="27"/>
        <v>2500</v>
      </c>
      <c r="AF58" s="287">
        <f t="shared" si="27"/>
        <v>2500</v>
      </c>
      <c r="AG58" s="287">
        <f t="shared" si="27"/>
        <v>2500</v>
      </c>
      <c r="AH58" s="287">
        <f t="shared" si="27"/>
        <v>2500</v>
      </c>
      <c r="AI58" s="287">
        <f t="shared" si="27"/>
        <v>2500</v>
      </c>
      <c r="AJ58" s="287">
        <f t="shared" si="27"/>
        <v>2500</v>
      </c>
      <c r="AK58" s="287">
        <f>IF(AK72=0,0,$E$47/4)</f>
        <v>0</v>
      </c>
    </row>
    <row r="59" spans="2:38">
      <c r="B59" s="290"/>
      <c r="C59" s="143" t="s">
        <v>324</v>
      </c>
      <c r="D59" s="287">
        <f>E48</f>
        <v>8500</v>
      </c>
      <c r="E59" s="287">
        <v>0</v>
      </c>
      <c r="F59" s="287"/>
      <c r="G59" s="291">
        <f>E48</f>
        <v>8500</v>
      </c>
      <c r="H59" s="287"/>
      <c r="I59" s="122"/>
      <c r="J59" s="291">
        <f>E48</f>
        <v>8500</v>
      </c>
      <c r="K59" s="287"/>
      <c r="L59" s="122"/>
      <c r="M59" s="291">
        <f>E48</f>
        <v>8500</v>
      </c>
      <c r="N59" s="122"/>
      <c r="O59" s="122"/>
      <c r="P59" s="291">
        <f>E48</f>
        <v>8500</v>
      </c>
      <c r="Q59" s="122"/>
      <c r="R59" s="122"/>
      <c r="S59" s="291">
        <f>E48</f>
        <v>8500</v>
      </c>
      <c r="T59" s="122"/>
      <c r="U59" s="122"/>
      <c r="V59" s="291">
        <f>E48</f>
        <v>8500</v>
      </c>
      <c r="W59" s="122"/>
      <c r="X59" s="122"/>
      <c r="Y59" s="291">
        <f>E48</f>
        <v>8500</v>
      </c>
      <c r="Z59" s="122"/>
      <c r="AA59" s="122"/>
      <c r="AB59" s="291">
        <f>E48</f>
        <v>8500</v>
      </c>
      <c r="AC59" s="122"/>
      <c r="AD59" s="122"/>
      <c r="AE59" s="122"/>
      <c r="AF59" s="122"/>
      <c r="AG59" s="122"/>
      <c r="AH59" s="122"/>
    </row>
    <row r="60" spans="2:38">
      <c r="B60" s="290"/>
      <c r="C60" s="143" t="s">
        <v>325</v>
      </c>
      <c r="D60" s="287">
        <f>E49</f>
        <v>10000</v>
      </c>
      <c r="E60" s="275">
        <f>0*(F49+E49)/3</f>
        <v>0</v>
      </c>
      <c r="F60" s="287">
        <f>0*G49/3</f>
        <v>0</v>
      </c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</row>
    <row r="61" spans="2:38">
      <c r="B61" s="290"/>
      <c r="C61" s="143" t="s">
        <v>326</v>
      </c>
      <c r="D61" s="287">
        <f>SUM($E$4:$E$6)*0.02</f>
        <v>33433.103013333333</v>
      </c>
      <c r="E61" s="275"/>
      <c r="F61" s="287"/>
      <c r="G61" s="287">
        <f>SUM($E$4:$E$6)*0.02</f>
        <v>33433.103013333333</v>
      </c>
      <c r="H61" s="122"/>
      <c r="I61" s="122"/>
      <c r="J61" s="287">
        <f>SUM($E$4:$E$6)*0.02</f>
        <v>33433.103013333333</v>
      </c>
      <c r="K61" s="122"/>
      <c r="L61" s="122"/>
      <c r="M61" s="287">
        <f>SUM($E$4:$E$6)*0.02</f>
        <v>33433.103013333333</v>
      </c>
      <c r="N61" s="122"/>
      <c r="O61" s="122"/>
      <c r="P61" s="287">
        <f>SUM($E$4:$E$6)*0.02</f>
        <v>33433.103013333333</v>
      </c>
      <c r="Q61" s="122"/>
      <c r="R61" s="122"/>
      <c r="S61" s="287">
        <f>SUM($E$4:$E$6)*0.02</f>
        <v>33433.103013333333</v>
      </c>
      <c r="T61" s="122"/>
      <c r="U61" s="122"/>
      <c r="V61" s="287">
        <f>SUM($E$4:$E$6)*0.02</f>
        <v>33433.103013333333</v>
      </c>
      <c r="W61" s="122"/>
      <c r="X61" s="122"/>
      <c r="Y61" s="287">
        <f>SUM($E$4:$E$6)*0.02</f>
        <v>33433.103013333333</v>
      </c>
      <c r="Z61" s="122"/>
      <c r="AA61" s="122"/>
      <c r="AB61" s="287">
        <f>SUM($E$4:$E$6)*0.02</f>
        <v>33433.103013333333</v>
      </c>
      <c r="AC61" s="122"/>
      <c r="AD61" s="122"/>
      <c r="AE61" s="122"/>
      <c r="AF61" s="122"/>
      <c r="AG61" s="122"/>
      <c r="AH61" s="122"/>
    </row>
    <row r="62" spans="2:38">
      <c r="B62" s="290"/>
      <c r="C62" s="143" t="s">
        <v>327</v>
      </c>
      <c r="D62" s="287">
        <f>$E$51</f>
        <v>3000</v>
      </c>
      <c r="E62" s="287">
        <f t="shared" ref="E62:AB62" si="28">$E$51</f>
        <v>3000</v>
      </c>
      <c r="F62" s="287">
        <f t="shared" si="28"/>
        <v>3000</v>
      </c>
      <c r="G62" s="287">
        <f t="shared" si="28"/>
        <v>3000</v>
      </c>
      <c r="H62" s="287">
        <f t="shared" si="28"/>
        <v>3000</v>
      </c>
      <c r="I62" s="287">
        <f t="shared" si="28"/>
        <v>3000</v>
      </c>
      <c r="J62" s="287">
        <f t="shared" si="28"/>
        <v>3000</v>
      </c>
      <c r="K62" s="287">
        <f t="shared" si="28"/>
        <v>3000</v>
      </c>
      <c r="L62" s="287">
        <f t="shared" si="28"/>
        <v>3000</v>
      </c>
      <c r="M62" s="287">
        <f t="shared" si="28"/>
        <v>3000</v>
      </c>
      <c r="N62" s="287">
        <f t="shared" si="28"/>
        <v>3000</v>
      </c>
      <c r="O62" s="287">
        <f t="shared" si="28"/>
        <v>3000</v>
      </c>
      <c r="P62" s="287">
        <f t="shared" si="28"/>
        <v>3000</v>
      </c>
      <c r="Q62" s="287">
        <f t="shared" si="28"/>
        <v>3000</v>
      </c>
      <c r="R62" s="287">
        <f t="shared" si="28"/>
        <v>3000</v>
      </c>
      <c r="S62" s="287">
        <f t="shared" si="28"/>
        <v>3000</v>
      </c>
      <c r="T62" s="287">
        <f t="shared" si="28"/>
        <v>3000</v>
      </c>
      <c r="U62" s="287">
        <f t="shared" si="28"/>
        <v>3000</v>
      </c>
      <c r="V62" s="287">
        <f t="shared" si="28"/>
        <v>3000</v>
      </c>
      <c r="W62" s="287">
        <f t="shared" si="28"/>
        <v>3000</v>
      </c>
      <c r="X62" s="287">
        <f t="shared" si="28"/>
        <v>3000</v>
      </c>
      <c r="Y62" s="287">
        <f t="shared" si="28"/>
        <v>3000</v>
      </c>
      <c r="Z62" s="287">
        <f t="shared" si="28"/>
        <v>3000</v>
      </c>
      <c r="AA62" s="287">
        <f t="shared" si="28"/>
        <v>3000</v>
      </c>
      <c r="AB62" s="287">
        <f t="shared" si="28"/>
        <v>3000</v>
      </c>
      <c r="AC62" s="122"/>
      <c r="AD62" s="122"/>
      <c r="AE62" s="122"/>
      <c r="AF62" s="122"/>
      <c r="AG62" s="122"/>
      <c r="AH62" s="122"/>
    </row>
    <row r="63" spans="2:38">
      <c r="B63" s="290"/>
      <c r="C63" s="143" t="s">
        <v>328</v>
      </c>
      <c r="D63" s="287">
        <f>E52</f>
        <v>25000</v>
      </c>
      <c r="E63" s="275">
        <f>E52</f>
        <v>25000</v>
      </c>
      <c r="F63" s="287">
        <f>E52</f>
        <v>25000</v>
      </c>
      <c r="G63" s="122"/>
      <c r="H63" s="291">
        <f>E52</f>
        <v>25000</v>
      </c>
      <c r="I63" s="122"/>
      <c r="J63" s="291">
        <f>E52</f>
        <v>25000</v>
      </c>
      <c r="K63" s="122"/>
      <c r="L63" s="291">
        <f>E52</f>
        <v>25000</v>
      </c>
      <c r="M63" s="122"/>
      <c r="N63" s="291">
        <f>E52</f>
        <v>25000</v>
      </c>
      <c r="O63" s="122"/>
      <c r="P63" s="291">
        <f>E52</f>
        <v>25000</v>
      </c>
      <c r="Q63" s="122"/>
      <c r="R63" s="291">
        <f>E52</f>
        <v>25000</v>
      </c>
      <c r="S63" s="122"/>
      <c r="T63" s="291">
        <f>E52</f>
        <v>25000</v>
      </c>
      <c r="U63" s="122"/>
      <c r="V63" s="291">
        <f>E52</f>
        <v>25000</v>
      </c>
      <c r="W63" s="122"/>
      <c r="X63" s="291">
        <f>E52</f>
        <v>25000</v>
      </c>
      <c r="Y63" s="122"/>
      <c r="Z63" s="291">
        <f>E52</f>
        <v>25000</v>
      </c>
      <c r="AA63" s="122"/>
      <c r="AB63" s="291">
        <f>E52</f>
        <v>25000</v>
      </c>
      <c r="AC63" s="122"/>
      <c r="AD63" s="291">
        <f>E52</f>
        <v>25000</v>
      </c>
      <c r="AE63" s="122"/>
      <c r="AF63" s="291">
        <f>E52</f>
        <v>25000</v>
      </c>
      <c r="AG63" s="122"/>
      <c r="AH63" s="291">
        <f>E52</f>
        <v>25000</v>
      </c>
      <c r="AJ63" s="146">
        <f>E52</f>
        <v>25000</v>
      </c>
    </row>
    <row r="64" spans="2:38">
      <c r="B64" s="292"/>
      <c r="C64" s="143" t="s">
        <v>334</v>
      </c>
      <c r="D64" s="287">
        <f>E53*3</f>
        <v>15000</v>
      </c>
      <c r="E64" s="287">
        <f>E53*3</f>
        <v>15000</v>
      </c>
      <c r="F64" s="287">
        <f>E53*3</f>
        <v>15000</v>
      </c>
      <c r="G64" s="287"/>
      <c r="H64" s="287"/>
      <c r="I64" s="287">
        <f>$E$53*3</f>
        <v>15000</v>
      </c>
      <c r="J64" s="287"/>
      <c r="K64" s="287">
        <f>$E$53*3</f>
        <v>15000</v>
      </c>
      <c r="L64" s="287"/>
      <c r="M64" s="287">
        <f>$E$53*3</f>
        <v>15000</v>
      </c>
      <c r="N64" s="287"/>
      <c r="O64" s="287">
        <f>$E$53*3</f>
        <v>15000</v>
      </c>
      <c r="P64" s="287"/>
      <c r="Q64" s="287">
        <f>$E$53*3</f>
        <v>15000</v>
      </c>
      <c r="R64" s="287"/>
      <c r="S64" s="287">
        <f>$E$53*3</f>
        <v>15000</v>
      </c>
      <c r="T64" s="287"/>
      <c r="U64" s="287">
        <f>$E$53*3</f>
        <v>15000</v>
      </c>
      <c r="V64" s="287"/>
      <c r="W64" s="287">
        <f>$E$53*3</f>
        <v>15000</v>
      </c>
      <c r="X64" s="287"/>
      <c r="Y64" s="287">
        <f>$E$53*3</f>
        <v>15000</v>
      </c>
      <c r="Z64" s="287"/>
      <c r="AA64" s="287">
        <f>$E$53*3</f>
        <v>15000</v>
      </c>
      <c r="AB64" s="287"/>
      <c r="AC64" s="287"/>
      <c r="AD64" s="287"/>
      <c r="AE64" s="287"/>
      <c r="AF64" s="287"/>
      <c r="AG64" s="287"/>
      <c r="AH64" s="287"/>
      <c r="AK64" s="288"/>
      <c r="AL64" s="289"/>
    </row>
    <row r="65" spans="2:38">
      <c r="B65" s="243"/>
      <c r="C65" s="143" t="s">
        <v>332</v>
      </c>
      <c r="D65" s="287">
        <f>$D$54*10000+E54</f>
        <v>10000</v>
      </c>
      <c r="E65" s="287">
        <f t="shared" ref="E65:I65" si="29">$D$54*10000+F54</f>
        <v>7000</v>
      </c>
      <c r="F65" s="287">
        <f t="shared" si="29"/>
        <v>7000</v>
      </c>
      <c r="G65" s="287">
        <f t="shared" si="29"/>
        <v>7000</v>
      </c>
      <c r="H65" s="287">
        <f t="shared" si="29"/>
        <v>7000</v>
      </c>
      <c r="I65" s="287">
        <f t="shared" si="29"/>
        <v>7000</v>
      </c>
      <c r="J65" s="287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</row>
    <row r="66" spans="2:38">
      <c r="B66" s="243"/>
      <c r="C66" s="143" t="s">
        <v>335</v>
      </c>
      <c r="D66" s="287">
        <v>5000</v>
      </c>
      <c r="E66" s="275">
        <v>1000</v>
      </c>
      <c r="F66" s="287">
        <f>E66</f>
        <v>1000</v>
      </c>
      <c r="G66" s="287">
        <v>1000</v>
      </c>
      <c r="H66" s="287">
        <v>1000</v>
      </c>
      <c r="I66" s="287">
        <v>1000</v>
      </c>
      <c r="J66" s="287"/>
      <c r="K66" s="287"/>
      <c r="L66" s="287"/>
      <c r="M66" s="287"/>
      <c r="N66" s="287"/>
      <c r="O66" s="287"/>
      <c r="P66" s="287"/>
      <c r="Q66" s="287"/>
      <c r="R66" s="287"/>
      <c r="S66" s="287"/>
      <c r="T66" s="287"/>
      <c r="U66" s="287"/>
      <c r="V66" s="287"/>
      <c r="W66" s="287"/>
      <c r="X66" s="287"/>
      <c r="Y66" s="287"/>
      <c r="Z66" s="287"/>
      <c r="AA66" s="287"/>
      <c r="AB66" s="287"/>
      <c r="AC66" s="287"/>
      <c r="AD66" s="287"/>
      <c r="AE66" s="287"/>
      <c r="AF66" s="287"/>
      <c r="AG66" s="287"/>
      <c r="AH66" s="287"/>
    </row>
    <row r="67" spans="2:38">
      <c r="B67" s="243"/>
      <c r="C67" s="293" t="s">
        <v>336</v>
      </c>
      <c r="D67" s="277">
        <f>SUM(D56:D66)</f>
        <v>536876.89618666668</v>
      </c>
      <c r="E67" s="277">
        <f t="shared" ref="E67:AK67" si="30">SUM(E56:E66)</f>
        <v>79716.55150666667</v>
      </c>
      <c r="F67" s="277">
        <f t="shared" si="30"/>
        <v>79716.55150666667</v>
      </c>
      <c r="G67" s="277">
        <f t="shared" si="30"/>
        <v>74149.654519999996</v>
      </c>
      <c r="H67" s="277">
        <f t="shared" si="30"/>
        <v>57216.55150666667</v>
      </c>
      <c r="I67" s="277">
        <f t="shared" si="30"/>
        <v>47216.55150666667</v>
      </c>
      <c r="J67" s="277">
        <f t="shared" si="30"/>
        <v>91149.654519999996</v>
      </c>
      <c r="K67" s="277">
        <f t="shared" si="30"/>
        <v>39216.55150666667</v>
      </c>
      <c r="L67" s="277">
        <f t="shared" si="30"/>
        <v>49216.55150666667</v>
      </c>
      <c r="M67" s="277">
        <f t="shared" si="30"/>
        <v>81149.654519999996</v>
      </c>
      <c r="N67" s="277">
        <f t="shared" si="30"/>
        <v>49216.55150666667</v>
      </c>
      <c r="O67" s="277">
        <f t="shared" si="30"/>
        <v>39216.55150666667</v>
      </c>
      <c r="P67" s="277">
        <f t="shared" si="30"/>
        <v>91149.654519999996</v>
      </c>
      <c r="Q67" s="277">
        <f t="shared" si="30"/>
        <v>39216.55150666667</v>
      </c>
      <c r="R67" s="277">
        <f t="shared" si="30"/>
        <v>49216.55150666667</v>
      </c>
      <c r="S67" s="277">
        <f t="shared" si="30"/>
        <v>81149.654519999996</v>
      </c>
      <c r="T67" s="277">
        <f t="shared" si="30"/>
        <v>49216.55150666667</v>
      </c>
      <c r="U67" s="277">
        <f t="shared" si="30"/>
        <v>39216.55150666667</v>
      </c>
      <c r="V67" s="277">
        <f t="shared" si="30"/>
        <v>91149.654519999996</v>
      </c>
      <c r="W67" s="277">
        <f t="shared" si="30"/>
        <v>39216.55150666667</v>
      </c>
      <c r="X67" s="277">
        <f t="shared" si="30"/>
        <v>49216.55150666667</v>
      </c>
      <c r="Y67" s="277">
        <f t="shared" si="30"/>
        <v>81149.654519999996</v>
      </c>
      <c r="Z67" s="277">
        <f t="shared" si="30"/>
        <v>49216.55150666667</v>
      </c>
      <c r="AA67" s="277">
        <f t="shared" si="30"/>
        <v>39216.55150666667</v>
      </c>
      <c r="AB67" s="277">
        <f t="shared" si="30"/>
        <v>91149.654519999996</v>
      </c>
      <c r="AC67" s="277">
        <f t="shared" si="30"/>
        <v>2500</v>
      </c>
      <c r="AD67" s="277">
        <f t="shared" si="30"/>
        <v>27500</v>
      </c>
      <c r="AE67" s="277">
        <f t="shared" si="30"/>
        <v>2500</v>
      </c>
      <c r="AF67" s="277">
        <f t="shared" si="30"/>
        <v>27500</v>
      </c>
      <c r="AG67" s="277">
        <f t="shared" si="30"/>
        <v>2500</v>
      </c>
      <c r="AH67" s="277">
        <f t="shared" si="30"/>
        <v>27500</v>
      </c>
      <c r="AI67" s="277">
        <f t="shared" si="30"/>
        <v>2500</v>
      </c>
      <c r="AJ67" s="277">
        <f t="shared" si="30"/>
        <v>27500</v>
      </c>
      <c r="AK67" s="277">
        <f t="shared" si="30"/>
        <v>0</v>
      </c>
    </row>
    <row r="68" spans="2:38">
      <c r="B68" s="244"/>
      <c r="C68" s="294"/>
      <c r="D68" s="252"/>
      <c r="E68" s="252"/>
      <c r="F68" s="252"/>
      <c r="G68" s="295"/>
      <c r="H68" s="296"/>
      <c r="I68" s="278"/>
      <c r="J68" s="278"/>
      <c r="K68" s="252"/>
      <c r="L68" s="252"/>
      <c r="M68" s="252"/>
      <c r="N68" s="25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</row>
    <row r="69" spans="2:38">
      <c r="B69" s="244"/>
      <c r="C69" s="252"/>
      <c r="D69" s="297"/>
      <c r="E69" s="298"/>
      <c r="F69" s="252"/>
      <c r="G69" s="252"/>
      <c r="H69" s="252"/>
      <c r="I69" s="252"/>
      <c r="J69" s="252"/>
      <c r="K69" s="252"/>
      <c r="L69" s="252"/>
      <c r="M69" s="252"/>
      <c r="N69" s="25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</row>
    <row r="70" spans="2:38">
      <c r="B70" s="299" t="s">
        <v>337</v>
      </c>
      <c r="C70" s="300"/>
      <c r="D70" s="268" t="s">
        <v>267</v>
      </c>
      <c r="E70" s="268" t="s">
        <v>268</v>
      </c>
      <c r="F70" s="268" t="s">
        <v>269</v>
      </c>
      <c r="G70" s="268" t="s">
        <v>270</v>
      </c>
      <c r="H70" s="268" t="s">
        <v>271</v>
      </c>
      <c r="I70" s="268" t="s">
        <v>272</v>
      </c>
      <c r="J70" s="268" t="s">
        <v>273</v>
      </c>
      <c r="K70" s="268" t="s">
        <v>274</v>
      </c>
      <c r="L70" s="268" t="s">
        <v>275</v>
      </c>
      <c r="M70" s="268" t="s">
        <v>276</v>
      </c>
      <c r="N70" s="268" t="s">
        <v>277</v>
      </c>
      <c r="O70" s="268" t="s">
        <v>278</v>
      </c>
      <c r="P70" s="268" t="s">
        <v>279</v>
      </c>
      <c r="Q70" s="268" t="s">
        <v>280</v>
      </c>
      <c r="R70" s="268" t="s">
        <v>281</v>
      </c>
      <c r="S70" s="268" t="s">
        <v>282</v>
      </c>
      <c r="T70" s="268" t="s">
        <v>283</v>
      </c>
      <c r="U70" s="268" t="s">
        <v>284</v>
      </c>
      <c r="V70" s="268" t="s">
        <v>285</v>
      </c>
      <c r="W70" s="268" t="s">
        <v>286</v>
      </c>
      <c r="X70" s="268" t="s">
        <v>287</v>
      </c>
      <c r="Y70" s="268" t="s">
        <v>288</v>
      </c>
      <c r="Z70" s="268" t="s">
        <v>289</v>
      </c>
      <c r="AA70" s="268" t="s">
        <v>290</v>
      </c>
      <c r="AB70" s="268" t="s">
        <v>291</v>
      </c>
      <c r="AC70" s="268" t="s">
        <v>292</v>
      </c>
      <c r="AD70" s="268" t="s">
        <v>293</v>
      </c>
      <c r="AE70" s="268" t="s">
        <v>294</v>
      </c>
      <c r="AF70" s="268" t="s">
        <v>295</v>
      </c>
      <c r="AG70" s="268" t="s">
        <v>296</v>
      </c>
      <c r="AH70" s="268" t="s">
        <v>297</v>
      </c>
      <c r="AI70" s="268" t="s">
        <v>298</v>
      </c>
      <c r="AJ70" s="268" t="s">
        <v>299</v>
      </c>
      <c r="AK70" s="268" t="s">
        <v>300</v>
      </c>
    </row>
    <row r="71" spans="2:38">
      <c r="B71" s="299"/>
      <c r="D71" s="141">
        <v>2021</v>
      </c>
      <c r="E71" s="141">
        <f>D71+1</f>
        <v>2022</v>
      </c>
      <c r="F71" s="141">
        <f t="shared" ref="F71:AK71" si="31">E71+1</f>
        <v>2023</v>
      </c>
      <c r="G71" s="141">
        <f t="shared" si="31"/>
        <v>2024</v>
      </c>
      <c r="H71" s="141">
        <f t="shared" si="31"/>
        <v>2025</v>
      </c>
      <c r="I71" s="141">
        <f t="shared" si="31"/>
        <v>2026</v>
      </c>
      <c r="J71" s="141">
        <f t="shared" si="31"/>
        <v>2027</v>
      </c>
      <c r="K71" s="141">
        <f t="shared" si="31"/>
        <v>2028</v>
      </c>
      <c r="L71" s="141">
        <f t="shared" si="31"/>
        <v>2029</v>
      </c>
      <c r="M71" s="141">
        <f t="shared" si="31"/>
        <v>2030</v>
      </c>
      <c r="N71" s="141">
        <f t="shared" si="31"/>
        <v>2031</v>
      </c>
      <c r="O71" s="141">
        <f t="shared" si="31"/>
        <v>2032</v>
      </c>
      <c r="P71" s="141">
        <f t="shared" si="31"/>
        <v>2033</v>
      </c>
      <c r="Q71" s="141">
        <f t="shared" si="31"/>
        <v>2034</v>
      </c>
      <c r="R71" s="141">
        <f t="shared" si="31"/>
        <v>2035</v>
      </c>
      <c r="S71" s="141">
        <f t="shared" si="31"/>
        <v>2036</v>
      </c>
      <c r="T71" s="141">
        <f t="shared" si="31"/>
        <v>2037</v>
      </c>
      <c r="U71" s="141">
        <f t="shared" si="31"/>
        <v>2038</v>
      </c>
      <c r="V71" s="141">
        <f t="shared" si="31"/>
        <v>2039</v>
      </c>
      <c r="W71" s="141">
        <f t="shared" si="31"/>
        <v>2040</v>
      </c>
      <c r="X71" s="141">
        <f t="shared" si="31"/>
        <v>2041</v>
      </c>
      <c r="Y71" s="141">
        <f t="shared" si="31"/>
        <v>2042</v>
      </c>
      <c r="Z71" s="141">
        <f t="shared" si="31"/>
        <v>2043</v>
      </c>
      <c r="AA71" s="141">
        <f t="shared" si="31"/>
        <v>2044</v>
      </c>
      <c r="AB71" s="141">
        <f t="shared" si="31"/>
        <v>2045</v>
      </c>
      <c r="AC71" s="141">
        <f t="shared" si="31"/>
        <v>2046</v>
      </c>
      <c r="AD71" s="141">
        <f t="shared" si="31"/>
        <v>2047</v>
      </c>
      <c r="AE71" s="141">
        <f t="shared" si="31"/>
        <v>2048</v>
      </c>
      <c r="AF71" s="141">
        <f t="shared" si="31"/>
        <v>2049</v>
      </c>
      <c r="AG71" s="141">
        <f t="shared" si="31"/>
        <v>2050</v>
      </c>
      <c r="AH71" s="141">
        <f t="shared" si="31"/>
        <v>2051</v>
      </c>
      <c r="AI71" s="141">
        <f t="shared" si="31"/>
        <v>2052</v>
      </c>
      <c r="AJ71" s="141">
        <f t="shared" si="31"/>
        <v>2053</v>
      </c>
      <c r="AK71" s="141">
        <f t="shared" si="31"/>
        <v>2054</v>
      </c>
    </row>
    <row r="72" spans="2:38">
      <c r="B72" s="299"/>
      <c r="C72" s="144" t="s">
        <v>338</v>
      </c>
      <c r="D72" s="145">
        <v>0</v>
      </c>
      <c r="E72" s="145">
        <f>H4*VLOOKUP(J4,$AM$5:$AN$16,2,0)</f>
        <v>149.80000000000001</v>
      </c>
      <c r="F72" s="145">
        <f>E72+(H5*VLOOKUP(J5,$AM$5:$AN$16,2,0))</f>
        <v>449.40000000000003</v>
      </c>
      <c r="G72" s="145">
        <f>F72+(H6*VLOOKUP(J6,$AM$5:$AN$16,2,0))+(H5*(1-VLOOKUP(J5,$AM5:$AN16,2,0)))</f>
        <v>749</v>
      </c>
      <c r="H72" s="145">
        <f>G72+(H6*(1-VLOOKUP(J6,AM5:AN16,2,0)))</f>
        <v>749</v>
      </c>
      <c r="I72" s="145">
        <f>H72</f>
        <v>749</v>
      </c>
      <c r="J72" s="145">
        <f t="shared" ref="J72:AH72" si="32">I72</f>
        <v>749</v>
      </c>
      <c r="K72" s="145">
        <f t="shared" si="32"/>
        <v>749</v>
      </c>
      <c r="L72" s="145">
        <f t="shared" si="32"/>
        <v>749</v>
      </c>
      <c r="M72" s="145">
        <f t="shared" si="32"/>
        <v>749</v>
      </c>
      <c r="N72" s="145">
        <f t="shared" si="32"/>
        <v>749</v>
      </c>
      <c r="O72" s="145">
        <f t="shared" si="32"/>
        <v>749</v>
      </c>
      <c r="P72" s="145">
        <f t="shared" si="32"/>
        <v>749</v>
      </c>
      <c r="Q72" s="145">
        <f t="shared" si="32"/>
        <v>749</v>
      </c>
      <c r="R72" s="145">
        <f t="shared" si="32"/>
        <v>749</v>
      </c>
      <c r="S72" s="145">
        <f t="shared" si="32"/>
        <v>749</v>
      </c>
      <c r="T72" s="145">
        <f t="shared" si="32"/>
        <v>749</v>
      </c>
      <c r="U72" s="145">
        <f t="shared" si="32"/>
        <v>749</v>
      </c>
      <c r="V72" s="145">
        <f t="shared" si="32"/>
        <v>749</v>
      </c>
      <c r="W72" s="145">
        <f t="shared" si="32"/>
        <v>749</v>
      </c>
      <c r="X72" s="145">
        <f t="shared" si="32"/>
        <v>749</v>
      </c>
      <c r="Y72" s="145">
        <f t="shared" si="32"/>
        <v>749</v>
      </c>
      <c r="Z72" s="145">
        <f t="shared" si="32"/>
        <v>749</v>
      </c>
      <c r="AA72" s="145">
        <f t="shared" si="32"/>
        <v>749</v>
      </c>
      <c r="AB72" s="145">
        <f t="shared" si="32"/>
        <v>749</v>
      </c>
      <c r="AC72" s="145">
        <f t="shared" si="32"/>
        <v>749</v>
      </c>
      <c r="AD72" s="145">
        <f t="shared" si="32"/>
        <v>749</v>
      </c>
      <c r="AE72" s="145">
        <f t="shared" si="32"/>
        <v>749</v>
      </c>
      <c r="AF72" s="145">
        <f t="shared" si="32"/>
        <v>749</v>
      </c>
      <c r="AG72" s="145">
        <f t="shared" si="32"/>
        <v>749</v>
      </c>
      <c r="AH72" s="145">
        <f t="shared" si="32"/>
        <v>749</v>
      </c>
      <c r="AI72" s="145">
        <f>AH72-H4</f>
        <v>599.20000000000005</v>
      </c>
      <c r="AJ72" s="145">
        <f>AI72-(H5*VLOOKUP($J$5,$AM$5:$AN$16,2,0))</f>
        <v>299.60000000000002</v>
      </c>
      <c r="AK72" s="145">
        <f>AJ72-H5</f>
        <v>0</v>
      </c>
      <c r="AL72" s="301"/>
    </row>
    <row r="73" spans="2:38">
      <c r="B73" s="299"/>
      <c r="C73" s="145" t="s">
        <v>339</v>
      </c>
      <c r="D73" s="302">
        <f>D72*$H$7</f>
        <v>0</v>
      </c>
      <c r="E73" s="302">
        <f>E72*$H$7</f>
        <v>352179.80000000005</v>
      </c>
      <c r="F73" s="302">
        <f t="shared" ref="F73:AK73" si="33">F72*$H$7</f>
        <v>1056539.4000000001</v>
      </c>
      <c r="G73" s="302">
        <f t="shared" si="33"/>
        <v>1760899</v>
      </c>
      <c r="H73" s="302">
        <f t="shared" si="33"/>
        <v>1760899</v>
      </c>
      <c r="I73" s="302">
        <f t="shared" si="33"/>
        <v>1760899</v>
      </c>
      <c r="J73" s="302">
        <f t="shared" si="33"/>
        <v>1760899</v>
      </c>
      <c r="K73" s="302">
        <f t="shared" si="33"/>
        <v>1760899</v>
      </c>
      <c r="L73" s="302">
        <f t="shared" si="33"/>
        <v>1760899</v>
      </c>
      <c r="M73" s="302">
        <f t="shared" si="33"/>
        <v>1760899</v>
      </c>
      <c r="N73" s="302">
        <f t="shared" si="33"/>
        <v>1760899</v>
      </c>
      <c r="O73" s="302">
        <f t="shared" si="33"/>
        <v>1760899</v>
      </c>
      <c r="P73" s="302">
        <f t="shared" si="33"/>
        <v>1760899</v>
      </c>
      <c r="Q73" s="302">
        <f t="shared" si="33"/>
        <v>1760899</v>
      </c>
      <c r="R73" s="302">
        <f t="shared" si="33"/>
        <v>1760899</v>
      </c>
      <c r="S73" s="302">
        <f t="shared" si="33"/>
        <v>1760899</v>
      </c>
      <c r="T73" s="302">
        <f t="shared" si="33"/>
        <v>1760899</v>
      </c>
      <c r="U73" s="302">
        <f t="shared" si="33"/>
        <v>1760899</v>
      </c>
      <c r="V73" s="302">
        <f t="shared" si="33"/>
        <v>1760899</v>
      </c>
      <c r="W73" s="302">
        <f t="shared" si="33"/>
        <v>1760899</v>
      </c>
      <c r="X73" s="302">
        <f t="shared" si="33"/>
        <v>1760899</v>
      </c>
      <c r="Y73" s="302">
        <f t="shared" si="33"/>
        <v>1760899</v>
      </c>
      <c r="Z73" s="302">
        <f t="shared" si="33"/>
        <v>1760899</v>
      </c>
      <c r="AA73" s="302">
        <f t="shared" si="33"/>
        <v>1760899</v>
      </c>
      <c r="AB73" s="302">
        <f t="shared" si="33"/>
        <v>1760899</v>
      </c>
      <c r="AC73" s="302">
        <f t="shared" si="33"/>
        <v>1760899</v>
      </c>
      <c r="AD73" s="302">
        <f t="shared" si="33"/>
        <v>1760899</v>
      </c>
      <c r="AE73" s="302">
        <f t="shared" si="33"/>
        <v>1760899</v>
      </c>
      <c r="AF73" s="302">
        <f t="shared" si="33"/>
        <v>1760899</v>
      </c>
      <c r="AG73" s="302">
        <f t="shared" si="33"/>
        <v>1760899</v>
      </c>
      <c r="AH73" s="302">
        <f t="shared" si="33"/>
        <v>1760899</v>
      </c>
      <c r="AI73" s="302">
        <f t="shared" si="33"/>
        <v>1408719.2000000002</v>
      </c>
      <c r="AJ73" s="302">
        <f t="shared" si="33"/>
        <v>704359.60000000009</v>
      </c>
      <c r="AK73" s="302">
        <f t="shared" si="33"/>
        <v>0</v>
      </c>
    </row>
    <row r="74" spans="2:38">
      <c r="B74" s="299"/>
      <c r="C74" s="145" t="s">
        <v>340</v>
      </c>
      <c r="D74" s="303">
        <f>(K4*2000)+(D73*0.06)/2+(D73*0.04)/2</f>
        <v>4000</v>
      </c>
      <c r="E74" s="303">
        <f>(K4*2000)+(E73*0.06)/2+(E73*0.04)/2</f>
        <v>21608.99</v>
      </c>
      <c r="F74" s="303">
        <f>(K4+K5*2000)+(F73*0.06)</f>
        <v>71394.364000000001</v>
      </c>
      <c r="G74" s="303">
        <f>(SUM($K$4:$K$6)*2000)+(G73*0.06)/2+(G73*0.04)/2</f>
        <v>108044.95000000001</v>
      </c>
      <c r="H74" s="303">
        <f t="shared" ref="H74:AE74" si="34">(SUM($K$4:$K$6)*2000)+(H73*0.06)/2+(H73*0.04)/2</f>
        <v>108044.95000000001</v>
      </c>
      <c r="I74" s="303">
        <f t="shared" si="34"/>
        <v>108044.95000000001</v>
      </c>
      <c r="J74" s="303">
        <f t="shared" si="34"/>
        <v>108044.95000000001</v>
      </c>
      <c r="K74" s="303">
        <f t="shared" si="34"/>
        <v>108044.95000000001</v>
      </c>
      <c r="L74" s="303">
        <f t="shared" si="34"/>
        <v>108044.95000000001</v>
      </c>
      <c r="M74" s="303">
        <f t="shared" si="34"/>
        <v>108044.95000000001</v>
      </c>
      <c r="N74" s="303">
        <f t="shared" si="34"/>
        <v>108044.95000000001</v>
      </c>
      <c r="O74" s="303">
        <f t="shared" si="34"/>
        <v>108044.95000000001</v>
      </c>
      <c r="P74" s="303">
        <f t="shared" si="34"/>
        <v>108044.95000000001</v>
      </c>
      <c r="Q74" s="303">
        <f t="shared" si="34"/>
        <v>108044.95000000001</v>
      </c>
      <c r="R74" s="303">
        <f t="shared" si="34"/>
        <v>108044.95000000001</v>
      </c>
      <c r="S74" s="303">
        <f t="shared" si="34"/>
        <v>108044.95000000001</v>
      </c>
      <c r="T74" s="303">
        <f t="shared" si="34"/>
        <v>108044.95000000001</v>
      </c>
      <c r="U74" s="303">
        <f t="shared" si="34"/>
        <v>108044.95000000001</v>
      </c>
      <c r="V74" s="303">
        <f t="shared" si="34"/>
        <v>108044.95000000001</v>
      </c>
      <c r="W74" s="303">
        <f t="shared" si="34"/>
        <v>108044.95000000001</v>
      </c>
      <c r="X74" s="303">
        <f t="shared" si="34"/>
        <v>108044.95000000001</v>
      </c>
      <c r="Y74" s="303">
        <f t="shared" si="34"/>
        <v>108044.95000000001</v>
      </c>
      <c r="Z74" s="303">
        <f t="shared" si="34"/>
        <v>108044.95000000001</v>
      </c>
      <c r="AA74" s="303">
        <f t="shared" si="34"/>
        <v>108044.95000000001</v>
      </c>
      <c r="AB74" s="303">
        <f t="shared" si="34"/>
        <v>108044.95000000001</v>
      </c>
      <c r="AC74" s="303">
        <f t="shared" si="34"/>
        <v>108044.95000000001</v>
      </c>
      <c r="AD74" s="303">
        <f t="shared" si="34"/>
        <v>108044.95000000001</v>
      </c>
      <c r="AE74" s="303">
        <f t="shared" si="34"/>
        <v>108044.95000000001</v>
      </c>
      <c r="AF74" s="303">
        <f>(SUM($K$5:$K$6)*2000)+(AF73*0.06)/2+(AF73*0.04)/2</f>
        <v>104044.95000000001</v>
      </c>
      <c r="AG74" s="303">
        <f t="shared" ref="AG74:AJ74" si="35">(SUM($K$4:$K$6)*2000)+(AG73*0.06)/2+(AG73*0.04)/2</f>
        <v>108044.95000000001</v>
      </c>
      <c r="AH74" s="303">
        <f t="shared" si="35"/>
        <v>108044.95000000001</v>
      </c>
      <c r="AI74" s="303">
        <f t="shared" si="35"/>
        <v>90435.96</v>
      </c>
      <c r="AJ74" s="303">
        <f t="shared" si="35"/>
        <v>55217.98</v>
      </c>
      <c r="AK74" s="303">
        <f>IF(AK72=0,0,(SUM($K$4:$K$6)*2000)+(AK73*0.06)/2+(AK73*0.04)/2)</f>
        <v>0</v>
      </c>
    </row>
    <row r="75" spans="2:38" ht="15" thickBot="1">
      <c r="B75" s="304"/>
      <c r="C75" s="237"/>
      <c r="D75" s="237"/>
      <c r="E75" s="237"/>
      <c r="F75" s="23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  <c r="AC75" s="237"/>
      <c r="AD75" s="237"/>
      <c r="AE75" s="237"/>
      <c r="AF75" s="237"/>
      <c r="AG75" s="237"/>
      <c r="AH75" s="237"/>
      <c r="AI75" s="237"/>
      <c r="AJ75" s="237"/>
      <c r="AK75" s="237"/>
    </row>
    <row r="77" spans="2:38">
      <c r="C77" s="268"/>
      <c r="D77" s="268" t="s">
        <v>267</v>
      </c>
      <c r="E77" s="268" t="s">
        <v>268</v>
      </c>
      <c r="F77" s="268" t="s">
        <v>269</v>
      </c>
      <c r="G77" s="268" t="s">
        <v>270</v>
      </c>
      <c r="H77" s="268" t="s">
        <v>271</v>
      </c>
      <c r="I77" s="268" t="s">
        <v>272</v>
      </c>
      <c r="J77" s="268" t="s">
        <v>273</v>
      </c>
      <c r="K77" s="268" t="s">
        <v>274</v>
      </c>
      <c r="L77" s="268" t="s">
        <v>275</v>
      </c>
      <c r="M77" s="268" t="s">
        <v>276</v>
      </c>
      <c r="N77" s="268" t="s">
        <v>277</v>
      </c>
      <c r="O77" s="268" t="s">
        <v>278</v>
      </c>
      <c r="P77" s="268" t="s">
        <v>279</v>
      </c>
      <c r="Q77" s="268" t="s">
        <v>280</v>
      </c>
      <c r="R77" s="268" t="s">
        <v>281</v>
      </c>
      <c r="S77" s="268" t="s">
        <v>282</v>
      </c>
      <c r="T77" s="268" t="s">
        <v>283</v>
      </c>
      <c r="U77" s="268" t="s">
        <v>284</v>
      </c>
      <c r="V77" s="268" t="s">
        <v>285</v>
      </c>
      <c r="W77" s="268" t="s">
        <v>286</v>
      </c>
      <c r="X77" s="268" t="s">
        <v>287</v>
      </c>
      <c r="Y77" s="268" t="s">
        <v>288</v>
      </c>
      <c r="Z77" s="268" t="s">
        <v>289</v>
      </c>
      <c r="AA77" s="268" t="s">
        <v>290</v>
      </c>
      <c r="AB77" s="268" t="s">
        <v>291</v>
      </c>
      <c r="AC77" s="268" t="s">
        <v>292</v>
      </c>
      <c r="AD77" s="268" t="s">
        <v>293</v>
      </c>
      <c r="AE77" s="268" t="s">
        <v>294</v>
      </c>
      <c r="AF77" s="268" t="s">
        <v>295</v>
      </c>
      <c r="AG77" s="268" t="s">
        <v>296</v>
      </c>
      <c r="AH77" s="268" t="s">
        <v>297</v>
      </c>
      <c r="AI77" s="268" t="s">
        <v>298</v>
      </c>
      <c r="AJ77" s="268" t="s">
        <v>299</v>
      </c>
      <c r="AK77" s="268" t="s">
        <v>300</v>
      </c>
    </row>
    <row r="79" spans="2:38">
      <c r="B79" s="142" t="s">
        <v>341</v>
      </c>
      <c r="D79" s="146">
        <f>D33+D34+D41+D67+D74</f>
        <v>1523757.0961866667</v>
      </c>
      <c r="E79" s="146">
        <f t="shared" ref="E79:AK79" si="36">E33+E34+E41+E67+E74</f>
        <v>444682.1915066666</v>
      </c>
      <c r="F79" s="146">
        <f>F33+F34+F41+F67+F74</f>
        <v>513626.05550666671</v>
      </c>
      <c r="G79" s="146">
        <f t="shared" si="36"/>
        <v>517042.79872000002</v>
      </c>
      <c r="H79" s="146">
        <f t="shared" si="36"/>
        <v>510155.14153266669</v>
      </c>
      <c r="I79" s="146">
        <f t="shared" si="36"/>
        <v>510501.95073344669</v>
      </c>
      <c r="J79" s="146">
        <f t="shared" si="36"/>
        <v>565092.26722358353</v>
      </c>
      <c r="K79" s="146">
        <f t="shared" si="36"/>
        <v>524136.09409135761</v>
      </c>
      <c r="L79" s="146">
        <f t="shared" si="36"/>
        <v>545442.33186889836</v>
      </c>
      <c r="M79" s="146">
        <f t="shared" si="36"/>
        <v>589020.85979309864</v>
      </c>
      <c r="N79" s="146">
        <f t="shared" si="36"/>
        <v>372402.17849023279</v>
      </c>
      <c r="O79" s="146">
        <f t="shared" si="36"/>
        <v>368856.39879973978</v>
      </c>
      <c r="P79" s="146">
        <f t="shared" si="36"/>
        <v>427437.34873186529</v>
      </c>
      <c r="Q79" s="146">
        <f t="shared" si="36"/>
        <v>382351.52804488788</v>
      </c>
      <c r="R79" s="146">
        <f t="shared" si="36"/>
        <v>399404.22884103458</v>
      </c>
      <c r="S79" s="146">
        <f t="shared" si="36"/>
        <v>438601.61367439892</v>
      </c>
      <c r="T79" s="146">
        <f t="shared" si="36"/>
        <v>414150.72093569761</v>
      </c>
      <c r="U79" s="146">
        <f t="shared" si="36"/>
        <v>411857.3975185685</v>
      </c>
      <c r="V79" s="146">
        <f t="shared" si="36"/>
        <v>471728.37741225888</v>
      </c>
      <c r="W79" s="146">
        <f t="shared" si="36"/>
        <v>427971.28758569335</v>
      </c>
      <c r="X79" s="146">
        <f t="shared" si="36"/>
        <v>446392.58116806421</v>
      </c>
      <c r="Y79" s="146">
        <f t="shared" si="36"/>
        <v>486999.61657123943</v>
      </c>
      <c r="Z79" s="146">
        <f t="shared" si="36"/>
        <v>464000.66391944332</v>
      </c>
      <c r="AA79" s="146">
        <f t="shared" si="36"/>
        <v>463202.83879182668</v>
      </c>
      <c r="AB79" s="146">
        <f t="shared" si="36"/>
        <v>524614.1819237147</v>
      </c>
      <c r="AC79" s="146">
        <f t="shared" si="36"/>
        <v>445727.11472582625</v>
      </c>
      <c r="AD79" s="146">
        <f t="shared" si="36"/>
        <v>480782.57966760098</v>
      </c>
      <c r="AE79" s="146">
        <f t="shared" si="36"/>
        <v>466139.70855762908</v>
      </c>
      <c r="AF79" s="146">
        <f t="shared" si="36"/>
        <v>497807.55131435796</v>
      </c>
      <c r="AG79" s="146">
        <f t="shared" si="36"/>
        <v>487795.42935378873</v>
      </c>
      <c r="AH79" s="146">
        <f t="shared" si="36"/>
        <v>524112.94373440236</v>
      </c>
      <c r="AI79" s="146">
        <f t="shared" si="36"/>
        <v>493160.99354643445</v>
      </c>
      <c r="AJ79" s="146">
        <f t="shared" si="36"/>
        <v>494949.76455282746</v>
      </c>
      <c r="AK79" s="146">
        <f t="shared" si="36"/>
        <v>0</v>
      </c>
    </row>
    <row r="80" spans="2:38"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</row>
    <row r="81" spans="1:37">
      <c r="A81" s="305" t="s">
        <v>362</v>
      </c>
      <c r="B81" s="305"/>
      <c r="C81" s="147" t="s">
        <v>363</v>
      </c>
      <c r="D81" s="306">
        <v>2021</v>
      </c>
      <c r="E81" s="306">
        <v>2022</v>
      </c>
      <c r="F81" s="306">
        <v>2023</v>
      </c>
      <c r="G81" s="306">
        <v>2024</v>
      </c>
      <c r="H81" s="306">
        <v>2025</v>
      </c>
      <c r="I81" s="306">
        <v>2026</v>
      </c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</row>
    <row r="82" spans="1:37">
      <c r="A82" s="147" t="s">
        <v>364</v>
      </c>
      <c r="B82" s="307">
        <f>(D33+D34)/1000</f>
        <v>700</v>
      </c>
      <c r="C82" s="147"/>
      <c r="D82" s="147"/>
      <c r="E82" s="147"/>
      <c r="F82" s="147"/>
      <c r="G82" s="147"/>
      <c r="H82" s="147"/>
      <c r="I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</row>
    <row r="83" spans="1:37">
      <c r="A83" s="147" t="s">
        <v>10</v>
      </c>
      <c r="B83" s="308">
        <v>0.25345000000000001</v>
      </c>
      <c r="C83" s="147" t="s">
        <v>365</v>
      </c>
      <c r="D83" s="148">
        <f>$B$82*A87</f>
        <v>140</v>
      </c>
      <c r="E83" s="148">
        <f>$B$82*A88</f>
        <v>224</v>
      </c>
      <c r="F83" s="148">
        <f>$B$82*A89</f>
        <v>134.4</v>
      </c>
      <c r="G83" s="148">
        <f>$B$82*A90</f>
        <v>80.64</v>
      </c>
      <c r="H83" s="148">
        <f>B82-SUM(D83:G83)</f>
        <v>120.96000000000004</v>
      </c>
      <c r="I83" s="148">
        <v>0</v>
      </c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</row>
    <row r="84" spans="1:37">
      <c r="A84" s="147" t="s">
        <v>366</v>
      </c>
      <c r="B84" s="308">
        <v>8.9399999999999993E-2</v>
      </c>
      <c r="C84" s="147" t="s">
        <v>367</v>
      </c>
      <c r="D84" s="148">
        <f>$B$82/5</f>
        <v>140</v>
      </c>
      <c r="E84" s="148">
        <f>$B$82/5</f>
        <v>140</v>
      </c>
      <c r="F84" s="148">
        <f>$B$82/5</f>
        <v>140</v>
      </c>
      <c r="G84" s="148">
        <f>$B$82/5</f>
        <v>140</v>
      </c>
      <c r="H84" s="148">
        <f>$B$82/5</f>
        <v>140</v>
      </c>
      <c r="I84" s="148">
        <v>0</v>
      </c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</row>
    <row r="85" spans="1:37">
      <c r="A85" s="147"/>
      <c r="B85" s="147"/>
      <c r="C85" s="147" t="s">
        <v>368</v>
      </c>
      <c r="D85" s="148">
        <f>D83-D84</f>
        <v>0</v>
      </c>
      <c r="E85" s="148">
        <f t="shared" ref="E85:I85" si="37">E83-E84</f>
        <v>84</v>
      </c>
      <c r="F85" s="148">
        <f t="shared" si="37"/>
        <v>-5.5999999999999943</v>
      </c>
      <c r="G85" s="148">
        <f t="shared" si="37"/>
        <v>-59.36</v>
      </c>
      <c r="H85" s="148">
        <f t="shared" si="37"/>
        <v>-19.039999999999964</v>
      </c>
      <c r="I85" s="148">
        <f t="shared" si="37"/>
        <v>0</v>
      </c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</row>
    <row r="86" spans="1:37">
      <c r="A86" s="305" t="s">
        <v>369</v>
      </c>
      <c r="B86" s="147"/>
      <c r="C86" s="147" t="s">
        <v>370</v>
      </c>
      <c r="D86" s="148">
        <f>D85</f>
        <v>0</v>
      </c>
      <c r="E86" s="148">
        <f>D86+E85</f>
        <v>84</v>
      </c>
      <c r="F86" s="148">
        <f t="shared" ref="F86:I86" si="38">E86+F85</f>
        <v>78.400000000000006</v>
      </c>
      <c r="G86" s="148">
        <f t="shared" si="38"/>
        <v>19.040000000000006</v>
      </c>
      <c r="H86" s="148">
        <f t="shared" si="38"/>
        <v>4.2632564145606011E-14</v>
      </c>
      <c r="I86" s="148">
        <f t="shared" si="38"/>
        <v>4.2632564145606011E-14</v>
      </c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</row>
    <row r="87" spans="1:37">
      <c r="A87" s="309">
        <v>0.2</v>
      </c>
      <c r="B87" s="147"/>
      <c r="C87" s="147" t="s">
        <v>371</v>
      </c>
      <c r="D87" s="148">
        <f t="shared" ref="D87:I87" si="39">$B$83*D86</f>
        <v>0</v>
      </c>
      <c r="E87" s="148">
        <f t="shared" si="39"/>
        <v>21.2898</v>
      </c>
      <c r="F87" s="148">
        <f t="shared" si="39"/>
        <v>19.870480000000001</v>
      </c>
      <c r="G87" s="148">
        <f t="shared" si="39"/>
        <v>4.8256880000000013</v>
      </c>
      <c r="H87" s="148">
        <f t="shared" si="39"/>
        <v>1.0805223382703845E-14</v>
      </c>
      <c r="I87" s="148">
        <f t="shared" si="39"/>
        <v>1.0805223382703845E-14</v>
      </c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</row>
    <row r="88" spans="1:37">
      <c r="A88" s="309">
        <v>0.32</v>
      </c>
      <c r="B88" s="147"/>
      <c r="C88" s="147"/>
      <c r="D88" s="310"/>
      <c r="E88" s="310"/>
      <c r="F88" s="310"/>
      <c r="G88" s="310"/>
      <c r="H88" s="310"/>
      <c r="I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  <c r="AG88" s="147"/>
      <c r="AH88" s="147"/>
      <c r="AI88" s="147"/>
      <c r="AJ88" s="147"/>
      <c r="AK88" s="147"/>
    </row>
    <row r="89" spans="1:37">
      <c r="A89" s="309">
        <v>0.192</v>
      </c>
      <c r="B89" s="147"/>
      <c r="C89" s="147"/>
      <c r="D89" s="310"/>
      <c r="E89" s="310"/>
      <c r="F89" s="310"/>
      <c r="G89" s="310"/>
      <c r="H89" s="310"/>
      <c r="I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  <c r="AE89" s="147"/>
      <c r="AF89" s="147"/>
      <c r="AG89" s="147"/>
      <c r="AH89" s="147"/>
      <c r="AI89" s="147"/>
      <c r="AJ89" s="147"/>
      <c r="AK89" s="147"/>
    </row>
    <row r="90" spans="1:37">
      <c r="A90" s="309">
        <v>0.1152</v>
      </c>
      <c r="B90" s="147"/>
      <c r="C90" s="147" t="s">
        <v>372</v>
      </c>
      <c r="D90" s="148">
        <f t="shared" ref="D90:I90" si="40">$B$82</f>
        <v>700</v>
      </c>
      <c r="E90" s="148">
        <f>D90</f>
        <v>700</v>
      </c>
      <c r="F90" s="148">
        <f>E90</f>
        <v>700</v>
      </c>
      <c r="G90" s="148">
        <f>F90</f>
        <v>700</v>
      </c>
      <c r="H90" s="148">
        <f>G90</f>
        <v>700</v>
      </c>
      <c r="I90" s="148">
        <f t="shared" si="40"/>
        <v>700</v>
      </c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  <c r="AG90" s="147"/>
      <c r="AH90" s="147"/>
      <c r="AI90" s="147"/>
      <c r="AJ90" s="147"/>
      <c r="AK90" s="147"/>
    </row>
    <row r="91" spans="1:37">
      <c r="A91" s="309">
        <v>0.1152</v>
      </c>
      <c r="B91" s="147"/>
      <c r="C91" s="147" t="s">
        <v>367</v>
      </c>
      <c r="D91" s="148">
        <f t="shared" ref="D91:I91" si="41">-D84</f>
        <v>-140</v>
      </c>
      <c r="E91" s="148">
        <f t="shared" si="41"/>
        <v>-140</v>
      </c>
      <c r="F91" s="148">
        <f t="shared" si="41"/>
        <v>-140</v>
      </c>
      <c r="G91" s="148">
        <f t="shared" si="41"/>
        <v>-140</v>
      </c>
      <c r="H91" s="148">
        <f t="shared" si="41"/>
        <v>-140</v>
      </c>
      <c r="I91" s="148">
        <f t="shared" si="41"/>
        <v>0</v>
      </c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</row>
    <row r="92" spans="1:37">
      <c r="A92" s="309">
        <v>5.7599999999999998E-2</v>
      </c>
      <c r="B92" s="147"/>
      <c r="C92" s="147" t="s">
        <v>373</v>
      </c>
      <c r="D92" s="148">
        <f>D91</f>
        <v>-140</v>
      </c>
      <c r="E92" s="148">
        <f>D92+E91</f>
        <v>-280</v>
      </c>
      <c r="F92" s="148">
        <f t="shared" ref="F92:I92" si="42">E92+F91</f>
        <v>-420</v>
      </c>
      <c r="G92" s="148">
        <f t="shared" si="42"/>
        <v>-560</v>
      </c>
      <c r="H92" s="148">
        <f t="shared" si="42"/>
        <v>-700</v>
      </c>
      <c r="I92" s="148">
        <f t="shared" si="42"/>
        <v>-700</v>
      </c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</row>
    <row r="93" spans="1:37">
      <c r="B93" s="147"/>
      <c r="C93" s="147" t="s">
        <v>374</v>
      </c>
      <c r="D93" s="148">
        <f>D90+D92</f>
        <v>560</v>
      </c>
      <c r="E93" s="148">
        <f t="shared" ref="E93:I93" si="43">E90+E92</f>
        <v>420</v>
      </c>
      <c r="F93" s="148">
        <f t="shared" si="43"/>
        <v>280</v>
      </c>
      <c r="G93" s="148">
        <f t="shared" si="43"/>
        <v>140</v>
      </c>
      <c r="H93" s="148">
        <f t="shared" si="43"/>
        <v>0</v>
      </c>
      <c r="I93" s="148">
        <f t="shared" si="43"/>
        <v>0</v>
      </c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</row>
    <row r="94" spans="1:37">
      <c r="B94" s="147"/>
      <c r="C94" s="147" t="s">
        <v>371</v>
      </c>
      <c r="D94" s="148">
        <f>D87</f>
        <v>0</v>
      </c>
      <c r="E94" s="148">
        <f t="shared" ref="E94:I94" si="44">E87</f>
        <v>21.2898</v>
      </c>
      <c r="F94" s="148">
        <f t="shared" si="44"/>
        <v>19.870480000000001</v>
      </c>
      <c r="G94" s="148">
        <f t="shared" si="44"/>
        <v>4.8256880000000013</v>
      </c>
      <c r="H94" s="148">
        <f t="shared" si="44"/>
        <v>1.0805223382703845E-14</v>
      </c>
      <c r="I94" s="148">
        <f t="shared" si="44"/>
        <v>1.0805223382703845E-14</v>
      </c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</row>
    <row r="95" spans="1:37">
      <c r="B95" s="147"/>
      <c r="C95" s="147" t="s">
        <v>375</v>
      </c>
      <c r="D95" s="148">
        <f>D93-D94</f>
        <v>560</v>
      </c>
      <c r="E95" s="148">
        <f t="shared" ref="E95:I95" si="45">E93-E94</f>
        <v>398.71019999999999</v>
      </c>
      <c r="F95" s="148">
        <f t="shared" si="45"/>
        <v>260.12952000000001</v>
      </c>
      <c r="G95" s="148">
        <f t="shared" si="45"/>
        <v>135.17431199999999</v>
      </c>
      <c r="H95" s="148">
        <f t="shared" si="45"/>
        <v>-1.0805223382703845E-14</v>
      </c>
      <c r="I95" s="148">
        <f t="shared" si="45"/>
        <v>-1.0805223382703845E-14</v>
      </c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</row>
    <row r="96" spans="1:37">
      <c r="B96" s="147"/>
      <c r="C96" s="147" t="s">
        <v>376</v>
      </c>
      <c r="D96" s="148">
        <f>AVERAGE(D90,D95)*$B$84</f>
        <v>56.321999999999996</v>
      </c>
      <c r="E96" s="148">
        <f>AVERAGE(D95,E95)*$B$84</f>
        <v>42.854345939999995</v>
      </c>
      <c r="F96" s="148">
        <f>AVERAGE(E95,F95)*$B$84</f>
        <v>29.450135483999997</v>
      </c>
      <c r="G96" s="148">
        <f>AVERAGE(F95,G95)*$B$84</f>
        <v>17.670081290399999</v>
      </c>
      <c r="H96" s="148">
        <f>AVERAGE(G95,H95)*$B$84</f>
        <v>6.0422917463999992</v>
      </c>
      <c r="I96" s="148">
        <f>AVERAGE(H95,I95)*$B$84</f>
        <v>-9.6598697041372372E-16</v>
      </c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</row>
    <row r="97" spans="1:37">
      <c r="B97" s="147"/>
      <c r="C97" s="147"/>
      <c r="D97" s="147"/>
      <c r="E97" s="147"/>
      <c r="F97" s="147"/>
      <c r="G97" s="147"/>
      <c r="H97" s="147"/>
      <c r="I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</row>
    <row r="98" spans="1:37">
      <c r="B98" s="147"/>
      <c r="C98" s="147" t="s">
        <v>376</v>
      </c>
      <c r="D98" s="148">
        <f>D96</f>
        <v>56.321999999999996</v>
      </c>
      <c r="E98" s="148">
        <f t="shared" ref="E98:I98" si="46">E96</f>
        <v>42.854345939999995</v>
      </c>
      <c r="F98" s="148">
        <f t="shared" si="46"/>
        <v>29.450135483999997</v>
      </c>
      <c r="G98" s="148">
        <f t="shared" si="46"/>
        <v>17.670081290399999</v>
      </c>
      <c r="H98" s="148">
        <f t="shared" si="46"/>
        <v>6.0422917463999992</v>
      </c>
      <c r="I98" s="148">
        <f t="shared" si="46"/>
        <v>-9.6598697041372372E-16</v>
      </c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</row>
    <row r="99" spans="1:37">
      <c r="B99" s="147"/>
      <c r="C99" s="147" t="s">
        <v>367</v>
      </c>
      <c r="D99" s="148">
        <f>D84</f>
        <v>140</v>
      </c>
      <c r="E99" s="148">
        <f t="shared" ref="E99:I99" si="47">E84</f>
        <v>140</v>
      </c>
      <c r="F99" s="148">
        <f t="shared" si="47"/>
        <v>140</v>
      </c>
      <c r="G99" s="148">
        <f t="shared" si="47"/>
        <v>140</v>
      </c>
      <c r="H99" s="148">
        <f t="shared" si="47"/>
        <v>140</v>
      </c>
      <c r="I99" s="148">
        <f t="shared" si="47"/>
        <v>0</v>
      </c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</row>
    <row r="100" spans="1:37">
      <c r="B100" s="147"/>
      <c r="C100" s="147" t="s">
        <v>377</v>
      </c>
      <c r="D100" s="148">
        <f>D98+D99</f>
        <v>196.322</v>
      </c>
      <c r="E100" s="148">
        <f t="shared" ref="E100:I100" si="48">E98+E99</f>
        <v>182.85434594</v>
      </c>
      <c r="F100" s="148">
        <f t="shared" si="48"/>
        <v>169.45013548399999</v>
      </c>
      <c r="G100" s="148">
        <f t="shared" si="48"/>
        <v>157.67008129039999</v>
      </c>
      <c r="H100" s="148">
        <f t="shared" si="48"/>
        <v>146.0422917464</v>
      </c>
      <c r="I100" s="148">
        <f t="shared" si="48"/>
        <v>-9.6598697041372372E-16</v>
      </c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</row>
    <row r="101" spans="1:37"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</row>
    <row r="102" spans="1:37">
      <c r="B102" s="311" t="s">
        <v>378</v>
      </c>
      <c r="C102" s="147"/>
      <c r="D102" s="147">
        <v>1</v>
      </c>
      <c r="E102" s="147">
        <v>2</v>
      </c>
      <c r="F102" s="147">
        <v>3</v>
      </c>
      <c r="G102" s="147">
        <v>4</v>
      </c>
      <c r="H102" s="147">
        <v>5</v>
      </c>
      <c r="I102" s="147">
        <v>6</v>
      </c>
      <c r="J102" s="147">
        <v>7</v>
      </c>
      <c r="K102" s="147">
        <v>8</v>
      </c>
      <c r="L102" s="147">
        <v>9</v>
      </c>
      <c r="M102" s="147">
        <v>10</v>
      </c>
      <c r="N102" s="147">
        <v>11</v>
      </c>
      <c r="O102" s="147">
        <v>12</v>
      </c>
      <c r="P102" s="147">
        <v>13</v>
      </c>
      <c r="Q102" s="147">
        <v>14</v>
      </c>
      <c r="R102" s="147">
        <v>15</v>
      </c>
      <c r="S102" s="147">
        <v>16</v>
      </c>
      <c r="T102" s="147">
        <v>17</v>
      </c>
      <c r="U102" s="147">
        <v>18</v>
      </c>
      <c r="V102" s="147">
        <v>19</v>
      </c>
      <c r="W102" s="147">
        <v>20</v>
      </c>
      <c r="X102" s="147">
        <v>21</v>
      </c>
      <c r="Y102" s="147">
        <v>22</v>
      </c>
      <c r="Z102" s="147">
        <v>23</v>
      </c>
      <c r="AA102" s="147">
        <v>24</v>
      </c>
      <c r="AB102" s="147">
        <v>25</v>
      </c>
      <c r="AC102" s="147">
        <v>26</v>
      </c>
      <c r="AD102" s="147">
        <v>27</v>
      </c>
      <c r="AE102" s="147">
        <v>28</v>
      </c>
      <c r="AF102" s="147">
        <v>29</v>
      </c>
      <c r="AG102" s="147">
        <v>30</v>
      </c>
      <c r="AH102" s="147">
        <v>31</v>
      </c>
      <c r="AI102" s="147">
        <v>32</v>
      </c>
      <c r="AJ102" s="147">
        <v>33</v>
      </c>
    </row>
    <row r="103" spans="1:37">
      <c r="B103" s="147"/>
      <c r="C103" s="147" t="s">
        <v>379</v>
      </c>
      <c r="D103" s="310">
        <f t="shared" ref="D103:I103" si="49">D100*1000</f>
        <v>196322</v>
      </c>
      <c r="E103" s="310">
        <f t="shared" si="49"/>
        <v>182854.34594</v>
      </c>
      <c r="F103" s="310">
        <f t="shared" si="49"/>
        <v>169450.135484</v>
      </c>
      <c r="G103" s="310">
        <f t="shared" si="49"/>
        <v>157670.0812904</v>
      </c>
      <c r="H103" s="310">
        <f t="shared" si="49"/>
        <v>146042.29174640001</v>
      </c>
      <c r="I103" s="310">
        <f t="shared" si="49"/>
        <v>-9.6598697041372363E-13</v>
      </c>
      <c r="J103" s="310">
        <f t="shared" ref="J103:AJ103" si="50">K100*1000</f>
        <v>0</v>
      </c>
      <c r="K103" s="310">
        <f t="shared" si="50"/>
        <v>0</v>
      </c>
      <c r="L103" s="310">
        <f t="shared" si="50"/>
        <v>0</v>
      </c>
      <c r="M103" s="310">
        <f t="shared" si="50"/>
        <v>0</v>
      </c>
      <c r="N103" s="310">
        <f t="shared" si="50"/>
        <v>0</v>
      </c>
      <c r="O103" s="310">
        <f t="shared" si="50"/>
        <v>0</v>
      </c>
      <c r="P103" s="310">
        <f t="shared" si="50"/>
        <v>0</v>
      </c>
      <c r="Q103" s="310">
        <f t="shared" si="50"/>
        <v>0</v>
      </c>
      <c r="R103" s="310">
        <f t="shared" si="50"/>
        <v>0</v>
      </c>
      <c r="S103" s="310">
        <f t="shared" si="50"/>
        <v>0</v>
      </c>
      <c r="T103" s="310">
        <f t="shared" si="50"/>
        <v>0</v>
      </c>
      <c r="U103" s="310">
        <f t="shared" si="50"/>
        <v>0</v>
      </c>
      <c r="V103" s="310">
        <f t="shared" si="50"/>
        <v>0</v>
      </c>
      <c r="W103" s="310">
        <f t="shared" si="50"/>
        <v>0</v>
      </c>
      <c r="X103" s="310">
        <f t="shared" si="50"/>
        <v>0</v>
      </c>
      <c r="Y103" s="310">
        <f t="shared" si="50"/>
        <v>0</v>
      </c>
      <c r="Z103" s="310">
        <f t="shared" si="50"/>
        <v>0</v>
      </c>
      <c r="AA103" s="310">
        <f t="shared" si="50"/>
        <v>0</v>
      </c>
      <c r="AB103" s="310">
        <f t="shared" si="50"/>
        <v>0</v>
      </c>
      <c r="AC103" s="310">
        <f t="shared" si="50"/>
        <v>0</v>
      </c>
      <c r="AD103" s="310">
        <f t="shared" si="50"/>
        <v>0</v>
      </c>
      <c r="AE103" s="310">
        <f t="shared" si="50"/>
        <v>0</v>
      </c>
      <c r="AF103" s="310">
        <f t="shared" si="50"/>
        <v>0</v>
      </c>
      <c r="AG103" s="310">
        <f t="shared" si="50"/>
        <v>0</v>
      </c>
      <c r="AH103" s="310">
        <f t="shared" si="50"/>
        <v>0</v>
      </c>
      <c r="AI103" s="310">
        <f t="shared" si="50"/>
        <v>0</v>
      </c>
      <c r="AJ103" s="310">
        <f t="shared" si="50"/>
        <v>0</v>
      </c>
    </row>
    <row r="104" spans="1:37">
      <c r="B104" s="147"/>
      <c r="C104" s="147" t="s">
        <v>380</v>
      </c>
      <c r="D104" s="312">
        <f>D79-D33-D34</f>
        <v>823757.09618666675</v>
      </c>
      <c r="E104" s="312">
        <f t="shared" ref="E104:AJ104" si="51">E79</f>
        <v>444682.1915066666</v>
      </c>
      <c r="F104" s="312">
        <f t="shared" si="51"/>
        <v>513626.05550666671</v>
      </c>
      <c r="G104" s="312">
        <f t="shared" si="51"/>
        <v>517042.79872000002</v>
      </c>
      <c r="H104" s="312">
        <f t="shared" si="51"/>
        <v>510155.14153266669</v>
      </c>
      <c r="I104" s="312">
        <f t="shared" si="51"/>
        <v>510501.95073344669</v>
      </c>
      <c r="J104" s="312">
        <f t="shared" si="51"/>
        <v>565092.26722358353</v>
      </c>
      <c r="K104" s="312">
        <f t="shared" si="51"/>
        <v>524136.09409135761</v>
      </c>
      <c r="L104" s="312">
        <f t="shared" si="51"/>
        <v>545442.33186889836</v>
      </c>
      <c r="M104" s="312">
        <f t="shared" si="51"/>
        <v>589020.85979309864</v>
      </c>
      <c r="N104" s="312">
        <f t="shared" si="51"/>
        <v>372402.17849023279</v>
      </c>
      <c r="O104" s="312">
        <f t="shared" si="51"/>
        <v>368856.39879973978</v>
      </c>
      <c r="P104" s="312">
        <f t="shared" si="51"/>
        <v>427437.34873186529</v>
      </c>
      <c r="Q104" s="312">
        <f t="shared" si="51"/>
        <v>382351.52804488788</v>
      </c>
      <c r="R104" s="312">
        <f t="shared" si="51"/>
        <v>399404.22884103458</v>
      </c>
      <c r="S104" s="312">
        <f t="shared" si="51"/>
        <v>438601.61367439892</v>
      </c>
      <c r="T104" s="312">
        <f t="shared" si="51"/>
        <v>414150.72093569761</v>
      </c>
      <c r="U104" s="312">
        <f t="shared" si="51"/>
        <v>411857.3975185685</v>
      </c>
      <c r="V104" s="312">
        <f t="shared" si="51"/>
        <v>471728.37741225888</v>
      </c>
      <c r="W104" s="312">
        <f t="shared" si="51"/>
        <v>427971.28758569335</v>
      </c>
      <c r="X104" s="312">
        <f t="shared" si="51"/>
        <v>446392.58116806421</v>
      </c>
      <c r="Y104" s="312">
        <f t="shared" si="51"/>
        <v>486999.61657123943</v>
      </c>
      <c r="Z104" s="312">
        <f t="shared" si="51"/>
        <v>464000.66391944332</v>
      </c>
      <c r="AA104" s="312">
        <f t="shared" si="51"/>
        <v>463202.83879182668</v>
      </c>
      <c r="AB104" s="312">
        <f t="shared" si="51"/>
        <v>524614.1819237147</v>
      </c>
      <c r="AC104" s="312">
        <f t="shared" si="51"/>
        <v>445727.11472582625</v>
      </c>
      <c r="AD104" s="312">
        <f t="shared" si="51"/>
        <v>480782.57966760098</v>
      </c>
      <c r="AE104" s="312">
        <f t="shared" si="51"/>
        <v>466139.70855762908</v>
      </c>
      <c r="AF104" s="312">
        <f t="shared" si="51"/>
        <v>497807.55131435796</v>
      </c>
      <c r="AG104" s="312">
        <f t="shared" si="51"/>
        <v>487795.42935378873</v>
      </c>
      <c r="AH104" s="312">
        <f t="shared" si="51"/>
        <v>524112.94373440236</v>
      </c>
      <c r="AI104" s="312">
        <f t="shared" si="51"/>
        <v>493160.99354643445</v>
      </c>
      <c r="AJ104" s="312">
        <f t="shared" si="51"/>
        <v>494949.76455282746</v>
      </c>
    </row>
    <row r="105" spans="1:37">
      <c r="A105" s="313">
        <f>NPV('Financial Information'!$B$5,'Program Admin Budget'!C105:AJ105)*(1+'Financial Information'!$B$5)/1000000</f>
        <v>7.3252053641616302</v>
      </c>
      <c r="B105" s="147" t="s">
        <v>169</v>
      </c>
      <c r="C105" s="142">
        <v>0</v>
      </c>
      <c r="D105" s="310">
        <f>D104+D103</f>
        <v>1020079.0961866667</v>
      </c>
      <c r="E105" s="310">
        <f t="shared" ref="E105:AJ105" si="52">E104+E103</f>
        <v>627536.53744666663</v>
      </c>
      <c r="F105" s="310">
        <f t="shared" si="52"/>
        <v>683076.19099066674</v>
      </c>
      <c r="G105" s="310">
        <f t="shared" si="52"/>
        <v>674712.88001039997</v>
      </c>
      <c r="H105" s="310">
        <f t="shared" si="52"/>
        <v>656197.4332790667</v>
      </c>
      <c r="I105" s="310">
        <f t="shared" si="52"/>
        <v>510501.95073344669</v>
      </c>
      <c r="J105" s="310">
        <f t="shared" si="52"/>
        <v>565092.26722358353</v>
      </c>
      <c r="K105" s="310">
        <f t="shared" si="52"/>
        <v>524136.09409135761</v>
      </c>
      <c r="L105" s="310">
        <f t="shared" si="52"/>
        <v>545442.33186889836</v>
      </c>
      <c r="M105" s="310">
        <f t="shared" si="52"/>
        <v>589020.85979309864</v>
      </c>
      <c r="N105" s="310">
        <f t="shared" si="52"/>
        <v>372402.17849023279</v>
      </c>
      <c r="O105" s="310">
        <f t="shared" si="52"/>
        <v>368856.39879973978</v>
      </c>
      <c r="P105" s="310">
        <f t="shared" si="52"/>
        <v>427437.34873186529</v>
      </c>
      <c r="Q105" s="310">
        <f t="shared" si="52"/>
        <v>382351.52804488788</v>
      </c>
      <c r="R105" s="310">
        <f t="shared" si="52"/>
        <v>399404.22884103458</v>
      </c>
      <c r="S105" s="310">
        <f t="shared" si="52"/>
        <v>438601.61367439892</v>
      </c>
      <c r="T105" s="310">
        <f t="shared" si="52"/>
        <v>414150.72093569761</v>
      </c>
      <c r="U105" s="310">
        <f t="shared" si="52"/>
        <v>411857.3975185685</v>
      </c>
      <c r="V105" s="310">
        <f t="shared" si="52"/>
        <v>471728.37741225888</v>
      </c>
      <c r="W105" s="310">
        <f t="shared" si="52"/>
        <v>427971.28758569335</v>
      </c>
      <c r="X105" s="310">
        <f t="shared" si="52"/>
        <v>446392.58116806421</v>
      </c>
      <c r="Y105" s="310">
        <f t="shared" si="52"/>
        <v>486999.61657123943</v>
      </c>
      <c r="Z105" s="310">
        <f t="shared" si="52"/>
        <v>464000.66391944332</v>
      </c>
      <c r="AA105" s="310">
        <f t="shared" si="52"/>
        <v>463202.83879182668</v>
      </c>
      <c r="AB105" s="310">
        <f t="shared" si="52"/>
        <v>524614.1819237147</v>
      </c>
      <c r="AC105" s="310">
        <f t="shared" si="52"/>
        <v>445727.11472582625</v>
      </c>
      <c r="AD105" s="310">
        <f t="shared" si="52"/>
        <v>480782.57966760098</v>
      </c>
      <c r="AE105" s="310">
        <f t="shared" si="52"/>
        <v>466139.70855762908</v>
      </c>
      <c r="AF105" s="310">
        <f t="shared" si="52"/>
        <v>497807.55131435796</v>
      </c>
      <c r="AG105" s="310">
        <f t="shared" si="52"/>
        <v>487795.42935378873</v>
      </c>
      <c r="AH105" s="310">
        <f t="shared" si="52"/>
        <v>524112.94373440236</v>
      </c>
      <c r="AI105" s="310">
        <f t="shared" si="52"/>
        <v>493160.99354643445</v>
      </c>
      <c r="AJ105" s="310">
        <f t="shared" si="52"/>
        <v>494949.76455282746</v>
      </c>
    </row>
  </sheetData>
  <mergeCells count="8">
    <mergeCell ref="AM3:AN3"/>
    <mergeCell ref="AB10:AH10"/>
    <mergeCell ref="B31:N31"/>
    <mergeCell ref="B43:N43"/>
    <mergeCell ref="B2:N2"/>
    <mergeCell ref="P3:Q3"/>
    <mergeCell ref="B10:N10"/>
    <mergeCell ref="O10:AA10"/>
  </mergeCells>
  <dataValidations count="1">
    <dataValidation type="list" allowBlank="1" showInputMessage="1" showErrorMessage="1" sqref="J5:J6" xr:uid="{CA2B151C-7DF6-4763-A83F-64EC42497D5D}">
      <formula1>$AM$5:$AM$16</formula1>
    </dataValidation>
  </dataValidations>
  <pageMargins left="0.7" right="0.7" top="0.75" bottom="0.75" header="0.3" footer="0.3"/>
  <pageSetup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B40"/>
  <sheetViews>
    <sheetView workbookViewId="0">
      <selection activeCell="A5" sqref="A5:BB5"/>
    </sheetView>
  </sheetViews>
  <sheetFormatPr defaultColWidth="8.90625" defaultRowHeight="14.5"/>
  <cols>
    <col min="1" max="2" width="11.90625" style="6" bestFit="1" customWidth="1"/>
    <col min="3" max="3" width="15.08984375" style="6" bestFit="1" customWidth="1"/>
    <col min="4" max="10" width="8.36328125" style="6" bestFit="1" customWidth="1"/>
    <col min="11" max="15" width="8.08984375" style="6" bestFit="1" customWidth="1"/>
    <col min="16" max="35" width="8" style="6" bestFit="1" customWidth="1"/>
    <col min="36" max="36" width="5.08984375" style="6" bestFit="1" customWidth="1"/>
    <col min="37" max="16384" width="8.90625" style="6"/>
  </cols>
  <sheetData>
    <row r="1" spans="1:54">
      <c r="A1" s="385" t="s">
        <v>230</v>
      </c>
      <c r="B1" s="385" t="s">
        <v>5</v>
      </c>
      <c r="D1" s="385">
        <v>2019</v>
      </c>
      <c r="E1" s="385">
        <f t="shared" ref="E1:BB1" si="0">D1+1</f>
        <v>2020</v>
      </c>
      <c r="F1" s="385">
        <f t="shared" si="0"/>
        <v>2021</v>
      </c>
      <c r="G1" s="385">
        <f t="shared" si="0"/>
        <v>2022</v>
      </c>
      <c r="H1" s="385">
        <f t="shared" si="0"/>
        <v>2023</v>
      </c>
      <c r="I1" s="385">
        <f t="shared" si="0"/>
        <v>2024</v>
      </c>
      <c r="J1" s="385">
        <f t="shared" si="0"/>
        <v>2025</v>
      </c>
      <c r="K1" s="385">
        <f t="shared" si="0"/>
        <v>2026</v>
      </c>
      <c r="L1" s="385">
        <f t="shared" si="0"/>
        <v>2027</v>
      </c>
      <c r="M1" s="385">
        <f t="shared" si="0"/>
        <v>2028</v>
      </c>
      <c r="N1" s="385">
        <f t="shared" si="0"/>
        <v>2029</v>
      </c>
      <c r="O1" s="385">
        <f t="shared" si="0"/>
        <v>2030</v>
      </c>
      <c r="P1" s="385">
        <f t="shared" si="0"/>
        <v>2031</v>
      </c>
      <c r="Q1" s="385">
        <f t="shared" si="0"/>
        <v>2032</v>
      </c>
      <c r="R1" s="385">
        <f t="shared" si="0"/>
        <v>2033</v>
      </c>
      <c r="S1" s="385">
        <f t="shared" si="0"/>
        <v>2034</v>
      </c>
      <c r="T1" s="385">
        <f t="shared" si="0"/>
        <v>2035</v>
      </c>
      <c r="U1" s="385">
        <f t="shared" si="0"/>
        <v>2036</v>
      </c>
      <c r="V1" s="385">
        <f t="shared" si="0"/>
        <v>2037</v>
      </c>
      <c r="W1" s="385">
        <f t="shared" si="0"/>
        <v>2038</v>
      </c>
      <c r="X1" s="385">
        <f t="shared" si="0"/>
        <v>2039</v>
      </c>
      <c r="Y1" s="385">
        <f t="shared" si="0"/>
        <v>2040</v>
      </c>
      <c r="Z1" s="385">
        <f t="shared" si="0"/>
        <v>2041</v>
      </c>
      <c r="AA1" s="385">
        <f t="shared" si="0"/>
        <v>2042</v>
      </c>
      <c r="AB1" s="385">
        <f t="shared" si="0"/>
        <v>2043</v>
      </c>
      <c r="AC1" s="385">
        <f t="shared" si="0"/>
        <v>2044</v>
      </c>
      <c r="AD1" s="385">
        <f t="shared" si="0"/>
        <v>2045</v>
      </c>
      <c r="AE1" s="385">
        <f t="shared" si="0"/>
        <v>2046</v>
      </c>
      <c r="AF1" s="385">
        <f t="shared" si="0"/>
        <v>2047</v>
      </c>
      <c r="AG1" s="385">
        <f t="shared" si="0"/>
        <v>2048</v>
      </c>
      <c r="AH1" s="385">
        <f t="shared" si="0"/>
        <v>2049</v>
      </c>
      <c r="AI1" s="385">
        <f t="shared" si="0"/>
        <v>2050</v>
      </c>
      <c r="AJ1" s="385">
        <f t="shared" si="0"/>
        <v>2051</v>
      </c>
      <c r="AK1" s="385">
        <f t="shared" si="0"/>
        <v>2052</v>
      </c>
      <c r="AL1" s="385">
        <f t="shared" si="0"/>
        <v>2053</v>
      </c>
      <c r="AM1" s="385">
        <f t="shared" si="0"/>
        <v>2054</v>
      </c>
      <c r="AN1" s="385">
        <f t="shared" si="0"/>
        <v>2055</v>
      </c>
      <c r="AO1" s="385">
        <f t="shared" si="0"/>
        <v>2056</v>
      </c>
      <c r="AP1" s="385">
        <f t="shared" si="0"/>
        <v>2057</v>
      </c>
      <c r="AQ1" s="385">
        <f t="shared" si="0"/>
        <v>2058</v>
      </c>
      <c r="AR1" s="385">
        <f t="shared" si="0"/>
        <v>2059</v>
      </c>
      <c r="AS1" s="385">
        <f t="shared" si="0"/>
        <v>2060</v>
      </c>
      <c r="AT1" s="385">
        <f t="shared" si="0"/>
        <v>2061</v>
      </c>
      <c r="AU1" s="385">
        <f t="shared" si="0"/>
        <v>2062</v>
      </c>
      <c r="AV1" s="385">
        <f t="shared" si="0"/>
        <v>2063</v>
      </c>
      <c r="AW1" s="385">
        <f t="shared" si="0"/>
        <v>2064</v>
      </c>
      <c r="AX1" s="385">
        <f t="shared" si="0"/>
        <v>2065</v>
      </c>
      <c r="AY1" s="385">
        <f t="shared" si="0"/>
        <v>2066</v>
      </c>
      <c r="AZ1" s="385">
        <f t="shared" si="0"/>
        <v>2067</v>
      </c>
      <c r="BA1" s="385">
        <f t="shared" si="0"/>
        <v>2068</v>
      </c>
      <c r="BB1" s="385">
        <f t="shared" si="0"/>
        <v>2069</v>
      </c>
    </row>
    <row r="2" spans="1:54">
      <c r="A2" s="38">
        <f>NPV('Financial Information'!$B$5,$E2:$AL2)*(1+'Financial Information'!$B$5)</f>
        <v>108986.93633025789</v>
      </c>
      <c r="B2" s="24">
        <f>NPV('Financial Information'!$B$5,$E2:$BB2)*(1+'Financial Information'!$B$5)</f>
        <v>108986.93633025789</v>
      </c>
      <c r="C2" s="6" t="s">
        <v>0</v>
      </c>
      <c r="D2" s="15">
        <v>13569.506143447386</v>
      </c>
      <c r="E2" s="15">
        <v>12773.878761071042</v>
      </c>
      <c r="F2" s="15">
        <v>12257.954157459784</v>
      </c>
      <c r="G2" s="15">
        <v>11626.292317708161</v>
      </c>
      <c r="H2" s="15">
        <v>11197.52078041833</v>
      </c>
      <c r="I2" s="15">
        <v>10793.169816582806</v>
      </c>
      <c r="J2" s="15">
        <v>8588.4737933174674</v>
      </c>
      <c r="K2" s="15">
        <v>8309.4080692780717</v>
      </c>
      <c r="L2" s="15">
        <v>8034.1504760868993</v>
      </c>
      <c r="M2" s="15">
        <v>7722.1517466140758</v>
      </c>
      <c r="N2" s="15">
        <v>7447.8329392714377</v>
      </c>
      <c r="O2" s="15">
        <v>7173.8778391859578</v>
      </c>
      <c r="P2" s="15">
        <v>6900.4871242904037</v>
      </c>
      <c r="Q2" s="15">
        <v>6630.4136870521525</v>
      </c>
      <c r="R2" s="15">
        <v>6365.1556564360144</v>
      </c>
      <c r="S2" s="15">
        <v>6091.7595703333336</v>
      </c>
      <c r="T2" s="15">
        <v>5817.8757350904734</v>
      </c>
      <c r="U2" s="15">
        <v>5543.7990208742667</v>
      </c>
      <c r="V2" s="15">
        <v>5271.9871800708261</v>
      </c>
      <c r="W2" s="15">
        <v>5003.3721184611095</v>
      </c>
      <c r="X2" s="15">
        <v>4728.4363328765885</v>
      </c>
      <c r="Y2" s="15">
        <v>4452.7050051208771</v>
      </c>
      <c r="Z2" s="15">
        <v>4176.3965357100024</v>
      </c>
      <c r="AA2" s="15">
        <v>3902.0794402897277</v>
      </c>
      <c r="AB2" s="15">
        <v>3630.5362625737876</v>
      </c>
      <c r="AC2" s="15">
        <v>3352.5277048891353</v>
      </c>
      <c r="AD2" s="15">
        <v>3074.5353274698791</v>
      </c>
      <c r="AE2" s="15">
        <v>2798.0167503457224</v>
      </c>
      <c r="AF2" s="15">
        <v>2528.2940785211572</v>
      </c>
      <c r="AG2" s="15">
        <v>4527.4348855518201</v>
      </c>
      <c r="AH2" s="15">
        <v>1.290534423589631E-11</v>
      </c>
      <c r="AI2" s="15">
        <v>6.452672117948155E-12</v>
      </c>
      <c r="AJ2" s="15">
        <v>0</v>
      </c>
      <c r="AK2" s="15">
        <v>0</v>
      </c>
      <c r="AL2" s="15">
        <v>0</v>
      </c>
      <c r="AM2" s="15">
        <v>0</v>
      </c>
      <c r="AN2" s="15">
        <v>0</v>
      </c>
      <c r="AO2" s="15">
        <v>0</v>
      </c>
      <c r="AP2" s="15">
        <v>0</v>
      </c>
      <c r="AQ2" s="15">
        <v>0</v>
      </c>
      <c r="AR2" s="15">
        <v>0</v>
      </c>
      <c r="AS2" s="15">
        <v>0</v>
      </c>
      <c r="AT2" s="15">
        <v>0</v>
      </c>
      <c r="AU2" s="15">
        <v>0</v>
      </c>
      <c r="AV2" s="15">
        <v>0</v>
      </c>
      <c r="AW2" s="15">
        <v>0</v>
      </c>
      <c r="AX2" s="15">
        <v>0</v>
      </c>
      <c r="AY2" s="15">
        <v>0</v>
      </c>
      <c r="AZ2" s="15">
        <v>0</v>
      </c>
      <c r="BA2" s="15">
        <v>0</v>
      </c>
      <c r="BB2" s="15">
        <v>0</v>
      </c>
    </row>
    <row r="3" spans="1:54">
      <c r="A3" s="38">
        <f>NPV('Financial Information'!$B$5,$E3:$AL3)*(1+'Financial Information'!$B$5)</f>
        <v>10980.767611022506</v>
      </c>
      <c r="B3" s="24">
        <f>NPV('Financial Information'!$B$5,$E3:$BB3)*(1+'Financial Information'!$B$5)</f>
        <v>10980.767611022506</v>
      </c>
      <c r="C3" s="6" t="s">
        <v>1</v>
      </c>
      <c r="D3" s="15">
        <v>1233.7815350020689</v>
      </c>
      <c r="E3" s="15">
        <v>1198.8931111331158</v>
      </c>
      <c r="F3" s="15">
        <v>1170.348037058518</v>
      </c>
      <c r="G3" s="15">
        <v>1132.2879382923875</v>
      </c>
      <c r="H3" s="15">
        <v>1095.1949536639686</v>
      </c>
      <c r="I3" s="15">
        <v>1058.042155586897</v>
      </c>
      <c r="J3" s="15">
        <v>1020.9527011845721</v>
      </c>
      <c r="K3" s="15">
        <v>983.90353591336702</v>
      </c>
      <c r="L3" s="15">
        <v>943.68399121190714</v>
      </c>
      <c r="M3" s="15">
        <v>897.85474342841326</v>
      </c>
      <c r="N3" s="15">
        <v>857.5428523992025</v>
      </c>
      <c r="O3" s="15">
        <v>807.56229739235505</v>
      </c>
      <c r="P3" s="15">
        <v>757.47819235474299</v>
      </c>
      <c r="Q3" s="15">
        <v>707.27222165014143</v>
      </c>
      <c r="R3" s="15">
        <v>657.58603820692315</v>
      </c>
      <c r="S3" s="15">
        <v>607.03920933292056</v>
      </c>
      <c r="T3" s="15">
        <v>553.09533480888012</v>
      </c>
      <c r="U3" s="15">
        <v>489.24883004178304</v>
      </c>
      <c r="V3" s="15">
        <v>428.42560574537833</v>
      </c>
      <c r="W3" s="15">
        <v>390.48227479838602</v>
      </c>
      <c r="X3" s="15">
        <v>378.10610027081503</v>
      </c>
      <c r="Y3" s="15">
        <v>339.55742905228357</v>
      </c>
      <c r="Z3" s="15">
        <v>330.30187106178346</v>
      </c>
      <c r="AA3" s="15">
        <v>301.34926844489479</v>
      </c>
      <c r="AB3" s="15">
        <v>295.50783410240109</v>
      </c>
      <c r="AC3" s="15">
        <v>272.93290243632015</v>
      </c>
      <c r="AD3" s="15">
        <v>263.44875497164094</v>
      </c>
      <c r="AE3" s="15">
        <v>263.81549531998087</v>
      </c>
      <c r="AF3" s="15">
        <v>264.16744557474772</v>
      </c>
      <c r="AG3" s="15">
        <v>198.54631055591716</v>
      </c>
      <c r="AH3" s="15">
        <v>0</v>
      </c>
      <c r="AI3" s="15">
        <v>0</v>
      </c>
      <c r="AJ3" s="15">
        <v>0</v>
      </c>
      <c r="AK3" s="15">
        <v>0</v>
      </c>
      <c r="AL3" s="15">
        <v>0</v>
      </c>
      <c r="AM3" s="15">
        <v>0</v>
      </c>
      <c r="AN3" s="15">
        <v>0</v>
      </c>
      <c r="AO3" s="15">
        <v>0</v>
      </c>
      <c r="AP3" s="15">
        <v>0</v>
      </c>
      <c r="AQ3" s="15">
        <v>0</v>
      </c>
      <c r="AR3" s="15">
        <v>0</v>
      </c>
      <c r="AS3" s="15">
        <v>0</v>
      </c>
      <c r="AT3" s="15">
        <v>0</v>
      </c>
      <c r="AU3" s="15">
        <v>0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</row>
    <row r="4" spans="1:54">
      <c r="A4" s="38">
        <f>NPV('Financial Information'!$B$5,$E4:$AL4)*(1+'Financial Information'!$B$5)</f>
        <v>2884.1560522540385</v>
      </c>
      <c r="B4" s="24">
        <f>NPV('Financial Information'!$B$5,$E4:$BB4)*(1+'Financial Information'!$B$5)</f>
        <v>2884.1560522540385</v>
      </c>
      <c r="C4" s="6" t="s">
        <v>2</v>
      </c>
      <c r="D4" s="15">
        <v>149.35007999999999</v>
      </c>
      <c r="E4" s="15">
        <v>153.8305824</v>
      </c>
      <c r="F4" s="15">
        <v>158.44549987199997</v>
      </c>
      <c r="G4" s="15">
        <v>163.19886486816</v>
      </c>
      <c r="H4" s="15">
        <v>168.24339797712477</v>
      </c>
      <c r="I4" s="15">
        <v>173.44494767350636</v>
      </c>
      <c r="J4" s="15">
        <v>178.83014505653387</v>
      </c>
      <c r="K4" s="15">
        <v>184.40445276010112</v>
      </c>
      <c r="L4" s="15">
        <v>190.17326431130817</v>
      </c>
      <c r="M4" s="15">
        <v>196.31413350149339</v>
      </c>
      <c r="N4" s="15">
        <v>202.49302392799541</v>
      </c>
      <c r="O4" s="15">
        <v>208.88235013630396</v>
      </c>
      <c r="P4" s="15">
        <v>215.48726274809681</v>
      </c>
      <c r="Q4" s="15">
        <v>222.31287556769513</v>
      </c>
      <c r="R4" s="15">
        <v>229.59389338611322</v>
      </c>
      <c r="S4" s="15">
        <v>236.88307548382596</v>
      </c>
      <c r="T4" s="15">
        <v>244.40846629776058</v>
      </c>
      <c r="U4" s="15">
        <v>252.17523341444209</v>
      </c>
      <c r="V4" s="15">
        <v>260.18861743671141</v>
      </c>
      <c r="W4" s="15">
        <v>268.68542266687984</v>
      </c>
      <c r="X4" s="15">
        <v>277.21513866357157</v>
      </c>
      <c r="Y4" s="15">
        <v>286.00812310002141</v>
      </c>
      <c r="Z4" s="15">
        <v>295.07020132088809</v>
      </c>
      <c r="AA4" s="15">
        <v>304.40741665426594</v>
      </c>
      <c r="AB4" s="15">
        <v>314.29438764225824</v>
      </c>
      <c r="AC4" s="15">
        <v>324.20906992713827</v>
      </c>
      <c r="AD4" s="15">
        <v>334.41884698275902</v>
      </c>
      <c r="AE4" s="15">
        <v>344.93091289562528</v>
      </c>
      <c r="AF4" s="15">
        <v>355.7528081315275</v>
      </c>
      <c r="AG4" s="15">
        <v>367.20350649960722</v>
      </c>
      <c r="AH4" s="15">
        <v>0</v>
      </c>
      <c r="AI4" s="15">
        <v>0</v>
      </c>
      <c r="AJ4" s="15">
        <v>0</v>
      </c>
      <c r="AK4" s="15">
        <v>0</v>
      </c>
      <c r="AL4" s="15">
        <v>0</v>
      </c>
      <c r="AM4" s="15">
        <v>0</v>
      </c>
      <c r="AN4" s="15">
        <v>0</v>
      </c>
      <c r="AO4" s="15">
        <v>0</v>
      </c>
      <c r="AP4" s="15">
        <v>0</v>
      </c>
      <c r="AQ4" s="15">
        <v>0</v>
      </c>
      <c r="AR4" s="15">
        <v>0</v>
      </c>
      <c r="AS4" s="15">
        <v>0</v>
      </c>
      <c r="AT4" s="15">
        <v>0</v>
      </c>
      <c r="AU4" s="15">
        <v>0</v>
      </c>
      <c r="AV4" s="15">
        <v>0</v>
      </c>
      <c r="AW4" s="15">
        <v>0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</row>
    <row r="5" spans="1:54">
      <c r="A5" s="395">
        <f>NPV('Financial Information'!$B$5,$E5:$AL5)*(1+'Financial Information'!$B$5)</f>
        <v>5679.9053467034382</v>
      </c>
      <c r="B5" s="13">
        <f>NPV('Financial Information'!$B$5,$E5:$BB5)*(1+'Financial Information'!$B$5)</f>
        <v>5679.9053467034382</v>
      </c>
      <c r="C5" s="1" t="s">
        <v>3</v>
      </c>
      <c r="D5" s="17">
        <v>339.45100000000002</v>
      </c>
      <c r="E5" s="17">
        <v>345.94892000000004</v>
      </c>
      <c r="F5" s="17">
        <v>352.57679840000003</v>
      </c>
      <c r="G5" s="17">
        <v>359.337234368</v>
      </c>
      <c r="H5" s="17">
        <v>366.23287905536</v>
      </c>
      <c r="I5" s="17">
        <v>373.26643663646723</v>
      </c>
      <c r="J5" s="17">
        <v>380.44066536919661</v>
      </c>
      <c r="K5" s="17">
        <v>387.75837867658049</v>
      </c>
      <c r="L5" s="17">
        <v>395.22244625011217</v>
      </c>
      <c r="M5" s="17">
        <v>402.83579517511441</v>
      </c>
      <c r="N5" s="17">
        <v>410.60141107861671</v>
      </c>
      <c r="O5" s="17">
        <v>418.522339300189</v>
      </c>
      <c r="P5" s="17">
        <v>426.60168608619279</v>
      </c>
      <c r="Q5" s="17">
        <v>434.84261980791661</v>
      </c>
      <c r="R5" s="17">
        <v>443.248372204075</v>
      </c>
      <c r="S5" s="17">
        <v>451.82223964815654</v>
      </c>
      <c r="T5" s="17">
        <v>460.56758444111966</v>
      </c>
      <c r="U5" s="17">
        <v>469.48783612994208</v>
      </c>
      <c r="V5" s="17">
        <v>478.58649285254097</v>
      </c>
      <c r="W5" s="17">
        <v>487.86712270959174</v>
      </c>
      <c r="X5" s="17">
        <v>497.33336516378364</v>
      </c>
      <c r="Y5" s="17">
        <v>506.98893246705933</v>
      </c>
      <c r="Z5" s="17">
        <v>516.83761111640047</v>
      </c>
      <c r="AA5" s="17">
        <v>526.88326333872851</v>
      </c>
      <c r="AB5" s="17">
        <v>537.12982860550301</v>
      </c>
      <c r="AC5" s="17">
        <v>547.58132517761305</v>
      </c>
      <c r="AD5" s="17">
        <v>558.24185168116537</v>
      </c>
      <c r="AE5" s="17">
        <v>569.11558871478871</v>
      </c>
      <c r="AF5" s="17">
        <v>580.20680048908446</v>
      </c>
      <c r="AG5" s="17">
        <v>575.39699726924982</v>
      </c>
      <c r="AH5" s="17">
        <v>0</v>
      </c>
      <c r="AI5" s="17">
        <v>0</v>
      </c>
      <c r="AJ5" s="17">
        <v>0</v>
      </c>
      <c r="AK5" s="17">
        <v>0</v>
      </c>
      <c r="AL5" s="17">
        <v>0</v>
      </c>
      <c r="AM5" s="17">
        <v>0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7">
        <v>0</v>
      </c>
      <c r="BA5" s="17">
        <v>0</v>
      </c>
      <c r="BB5" s="17">
        <v>0</v>
      </c>
    </row>
    <row r="6" spans="1:54">
      <c r="A6" s="38">
        <f>NPV('Financial Information'!$B$5,$E6:$AL6)*(1+'Financial Information'!$B$5)</f>
        <v>19487.136140031726</v>
      </c>
      <c r="B6" s="24">
        <f>NPV('Financial Information'!$B$5,$E6:$BB6)*(1+'Financial Information'!$B$5)</f>
        <v>19487.136140031726</v>
      </c>
      <c r="C6" s="6" t="s">
        <v>4</v>
      </c>
      <c r="D6" s="15">
        <v>1087.7441501914893</v>
      </c>
      <c r="E6" s="15">
        <v>1105.8576348921276</v>
      </c>
      <c r="F6" s="15">
        <v>1129.552219591832</v>
      </c>
      <c r="G6" s="15">
        <v>1153.8430101466477</v>
      </c>
      <c r="H6" s="15">
        <v>1178.7455170190945</v>
      </c>
      <c r="I6" s="15">
        <v>1266.3384502310394</v>
      </c>
      <c r="J6" s="15">
        <v>1294.4073957158694</v>
      </c>
      <c r="K6" s="15">
        <v>1323.060345976329</v>
      </c>
      <c r="L6" s="15">
        <v>1352.3138921646473</v>
      </c>
      <c r="M6" s="15">
        <v>1382.1891178543799</v>
      </c>
      <c r="N6" s="15">
        <v>1412.711217301731</v>
      </c>
      <c r="O6" s="15">
        <v>1443.9089608448719</v>
      </c>
      <c r="P6" s="15">
        <v>1475.8140521927774</v>
      </c>
      <c r="Q6" s="15">
        <v>1561.5354258660172</v>
      </c>
      <c r="R6" s="15">
        <v>1541.8835326139838</v>
      </c>
      <c r="S6" s="15">
        <v>1576.1196566483138</v>
      </c>
      <c r="T6" s="15">
        <v>1611.2053016885386</v>
      </c>
      <c r="U6" s="15">
        <v>1647.1766739896052</v>
      </c>
      <c r="V6" s="15">
        <v>1684.0692806697152</v>
      </c>
      <c r="W6" s="15">
        <v>1721.91765171613</v>
      </c>
      <c r="X6" s="15">
        <v>1760.7551848400644</v>
      </c>
      <c r="Y6" s="15">
        <v>1800.6141045259881</v>
      </c>
      <c r="Z6" s="15">
        <v>1841.5255206064389</v>
      </c>
      <c r="AA6" s="15">
        <v>1883.5195676960141</v>
      </c>
      <c r="AB6" s="15">
        <v>1926.6256048320597</v>
      </c>
      <c r="AC6" s="15">
        <v>1970.8724545131463</v>
      </c>
      <c r="AD6" s="15">
        <v>2016.2886616891058</v>
      </c>
      <c r="AE6" s="15">
        <v>2062.9027557510753</v>
      </c>
      <c r="AF6" s="15">
        <v>2110.7435017836074</v>
      </c>
      <c r="AG6" s="15">
        <v>2159.8401308784564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</row>
    <row r="7" spans="1:54">
      <c r="A7" s="24">
        <f>NPV('Financial Information'!$B$5,$E7:$AL7)*(1+'Financial Information'!$B$5)</f>
        <v>8467.3371307817815</v>
      </c>
      <c r="B7" s="24">
        <f>NPV('Financial Information'!$B$5,$E7:$BB7)*(1+'Financial Information'!$B$5)</f>
        <v>8503.541952215588</v>
      </c>
      <c r="C7" s="6" t="s">
        <v>38</v>
      </c>
      <c r="D7" s="15">
        <v>923.88333542824512</v>
      </c>
      <c r="E7" s="15">
        <v>891.89608662923479</v>
      </c>
      <c r="F7" s="15">
        <v>870.48432728958051</v>
      </c>
      <c r="G7" s="15">
        <v>831.28368210240797</v>
      </c>
      <c r="H7" s="15">
        <v>800.73153742959062</v>
      </c>
      <c r="I7" s="15">
        <v>771.17905653593152</v>
      </c>
      <c r="J7" s="15">
        <v>742.47178431003033</v>
      </c>
      <c r="K7" s="15">
        <v>714.08904483280571</v>
      </c>
      <c r="L7" s="15">
        <v>685.75417434339852</v>
      </c>
      <c r="M7" s="15">
        <v>652.67812442302477</v>
      </c>
      <c r="N7" s="15">
        <v>624.5775936569911</v>
      </c>
      <c r="O7" s="15">
        <v>596.48718501119856</v>
      </c>
      <c r="P7" s="15">
        <v>568.40857429289179</v>
      </c>
      <c r="Q7" s="15">
        <v>540.34063369601949</v>
      </c>
      <c r="R7" s="15">
        <v>512.28505272785571</v>
      </c>
      <c r="S7" s="15">
        <v>484.24071762487995</v>
      </c>
      <c r="T7" s="15">
        <v>456.20933228796036</v>
      </c>
      <c r="U7" s="15">
        <v>428.1897977070098</v>
      </c>
      <c r="V7" s="15">
        <v>400.81286061936567</v>
      </c>
      <c r="W7" s="15">
        <v>377.59125918748168</v>
      </c>
      <c r="X7" s="15">
        <v>359.21851032864981</v>
      </c>
      <c r="Y7" s="15">
        <v>342.18567085504696</v>
      </c>
      <c r="Z7" s="15">
        <v>325.17126813027835</v>
      </c>
      <c r="AA7" s="15">
        <v>308.17142344364049</v>
      </c>
      <c r="AB7" s="15">
        <v>291.18650074608684</v>
      </c>
      <c r="AC7" s="15">
        <v>274.21687308734442</v>
      </c>
      <c r="AD7" s="15">
        <v>257.26292284338336</v>
      </c>
      <c r="AE7" s="15">
        <v>240.32504194957318</v>
      </c>
      <c r="AF7" s="15">
        <v>223.40363213966788</v>
      </c>
      <c r="AG7" s="15">
        <v>206.49910519076485</v>
      </c>
      <c r="AH7" s="15">
        <v>189.61188317438933</v>
      </c>
      <c r="AI7" s="15">
        <v>172.74239871385436</v>
      </c>
      <c r="AJ7" s="15">
        <v>155.89109524805593</v>
      </c>
      <c r="AK7" s="15">
        <v>139.05842730186259</v>
      </c>
      <c r="AL7" s="15">
        <v>122.2448607632644</v>
      </c>
      <c r="AM7" s="15">
        <v>105.45087316745133</v>
      </c>
      <c r="AN7" s="15">
        <v>88.676953987992931</v>
      </c>
      <c r="AO7" s="15">
        <v>71.923604935297988</v>
      </c>
      <c r="AP7" s="15">
        <v>55.191340262535789</v>
      </c>
      <c r="AQ7" s="15">
        <v>40.436267057275472</v>
      </c>
      <c r="AR7" s="15">
        <v>3.396495809592727E-13</v>
      </c>
      <c r="AS7" s="15">
        <v>3.396495809592727E-13</v>
      </c>
      <c r="AT7" s="15">
        <v>3.396495809592727E-13</v>
      </c>
      <c r="AU7" s="15">
        <v>3.396495809592727E-13</v>
      </c>
      <c r="AV7" s="15">
        <v>3.396495809592727E-13</v>
      </c>
      <c r="AW7" s="15">
        <v>3.396495809592727E-13</v>
      </c>
      <c r="AX7" s="15">
        <v>3.396495809592727E-13</v>
      </c>
      <c r="AY7" s="15">
        <v>3.396495809592727E-13</v>
      </c>
      <c r="AZ7" s="15">
        <v>3.396495809592727E-13</v>
      </c>
      <c r="BA7" s="15">
        <v>3.396495809592727E-13</v>
      </c>
      <c r="BB7" s="15">
        <v>3.396495809592727E-13</v>
      </c>
    </row>
    <row r="8" spans="1:54">
      <c r="A8" s="24">
        <f>NPV('Financial Information'!$B$5,$E8:$AL8)*(1+'Financial Information'!$B$5)</f>
        <v>1409.2890853458414</v>
      </c>
      <c r="B8" s="24">
        <f>NPV('Financial Information'!$B$5,$E8:$BB8)*(1+'Financial Information'!$B$5)</f>
        <v>1424.797534942026</v>
      </c>
      <c r="C8" s="6" t="s">
        <v>39</v>
      </c>
      <c r="D8" s="15">
        <v>156.27472</v>
      </c>
      <c r="E8" s="15">
        <v>151.49079999999998</v>
      </c>
      <c r="F8" s="15">
        <v>148.30152000000001</v>
      </c>
      <c r="G8" s="15">
        <v>143.51759999999999</v>
      </c>
      <c r="H8" s="15">
        <v>138.73367999999999</v>
      </c>
      <c r="I8" s="15">
        <v>133.94976</v>
      </c>
      <c r="J8" s="15">
        <v>129.16584</v>
      </c>
      <c r="K8" s="15">
        <v>124.38192000000001</v>
      </c>
      <c r="L8" s="15">
        <v>119.598</v>
      </c>
      <c r="M8" s="15">
        <v>113.21943999999999</v>
      </c>
      <c r="N8" s="15">
        <v>108.43552000000001</v>
      </c>
      <c r="O8" s="15">
        <v>102.05696</v>
      </c>
      <c r="P8" s="15">
        <v>95.678399999999996</v>
      </c>
      <c r="Q8" s="15">
        <v>89.299840000000003</v>
      </c>
      <c r="R8" s="15">
        <v>82.921279999999996</v>
      </c>
      <c r="S8" s="15">
        <v>76.542719999999989</v>
      </c>
      <c r="T8" s="15">
        <v>70.164159999999995</v>
      </c>
      <c r="U8" s="15">
        <v>62.190960000000004</v>
      </c>
      <c r="V8" s="15">
        <v>54.217760000000006</v>
      </c>
      <c r="W8" s="15">
        <v>47.839199999999998</v>
      </c>
      <c r="X8" s="15">
        <v>47.839199999999998</v>
      </c>
      <c r="Y8" s="15">
        <v>41.460639999999998</v>
      </c>
      <c r="Z8" s="15">
        <v>41.460639999999998</v>
      </c>
      <c r="AA8" s="15">
        <v>36.676719999999996</v>
      </c>
      <c r="AB8" s="15">
        <v>36.676719999999996</v>
      </c>
      <c r="AC8" s="15">
        <v>33.487439999999999</v>
      </c>
      <c r="AD8" s="15">
        <v>31.892800000000001</v>
      </c>
      <c r="AE8" s="15">
        <v>31.892800000000001</v>
      </c>
      <c r="AF8" s="15">
        <v>31.892800000000001</v>
      </c>
      <c r="AG8" s="15">
        <v>31.892800000000001</v>
      </c>
      <c r="AH8" s="15">
        <v>31.892800000000001</v>
      </c>
      <c r="AI8" s="15">
        <v>31.892800000000001</v>
      </c>
      <c r="AJ8" s="15">
        <v>31.892800000000001</v>
      </c>
      <c r="AK8" s="15">
        <v>31.892800000000001</v>
      </c>
      <c r="AL8" s="15">
        <v>31.892800000000001</v>
      </c>
      <c r="AM8" s="15">
        <v>31.892800000000001</v>
      </c>
      <c r="AN8" s="15">
        <v>31.892800000000001</v>
      </c>
      <c r="AO8" s="15">
        <v>31.892800000000001</v>
      </c>
      <c r="AP8" s="15">
        <v>31.892800000000001</v>
      </c>
      <c r="AQ8" s="15">
        <v>31.892800000000001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</row>
    <row r="9" spans="1:54">
      <c r="A9" s="386">
        <f>NPV('Financial Information'!$B$5,$E9:$AL9)*(1+'Financial Information'!$B$5)</f>
        <v>3542.3687106779198</v>
      </c>
      <c r="B9" s="386">
        <f>NPV('Financial Information'!$B$5,$E9:$BB9)*(1+'Financial Information'!$B$5)</f>
        <v>3663.8779337615924</v>
      </c>
      <c r="C9" s="6" t="s">
        <v>40</v>
      </c>
      <c r="D9" s="15">
        <v>250</v>
      </c>
      <c r="E9" s="15">
        <v>250</v>
      </c>
      <c r="F9" s="15">
        <v>250</v>
      </c>
      <c r="G9" s="15">
        <v>250</v>
      </c>
      <c r="H9" s="15">
        <v>250</v>
      </c>
      <c r="I9" s="15">
        <v>250</v>
      </c>
      <c r="J9" s="15">
        <v>250</v>
      </c>
      <c r="K9" s="15">
        <v>250</v>
      </c>
      <c r="L9" s="15">
        <v>250</v>
      </c>
      <c r="M9" s="15">
        <v>250</v>
      </c>
      <c r="N9" s="15">
        <v>250</v>
      </c>
      <c r="O9" s="15">
        <v>250</v>
      </c>
      <c r="P9" s="15">
        <v>250</v>
      </c>
      <c r="Q9" s="15">
        <v>250</v>
      </c>
      <c r="R9" s="15">
        <v>250</v>
      </c>
      <c r="S9" s="15">
        <v>250</v>
      </c>
      <c r="T9" s="15">
        <v>250</v>
      </c>
      <c r="U9" s="15">
        <v>250</v>
      </c>
      <c r="V9" s="15">
        <v>250</v>
      </c>
      <c r="W9" s="15">
        <v>250</v>
      </c>
      <c r="X9" s="15">
        <v>250</v>
      </c>
      <c r="Y9" s="15">
        <v>250</v>
      </c>
      <c r="Z9" s="15">
        <v>250</v>
      </c>
      <c r="AA9" s="15">
        <v>250</v>
      </c>
      <c r="AB9" s="15">
        <v>250</v>
      </c>
      <c r="AC9" s="15">
        <v>250</v>
      </c>
      <c r="AD9" s="15">
        <v>250</v>
      </c>
      <c r="AE9" s="15">
        <v>250</v>
      </c>
      <c r="AF9" s="15">
        <v>250</v>
      </c>
      <c r="AG9" s="15">
        <v>250</v>
      </c>
      <c r="AH9" s="15">
        <v>250</v>
      </c>
      <c r="AI9" s="15">
        <v>250</v>
      </c>
      <c r="AJ9" s="15">
        <v>250</v>
      </c>
      <c r="AK9" s="15">
        <v>250</v>
      </c>
      <c r="AL9" s="15">
        <v>250</v>
      </c>
      <c r="AM9" s="15">
        <v>250</v>
      </c>
      <c r="AN9" s="15">
        <v>250</v>
      </c>
      <c r="AO9" s="15">
        <v>250</v>
      </c>
      <c r="AP9" s="15">
        <v>250</v>
      </c>
      <c r="AQ9" s="15">
        <v>249.32065217391397</v>
      </c>
      <c r="AR9" s="15">
        <v>0</v>
      </c>
      <c r="AS9" s="15">
        <v>0</v>
      </c>
      <c r="AT9" s="15">
        <v>0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</row>
    <row r="10" spans="1:54">
      <c r="A10" s="24">
        <f>SUM(A2:A9)</f>
        <v>161437.89640707514</v>
      </c>
      <c r="B10" s="24">
        <f>SUM(B2:B9)</f>
        <v>161611.11890118881</v>
      </c>
      <c r="D10" s="16">
        <f t="shared" ref="D10:AI10" si="1">SUM(D2:D9)</f>
        <v>17709.990964069191</v>
      </c>
      <c r="E10" s="16">
        <f t="shared" si="1"/>
        <v>16871.795896125521</v>
      </c>
      <c r="F10" s="16">
        <f t="shared" si="1"/>
        <v>16337.662559671717</v>
      </c>
      <c r="G10" s="16">
        <f t="shared" si="1"/>
        <v>15659.760647485764</v>
      </c>
      <c r="H10" s="16">
        <f t="shared" si="1"/>
        <v>15195.40274556347</v>
      </c>
      <c r="I10" s="16">
        <f t="shared" si="1"/>
        <v>14819.390623246647</v>
      </c>
      <c r="J10" s="16">
        <f t="shared" si="1"/>
        <v>12584.74232495367</v>
      </c>
      <c r="K10" s="16">
        <f t="shared" si="1"/>
        <v>12277.005747437257</v>
      </c>
      <c r="L10" s="16">
        <f t="shared" si="1"/>
        <v>11970.896244368274</v>
      </c>
      <c r="M10" s="16">
        <f t="shared" si="1"/>
        <v>11617.243100996502</v>
      </c>
      <c r="N10" s="16">
        <f t="shared" si="1"/>
        <v>11314.194557635974</v>
      </c>
      <c r="O10" s="16">
        <f t="shared" si="1"/>
        <v>11001.297931870877</v>
      </c>
      <c r="P10" s="16">
        <f t="shared" si="1"/>
        <v>10689.955291965107</v>
      </c>
      <c r="Q10" s="16">
        <f t="shared" si="1"/>
        <v>10436.017303639943</v>
      </c>
      <c r="R10" s="16">
        <f t="shared" si="1"/>
        <v>10082.673825574966</v>
      </c>
      <c r="S10" s="16">
        <f t="shared" si="1"/>
        <v>9774.4071890714313</v>
      </c>
      <c r="T10" s="16">
        <f t="shared" si="1"/>
        <v>9463.5259146147328</v>
      </c>
      <c r="U10" s="16">
        <f t="shared" si="1"/>
        <v>9142.2683521570489</v>
      </c>
      <c r="V10" s="16">
        <f t="shared" si="1"/>
        <v>8828.2877973945378</v>
      </c>
      <c r="W10" s="16">
        <f t="shared" si="1"/>
        <v>8547.7550495395808</v>
      </c>
      <c r="X10" s="16">
        <f t="shared" si="1"/>
        <v>8298.9038321434746</v>
      </c>
      <c r="Y10" s="16">
        <f t="shared" si="1"/>
        <v>8019.5199051212767</v>
      </c>
      <c r="Z10" s="16">
        <f t="shared" si="1"/>
        <v>7776.7636479457915</v>
      </c>
      <c r="AA10" s="16">
        <f t="shared" si="1"/>
        <v>7513.0870998672717</v>
      </c>
      <c r="AB10" s="16">
        <f t="shared" si="1"/>
        <v>7281.9571385020954</v>
      </c>
      <c r="AC10" s="16">
        <f t="shared" si="1"/>
        <v>7025.8277700306971</v>
      </c>
      <c r="AD10" s="16">
        <f t="shared" si="1"/>
        <v>6786.0891656379326</v>
      </c>
      <c r="AE10" s="16">
        <f t="shared" si="1"/>
        <v>6560.9993449767653</v>
      </c>
      <c r="AF10" s="16">
        <f t="shared" si="1"/>
        <v>6344.4610666397921</v>
      </c>
      <c r="AG10" s="16">
        <f t="shared" si="1"/>
        <v>8316.813735945816</v>
      </c>
      <c r="AH10" s="16">
        <f t="shared" si="1"/>
        <v>471.5046831744022</v>
      </c>
      <c r="AI10" s="16">
        <f t="shared" si="1"/>
        <v>454.6351987138608</v>
      </c>
    </row>
    <row r="11" spans="1:54">
      <c r="A11" s="2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54">
      <c r="A12" s="390"/>
      <c r="B12" s="6">
        <v>74.900000000000006</v>
      </c>
      <c r="C12" s="6" t="str">
        <f>C6&amp;" $/kw"</f>
        <v>O&amp;M $/kw</v>
      </c>
      <c r="E12" s="25">
        <f>E6/74.9</f>
        <v>14.76445440443428</v>
      </c>
      <c r="F12" s="25">
        <f t="shared" ref="F12:AI12" si="2">F6/74.9</f>
        <v>15.080803999890946</v>
      </c>
      <c r="G12" s="25">
        <f t="shared" si="2"/>
        <v>15.405113620115454</v>
      </c>
      <c r="H12" s="25">
        <f t="shared" si="2"/>
        <v>15.737590347384437</v>
      </c>
      <c r="I12" s="25">
        <f t="shared" si="2"/>
        <v>16.907055410294248</v>
      </c>
      <c r="J12" s="25">
        <f t="shared" si="2"/>
        <v>17.281807686460205</v>
      </c>
      <c r="K12" s="25">
        <f t="shared" si="2"/>
        <v>17.664357089136569</v>
      </c>
      <c r="L12" s="25">
        <f t="shared" si="2"/>
        <v>18.054925129034007</v>
      </c>
      <c r="M12" s="25">
        <f t="shared" si="2"/>
        <v>18.453793295786113</v>
      </c>
      <c r="N12" s="25">
        <f t="shared" si="2"/>
        <v>18.861297961304818</v>
      </c>
      <c r="O12" s="25">
        <f t="shared" si="2"/>
        <v>19.27782324225463</v>
      </c>
      <c r="P12" s="25">
        <f t="shared" si="2"/>
        <v>19.703792419129201</v>
      </c>
      <c r="Q12" s="25">
        <f t="shared" si="2"/>
        <v>20.84827003826458</v>
      </c>
      <c r="R12" s="25">
        <f t="shared" si="2"/>
        <v>20.585894961468409</v>
      </c>
      <c r="S12" s="25">
        <f t="shared" si="2"/>
        <v>21.042986070070945</v>
      </c>
      <c r="T12" s="25">
        <f t="shared" si="2"/>
        <v>21.511419248178083</v>
      </c>
      <c r="U12" s="25">
        <f t="shared" si="2"/>
        <v>21.991677890381911</v>
      </c>
      <c r="V12" s="25">
        <f t="shared" si="2"/>
        <v>22.484236057005543</v>
      </c>
      <c r="W12" s="25">
        <f t="shared" si="2"/>
        <v>22.989554762565152</v>
      </c>
      <c r="X12" s="25">
        <f t="shared" si="2"/>
        <v>23.508079904406731</v>
      </c>
      <c r="Y12" s="25">
        <f t="shared" si="2"/>
        <v>24.040241715967795</v>
      </c>
      <c r="Z12" s="25">
        <f t="shared" si="2"/>
        <v>24.586455548817607</v>
      </c>
      <c r="AA12" s="25">
        <f t="shared" si="2"/>
        <v>25.147123734259196</v>
      </c>
      <c r="AB12" s="25">
        <f t="shared" si="2"/>
        <v>25.722638248759139</v>
      </c>
      <c r="AC12" s="25">
        <f t="shared" si="2"/>
        <v>26.313383905382459</v>
      </c>
      <c r="AD12" s="25">
        <f t="shared" si="2"/>
        <v>26.919741811603547</v>
      </c>
      <c r="AE12" s="25">
        <f t="shared" si="2"/>
        <v>27.542092867170563</v>
      </c>
      <c r="AF12" s="25">
        <f t="shared" si="2"/>
        <v>28.180821118606239</v>
      </c>
      <c r="AG12" s="25">
        <f t="shared" si="2"/>
        <v>28.836316834158293</v>
      </c>
      <c r="AH12" s="25">
        <f t="shared" si="2"/>
        <v>0</v>
      </c>
      <c r="AI12" s="25">
        <f t="shared" si="2"/>
        <v>0</v>
      </c>
    </row>
    <row r="13" spans="1:54">
      <c r="A13" s="390"/>
    </row>
    <row r="14" spans="1:54">
      <c r="B14" s="24">
        <f>NPV('Financial Information'!$B$5,$D14:$BB14)*(1+'Financial Information'!$B$5)</f>
        <v>2937.8069949345449</v>
      </c>
      <c r="C14" s="6" t="s">
        <v>2</v>
      </c>
      <c r="D14" s="15">
        <v>153.83005093274028</v>
      </c>
      <c r="E14" s="15">
        <v>158.44495246072248</v>
      </c>
      <c r="F14" s="15">
        <v>163.19830103454416</v>
      </c>
      <c r="G14" s="15">
        <v>168.09425006558047</v>
      </c>
      <c r="H14" s="15">
        <v>173.29010174535546</v>
      </c>
      <c r="I14" s="15">
        <v>178.64767998749602</v>
      </c>
      <c r="J14" s="15">
        <v>184.19441480852791</v>
      </c>
      <c r="K14" s="15">
        <v>189.93593270521109</v>
      </c>
      <c r="L14" s="15">
        <v>195.87778899382357</v>
      </c>
      <c r="M14" s="15">
        <v>202.20286406230963</v>
      </c>
      <c r="N14" s="15">
        <v>208.56710039827985</v>
      </c>
      <c r="O14" s="15">
        <v>215.14808496541096</v>
      </c>
      <c r="P14" s="15">
        <v>221.95112288530814</v>
      </c>
      <c r="Q14" s="15">
        <v>228.98148135713751</v>
      </c>
      <c r="R14" s="15">
        <v>236.48090629578047</v>
      </c>
      <c r="S14" s="15">
        <v>243.98873973966707</v>
      </c>
      <c r="T14" s="15">
        <v>251.73986743775956</v>
      </c>
      <c r="U14" s="15">
        <v>259.73961198247343</v>
      </c>
      <c r="V14" s="15">
        <v>267.99337117237883</v>
      </c>
      <c r="W14" s="15">
        <v>276.74505341582932</v>
      </c>
      <c r="X14" s="15">
        <v>285.53063293449003</v>
      </c>
      <c r="Y14" s="15">
        <v>294.5873781073638</v>
      </c>
      <c r="Z14" s="15">
        <v>303.92128901428669</v>
      </c>
      <c r="AA14" s="15">
        <v>313.538590257279</v>
      </c>
      <c r="AB14" s="15">
        <v>323.72213890801271</v>
      </c>
      <c r="AC14" s="15">
        <v>333.93422925053375</v>
      </c>
      <c r="AD14" s="15">
        <v>344.45026623459046</v>
      </c>
      <c r="AE14" s="15">
        <v>355.27765974011322</v>
      </c>
      <c r="AF14" s="15">
        <v>366.42417641682101</v>
      </c>
      <c r="AG14" s="15">
        <v>377.19059197659345</v>
      </c>
    </row>
    <row r="15" spans="1:54">
      <c r="E15" s="23">
        <f>E5/74.9</f>
        <v>4.6188106809078775</v>
      </c>
    </row>
    <row r="16" spans="1:54">
      <c r="A16" s="38">
        <f>NPV('Financial Information'!$B$5,$E16:$AL16)*(1+'Financial Information'!$B$5)</f>
        <v>19.38326508534216</v>
      </c>
      <c r="E16" s="23">
        <f>E12+E15</f>
        <v>19.38326508534216</v>
      </c>
    </row>
    <row r="17" spans="1:1">
      <c r="A17" s="38">
        <f>NPV('Financial Information'!$B$5,$E17:$AL17)*(1+'Financial Information'!$B$5)</f>
        <v>0</v>
      </c>
    </row>
    <row r="18" spans="1:1">
      <c r="A18" s="386">
        <f>NPV('Financial Information'!$B$5,$E18:$AL18)*(1+'Financial Information'!$B$5)</f>
        <v>0</v>
      </c>
    </row>
    <row r="19" spans="1:1">
      <c r="A19" s="24">
        <f>SUM(A16:A18)</f>
        <v>19.38326508534216</v>
      </c>
    </row>
    <row r="22" spans="1:1">
      <c r="A22" s="385"/>
    </row>
    <row r="23" spans="1:1">
      <c r="A23" s="24"/>
    </row>
    <row r="24" spans="1:1">
      <c r="A24" s="24"/>
    </row>
    <row r="25" spans="1:1">
      <c r="A25" s="24"/>
    </row>
    <row r="26" spans="1:1">
      <c r="A26" s="24"/>
    </row>
    <row r="27" spans="1:1">
      <c r="A27" s="24"/>
    </row>
    <row r="28" spans="1:1">
      <c r="A28" s="24"/>
    </row>
    <row r="29" spans="1:1">
      <c r="A29" s="24"/>
    </row>
    <row r="30" spans="1:1">
      <c r="A30" s="24"/>
    </row>
    <row r="31" spans="1:1">
      <c r="A31" s="24"/>
    </row>
    <row r="32" spans="1:1">
      <c r="A32" s="24"/>
    </row>
    <row r="33" spans="1:1">
      <c r="A33" s="24"/>
    </row>
    <row r="34" spans="1:1">
      <c r="A34" s="24"/>
    </row>
    <row r="35" spans="1:1">
      <c r="A35" s="24"/>
    </row>
    <row r="36" spans="1:1">
      <c r="A36" s="24"/>
    </row>
    <row r="37" spans="1:1">
      <c r="A37" s="24"/>
    </row>
    <row r="38" spans="1:1">
      <c r="A38" s="24"/>
    </row>
    <row r="39" spans="1:1">
      <c r="A39" s="24"/>
    </row>
    <row r="40" spans="1:1">
      <c r="A40" s="2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BB71"/>
  <sheetViews>
    <sheetView workbookViewId="0">
      <selection activeCell="E25" sqref="E25"/>
    </sheetView>
  </sheetViews>
  <sheetFormatPr defaultColWidth="8.90625" defaultRowHeight="14.5"/>
  <cols>
    <col min="1" max="2" width="11.90625" style="6" bestFit="1" customWidth="1"/>
    <col min="3" max="3" width="38.453125" style="6" bestFit="1" customWidth="1"/>
    <col min="4" max="4" width="10.453125" style="6" bestFit="1" customWidth="1"/>
    <col min="5" max="10" width="8.36328125" style="6" bestFit="1" customWidth="1"/>
    <col min="11" max="15" width="8.08984375" style="6" bestFit="1" customWidth="1"/>
    <col min="16" max="35" width="8" style="6" bestFit="1" customWidth="1"/>
    <col min="36" max="36" width="5.08984375" style="6" bestFit="1" customWidth="1"/>
    <col min="37" max="16384" width="8.90625" style="6"/>
  </cols>
  <sheetData>
    <row r="1" spans="1:54">
      <c r="A1" s="385" t="s">
        <v>230</v>
      </c>
      <c r="B1" s="385" t="s">
        <v>5</v>
      </c>
      <c r="C1" s="388">
        <v>43800</v>
      </c>
      <c r="D1" s="385">
        <v>2019</v>
      </c>
      <c r="E1" s="385">
        <f t="shared" ref="E1:BB1" si="0">D1+1</f>
        <v>2020</v>
      </c>
      <c r="F1" s="385">
        <f t="shared" si="0"/>
        <v>2021</v>
      </c>
      <c r="G1" s="385">
        <f t="shared" si="0"/>
        <v>2022</v>
      </c>
      <c r="H1" s="385">
        <f t="shared" si="0"/>
        <v>2023</v>
      </c>
      <c r="I1" s="385">
        <f t="shared" si="0"/>
        <v>2024</v>
      </c>
      <c r="J1" s="385">
        <f t="shared" si="0"/>
        <v>2025</v>
      </c>
      <c r="K1" s="385">
        <f t="shared" si="0"/>
        <v>2026</v>
      </c>
      <c r="L1" s="385">
        <f t="shared" si="0"/>
        <v>2027</v>
      </c>
      <c r="M1" s="385">
        <f t="shared" si="0"/>
        <v>2028</v>
      </c>
      <c r="N1" s="385">
        <f t="shared" si="0"/>
        <v>2029</v>
      </c>
      <c r="O1" s="385">
        <f t="shared" si="0"/>
        <v>2030</v>
      </c>
      <c r="P1" s="385">
        <f t="shared" si="0"/>
        <v>2031</v>
      </c>
      <c r="Q1" s="385">
        <f t="shared" si="0"/>
        <v>2032</v>
      </c>
      <c r="R1" s="385">
        <f t="shared" si="0"/>
        <v>2033</v>
      </c>
      <c r="S1" s="385">
        <f t="shared" si="0"/>
        <v>2034</v>
      </c>
      <c r="T1" s="385">
        <f t="shared" si="0"/>
        <v>2035</v>
      </c>
      <c r="U1" s="385">
        <f t="shared" si="0"/>
        <v>2036</v>
      </c>
      <c r="V1" s="385">
        <f t="shared" si="0"/>
        <v>2037</v>
      </c>
      <c r="W1" s="385">
        <f t="shared" si="0"/>
        <v>2038</v>
      </c>
      <c r="X1" s="385">
        <f t="shared" si="0"/>
        <v>2039</v>
      </c>
      <c r="Y1" s="385">
        <f t="shared" si="0"/>
        <v>2040</v>
      </c>
      <c r="Z1" s="385">
        <f t="shared" si="0"/>
        <v>2041</v>
      </c>
      <c r="AA1" s="385">
        <f t="shared" si="0"/>
        <v>2042</v>
      </c>
      <c r="AB1" s="385">
        <f t="shared" si="0"/>
        <v>2043</v>
      </c>
      <c r="AC1" s="385">
        <f t="shared" si="0"/>
        <v>2044</v>
      </c>
      <c r="AD1" s="385">
        <f t="shared" si="0"/>
        <v>2045</v>
      </c>
      <c r="AE1" s="385">
        <f t="shared" si="0"/>
        <v>2046</v>
      </c>
      <c r="AF1" s="385">
        <f t="shared" si="0"/>
        <v>2047</v>
      </c>
      <c r="AG1" s="385">
        <f t="shared" si="0"/>
        <v>2048</v>
      </c>
      <c r="AH1" s="385">
        <f t="shared" si="0"/>
        <v>2049</v>
      </c>
      <c r="AI1" s="385">
        <f t="shared" si="0"/>
        <v>2050</v>
      </c>
      <c r="AJ1" s="385">
        <f t="shared" si="0"/>
        <v>2051</v>
      </c>
      <c r="AK1" s="385">
        <f t="shared" si="0"/>
        <v>2052</v>
      </c>
      <c r="AL1" s="385">
        <f t="shared" si="0"/>
        <v>2053</v>
      </c>
      <c r="AM1" s="385">
        <f t="shared" si="0"/>
        <v>2054</v>
      </c>
      <c r="AN1" s="385">
        <f t="shared" si="0"/>
        <v>2055</v>
      </c>
      <c r="AO1" s="385">
        <f t="shared" si="0"/>
        <v>2056</v>
      </c>
      <c r="AP1" s="385">
        <f t="shared" si="0"/>
        <v>2057</v>
      </c>
      <c r="AQ1" s="385">
        <f t="shared" si="0"/>
        <v>2058</v>
      </c>
      <c r="AR1" s="385">
        <f t="shared" si="0"/>
        <v>2059</v>
      </c>
      <c r="AS1" s="385">
        <f t="shared" si="0"/>
        <v>2060</v>
      </c>
      <c r="AT1" s="385">
        <f t="shared" si="0"/>
        <v>2061</v>
      </c>
      <c r="AU1" s="385">
        <f t="shared" si="0"/>
        <v>2062</v>
      </c>
      <c r="AV1" s="385">
        <f t="shared" si="0"/>
        <v>2063</v>
      </c>
      <c r="AW1" s="385">
        <f t="shared" si="0"/>
        <v>2064</v>
      </c>
      <c r="AX1" s="385">
        <f t="shared" si="0"/>
        <v>2065</v>
      </c>
      <c r="AY1" s="385">
        <f t="shared" si="0"/>
        <v>2066</v>
      </c>
      <c r="AZ1" s="385">
        <f t="shared" si="0"/>
        <v>2067</v>
      </c>
      <c r="BA1" s="385">
        <f t="shared" si="0"/>
        <v>2068</v>
      </c>
      <c r="BB1" s="385">
        <f t="shared" si="0"/>
        <v>2069</v>
      </c>
    </row>
    <row r="2" spans="1:54">
      <c r="A2" s="38">
        <f>NPV('Financial Information'!$B$5,$E2:$AL2)*(1+'Financial Information'!$B$5)</f>
        <v>104638.50602209903</v>
      </c>
      <c r="B2" s="24">
        <f>NPV('Financial Information'!$B$5,$E2:$BB2)*(1+'Financial Information'!$B$5)</f>
        <v>104638.50602209903</v>
      </c>
      <c r="C2" s="6" t="s">
        <v>0</v>
      </c>
      <c r="D2" s="15">
        <v>0</v>
      </c>
      <c r="E2" s="15">
        <v>12626.854695017675</v>
      </c>
      <c r="F2" s="15">
        <v>11702.251468469129</v>
      </c>
      <c r="G2" s="15">
        <v>11040.972938181116</v>
      </c>
      <c r="H2" s="15">
        <v>10537.708222007223</v>
      </c>
      <c r="I2" s="15">
        <v>10046.676115173157</v>
      </c>
      <c r="J2" s="15">
        <v>9669.4704279769212</v>
      </c>
      <c r="K2" s="15">
        <v>7745.4221721094027</v>
      </c>
      <c r="L2" s="15">
        <v>7488.3625635981407</v>
      </c>
      <c r="M2" s="15">
        <v>7231.8570518994893</v>
      </c>
      <c r="N2" s="15">
        <v>6988.0880606584151</v>
      </c>
      <c r="O2" s="15">
        <v>6731.643427136738</v>
      </c>
      <c r="P2" s="15">
        <v>6475.8648576441738</v>
      </c>
      <c r="Q2" s="15">
        <v>6220.5248558176536</v>
      </c>
      <c r="R2" s="15">
        <v>5965.3360819225472</v>
      </c>
      <c r="S2" s="15">
        <v>5724.3469199920364</v>
      </c>
      <c r="T2" s="15">
        <v>5468.286386185162</v>
      </c>
      <c r="U2" s="15">
        <v>5212.4509809336869</v>
      </c>
      <c r="V2" s="15">
        <v>4956.6053474926466</v>
      </c>
      <c r="W2" s="15">
        <v>4700.4554176991533</v>
      </c>
      <c r="X2" s="15">
        <v>4456.2690959111205</v>
      </c>
      <c r="Y2" s="15">
        <v>4198.8375808812834</v>
      </c>
      <c r="Z2" s="15">
        <v>3941.4432563144305</v>
      </c>
      <c r="AA2" s="15">
        <v>3683.6756040665218</v>
      </c>
      <c r="AB2" s="15">
        <v>3425.3040551564582</v>
      </c>
      <c r="AC2" s="15">
        <v>3178.612183327346</v>
      </c>
      <c r="AD2" s="15">
        <v>2918.1941998833959</v>
      </c>
      <c r="AE2" s="15">
        <v>2657.3898123017993</v>
      </c>
      <c r="AF2" s="15">
        <v>2396.0587173952063</v>
      </c>
      <c r="AG2" s="15">
        <v>2134.0051916351217</v>
      </c>
      <c r="AH2" s="15">
        <v>4315.3148815359182</v>
      </c>
      <c r="AI2" s="15">
        <v>0</v>
      </c>
      <c r="AJ2" s="15">
        <v>0</v>
      </c>
      <c r="AK2" s="15">
        <v>0</v>
      </c>
      <c r="AL2" s="15">
        <v>0</v>
      </c>
      <c r="AM2" s="15">
        <v>0</v>
      </c>
      <c r="AN2" s="15">
        <v>0</v>
      </c>
      <c r="AO2" s="15">
        <v>0</v>
      </c>
      <c r="AP2" s="15">
        <v>0</v>
      </c>
      <c r="AQ2" s="15">
        <v>0</v>
      </c>
      <c r="AR2" s="15">
        <v>0</v>
      </c>
      <c r="AS2" s="15">
        <v>0</v>
      </c>
      <c r="AT2" s="15">
        <v>0</v>
      </c>
      <c r="AU2" s="15">
        <v>0</v>
      </c>
      <c r="AV2" s="15">
        <v>0</v>
      </c>
      <c r="AW2" s="15">
        <v>0</v>
      </c>
      <c r="AX2" s="15">
        <v>0</v>
      </c>
      <c r="AY2" s="15">
        <v>0</v>
      </c>
      <c r="AZ2" s="15">
        <v>0</v>
      </c>
      <c r="BA2" s="15">
        <v>0</v>
      </c>
      <c r="BB2" s="15">
        <v>0</v>
      </c>
    </row>
    <row r="3" spans="1:54">
      <c r="A3" s="38">
        <f>NPV('Financial Information'!$B$5,$E3:$AL3)*(1+'Financial Information'!$B$5)</f>
        <v>4322.7037691569139</v>
      </c>
      <c r="B3" s="24">
        <f>NPV('Financial Information'!$B$5,$E3:$BB3)*(1+'Financial Information'!$B$5)</f>
        <v>4322.7037691569139</v>
      </c>
      <c r="C3" s="6" t="s">
        <v>1</v>
      </c>
      <c r="D3" s="15">
        <v>0</v>
      </c>
      <c r="E3" s="15">
        <v>356.99243037972366</v>
      </c>
      <c r="F3" s="15">
        <v>347.47827389975879</v>
      </c>
      <c r="G3" s="15">
        <v>340.16294181765869</v>
      </c>
      <c r="H3" s="15">
        <v>329.18994369450843</v>
      </c>
      <c r="I3" s="15">
        <v>318.21694557135811</v>
      </c>
      <c r="J3" s="15">
        <v>307.24394744820785</v>
      </c>
      <c r="K3" s="15">
        <v>296.27094932505759</v>
      </c>
      <c r="L3" s="15">
        <v>285.29795120190727</v>
      </c>
      <c r="M3" s="15">
        <v>274.32495307875701</v>
      </c>
      <c r="N3" s="15">
        <v>259.69428891455664</v>
      </c>
      <c r="O3" s="15">
        <v>248.72129079140637</v>
      </c>
      <c r="P3" s="15">
        <v>234.09062662720598</v>
      </c>
      <c r="Q3" s="15">
        <v>219.45996246300561</v>
      </c>
      <c r="R3" s="15">
        <v>204.82929829880524</v>
      </c>
      <c r="S3" s="15">
        <v>190.19863413460484</v>
      </c>
      <c r="T3" s="15">
        <v>175.56796997040448</v>
      </c>
      <c r="U3" s="15">
        <v>160.93730580620411</v>
      </c>
      <c r="V3" s="15">
        <v>142.64897560095363</v>
      </c>
      <c r="W3" s="15">
        <v>621.80322697851614</v>
      </c>
      <c r="X3" s="15">
        <v>548.64990615751412</v>
      </c>
      <c r="Y3" s="15">
        <v>548.64990615751412</v>
      </c>
      <c r="Z3" s="15">
        <v>475.49658533651223</v>
      </c>
      <c r="AA3" s="15">
        <v>475.49658533651223</v>
      </c>
      <c r="AB3" s="15">
        <v>420.63159472076075</v>
      </c>
      <c r="AC3" s="15">
        <v>420.63159472076075</v>
      </c>
      <c r="AD3" s="15">
        <v>384.05493431025991</v>
      </c>
      <c r="AE3" s="15">
        <v>365.76660410500949</v>
      </c>
      <c r="AF3" s="15">
        <v>365.76660410500949</v>
      </c>
      <c r="AG3" s="15">
        <v>365.76660410500949</v>
      </c>
      <c r="AH3" s="15">
        <v>274.32495307875712</v>
      </c>
      <c r="AI3" s="15">
        <v>0</v>
      </c>
      <c r="AJ3" s="15">
        <v>0</v>
      </c>
      <c r="AK3" s="15">
        <v>0</v>
      </c>
      <c r="AL3" s="15">
        <f>Trenton!A26</f>
        <v>0</v>
      </c>
      <c r="AM3" s="15">
        <v>0</v>
      </c>
      <c r="AN3" s="15">
        <v>0</v>
      </c>
      <c r="AO3" s="15">
        <v>0</v>
      </c>
      <c r="AP3" s="15">
        <v>0</v>
      </c>
      <c r="AQ3" s="15">
        <v>0</v>
      </c>
      <c r="AR3" s="15">
        <v>0</v>
      </c>
      <c r="AS3" s="15">
        <v>0</v>
      </c>
      <c r="AT3" s="15">
        <v>0</v>
      </c>
      <c r="AU3" s="15">
        <v>0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</row>
    <row r="4" spans="1:54">
      <c r="A4" s="38">
        <f>NPV('Financial Information'!$B$5,$E4:$AL4)*(1+'Financial Information'!$B$5)</f>
        <v>2519.7193510928337</v>
      </c>
      <c r="B4" s="24">
        <f>NPV('Financial Information'!$B$5,$E4:$BB4)*(1+'Financial Information'!$B$5)</f>
        <v>2519.7193510928337</v>
      </c>
      <c r="C4" s="6" t="s">
        <v>2</v>
      </c>
      <c r="D4" s="15">
        <v>0</v>
      </c>
      <c r="E4" s="15">
        <v>132.21912</v>
      </c>
      <c r="F4" s="15">
        <v>136.18569360000001</v>
      </c>
      <c r="G4" s="15">
        <v>140.27126440800001</v>
      </c>
      <c r="H4" s="15">
        <v>144.47940234024</v>
      </c>
      <c r="I4" s="15">
        <v>148.96235157336719</v>
      </c>
      <c r="J4" s="15">
        <v>153.53803995325643</v>
      </c>
      <c r="K4" s="15">
        <v>158.27023200572117</v>
      </c>
      <c r="L4" s="15">
        <v>163.16364945461351</v>
      </c>
      <c r="M4" s="15">
        <v>168.22300369705883</v>
      </c>
      <c r="N4" s="15">
        <v>173.62522615233325</v>
      </c>
      <c r="O4" s="15">
        <v>179.03571752961125</v>
      </c>
      <c r="P4" s="15">
        <v>184.62638743724594</v>
      </c>
      <c r="Q4" s="15">
        <v>190.40193673976188</v>
      </c>
      <c r="R4" s="15">
        <v>196.36708070285118</v>
      </c>
      <c r="S4" s="15">
        <v>202.75617171900308</v>
      </c>
      <c r="T4" s="15">
        <v>209.12165671194828</v>
      </c>
      <c r="U4" s="15">
        <v>215.69130080332258</v>
      </c>
      <c r="V4" s="15">
        <v>222.47001753892599</v>
      </c>
      <c r="W4" s="15">
        <v>229.46281037122577</v>
      </c>
      <c r="X4" s="15">
        <v>236.90625449992226</v>
      </c>
      <c r="Y4" s="15">
        <v>244.34960929225576</v>
      </c>
      <c r="Z4" s="15">
        <v>252.02299187642291</v>
      </c>
      <c r="AA4" s="15">
        <v>259.93196746774129</v>
      </c>
      <c r="AB4" s="15">
        <v>268.08229063981207</v>
      </c>
      <c r="AC4" s="15">
        <v>276.74825384895951</v>
      </c>
      <c r="AD4" s="15">
        <v>285.40744108002588</v>
      </c>
      <c r="AE4" s="15">
        <v>294.32681091769126</v>
      </c>
      <c r="AF4" s="15">
        <v>303.51307234359228</v>
      </c>
      <c r="AG4" s="15">
        <v>312.97321427086291</v>
      </c>
      <c r="AH4" s="15">
        <v>323.02558708272113</v>
      </c>
      <c r="AI4" s="15">
        <v>0</v>
      </c>
      <c r="AJ4" s="15">
        <v>0</v>
      </c>
      <c r="AK4" s="15">
        <v>0</v>
      </c>
      <c r="AL4" s="15">
        <v>0</v>
      </c>
      <c r="AM4" s="15">
        <v>0</v>
      </c>
      <c r="AN4" s="15">
        <v>0</v>
      </c>
      <c r="AO4" s="15">
        <v>0</v>
      </c>
      <c r="AP4" s="15">
        <v>0</v>
      </c>
      <c r="AQ4" s="15">
        <v>0</v>
      </c>
      <c r="AR4" s="15">
        <v>0</v>
      </c>
      <c r="AS4" s="15">
        <v>0</v>
      </c>
      <c r="AT4" s="15">
        <v>0</v>
      </c>
      <c r="AU4" s="15">
        <v>0</v>
      </c>
      <c r="AV4" s="15">
        <v>0</v>
      </c>
      <c r="AW4" s="15">
        <v>0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</row>
    <row r="5" spans="1:54">
      <c r="A5" s="395">
        <f>NPV('Financial Information'!$B$5,$E5:$AL5)*(1+'Financial Information'!$B$5)</f>
        <v>4808.6327024804696</v>
      </c>
      <c r="B5" s="13">
        <f>NPV('Financial Information'!$B$5,$E5:$BB5)*(1+'Financial Information'!$B$5)</f>
        <v>4808.6327024804696</v>
      </c>
      <c r="C5" s="1" t="s">
        <v>3</v>
      </c>
      <c r="D5" s="17">
        <v>0</v>
      </c>
      <c r="E5" s="17">
        <v>342</v>
      </c>
      <c r="F5" s="17">
        <v>342</v>
      </c>
      <c r="G5" s="17">
        <v>342</v>
      </c>
      <c r="H5" s="17">
        <v>342</v>
      </c>
      <c r="I5" s="17">
        <v>342</v>
      </c>
      <c r="J5" s="17">
        <v>351</v>
      </c>
      <c r="K5" s="17">
        <v>351</v>
      </c>
      <c r="L5" s="17">
        <v>351</v>
      </c>
      <c r="M5" s="17">
        <v>351</v>
      </c>
      <c r="N5" s="17">
        <v>351</v>
      </c>
      <c r="O5" s="17">
        <v>351</v>
      </c>
      <c r="P5" s="17">
        <v>351</v>
      </c>
      <c r="Q5" s="17">
        <v>351</v>
      </c>
      <c r="R5" s="17">
        <v>351</v>
      </c>
      <c r="S5" s="17">
        <v>351</v>
      </c>
      <c r="T5" s="17">
        <v>359</v>
      </c>
      <c r="U5" s="17">
        <v>359</v>
      </c>
      <c r="V5" s="17">
        <v>359</v>
      </c>
      <c r="W5" s="17">
        <v>359</v>
      </c>
      <c r="X5" s="17">
        <v>359</v>
      </c>
      <c r="Y5" s="17">
        <v>368</v>
      </c>
      <c r="Z5" s="17">
        <v>368</v>
      </c>
      <c r="AA5" s="17">
        <v>368</v>
      </c>
      <c r="AB5" s="17">
        <v>368</v>
      </c>
      <c r="AC5" s="17">
        <v>368</v>
      </c>
      <c r="AD5" s="17">
        <v>378</v>
      </c>
      <c r="AE5" s="17">
        <v>378</v>
      </c>
      <c r="AF5" s="17">
        <v>378</v>
      </c>
      <c r="AG5" s="17">
        <v>378</v>
      </c>
      <c r="AH5" s="17">
        <v>378</v>
      </c>
      <c r="AI5" s="17">
        <v>0</v>
      </c>
      <c r="AJ5" s="17">
        <v>0</v>
      </c>
      <c r="AK5" s="17">
        <v>0</v>
      </c>
      <c r="AL5" s="17">
        <v>0</v>
      </c>
      <c r="AM5" s="17">
        <v>0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7">
        <v>0</v>
      </c>
      <c r="BA5" s="17">
        <v>0</v>
      </c>
      <c r="BB5" s="17">
        <v>0</v>
      </c>
    </row>
    <row r="6" spans="1:54">
      <c r="A6" s="38">
        <f>NPV('Financial Information'!$B$5,$E6:$AL6)*(1+'Financial Information'!$B$5)</f>
        <v>18300.068474538068</v>
      </c>
      <c r="B6" s="24">
        <f>NPV('Financial Information'!$B$5,$E6:$BB6)*(1+'Financial Information'!$B$5)</f>
        <v>18300.068474538068</v>
      </c>
      <c r="C6" s="6" t="s">
        <v>4</v>
      </c>
      <c r="D6" s="15">
        <v>0</v>
      </c>
      <c r="E6" s="15">
        <v>1009</v>
      </c>
      <c r="F6" s="15">
        <v>1027</v>
      </c>
      <c r="G6" s="15">
        <v>1055</v>
      </c>
      <c r="H6" s="15">
        <v>1075</v>
      </c>
      <c r="I6" s="15">
        <v>1105</v>
      </c>
      <c r="J6" s="15">
        <v>1189</v>
      </c>
      <c r="K6" s="15">
        <v>1213</v>
      </c>
      <c r="L6" s="15">
        <v>1242</v>
      </c>
      <c r="M6" s="15">
        <v>1275</v>
      </c>
      <c r="N6" s="15">
        <v>1306</v>
      </c>
      <c r="O6" s="15">
        <v>1332</v>
      </c>
      <c r="P6" s="15">
        <v>1367</v>
      </c>
      <c r="Q6" s="15">
        <v>1395</v>
      </c>
      <c r="R6" s="15">
        <v>1479</v>
      </c>
      <c r="S6" s="15">
        <v>1471</v>
      </c>
      <c r="T6" s="15">
        <v>1497</v>
      </c>
      <c r="U6" s="15">
        <v>1532</v>
      </c>
      <c r="V6" s="15">
        <v>1573</v>
      </c>
      <c r="W6" s="15">
        <v>1606</v>
      </c>
      <c r="X6" s="15">
        <v>1649</v>
      </c>
      <c r="Y6" s="15">
        <v>1688</v>
      </c>
      <c r="Z6" s="15">
        <v>1723</v>
      </c>
      <c r="AA6" s="15">
        <v>1765</v>
      </c>
      <c r="AB6" s="15">
        <v>1812</v>
      </c>
      <c r="AC6" s="15">
        <v>1856</v>
      </c>
      <c r="AD6" s="15">
        <v>1896</v>
      </c>
      <c r="AE6" s="15">
        <v>1947</v>
      </c>
      <c r="AF6" s="15">
        <v>1989</v>
      </c>
      <c r="AG6" s="15">
        <v>2038</v>
      </c>
      <c r="AH6" s="15">
        <v>2098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</row>
    <row r="7" spans="1:54">
      <c r="A7" s="24">
        <f>NPV('Financial Information'!$B$5,$E7:$AL7)*(1+'Financial Information'!$B$5)</f>
        <v>5299.3724899509834</v>
      </c>
      <c r="B7" s="24">
        <f>NPV('Financial Information'!$B$5,$E7:$BB7)*(1+'Financial Information'!$B$5)</f>
        <v>5376.7817489755607</v>
      </c>
      <c r="C7" s="6" t="s">
        <v>38</v>
      </c>
      <c r="D7" s="15">
        <v>0</v>
      </c>
      <c r="E7" s="15">
        <v>509.30660384825006</v>
      </c>
      <c r="F7" s="15">
        <v>494.0404749121634</v>
      </c>
      <c r="G7" s="15">
        <v>479.34174025947556</v>
      </c>
      <c r="H7" s="15">
        <v>465.16643206748773</v>
      </c>
      <c r="I7" s="15">
        <v>451.47686363102957</v>
      </c>
      <c r="J7" s="15">
        <v>438.23534824493061</v>
      </c>
      <c r="K7" s="15">
        <v>425.40943346862741</v>
      </c>
      <c r="L7" s="15">
        <v>412.96666686155663</v>
      </c>
      <c r="M7" s="15">
        <v>400.58671142976982</v>
      </c>
      <c r="N7" s="15">
        <v>388.20780285090439</v>
      </c>
      <c r="O7" s="15">
        <v>375.82784741911757</v>
      </c>
      <c r="P7" s="15">
        <v>363.44893884025214</v>
      </c>
      <c r="Q7" s="15">
        <v>351.06898340846539</v>
      </c>
      <c r="R7" s="15">
        <v>338.69007482959995</v>
      </c>
      <c r="S7" s="15">
        <v>326.31011939781314</v>
      </c>
      <c r="T7" s="15">
        <v>313.93121081894776</v>
      </c>
      <c r="U7" s="15">
        <v>301.55125538716095</v>
      </c>
      <c r="V7" s="15">
        <v>289.17234680829552</v>
      </c>
      <c r="W7" s="15">
        <v>276.7923913765087</v>
      </c>
      <c r="X7" s="15">
        <v>264.41348279764333</v>
      </c>
      <c r="Y7" s="15">
        <v>254.36905623349992</v>
      </c>
      <c r="Z7" s="15">
        <v>246.66015853699992</v>
      </c>
      <c r="AA7" s="15">
        <v>238.95126084049994</v>
      </c>
      <c r="AB7" s="15">
        <v>231.24236314399991</v>
      </c>
      <c r="AC7" s="15">
        <v>223.53346544749991</v>
      </c>
      <c r="AD7" s="15">
        <v>215.8245677509999</v>
      </c>
      <c r="AE7" s="15">
        <v>208.1156700544999</v>
      </c>
      <c r="AF7" s="15">
        <v>200.40677235799987</v>
      </c>
      <c r="AG7" s="15">
        <v>192.69787466149987</v>
      </c>
      <c r="AH7" s="15">
        <v>184.98897696499986</v>
      </c>
      <c r="AI7" s="15">
        <v>177.28007926849986</v>
      </c>
      <c r="AJ7" s="15">
        <v>177.57118157199983</v>
      </c>
      <c r="AK7" s="15">
        <v>169.86228387549983</v>
      </c>
      <c r="AL7" s="15">
        <v>162.15338617899982</v>
      </c>
      <c r="AM7" s="15">
        <v>154.44448848249982</v>
      </c>
      <c r="AN7" s="15">
        <v>146.73559078599982</v>
      </c>
      <c r="AO7" s="15">
        <v>139.02669308949982</v>
      </c>
      <c r="AP7" s="15">
        <v>131.31779539299981</v>
      </c>
      <c r="AQ7" s="15">
        <v>123.60889769649984</v>
      </c>
      <c r="AR7" s="15">
        <v>116.8999999999975</v>
      </c>
      <c r="AS7" s="15">
        <v>0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</row>
    <row r="8" spans="1:54">
      <c r="A8" s="24">
        <f>NPV('Financial Information'!$B$5,$E8:$AL8)*(1+'Financial Information'!$B$5)</f>
        <v>518.53675018397507</v>
      </c>
      <c r="B8" s="24">
        <f>NPV('Financial Information'!$B$5,$E8:$BB8)*(1+'Financial Information'!$B$5)</f>
        <v>524.76265980644268</v>
      </c>
      <c r="C8" s="6" t="s">
        <v>39</v>
      </c>
      <c r="D8" s="15">
        <v>0</v>
      </c>
      <c r="E8" s="15">
        <v>55</v>
      </c>
      <c r="F8" s="15">
        <v>53</v>
      </c>
      <c r="G8" s="15">
        <v>52</v>
      </c>
      <c r="H8" s="15">
        <v>51</v>
      </c>
      <c r="I8" s="15">
        <v>49</v>
      </c>
      <c r="J8" s="15">
        <v>47</v>
      </c>
      <c r="K8" s="15">
        <v>45</v>
      </c>
      <c r="L8" s="15">
        <v>44</v>
      </c>
      <c r="M8" s="15">
        <v>42</v>
      </c>
      <c r="N8" s="15">
        <v>40</v>
      </c>
      <c r="O8" s="15">
        <v>38</v>
      </c>
      <c r="P8" s="15">
        <v>36</v>
      </c>
      <c r="Q8" s="15">
        <v>34</v>
      </c>
      <c r="R8" s="15">
        <v>31</v>
      </c>
      <c r="S8" s="15">
        <v>29</v>
      </c>
      <c r="T8" s="15">
        <v>27</v>
      </c>
      <c r="U8" s="15">
        <v>25</v>
      </c>
      <c r="V8" s="15">
        <v>22</v>
      </c>
      <c r="W8" s="15">
        <v>19</v>
      </c>
      <c r="X8" s="15">
        <v>17</v>
      </c>
      <c r="Y8" s="15">
        <v>17</v>
      </c>
      <c r="Z8" s="15">
        <v>15</v>
      </c>
      <c r="AA8" s="15">
        <v>15</v>
      </c>
      <c r="AB8" s="15">
        <v>13</v>
      </c>
      <c r="AC8" s="15">
        <v>13</v>
      </c>
      <c r="AD8" s="15">
        <v>12</v>
      </c>
      <c r="AE8" s="15">
        <v>11</v>
      </c>
      <c r="AF8" s="15">
        <v>11</v>
      </c>
      <c r="AG8" s="15">
        <v>11</v>
      </c>
      <c r="AH8" s="15">
        <v>11</v>
      </c>
      <c r="AI8" s="15">
        <v>11</v>
      </c>
      <c r="AJ8" s="15">
        <v>11</v>
      </c>
      <c r="AK8" s="15">
        <v>11</v>
      </c>
      <c r="AL8" s="15">
        <v>11</v>
      </c>
      <c r="AM8" s="15">
        <v>11</v>
      </c>
      <c r="AN8" s="15">
        <v>11</v>
      </c>
      <c r="AO8" s="15">
        <v>11</v>
      </c>
      <c r="AP8" s="15">
        <v>11</v>
      </c>
      <c r="AQ8" s="15">
        <v>11</v>
      </c>
      <c r="AR8" s="15">
        <v>11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</row>
    <row r="9" spans="1:54">
      <c r="A9" s="386">
        <f>NPV('Financial Information'!$B$5,$E9:$AL9)*(1+'Financial Information'!$B$5)</f>
        <v>114.80535887801614</v>
      </c>
      <c r="B9" s="386">
        <f>NPV('Financial Information'!$B$5,$E9:$BB9)*(1+'Financial Information'!$B$5)</f>
        <v>124.24928462568991</v>
      </c>
      <c r="C9" s="12" t="s">
        <v>40</v>
      </c>
      <c r="D9" s="389">
        <v>0</v>
      </c>
      <c r="E9" s="389">
        <v>5.69712</v>
      </c>
      <c r="F9" s="389">
        <v>5.8680336000000004</v>
      </c>
      <c r="G9" s="389">
        <v>6.0440746079999998</v>
      </c>
      <c r="H9" s="389">
        <v>6.2253968462399998</v>
      </c>
      <c r="I9" s="389">
        <v>6.4121587516271994</v>
      </c>
      <c r="J9" s="389">
        <v>6.604523514176015</v>
      </c>
      <c r="K9" s="389">
        <v>6.8026592196012956</v>
      </c>
      <c r="L9" s="389">
        <v>7.0067389961893349</v>
      </c>
      <c r="M9" s="389">
        <v>7.2169411660750145</v>
      </c>
      <c r="N9" s="389">
        <v>7.4334494010572651</v>
      </c>
      <c r="O9" s="389">
        <v>7.6564528830889831</v>
      </c>
      <c r="P9" s="389">
        <v>7.8861464695816528</v>
      </c>
      <c r="Q9" s="389">
        <v>8.1227308636691014</v>
      </c>
      <c r="R9" s="389">
        <v>8.366412789579174</v>
      </c>
      <c r="S9" s="389">
        <v>8.6174051732665493</v>
      </c>
      <c r="T9" s="389">
        <v>8.875927328464547</v>
      </c>
      <c r="U9" s="389">
        <v>9.1422051483184816</v>
      </c>
      <c r="V9" s="389">
        <v>9.416471302768036</v>
      </c>
      <c r="W9" s="389">
        <v>9.6989654418510778</v>
      </c>
      <c r="X9" s="389">
        <v>9.9899344051066095</v>
      </c>
      <c r="Y9" s="389">
        <v>10.289632437259808</v>
      </c>
      <c r="Z9" s="389">
        <v>10.598321410377601</v>
      </c>
      <c r="AA9" s="389">
        <v>10.916271052688929</v>
      </c>
      <c r="AB9" s="389">
        <v>11.243759184269598</v>
      </c>
      <c r="AC9" s="389">
        <v>11.581071959797685</v>
      </c>
      <c r="AD9" s="389">
        <v>11.928504118591615</v>
      </c>
      <c r="AE9" s="389">
        <v>12.286359242149365</v>
      </c>
      <c r="AF9" s="389">
        <v>12.654950019413844</v>
      </c>
      <c r="AG9" s="389">
        <v>13.03459851999626</v>
      </c>
      <c r="AH9" s="389">
        <v>13.425636475596146</v>
      </c>
      <c r="AI9" s="389">
        <v>13.82840556986403</v>
      </c>
      <c r="AJ9" s="389">
        <v>14.243257736959954</v>
      </c>
      <c r="AK9" s="389">
        <v>14.67055546906875</v>
      </c>
      <c r="AL9" s="389">
        <v>15.110672133140813</v>
      </c>
      <c r="AM9" s="389">
        <v>15.563992297135034</v>
      </c>
      <c r="AN9" s="389">
        <v>16.030912066049087</v>
      </c>
      <c r="AO9" s="389">
        <v>16.511839428030559</v>
      </c>
      <c r="AP9" s="389">
        <v>17.007194610871473</v>
      </c>
      <c r="AQ9" s="389">
        <v>17.517410449197619</v>
      </c>
      <c r="AR9" s="389">
        <v>18.042932762673551</v>
      </c>
      <c r="AS9" s="389">
        <v>0</v>
      </c>
      <c r="AT9" s="389">
        <v>0</v>
      </c>
      <c r="AU9" s="389">
        <v>0</v>
      </c>
      <c r="AV9" s="389">
        <v>0</v>
      </c>
      <c r="AW9" s="389">
        <v>0</v>
      </c>
      <c r="AX9" s="389">
        <v>0</v>
      </c>
      <c r="AY9" s="389">
        <v>0</v>
      </c>
      <c r="AZ9" s="389">
        <v>0</v>
      </c>
      <c r="BA9" s="389">
        <v>0</v>
      </c>
      <c r="BB9" s="389">
        <v>0</v>
      </c>
    </row>
    <row r="10" spans="1:54">
      <c r="A10" s="24">
        <f>SUM(A2:A9)</f>
        <v>140522.34491838029</v>
      </c>
      <c r="B10" s="24">
        <f>SUM(B2:B9)</f>
        <v>140615.42401277501</v>
      </c>
      <c r="D10" s="16">
        <f t="shared" ref="D10:BB10" si="1">SUM(D2:D9)</f>
        <v>0</v>
      </c>
      <c r="E10" s="16">
        <f t="shared" si="1"/>
        <v>15037.069969245649</v>
      </c>
      <c r="F10" s="16">
        <f t="shared" si="1"/>
        <v>14107.82394448105</v>
      </c>
      <c r="G10" s="16">
        <f t="shared" si="1"/>
        <v>13455.792959274249</v>
      </c>
      <c r="H10" s="16">
        <f t="shared" si="1"/>
        <v>12950.769396955697</v>
      </c>
      <c r="I10" s="16">
        <f t="shared" si="1"/>
        <v>12467.744434700538</v>
      </c>
      <c r="J10" s="16">
        <f t="shared" si="1"/>
        <v>12162.092287137491</v>
      </c>
      <c r="K10" s="16">
        <f t="shared" si="1"/>
        <v>10241.175446128411</v>
      </c>
      <c r="L10" s="16">
        <f t="shared" si="1"/>
        <v>9993.7975701124087</v>
      </c>
      <c r="M10" s="16">
        <f t="shared" si="1"/>
        <v>9750.2086612711482</v>
      </c>
      <c r="N10" s="16">
        <f t="shared" si="1"/>
        <v>9514.0488279772671</v>
      </c>
      <c r="O10" s="16">
        <f t="shared" si="1"/>
        <v>9263.8847357599625</v>
      </c>
      <c r="P10" s="16">
        <f t="shared" si="1"/>
        <v>9019.9169570184604</v>
      </c>
      <c r="Q10" s="16">
        <f t="shared" si="1"/>
        <v>8769.5784692925572</v>
      </c>
      <c r="R10" s="16">
        <f t="shared" si="1"/>
        <v>8574.5889485433818</v>
      </c>
      <c r="S10" s="16">
        <f t="shared" si="1"/>
        <v>8303.2292504167235</v>
      </c>
      <c r="T10" s="16">
        <f t="shared" si="1"/>
        <v>8058.7831510149272</v>
      </c>
      <c r="U10" s="16">
        <f t="shared" si="1"/>
        <v>7815.7730480786931</v>
      </c>
      <c r="V10" s="16">
        <f t="shared" si="1"/>
        <v>7574.3131587435892</v>
      </c>
      <c r="W10" s="16">
        <f t="shared" si="1"/>
        <v>7822.2128118672554</v>
      </c>
      <c r="X10" s="16">
        <f t="shared" si="1"/>
        <v>7541.2286737713066</v>
      </c>
      <c r="Y10" s="16">
        <f t="shared" si="1"/>
        <v>7329.4957850018127</v>
      </c>
      <c r="Z10" s="16">
        <f t="shared" si="1"/>
        <v>7032.2213134747435</v>
      </c>
      <c r="AA10" s="16">
        <f t="shared" si="1"/>
        <v>6816.9716887639643</v>
      </c>
      <c r="AB10" s="16">
        <f t="shared" si="1"/>
        <v>6549.5040628453007</v>
      </c>
      <c r="AC10" s="16">
        <f t="shared" si="1"/>
        <v>6348.1065693043638</v>
      </c>
      <c r="AD10" s="16">
        <f t="shared" si="1"/>
        <v>6101.4096471432722</v>
      </c>
      <c r="AE10" s="16">
        <f t="shared" si="1"/>
        <v>5873.8852566211481</v>
      </c>
      <c r="AF10" s="16">
        <f t="shared" si="1"/>
        <v>5656.4001162212226</v>
      </c>
      <c r="AG10" s="16">
        <f t="shared" si="1"/>
        <v>5445.4774831924906</v>
      </c>
      <c r="AH10" s="16">
        <f t="shared" si="1"/>
        <v>7598.080035137993</v>
      </c>
      <c r="AI10" s="16">
        <f t="shared" si="1"/>
        <v>202.10848483836389</v>
      </c>
      <c r="AJ10" s="16">
        <f t="shared" si="1"/>
        <v>202.81443930895978</v>
      </c>
      <c r="AK10" s="16">
        <f t="shared" si="1"/>
        <v>195.53283934456857</v>
      </c>
      <c r="AL10" s="16">
        <f t="shared" si="1"/>
        <v>188.26405831214063</v>
      </c>
      <c r="AM10" s="16">
        <f t="shared" si="1"/>
        <v>181.00848077963485</v>
      </c>
      <c r="AN10" s="16">
        <f t="shared" si="1"/>
        <v>173.76650285204892</v>
      </c>
      <c r="AO10" s="16">
        <f t="shared" si="1"/>
        <v>166.53853251753037</v>
      </c>
      <c r="AP10" s="16">
        <f t="shared" si="1"/>
        <v>159.32499000387128</v>
      </c>
      <c r="AQ10" s="16">
        <f t="shared" si="1"/>
        <v>152.12630814569746</v>
      </c>
      <c r="AR10" s="16">
        <f t="shared" si="1"/>
        <v>145.94293276267106</v>
      </c>
      <c r="AS10" s="16">
        <f t="shared" si="1"/>
        <v>0</v>
      </c>
      <c r="AT10" s="16">
        <f t="shared" si="1"/>
        <v>0</v>
      </c>
      <c r="AU10" s="16">
        <f t="shared" si="1"/>
        <v>0</v>
      </c>
      <c r="AV10" s="16">
        <f t="shared" si="1"/>
        <v>0</v>
      </c>
      <c r="AW10" s="16">
        <f t="shared" si="1"/>
        <v>0</v>
      </c>
      <c r="AX10" s="16">
        <f t="shared" si="1"/>
        <v>0</v>
      </c>
      <c r="AY10" s="16">
        <f t="shared" si="1"/>
        <v>0</v>
      </c>
      <c r="AZ10" s="16">
        <f t="shared" si="1"/>
        <v>0</v>
      </c>
      <c r="BA10" s="16">
        <f t="shared" si="1"/>
        <v>0</v>
      </c>
      <c r="BB10" s="16">
        <f t="shared" si="1"/>
        <v>0</v>
      </c>
    </row>
    <row r="11" spans="1:54">
      <c r="A11" s="2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54">
      <c r="A12" s="390"/>
      <c r="B12" s="6">
        <v>74.900000000000006</v>
      </c>
      <c r="C12" s="6" t="str">
        <f>C6&amp;" $/kw"</f>
        <v>O&amp;M $/kw</v>
      </c>
      <c r="E12" s="25">
        <f>E6/74.9</f>
        <v>13.471295060080106</v>
      </c>
      <c r="F12" s="25">
        <f t="shared" ref="F12:AI12" si="2">F6/74.9</f>
        <v>13.71161548731642</v>
      </c>
      <c r="G12" s="25">
        <f t="shared" si="2"/>
        <v>14.085447263017356</v>
      </c>
      <c r="H12" s="25">
        <f t="shared" si="2"/>
        <v>14.352469959946594</v>
      </c>
      <c r="I12" s="25">
        <f t="shared" si="2"/>
        <v>14.753004005340452</v>
      </c>
      <c r="J12" s="25">
        <f t="shared" si="2"/>
        <v>15.874499332443257</v>
      </c>
      <c r="K12" s="25">
        <f t="shared" si="2"/>
        <v>16.194926568758344</v>
      </c>
      <c r="L12" s="25">
        <f t="shared" si="2"/>
        <v>16.582109479305739</v>
      </c>
      <c r="M12" s="25">
        <f t="shared" si="2"/>
        <v>17.022696929238982</v>
      </c>
      <c r="N12" s="25">
        <f t="shared" si="2"/>
        <v>17.436582109479303</v>
      </c>
      <c r="O12" s="25">
        <f t="shared" si="2"/>
        <v>17.783711615487316</v>
      </c>
      <c r="P12" s="25">
        <f t="shared" si="2"/>
        <v>18.251001335113482</v>
      </c>
      <c r="Q12" s="25">
        <f t="shared" si="2"/>
        <v>18.624833110814418</v>
      </c>
      <c r="R12" s="25">
        <f t="shared" si="2"/>
        <v>19.746328437917221</v>
      </c>
      <c r="S12" s="25">
        <f t="shared" si="2"/>
        <v>19.639519359145527</v>
      </c>
      <c r="T12" s="25">
        <f t="shared" si="2"/>
        <v>19.986648865153537</v>
      </c>
      <c r="U12" s="25">
        <f t="shared" si="2"/>
        <v>20.453938584779706</v>
      </c>
      <c r="V12" s="25">
        <f t="shared" si="2"/>
        <v>21.001335113484643</v>
      </c>
      <c r="W12" s="25">
        <f t="shared" si="2"/>
        <v>21.44192256341789</v>
      </c>
      <c r="X12" s="25">
        <f t="shared" si="2"/>
        <v>22.016021361815753</v>
      </c>
      <c r="Y12" s="25">
        <f t="shared" si="2"/>
        <v>22.536715620827767</v>
      </c>
      <c r="Z12" s="25">
        <f t="shared" si="2"/>
        <v>23.004005340453936</v>
      </c>
      <c r="AA12" s="25">
        <f t="shared" si="2"/>
        <v>23.56475300400534</v>
      </c>
      <c r="AB12" s="25">
        <f t="shared" si="2"/>
        <v>24.192256341789051</v>
      </c>
      <c r="AC12" s="25">
        <f t="shared" si="2"/>
        <v>24.779706275033377</v>
      </c>
      <c r="AD12" s="25">
        <f t="shared" si="2"/>
        <v>25.313751668891854</v>
      </c>
      <c r="AE12" s="25">
        <f t="shared" si="2"/>
        <v>25.994659546061413</v>
      </c>
      <c r="AF12" s="25">
        <f t="shared" si="2"/>
        <v>26.555407209612817</v>
      </c>
      <c r="AG12" s="25">
        <f t="shared" si="2"/>
        <v>27.20961281708945</v>
      </c>
      <c r="AH12" s="25">
        <f t="shared" si="2"/>
        <v>28.010680907877166</v>
      </c>
      <c r="AI12" s="25">
        <f t="shared" si="2"/>
        <v>0</v>
      </c>
    </row>
    <row r="13" spans="1:54">
      <c r="A13" s="390"/>
    </row>
    <row r="14" spans="1:54">
      <c r="E14" s="23">
        <f>E6/74.9</f>
        <v>13.471295060080106</v>
      </c>
    </row>
    <row r="15" spans="1:54">
      <c r="E15" s="23">
        <f>E5/74.9</f>
        <v>4.5660881174899863</v>
      </c>
    </row>
    <row r="16" spans="1:54">
      <c r="A16" s="38">
        <f>NPV('Financial Information'!$B$5,$E16:$AL16)*(1+'Financial Information'!$B$5)</f>
        <v>18300.068474538068</v>
      </c>
      <c r="B16" s="24">
        <f>NPV('Financial Information'!$B$5,$D16:$BB16)*(1+'Financial Information'!$B$5)</f>
        <v>17150.95452159144</v>
      </c>
      <c r="C16" s="6" t="str">
        <f>C6</f>
        <v>O&amp;M</v>
      </c>
      <c r="D16" s="6">
        <v>0</v>
      </c>
      <c r="E16" s="16">
        <f>E6</f>
        <v>1009</v>
      </c>
      <c r="F16" s="16">
        <f t="shared" ref="F16:BB16" si="3">F6</f>
        <v>1027</v>
      </c>
      <c r="G16" s="16">
        <f t="shared" si="3"/>
        <v>1055</v>
      </c>
      <c r="H16" s="16">
        <f t="shared" si="3"/>
        <v>1075</v>
      </c>
      <c r="I16" s="16">
        <f t="shared" si="3"/>
        <v>1105</v>
      </c>
      <c r="J16" s="16">
        <f t="shared" si="3"/>
        <v>1189</v>
      </c>
      <c r="K16" s="16">
        <f t="shared" si="3"/>
        <v>1213</v>
      </c>
      <c r="L16" s="16">
        <f t="shared" si="3"/>
        <v>1242</v>
      </c>
      <c r="M16" s="16">
        <f t="shared" si="3"/>
        <v>1275</v>
      </c>
      <c r="N16" s="16">
        <f t="shared" si="3"/>
        <v>1306</v>
      </c>
      <c r="O16" s="16">
        <f t="shared" si="3"/>
        <v>1332</v>
      </c>
      <c r="P16" s="16">
        <f t="shared" si="3"/>
        <v>1367</v>
      </c>
      <c r="Q16" s="16">
        <f t="shared" si="3"/>
        <v>1395</v>
      </c>
      <c r="R16" s="16">
        <f t="shared" si="3"/>
        <v>1479</v>
      </c>
      <c r="S16" s="16">
        <f t="shared" si="3"/>
        <v>1471</v>
      </c>
      <c r="T16" s="16">
        <f t="shared" si="3"/>
        <v>1497</v>
      </c>
      <c r="U16" s="16">
        <f t="shared" si="3"/>
        <v>1532</v>
      </c>
      <c r="V16" s="16">
        <f t="shared" si="3"/>
        <v>1573</v>
      </c>
      <c r="W16" s="16">
        <f t="shared" si="3"/>
        <v>1606</v>
      </c>
      <c r="X16" s="16">
        <f t="shared" si="3"/>
        <v>1649</v>
      </c>
      <c r="Y16" s="16">
        <f t="shared" si="3"/>
        <v>1688</v>
      </c>
      <c r="Z16" s="16">
        <f t="shared" si="3"/>
        <v>1723</v>
      </c>
      <c r="AA16" s="16">
        <f t="shared" si="3"/>
        <v>1765</v>
      </c>
      <c r="AB16" s="16">
        <f t="shared" si="3"/>
        <v>1812</v>
      </c>
      <c r="AC16" s="16">
        <f t="shared" si="3"/>
        <v>1856</v>
      </c>
      <c r="AD16" s="16">
        <f t="shared" si="3"/>
        <v>1896</v>
      </c>
      <c r="AE16" s="16">
        <f t="shared" si="3"/>
        <v>1947</v>
      </c>
      <c r="AF16" s="16">
        <f t="shared" si="3"/>
        <v>1989</v>
      </c>
      <c r="AG16" s="16">
        <f t="shared" si="3"/>
        <v>2038</v>
      </c>
      <c r="AH16" s="16">
        <f t="shared" si="3"/>
        <v>2098</v>
      </c>
      <c r="AI16" s="16">
        <f t="shared" si="3"/>
        <v>0</v>
      </c>
      <c r="AJ16" s="16">
        <f t="shared" si="3"/>
        <v>0</v>
      </c>
      <c r="AK16" s="16">
        <f t="shared" si="3"/>
        <v>0</v>
      </c>
      <c r="AL16" s="16">
        <f t="shared" si="3"/>
        <v>0</v>
      </c>
      <c r="AM16" s="16">
        <f t="shared" si="3"/>
        <v>0</v>
      </c>
      <c r="AN16" s="16">
        <f t="shared" si="3"/>
        <v>0</v>
      </c>
      <c r="AO16" s="16">
        <f t="shared" si="3"/>
        <v>0</v>
      </c>
      <c r="AP16" s="16">
        <f t="shared" si="3"/>
        <v>0</v>
      </c>
      <c r="AQ16" s="16">
        <f t="shared" si="3"/>
        <v>0</v>
      </c>
      <c r="AR16" s="16">
        <f t="shared" si="3"/>
        <v>0</v>
      </c>
      <c r="AS16" s="16">
        <f t="shared" si="3"/>
        <v>0</v>
      </c>
      <c r="AT16" s="16">
        <f t="shared" si="3"/>
        <v>0</v>
      </c>
      <c r="AU16" s="16">
        <f t="shared" si="3"/>
        <v>0</v>
      </c>
      <c r="AV16" s="16">
        <f t="shared" si="3"/>
        <v>0</v>
      </c>
      <c r="AW16" s="16">
        <f t="shared" si="3"/>
        <v>0</v>
      </c>
      <c r="AX16" s="16">
        <f t="shared" si="3"/>
        <v>0</v>
      </c>
      <c r="AY16" s="16">
        <f t="shared" si="3"/>
        <v>0</v>
      </c>
      <c r="AZ16" s="16">
        <f t="shared" si="3"/>
        <v>0</v>
      </c>
      <c r="BA16" s="16">
        <f t="shared" si="3"/>
        <v>0</v>
      </c>
      <c r="BB16" s="16">
        <f t="shared" si="3"/>
        <v>0</v>
      </c>
    </row>
    <row r="17" spans="1:54">
      <c r="A17" s="38">
        <f>NPV('Financial Information'!$B$5,$E17:$AL17)*(1+'Financial Information'!$B$5)</f>
        <v>116289.56184482924</v>
      </c>
      <c r="B17" s="24">
        <f>NPV('Financial Information'!$B$5,$D17:$BB17)*(1+'Financial Information'!$B$5)</f>
        <v>108987.40566525703</v>
      </c>
      <c r="C17" s="6" t="s">
        <v>108</v>
      </c>
      <c r="D17" s="6">
        <v>0</v>
      </c>
      <c r="E17" s="16">
        <f>SUM(E2:E5)</f>
        <v>13458.066245397398</v>
      </c>
      <c r="F17" s="16">
        <f t="shared" ref="F17:BB17" si="4">SUM(F2:F5)</f>
        <v>12527.915435968887</v>
      </c>
      <c r="G17" s="16">
        <f t="shared" si="4"/>
        <v>11863.407144406774</v>
      </c>
      <c r="H17" s="16">
        <f t="shared" si="4"/>
        <v>11353.377568041969</v>
      </c>
      <c r="I17" s="16">
        <f t="shared" si="4"/>
        <v>10855.855412317882</v>
      </c>
      <c r="J17" s="16">
        <f t="shared" si="4"/>
        <v>10481.252415378385</v>
      </c>
      <c r="K17" s="16">
        <f t="shared" si="4"/>
        <v>8550.9633534401819</v>
      </c>
      <c r="L17" s="16">
        <f t="shared" si="4"/>
        <v>8287.8241642546618</v>
      </c>
      <c r="M17" s="16">
        <f t="shared" si="4"/>
        <v>8025.405008675305</v>
      </c>
      <c r="N17" s="16">
        <f t="shared" si="4"/>
        <v>7772.4075757253049</v>
      </c>
      <c r="O17" s="16">
        <f t="shared" si="4"/>
        <v>7510.4004354577555</v>
      </c>
      <c r="P17" s="16">
        <f t="shared" si="4"/>
        <v>7245.5818717086258</v>
      </c>
      <c r="Q17" s="16">
        <f t="shared" si="4"/>
        <v>6981.3867550204213</v>
      </c>
      <c r="R17" s="16">
        <f t="shared" si="4"/>
        <v>6717.5324609242034</v>
      </c>
      <c r="S17" s="16">
        <f t="shared" si="4"/>
        <v>6468.3017258456439</v>
      </c>
      <c r="T17" s="16">
        <f t="shared" si="4"/>
        <v>6211.9760128675143</v>
      </c>
      <c r="U17" s="16">
        <f t="shared" si="4"/>
        <v>5948.0795875432132</v>
      </c>
      <c r="V17" s="16">
        <f t="shared" si="4"/>
        <v>5680.724340632526</v>
      </c>
      <c r="W17" s="16">
        <f t="shared" si="4"/>
        <v>5910.7214550488952</v>
      </c>
      <c r="X17" s="16">
        <f t="shared" si="4"/>
        <v>5600.8252565685571</v>
      </c>
      <c r="Y17" s="16">
        <f t="shared" si="4"/>
        <v>5359.8370963310535</v>
      </c>
      <c r="Z17" s="16">
        <f t="shared" si="4"/>
        <v>5036.9628335273655</v>
      </c>
      <c r="AA17" s="16">
        <f t="shared" si="4"/>
        <v>4787.1041568707751</v>
      </c>
      <c r="AB17" s="16">
        <f t="shared" si="4"/>
        <v>4482.0179405170311</v>
      </c>
      <c r="AC17" s="16">
        <f t="shared" si="4"/>
        <v>4243.9920318970662</v>
      </c>
      <c r="AD17" s="16">
        <f t="shared" si="4"/>
        <v>3965.6565752736815</v>
      </c>
      <c r="AE17" s="16">
        <f t="shared" si="4"/>
        <v>3695.4832273244997</v>
      </c>
      <c r="AF17" s="16">
        <f t="shared" si="4"/>
        <v>3443.3383938438083</v>
      </c>
      <c r="AG17" s="16">
        <f t="shared" si="4"/>
        <v>3190.7450100109941</v>
      </c>
      <c r="AH17" s="16">
        <f t="shared" si="4"/>
        <v>5290.6654216973966</v>
      </c>
      <c r="AI17" s="16">
        <f t="shared" si="4"/>
        <v>0</v>
      </c>
      <c r="AJ17" s="16">
        <f t="shared" si="4"/>
        <v>0</v>
      </c>
      <c r="AK17" s="16">
        <f t="shared" si="4"/>
        <v>0</v>
      </c>
      <c r="AL17" s="16">
        <f t="shared" si="4"/>
        <v>0</v>
      </c>
      <c r="AM17" s="16">
        <f t="shared" si="4"/>
        <v>0</v>
      </c>
      <c r="AN17" s="16">
        <f t="shared" si="4"/>
        <v>0</v>
      </c>
      <c r="AO17" s="16">
        <f t="shared" si="4"/>
        <v>0</v>
      </c>
      <c r="AP17" s="16">
        <f t="shared" si="4"/>
        <v>0</v>
      </c>
      <c r="AQ17" s="16">
        <f t="shared" si="4"/>
        <v>0</v>
      </c>
      <c r="AR17" s="16">
        <f t="shared" si="4"/>
        <v>0</v>
      </c>
      <c r="AS17" s="16">
        <f t="shared" si="4"/>
        <v>0</v>
      </c>
      <c r="AT17" s="16">
        <f t="shared" si="4"/>
        <v>0</v>
      </c>
      <c r="AU17" s="16">
        <f t="shared" si="4"/>
        <v>0</v>
      </c>
      <c r="AV17" s="16">
        <f t="shared" si="4"/>
        <v>0</v>
      </c>
      <c r="AW17" s="16">
        <f t="shared" si="4"/>
        <v>0</v>
      </c>
      <c r="AX17" s="16">
        <f t="shared" si="4"/>
        <v>0</v>
      </c>
      <c r="AY17" s="16">
        <f t="shared" si="4"/>
        <v>0</v>
      </c>
      <c r="AZ17" s="16">
        <f t="shared" si="4"/>
        <v>0</v>
      </c>
      <c r="BA17" s="16">
        <f t="shared" si="4"/>
        <v>0</v>
      </c>
      <c r="BB17" s="16">
        <f t="shared" si="4"/>
        <v>0</v>
      </c>
    </row>
    <row r="18" spans="1:54">
      <c r="A18" s="386">
        <f>NPV('Financial Information'!$B$5,$E18:$AL18)*(1+'Financial Information'!$B$5)</f>
        <v>5932.7145990129748</v>
      </c>
      <c r="B18" s="386">
        <f>NPV('Financial Information'!$B$5,$D18:$BB18)*(1+'Financial Information'!$B$5)</f>
        <v>5647.4167698291412</v>
      </c>
      <c r="C18" s="6" t="s">
        <v>107</v>
      </c>
      <c r="D18" s="6">
        <v>0</v>
      </c>
      <c r="E18" s="16">
        <f>SUM(E7:E9)</f>
        <v>570.00372384825005</v>
      </c>
      <c r="F18" s="16">
        <f t="shared" ref="F18:AS18" si="5">SUM(F7:F9)</f>
        <v>552.90850851216339</v>
      </c>
      <c r="G18" s="16">
        <f t="shared" si="5"/>
        <v>537.38581486747546</v>
      </c>
      <c r="H18" s="16">
        <f t="shared" si="5"/>
        <v>522.39182891372764</v>
      </c>
      <c r="I18" s="16">
        <f t="shared" si="5"/>
        <v>506.88902238265678</v>
      </c>
      <c r="J18" s="16">
        <f t="shared" si="5"/>
        <v>491.83987175910664</v>
      </c>
      <c r="K18" s="16">
        <f t="shared" si="5"/>
        <v>477.21209268822872</v>
      </c>
      <c r="L18" s="16">
        <f t="shared" si="5"/>
        <v>463.97340585774595</v>
      </c>
      <c r="M18" s="16">
        <f t="shared" si="5"/>
        <v>449.80365259584482</v>
      </c>
      <c r="N18" s="16">
        <f t="shared" si="5"/>
        <v>435.64125225196165</v>
      </c>
      <c r="O18" s="16">
        <f t="shared" si="5"/>
        <v>421.48430030220658</v>
      </c>
      <c r="P18" s="16">
        <f t="shared" si="5"/>
        <v>407.3350853098338</v>
      </c>
      <c r="Q18" s="16">
        <f t="shared" si="5"/>
        <v>393.1917142721345</v>
      </c>
      <c r="R18" s="16">
        <f t="shared" si="5"/>
        <v>378.05648761917911</v>
      </c>
      <c r="S18" s="16">
        <f t="shared" si="5"/>
        <v>363.92752457107969</v>
      </c>
      <c r="T18" s="16">
        <f t="shared" si="5"/>
        <v>349.80713814741233</v>
      </c>
      <c r="U18" s="16">
        <f t="shared" si="5"/>
        <v>335.6934605354794</v>
      </c>
      <c r="V18" s="16">
        <f t="shared" si="5"/>
        <v>320.58881811106357</v>
      </c>
      <c r="W18" s="16">
        <f t="shared" si="5"/>
        <v>305.4913568183598</v>
      </c>
      <c r="X18" s="16">
        <f t="shared" si="5"/>
        <v>291.40341720274995</v>
      </c>
      <c r="Y18" s="16">
        <f t="shared" si="5"/>
        <v>281.65868867075972</v>
      </c>
      <c r="Z18" s="16">
        <f t="shared" si="5"/>
        <v>272.25847994737751</v>
      </c>
      <c r="AA18" s="16">
        <f t="shared" si="5"/>
        <v>264.86753189318887</v>
      </c>
      <c r="AB18" s="16">
        <f t="shared" si="5"/>
        <v>255.48612232826952</v>
      </c>
      <c r="AC18" s="16">
        <f t="shared" si="5"/>
        <v>248.1145374072976</v>
      </c>
      <c r="AD18" s="16">
        <f t="shared" si="5"/>
        <v>239.75307186959151</v>
      </c>
      <c r="AE18" s="16">
        <f t="shared" si="5"/>
        <v>231.40202929664926</v>
      </c>
      <c r="AF18" s="16">
        <f t="shared" si="5"/>
        <v>224.0617223774137</v>
      </c>
      <c r="AG18" s="16">
        <f t="shared" si="5"/>
        <v>216.73247318149612</v>
      </c>
      <c r="AH18" s="16">
        <f t="shared" si="5"/>
        <v>209.41461344059601</v>
      </c>
      <c r="AI18" s="16">
        <f t="shared" si="5"/>
        <v>202.10848483836389</v>
      </c>
      <c r="AJ18" s="16">
        <f t="shared" si="5"/>
        <v>202.81443930895978</v>
      </c>
      <c r="AK18" s="16">
        <f t="shared" si="5"/>
        <v>195.53283934456857</v>
      </c>
      <c r="AL18" s="16">
        <f t="shared" si="5"/>
        <v>188.26405831214063</v>
      </c>
      <c r="AM18" s="16">
        <f t="shared" si="5"/>
        <v>181.00848077963485</v>
      </c>
      <c r="AN18" s="16">
        <f t="shared" si="5"/>
        <v>173.76650285204892</v>
      </c>
      <c r="AO18" s="16">
        <f t="shared" si="5"/>
        <v>166.53853251753037</v>
      </c>
      <c r="AP18" s="16">
        <f t="shared" si="5"/>
        <v>159.32499000387128</v>
      </c>
      <c r="AQ18" s="16">
        <f t="shared" si="5"/>
        <v>152.12630814569746</v>
      </c>
      <c r="AR18" s="16">
        <f t="shared" si="5"/>
        <v>145.94293276267106</v>
      </c>
      <c r="AS18" s="16">
        <f t="shared" si="5"/>
        <v>0</v>
      </c>
    </row>
    <row r="19" spans="1:54">
      <c r="A19" s="24">
        <f>SUM(A16:A18)</f>
        <v>140522.34491838029</v>
      </c>
      <c r="B19" s="24">
        <f>SUM(B16:B18)</f>
        <v>131785.77695667761</v>
      </c>
    </row>
    <row r="20" spans="1:54">
      <c r="D20" s="411"/>
      <c r="E20" s="411"/>
      <c r="F20" s="411"/>
      <c r="G20" s="411"/>
    </row>
    <row r="21" spans="1:54">
      <c r="D21" s="390"/>
      <c r="F21" s="390"/>
    </row>
    <row r="22" spans="1:54">
      <c r="A22" s="385"/>
      <c r="D22" s="390"/>
      <c r="F22" s="390"/>
    </row>
    <row r="23" spans="1:54">
      <c r="A23" s="24"/>
      <c r="D23" s="390"/>
      <c r="F23" s="390"/>
    </row>
    <row r="24" spans="1:54">
      <c r="A24" s="24"/>
      <c r="D24" s="157"/>
      <c r="F24" s="157"/>
    </row>
    <row r="25" spans="1:54">
      <c r="A25" s="24"/>
      <c r="D25" s="390"/>
      <c r="F25" s="390"/>
    </row>
    <row r="26" spans="1:54">
      <c r="A26" s="24"/>
      <c r="D26" s="153"/>
      <c r="E26" s="160"/>
      <c r="F26" s="153"/>
    </row>
    <row r="27" spans="1:54">
      <c r="A27" s="24"/>
      <c r="D27" s="153"/>
      <c r="E27" s="160"/>
      <c r="F27" s="153"/>
    </row>
    <row r="28" spans="1:54">
      <c r="A28" s="24"/>
      <c r="D28" s="390"/>
      <c r="F28" s="390"/>
    </row>
    <row r="29" spans="1:54">
      <c r="A29" s="24"/>
      <c r="D29" s="390"/>
      <c r="F29" s="390"/>
    </row>
    <row r="30" spans="1:54">
      <c r="A30" s="24"/>
    </row>
    <row r="31" spans="1:54">
      <c r="A31" s="24"/>
      <c r="D31" s="37"/>
      <c r="F31" s="37"/>
    </row>
    <row r="32" spans="1:54">
      <c r="A32" s="24"/>
      <c r="D32" s="37"/>
      <c r="F32" s="37"/>
    </row>
    <row r="33" spans="1:6">
      <c r="A33" s="24"/>
      <c r="D33" s="37"/>
      <c r="F33" s="37"/>
    </row>
    <row r="34" spans="1:6">
      <c r="A34" s="24"/>
      <c r="D34" s="392"/>
      <c r="F34" s="392"/>
    </row>
    <row r="35" spans="1:6">
      <c r="A35" s="24"/>
    </row>
    <row r="36" spans="1:6">
      <c r="A36" s="24"/>
    </row>
    <row r="37" spans="1:6">
      <c r="A37" s="24"/>
    </row>
    <row r="38" spans="1:6">
      <c r="A38" s="24"/>
    </row>
    <row r="39" spans="1:6">
      <c r="A39" s="24"/>
    </row>
    <row r="40" spans="1:6">
      <c r="A40" s="24"/>
    </row>
    <row r="53" spans="4:6">
      <c r="D53" s="154"/>
      <c r="F53" s="155"/>
    </row>
    <row r="54" spans="4:6">
      <c r="D54" s="153"/>
      <c r="F54" s="155"/>
    </row>
    <row r="55" spans="4:6">
      <c r="D55" s="154"/>
      <c r="F55" s="155"/>
    </row>
    <row r="56" spans="4:6">
      <c r="D56" s="154"/>
      <c r="F56" s="155"/>
    </row>
    <row r="57" spans="4:6">
      <c r="D57" s="154"/>
      <c r="F57" s="155"/>
    </row>
    <row r="58" spans="4:6">
      <c r="D58" s="390"/>
    </row>
    <row r="59" spans="4:6">
      <c r="D59" s="390"/>
      <c r="F59" s="155"/>
    </row>
    <row r="60" spans="4:6">
      <c r="D60" s="390"/>
      <c r="F60" s="155"/>
    </row>
    <row r="61" spans="4:6">
      <c r="D61" s="390"/>
      <c r="F61" s="155"/>
    </row>
    <row r="62" spans="4:6">
      <c r="D62" s="155"/>
      <c r="F62" s="155"/>
    </row>
    <row r="63" spans="4:6">
      <c r="D63" s="155"/>
    </row>
    <row r="64" spans="4:6">
      <c r="D64" s="155"/>
    </row>
    <row r="65" spans="4:4">
      <c r="D65" s="155"/>
    </row>
    <row r="66" spans="4:4">
      <c r="D66" s="155"/>
    </row>
    <row r="67" spans="4:4">
      <c r="D67" s="155"/>
    </row>
    <row r="68" spans="4:4">
      <c r="D68" s="155"/>
    </row>
    <row r="69" spans="4:4">
      <c r="D69" s="155"/>
    </row>
    <row r="70" spans="4:4">
      <c r="D70" s="155"/>
    </row>
    <row r="71" spans="4:4">
      <c r="D71" s="155"/>
    </row>
  </sheetData>
  <mergeCells count="2">
    <mergeCell ref="F20:G20"/>
    <mergeCell ref="D20:E2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BB57"/>
  <sheetViews>
    <sheetView workbookViewId="0">
      <selection activeCell="J35" sqref="J35"/>
    </sheetView>
  </sheetViews>
  <sheetFormatPr defaultColWidth="8.90625" defaultRowHeight="14.5"/>
  <cols>
    <col min="1" max="1" width="11.90625" style="6" bestFit="1" customWidth="1"/>
    <col min="2" max="2" width="11.90625" style="6" customWidth="1"/>
    <col min="3" max="3" width="38.453125" style="6" bestFit="1" customWidth="1"/>
    <col min="4" max="4" width="8.36328125" style="6" bestFit="1" customWidth="1"/>
    <col min="5" max="5" width="9.453125" style="6" customWidth="1"/>
    <col min="6" max="10" width="8.36328125" style="6" bestFit="1" customWidth="1"/>
    <col min="11" max="15" width="8.08984375" style="6" bestFit="1" customWidth="1"/>
    <col min="16" max="35" width="8" style="6" bestFit="1" customWidth="1"/>
    <col min="36" max="36" width="5.08984375" style="6" bestFit="1" customWidth="1"/>
    <col min="37" max="16384" width="8.90625" style="6"/>
  </cols>
  <sheetData>
    <row r="1" spans="1:54">
      <c r="A1" s="385" t="s">
        <v>230</v>
      </c>
      <c r="B1" s="385" t="s">
        <v>5</v>
      </c>
      <c r="C1" s="388">
        <v>43800</v>
      </c>
      <c r="D1" s="385">
        <v>2019</v>
      </c>
      <c r="E1" s="385">
        <f t="shared" ref="E1:BB1" si="0">D1+1</f>
        <v>2020</v>
      </c>
      <c r="F1" s="385">
        <f t="shared" si="0"/>
        <v>2021</v>
      </c>
      <c r="G1" s="385">
        <f t="shared" si="0"/>
        <v>2022</v>
      </c>
      <c r="H1" s="385">
        <f t="shared" si="0"/>
        <v>2023</v>
      </c>
      <c r="I1" s="385">
        <f t="shared" si="0"/>
        <v>2024</v>
      </c>
      <c r="J1" s="385">
        <f t="shared" si="0"/>
        <v>2025</v>
      </c>
      <c r="K1" s="385">
        <f t="shared" si="0"/>
        <v>2026</v>
      </c>
      <c r="L1" s="385">
        <f t="shared" si="0"/>
        <v>2027</v>
      </c>
      <c r="M1" s="385">
        <f t="shared" si="0"/>
        <v>2028</v>
      </c>
      <c r="N1" s="385">
        <f t="shared" si="0"/>
        <v>2029</v>
      </c>
      <c r="O1" s="385">
        <f t="shared" si="0"/>
        <v>2030</v>
      </c>
      <c r="P1" s="385">
        <f t="shared" si="0"/>
        <v>2031</v>
      </c>
      <c r="Q1" s="385">
        <f t="shared" si="0"/>
        <v>2032</v>
      </c>
      <c r="R1" s="385">
        <f t="shared" si="0"/>
        <v>2033</v>
      </c>
      <c r="S1" s="385">
        <f t="shared" si="0"/>
        <v>2034</v>
      </c>
      <c r="T1" s="385">
        <f t="shared" si="0"/>
        <v>2035</v>
      </c>
      <c r="U1" s="385">
        <f t="shared" si="0"/>
        <v>2036</v>
      </c>
      <c r="V1" s="385">
        <f t="shared" si="0"/>
        <v>2037</v>
      </c>
      <c r="W1" s="385">
        <f t="shared" si="0"/>
        <v>2038</v>
      </c>
      <c r="X1" s="385">
        <f t="shared" si="0"/>
        <v>2039</v>
      </c>
      <c r="Y1" s="385">
        <f t="shared" si="0"/>
        <v>2040</v>
      </c>
      <c r="Z1" s="385">
        <f t="shared" si="0"/>
        <v>2041</v>
      </c>
      <c r="AA1" s="385">
        <f t="shared" si="0"/>
        <v>2042</v>
      </c>
      <c r="AB1" s="385">
        <f t="shared" si="0"/>
        <v>2043</v>
      </c>
      <c r="AC1" s="385">
        <f t="shared" si="0"/>
        <v>2044</v>
      </c>
      <c r="AD1" s="385">
        <f t="shared" si="0"/>
        <v>2045</v>
      </c>
      <c r="AE1" s="385">
        <f t="shared" si="0"/>
        <v>2046</v>
      </c>
      <c r="AF1" s="385">
        <f t="shared" si="0"/>
        <v>2047</v>
      </c>
      <c r="AG1" s="385">
        <f t="shared" si="0"/>
        <v>2048</v>
      </c>
      <c r="AH1" s="385">
        <f t="shared" si="0"/>
        <v>2049</v>
      </c>
      <c r="AI1" s="385">
        <f t="shared" si="0"/>
        <v>2050</v>
      </c>
      <c r="AJ1" s="385">
        <f t="shared" si="0"/>
        <v>2051</v>
      </c>
      <c r="AK1" s="385">
        <f t="shared" si="0"/>
        <v>2052</v>
      </c>
      <c r="AL1" s="385">
        <f t="shared" si="0"/>
        <v>2053</v>
      </c>
      <c r="AM1" s="385">
        <f t="shared" si="0"/>
        <v>2054</v>
      </c>
      <c r="AN1" s="385">
        <f t="shared" si="0"/>
        <v>2055</v>
      </c>
      <c r="AO1" s="385">
        <f t="shared" si="0"/>
        <v>2056</v>
      </c>
      <c r="AP1" s="385">
        <f t="shared" si="0"/>
        <v>2057</v>
      </c>
      <c r="AQ1" s="385">
        <f t="shared" si="0"/>
        <v>2058</v>
      </c>
      <c r="AR1" s="385">
        <f t="shared" si="0"/>
        <v>2059</v>
      </c>
      <c r="AS1" s="385">
        <f t="shared" si="0"/>
        <v>2060</v>
      </c>
      <c r="AT1" s="385">
        <f t="shared" si="0"/>
        <v>2061</v>
      </c>
      <c r="AU1" s="385">
        <f t="shared" si="0"/>
        <v>2062</v>
      </c>
      <c r="AV1" s="385">
        <f t="shared" si="0"/>
        <v>2063</v>
      </c>
      <c r="AW1" s="385">
        <f t="shared" si="0"/>
        <v>2064</v>
      </c>
      <c r="AX1" s="385">
        <f t="shared" si="0"/>
        <v>2065</v>
      </c>
      <c r="AY1" s="385">
        <f t="shared" si="0"/>
        <v>2066</v>
      </c>
      <c r="AZ1" s="385">
        <f t="shared" si="0"/>
        <v>2067</v>
      </c>
      <c r="BA1" s="385">
        <f t="shared" si="0"/>
        <v>2068</v>
      </c>
      <c r="BB1" s="385">
        <f t="shared" si="0"/>
        <v>2069</v>
      </c>
    </row>
    <row r="2" spans="1:54">
      <c r="A2" s="38">
        <f>NPV('Financial Information'!$B$5,$E2:$AL2)*(1+'Financial Information'!$B$5)</f>
        <v>63458.705733840325</v>
      </c>
      <c r="B2" s="24">
        <f>NPV('Financial Information'!$B$5,$E2:$BB2)*(1+'Financial Information'!$B$5)</f>
        <v>63458.705733840325</v>
      </c>
      <c r="C2" s="6" t="s">
        <v>0</v>
      </c>
      <c r="D2" s="15">
        <v>0</v>
      </c>
      <c r="E2" s="15">
        <v>7622.3329217947148</v>
      </c>
      <c r="F2" s="15">
        <v>7066.7125757913554</v>
      </c>
      <c r="G2" s="15">
        <v>6669.4116550774888</v>
      </c>
      <c r="H2" s="15">
        <v>6367.1196685004625</v>
      </c>
      <c r="I2" s="15">
        <v>6064.8736116670952</v>
      </c>
      <c r="J2" s="15">
        <v>5846.0736473508241</v>
      </c>
      <c r="K2" s="15">
        <v>4688.0384098905233</v>
      </c>
      <c r="L2" s="15">
        <v>4533.8127761822207</v>
      </c>
      <c r="M2" s="15">
        <v>4380.1635350581928</v>
      </c>
      <c r="N2" s="15">
        <v>4226.8855211290856</v>
      </c>
      <c r="O2" s="15">
        <v>4086.2098216928225</v>
      </c>
      <c r="P2" s="15">
        <v>3932.7343555545704</v>
      </c>
      <c r="Q2" s="15">
        <v>3779.8041795090103</v>
      </c>
      <c r="R2" s="15">
        <v>3627.2249532732562</v>
      </c>
      <c r="S2" s="15">
        <v>3474.741417727002</v>
      </c>
      <c r="T2" s="15">
        <v>3336.442122387969</v>
      </c>
      <c r="U2" s="15">
        <v>3183.0776775466547</v>
      </c>
      <c r="V2" s="15">
        <v>3029.964272541687</v>
      </c>
      <c r="W2" s="15">
        <v>2876.9006686411199</v>
      </c>
      <c r="X2" s="15">
        <v>2723.619499007531</v>
      </c>
      <c r="Y2" s="15">
        <v>2582.6249920819055</v>
      </c>
      <c r="Z2" s="15">
        <v>2428.4947968528195</v>
      </c>
      <c r="AA2" s="15">
        <v>2274.3163586523015</v>
      </c>
      <c r="AB2" s="15">
        <v>2119.9308016710856</v>
      </c>
      <c r="AC2" s="15">
        <v>1965.1230522972542</v>
      </c>
      <c r="AD2" s="15">
        <v>1822.1906048300107</v>
      </c>
      <c r="AE2" s="15">
        <v>1665.7369254482446</v>
      </c>
      <c r="AF2" s="15">
        <v>1509.1076583571494</v>
      </c>
      <c r="AG2" s="15">
        <v>1352.1690692286297</v>
      </c>
      <c r="AH2" s="15">
        <v>2774.5310884093788</v>
      </c>
      <c r="AI2" s="15">
        <v>0</v>
      </c>
      <c r="AJ2" s="15">
        <v>0</v>
      </c>
      <c r="AK2" s="15">
        <v>0</v>
      </c>
      <c r="AL2" s="15">
        <v>0</v>
      </c>
      <c r="AM2" s="15">
        <v>0</v>
      </c>
      <c r="AN2" s="15">
        <v>0</v>
      </c>
      <c r="AO2" s="15">
        <v>0</v>
      </c>
      <c r="AP2" s="15">
        <v>0</v>
      </c>
      <c r="AQ2" s="15">
        <v>0</v>
      </c>
      <c r="AR2" s="15">
        <v>0</v>
      </c>
      <c r="AS2" s="15">
        <v>0</v>
      </c>
      <c r="AT2" s="15">
        <v>0</v>
      </c>
      <c r="AU2" s="15">
        <v>0</v>
      </c>
      <c r="AV2" s="15">
        <v>0</v>
      </c>
      <c r="AW2" s="15">
        <v>0</v>
      </c>
      <c r="AX2" s="15">
        <v>0</v>
      </c>
      <c r="AY2" s="15">
        <v>0</v>
      </c>
      <c r="AZ2" s="15">
        <v>0</v>
      </c>
      <c r="BA2" s="15">
        <v>0</v>
      </c>
      <c r="BB2" s="15">
        <v>0</v>
      </c>
    </row>
    <row r="3" spans="1:54">
      <c r="A3" s="38">
        <f>NPV('Financial Information'!$B$5,$E3:$AL3)*(1+'Financial Information'!$B$5)</f>
        <v>2230.0211676948884</v>
      </c>
      <c r="B3" s="24">
        <f>NPV('Financial Information'!$B$5,$E3:$BB3)*(1+'Financial Information'!$B$5)</f>
        <v>2230.0211676948884</v>
      </c>
      <c r="C3" s="6" t="s">
        <v>1</v>
      </c>
      <c r="D3" s="15">
        <v>0</v>
      </c>
      <c r="E3" s="15">
        <v>184.06742112805938</v>
      </c>
      <c r="F3" s="15">
        <v>179.0488570888277</v>
      </c>
      <c r="G3" s="15">
        <v>175.32221742801028</v>
      </c>
      <c r="H3" s="15">
        <v>169.73225793678412</v>
      </c>
      <c r="I3" s="15">
        <v>164.14229844555794</v>
      </c>
      <c r="J3" s="15">
        <v>158.55233895433184</v>
      </c>
      <c r="K3" s="15">
        <v>152.96237946310572</v>
      </c>
      <c r="L3" s="15">
        <v>147.37241997187962</v>
      </c>
      <c r="M3" s="15">
        <v>141.78246048065344</v>
      </c>
      <c r="N3" s="15">
        <v>134.32918115901859</v>
      </c>
      <c r="O3" s="15">
        <v>128.73922166779244</v>
      </c>
      <c r="P3" s="15">
        <v>121.2859423461576</v>
      </c>
      <c r="Q3" s="15">
        <v>113.83266302452276</v>
      </c>
      <c r="R3" s="15">
        <v>106.37938370288792</v>
      </c>
      <c r="S3" s="15">
        <v>98.926104381253054</v>
      </c>
      <c r="T3" s="15">
        <v>91.472825059618188</v>
      </c>
      <c r="U3" s="15">
        <v>84.019545737983364</v>
      </c>
      <c r="V3" s="15">
        <v>74.702946585939813</v>
      </c>
      <c r="W3" s="15">
        <v>318.7978443694812</v>
      </c>
      <c r="X3" s="15">
        <v>281.53144776130688</v>
      </c>
      <c r="Y3" s="15">
        <v>281.53144776130688</v>
      </c>
      <c r="Z3" s="15">
        <v>244.26505115313267</v>
      </c>
      <c r="AA3" s="15">
        <v>244.26505115313267</v>
      </c>
      <c r="AB3" s="15">
        <v>216.31525369700202</v>
      </c>
      <c r="AC3" s="15">
        <v>216.31525369700202</v>
      </c>
      <c r="AD3" s="15">
        <v>197.68205539291486</v>
      </c>
      <c r="AE3" s="15">
        <v>188.36545624087131</v>
      </c>
      <c r="AF3" s="15">
        <v>188.36545624087131</v>
      </c>
      <c r="AG3" s="15">
        <v>188.36545624087131</v>
      </c>
      <c r="AH3" s="15">
        <v>141.68078682065351</v>
      </c>
      <c r="AI3" s="15">
        <v>0</v>
      </c>
      <c r="AJ3" s="15">
        <v>0</v>
      </c>
      <c r="AK3" s="15">
        <v>0</v>
      </c>
      <c r="AL3" s="15">
        <v>0</v>
      </c>
      <c r="AM3" s="15">
        <v>0</v>
      </c>
      <c r="AN3" s="15">
        <v>0</v>
      </c>
      <c r="AO3" s="15">
        <v>0</v>
      </c>
      <c r="AP3" s="15">
        <v>0</v>
      </c>
      <c r="AQ3" s="15">
        <v>0</v>
      </c>
      <c r="AR3" s="15">
        <v>0</v>
      </c>
      <c r="AS3" s="15">
        <v>0</v>
      </c>
      <c r="AT3" s="15">
        <v>0</v>
      </c>
      <c r="AU3" s="15">
        <v>0</v>
      </c>
      <c r="AV3" s="15">
        <v>0</v>
      </c>
      <c r="AW3" s="15">
        <v>0</v>
      </c>
      <c r="AX3" s="15">
        <v>0</v>
      </c>
      <c r="AY3" s="15">
        <v>0</v>
      </c>
      <c r="AZ3" s="15">
        <v>0</v>
      </c>
      <c r="BA3" s="15">
        <v>0</v>
      </c>
      <c r="BB3" s="15">
        <v>0</v>
      </c>
    </row>
    <row r="4" spans="1:54">
      <c r="A4" s="38">
        <f>NPV('Financial Information'!$B$5,$E4:$AL4)*(1+'Financial Information'!$B$5)</f>
        <v>1526.6138801467605</v>
      </c>
      <c r="B4" s="24">
        <f>NPV('Financial Information'!$B$5,$E4:$BB4)*(1+'Financial Information'!$B$5)</f>
        <v>1526.6138801467605</v>
      </c>
      <c r="C4" s="6" t="s">
        <v>2</v>
      </c>
      <c r="D4" s="15">
        <v>0</v>
      </c>
      <c r="E4" s="15">
        <v>80.003879999999995</v>
      </c>
      <c r="F4" s="15">
        <v>82.403996399999997</v>
      </c>
      <c r="G4" s="15">
        <v>84.876116291999992</v>
      </c>
      <c r="H4" s="15">
        <v>87.422399780759989</v>
      </c>
      <c r="I4" s="15">
        <v>90.045071774182787</v>
      </c>
      <c r="J4" s="15">
        <v>92.899448105215868</v>
      </c>
      <c r="K4" s="15">
        <v>95.761498299961801</v>
      </c>
      <c r="L4" s="15">
        <v>98.72289787032652</v>
      </c>
      <c r="M4" s="15">
        <v>101.7866319529965</v>
      </c>
      <c r="N4" s="15">
        <v>104.95566617390716</v>
      </c>
      <c r="O4" s="15">
        <v>108.41034351712298</v>
      </c>
      <c r="P4" s="15">
        <v>111.80411995305003</v>
      </c>
      <c r="Q4" s="15">
        <v>115.31214338433004</v>
      </c>
      <c r="R4" s="15">
        <v>118.93732189601577</v>
      </c>
      <c r="S4" s="15">
        <v>122.68256031466892</v>
      </c>
      <c r="T4" s="15">
        <v>126.78726767010377</v>
      </c>
      <c r="U4" s="15">
        <v>130.78846376124056</v>
      </c>
      <c r="V4" s="15">
        <v>134.91871441884496</v>
      </c>
      <c r="W4" s="15">
        <v>139.18101104303352</v>
      </c>
      <c r="X4" s="15">
        <v>143.5783943323469</v>
      </c>
      <c r="Y4" s="15">
        <v>148.35237426394755</v>
      </c>
      <c r="Z4" s="15">
        <v>153.03646934105882</v>
      </c>
      <c r="AA4" s="15">
        <v>157.86541870734908</v>
      </c>
      <c r="AB4" s="15">
        <v>162.84260344165395</v>
      </c>
      <c r="AC4" s="15">
        <v>167.97152335486959</v>
      </c>
      <c r="AD4" s="15">
        <v>173.53218936399378</v>
      </c>
      <c r="AE4" s="15">
        <v>178.98391331736377</v>
      </c>
      <c r="AF4" s="15">
        <v>184.59896736530493</v>
      </c>
      <c r="AG4" s="15">
        <v>190.38146512622401</v>
      </c>
      <c r="AH4" s="15">
        <v>196.33570152988517</v>
      </c>
      <c r="AI4" s="15">
        <v>0</v>
      </c>
      <c r="AJ4" s="15">
        <v>0</v>
      </c>
      <c r="AK4" s="15">
        <v>0</v>
      </c>
      <c r="AL4" s="15">
        <v>0</v>
      </c>
      <c r="AM4" s="15">
        <v>0</v>
      </c>
      <c r="AN4" s="15">
        <v>0</v>
      </c>
      <c r="AO4" s="15">
        <v>0</v>
      </c>
      <c r="AP4" s="15">
        <v>0</v>
      </c>
      <c r="AQ4" s="15">
        <v>0</v>
      </c>
      <c r="AR4" s="15">
        <v>0</v>
      </c>
      <c r="AS4" s="15">
        <v>0</v>
      </c>
      <c r="AT4" s="15">
        <v>0</v>
      </c>
      <c r="AU4" s="15">
        <v>0</v>
      </c>
      <c r="AV4" s="15">
        <v>0</v>
      </c>
      <c r="AW4" s="15">
        <v>0</v>
      </c>
      <c r="AX4" s="15">
        <v>0</v>
      </c>
      <c r="AY4" s="15">
        <v>0</v>
      </c>
      <c r="AZ4" s="15">
        <v>0</v>
      </c>
      <c r="BA4" s="15">
        <v>0</v>
      </c>
      <c r="BB4" s="15">
        <v>0</v>
      </c>
    </row>
    <row r="5" spans="1:54">
      <c r="A5" s="395">
        <f>NPV('Financial Information'!$B$5,$E5:$AL5)*(1+'Financial Information'!$B$5)</f>
        <v>5275.7230605053255</v>
      </c>
      <c r="B5" s="13">
        <f>NPV('Financial Information'!$B$5,$E5:$BB5)*(1+'Financial Information'!$B$5)</f>
        <v>5275.7230605053255</v>
      </c>
      <c r="C5" s="1" t="s">
        <v>3</v>
      </c>
      <c r="D5" s="17">
        <v>0</v>
      </c>
      <c r="E5" s="17">
        <v>314</v>
      </c>
      <c r="F5" s="17">
        <v>320</v>
      </c>
      <c r="G5" s="17">
        <v>326</v>
      </c>
      <c r="H5" s="17">
        <v>333</v>
      </c>
      <c r="I5" s="17">
        <v>339</v>
      </c>
      <c r="J5" s="17">
        <v>346</v>
      </c>
      <c r="K5" s="17">
        <v>353</v>
      </c>
      <c r="L5" s="17">
        <v>360</v>
      </c>
      <c r="M5" s="17">
        <v>367</v>
      </c>
      <c r="N5" s="17">
        <v>375</v>
      </c>
      <c r="O5" s="17">
        <v>382</v>
      </c>
      <c r="P5" s="17">
        <v>390</v>
      </c>
      <c r="Q5" s="17">
        <v>398</v>
      </c>
      <c r="R5" s="17">
        <v>406</v>
      </c>
      <c r="S5" s="17">
        <v>414</v>
      </c>
      <c r="T5" s="17">
        <v>422</v>
      </c>
      <c r="U5" s="17">
        <v>430</v>
      </c>
      <c r="V5" s="17">
        <v>439</v>
      </c>
      <c r="W5" s="17">
        <v>448</v>
      </c>
      <c r="X5" s="17">
        <v>457</v>
      </c>
      <c r="Y5" s="17">
        <v>466</v>
      </c>
      <c r="Z5" s="17">
        <v>475</v>
      </c>
      <c r="AA5" s="17">
        <v>485</v>
      </c>
      <c r="AB5" s="17">
        <v>494</v>
      </c>
      <c r="AC5" s="17">
        <v>504</v>
      </c>
      <c r="AD5" s="17">
        <v>514</v>
      </c>
      <c r="AE5" s="17">
        <v>525</v>
      </c>
      <c r="AF5" s="17">
        <v>535</v>
      </c>
      <c r="AG5" s="17">
        <v>546</v>
      </c>
      <c r="AH5" s="17">
        <v>557</v>
      </c>
      <c r="AI5" s="17">
        <v>0</v>
      </c>
      <c r="AJ5" s="17">
        <v>0</v>
      </c>
      <c r="AK5" s="17">
        <v>0</v>
      </c>
      <c r="AL5" s="17">
        <v>0</v>
      </c>
      <c r="AM5" s="17">
        <v>0</v>
      </c>
      <c r="AN5" s="17">
        <v>0</v>
      </c>
      <c r="AO5" s="17">
        <v>0</v>
      </c>
      <c r="AP5" s="17">
        <v>0</v>
      </c>
      <c r="AQ5" s="17">
        <v>0</v>
      </c>
      <c r="AR5" s="17">
        <v>0</v>
      </c>
      <c r="AS5" s="17">
        <v>0</v>
      </c>
      <c r="AT5" s="17">
        <v>0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7">
        <v>0</v>
      </c>
      <c r="BA5" s="17">
        <v>0</v>
      </c>
      <c r="BB5" s="17">
        <v>0</v>
      </c>
    </row>
    <row r="6" spans="1:54">
      <c r="A6" s="38">
        <f>NPV('Financial Information'!$B$5,$E6:$AL6)*(1+'Financial Information'!$B$5)</f>
        <v>10430.766415246899</v>
      </c>
      <c r="B6" s="24">
        <f>NPV('Financial Information'!$B$5,$E6:$BB6)*(1+'Financial Information'!$B$5)</f>
        <v>10430.766415246899</v>
      </c>
      <c r="C6" s="6" t="s">
        <v>4</v>
      </c>
      <c r="D6" s="15">
        <v>0</v>
      </c>
      <c r="E6" s="15">
        <v>575</v>
      </c>
      <c r="F6" s="15">
        <v>583</v>
      </c>
      <c r="G6" s="15">
        <v>596</v>
      </c>
      <c r="H6" s="15">
        <v>610</v>
      </c>
      <c r="I6" s="15">
        <v>629</v>
      </c>
      <c r="J6" s="15">
        <v>677</v>
      </c>
      <c r="K6" s="15">
        <v>693</v>
      </c>
      <c r="L6" s="15">
        <v>710</v>
      </c>
      <c r="M6" s="15">
        <v>726</v>
      </c>
      <c r="N6" s="15">
        <v>748</v>
      </c>
      <c r="O6" s="15">
        <v>761</v>
      </c>
      <c r="P6" s="15">
        <v>779</v>
      </c>
      <c r="Q6" s="15">
        <v>797</v>
      </c>
      <c r="R6" s="15">
        <v>856</v>
      </c>
      <c r="S6" s="15">
        <v>840</v>
      </c>
      <c r="T6" s="15">
        <v>854</v>
      </c>
      <c r="U6" s="15">
        <v>874</v>
      </c>
      <c r="V6" s="15">
        <v>895</v>
      </c>
      <c r="W6" s="15">
        <v>916</v>
      </c>
      <c r="X6" s="15">
        <v>942</v>
      </c>
      <c r="Y6" s="15">
        <v>960</v>
      </c>
      <c r="Z6" s="15">
        <v>982</v>
      </c>
      <c r="AA6" s="15">
        <v>1006</v>
      </c>
      <c r="AB6" s="15">
        <v>1030</v>
      </c>
      <c r="AC6" s="15">
        <v>1060</v>
      </c>
      <c r="AD6" s="15">
        <v>1080</v>
      </c>
      <c r="AE6" s="15">
        <v>1106</v>
      </c>
      <c r="AF6" s="15">
        <v>1133</v>
      </c>
      <c r="AG6" s="15">
        <v>1160</v>
      </c>
      <c r="AH6" s="15">
        <v>1194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</row>
    <row r="7" spans="1:54">
      <c r="A7" s="24">
        <f>NPV('Financial Information'!$B$5,$E7:$AL7)*(1+'Financial Information'!$B$5)</f>
        <v>3788.9256804468137</v>
      </c>
      <c r="B7" s="24">
        <f>NPV('Financial Information'!$B$5,$E7:$BB7)*(1+'Financial Information'!$B$5)</f>
        <v>3836.4128480513891</v>
      </c>
      <c r="C7" s="36" t="s">
        <v>38</v>
      </c>
      <c r="D7" s="15">
        <v>0</v>
      </c>
      <c r="E7" s="15">
        <v>368.69373028082993</v>
      </c>
      <c r="F7" s="15">
        <v>357.37407825289739</v>
      </c>
      <c r="G7" s="15">
        <v>346.45880639543162</v>
      </c>
      <c r="H7" s="15">
        <v>335.9165789756658</v>
      </c>
      <c r="I7" s="15">
        <v>325.72053679408555</v>
      </c>
      <c r="J7" s="15">
        <v>315.8438206511766</v>
      </c>
      <c r="K7" s="15">
        <v>306.26330179180144</v>
      </c>
      <c r="L7" s="15">
        <v>296.95585146082266</v>
      </c>
      <c r="M7" s="15">
        <v>287.69316646236786</v>
      </c>
      <c r="N7" s="15">
        <v>278.43122755278841</v>
      </c>
      <c r="O7" s="15">
        <v>269.16854255433367</v>
      </c>
      <c r="P7" s="15">
        <v>259.90660364475423</v>
      </c>
      <c r="Q7" s="15">
        <v>250.6439186462994</v>
      </c>
      <c r="R7" s="15">
        <v>241.38197973672004</v>
      </c>
      <c r="S7" s="15">
        <v>232.11929473826521</v>
      </c>
      <c r="T7" s="15">
        <v>222.8573558286858</v>
      </c>
      <c r="U7" s="15">
        <v>213.59467083023097</v>
      </c>
      <c r="V7" s="15">
        <v>204.33273192065155</v>
      </c>
      <c r="W7" s="15">
        <v>195.07004692219675</v>
      </c>
      <c r="X7" s="15">
        <v>185.80810801261737</v>
      </c>
      <c r="Y7" s="15">
        <v>178.20994729517992</v>
      </c>
      <c r="Z7" s="15">
        <v>172.27631085875993</v>
      </c>
      <c r="AA7" s="15">
        <v>166.34267442233988</v>
      </c>
      <c r="AB7" s="15">
        <v>160.40903798591989</v>
      </c>
      <c r="AC7" s="15">
        <v>154.47540154949991</v>
      </c>
      <c r="AD7" s="15">
        <v>148.54176511307989</v>
      </c>
      <c r="AE7" s="15">
        <v>142.60812867665987</v>
      </c>
      <c r="AF7" s="15">
        <v>136.67449224023989</v>
      </c>
      <c r="AG7" s="15">
        <v>130.74085580381987</v>
      </c>
      <c r="AH7" s="15">
        <v>124.80721936739987</v>
      </c>
      <c r="AI7" s="15">
        <v>118.87358293097984</v>
      </c>
      <c r="AJ7" s="15">
        <v>112.93994649455985</v>
      </c>
      <c r="AK7" s="15">
        <v>107.00631005813985</v>
      </c>
      <c r="AL7" s="15">
        <v>101.07267362171983</v>
      </c>
      <c r="AM7" s="15">
        <v>95.139037185299827</v>
      </c>
      <c r="AN7" s="15">
        <v>89.205400748879825</v>
      </c>
      <c r="AO7" s="15">
        <v>83.271764312459808</v>
      </c>
      <c r="AP7" s="15">
        <v>77.338127876039806</v>
      </c>
      <c r="AQ7" s="15">
        <v>71.404491439619804</v>
      </c>
      <c r="AR7" s="15">
        <v>83.051999999997179</v>
      </c>
      <c r="AS7" s="15">
        <v>0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</row>
    <row r="8" spans="1:54">
      <c r="A8" s="24">
        <f>NPV('Financial Information'!$B$5,$E8:$AL8)*(1+'Financial Information'!$B$5)</f>
        <v>436.88765786684252</v>
      </c>
      <c r="B8" s="24">
        <f>NPV('Financial Information'!$B$5,$E8:$BB8)*(1+'Financial Information'!$B$5)</f>
        <v>441.98158392158871</v>
      </c>
      <c r="C8" s="36" t="s">
        <v>39</v>
      </c>
      <c r="D8" s="15">
        <v>0</v>
      </c>
      <c r="E8" s="15">
        <v>46</v>
      </c>
      <c r="F8" s="15">
        <v>45</v>
      </c>
      <c r="G8" s="15">
        <v>44</v>
      </c>
      <c r="H8" s="15">
        <v>43</v>
      </c>
      <c r="I8" s="15">
        <v>41</v>
      </c>
      <c r="J8" s="15">
        <v>40</v>
      </c>
      <c r="K8" s="15">
        <v>38</v>
      </c>
      <c r="L8" s="15">
        <v>37</v>
      </c>
      <c r="M8" s="15">
        <v>36</v>
      </c>
      <c r="N8" s="15">
        <v>34</v>
      </c>
      <c r="O8" s="15">
        <v>32</v>
      </c>
      <c r="P8" s="15">
        <v>30</v>
      </c>
      <c r="Q8" s="15">
        <v>28</v>
      </c>
      <c r="R8" s="15">
        <v>27</v>
      </c>
      <c r="S8" s="15">
        <v>25</v>
      </c>
      <c r="T8" s="15">
        <v>23</v>
      </c>
      <c r="U8" s="15">
        <v>21</v>
      </c>
      <c r="V8" s="15">
        <v>18</v>
      </c>
      <c r="W8" s="15">
        <v>16</v>
      </c>
      <c r="X8" s="15">
        <v>14</v>
      </c>
      <c r="Y8" s="15">
        <v>14</v>
      </c>
      <c r="Z8" s="15">
        <v>12</v>
      </c>
      <c r="AA8" s="15">
        <v>12</v>
      </c>
      <c r="AB8" s="15">
        <v>11</v>
      </c>
      <c r="AC8" s="15">
        <v>11</v>
      </c>
      <c r="AD8" s="15">
        <v>10</v>
      </c>
      <c r="AE8" s="15">
        <v>9</v>
      </c>
      <c r="AF8" s="15">
        <v>9</v>
      </c>
      <c r="AG8" s="15">
        <v>9</v>
      </c>
      <c r="AH8" s="15">
        <v>9</v>
      </c>
      <c r="AI8" s="15">
        <v>9</v>
      </c>
      <c r="AJ8" s="15">
        <v>9</v>
      </c>
      <c r="AK8" s="15">
        <v>9</v>
      </c>
      <c r="AL8" s="15">
        <v>9</v>
      </c>
      <c r="AM8" s="15">
        <v>9</v>
      </c>
      <c r="AN8" s="15">
        <v>9</v>
      </c>
      <c r="AO8" s="15">
        <v>9</v>
      </c>
      <c r="AP8" s="15">
        <v>9</v>
      </c>
      <c r="AQ8" s="15">
        <v>9</v>
      </c>
      <c r="AR8" s="15">
        <v>9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</row>
    <row r="9" spans="1:54">
      <c r="A9" s="386">
        <f>NPV('Financial Information'!$B$5,$E9:$AL9)*(1+'Financial Information'!$B$5)</f>
        <v>81.821428153099546</v>
      </c>
      <c r="B9" s="386">
        <f>NPV('Financial Information'!$B$5,$E9:$BB9)*(1+'Financial Information'!$B$5)</f>
        <v>88.552085150283148</v>
      </c>
      <c r="C9" s="12" t="s">
        <v>40</v>
      </c>
      <c r="D9" s="389">
        <v>0</v>
      </c>
      <c r="E9" s="389">
        <v>4.0603199999999999</v>
      </c>
      <c r="F9" s="389">
        <v>4.1821295999999997</v>
      </c>
      <c r="G9" s="389">
        <v>4.3075934879999993</v>
      </c>
      <c r="H9" s="389">
        <v>4.4368212926400004</v>
      </c>
      <c r="I9" s="389">
        <v>4.5699259314192</v>
      </c>
      <c r="J9" s="389">
        <v>4.7070237093617751</v>
      </c>
      <c r="K9" s="389">
        <v>4.8482344206426289</v>
      </c>
      <c r="L9" s="389">
        <v>4.9936814532619076</v>
      </c>
      <c r="M9" s="389">
        <v>5.1434918968597643</v>
      </c>
      <c r="N9" s="389">
        <v>5.2977966537655581</v>
      </c>
      <c r="O9" s="389">
        <v>5.4567305533785246</v>
      </c>
      <c r="P9" s="389">
        <v>5.62043246997988</v>
      </c>
      <c r="Q9" s="389">
        <v>5.7890454440792762</v>
      </c>
      <c r="R9" s="389">
        <v>5.9627168074016543</v>
      </c>
      <c r="S9" s="389">
        <v>6.1415983116237038</v>
      </c>
      <c r="T9" s="389">
        <v>6.3258462609724155</v>
      </c>
      <c r="U9" s="389">
        <v>6.515621648801587</v>
      </c>
      <c r="V9" s="389">
        <v>6.7110902982656349</v>
      </c>
      <c r="W9" s="389">
        <v>6.9124230072136035</v>
      </c>
      <c r="X9" s="389">
        <v>7.1197956974300114</v>
      </c>
      <c r="Y9" s="389">
        <v>7.3333895683529118</v>
      </c>
      <c r="Z9" s="389">
        <v>7.5533912554034979</v>
      </c>
      <c r="AA9" s="389">
        <v>7.779992993065604</v>
      </c>
      <c r="AB9" s="389">
        <v>8.0133927828575722</v>
      </c>
      <c r="AC9" s="389">
        <v>8.2537945663432986</v>
      </c>
      <c r="AD9" s="389">
        <v>8.5014084033335973</v>
      </c>
      <c r="AE9" s="389">
        <v>8.756450655433607</v>
      </c>
      <c r="AF9" s="389">
        <v>9.0191441750966135</v>
      </c>
      <c r="AG9" s="389">
        <v>9.2897185003495117</v>
      </c>
      <c r="AH9" s="389">
        <v>9.5684100553599958</v>
      </c>
      <c r="AI9" s="389">
        <v>9.8554623570207962</v>
      </c>
      <c r="AJ9" s="389">
        <v>10.151126227731423</v>
      </c>
      <c r="AK9" s="389">
        <v>10.455660014563362</v>
      </c>
      <c r="AL9" s="389">
        <v>10.769329815000264</v>
      </c>
      <c r="AM9" s="389">
        <v>11.092409709450271</v>
      </c>
      <c r="AN9" s="389">
        <v>11.425182000733781</v>
      </c>
      <c r="AO9" s="389">
        <v>11.767937460755793</v>
      </c>
      <c r="AP9" s="389">
        <v>12.120975584578465</v>
      </c>
      <c r="AQ9" s="389">
        <v>12.484604852115819</v>
      </c>
      <c r="AR9" s="389">
        <v>12.859142997679296</v>
      </c>
      <c r="AS9" s="389">
        <v>0</v>
      </c>
      <c r="AT9" s="389">
        <v>0</v>
      </c>
      <c r="AU9" s="389">
        <v>0</v>
      </c>
      <c r="AV9" s="389">
        <v>0</v>
      </c>
      <c r="AW9" s="389">
        <v>0</v>
      </c>
      <c r="AX9" s="389">
        <v>0</v>
      </c>
      <c r="AY9" s="389">
        <v>0</v>
      </c>
      <c r="AZ9" s="389">
        <v>0</v>
      </c>
      <c r="BA9" s="389">
        <v>0</v>
      </c>
      <c r="BB9" s="389">
        <v>0</v>
      </c>
    </row>
    <row r="10" spans="1:54">
      <c r="A10" s="24">
        <f>SUM(A2:A9)</f>
        <v>87229.465023900935</v>
      </c>
      <c r="B10" s="24">
        <f>SUM(B2:B9)</f>
        <v>87288.776774557438</v>
      </c>
      <c r="D10" s="16">
        <f t="shared" ref="D10:BB10" si="1">SUM(D2:D9)</f>
        <v>0</v>
      </c>
      <c r="E10" s="16">
        <f t="shared" si="1"/>
        <v>9194.158273203604</v>
      </c>
      <c r="F10" s="16">
        <f t="shared" si="1"/>
        <v>8637.7216371330796</v>
      </c>
      <c r="G10" s="16">
        <f t="shared" si="1"/>
        <v>8246.3763886809302</v>
      </c>
      <c r="H10" s="16">
        <f t="shared" si="1"/>
        <v>7950.6277264863129</v>
      </c>
      <c r="I10" s="16">
        <f t="shared" si="1"/>
        <v>7658.351444612339</v>
      </c>
      <c r="J10" s="16">
        <f t="shared" si="1"/>
        <v>7481.0762787709109</v>
      </c>
      <c r="K10" s="16">
        <f t="shared" si="1"/>
        <v>6331.8738238660353</v>
      </c>
      <c r="L10" s="16">
        <f t="shared" si="1"/>
        <v>6188.8576269385121</v>
      </c>
      <c r="M10" s="16">
        <f t="shared" si="1"/>
        <v>6045.5692858510711</v>
      </c>
      <c r="N10" s="16">
        <f t="shared" si="1"/>
        <v>5906.8993926685653</v>
      </c>
      <c r="O10" s="16">
        <f t="shared" si="1"/>
        <v>5772.98465998545</v>
      </c>
      <c r="P10" s="16">
        <f t="shared" si="1"/>
        <v>5630.351453968512</v>
      </c>
      <c r="Q10" s="16">
        <f t="shared" si="1"/>
        <v>5488.3819500082418</v>
      </c>
      <c r="R10" s="16">
        <f t="shared" si="1"/>
        <v>5388.8863554162817</v>
      </c>
      <c r="S10" s="16">
        <f t="shared" si="1"/>
        <v>5213.6109754728132</v>
      </c>
      <c r="T10" s="16">
        <f t="shared" si="1"/>
        <v>5082.8854172073497</v>
      </c>
      <c r="U10" s="16">
        <f t="shared" si="1"/>
        <v>4942.9959795249106</v>
      </c>
      <c r="V10" s="16">
        <f t="shared" si="1"/>
        <v>4802.6297557653897</v>
      </c>
      <c r="W10" s="16">
        <f t="shared" si="1"/>
        <v>4916.8619939830451</v>
      </c>
      <c r="X10" s="16">
        <f t="shared" si="1"/>
        <v>4754.6572448112329</v>
      </c>
      <c r="Y10" s="16">
        <f t="shared" si="1"/>
        <v>4638.0521509706923</v>
      </c>
      <c r="Z10" s="16">
        <f t="shared" si="1"/>
        <v>4474.6260194611741</v>
      </c>
      <c r="AA10" s="16">
        <f t="shared" si="1"/>
        <v>4353.5694959281882</v>
      </c>
      <c r="AB10" s="16">
        <f t="shared" si="1"/>
        <v>4202.5110895785183</v>
      </c>
      <c r="AC10" s="16">
        <f t="shared" si="1"/>
        <v>4087.1390254649691</v>
      </c>
      <c r="AD10" s="16">
        <f t="shared" si="1"/>
        <v>3954.4480231033326</v>
      </c>
      <c r="AE10" s="16">
        <f t="shared" si="1"/>
        <v>3824.4508743385732</v>
      </c>
      <c r="AF10" s="16">
        <f t="shared" si="1"/>
        <v>3704.7657183786623</v>
      </c>
      <c r="AG10" s="16">
        <f t="shared" si="1"/>
        <v>3585.9465648998944</v>
      </c>
      <c r="AH10" s="16">
        <f t="shared" si="1"/>
        <v>5006.9232061826769</v>
      </c>
      <c r="AI10" s="16">
        <f t="shared" si="1"/>
        <v>137.72904528800063</v>
      </c>
      <c r="AJ10" s="16">
        <f t="shared" si="1"/>
        <v>132.09107272229127</v>
      </c>
      <c r="AK10" s="16">
        <f t="shared" si="1"/>
        <v>126.46197007270321</v>
      </c>
      <c r="AL10" s="16">
        <f t="shared" si="1"/>
        <v>120.84200343672009</v>
      </c>
      <c r="AM10" s="16">
        <f t="shared" si="1"/>
        <v>115.23144689475009</v>
      </c>
      <c r="AN10" s="16">
        <f t="shared" si="1"/>
        <v>109.63058274961361</v>
      </c>
      <c r="AO10" s="16">
        <f t="shared" si="1"/>
        <v>104.0397017732156</v>
      </c>
      <c r="AP10" s="16">
        <f t="shared" si="1"/>
        <v>98.459103460618266</v>
      </c>
      <c r="AQ10" s="16">
        <f t="shared" si="1"/>
        <v>92.889096291735626</v>
      </c>
      <c r="AR10" s="16">
        <f t="shared" si="1"/>
        <v>104.91114299767648</v>
      </c>
      <c r="AS10" s="16">
        <f t="shared" si="1"/>
        <v>0</v>
      </c>
      <c r="AT10" s="16">
        <f t="shared" si="1"/>
        <v>0</v>
      </c>
      <c r="AU10" s="16">
        <f t="shared" si="1"/>
        <v>0</v>
      </c>
      <c r="AV10" s="16">
        <f t="shared" si="1"/>
        <v>0</v>
      </c>
      <c r="AW10" s="16">
        <f t="shared" si="1"/>
        <v>0</v>
      </c>
      <c r="AX10" s="16">
        <f t="shared" si="1"/>
        <v>0</v>
      </c>
      <c r="AY10" s="16">
        <f t="shared" si="1"/>
        <v>0</v>
      </c>
      <c r="AZ10" s="16">
        <f t="shared" si="1"/>
        <v>0</v>
      </c>
      <c r="BA10" s="16">
        <f t="shared" si="1"/>
        <v>0</v>
      </c>
      <c r="BB10" s="16">
        <f t="shared" si="1"/>
        <v>0</v>
      </c>
    </row>
    <row r="11" spans="1:54">
      <c r="A11" s="2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54">
      <c r="A12" s="390"/>
      <c r="B12" s="6">
        <v>45</v>
      </c>
      <c r="C12" s="6" t="str">
        <f>C6&amp;" $/kw"</f>
        <v>O&amp;M $/kw</v>
      </c>
      <c r="E12" s="25">
        <f>E6/45</f>
        <v>12.777777777777779</v>
      </c>
      <c r="F12" s="25">
        <f t="shared" ref="F12:AI12" si="2">F6/45</f>
        <v>12.955555555555556</v>
      </c>
      <c r="G12" s="25">
        <f t="shared" si="2"/>
        <v>13.244444444444444</v>
      </c>
      <c r="H12" s="25">
        <f t="shared" si="2"/>
        <v>13.555555555555555</v>
      </c>
      <c r="I12" s="25">
        <f t="shared" si="2"/>
        <v>13.977777777777778</v>
      </c>
      <c r="J12" s="25">
        <f t="shared" si="2"/>
        <v>15.044444444444444</v>
      </c>
      <c r="K12" s="25">
        <f t="shared" si="2"/>
        <v>15.4</v>
      </c>
      <c r="L12" s="25">
        <f t="shared" si="2"/>
        <v>15.777777777777779</v>
      </c>
      <c r="M12" s="25">
        <f t="shared" si="2"/>
        <v>16.133333333333333</v>
      </c>
      <c r="N12" s="25">
        <f t="shared" si="2"/>
        <v>16.622222222222224</v>
      </c>
      <c r="O12" s="25">
        <f t="shared" si="2"/>
        <v>16.911111111111111</v>
      </c>
      <c r="P12" s="25">
        <f t="shared" si="2"/>
        <v>17.31111111111111</v>
      </c>
      <c r="Q12" s="25">
        <f t="shared" si="2"/>
        <v>17.711111111111112</v>
      </c>
      <c r="R12" s="25">
        <f t="shared" si="2"/>
        <v>19.022222222222222</v>
      </c>
      <c r="S12" s="25">
        <f t="shared" si="2"/>
        <v>18.666666666666668</v>
      </c>
      <c r="T12" s="25">
        <f t="shared" si="2"/>
        <v>18.977777777777778</v>
      </c>
      <c r="U12" s="25">
        <f t="shared" si="2"/>
        <v>19.422222222222221</v>
      </c>
      <c r="V12" s="25">
        <f t="shared" si="2"/>
        <v>19.888888888888889</v>
      </c>
      <c r="W12" s="25">
        <f t="shared" si="2"/>
        <v>20.355555555555554</v>
      </c>
      <c r="X12" s="25">
        <f t="shared" si="2"/>
        <v>20.933333333333334</v>
      </c>
      <c r="Y12" s="25">
        <f t="shared" si="2"/>
        <v>21.333333333333332</v>
      </c>
      <c r="Z12" s="25">
        <f t="shared" si="2"/>
        <v>21.822222222222223</v>
      </c>
      <c r="AA12" s="25">
        <f t="shared" si="2"/>
        <v>22.355555555555554</v>
      </c>
      <c r="AB12" s="25">
        <f t="shared" si="2"/>
        <v>22.888888888888889</v>
      </c>
      <c r="AC12" s="25">
        <f t="shared" si="2"/>
        <v>23.555555555555557</v>
      </c>
      <c r="AD12" s="25">
        <f t="shared" si="2"/>
        <v>24</v>
      </c>
      <c r="AE12" s="25">
        <f t="shared" si="2"/>
        <v>24.577777777777779</v>
      </c>
      <c r="AF12" s="25">
        <f t="shared" si="2"/>
        <v>25.177777777777777</v>
      </c>
      <c r="AG12" s="25">
        <f t="shared" si="2"/>
        <v>25.777777777777779</v>
      </c>
      <c r="AH12" s="25">
        <f t="shared" si="2"/>
        <v>26.533333333333335</v>
      </c>
      <c r="AI12" s="25">
        <f t="shared" si="2"/>
        <v>0</v>
      </c>
    </row>
    <row r="13" spans="1:54">
      <c r="A13" s="390"/>
    </row>
    <row r="14" spans="1:54">
      <c r="E14" s="23">
        <f>E6/45</f>
        <v>12.777777777777779</v>
      </c>
    </row>
    <row r="16" spans="1:54">
      <c r="A16" s="38">
        <f>NPV('Financial Information'!$B$5,$E16:$AL16)*(1+'Financial Information'!$B$5)</f>
        <v>10430.766415246899</v>
      </c>
      <c r="B16" s="24">
        <f>NPV('Financial Information'!$B$5,$D16:$BB16)*(1+'Financial Information'!$B$5)</f>
        <v>9775.7885803626032</v>
      </c>
      <c r="C16" s="6" t="str">
        <f>C6</f>
        <v>O&amp;M</v>
      </c>
      <c r="D16" s="6">
        <v>0</v>
      </c>
      <c r="E16" s="16">
        <f>E6</f>
        <v>575</v>
      </c>
      <c r="F16" s="16">
        <f t="shared" ref="F16:BB16" si="3">F6</f>
        <v>583</v>
      </c>
      <c r="G16" s="16">
        <f t="shared" si="3"/>
        <v>596</v>
      </c>
      <c r="H16" s="16">
        <f t="shared" si="3"/>
        <v>610</v>
      </c>
      <c r="I16" s="16">
        <f t="shared" si="3"/>
        <v>629</v>
      </c>
      <c r="J16" s="16">
        <f t="shared" si="3"/>
        <v>677</v>
      </c>
      <c r="K16" s="16">
        <f t="shared" si="3"/>
        <v>693</v>
      </c>
      <c r="L16" s="16">
        <f t="shared" si="3"/>
        <v>710</v>
      </c>
      <c r="M16" s="16">
        <f t="shared" si="3"/>
        <v>726</v>
      </c>
      <c r="N16" s="16">
        <f t="shared" si="3"/>
        <v>748</v>
      </c>
      <c r="O16" s="16">
        <f t="shared" si="3"/>
        <v>761</v>
      </c>
      <c r="P16" s="16">
        <f t="shared" si="3"/>
        <v>779</v>
      </c>
      <c r="Q16" s="16">
        <f t="shared" si="3"/>
        <v>797</v>
      </c>
      <c r="R16" s="16">
        <f t="shared" si="3"/>
        <v>856</v>
      </c>
      <c r="S16" s="16">
        <f t="shared" si="3"/>
        <v>840</v>
      </c>
      <c r="T16" s="16">
        <f t="shared" si="3"/>
        <v>854</v>
      </c>
      <c r="U16" s="16">
        <f t="shared" si="3"/>
        <v>874</v>
      </c>
      <c r="V16" s="16">
        <f t="shared" si="3"/>
        <v>895</v>
      </c>
      <c r="W16" s="16">
        <f t="shared" si="3"/>
        <v>916</v>
      </c>
      <c r="X16" s="16">
        <f t="shared" si="3"/>
        <v>942</v>
      </c>
      <c r="Y16" s="16">
        <f t="shared" si="3"/>
        <v>960</v>
      </c>
      <c r="Z16" s="16">
        <f t="shared" si="3"/>
        <v>982</v>
      </c>
      <c r="AA16" s="16">
        <f t="shared" si="3"/>
        <v>1006</v>
      </c>
      <c r="AB16" s="16">
        <f t="shared" si="3"/>
        <v>1030</v>
      </c>
      <c r="AC16" s="16">
        <f t="shared" si="3"/>
        <v>1060</v>
      </c>
      <c r="AD16" s="16">
        <f t="shared" si="3"/>
        <v>1080</v>
      </c>
      <c r="AE16" s="16">
        <f t="shared" si="3"/>
        <v>1106</v>
      </c>
      <c r="AF16" s="16">
        <f t="shared" si="3"/>
        <v>1133</v>
      </c>
      <c r="AG16" s="16">
        <f t="shared" si="3"/>
        <v>1160</v>
      </c>
      <c r="AH16" s="16">
        <f t="shared" si="3"/>
        <v>1194</v>
      </c>
      <c r="AI16" s="16">
        <f t="shared" si="3"/>
        <v>0</v>
      </c>
      <c r="AJ16" s="16">
        <f t="shared" si="3"/>
        <v>0</v>
      </c>
      <c r="AK16" s="16">
        <f t="shared" si="3"/>
        <v>0</v>
      </c>
      <c r="AL16" s="16">
        <f t="shared" si="3"/>
        <v>0</v>
      </c>
      <c r="AM16" s="16">
        <f t="shared" si="3"/>
        <v>0</v>
      </c>
      <c r="AN16" s="16">
        <f t="shared" si="3"/>
        <v>0</v>
      </c>
      <c r="AO16" s="16">
        <f t="shared" si="3"/>
        <v>0</v>
      </c>
      <c r="AP16" s="16">
        <f t="shared" si="3"/>
        <v>0</v>
      </c>
      <c r="AQ16" s="16">
        <f t="shared" si="3"/>
        <v>0</v>
      </c>
      <c r="AR16" s="16">
        <f t="shared" si="3"/>
        <v>0</v>
      </c>
      <c r="AS16" s="16">
        <f t="shared" si="3"/>
        <v>0</v>
      </c>
      <c r="AT16" s="16">
        <f t="shared" si="3"/>
        <v>0</v>
      </c>
      <c r="AU16" s="16">
        <f t="shared" si="3"/>
        <v>0</v>
      </c>
      <c r="AV16" s="16">
        <f t="shared" si="3"/>
        <v>0</v>
      </c>
      <c r="AW16" s="16">
        <f t="shared" si="3"/>
        <v>0</v>
      </c>
      <c r="AX16" s="16">
        <f t="shared" si="3"/>
        <v>0</v>
      </c>
      <c r="AY16" s="16">
        <f t="shared" si="3"/>
        <v>0</v>
      </c>
      <c r="AZ16" s="16">
        <f t="shared" si="3"/>
        <v>0</v>
      </c>
      <c r="BA16" s="16">
        <f t="shared" si="3"/>
        <v>0</v>
      </c>
      <c r="BB16" s="16">
        <f t="shared" si="3"/>
        <v>0</v>
      </c>
    </row>
    <row r="17" spans="1:54">
      <c r="A17" s="38">
        <f>NPV('Financial Information'!$B$5,$E17:$AL17)*(1+'Financial Information'!$B$5)</f>
        <v>72491.063842187272</v>
      </c>
      <c r="B17" s="24">
        <f>NPV('Financial Information'!$B$5,$D17:$BB17)*(1+'Financial Information'!$B$5)</f>
        <v>67939.141370372367</v>
      </c>
      <c r="C17" s="6" t="s">
        <v>108</v>
      </c>
      <c r="D17" s="6">
        <v>0</v>
      </c>
      <c r="E17" s="16">
        <f>SUM(E2:E5)</f>
        <v>8200.4042229227744</v>
      </c>
      <c r="F17" s="16">
        <f t="shared" ref="F17:BB17" si="4">SUM(F2:F5)</f>
        <v>7648.1654292801832</v>
      </c>
      <c r="G17" s="16">
        <f t="shared" si="4"/>
        <v>7255.6099887974988</v>
      </c>
      <c r="H17" s="16">
        <f t="shared" si="4"/>
        <v>6957.2743262180065</v>
      </c>
      <c r="I17" s="16">
        <f t="shared" si="4"/>
        <v>6658.0609818868352</v>
      </c>
      <c r="J17" s="16">
        <f t="shared" si="4"/>
        <v>6443.5254344103723</v>
      </c>
      <c r="K17" s="16">
        <f t="shared" si="4"/>
        <v>5289.7622876535916</v>
      </c>
      <c r="L17" s="16">
        <f t="shared" si="4"/>
        <v>5139.9080940244276</v>
      </c>
      <c r="M17" s="16">
        <f t="shared" si="4"/>
        <v>4990.7326274918432</v>
      </c>
      <c r="N17" s="16">
        <f t="shared" si="4"/>
        <v>4841.1703684620115</v>
      </c>
      <c r="O17" s="16">
        <f t="shared" si="4"/>
        <v>4705.359386877738</v>
      </c>
      <c r="P17" s="16">
        <f t="shared" si="4"/>
        <v>4555.824417853778</v>
      </c>
      <c r="Q17" s="16">
        <f t="shared" si="4"/>
        <v>4406.948985917863</v>
      </c>
      <c r="R17" s="16">
        <f t="shared" si="4"/>
        <v>4258.54165887216</v>
      </c>
      <c r="S17" s="16">
        <f t="shared" si="4"/>
        <v>4110.3500824229241</v>
      </c>
      <c r="T17" s="16">
        <f t="shared" si="4"/>
        <v>3976.7022151176907</v>
      </c>
      <c r="U17" s="16">
        <f t="shared" si="4"/>
        <v>3827.8856870458785</v>
      </c>
      <c r="V17" s="16">
        <f t="shared" si="4"/>
        <v>3678.585933546472</v>
      </c>
      <c r="W17" s="16">
        <f t="shared" si="4"/>
        <v>3782.8795240536342</v>
      </c>
      <c r="X17" s="16">
        <f t="shared" si="4"/>
        <v>3605.7293411011847</v>
      </c>
      <c r="Y17" s="16">
        <f t="shared" si="4"/>
        <v>3478.5088141071601</v>
      </c>
      <c r="Z17" s="16">
        <f t="shared" si="4"/>
        <v>3300.7963173470112</v>
      </c>
      <c r="AA17" s="16">
        <f t="shared" si="4"/>
        <v>3161.4468285127832</v>
      </c>
      <c r="AB17" s="16">
        <f t="shared" si="4"/>
        <v>2993.0886588097414</v>
      </c>
      <c r="AC17" s="16">
        <f t="shared" si="4"/>
        <v>2853.4098293491256</v>
      </c>
      <c r="AD17" s="16">
        <f t="shared" si="4"/>
        <v>2707.4048495869192</v>
      </c>
      <c r="AE17" s="16">
        <f t="shared" si="4"/>
        <v>2558.0862950064798</v>
      </c>
      <c r="AF17" s="16">
        <f t="shared" si="4"/>
        <v>2417.0720819633257</v>
      </c>
      <c r="AG17" s="16">
        <f t="shared" si="4"/>
        <v>2276.9159905957249</v>
      </c>
      <c r="AH17" s="16">
        <f t="shared" si="4"/>
        <v>3669.5475767599173</v>
      </c>
      <c r="AI17" s="16">
        <f t="shared" si="4"/>
        <v>0</v>
      </c>
      <c r="AJ17" s="16">
        <f t="shared" si="4"/>
        <v>0</v>
      </c>
      <c r="AK17" s="16">
        <f t="shared" si="4"/>
        <v>0</v>
      </c>
      <c r="AL17" s="16">
        <f t="shared" si="4"/>
        <v>0</v>
      </c>
      <c r="AM17" s="16">
        <f t="shared" si="4"/>
        <v>0</v>
      </c>
      <c r="AN17" s="16">
        <f t="shared" si="4"/>
        <v>0</v>
      </c>
      <c r="AO17" s="16">
        <f t="shared" si="4"/>
        <v>0</v>
      </c>
      <c r="AP17" s="16">
        <f t="shared" si="4"/>
        <v>0</v>
      </c>
      <c r="AQ17" s="16">
        <f t="shared" si="4"/>
        <v>0</v>
      </c>
      <c r="AR17" s="16">
        <f t="shared" si="4"/>
        <v>0</v>
      </c>
      <c r="AS17" s="16">
        <f t="shared" si="4"/>
        <v>0</v>
      </c>
      <c r="AT17" s="16">
        <f t="shared" si="4"/>
        <v>0</v>
      </c>
      <c r="AU17" s="16">
        <f t="shared" si="4"/>
        <v>0</v>
      </c>
      <c r="AV17" s="16">
        <f t="shared" si="4"/>
        <v>0</v>
      </c>
      <c r="AW17" s="16">
        <f t="shared" si="4"/>
        <v>0</v>
      </c>
      <c r="AX17" s="16">
        <f t="shared" si="4"/>
        <v>0</v>
      </c>
      <c r="AY17" s="16">
        <f t="shared" si="4"/>
        <v>0</v>
      </c>
      <c r="AZ17" s="16">
        <f t="shared" si="4"/>
        <v>0</v>
      </c>
      <c r="BA17" s="16">
        <f t="shared" si="4"/>
        <v>0</v>
      </c>
      <c r="BB17" s="16">
        <f t="shared" si="4"/>
        <v>0</v>
      </c>
    </row>
    <row r="18" spans="1:54">
      <c r="A18" s="386">
        <f>NPV('Financial Information'!$B$5,$E18:$AL18)*(1+'Financial Information'!$B$5)</f>
        <v>4307.6347664667574</v>
      </c>
      <c r="B18" s="386">
        <f>NPV('Financial Information'!$B$5,$D18:$BB18)*(1+'Financial Information'!$B$5)</f>
        <v>4092.7333806216147</v>
      </c>
      <c r="C18" s="6" t="s">
        <v>107</v>
      </c>
      <c r="D18" s="6">
        <v>0</v>
      </c>
      <c r="E18" s="16">
        <f>SUM(E7:E9)</f>
        <v>418.75405028082992</v>
      </c>
      <c r="F18" s="16">
        <f t="shared" ref="F18:AS18" si="5">SUM(F7:F9)</f>
        <v>406.55620785289739</v>
      </c>
      <c r="G18" s="16">
        <f t="shared" si="5"/>
        <v>394.76639988343163</v>
      </c>
      <c r="H18" s="16">
        <f t="shared" si="5"/>
        <v>383.35340026830579</v>
      </c>
      <c r="I18" s="16">
        <f t="shared" si="5"/>
        <v>371.29046272550477</v>
      </c>
      <c r="J18" s="16">
        <f t="shared" si="5"/>
        <v>360.55084436053835</v>
      </c>
      <c r="K18" s="16">
        <f t="shared" si="5"/>
        <v>349.11153621244409</v>
      </c>
      <c r="L18" s="16">
        <f t="shared" si="5"/>
        <v>338.94953291408456</v>
      </c>
      <c r="M18" s="16">
        <f t="shared" si="5"/>
        <v>328.83665835922761</v>
      </c>
      <c r="N18" s="16">
        <f t="shared" si="5"/>
        <v>317.72902420655396</v>
      </c>
      <c r="O18" s="16">
        <f t="shared" si="5"/>
        <v>306.62527310771219</v>
      </c>
      <c r="P18" s="16">
        <f t="shared" si="5"/>
        <v>295.52703611473413</v>
      </c>
      <c r="Q18" s="16">
        <f t="shared" si="5"/>
        <v>284.43296409037868</v>
      </c>
      <c r="R18" s="16">
        <f t="shared" si="5"/>
        <v>274.34469654412169</v>
      </c>
      <c r="S18" s="16">
        <f t="shared" si="5"/>
        <v>263.26089304988892</v>
      </c>
      <c r="T18" s="16">
        <f t="shared" si="5"/>
        <v>252.18320208965821</v>
      </c>
      <c r="U18" s="16">
        <f t="shared" si="5"/>
        <v>241.11029247903255</v>
      </c>
      <c r="V18" s="16">
        <f t="shared" si="5"/>
        <v>229.0438222189172</v>
      </c>
      <c r="W18" s="16">
        <f t="shared" si="5"/>
        <v>217.98246992941034</v>
      </c>
      <c r="X18" s="16">
        <f t="shared" si="5"/>
        <v>206.92790371004739</v>
      </c>
      <c r="Y18" s="16">
        <f t="shared" si="5"/>
        <v>199.54333686353283</v>
      </c>
      <c r="Z18" s="16">
        <f t="shared" si="5"/>
        <v>191.82970211416344</v>
      </c>
      <c r="AA18" s="16">
        <f t="shared" si="5"/>
        <v>186.12266741540549</v>
      </c>
      <c r="AB18" s="16">
        <f t="shared" si="5"/>
        <v>179.42243076877747</v>
      </c>
      <c r="AC18" s="16">
        <f t="shared" si="5"/>
        <v>173.72919611584319</v>
      </c>
      <c r="AD18" s="16">
        <f t="shared" si="5"/>
        <v>167.04317351641347</v>
      </c>
      <c r="AE18" s="16">
        <f t="shared" si="5"/>
        <v>160.36457933209348</v>
      </c>
      <c r="AF18" s="16">
        <f t="shared" si="5"/>
        <v>154.6936364153365</v>
      </c>
      <c r="AG18" s="16">
        <f t="shared" si="5"/>
        <v>149.03057430416939</v>
      </c>
      <c r="AH18" s="16">
        <f t="shared" si="5"/>
        <v>143.37562942275986</v>
      </c>
      <c r="AI18" s="16">
        <f t="shared" si="5"/>
        <v>137.72904528800063</v>
      </c>
      <c r="AJ18" s="16">
        <f t="shared" si="5"/>
        <v>132.09107272229127</v>
      </c>
      <c r="AK18" s="16">
        <f t="shared" si="5"/>
        <v>126.46197007270321</v>
      </c>
      <c r="AL18" s="16">
        <f t="shared" si="5"/>
        <v>120.84200343672009</v>
      </c>
      <c r="AM18" s="16">
        <f t="shared" si="5"/>
        <v>115.23144689475009</v>
      </c>
      <c r="AN18" s="16">
        <f t="shared" si="5"/>
        <v>109.63058274961361</v>
      </c>
      <c r="AO18" s="16">
        <f t="shared" si="5"/>
        <v>104.0397017732156</v>
      </c>
      <c r="AP18" s="16">
        <f t="shared" si="5"/>
        <v>98.459103460618266</v>
      </c>
      <c r="AQ18" s="16">
        <f t="shared" si="5"/>
        <v>92.889096291735626</v>
      </c>
      <c r="AR18" s="16">
        <f t="shared" si="5"/>
        <v>104.91114299767648</v>
      </c>
      <c r="AS18" s="16">
        <f t="shared" si="5"/>
        <v>0</v>
      </c>
    </row>
    <row r="19" spans="1:54">
      <c r="A19" s="24">
        <f>SUM(A16:A18)</f>
        <v>87229.465023900921</v>
      </c>
      <c r="B19" s="24">
        <f>SUM(B16:B18)</f>
        <v>81807.663331356584</v>
      </c>
    </row>
    <row r="20" spans="1:54">
      <c r="D20" s="411"/>
      <c r="E20" s="411"/>
      <c r="F20" s="411"/>
      <c r="G20" s="411"/>
    </row>
    <row r="21" spans="1:54">
      <c r="D21" s="37"/>
      <c r="F21" s="390"/>
    </row>
    <row r="22" spans="1:54">
      <c r="A22" s="385"/>
      <c r="D22" s="37"/>
      <c r="F22" s="390"/>
    </row>
    <row r="23" spans="1:54">
      <c r="A23" s="24"/>
      <c r="D23" s="37"/>
      <c r="F23" s="390"/>
    </row>
    <row r="24" spans="1:54">
      <c r="A24" s="24"/>
      <c r="D24" s="37"/>
      <c r="F24" s="157"/>
    </row>
    <row r="25" spans="1:54">
      <c r="A25" s="24"/>
      <c r="D25" s="37"/>
      <c r="F25" s="390"/>
    </row>
    <row r="26" spans="1:54">
      <c r="A26" s="24"/>
      <c r="D26" s="160"/>
      <c r="E26" s="160"/>
      <c r="F26" s="153"/>
    </row>
    <row r="27" spans="1:54">
      <c r="A27" s="24"/>
      <c r="D27" s="160"/>
      <c r="E27" s="160"/>
      <c r="F27" s="153"/>
    </row>
    <row r="28" spans="1:54">
      <c r="A28" s="24"/>
      <c r="D28" s="37"/>
      <c r="F28" s="390"/>
    </row>
    <row r="29" spans="1:54">
      <c r="A29" s="24"/>
      <c r="D29" s="37"/>
      <c r="F29" s="390"/>
    </row>
    <row r="30" spans="1:54">
      <c r="A30" s="24"/>
    </row>
    <row r="31" spans="1:54">
      <c r="A31" s="24"/>
      <c r="D31" s="37"/>
      <c r="F31" s="37"/>
    </row>
    <row r="32" spans="1:54">
      <c r="A32" s="24"/>
      <c r="D32" s="37"/>
      <c r="F32" s="37"/>
    </row>
    <row r="33" spans="1:6">
      <c r="A33" s="24"/>
      <c r="D33" s="37"/>
      <c r="F33" s="37"/>
    </row>
    <row r="34" spans="1:6">
      <c r="A34" s="24"/>
      <c r="D34" s="391"/>
      <c r="F34" s="394"/>
    </row>
    <row r="35" spans="1:6">
      <c r="A35" s="24"/>
      <c r="D35" s="37"/>
    </row>
    <row r="36" spans="1:6">
      <c r="A36" s="24"/>
    </row>
    <row r="37" spans="1:6">
      <c r="A37" s="24"/>
    </row>
    <row r="38" spans="1:6">
      <c r="A38" s="24"/>
    </row>
    <row r="39" spans="1:6">
      <c r="A39" s="24"/>
    </row>
    <row r="40" spans="1:6">
      <c r="A40" s="24"/>
    </row>
    <row r="53" spans="4:6">
      <c r="D53" s="155"/>
      <c r="F53" s="155"/>
    </row>
    <row r="54" spans="4:6">
      <c r="D54" s="153"/>
      <c r="F54" s="155"/>
    </row>
    <row r="55" spans="4:6">
      <c r="D55" s="155"/>
      <c r="F55" s="155"/>
    </row>
    <row r="56" spans="4:6">
      <c r="D56" s="155"/>
      <c r="F56" s="155"/>
    </row>
    <row r="57" spans="4:6">
      <c r="D57" s="155"/>
      <c r="F57" s="155"/>
    </row>
  </sheetData>
  <mergeCells count="2">
    <mergeCell ref="F20:G20"/>
    <mergeCell ref="D20:E2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BB62"/>
  <sheetViews>
    <sheetView workbookViewId="0">
      <pane xSplit="3" ySplit="1" topLeftCell="D2" activePane="bottomRight" state="frozen"/>
      <selection activeCell="A5" sqref="A5:BB5"/>
      <selection pane="topRight" activeCell="A5" sqref="A5:BB5"/>
      <selection pane="bottomLeft" activeCell="A5" sqref="A5:BB5"/>
      <selection pane="bottomRight" activeCell="C21" sqref="C21"/>
    </sheetView>
  </sheetViews>
  <sheetFormatPr defaultColWidth="8.90625" defaultRowHeight="14.5"/>
  <cols>
    <col min="1" max="2" width="11.90625" style="6" bestFit="1" customWidth="1"/>
    <col min="3" max="3" width="38.453125" style="6" bestFit="1" customWidth="1"/>
    <col min="4" max="4" width="8.36328125" style="6" bestFit="1" customWidth="1"/>
    <col min="5" max="5" width="10.08984375" style="6" bestFit="1" customWidth="1"/>
    <col min="6" max="10" width="8.36328125" style="6" bestFit="1" customWidth="1"/>
    <col min="11" max="15" width="8.08984375" style="6" bestFit="1" customWidth="1"/>
    <col min="16" max="35" width="8" style="6" bestFit="1" customWidth="1"/>
    <col min="36" max="36" width="5.08984375" style="6" bestFit="1" customWidth="1"/>
    <col min="37" max="16384" width="8.90625" style="6"/>
  </cols>
  <sheetData>
    <row r="1" spans="1:54">
      <c r="A1" s="385" t="s">
        <v>230</v>
      </c>
      <c r="B1" s="385" t="s">
        <v>5</v>
      </c>
      <c r="C1" s="388">
        <v>43891</v>
      </c>
      <c r="D1" s="385">
        <v>2019</v>
      </c>
      <c r="E1" s="385">
        <f t="shared" ref="E1:BB1" si="0">D1+1</f>
        <v>2020</v>
      </c>
      <c r="F1" s="385">
        <f t="shared" si="0"/>
        <v>2021</v>
      </c>
      <c r="G1" s="385">
        <f t="shared" si="0"/>
        <v>2022</v>
      </c>
      <c r="H1" s="385">
        <f t="shared" si="0"/>
        <v>2023</v>
      </c>
      <c r="I1" s="385">
        <f t="shared" si="0"/>
        <v>2024</v>
      </c>
      <c r="J1" s="385">
        <f t="shared" si="0"/>
        <v>2025</v>
      </c>
      <c r="K1" s="385">
        <f t="shared" si="0"/>
        <v>2026</v>
      </c>
      <c r="L1" s="385">
        <f t="shared" si="0"/>
        <v>2027</v>
      </c>
      <c r="M1" s="385">
        <f t="shared" si="0"/>
        <v>2028</v>
      </c>
      <c r="N1" s="385">
        <f t="shared" si="0"/>
        <v>2029</v>
      </c>
      <c r="O1" s="385">
        <f t="shared" si="0"/>
        <v>2030</v>
      </c>
      <c r="P1" s="385">
        <f t="shared" si="0"/>
        <v>2031</v>
      </c>
      <c r="Q1" s="385">
        <f t="shared" si="0"/>
        <v>2032</v>
      </c>
      <c r="R1" s="385">
        <f t="shared" si="0"/>
        <v>2033</v>
      </c>
      <c r="S1" s="385">
        <f t="shared" si="0"/>
        <v>2034</v>
      </c>
      <c r="T1" s="385">
        <f t="shared" si="0"/>
        <v>2035</v>
      </c>
      <c r="U1" s="385">
        <f t="shared" si="0"/>
        <v>2036</v>
      </c>
      <c r="V1" s="385">
        <f t="shared" si="0"/>
        <v>2037</v>
      </c>
      <c r="W1" s="385">
        <f t="shared" si="0"/>
        <v>2038</v>
      </c>
      <c r="X1" s="385">
        <f t="shared" si="0"/>
        <v>2039</v>
      </c>
      <c r="Y1" s="385">
        <f t="shared" si="0"/>
        <v>2040</v>
      </c>
      <c r="Z1" s="385">
        <f t="shared" si="0"/>
        <v>2041</v>
      </c>
      <c r="AA1" s="385">
        <f t="shared" si="0"/>
        <v>2042</v>
      </c>
      <c r="AB1" s="385">
        <f t="shared" si="0"/>
        <v>2043</v>
      </c>
      <c r="AC1" s="385">
        <f t="shared" si="0"/>
        <v>2044</v>
      </c>
      <c r="AD1" s="385">
        <f t="shared" si="0"/>
        <v>2045</v>
      </c>
      <c r="AE1" s="385">
        <f t="shared" si="0"/>
        <v>2046</v>
      </c>
      <c r="AF1" s="385">
        <f t="shared" si="0"/>
        <v>2047</v>
      </c>
      <c r="AG1" s="385">
        <f t="shared" si="0"/>
        <v>2048</v>
      </c>
      <c r="AH1" s="385">
        <f t="shared" si="0"/>
        <v>2049</v>
      </c>
      <c r="AI1" s="385">
        <f t="shared" si="0"/>
        <v>2050</v>
      </c>
      <c r="AJ1" s="385">
        <f t="shared" si="0"/>
        <v>2051</v>
      </c>
      <c r="AK1" s="385">
        <f t="shared" si="0"/>
        <v>2052</v>
      </c>
      <c r="AL1" s="385">
        <f t="shared" si="0"/>
        <v>2053</v>
      </c>
      <c r="AM1" s="385">
        <f t="shared" si="0"/>
        <v>2054</v>
      </c>
      <c r="AN1" s="385">
        <f t="shared" si="0"/>
        <v>2055</v>
      </c>
      <c r="AO1" s="385">
        <f t="shared" si="0"/>
        <v>2056</v>
      </c>
      <c r="AP1" s="385">
        <f t="shared" si="0"/>
        <v>2057</v>
      </c>
      <c r="AQ1" s="385">
        <f t="shared" si="0"/>
        <v>2058</v>
      </c>
      <c r="AR1" s="385">
        <f t="shared" si="0"/>
        <v>2059</v>
      </c>
      <c r="AS1" s="385">
        <f t="shared" si="0"/>
        <v>2060</v>
      </c>
      <c r="AT1" s="385">
        <f t="shared" si="0"/>
        <v>2061</v>
      </c>
      <c r="AU1" s="385">
        <f t="shared" si="0"/>
        <v>2062</v>
      </c>
      <c r="AV1" s="385">
        <f t="shared" si="0"/>
        <v>2063</v>
      </c>
      <c r="AW1" s="385">
        <f t="shared" si="0"/>
        <v>2064</v>
      </c>
      <c r="AX1" s="385">
        <f t="shared" si="0"/>
        <v>2065</v>
      </c>
      <c r="AY1" s="385">
        <f t="shared" si="0"/>
        <v>2066</v>
      </c>
      <c r="AZ1" s="385">
        <f t="shared" si="0"/>
        <v>2067</v>
      </c>
      <c r="BA1" s="385">
        <f t="shared" si="0"/>
        <v>2068</v>
      </c>
      <c r="BB1" s="385">
        <f t="shared" si="0"/>
        <v>2069</v>
      </c>
    </row>
    <row r="2" spans="1:54">
      <c r="A2" s="38">
        <f>NPV('Financial Information'!$B$5,$E2:$AL2)*(1+'Financial Information'!$B$5)</f>
        <v>92917.55075567415</v>
      </c>
      <c r="B2" s="24">
        <f>NPV('Financial Information'!$B$5,$E2:$BB2)*(1+'Financial Information'!$B$5)</f>
        <v>92917.55075567415</v>
      </c>
      <c r="C2" s="6" t="s">
        <v>0</v>
      </c>
      <c r="D2" s="15">
        <v>0</v>
      </c>
      <c r="E2" s="15">
        <v>8245.452985495298</v>
      </c>
      <c r="F2" s="15">
        <v>10921.238491985418</v>
      </c>
      <c r="G2" s="15">
        <v>10112.91719333768</v>
      </c>
      <c r="H2" s="15">
        <v>9623.5366970556297</v>
      </c>
      <c r="I2" s="15">
        <v>9205.4926949036653</v>
      </c>
      <c r="J2" s="15">
        <v>8781.0744039351866</v>
      </c>
      <c r="K2" s="15">
        <v>7056.0278477010488</v>
      </c>
      <c r="L2" s="15">
        <v>6828.7645917471209</v>
      </c>
      <c r="M2" s="15">
        <v>6605.0480232756818</v>
      </c>
      <c r="N2" s="15">
        <v>6385.4227336109616</v>
      </c>
      <c r="O2" s="15">
        <v>6160.1176717883427</v>
      </c>
      <c r="P2" s="15">
        <v>5935.0594120683945</v>
      </c>
      <c r="Q2" s="15">
        <v>5710.5126124640492</v>
      </c>
      <c r="R2" s="15">
        <v>5489.3316445492637</v>
      </c>
      <c r="S2" s="15">
        <v>5273.0640379721008</v>
      </c>
      <c r="T2" s="15">
        <v>5048.6808494955139</v>
      </c>
      <c r="U2" s="15">
        <v>4823.9777229556039</v>
      </c>
      <c r="V2" s="15">
        <v>4599.3010355536044</v>
      </c>
      <c r="W2" s="15">
        <v>4377.1234574462414</v>
      </c>
      <c r="X2" s="15">
        <v>4158.1053292967008</v>
      </c>
      <c r="Y2" s="15">
        <v>3932.7700389426445</v>
      </c>
      <c r="Z2" s="15">
        <v>3707.165573793678</v>
      </c>
      <c r="AA2" s="15">
        <v>3481.4587058029233</v>
      </c>
      <c r="AB2" s="15">
        <v>3258.19457136336</v>
      </c>
      <c r="AC2" s="15">
        <v>3038.1764254530917</v>
      </c>
      <c r="AD2" s="15">
        <v>2812.0108590289706</v>
      </c>
      <c r="AE2" s="15">
        <v>2586.2281016216343</v>
      </c>
      <c r="AF2" s="15">
        <v>2362.18605761756</v>
      </c>
      <c r="AG2" s="15">
        <v>2144.8243285002318</v>
      </c>
      <c r="AH2" s="15">
        <v>2021.9043538238884</v>
      </c>
      <c r="AI2" s="15">
        <v>1894.7920613857882</v>
      </c>
      <c r="AJ2" s="15">
        <v>0</v>
      </c>
      <c r="AK2" s="15">
        <v>0</v>
      </c>
      <c r="AL2" s="15">
        <v>0</v>
      </c>
      <c r="AM2" s="15">
        <v>0</v>
      </c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</row>
    <row r="3" spans="1:54">
      <c r="A3" s="38">
        <f>NPV('Financial Information'!$B$5,$E3:$AL3)*(1+'Financial Information'!$B$5)</f>
        <v>3843.6070304238488</v>
      </c>
      <c r="B3" s="24">
        <f>NPV('Financial Information'!$B$5,$E3:$BB3)*(1+'Financial Information'!$B$5)</f>
        <v>3843.6070304238488</v>
      </c>
      <c r="C3" s="6" t="s">
        <v>1</v>
      </c>
      <c r="D3" s="15">
        <v>0</v>
      </c>
      <c r="E3" s="15">
        <v>239.1069708286899</v>
      </c>
      <c r="F3" s="15">
        <v>311.56412508345608</v>
      </c>
      <c r="G3" s="15">
        <v>304.26395073423646</v>
      </c>
      <c r="H3" s="15">
        <v>295.34151541852361</v>
      </c>
      <c r="I3" s="15">
        <v>285.92425326956413</v>
      </c>
      <c r="J3" s="15">
        <v>276.39404970708188</v>
      </c>
      <c r="K3" s="15">
        <v>266.87877801965402</v>
      </c>
      <c r="L3" s="15">
        <v>257.37331290614571</v>
      </c>
      <c r="M3" s="15">
        <v>247.87263236583217</v>
      </c>
      <c r="N3" s="15">
        <v>236.18325729015089</v>
      </c>
      <c r="O3" s="15">
        <v>225.84590685149175</v>
      </c>
      <c r="P3" s="15">
        <v>213.8589826188674</v>
      </c>
      <c r="Q3" s="15">
        <v>201.03166942608738</v>
      </c>
      <c r="R3" s="15">
        <v>188.17773817663107</v>
      </c>
      <c r="S3" s="15">
        <v>175.51317621679999</v>
      </c>
      <c r="T3" s="15">
        <v>162.57880337024159</v>
      </c>
      <c r="U3" s="15">
        <v>149.60822570345957</v>
      </c>
      <c r="V3" s="15">
        <v>134.11700634802082</v>
      </c>
      <c r="W3" s="15">
        <v>455.86339409217271</v>
      </c>
      <c r="X3" s="15">
        <v>516.05571547156944</v>
      </c>
      <c r="Y3" s="15">
        <v>500.20324462684118</v>
      </c>
      <c r="Z3" s="15">
        <v>450.95519767434439</v>
      </c>
      <c r="AA3" s="15">
        <v>434.93428748038446</v>
      </c>
      <c r="AB3" s="15">
        <v>397.95488993906469</v>
      </c>
      <c r="AC3" s="15">
        <v>386.38160863458324</v>
      </c>
      <c r="AD3" s="15">
        <v>361.74357900468061</v>
      </c>
      <c r="AE3" s="15">
        <v>341.22390360126724</v>
      </c>
      <c r="AF3" s="15">
        <v>337.46214894662012</v>
      </c>
      <c r="AG3" s="15">
        <v>337.88702403219605</v>
      </c>
      <c r="AH3" s="15">
        <v>338.65688161254621</v>
      </c>
      <c r="AI3" s="15">
        <f>AH3/12*3</f>
        <v>84.664220403136554</v>
      </c>
      <c r="AJ3" s="15">
        <v>0</v>
      </c>
      <c r="AK3" s="15">
        <v>0</v>
      </c>
      <c r="AL3" s="15">
        <v>0</v>
      </c>
      <c r="AM3" s="15">
        <v>0</v>
      </c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</row>
    <row r="4" spans="1:54">
      <c r="A4" s="38">
        <f>NPV('Financial Information'!$B$5,$E4:$AL4)*(1+'Financial Information'!$B$5)</f>
        <v>2249.5952288842732</v>
      </c>
      <c r="B4" s="24">
        <f>NPV('Financial Information'!$B$5,$E4:$BB4)*(1+'Financial Information'!$B$5)</f>
        <v>2249.5952288842732</v>
      </c>
      <c r="C4" s="6" t="s">
        <v>2</v>
      </c>
      <c r="D4" s="15">
        <v>0</v>
      </c>
      <c r="E4" s="15">
        <v>89.159989753554385</v>
      </c>
      <c r="F4" s="15">
        <v>122.4463859282147</v>
      </c>
      <c r="G4" s="15">
        <v>126.11977750606113</v>
      </c>
      <c r="H4" s="15">
        <v>129.90337083124297</v>
      </c>
      <c r="I4" s="15">
        <v>133.94903911910023</v>
      </c>
      <c r="J4" s="15">
        <v>138.07479409240673</v>
      </c>
      <c r="K4" s="15">
        <v>142.34363717971112</v>
      </c>
      <c r="L4" s="15">
        <v>146.75988703257789</v>
      </c>
      <c r="M4" s="15">
        <v>151.32783910664645</v>
      </c>
      <c r="N4" s="15">
        <v>156.22399563164493</v>
      </c>
      <c r="O4" s="15">
        <v>161.11331450117132</v>
      </c>
      <c r="P4" s="15">
        <v>166.16724850463859</v>
      </c>
      <c r="Q4" s="15">
        <v>171.39002730702472</v>
      </c>
      <c r="R4" s="15">
        <v>176.78588021590596</v>
      </c>
      <c r="S4" s="15">
        <v>182.58865852733985</v>
      </c>
      <c r="T4" s="15">
        <v>188.35029254747235</v>
      </c>
      <c r="U4" s="15">
        <v>194.29801487176269</v>
      </c>
      <c r="V4" s="15">
        <v>200.43619021750598</v>
      </c>
      <c r="W4" s="15">
        <v>206.7692565044664</v>
      </c>
      <c r="X4" s="15">
        <v>213.53320628349618</v>
      </c>
      <c r="Y4" s="15">
        <v>220.27669873281238</v>
      </c>
      <c r="Z4" s="15">
        <v>227.22923281326823</v>
      </c>
      <c r="AA4" s="15">
        <v>234.39573714024218</v>
      </c>
      <c r="AB4" s="15">
        <v>241.78131078243402</v>
      </c>
      <c r="AC4" s="15">
        <v>249.65957129397162</v>
      </c>
      <c r="AD4" s="15">
        <v>257.50740784615391</v>
      </c>
      <c r="AE4" s="15">
        <v>265.59106376138635</v>
      </c>
      <c r="AF4" s="15">
        <v>273.91651174813535</v>
      </c>
      <c r="AG4" s="15">
        <v>282.48998284725502</v>
      </c>
      <c r="AH4" s="15">
        <v>291.62904735522136</v>
      </c>
      <c r="AI4" s="15">
        <v>75.09447969396949</v>
      </c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</row>
    <row r="5" spans="1:54">
      <c r="A5" s="395">
        <f>NPV('Financial Information'!$B$5,$E5:$AL5)*(1+'Financial Information'!$B$5)</f>
        <v>0</v>
      </c>
      <c r="B5" s="13">
        <f>NPV('Financial Information'!$B$5,$E5:$BB5)*(1+'Financial Information'!$B$5)</f>
        <v>0</v>
      </c>
      <c r="C5" s="1" t="s">
        <v>3</v>
      </c>
      <c r="D5" s="17">
        <v>0</v>
      </c>
      <c r="E5" s="17">
        <v>0</v>
      </c>
      <c r="F5" s="17">
        <v>0</v>
      </c>
      <c r="G5" s="17">
        <v>0</v>
      </c>
      <c r="H5" s="17">
        <v>0</v>
      </c>
      <c r="I5" s="17">
        <v>0</v>
      </c>
      <c r="J5" s="17">
        <v>0</v>
      </c>
      <c r="K5" s="17">
        <v>0</v>
      </c>
      <c r="L5" s="17">
        <v>0</v>
      </c>
      <c r="M5" s="17">
        <v>0</v>
      </c>
      <c r="N5" s="17">
        <v>0</v>
      </c>
      <c r="O5" s="17">
        <v>0</v>
      </c>
      <c r="P5" s="17">
        <v>0</v>
      </c>
      <c r="Q5" s="17">
        <v>0</v>
      </c>
      <c r="R5" s="17">
        <v>0</v>
      </c>
      <c r="S5" s="17">
        <v>0</v>
      </c>
      <c r="T5" s="17">
        <v>0</v>
      </c>
      <c r="U5" s="17">
        <v>0</v>
      </c>
      <c r="V5" s="17">
        <v>0</v>
      </c>
      <c r="W5" s="17">
        <v>0</v>
      </c>
      <c r="X5" s="17">
        <v>0</v>
      </c>
      <c r="Y5" s="17">
        <v>0</v>
      </c>
      <c r="Z5" s="17">
        <v>0</v>
      </c>
      <c r="AA5" s="17">
        <v>0</v>
      </c>
      <c r="AB5" s="17">
        <v>0</v>
      </c>
      <c r="AC5" s="17">
        <v>0</v>
      </c>
      <c r="AD5" s="17">
        <v>0</v>
      </c>
      <c r="AE5" s="17">
        <v>0</v>
      </c>
      <c r="AF5" s="17">
        <v>0</v>
      </c>
      <c r="AG5" s="17">
        <v>0</v>
      </c>
      <c r="AH5" s="17">
        <v>0</v>
      </c>
      <c r="AI5" s="17">
        <v>0</v>
      </c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</row>
    <row r="6" spans="1:54">
      <c r="A6" s="38">
        <f>NPV('Financial Information'!$B$5,$E6:$AL6)*(1+'Financial Information'!$B$5)</f>
        <v>15189.948601725038</v>
      </c>
      <c r="B6" s="24">
        <f>NPV('Financial Information'!$B$5,$E6:$BB6)*(1+'Financial Information'!$B$5)</f>
        <v>15189.948601725038</v>
      </c>
      <c r="C6" s="6" t="s">
        <v>4</v>
      </c>
      <c r="D6" s="15">
        <v>0</v>
      </c>
      <c r="E6" s="15">
        <v>657.84597384773167</v>
      </c>
      <c r="F6" s="15">
        <v>888.7565509528838</v>
      </c>
      <c r="G6" s="15">
        <v>911.14641377611315</v>
      </c>
      <c r="H6" s="15">
        <v>930.7841382381016</v>
      </c>
      <c r="I6" s="15">
        <v>955.64666215272689</v>
      </c>
      <c r="J6" s="15">
        <v>981.83503561692464</v>
      </c>
      <c r="K6" s="15">
        <v>1003.298425131985</v>
      </c>
      <c r="L6" s="15">
        <v>1026.5171652021197</v>
      </c>
      <c r="M6" s="15">
        <v>1054.1578612482788</v>
      </c>
      <c r="N6" s="15">
        <v>1081.1586483684582</v>
      </c>
      <c r="O6" s="15">
        <v>1103.45431194312</v>
      </c>
      <c r="P6" s="15">
        <v>1131.6464467013602</v>
      </c>
      <c r="Q6" s="15">
        <v>1156.5769990429812</v>
      </c>
      <c r="R6" s="15">
        <v>1221.3924403634931</v>
      </c>
      <c r="S6" s="15">
        <v>1231.1715132480417</v>
      </c>
      <c r="T6" s="15">
        <v>1242.8178967812687</v>
      </c>
      <c r="U6" s="15">
        <v>1270.2655077607287</v>
      </c>
      <c r="V6" s="15">
        <v>1304.1395118168202</v>
      </c>
      <c r="W6" s="15">
        <v>1333.2790490432103</v>
      </c>
      <c r="X6" s="15">
        <v>1368.1249672520992</v>
      </c>
      <c r="Y6" s="15">
        <v>1402.1724241215645</v>
      </c>
      <c r="Z6" s="15">
        <v>1432.605763838757</v>
      </c>
      <c r="AA6" s="15">
        <v>1466.381570906776</v>
      </c>
      <c r="AB6" s="15">
        <v>1505.8817575464607</v>
      </c>
      <c r="AC6" s="15">
        <v>1544.1198360236874</v>
      </c>
      <c r="AD6" s="15">
        <v>1578.3299142481583</v>
      </c>
      <c r="AE6" s="15">
        <v>1619.7877927248571</v>
      </c>
      <c r="AF6" s="15">
        <v>1657.3211367618032</v>
      </c>
      <c r="AG6" s="15">
        <v>1697.2049824141686</v>
      </c>
      <c r="AH6" s="15">
        <v>1743.3670782419399</v>
      </c>
      <c r="AI6" s="15">
        <v>438.82589353240496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</row>
    <row r="7" spans="1:54">
      <c r="A7" s="24">
        <f>NPV('Financial Information'!$B$5,$E7:$AL7)*(1+'Financial Information'!$B$5)</f>
        <v>6395.1739382934611</v>
      </c>
      <c r="B7" s="24">
        <f>NPV('Financial Information'!$B$5,$E7:$BB7)*(1+'Financial Information'!$B$5)</f>
        <v>6482.8529749222516</v>
      </c>
      <c r="C7" s="6" t="s">
        <v>38</v>
      </c>
      <c r="D7" s="15">
        <v>0</v>
      </c>
      <c r="E7" s="15">
        <v>629.86329898745828</v>
      </c>
      <c r="F7" s="15">
        <v>595.00055342757764</v>
      </c>
      <c r="G7" s="15">
        <v>577.2980458454017</v>
      </c>
      <c r="H7" s="15">
        <v>560.22593000157576</v>
      </c>
      <c r="I7" s="15">
        <v>543.73881769093873</v>
      </c>
      <c r="J7" s="15">
        <v>527.79132070832929</v>
      </c>
      <c r="K7" s="15">
        <v>512.34435476596968</v>
      </c>
      <c r="L7" s="15">
        <v>497.3588355760823</v>
      </c>
      <c r="M7" s="15">
        <v>482.44896339479686</v>
      </c>
      <c r="N7" s="15">
        <v>467.54035199698825</v>
      </c>
      <c r="O7" s="15">
        <v>452.63047981570276</v>
      </c>
      <c r="P7" s="15">
        <v>437.72186841789397</v>
      </c>
      <c r="Q7" s="15">
        <v>422.81199623660865</v>
      </c>
      <c r="R7" s="15">
        <v>407.90338483879992</v>
      </c>
      <c r="S7" s="15">
        <v>392.99351265751454</v>
      </c>
      <c r="T7" s="15">
        <v>378.08490125970582</v>
      </c>
      <c r="U7" s="15">
        <v>363.17502907842044</v>
      </c>
      <c r="V7" s="15">
        <v>348.26641768061177</v>
      </c>
      <c r="W7" s="15">
        <v>333.35654549932644</v>
      </c>
      <c r="X7" s="15">
        <v>318.44793410151772</v>
      </c>
      <c r="Y7" s="15">
        <v>306.35086985675002</v>
      </c>
      <c r="Z7" s="15">
        <v>297.06661354850007</v>
      </c>
      <c r="AA7" s="15">
        <v>287.78235724025006</v>
      </c>
      <c r="AB7" s="15">
        <v>278.49810093200006</v>
      </c>
      <c r="AC7" s="15">
        <v>269.21384462375011</v>
      </c>
      <c r="AD7" s="15">
        <v>259.9295883155001</v>
      </c>
      <c r="AE7" s="15">
        <v>250.64533200725018</v>
      </c>
      <c r="AF7" s="15">
        <v>241.36107569900011</v>
      </c>
      <c r="AG7" s="15">
        <v>232.07681939075016</v>
      </c>
      <c r="AH7" s="15">
        <v>222.79256308250021</v>
      </c>
      <c r="AI7" s="15">
        <v>213.50830677425023</v>
      </c>
      <c r="AJ7" s="15">
        <v>204.22405046600016</v>
      </c>
      <c r="AK7" s="15">
        <v>194.93979415775021</v>
      </c>
      <c r="AL7" s="15">
        <v>185.65553784950021</v>
      </c>
      <c r="AM7" s="15">
        <v>176.37128154125023</v>
      </c>
      <c r="AN7" s="15">
        <v>167.08702523300025</v>
      </c>
      <c r="AO7" s="15">
        <v>157.80276892475027</v>
      </c>
      <c r="AP7" s="15">
        <v>148.51851261650029</v>
      </c>
      <c r="AQ7" s="15">
        <v>139.23425630825031</v>
      </c>
      <c r="AR7" s="15">
        <v>129.95000000000351</v>
      </c>
      <c r="AS7" s="15">
        <v>0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</row>
    <row r="8" spans="1:54">
      <c r="A8" s="24">
        <f>NPV('Financial Information'!$B$5,$E8:$AL8)*(1+'Financial Information'!$B$5)</f>
        <v>850.63163480304331</v>
      </c>
      <c r="B8" s="24">
        <f>NPV('Financial Information'!$B$5,$E8:$BB8)*(1+'Financial Information'!$B$5)</f>
        <v>861.38547869639638</v>
      </c>
      <c r="C8" s="6" t="s">
        <v>39</v>
      </c>
      <c r="D8" s="15">
        <v>0</v>
      </c>
      <c r="E8" s="15">
        <v>76.666666666666671</v>
      </c>
      <c r="F8" s="15">
        <v>89</v>
      </c>
      <c r="G8" s="15">
        <v>87</v>
      </c>
      <c r="H8" s="15">
        <v>84</v>
      </c>
      <c r="I8" s="15">
        <v>81</v>
      </c>
      <c r="J8" s="15">
        <v>79</v>
      </c>
      <c r="K8" s="15">
        <v>76</v>
      </c>
      <c r="L8" s="15">
        <v>73</v>
      </c>
      <c r="M8" s="15">
        <v>70</v>
      </c>
      <c r="N8" s="15">
        <v>67</v>
      </c>
      <c r="O8" s="15">
        <v>64</v>
      </c>
      <c r="P8" s="15">
        <v>60</v>
      </c>
      <c r="Q8" s="15">
        <v>56</v>
      </c>
      <c r="R8" s="15">
        <v>52</v>
      </c>
      <c r="S8" s="15">
        <v>49</v>
      </c>
      <c r="T8" s="15">
        <v>45</v>
      </c>
      <c r="U8" s="15">
        <v>41</v>
      </c>
      <c r="V8" s="15">
        <v>37</v>
      </c>
      <c r="W8" s="15">
        <v>32</v>
      </c>
      <c r="X8" s="15">
        <v>28</v>
      </c>
      <c r="Y8" s="15">
        <v>28</v>
      </c>
      <c r="Z8" s="15">
        <v>24</v>
      </c>
      <c r="AA8" s="15">
        <v>24</v>
      </c>
      <c r="AB8" s="15">
        <v>22</v>
      </c>
      <c r="AC8" s="15">
        <v>22</v>
      </c>
      <c r="AD8" s="15">
        <v>20</v>
      </c>
      <c r="AE8" s="15">
        <v>19</v>
      </c>
      <c r="AF8" s="15">
        <v>19</v>
      </c>
      <c r="AG8" s="15">
        <v>19</v>
      </c>
      <c r="AH8" s="15">
        <v>19</v>
      </c>
      <c r="AI8" s="15">
        <v>19</v>
      </c>
      <c r="AJ8" s="15">
        <v>19</v>
      </c>
      <c r="AK8" s="15">
        <v>19</v>
      </c>
      <c r="AL8" s="15">
        <v>19</v>
      </c>
      <c r="AM8" s="15">
        <v>19</v>
      </c>
      <c r="AN8" s="15">
        <v>19</v>
      </c>
      <c r="AO8" s="15">
        <v>19</v>
      </c>
      <c r="AP8" s="15">
        <v>19</v>
      </c>
      <c r="AQ8" s="15">
        <v>19</v>
      </c>
      <c r="AR8" s="15">
        <v>19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</row>
    <row r="9" spans="1:54">
      <c r="A9" s="386">
        <f>NPV('Financial Information'!$B$5,$E9:$AL9)*(1+'Financial Information'!$B$5)</f>
        <v>137.12294960331971</v>
      </c>
      <c r="B9" s="386">
        <f>NPV('Financial Information'!$B$5,$E9:$BB9)*(1+'Financial Information'!$B$5)</f>
        <v>148.76740098789864</v>
      </c>
      <c r="C9" s="12" t="s">
        <v>40</v>
      </c>
      <c r="D9" s="389">
        <v>0</v>
      </c>
      <c r="E9" s="389">
        <v>5.7178000000000004</v>
      </c>
      <c r="F9" s="389">
        <v>7.0672008000000002</v>
      </c>
      <c r="G9" s="389">
        <v>7.2792168239999997</v>
      </c>
      <c r="H9" s="389">
        <v>7.4975933287200007</v>
      </c>
      <c r="I9" s="389">
        <v>7.7225211285816</v>
      </c>
      <c r="J9" s="389">
        <v>7.9541967624390475</v>
      </c>
      <c r="K9" s="389">
        <v>8.1928226653122191</v>
      </c>
      <c r="L9" s="389">
        <v>8.4386073452715866</v>
      </c>
      <c r="M9" s="389">
        <v>8.6917655656297335</v>
      </c>
      <c r="N9" s="389">
        <v>8.9525185325986261</v>
      </c>
      <c r="O9" s="389">
        <v>9.2210940885765833</v>
      </c>
      <c r="P9" s="389">
        <v>9.4977269112338814</v>
      </c>
      <c r="Q9" s="389">
        <v>9.7826587185708966</v>
      </c>
      <c r="R9" s="389">
        <v>10.076138480128023</v>
      </c>
      <c r="S9" s="389">
        <v>10.378422634531866</v>
      </c>
      <c r="T9" s="389">
        <v>10.689775313567822</v>
      </c>
      <c r="U9" s="389">
        <v>11.010468572974855</v>
      </c>
      <c r="V9" s="389">
        <v>11.340782630164099</v>
      </c>
      <c r="W9" s="389">
        <v>11.681006109069022</v>
      </c>
      <c r="X9" s="389">
        <v>12.031436292341093</v>
      </c>
      <c r="Y9" s="389">
        <v>12.392379381111326</v>
      </c>
      <c r="Z9" s="389">
        <v>12.764150762544665</v>
      </c>
      <c r="AA9" s="389">
        <v>13.147075285421005</v>
      </c>
      <c r="AB9" s="389">
        <v>13.541487543983637</v>
      </c>
      <c r="AC9" s="389">
        <v>13.947732170303142</v>
      </c>
      <c r="AD9" s="389">
        <v>14.366164135412237</v>
      </c>
      <c r="AE9" s="389">
        <v>14.797149059474606</v>
      </c>
      <c r="AF9" s="389">
        <v>15.241063531258844</v>
      </c>
      <c r="AG9" s="389">
        <v>15.698295437196608</v>
      </c>
      <c r="AH9" s="389">
        <v>16.169244300312506</v>
      </c>
      <c r="AI9" s="389">
        <v>16.654321629321881</v>
      </c>
      <c r="AJ9" s="389">
        <v>17.153951278201539</v>
      </c>
      <c r="AK9" s="389">
        <v>17.668569816547581</v>
      </c>
      <c r="AL9" s="389">
        <v>18.198626911044009</v>
      </c>
      <c r="AM9" s="389">
        <v>18.744585718375326</v>
      </c>
      <c r="AN9" s="389">
        <v>19.306923289926591</v>
      </c>
      <c r="AO9" s="389">
        <v>19.886130988624387</v>
      </c>
      <c r="AP9" s="389">
        <v>20.482714918283115</v>
      </c>
      <c r="AQ9" s="389">
        <v>21.097196365831611</v>
      </c>
      <c r="AR9" s="389">
        <v>21.73011225680656</v>
      </c>
      <c r="AS9" s="389">
        <f>AR9*2/12</f>
        <v>3.6216853761344265</v>
      </c>
      <c r="AT9" s="389">
        <v>0</v>
      </c>
      <c r="AU9" s="389">
        <v>0</v>
      </c>
      <c r="AV9" s="389">
        <v>0</v>
      </c>
      <c r="AW9" s="389">
        <v>0</v>
      </c>
      <c r="AX9" s="389">
        <v>0</v>
      </c>
      <c r="AY9" s="389">
        <v>0</v>
      </c>
      <c r="AZ9" s="389">
        <v>0</v>
      </c>
      <c r="BA9" s="389">
        <v>0</v>
      </c>
      <c r="BB9" s="389">
        <v>0</v>
      </c>
    </row>
    <row r="10" spans="1:54">
      <c r="A10" s="24">
        <f>SUM(A2:A9)</f>
        <v>121583.63013940713</v>
      </c>
      <c r="B10" s="24">
        <f>SUM(B2:B9)</f>
        <v>121693.70747131386</v>
      </c>
      <c r="D10" s="16">
        <f t="shared" ref="D10:BB10" si="1">SUM(D2:D9)</f>
        <v>0</v>
      </c>
      <c r="E10" s="16">
        <f t="shared" si="1"/>
        <v>9943.8136855794</v>
      </c>
      <c r="F10" s="16">
        <f t="shared" si="1"/>
        <v>12935.073308177549</v>
      </c>
      <c r="G10" s="16">
        <f t="shared" si="1"/>
        <v>12126.024598023494</v>
      </c>
      <c r="H10" s="16">
        <f t="shared" si="1"/>
        <v>11631.289244873795</v>
      </c>
      <c r="I10" s="16">
        <f t="shared" si="1"/>
        <v>11213.473988264579</v>
      </c>
      <c r="J10" s="16">
        <f t="shared" si="1"/>
        <v>10792.123800822368</v>
      </c>
      <c r="K10" s="16">
        <f t="shared" si="1"/>
        <v>9065.0858654636831</v>
      </c>
      <c r="L10" s="16">
        <f t="shared" si="1"/>
        <v>8838.2123998093175</v>
      </c>
      <c r="M10" s="16">
        <f t="shared" si="1"/>
        <v>8619.5470849568646</v>
      </c>
      <c r="N10" s="16">
        <f t="shared" si="1"/>
        <v>8402.4815054308019</v>
      </c>
      <c r="O10" s="16">
        <f t="shared" si="1"/>
        <v>8176.3827789884044</v>
      </c>
      <c r="P10" s="16">
        <f t="shared" si="1"/>
        <v>7953.9516852223887</v>
      </c>
      <c r="Q10" s="16">
        <f t="shared" si="1"/>
        <v>7728.1059631953221</v>
      </c>
      <c r="R10" s="16">
        <f t="shared" si="1"/>
        <v>7545.6672266242222</v>
      </c>
      <c r="S10" s="16">
        <f t="shared" si="1"/>
        <v>7314.7093212563295</v>
      </c>
      <c r="T10" s="16">
        <f t="shared" si="1"/>
        <v>7076.20251876777</v>
      </c>
      <c r="U10" s="16">
        <f t="shared" si="1"/>
        <v>6853.3349689429497</v>
      </c>
      <c r="V10" s="16">
        <f t="shared" si="1"/>
        <v>6634.6009442467275</v>
      </c>
      <c r="W10" s="16">
        <f t="shared" si="1"/>
        <v>6750.0727086944871</v>
      </c>
      <c r="X10" s="16">
        <f t="shared" si="1"/>
        <v>6614.298588697724</v>
      </c>
      <c r="Y10" s="16">
        <f t="shared" si="1"/>
        <v>6402.1656556617236</v>
      </c>
      <c r="Z10" s="16">
        <f t="shared" si="1"/>
        <v>6151.7865324310924</v>
      </c>
      <c r="AA10" s="16">
        <f t="shared" si="1"/>
        <v>5942.0997338559973</v>
      </c>
      <c r="AB10" s="16">
        <f t="shared" si="1"/>
        <v>5717.8521181073029</v>
      </c>
      <c r="AC10" s="16">
        <f t="shared" si="1"/>
        <v>5523.499018199388</v>
      </c>
      <c r="AD10" s="16">
        <f t="shared" si="1"/>
        <v>5303.8875125788754</v>
      </c>
      <c r="AE10" s="16">
        <f t="shared" si="1"/>
        <v>5097.2733427758703</v>
      </c>
      <c r="AF10" s="16">
        <f t="shared" si="1"/>
        <v>4906.4879943043779</v>
      </c>
      <c r="AG10" s="16">
        <f t="shared" si="1"/>
        <v>4729.1814326217982</v>
      </c>
      <c r="AH10" s="16">
        <f t="shared" si="1"/>
        <v>4653.5191684164083</v>
      </c>
      <c r="AI10" s="16">
        <f t="shared" si="1"/>
        <v>2742.5392834188715</v>
      </c>
      <c r="AJ10" s="16">
        <f t="shared" si="1"/>
        <v>240.3780017442017</v>
      </c>
      <c r="AK10" s="16">
        <f t="shared" si="1"/>
        <v>231.60836397429779</v>
      </c>
      <c r="AL10" s="16">
        <f t="shared" si="1"/>
        <v>222.85416476054422</v>
      </c>
      <c r="AM10" s="16">
        <f t="shared" si="1"/>
        <v>214.11586725962556</v>
      </c>
      <c r="AN10" s="16">
        <f t="shared" si="1"/>
        <v>205.39394852292685</v>
      </c>
      <c r="AO10" s="16">
        <f t="shared" si="1"/>
        <v>196.68889991337466</v>
      </c>
      <c r="AP10" s="16">
        <f t="shared" si="1"/>
        <v>188.0012275347834</v>
      </c>
      <c r="AQ10" s="16">
        <f t="shared" si="1"/>
        <v>179.33145267408193</v>
      </c>
      <c r="AR10" s="16">
        <f t="shared" si="1"/>
        <v>170.68011225681008</v>
      </c>
      <c r="AS10" s="16">
        <f t="shared" si="1"/>
        <v>3.6216853761344265</v>
      </c>
      <c r="AT10" s="16">
        <f t="shared" si="1"/>
        <v>0</v>
      </c>
      <c r="AU10" s="16">
        <f t="shared" si="1"/>
        <v>0</v>
      </c>
      <c r="AV10" s="16">
        <f t="shared" si="1"/>
        <v>0</v>
      </c>
      <c r="AW10" s="16">
        <f t="shared" si="1"/>
        <v>0</v>
      </c>
      <c r="AX10" s="16">
        <f t="shared" si="1"/>
        <v>0</v>
      </c>
      <c r="AY10" s="16">
        <f t="shared" si="1"/>
        <v>0</v>
      </c>
      <c r="AZ10" s="16">
        <f t="shared" si="1"/>
        <v>0</v>
      </c>
      <c r="BA10" s="16">
        <f t="shared" si="1"/>
        <v>0</v>
      </c>
      <c r="BB10" s="16">
        <f t="shared" si="1"/>
        <v>0</v>
      </c>
    </row>
    <row r="11" spans="1:54">
      <c r="A11" s="2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54">
      <c r="A12" s="390"/>
      <c r="B12" s="6">
        <v>74.5</v>
      </c>
      <c r="C12" s="6" t="str">
        <f>C6&amp;" $/kw"</f>
        <v>O&amp;M $/kw</v>
      </c>
      <c r="E12" s="25">
        <f>E6/74.5</f>
        <v>8.8301472999695534</v>
      </c>
      <c r="F12" s="25">
        <f t="shared" ref="F12:AI12" si="2">F6/74.5</f>
        <v>11.929618133595756</v>
      </c>
      <c r="G12" s="25">
        <f t="shared" si="2"/>
        <v>12.230153205048499</v>
      </c>
      <c r="H12" s="25">
        <f t="shared" si="2"/>
        <v>12.493746821987941</v>
      </c>
      <c r="I12" s="25">
        <f t="shared" si="2"/>
        <v>12.827471975204388</v>
      </c>
      <c r="J12" s="25">
        <f t="shared" si="2"/>
        <v>13.17899376667013</v>
      </c>
      <c r="K12" s="25">
        <f t="shared" si="2"/>
        <v>13.467092954791745</v>
      </c>
      <c r="L12" s="25">
        <f t="shared" si="2"/>
        <v>13.778753895330466</v>
      </c>
      <c r="M12" s="25">
        <f t="shared" si="2"/>
        <v>14.149769949641327</v>
      </c>
      <c r="N12" s="25">
        <f t="shared" si="2"/>
        <v>14.512196622395413</v>
      </c>
      <c r="O12" s="25">
        <f t="shared" si="2"/>
        <v>14.811467274404295</v>
      </c>
      <c r="P12" s="25">
        <f t="shared" si="2"/>
        <v>15.189885190622284</v>
      </c>
      <c r="Q12" s="25">
        <f t="shared" si="2"/>
        <v>15.524523477086996</v>
      </c>
      <c r="R12" s="25">
        <f t="shared" si="2"/>
        <v>16.394529400852257</v>
      </c>
      <c r="S12" s="25">
        <f t="shared" si="2"/>
        <v>16.525792124134789</v>
      </c>
      <c r="T12" s="25">
        <f t="shared" si="2"/>
        <v>16.682119419882802</v>
      </c>
      <c r="U12" s="25">
        <f t="shared" si="2"/>
        <v>17.050543728331927</v>
      </c>
      <c r="V12" s="25">
        <f t="shared" si="2"/>
        <v>17.505228346534501</v>
      </c>
      <c r="W12" s="25">
        <f t="shared" si="2"/>
        <v>17.896363074405507</v>
      </c>
      <c r="X12" s="25">
        <f t="shared" si="2"/>
        <v>18.364093520162406</v>
      </c>
      <c r="Y12" s="25">
        <f t="shared" si="2"/>
        <v>18.821106364047846</v>
      </c>
      <c r="Z12" s="25">
        <f t="shared" si="2"/>
        <v>19.229607568305461</v>
      </c>
      <c r="AA12" s="25">
        <f t="shared" si="2"/>
        <v>19.682974106131223</v>
      </c>
      <c r="AB12" s="25">
        <f t="shared" si="2"/>
        <v>20.213177953643768</v>
      </c>
      <c r="AC12" s="25">
        <f t="shared" si="2"/>
        <v>20.726440751995803</v>
      </c>
      <c r="AD12" s="25">
        <f t="shared" si="2"/>
        <v>21.185636432861184</v>
      </c>
      <c r="AE12" s="25">
        <f t="shared" si="2"/>
        <v>21.742118023152443</v>
      </c>
      <c r="AF12" s="25">
        <f t="shared" si="2"/>
        <v>22.24592129881615</v>
      </c>
      <c r="AG12" s="25">
        <f t="shared" si="2"/>
        <v>22.781274931733808</v>
      </c>
      <c r="AH12" s="25">
        <f t="shared" si="2"/>
        <v>23.40090037908644</v>
      </c>
      <c r="AI12" s="25">
        <f t="shared" si="2"/>
        <v>5.8902804500993957</v>
      </c>
    </row>
    <row r="13" spans="1:54">
      <c r="A13" s="390"/>
      <c r="E13" s="15">
        <f>SUM(E2:E6)</f>
        <v>9231.565919925275</v>
      </c>
      <c r="F13" s="15">
        <f t="shared" ref="F13:AS13" si="3">SUM(F2:F6)</f>
        <v>12244.005553949972</v>
      </c>
      <c r="G13" s="15">
        <f t="shared" si="3"/>
        <v>11454.447335354093</v>
      </c>
      <c r="H13" s="15">
        <f t="shared" si="3"/>
        <v>10979.565721543499</v>
      </c>
      <c r="I13" s="15">
        <f t="shared" si="3"/>
        <v>10581.012649445058</v>
      </c>
      <c r="J13" s="15">
        <f t="shared" si="3"/>
        <v>10177.3782833516</v>
      </c>
      <c r="K13" s="15">
        <f t="shared" si="3"/>
        <v>8468.5486880324006</v>
      </c>
      <c r="L13" s="15">
        <f t="shared" si="3"/>
        <v>8259.4149568879639</v>
      </c>
      <c r="M13" s="15">
        <f t="shared" si="3"/>
        <v>8058.4063559964388</v>
      </c>
      <c r="N13" s="15">
        <f t="shared" si="3"/>
        <v>7858.9886349012158</v>
      </c>
      <c r="O13" s="15">
        <f t="shared" si="3"/>
        <v>7650.5312050841258</v>
      </c>
      <c r="P13" s="15">
        <f t="shared" si="3"/>
        <v>7446.7320898932603</v>
      </c>
      <c r="Q13" s="15">
        <f t="shared" si="3"/>
        <v>7239.5113082401422</v>
      </c>
      <c r="R13" s="15">
        <f t="shared" si="3"/>
        <v>7075.6877033052942</v>
      </c>
      <c r="S13" s="15">
        <f t="shared" si="3"/>
        <v>6862.3373859642834</v>
      </c>
      <c r="T13" s="15">
        <f t="shared" si="3"/>
        <v>6642.4278421944964</v>
      </c>
      <c r="U13" s="15">
        <f t="shared" si="3"/>
        <v>6438.1494712915546</v>
      </c>
      <c r="V13" s="15">
        <f t="shared" si="3"/>
        <v>6237.993743935951</v>
      </c>
      <c r="W13" s="15">
        <f t="shared" si="3"/>
        <v>6373.0351570860912</v>
      </c>
      <c r="X13" s="15">
        <f t="shared" si="3"/>
        <v>6255.8192183038655</v>
      </c>
      <c r="Y13" s="15">
        <f t="shared" si="3"/>
        <v>6055.4224064238624</v>
      </c>
      <c r="Z13" s="15">
        <f t="shared" si="3"/>
        <v>5817.9557681200477</v>
      </c>
      <c r="AA13" s="15">
        <f t="shared" si="3"/>
        <v>5617.1703013303259</v>
      </c>
      <c r="AB13" s="15">
        <f t="shared" si="3"/>
        <v>5403.8125296313192</v>
      </c>
      <c r="AC13" s="15">
        <f t="shared" si="3"/>
        <v>5218.3374414053342</v>
      </c>
      <c r="AD13" s="15">
        <f t="shared" si="3"/>
        <v>5009.5917601279634</v>
      </c>
      <c r="AE13" s="15">
        <f t="shared" si="3"/>
        <v>4812.8308617091452</v>
      </c>
      <c r="AF13" s="15">
        <f t="shared" si="3"/>
        <v>4630.8858550741188</v>
      </c>
      <c r="AG13" s="15">
        <f t="shared" si="3"/>
        <v>4462.4063177938515</v>
      </c>
      <c r="AH13" s="15">
        <f t="shared" si="3"/>
        <v>4395.557361033596</v>
      </c>
      <c r="AI13" s="15">
        <f t="shared" si="3"/>
        <v>2493.3766550152995</v>
      </c>
      <c r="AJ13" s="15">
        <f t="shared" si="3"/>
        <v>0</v>
      </c>
      <c r="AK13" s="15">
        <f t="shared" si="3"/>
        <v>0</v>
      </c>
      <c r="AL13" s="15">
        <f t="shared" si="3"/>
        <v>0</v>
      </c>
      <c r="AM13" s="15">
        <f t="shared" si="3"/>
        <v>0</v>
      </c>
      <c r="AN13" s="15">
        <f t="shared" si="3"/>
        <v>0</v>
      </c>
      <c r="AO13" s="15">
        <f t="shared" si="3"/>
        <v>0</v>
      </c>
      <c r="AP13" s="15">
        <f t="shared" si="3"/>
        <v>0</v>
      </c>
      <c r="AQ13" s="15">
        <f t="shared" si="3"/>
        <v>0</v>
      </c>
      <c r="AR13" s="15">
        <f t="shared" si="3"/>
        <v>0</v>
      </c>
      <c r="AS13" s="15">
        <f t="shared" si="3"/>
        <v>0</v>
      </c>
    </row>
    <row r="14" spans="1:54">
      <c r="E14" s="15">
        <v>9231.5659199252732</v>
      </c>
      <c r="F14" s="15">
        <v>12244.005553949972</v>
      </c>
      <c r="G14" s="15">
        <v>11454.447335354091</v>
      </c>
      <c r="H14" s="15">
        <v>10979.565721543499</v>
      </c>
      <c r="I14" s="15">
        <v>10581.012649445056</v>
      </c>
      <c r="J14" s="15">
        <v>10177.3782833516</v>
      </c>
      <c r="K14" s="15">
        <v>8468.5486880323988</v>
      </c>
      <c r="L14" s="15">
        <v>8259.4149568879639</v>
      </c>
      <c r="M14" s="15">
        <v>8058.4063559964388</v>
      </c>
      <c r="N14" s="15">
        <v>7858.9886349012149</v>
      </c>
      <c r="O14" s="15">
        <v>7650.5312050841258</v>
      </c>
      <c r="P14" s="15">
        <v>7446.7320898932612</v>
      </c>
      <c r="Q14" s="15">
        <v>7239.5113082401422</v>
      </c>
      <c r="R14" s="15">
        <v>7075.6877033052933</v>
      </c>
      <c r="S14" s="15">
        <v>6862.3373859642825</v>
      </c>
      <c r="T14" s="15">
        <v>6642.4278421944964</v>
      </c>
      <c r="U14" s="15">
        <v>6438.1494712915546</v>
      </c>
      <c r="V14" s="15">
        <v>6237.993743935951</v>
      </c>
      <c r="W14" s="15">
        <v>6373.0351570860912</v>
      </c>
      <c r="X14" s="15">
        <v>6255.8192183038655</v>
      </c>
      <c r="Y14" s="15">
        <v>6055.4224064238624</v>
      </c>
      <c r="Z14" s="15">
        <v>5817.9557681200477</v>
      </c>
      <c r="AA14" s="15">
        <v>5617.1703013303259</v>
      </c>
      <c r="AB14" s="15">
        <v>5403.8125296313192</v>
      </c>
      <c r="AC14" s="15">
        <v>5218.3374414053342</v>
      </c>
      <c r="AD14" s="15">
        <v>5009.5917601279634</v>
      </c>
      <c r="AE14" s="15">
        <v>4812.8308617091452</v>
      </c>
      <c r="AF14" s="15">
        <v>4630.8858550741188</v>
      </c>
      <c r="AG14" s="15">
        <v>4462.4063177938515</v>
      </c>
      <c r="AH14" s="15">
        <v>4395.557361033596</v>
      </c>
      <c r="AI14" s="15">
        <v>2408.8926646121627</v>
      </c>
      <c r="AJ14" s="15">
        <v>0</v>
      </c>
      <c r="AK14" s="15">
        <v>0</v>
      </c>
      <c r="AL14" s="15">
        <v>0</v>
      </c>
      <c r="AM14" s="15">
        <v>0</v>
      </c>
    </row>
    <row r="15" spans="1:54">
      <c r="AI15" s="16"/>
    </row>
    <row r="16" spans="1:54">
      <c r="A16" s="38">
        <f>NPV('Financial Information'!$B$5,$E16:$AL16)*(1+'Financial Information'!$B$5)</f>
        <v>15189.948601725038</v>
      </c>
      <c r="B16" s="24">
        <f>NPV('Financial Information'!$B$5,$D16:$BB16)*(1+'Financial Information'!$B$5)</f>
        <v>14236.128024109687</v>
      </c>
      <c r="C16" s="6" t="str">
        <f>C6</f>
        <v>O&amp;M</v>
      </c>
      <c r="D16" s="6">
        <v>0</v>
      </c>
      <c r="E16" s="16">
        <f>E6</f>
        <v>657.84597384773167</v>
      </c>
      <c r="F16" s="16">
        <f t="shared" ref="F16:BB16" si="4">F6</f>
        <v>888.7565509528838</v>
      </c>
      <c r="G16" s="16">
        <f t="shared" si="4"/>
        <v>911.14641377611315</v>
      </c>
      <c r="H16" s="16">
        <f t="shared" si="4"/>
        <v>930.7841382381016</v>
      </c>
      <c r="I16" s="16">
        <f t="shared" si="4"/>
        <v>955.64666215272689</v>
      </c>
      <c r="J16" s="16">
        <f t="shared" si="4"/>
        <v>981.83503561692464</v>
      </c>
      <c r="K16" s="16">
        <f t="shared" si="4"/>
        <v>1003.298425131985</v>
      </c>
      <c r="L16" s="16">
        <f t="shared" si="4"/>
        <v>1026.5171652021197</v>
      </c>
      <c r="M16" s="16">
        <f t="shared" si="4"/>
        <v>1054.1578612482788</v>
      </c>
      <c r="N16" s="16">
        <f t="shared" si="4"/>
        <v>1081.1586483684582</v>
      </c>
      <c r="O16" s="16">
        <f t="shared" si="4"/>
        <v>1103.45431194312</v>
      </c>
      <c r="P16" s="16">
        <f t="shared" si="4"/>
        <v>1131.6464467013602</v>
      </c>
      <c r="Q16" s="16">
        <f t="shared" si="4"/>
        <v>1156.5769990429812</v>
      </c>
      <c r="R16" s="16">
        <f t="shared" si="4"/>
        <v>1221.3924403634931</v>
      </c>
      <c r="S16" s="16">
        <f t="shared" si="4"/>
        <v>1231.1715132480417</v>
      </c>
      <c r="T16" s="16">
        <f t="shared" si="4"/>
        <v>1242.8178967812687</v>
      </c>
      <c r="U16" s="16">
        <f t="shared" si="4"/>
        <v>1270.2655077607287</v>
      </c>
      <c r="V16" s="16">
        <f t="shared" si="4"/>
        <v>1304.1395118168202</v>
      </c>
      <c r="W16" s="16">
        <f t="shared" si="4"/>
        <v>1333.2790490432103</v>
      </c>
      <c r="X16" s="16">
        <f t="shared" si="4"/>
        <v>1368.1249672520992</v>
      </c>
      <c r="Y16" s="16">
        <f t="shared" si="4"/>
        <v>1402.1724241215645</v>
      </c>
      <c r="Z16" s="16">
        <f t="shared" si="4"/>
        <v>1432.605763838757</v>
      </c>
      <c r="AA16" s="16">
        <f t="shared" si="4"/>
        <v>1466.381570906776</v>
      </c>
      <c r="AB16" s="16">
        <f t="shared" si="4"/>
        <v>1505.8817575464607</v>
      </c>
      <c r="AC16" s="16">
        <f t="shared" si="4"/>
        <v>1544.1198360236874</v>
      </c>
      <c r="AD16" s="16">
        <f t="shared" si="4"/>
        <v>1578.3299142481583</v>
      </c>
      <c r="AE16" s="16">
        <f t="shared" si="4"/>
        <v>1619.7877927248571</v>
      </c>
      <c r="AF16" s="16">
        <f t="shared" si="4"/>
        <v>1657.3211367618032</v>
      </c>
      <c r="AG16" s="16">
        <f t="shared" si="4"/>
        <v>1697.2049824141686</v>
      </c>
      <c r="AH16" s="16">
        <f t="shared" si="4"/>
        <v>1743.3670782419399</v>
      </c>
      <c r="AI16" s="16">
        <f t="shared" si="4"/>
        <v>438.82589353240496</v>
      </c>
      <c r="AJ16" s="16">
        <f t="shared" si="4"/>
        <v>0</v>
      </c>
      <c r="AK16" s="16">
        <f t="shared" si="4"/>
        <v>0</v>
      </c>
      <c r="AL16" s="16">
        <f t="shared" si="4"/>
        <v>0</v>
      </c>
      <c r="AM16" s="16">
        <f t="shared" si="4"/>
        <v>0</v>
      </c>
      <c r="AN16" s="16">
        <f t="shared" si="4"/>
        <v>0</v>
      </c>
      <c r="AO16" s="16">
        <f t="shared" si="4"/>
        <v>0</v>
      </c>
      <c r="AP16" s="16">
        <f t="shared" si="4"/>
        <v>0</v>
      </c>
      <c r="AQ16" s="16">
        <f t="shared" si="4"/>
        <v>0</v>
      </c>
      <c r="AR16" s="16">
        <f t="shared" si="4"/>
        <v>0</v>
      </c>
      <c r="AS16" s="16">
        <f t="shared" si="4"/>
        <v>0</v>
      </c>
      <c r="AT16" s="16">
        <f t="shared" si="4"/>
        <v>0</v>
      </c>
      <c r="AU16" s="16">
        <f t="shared" si="4"/>
        <v>0</v>
      </c>
      <c r="AV16" s="16">
        <f t="shared" si="4"/>
        <v>0</v>
      </c>
      <c r="AW16" s="16">
        <f t="shared" si="4"/>
        <v>0</v>
      </c>
      <c r="AX16" s="16">
        <f t="shared" si="4"/>
        <v>0</v>
      </c>
      <c r="AY16" s="16">
        <f t="shared" si="4"/>
        <v>0</v>
      </c>
      <c r="AZ16" s="16">
        <f t="shared" si="4"/>
        <v>0</v>
      </c>
      <c r="BA16" s="16">
        <f t="shared" si="4"/>
        <v>0</v>
      </c>
      <c r="BB16" s="16">
        <f t="shared" si="4"/>
        <v>0</v>
      </c>
    </row>
    <row r="17" spans="1:54">
      <c r="A17" s="38">
        <f>NPV('Financial Information'!$B$5,$E17:$AL17)*(1+'Financial Information'!$B$5)</f>
        <v>99010.7530149823</v>
      </c>
      <c r="B17" s="24">
        <f>NPV('Financial Information'!$B$5,$D17:$BB17)*(1+'Financial Information'!$B$5)</f>
        <v>92793.582956871876</v>
      </c>
      <c r="C17" s="6" t="s">
        <v>108</v>
      </c>
      <c r="D17" s="6">
        <v>0</v>
      </c>
      <c r="E17" s="16">
        <f>SUM(E2:E5)</f>
        <v>8573.7199460775428</v>
      </c>
      <c r="F17" s="16">
        <f t="shared" ref="F17:BB17" si="5">SUM(F2:F5)</f>
        <v>11355.249002997089</v>
      </c>
      <c r="G17" s="16">
        <f t="shared" si="5"/>
        <v>10543.300921577978</v>
      </c>
      <c r="H17" s="16">
        <f t="shared" si="5"/>
        <v>10048.781583305397</v>
      </c>
      <c r="I17" s="16">
        <f t="shared" si="5"/>
        <v>9625.3659872923308</v>
      </c>
      <c r="J17" s="16">
        <f t="shared" si="5"/>
        <v>9195.5432477346749</v>
      </c>
      <c r="K17" s="16">
        <f t="shared" si="5"/>
        <v>7465.2502629004148</v>
      </c>
      <c r="L17" s="16">
        <f t="shared" si="5"/>
        <v>7232.8977916858448</v>
      </c>
      <c r="M17" s="16">
        <f t="shared" si="5"/>
        <v>7004.2484947481598</v>
      </c>
      <c r="N17" s="16">
        <f t="shared" si="5"/>
        <v>6777.8299865327581</v>
      </c>
      <c r="O17" s="16">
        <f t="shared" si="5"/>
        <v>6547.0768931410057</v>
      </c>
      <c r="P17" s="16">
        <f t="shared" si="5"/>
        <v>6315.0856431919001</v>
      </c>
      <c r="Q17" s="16">
        <f t="shared" si="5"/>
        <v>6082.9343091971614</v>
      </c>
      <c r="R17" s="16">
        <f t="shared" si="5"/>
        <v>5854.2952629418014</v>
      </c>
      <c r="S17" s="16">
        <f t="shared" si="5"/>
        <v>5631.1658727162412</v>
      </c>
      <c r="T17" s="16">
        <f t="shared" si="5"/>
        <v>5399.6099454132282</v>
      </c>
      <c r="U17" s="16">
        <f t="shared" si="5"/>
        <v>5167.8839635308259</v>
      </c>
      <c r="V17" s="16">
        <f t="shared" si="5"/>
        <v>4933.8542321191308</v>
      </c>
      <c r="W17" s="16">
        <f t="shared" si="5"/>
        <v>5039.7561080428804</v>
      </c>
      <c r="X17" s="16">
        <f t="shared" si="5"/>
        <v>4887.6942510517665</v>
      </c>
      <c r="Y17" s="16">
        <f t="shared" si="5"/>
        <v>4653.2499823022981</v>
      </c>
      <c r="Z17" s="16">
        <f t="shared" si="5"/>
        <v>4385.3500042812902</v>
      </c>
      <c r="AA17" s="16">
        <f t="shared" si="5"/>
        <v>4150.7887304235501</v>
      </c>
      <c r="AB17" s="16">
        <f t="shared" si="5"/>
        <v>3897.9307720848587</v>
      </c>
      <c r="AC17" s="16">
        <f t="shared" si="5"/>
        <v>3674.2176053816465</v>
      </c>
      <c r="AD17" s="16">
        <f t="shared" si="5"/>
        <v>3431.2618458798052</v>
      </c>
      <c r="AE17" s="16">
        <f t="shared" si="5"/>
        <v>3193.0430689842883</v>
      </c>
      <c r="AF17" s="16">
        <f t="shared" si="5"/>
        <v>2973.5647183123156</v>
      </c>
      <c r="AG17" s="16">
        <f t="shared" si="5"/>
        <v>2765.2013353796829</v>
      </c>
      <c r="AH17" s="16">
        <f t="shared" si="5"/>
        <v>2652.190282791656</v>
      </c>
      <c r="AI17" s="16">
        <f t="shared" si="5"/>
        <v>2054.5507614828944</v>
      </c>
      <c r="AJ17" s="16">
        <f t="shared" si="5"/>
        <v>0</v>
      </c>
      <c r="AK17" s="16">
        <f t="shared" si="5"/>
        <v>0</v>
      </c>
      <c r="AL17" s="16">
        <f t="shared" si="5"/>
        <v>0</v>
      </c>
      <c r="AM17" s="16">
        <f t="shared" si="5"/>
        <v>0</v>
      </c>
      <c r="AN17" s="16">
        <f t="shared" si="5"/>
        <v>0</v>
      </c>
      <c r="AO17" s="16">
        <f t="shared" si="5"/>
        <v>0</v>
      </c>
      <c r="AP17" s="16">
        <f t="shared" si="5"/>
        <v>0</v>
      </c>
      <c r="AQ17" s="16">
        <f t="shared" si="5"/>
        <v>0</v>
      </c>
      <c r="AR17" s="16">
        <f t="shared" si="5"/>
        <v>0</v>
      </c>
      <c r="AS17" s="16">
        <f t="shared" si="5"/>
        <v>0</v>
      </c>
      <c r="AT17" s="16">
        <f t="shared" si="5"/>
        <v>0</v>
      </c>
      <c r="AU17" s="16">
        <f t="shared" si="5"/>
        <v>0</v>
      </c>
      <c r="AV17" s="16">
        <f t="shared" si="5"/>
        <v>0</v>
      </c>
      <c r="AW17" s="16">
        <f t="shared" si="5"/>
        <v>0</v>
      </c>
      <c r="AX17" s="16">
        <f t="shared" si="5"/>
        <v>0</v>
      </c>
      <c r="AY17" s="16">
        <f t="shared" si="5"/>
        <v>0</v>
      </c>
      <c r="AZ17" s="16">
        <f t="shared" si="5"/>
        <v>0</v>
      </c>
      <c r="BA17" s="16">
        <f t="shared" si="5"/>
        <v>0</v>
      </c>
      <c r="BB17" s="16">
        <f t="shared" si="5"/>
        <v>0</v>
      </c>
    </row>
    <row r="18" spans="1:54">
      <c r="A18" s="386">
        <f>NPV('Financial Information'!$B$5,$E18:$AL18)*(1+'Financial Information'!$B$5)</f>
        <v>7382.9285226998227</v>
      </c>
      <c r="B18" s="386">
        <f>NPV('Financial Information'!$B$5,$D18:$BB18)*(1+'Financial Information'!$B$5)</f>
        <v>7022.498457925537</v>
      </c>
      <c r="C18" s="6" t="s">
        <v>107</v>
      </c>
      <c r="D18" s="6">
        <v>0</v>
      </c>
      <c r="E18" s="16">
        <f>SUM(E7:E9)</f>
        <v>712.24776565412492</v>
      </c>
      <c r="F18" s="16">
        <f t="shared" ref="F18:AS18" si="6">SUM(F7:F9)</f>
        <v>691.06775422757767</v>
      </c>
      <c r="G18" s="16">
        <f t="shared" si="6"/>
        <v>671.57726266940165</v>
      </c>
      <c r="H18" s="16">
        <f t="shared" si="6"/>
        <v>651.72352333029573</v>
      </c>
      <c r="I18" s="16">
        <f t="shared" si="6"/>
        <v>632.46133881952028</v>
      </c>
      <c r="J18" s="16">
        <f t="shared" si="6"/>
        <v>614.74551747076839</v>
      </c>
      <c r="K18" s="16">
        <f t="shared" si="6"/>
        <v>596.53717743128186</v>
      </c>
      <c r="L18" s="16">
        <f t="shared" si="6"/>
        <v>578.79744292135399</v>
      </c>
      <c r="M18" s="16">
        <f t="shared" si="6"/>
        <v>561.1407289604266</v>
      </c>
      <c r="N18" s="16">
        <f t="shared" si="6"/>
        <v>543.49287052958687</v>
      </c>
      <c r="O18" s="16">
        <f t="shared" si="6"/>
        <v>525.85157390427935</v>
      </c>
      <c r="P18" s="16">
        <f t="shared" si="6"/>
        <v>507.21959532912786</v>
      </c>
      <c r="Q18" s="16">
        <f t="shared" si="6"/>
        <v>488.59465495517952</v>
      </c>
      <c r="R18" s="16">
        <f t="shared" si="6"/>
        <v>469.97952331892793</v>
      </c>
      <c r="S18" s="16">
        <f t="shared" si="6"/>
        <v>452.37193529204643</v>
      </c>
      <c r="T18" s="16">
        <f t="shared" si="6"/>
        <v>433.77467657327361</v>
      </c>
      <c r="U18" s="16">
        <f t="shared" si="6"/>
        <v>415.18549765139528</v>
      </c>
      <c r="V18" s="16">
        <f t="shared" si="6"/>
        <v>396.60720031077585</v>
      </c>
      <c r="W18" s="16">
        <f t="shared" si="6"/>
        <v>377.03755160839546</v>
      </c>
      <c r="X18" s="16">
        <f t="shared" si="6"/>
        <v>358.4793703938588</v>
      </c>
      <c r="Y18" s="16">
        <f t="shared" si="6"/>
        <v>346.74324923786133</v>
      </c>
      <c r="Z18" s="16">
        <f t="shared" si="6"/>
        <v>333.83076431104473</v>
      </c>
      <c r="AA18" s="16">
        <f t="shared" si="6"/>
        <v>324.92943252567107</v>
      </c>
      <c r="AB18" s="16">
        <f t="shared" si="6"/>
        <v>314.03958847598369</v>
      </c>
      <c r="AC18" s="16">
        <f t="shared" si="6"/>
        <v>305.16157679405325</v>
      </c>
      <c r="AD18" s="16">
        <f t="shared" si="6"/>
        <v>294.29575245091235</v>
      </c>
      <c r="AE18" s="16">
        <f t="shared" si="6"/>
        <v>284.44248106672478</v>
      </c>
      <c r="AF18" s="16">
        <f t="shared" si="6"/>
        <v>275.60213923025896</v>
      </c>
      <c r="AG18" s="16">
        <f t="shared" si="6"/>
        <v>266.77511482794677</v>
      </c>
      <c r="AH18" s="16">
        <f t="shared" si="6"/>
        <v>257.96180738281271</v>
      </c>
      <c r="AI18" s="16">
        <f t="shared" si="6"/>
        <v>249.16262840357211</v>
      </c>
      <c r="AJ18" s="16">
        <f t="shared" si="6"/>
        <v>240.3780017442017</v>
      </c>
      <c r="AK18" s="16">
        <f t="shared" si="6"/>
        <v>231.60836397429779</v>
      </c>
      <c r="AL18" s="16">
        <f t="shared" si="6"/>
        <v>222.85416476054422</v>
      </c>
      <c r="AM18" s="16">
        <f t="shared" si="6"/>
        <v>214.11586725962556</v>
      </c>
      <c r="AN18" s="16">
        <f t="shared" si="6"/>
        <v>205.39394852292685</v>
      </c>
      <c r="AO18" s="16">
        <f t="shared" si="6"/>
        <v>196.68889991337466</v>
      </c>
      <c r="AP18" s="16">
        <f t="shared" si="6"/>
        <v>188.0012275347834</v>
      </c>
      <c r="AQ18" s="16">
        <f t="shared" si="6"/>
        <v>179.33145267408193</v>
      </c>
      <c r="AR18" s="16">
        <f t="shared" si="6"/>
        <v>170.68011225681008</v>
      </c>
      <c r="AS18" s="16">
        <f t="shared" si="6"/>
        <v>3.6216853761344265</v>
      </c>
    </row>
    <row r="19" spans="1:54">
      <c r="A19" s="24">
        <f>SUM(A16:A18)</f>
        <v>121583.63013940716</v>
      </c>
      <c r="B19" s="24">
        <f>SUM(B16:B18)</f>
        <v>114052.2094389071</v>
      </c>
    </row>
    <row r="20" spans="1:54">
      <c r="D20" s="411"/>
      <c r="E20" s="411"/>
      <c r="F20" s="411"/>
      <c r="G20" s="411"/>
      <c r="AB20" s="157">
        <f t="shared" ref="AB20:AH20" si="7">AB2/AA2-1</f>
        <v>-6.4129479424077318E-2</v>
      </c>
      <c r="AC20" s="157">
        <f t="shared" si="7"/>
        <v>-6.7527626448104949E-2</v>
      </c>
      <c r="AD20" s="157">
        <f t="shared" si="7"/>
        <v>-7.4441222217828451E-2</v>
      </c>
      <c r="AE20" s="157">
        <f t="shared" si="7"/>
        <v>-8.0292277920044119E-2</v>
      </c>
      <c r="AF20" s="157">
        <f t="shared" si="7"/>
        <v>-8.6628880052611712E-2</v>
      </c>
      <c r="AG20" s="157">
        <f t="shared" si="7"/>
        <v>-9.2017192471516629E-2</v>
      </c>
      <c r="AH20" s="157">
        <f t="shared" si="7"/>
        <v>-5.731004308511134E-2</v>
      </c>
    </row>
    <row r="21" spans="1:54">
      <c r="D21" s="390"/>
      <c r="F21" s="390"/>
    </row>
    <row r="22" spans="1:54">
      <c r="A22" s="385"/>
      <c r="D22" s="390"/>
      <c r="F22" s="390"/>
    </row>
    <row r="23" spans="1:54">
      <c r="A23" s="24"/>
      <c r="D23" s="390"/>
      <c r="F23" s="390"/>
    </row>
    <row r="24" spans="1:54">
      <c r="A24" s="24"/>
      <c r="D24" s="157"/>
      <c r="F24" s="157"/>
    </row>
    <row r="25" spans="1:54">
      <c r="A25" s="24"/>
      <c r="D25" s="390"/>
      <c r="F25" s="390"/>
    </row>
    <row r="26" spans="1:54">
      <c r="A26" s="24"/>
      <c r="D26" s="153"/>
      <c r="E26" s="160"/>
      <c r="F26" s="153"/>
    </row>
    <row r="27" spans="1:54">
      <c r="A27" s="24"/>
      <c r="D27" s="153"/>
      <c r="E27" s="160"/>
      <c r="F27" s="153"/>
    </row>
    <row r="28" spans="1:54">
      <c r="A28" s="24"/>
      <c r="D28" s="390"/>
      <c r="F28" s="390"/>
    </row>
    <row r="29" spans="1:54">
      <c r="A29" s="24"/>
      <c r="D29" s="390"/>
      <c r="F29" s="390"/>
    </row>
    <row r="30" spans="1:54">
      <c r="A30" s="24"/>
    </row>
    <row r="31" spans="1:54">
      <c r="A31" s="24"/>
      <c r="D31" s="37"/>
      <c r="F31" s="37"/>
    </row>
    <row r="32" spans="1:54">
      <c r="A32" s="24"/>
      <c r="D32" s="37"/>
      <c r="F32" s="37"/>
    </row>
    <row r="33" spans="1:6">
      <c r="A33" s="24"/>
      <c r="D33" s="37"/>
      <c r="F33" s="37"/>
    </row>
    <row r="34" spans="1:6">
      <c r="A34" s="24"/>
      <c r="D34" s="391"/>
      <c r="F34" s="392"/>
    </row>
    <row r="35" spans="1:6">
      <c r="A35" s="24"/>
      <c r="D35" s="37"/>
    </row>
    <row r="36" spans="1:6">
      <c r="A36" s="24"/>
    </row>
    <row r="37" spans="1:6">
      <c r="A37" s="24"/>
    </row>
    <row r="38" spans="1:6">
      <c r="A38" s="24"/>
    </row>
    <row r="39" spans="1:6">
      <c r="A39" s="24"/>
    </row>
    <row r="40" spans="1:6">
      <c r="A40" s="24"/>
    </row>
    <row r="53" spans="4:6">
      <c r="D53" s="155"/>
      <c r="F53" s="155"/>
    </row>
    <row r="54" spans="4:6">
      <c r="D54" s="153"/>
      <c r="F54" s="155"/>
    </row>
    <row r="55" spans="4:6">
      <c r="D55" s="155"/>
      <c r="F55" s="155"/>
    </row>
    <row r="56" spans="4:6">
      <c r="D56" s="155"/>
      <c r="F56" s="155"/>
    </row>
    <row r="57" spans="4:6">
      <c r="D57" s="155"/>
      <c r="F57" s="155"/>
    </row>
    <row r="58" spans="4:6">
      <c r="F58" s="155"/>
    </row>
    <row r="59" spans="4:6">
      <c r="F59" s="155"/>
    </row>
    <row r="60" spans="4:6">
      <c r="F60" s="155"/>
    </row>
    <row r="61" spans="4:6">
      <c r="F61" s="155"/>
    </row>
    <row r="62" spans="4:6">
      <c r="F62" s="155"/>
    </row>
  </sheetData>
  <mergeCells count="2">
    <mergeCell ref="F20:G20"/>
    <mergeCell ref="D20:E2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BB62"/>
  <sheetViews>
    <sheetView workbookViewId="0">
      <pane xSplit="3" ySplit="1" topLeftCell="D2" activePane="bottomRight" state="frozen"/>
      <selection activeCell="A5" sqref="A5:BB5"/>
      <selection pane="topRight" activeCell="A5" sqref="A5:BB5"/>
      <selection pane="bottomLeft" activeCell="A5" sqref="A5:BB5"/>
      <selection pane="bottomRight" activeCell="A5" sqref="A5:BB5"/>
    </sheetView>
  </sheetViews>
  <sheetFormatPr defaultColWidth="8.90625" defaultRowHeight="14.5"/>
  <cols>
    <col min="1" max="2" width="11.90625" style="6" bestFit="1" customWidth="1"/>
    <col min="3" max="3" width="16.36328125" style="6" bestFit="1" customWidth="1"/>
    <col min="4" max="4" width="5" style="6" bestFit="1" customWidth="1"/>
    <col min="5" max="5" width="6.453125" style="6" customWidth="1"/>
    <col min="6" max="10" width="8.36328125" style="6" bestFit="1" customWidth="1"/>
    <col min="11" max="15" width="8.08984375" style="6" bestFit="1" customWidth="1"/>
    <col min="16" max="35" width="8" style="6" bestFit="1" customWidth="1"/>
    <col min="36" max="36" width="6.54296875" style="6" bestFit="1" customWidth="1"/>
    <col min="37" max="16384" width="8.90625" style="6"/>
  </cols>
  <sheetData>
    <row r="1" spans="1:54">
      <c r="A1" s="385" t="s">
        <v>230</v>
      </c>
      <c r="B1" s="385" t="s">
        <v>5</v>
      </c>
      <c r="C1" s="388">
        <v>44166</v>
      </c>
      <c r="D1" s="385">
        <v>2019</v>
      </c>
      <c r="E1" s="385">
        <f t="shared" ref="E1:BB1" si="0">D1+1</f>
        <v>2020</v>
      </c>
      <c r="F1" s="385">
        <f t="shared" si="0"/>
        <v>2021</v>
      </c>
      <c r="G1" s="385">
        <f t="shared" si="0"/>
        <v>2022</v>
      </c>
      <c r="H1" s="385">
        <f t="shared" si="0"/>
        <v>2023</v>
      </c>
      <c r="I1" s="385">
        <f t="shared" si="0"/>
        <v>2024</v>
      </c>
      <c r="J1" s="385">
        <f t="shared" si="0"/>
        <v>2025</v>
      </c>
      <c r="K1" s="385">
        <f t="shared" si="0"/>
        <v>2026</v>
      </c>
      <c r="L1" s="385">
        <f t="shared" si="0"/>
        <v>2027</v>
      </c>
      <c r="M1" s="385">
        <f t="shared" si="0"/>
        <v>2028</v>
      </c>
      <c r="N1" s="385">
        <f t="shared" si="0"/>
        <v>2029</v>
      </c>
      <c r="O1" s="385">
        <f t="shared" si="0"/>
        <v>2030</v>
      </c>
      <c r="P1" s="385">
        <f t="shared" si="0"/>
        <v>2031</v>
      </c>
      <c r="Q1" s="385">
        <f t="shared" si="0"/>
        <v>2032</v>
      </c>
      <c r="R1" s="385">
        <f t="shared" si="0"/>
        <v>2033</v>
      </c>
      <c r="S1" s="385">
        <f t="shared" si="0"/>
        <v>2034</v>
      </c>
      <c r="T1" s="385">
        <f t="shared" si="0"/>
        <v>2035</v>
      </c>
      <c r="U1" s="385">
        <f t="shared" si="0"/>
        <v>2036</v>
      </c>
      <c r="V1" s="385">
        <f t="shared" si="0"/>
        <v>2037</v>
      </c>
      <c r="W1" s="385">
        <f t="shared" si="0"/>
        <v>2038</v>
      </c>
      <c r="X1" s="385">
        <f t="shared" si="0"/>
        <v>2039</v>
      </c>
      <c r="Y1" s="385">
        <f t="shared" si="0"/>
        <v>2040</v>
      </c>
      <c r="Z1" s="385">
        <f t="shared" si="0"/>
        <v>2041</v>
      </c>
      <c r="AA1" s="385">
        <f t="shared" si="0"/>
        <v>2042</v>
      </c>
      <c r="AB1" s="385">
        <f t="shared" si="0"/>
        <v>2043</v>
      </c>
      <c r="AC1" s="385">
        <f t="shared" si="0"/>
        <v>2044</v>
      </c>
      <c r="AD1" s="385">
        <f t="shared" si="0"/>
        <v>2045</v>
      </c>
      <c r="AE1" s="385">
        <f t="shared" si="0"/>
        <v>2046</v>
      </c>
      <c r="AF1" s="385">
        <f t="shared" si="0"/>
        <v>2047</v>
      </c>
      <c r="AG1" s="385">
        <f t="shared" si="0"/>
        <v>2048</v>
      </c>
      <c r="AH1" s="385">
        <f t="shared" si="0"/>
        <v>2049</v>
      </c>
      <c r="AI1" s="385">
        <f t="shared" si="0"/>
        <v>2050</v>
      </c>
      <c r="AJ1" s="385">
        <f t="shared" si="0"/>
        <v>2051</v>
      </c>
      <c r="AK1" s="385">
        <f t="shared" si="0"/>
        <v>2052</v>
      </c>
      <c r="AL1" s="385">
        <f t="shared" si="0"/>
        <v>2053</v>
      </c>
      <c r="AM1" s="385">
        <f t="shared" si="0"/>
        <v>2054</v>
      </c>
      <c r="AN1" s="385">
        <f t="shared" si="0"/>
        <v>2055</v>
      </c>
      <c r="AO1" s="385">
        <f t="shared" si="0"/>
        <v>2056</v>
      </c>
      <c r="AP1" s="385">
        <f t="shared" si="0"/>
        <v>2057</v>
      </c>
      <c r="AQ1" s="385">
        <f t="shared" si="0"/>
        <v>2058</v>
      </c>
      <c r="AR1" s="385">
        <f t="shared" si="0"/>
        <v>2059</v>
      </c>
      <c r="AS1" s="385">
        <f t="shared" si="0"/>
        <v>2060</v>
      </c>
      <c r="AT1" s="385">
        <f t="shared" si="0"/>
        <v>2061</v>
      </c>
      <c r="AU1" s="385">
        <f t="shared" si="0"/>
        <v>2062</v>
      </c>
      <c r="AV1" s="385">
        <f t="shared" si="0"/>
        <v>2063</v>
      </c>
      <c r="AW1" s="385">
        <f t="shared" si="0"/>
        <v>2064</v>
      </c>
      <c r="AX1" s="385">
        <f t="shared" si="0"/>
        <v>2065</v>
      </c>
      <c r="AY1" s="385">
        <f t="shared" si="0"/>
        <v>2066</v>
      </c>
      <c r="AZ1" s="385">
        <f t="shared" si="0"/>
        <v>2067</v>
      </c>
      <c r="BA1" s="385">
        <f t="shared" si="0"/>
        <v>2068</v>
      </c>
      <c r="BB1" s="385">
        <f t="shared" si="0"/>
        <v>2069</v>
      </c>
    </row>
    <row r="2" spans="1:54">
      <c r="A2" s="38">
        <f>NPV('Financial Information'!$B$5,$E2:$AL2)*(1+'Financial Information'!$B$5)</f>
        <v>107074.77379559242</v>
      </c>
      <c r="B2" s="24">
        <f>NPV('Financial Information'!$B$5,$E2:$BB2)*(1+'Financial Information'!$B$5)</f>
        <v>107074.77379559242</v>
      </c>
      <c r="C2" s="6" t="s">
        <v>0</v>
      </c>
      <c r="D2" s="15">
        <v>0</v>
      </c>
      <c r="E2" s="52">
        <v>0</v>
      </c>
      <c r="F2" s="52">
        <v>13513.835790244711</v>
      </c>
      <c r="G2" s="52">
        <v>12747.059047415429</v>
      </c>
      <c r="H2" s="52">
        <v>11986.778780499437</v>
      </c>
      <c r="I2" s="52">
        <v>11419.472430720296</v>
      </c>
      <c r="J2" s="52">
        <v>10932.213368486598</v>
      </c>
      <c r="K2" s="52">
        <v>8879.0550992826211</v>
      </c>
      <c r="L2" s="52">
        <v>8555.2290248086483</v>
      </c>
      <c r="M2" s="52">
        <v>8286.6113233952765</v>
      </c>
      <c r="N2" s="52">
        <v>8018.7752810843622</v>
      </c>
      <c r="O2" s="52">
        <v>7758.9771546917491</v>
      </c>
      <c r="P2" s="52">
        <v>7495.9084586523904</v>
      </c>
      <c r="Q2" s="52">
        <v>7228.7939007821078</v>
      </c>
      <c r="R2" s="52">
        <v>6962.186458175488</v>
      </c>
      <c r="S2" s="52">
        <v>6695.8520573212991</v>
      </c>
      <c r="T2" s="52">
        <v>6438.2755994284216</v>
      </c>
      <c r="U2" s="52">
        <v>6176.4722554595683</v>
      </c>
      <c r="V2" s="52">
        <v>5909.5125333527321</v>
      </c>
      <c r="W2" s="52">
        <v>5642.6267432583827</v>
      </c>
      <c r="X2" s="52">
        <v>5375.5765962565147</v>
      </c>
      <c r="Y2" s="52">
        <v>5115.7449567807889</v>
      </c>
      <c r="Z2" s="52">
        <v>4852.6495648779883</v>
      </c>
      <c r="AA2" s="52">
        <v>4586.2602476437569</v>
      </c>
      <c r="AB2" s="52">
        <v>4320.3515411173657</v>
      </c>
      <c r="AC2" s="52">
        <v>4053.9617550044695</v>
      </c>
      <c r="AD2" s="52">
        <v>3794.5125420228619</v>
      </c>
      <c r="AE2" s="52">
        <v>3530.769284046261</v>
      </c>
      <c r="AF2" s="52">
        <v>3261.9669395245819</v>
      </c>
      <c r="AG2" s="52">
        <v>2992.704094875819</v>
      </c>
      <c r="AH2" s="52">
        <v>2722.8337918360285</v>
      </c>
      <c r="AI2" s="52">
        <v>4739.1776361203592</v>
      </c>
      <c r="AJ2" s="52">
        <v>-2.0327206584624944E-13</v>
      </c>
      <c r="AK2" s="52">
        <v>-2.0327206584624944E-13</v>
      </c>
      <c r="AL2" s="52">
        <v>-2.0327206584624944E-13</v>
      </c>
      <c r="AM2" s="52">
        <v>-2.0327206584624944E-13</v>
      </c>
      <c r="AN2" s="52">
        <v>-2.0327206584624944E-13</v>
      </c>
      <c r="AO2" s="52">
        <v>-2.0327206584624944E-13</v>
      </c>
      <c r="AP2" s="52">
        <v>-2.0327206584624944E-13</v>
      </c>
      <c r="AQ2" s="52">
        <v>-2.0327206584624944E-13</v>
      </c>
      <c r="AR2" s="52">
        <v>-2.0327206584624944E-13</v>
      </c>
      <c r="AS2" s="52">
        <v>-2.0327206584624944E-13</v>
      </c>
      <c r="AT2" s="52">
        <v>0</v>
      </c>
      <c r="AU2" s="52">
        <v>0</v>
      </c>
      <c r="AV2" s="52">
        <v>0</v>
      </c>
      <c r="AW2" s="52">
        <v>0</v>
      </c>
      <c r="AX2" s="52">
        <v>0</v>
      </c>
      <c r="AY2" s="52">
        <v>0</v>
      </c>
      <c r="AZ2" s="52">
        <v>0</v>
      </c>
      <c r="BA2" s="52">
        <v>0</v>
      </c>
      <c r="BB2" s="52">
        <v>0</v>
      </c>
    </row>
    <row r="3" spans="1:54">
      <c r="A3" s="38">
        <f>NPV('Financial Information'!$B$5,$E3:$AL3)*(1+'Financial Information'!$B$5)</f>
        <v>5225.9381883184615</v>
      </c>
      <c r="B3" s="24">
        <f>NPV('Financial Information'!$B$5,$E3:$BB3)*(1+'Financial Information'!$B$5)</f>
        <v>5225.9381883184615</v>
      </c>
      <c r="C3" s="6" t="s">
        <v>1</v>
      </c>
      <c r="D3" s="15">
        <v>0</v>
      </c>
      <c r="E3" s="52">
        <v>0</v>
      </c>
      <c r="F3" s="52">
        <v>434.38469165462766</v>
      </c>
      <c r="G3" s="52">
        <v>424.21580313458804</v>
      </c>
      <c r="H3" s="52">
        <v>417.43654412122834</v>
      </c>
      <c r="I3" s="52">
        <v>407.26765560118872</v>
      </c>
      <c r="J3" s="52">
        <v>397.09876708114905</v>
      </c>
      <c r="K3" s="52">
        <v>386.92987856110943</v>
      </c>
      <c r="L3" s="52">
        <v>376.76099004106982</v>
      </c>
      <c r="M3" s="52">
        <v>366.5921015210302</v>
      </c>
      <c r="N3" s="52">
        <v>356.42321300099064</v>
      </c>
      <c r="O3" s="52">
        <v>342.86469497427112</v>
      </c>
      <c r="P3" s="52">
        <v>332.6958064542315</v>
      </c>
      <c r="Q3" s="52">
        <v>319.13728842751198</v>
      </c>
      <c r="R3" s="52">
        <v>305.57877040079245</v>
      </c>
      <c r="S3" s="52">
        <v>292.02025237407298</v>
      </c>
      <c r="T3" s="52">
        <v>278.46173434735351</v>
      </c>
      <c r="U3" s="52">
        <v>264.90321632063399</v>
      </c>
      <c r="V3" s="52">
        <v>251.34469829391446</v>
      </c>
      <c r="W3" s="52">
        <v>763.17875380257556</v>
      </c>
      <c r="X3" s="52">
        <v>678.43801613557866</v>
      </c>
      <c r="Y3" s="52">
        <v>610.64542600198115</v>
      </c>
      <c r="Z3" s="52">
        <v>610.64542600198115</v>
      </c>
      <c r="AA3" s="52">
        <v>542.85283586838386</v>
      </c>
      <c r="AB3" s="52">
        <v>542.85283586838386</v>
      </c>
      <c r="AC3" s="52">
        <v>492.00839326818567</v>
      </c>
      <c r="AD3" s="52">
        <v>492.00839326818567</v>
      </c>
      <c r="AE3" s="52">
        <v>458.11209820138691</v>
      </c>
      <c r="AF3" s="52">
        <v>441.16395066798754</v>
      </c>
      <c r="AG3" s="52">
        <v>441.16395066798754</v>
      </c>
      <c r="AH3" s="52">
        <v>441.16395066798754</v>
      </c>
      <c r="AI3" s="52">
        <v>344.75606300099065</v>
      </c>
      <c r="AJ3" s="52">
        <v>0</v>
      </c>
      <c r="AK3" s="52">
        <v>0</v>
      </c>
      <c r="AL3" s="52">
        <v>0</v>
      </c>
      <c r="AM3" s="52">
        <v>0</v>
      </c>
      <c r="AN3" s="52">
        <v>0</v>
      </c>
      <c r="AO3" s="52">
        <v>0</v>
      </c>
      <c r="AP3" s="52">
        <v>0</v>
      </c>
      <c r="AQ3" s="52">
        <v>0</v>
      </c>
      <c r="AR3" s="52">
        <v>0</v>
      </c>
      <c r="AS3" s="52">
        <v>0</v>
      </c>
      <c r="AT3" s="52">
        <v>0</v>
      </c>
      <c r="AU3" s="52">
        <v>0</v>
      </c>
      <c r="AV3" s="52">
        <v>0</v>
      </c>
      <c r="AW3" s="52">
        <v>0</v>
      </c>
      <c r="AX3" s="52">
        <v>0</v>
      </c>
      <c r="AY3" s="52">
        <v>0</v>
      </c>
      <c r="AZ3" s="52">
        <v>0</v>
      </c>
      <c r="BA3" s="52">
        <v>0</v>
      </c>
      <c r="BB3" s="52">
        <v>0</v>
      </c>
    </row>
    <row r="4" spans="1:54">
      <c r="A4" s="38">
        <f>NPV('Financial Information'!$B$5,$E4:$AL4)*(1+'Financial Information'!$B$5)</f>
        <v>2367.0143727342611</v>
      </c>
      <c r="B4" s="24">
        <f>NPV('Financial Information'!$B$5,$E4:$BB4)*(1+'Financial Information'!$B$5)</f>
        <v>2367.0143727342611</v>
      </c>
      <c r="C4" s="6" t="s">
        <v>2</v>
      </c>
      <c r="D4" s="15">
        <v>0</v>
      </c>
      <c r="E4" s="52">
        <v>0</v>
      </c>
      <c r="F4" s="52">
        <v>132.65237999999999</v>
      </c>
      <c r="G4" s="52">
        <v>136.63195139999999</v>
      </c>
      <c r="H4" s="52">
        <v>140.73090994199998</v>
      </c>
      <c r="I4" s="52">
        <v>144.95283724025998</v>
      </c>
      <c r="J4" s="52">
        <v>149.43850933052579</v>
      </c>
      <c r="K4" s="52">
        <v>154.0202283378766</v>
      </c>
      <c r="L4" s="52">
        <v>158.75714574862656</v>
      </c>
      <c r="M4" s="52">
        <v>163.6539420720413</v>
      </c>
      <c r="N4" s="52">
        <v>168.71529799801073</v>
      </c>
      <c r="O4" s="52">
        <v>174.10481632843113</v>
      </c>
      <c r="P4" s="52">
        <v>179.51410682882829</v>
      </c>
      <c r="Q4" s="52">
        <v>185.10215944957724</v>
      </c>
      <c r="R4" s="52">
        <v>190.87368700087328</v>
      </c>
      <c r="S4" s="52">
        <v>196.83342683709023</v>
      </c>
      <c r="T4" s="52">
        <v>203.19802034583242</v>
      </c>
      <c r="U4" s="52">
        <v>209.5549080825671</v>
      </c>
      <c r="V4" s="52">
        <v>216.11467742128599</v>
      </c>
      <c r="W4" s="52">
        <v>222.8822971777212</v>
      </c>
      <c r="X4" s="52">
        <v>229.86283217552921</v>
      </c>
      <c r="Y4" s="52">
        <v>237.27503824517973</v>
      </c>
      <c r="Z4" s="52">
        <v>244.70347999680408</v>
      </c>
      <c r="AA4" s="52">
        <v>252.36098232396319</v>
      </c>
      <c r="AB4" s="52">
        <v>260.25318463236488</v>
      </c>
      <c r="AC4" s="52">
        <v>268.38591618066232</v>
      </c>
      <c r="AD4" s="52">
        <v>277.01280903635705</v>
      </c>
      <c r="AE4" s="52">
        <v>285.65236668002188</v>
      </c>
      <c r="AF4" s="52">
        <v>294.55148659346219</v>
      </c>
      <c r="AG4" s="52">
        <v>303.71694387748954</v>
      </c>
      <c r="AH4" s="52">
        <v>313.15578946955719</v>
      </c>
      <c r="AI4" s="52">
        <v>323.16239408954249</v>
      </c>
      <c r="AJ4" s="52">
        <v>0</v>
      </c>
      <c r="AK4" s="52">
        <v>0</v>
      </c>
      <c r="AL4" s="52">
        <v>0</v>
      </c>
      <c r="AM4" s="52">
        <v>0</v>
      </c>
      <c r="AN4" s="52">
        <v>0</v>
      </c>
      <c r="AO4" s="52">
        <v>0</v>
      </c>
      <c r="AP4" s="52">
        <v>0</v>
      </c>
      <c r="AQ4" s="52">
        <v>0</v>
      </c>
      <c r="AR4" s="52">
        <v>0</v>
      </c>
      <c r="AS4" s="52">
        <v>0</v>
      </c>
      <c r="AT4" s="52">
        <v>0</v>
      </c>
      <c r="AU4" s="52">
        <v>0</v>
      </c>
      <c r="AV4" s="52">
        <v>0</v>
      </c>
      <c r="AW4" s="52">
        <v>0</v>
      </c>
      <c r="AX4" s="52">
        <v>0</v>
      </c>
      <c r="AY4" s="52">
        <v>0</v>
      </c>
      <c r="AZ4" s="52">
        <v>0</v>
      </c>
      <c r="BA4" s="52">
        <v>0</v>
      </c>
      <c r="BB4" s="52">
        <v>0</v>
      </c>
    </row>
    <row r="5" spans="1:54">
      <c r="A5" s="395">
        <f>NPV('Financial Information'!$B$5,$E5:$AL5)*(1+'Financial Information'!$B$5)</f>
        <v>0</v>
      </c>
      <c r="B5" s="13">
        <f>NPV('Financial Information'!$B$5,$E5:$BB5)*(1+'Financial Information'!$B$5)</f>
        <v>0</v>
      </c>
      <c r="C5" s="1" t="s">
        <v>3</v>
      </c>
      <c r="D5" s="17">
        <v>0</v>
      </c>
      <c r="E5" s="376">
        <v>0</v>
      </c>
      <c r="F5" s="376">
        <v>0</v>
      </c>
      <c r="G5" s="376">
        <v>0</v>
      </c>
      <c r="H5" s="376">
        <v>0</v>
      </c>
      <c r="I5" s="376">
        <v>0</v>
      </c>
      <c r="J5" s="376">
        <v>0</v>
      </c>
      <c r="K5" s="376">
        <v>0</v>
      </c>
      <c r="L5" s="376">
        <v>0</v>
      </c>
      <c r="M5" s="376">
        <v>0</v>
      </c>
      <c r="N5" s="376">
        <v>0</v>
      </c>
      <c r="O5" s="376">
        <v>0</v>
      </c>
      <c r="P5" s="376">
        <v>0</v>
      </c>
      <c r="Q5" s="376">
        <v>0</v>
      </c>
      <c r="R5" s="376">
        <v>0</v>
      </c>
      <c r="S5" s="376">
        <v>0</v>
      </c>
      <c r="T5" s="376">
        <v>0</v>
      </c>
      <c r="U5" s="376">
        <v>0</v>
      </c>
      <c r="V5" s="376">
        <v>0</v>
      </c>
      <c r="W5" s="376">
        <v>0</v>
      </c>
      <c r="X5" s="376">
        <v>0</v>
      </c>
      <c r="Y5" s="376">
        <v>0</v>
      </c>
      <c r="Z5" s="376">
        <v>0</v>
      </c>
      <c r="AA5" s="376">
        <v>0</v>
      </c>
      <c r="AB5" s="376">
        <v>0</v>
      </c>
      <c r="AC5" s="376">
        <v>0</v>
      </c>
      <c r="AD5" s="376">
        <v>0</v>
      </c>
      <c r="AE5" s="376">
        <v>0</v>
      </c>
      <c r="AF5" s="376">
        <v>0</v>
      </c>
      <c r="AG5" s="376">
        <v>0</v>
      </c>
      <c r="AH5" s="376">
        <v>0</v>
      </c>
      <c r="AI5" s="376">
        <v>0</v>
      </c>
      <c r="AJ5" s="376">
        <v>0</v>
      </c>
      <c r="AK5" s="376">
        <v>0</v>
      </c>
      <c r="AL5" s="376">
        <v>0</v>
      </c>
      <c r="AM5" s="376">
        <v>0</v>
      </c>
      <c r="AN5" s="376">
        <v>0</v>
      </c>
      <c r="AO5" s="376">
        <v>0</v>
      </c>
      <c r="AP5" s="376">
        <v>0</v>
      </c>
      <c r="AQ5" s="376">
        <v>0</v>
      </c>
      <c r="AR5" s="376">
        <v>0</v>
      </c>
      <c r="AS5" s="376">
        <v>0</v>
      </c>
      <c r="AT5" s="376">
        <v>0</v>
      </c>
      <c r="AU5" s="376">
        <v>0</v>
      </c>
      <c r="AV5" s="376">
        <v>0</v>
      </c>
      <c r="AW5" s="376">
        <v>0</v>
      </c>
      <c r="AX5" s="376">
        <v>0</v>
      </c>
      <c r="AY5" s="376">
        <v>0</v>
      </c>
      <c r="AZ5" s="376">
        <v>0</v>
      </c>
      <c r="BA5" s="376">
        <v>0</v>
      </c>
      <c r="BB5" s="376">
        <v>0</v>
      </c>
    </row>
    <row r="6" spans="1:54">
      <c r="A6" s="38">
        <f>NPV('Financial Information'!$B$5,$E6:$AL6)*(1+'Financial Information'!$B$5)</f>
        <v>17439.635455975764</v>
      </c>
      <c r="B6" s="24">
        <f>NPV('Financial Information'!$B$5,$E6:$BB6)*(1+'Financial Information'!$B$5)</f>
        <v>17439.635455975764</v>
      </c>
      <c r="C6" s="6" t="s">
        <v>4</v>
      </c>
      <c r="D6" s="15">
        <v>0</v>
      </c>
      <c r="E6" s="52">
        <v>0</v>
      </c>
      <c r="F6" s="52">
        <v>1027</v>
      </c>
      <c r="G6" s="52">
        <v>1046</v>
      </c>
      <c r="H6" s="52">
        <v>1073</v>
      </c>
      <c r="I6" s="52">
        <v>1095</v>
      </c>
      <c r="J6" s="52">
        <v>1125</v>
      </c>
      <c r="K6" s="52">
        <v>1209</v>
      </c>
      <c r="L6" s="52">
        <v>1234</v>
      </c>
      <c r="M6" s="52">
        <v>1263</v>
      </c>
      <c r="N6" s="52">
        <v>1297</v>
      </c>
      <c r="O6" s="52">
        <v>1328</v>
      </c>
      <c r="P6" s="52">
        <v>1354</v>
      </c>
      <c r="Q6" s="52">
        <v>1390</v>
      </c>
      <c r="R6" s="52">
        <v>1419</v>
      </c>
      <c r="S6" s="52">
        <v>1503</v>
      </c>
      <c r="T6" s="52">
        <v>1496</v>
      </c>
      <c r="U6" s="52">
        <v>1521</v>
      </c>
      <c r="V6" s="52">
        <v>1557</v>
      </c>
      <c r="W6" s="52">
        <v>1598</v>
      </c>
      <c r="X6" s="52">
        <v>1632</v>
      </c>
      <c r="Y6" s="52">
        <v>1676</v>
      </c>
      <c r="Z6" s="52">
        <v>1715</v>
      </c>
      <c r="AA6" s="52">
        <v>1751</v>
      </c>
      <c r="AB6" s="52">
        <v>1793</v>
      </c>
      <c r="AC6" s="52">
        <v>1841</v>
      </c>
      <c r="AD6" s="52">
        <v>1885</v>
      </c>
      <c r="AE6" s="52">
        <v>1926</v>
      </c>
      <c r="AF6" s="52">
        <v>1977</v>
      </c>
      <c r="AG6" s="52">
        <v>2020</v>
      </c>
      <c r="AH6" s="52">
        <v>2069</v>
      </c>
      <c r="AI6" s="52">
        <v>2130</v>
      </c>
      <c r="AJ6" s="52">
        <v>0</v>
      </c>
      <c r="AK6" s="52">
        <v>0</v>
      </c>
      <c r="AL6" s="52">
        <v>0</v>
      </c>
      <c r="AM6" s="52">
        <v>0</v>
      </c>
      <c r="AN6" s="52">
        <v>0</v>
      </c>
      <c r="AO6" s="52">
        <v>0</v>
      </c>
      <c r="AP6" s="52">
        <v>0</v>
      </c>
      <c r="AQ6" s="52">
        <v>0</v>
      </c>
      <c r="AR6" s="52">
        <v>0</v>
      </c>
      <c r="AS6" s="52">
        <v>0</v>
      </c>
      <c r="AT6" s="52">
        <v>0</v>
      </c>
      <c r="AU6" s="52">
        <v>0</v>
      </c>
      <c r="AV6" s="52">
        <v>0</v>
      </c>
      <c r="AW6" s="52">
        <v>0</v>
      </c>
      <c r="AX6" s="52">
        <v>0</v>
      </c>
      <c r="AY6" s="52">
        <v>0</v>
      </c>
      <c r="AZ6" s="52">
        <v>0</v>
      </c>
      <c r="BA6" s="52">
        <v>0</v>
      </c>
      <c r="BB6" s="52">
        <v>0</v>
      </c>
    </row>
    <row r="7" spans="1:54">
      <c r="A7" s="24">
        <f>NPV('Financial Information'!$B$5,$E7:$AL7)*(1+'Financial Information'!$B$5)</f>
        <v>20493.313805553451</v>
      </c>
      <c r="B7" s="24">
        <f>NPV('Financial Information'!$B$5,$E7:$BB7)*(1+'Financial Information'!$B$5)</f>
        <v>20831.32339605342</v>
      </c>
      <c r="C7" s="6" t="s">
        <v>38</v>
      </c>
      <c r="D7" s="15">
        <v>0</v>
      </c>
      <c r="E7" s="15">
        <v>0</v>
      </c>
      <c r="F7" s="15">
        <v>2111.9557509296023</v>
      </c>
      <c r="G7" s="15">
        <v>2056.0759316631797</v>
      </c>
      <c r="H7" s="15">
        <v>1994.1101452204209</v>
      </c>
      <c r="I7" s="15">
        <v>1934.3109381414274</v>
      </c>
      <c r="J7" s="15">
        <v>1876.5161288615418</v>
      </c>
      <c r="K7" s="15">
        <v>1820.5760113210799</v>
      </c>
      <c r="L7" s="15">
        <v>1766.3512757145013</v>
      </c>
      <c r="M7" s="15">
        <v>1713.713008490412</v>
      </c>
      <c r="N7" s="15">
        <v>1661.9605021194552</v>
      </c>
      <c r="O7" s="15">
        <v>1610.3348300490643</v>
      </c>
      <c r="P7" s="15">
        <v>1558.7091579786736</v>
      </c>
      <c r="Q7" s="15">
        <v>1507.0834859082827</v>
      </c>
      <c r="R7" s="15">
        <v>1455.457813837892</v>
      </c>
      <c r="S7" s="15">
        <v>1403.8321417675008</v>
      </c>
      <c r="T7" s="15">
        <v>1352.2064696971102</v>
      </c>
      <c r="U7" s="15">
        <v>1300.5807976267192</v>
      </c>
      <c r="V7" s="15">
        <v>1248.9551255563283</v>
      </c>
      <c r="W7" s="15">
        <v>1197.3294534859376</v>
      </c>
      <c r="X7" s="15">
        <v>1145.7037814155465</v>
      </c>
      <c r="Y7" s="15">
        <v>1094.0781093451558</v>
      </c>
      <c r="Z7" s="15">
        <v>1047.0912458741523</v>
      </c>
      <c r="AA7" s="15">
        <v>1009.3799203510947</v>
      </c>
      <c r="AB7" s="15">
        <v>976.30740342742502</v>
      </c>
      <c r="AC7" s="15">
        <v>943.23488650375475</v>
      </c>
      <c r="AD7" s="15">
        <v>910.16236958008471</v>
      </c>
      <c r="AE7" s="15">
        <v>877.08985265641456</v>
      </c>
      <c r="AF7" s="15">
        <v>844.01733573274453</v>
      </c>
      <c r="AG7" s="15">
        <v>810.94481880907438</v>
      </c>
      <c r="AH7" s="15">
        <v>777.87230188540445</v>
      </c>
      <c r="AI7" s="15">
        <v>744.79978496173442</v>
      </c>
      <c r="AJ7" s="15">
        <v>711.72726803806438</v>
      </c>
      <c r="AK7" s="15">
        <v>678.65475111439434</v>
      </c>
      <c r="AL7" s="15">
        <v>645.58223419072442</v>
      </c>
      <c r="AM7" s="15">
        <v>612.50971726705416</v>
      </c>
      <c r="AN7" s="15">
        <v>579.43720034338412</v>
      </c>
      <c r="AO7" s="15">
        <v>546.36468341971408</v>
      </c>
      <c r="AP7" s="15">
        <v>513.29216649604405</v>
      </c>
      <c r="AQ7" s="15">
        <v>480.21964957237401</v>
      </c>
      <c r="AR7" s="15">
        <v>447.14713264870392</v>
      </c>
      <c r="AS7" s="15">
        <v>463.07093709342053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</row>
    <row r="8" spans="1:54">
      <c r="A8" s="24">
        <f>NPV('Financial Information'!$B$5,$E8:$AL8)*(1+'Financial Information'!$B$5)</f>
        <v>2616.9955465586595</v>
      </c>
      <c r="B8" s="24">
        <f>NPV('Financial Information'!$B$5,$E8:$BB8)*(1+'Financial Information'!$B$5)</f>
        <v>2656.0788222225201</v>
      </c>
      <c r="C8" s="6" t="s">
        <v>39</v>
      </c>
      <c r="D8" s="15">
        <v>0</v>
      </c>
      <c r="E8" s="15">
        <v>0</v>
      </c>
      <c r="F8" s="15">
        <v>297</v>
      </c>
      <c r="G8" s="15">
        <v>288</v>
      </c>
      <c r="H8" s="15">
        <v>282</v>
      </c>
      <c r="I8" s="15">
        <v>273</v>
      </c>
      <c r="J8" s="15">
        <v>263</v>
      </c>
      <c r="K8" s="15">
        <v>254</v>
      </c>
      <c r="L8" s="15">
        <v>245</v>
      </c>
      <c r="M8" s="15">
        <v>236</v>
      </c>
      <c r="N8" s="15">
        <v>227</v>
      </c>
      <c r="O8" s="15">
        <v>215</v>
      </c>
      <c r="P8" s="15">
        <v>206</v>
      </c>
      <c r="Q8" s="15">
        <v>194</v>
      </c>
      <c r="R8" s="15">
        <v>182</v>
      </c>
      <c r="S8" s="15">
        <v>170</v>
      </c>
      <c r="T8" s="15">
        <v>157</v>
      </c>
      <c r="U8" s="15">
        <v>145</v>
      </c>
      <c r="V8" s="15">
        <v>133</v>
      </c>
      <c r="W8" s="15">
        <v>118</v>
      </c>
      <c r="X8" s="15">
        <v>103</v>
      </c>
      <c r="Y8" s="15">
        <v>91</v>
      </c>
      <c r="Z8" s="15">
        <v>91</v>
      </c>
      <c r="AA8" s="15">
        <v>79</v>
      </c>
      <c r="AB8" s="15">
        <v>79</v>
      </c>
      <c r="AC8" s="15">
        <v>70</v>
      </c>
      <c r="AD8" s="15">
        <v>70</v>
      </c>
      <c r="AE8" s="15">
        <v>64</v>
      </c>
      <c r="AF8" s="15">
        <v>61</v>
      </c>
      <c r="AG8" s="15">
        <v>61</v>
      </c>
      <c r="AH8" s="15">
        <v>61</v>
      </c>
      <c r="AI8" s="15">
        <v>61</v>
      </c>
      <c r="AJ8" s="15">
        <v>61</v>
      </c>
      <c r="AK8" s="15">
        <v>61</v>
      </c>
      <c r="AL8" s="15">
        <v>61</v>
      </c>
      <c r="AM8" s="15">
        <v>61</v>
      </c>
      <c r="AN8" s="15">
        <v>61</v>
      </c>
      <c r="AO8" s="15">
        <v>61</v>
      </c>
      <c r="AP8" s="15">
        <v>61</v>
      </c>
      <c r="AQ8" s="15">
        <v>61</v>
      </c>
      <c r="AR8" s="15">
        <v>61</v>
      </c>
      <c r="AS8" s="15">
        <v>61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</row>
    <row r="9" spans="1:54">
      <c r="A9" s="386">
        <f>NPV('Financial Information'!$B$5,$E9:$AL9)*(1+'Financial Information'!$B$5)</f>
        <v>415.64188604853649</v>
      </c>
      <c r="B9" s="386">
        <f>NPV('Financial Information'!$B$5,$E9:$BB9)*(1+'Financial Information'!$B$5)</f>
        <v>456.90768544314079</v>
      </c>
      <c r="C9" s="12" t="s">
        <v>40</v>
      </c>
      <c r="D9" s="389">
        <v>0</v>
      </c>
      <c r="E9" s="389">
        <v>0</v>
      </c>
      <c r="F9" s="389">
        <v>22.353953999999998</v>
      </c>
      <c r="G9" s="389">
        <v>23.024572619999997</v>
      </c>
      <c r="H9" s="389">
        <v>23.715309798599996</v>
      </c>
      <c r="I9" s="389">
        <v>24.426769092557997</v>
      </c>
      <c r="J9" s="389">
        <v>25.159572165334737</v>
      </c>
      <c r="K9" s="389">
        <v>25.914359330294776</v>
      </c>
      <c r="L9" s="389">
        <v>26.69179011020362</v>
      </c>
      <c r="M9" s="389">
        <v>27.49254381350973</v>
      </c>
      <c r="N9" s="389">
        <v>28.317320127915021</v>
      </c>
      <c r="O9" s="389">
        <v>29.166839731752471</v>
      </c>
      <c r="P9" s="389">
        <v>30.041844923705046</v>
      </c>
      <c r="Q9" s="389">
        <v>30.943100271416199</v>
      </c>
      <c r="R9" s="389">
        <v>31.871393279558678</v>
      </c>
      <c r="S9" s="389">
        <v>32.827535077945441</v>
      </c>
      <c r="T9" s="389">
        <v>33.812361130283804</v>
      </c>
      <c r="U9" s="389">
        <v>34.826731964192319</v>
      </c>
      <c r="V9" s="389">
        <v>35.871533923118086</v>
      </c>
      <c r="W9" s="389">
        <v>36.947679940811625</v>
      </c>
      <c r="X9" s="389">
        <v>38.056110339035975</v>
      </c>
      <c r="Y9" s="389">
        <v>39.197793649207057</v>
      </c>
      <c r="Z9" s="389">
        <v>40.373727458683263</v>
      </c>
      <c r="AA9" s="389">
        <v>41.584939282443756</v>
      </c>
      <c r="AB9" s="389">
        <v>42.832487460917072</v>
      </c>
      <c r="AC9" s="389">
        <v>44.117462084744588</v>
      </c>
      <c r="AD9" s="389">
        <v>45.440985947286919</v>
      </c>
      <c r="AE9" s="389">
        <v>46.80421552570553</v>
      </c>
      <c r="AF9" s="389">
        <v>48.208341991476701</v>
      </c>
      <c r="AG9" s="389">
        <v>49.654592251220997</v>
      </c>
      <c r="AH9" s="389">
        <v>51.144230018757625</v>
      </c>
      <c r="AI9" s="389">
        <v>52.67855691932035</v>
      </c>
      <c r="AJ9" s="389">
        <v>54.258913626899961</v>
      </c>
      <c r="AK9" s="389">
        <v>55.886681035706971</v>
      </c>
      <c r="AL9" s="389">
        <v>57.563281466778164</v>
      </c>
      <c r="AM9" s="389">
        <v>59.290179910781511</v>
      </c>
      <c r="AN9" s="389">
        <v>61.068885308104946</v>
      </c>
      <c r="AO9" s="389">
        <v>62.900951867348105</v>
      </c>
      <c r="AP9" s="389">
        <v>64.787980423368552</v>
      </c>
      <c r="AQ9" s="389">
        <v>66.731619836069598</v>
      </c>
      <c r="AR9" s="389">
        <v>68.733568431151681</v>
      </c>
      <c r="AS9" s="389">
        <v>70.795575484086243</v>
      </c>
      <c r="AT9" s="389">
        <v>0</v>
      </c>
      <c r="AU9" s="389">
        <v>0</v>
      </c>
      <c r="AV9" s="389">
        <v>0</v>
      </c>
      <c r="AW9" s="389">
        <v>0</v>
      </c>
      <c r="AX9" s="389">
        <v>0</v>
      </c>
      <c r="AY9" s="389">
        <v>0</v>
      </c>
      <c r="AZ9" s="389">
        <v>0</v>
      </c>
      <c r="BA9" s="389">
        <v>0</v>
      </c>
      <c r="BB9" s="389">
        <v>0</v>
      </c>
    </row>
    <row r="10" spans="1:54">
      <c r="A10" s="24">
        <f>SUM(A2:A9)</f>
        <v>155633.31305078158</v>
      </c>
      <c r="B10" s="24">
        <f>SUM(B2:B9)</f>
        <v>156051.67171634</v>
      </c>
      <c r="D10" s="16">
        <f t="shared" ref="D10:BB10" si="1">SUM(D2:D9)</f>
        <v>0</v>
      </c>
      <c r="E10" s="16">
        <f t="shared" si="1"/>
        <v>0</v>
      </c>
      <c r="F10" s="16">
        <f t="shared" si="1"/>
        <v>17539.182566828938</v>
      </c>
      <c r="G10" s="16">
        <f t="shared" si="1"/>
        <v>16721.007306233198</v>
      </c>
      <c r="H10" s="16">
        <f t="shared" si="1"/>
        <v>15917.771689581685</v>
      </c>
      <c r="I10" s="16">
        <f t="shared" si="1"/>
        <v>15298.430630795729</v>
      </c>
      <c r="J10" s="16">
        <f t="shared" si="1"/>
        <v>14768.426345925149</v>
      </c>
      <c r="K10" s="16">
        <f t="shared" si="1"/>
        <v>12729.495576832982</v>
      </c>
      <c r="L10" s="16">
        <f t="shared" si="1"/>
        <v>12362.790226423051</v>
      </c>
      <c r="M10" s="16">
        <f t="shared" si="1"/>
        <v>12057.062919292272</v>
      </c>
      <c r="N10" s="16">
        <f t="shared" si="1"/>
        <v>11758.191614330734</v>
      </c>
      <c r="O10" s="16">
        <f t="shared" si="1"/>
        <v>11458.448335775269</v>
      </c>
      <c r="P10" s="16">
        <f t="shared" si="1"/>
        <v>11156.86937483783</v>
      </c>
      <c r="Q10" s="16">
        <f t="shared" si="1"/>
        <v>10855.059934838893</v>
      </c>
      <c r="R10" s="16">
        <f t="shared" si="1"/>
        <v>10546.968122694605</v>
      </c>
      <c r="S10" s="16">
        <f t="shared" si="1"/>
        <v>10294.365413377909</v>
      </c>
      <c r="T10" s="16">
        <f t="shared" si="1"/>
        <v>9958.9541849490015</v>
      </c>
      <c r="U10" s="16">
        <f t="shared" si="1"/>
        <v>9652.3379094536813</v>
      </c>
      <c r="V10" s="16">
        <f t="shared" si="1"/>
        <v>9351.7985685473795</v>
      </c>
      <c r="W10" s="16">
        <f t="shared" si="1"/>
        <v>9578.9649276654272</v>
      </c>
      <c r="X10" s="16">
        <f t="shared" si="1"/>
        <v>9202.6373363222046</v>
      </c>
      <c r="Y10" s="16">
        <f t="shared" si="1"/>
        <v>8863.941324022313</v>
      </c>
      <c r="Z10" s="16">
        <f t="shared" si="1"/>
        <v>8601.4634442096085</v>
      </c>
      <c r="AA10" s="16">
        <f t="shared" si="1"/>
        <v>8262.4389254696416</v>
      </c>
      <c r="AB10" s="16">
        <f t="shared" si="1"/>
        <v>8014.5974525064566</v>
      </c>
      <c r="AC10" s="16">
        <f t="shared" si="1"/>
        <v>7712.7084130418161</v>
      </c>
      <c r="AD10" s="16">
        <f t="shared" si="1"/>
        <v>7474.1370998547764</v>
      </c>
      <c r="AE10" s="16">
        <f t="shared" si="1"/>
        <v>7188.4278171097894</v>
      </c>
      <c r="AF10" s="16">
        <f t="shared" si="1"/>
        <v>6927.9080545102534</v>
      </c>
      <c r="AG10" s="16">
        <f t="shared" si="1"/>
        <v>6679.1844004815921</v>
      </c>
      <c r="AH10" s="16">
        <f t="shared" si="1"/>
        <v>6436.1700638777347</v>
      </c>
      <c r="AI10" s="16">
        <f t="shared" si="1"/>
        <v>8395.5744350919467</v>
      </c>
      <c r="AJ10" s="16">
        <f t="shared" si="1"/>
        <v>826.98618166496408</v>
      </c>
      <c r="AK10" s="16">
        <f t="shared" si="1"/>
        <v>795.54143215010106</v>
      </c>
      <c r="AL10" s="16">
        <f t="shared" si="1"/>
        <v>764.1455156575023</v>
      </c>
      <c r="AM10" s="16">
        <f t="shared" si="1"/>
        <v>732.79989717783542</v>
      </c>
      <c r="AN10" s="16">
        <f t="shared" si="1"/>
        <v>701.50608565148889</v>
      </c>
      <c r="AO10" s="16">
        <f t="shared" si="1"/>
        <v>670.26563528706197</v>
      </c>
      <c r="AP10" s="16">
        <f t="shared" si="1"/>
        <v>639.08014691941241</v>
      </c>
      <c r="AQ10" s="16">
        <f t="shared" si="1"/>
        <v>607.95126940844341</v>
      </c>
      <c r="AR10" s="16">
        <f t="shared" si="1"/>
        <v>576.88070107985538</v>
      </c>
      <c r="AS10" s="16">
        <f t="shared" si="1"/>
        <v>594.86651257750657</v>
      </c>
      <c r="AT10" s="16">
        <f t="shared" si="1"/>
        <v>0</v>
      </c>
      <c r="AU10" s="16">
        <f t="shared" si="1"/>
        <v>0</v>
      </c>
      <c r="AV10" s="16">
        <f t="shared" si="1"/>
        <v>0</v>
      </c>
      <c r="AW10" s="16">
        <f t="shared" si="1"/>
        <v>0</v>
      </c>
      <c r="AX10" s="16">
        <f t="shared" si="1"/>
        <v>0</v>
      </c>
      <c r="AY10" s="16">
        <f t="shared" si="1"/>
        <v>0</v>
      </c>
      <c r="AZ10" s="16">
        <f t="shared" si="1"/>
        <v>0</v>
      </c>
      <c r="BA10" s="16">
        <f t="shared" si="1"/>
        <v>0</v>
      </c>
      <c r="BB10" s="16">
        <f t="shared" si="1"/>
        <v>0</v>
      </c>
    </row>
    <row r="11" spans="1:54">
      <c r="A11" s="2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54">
      <c r="A12" s="390"/>
      <c r="B12" s="6">
        <v>74.900000000000006</v>
      </c>
      <c r="C12" s="6" t="str">
        <f>C6&amp;" $/kw"</f>
        <v>O&amp;M $/kw</v>
      </c>
      <c r="D12" s="52">
        <v>0</v>
      </c>
      <c r="E12" s="25">
        <f>E6/$B$12</f>
        <v>0</v>
      </c>
      <c r="F12" s="25">
        <f t="shared" ref="F12:AK12" si="2">F6/$B$12</f>
        <v>13.71161548731642</v>
      </c>
      <c r="G12" s="25">
        <f t="shared" si="2"/>
        <v>13.965287049399198</v>
      </c>
      <c r="H12" s="25">
        <f t="shared" si="2"/>
        <v>14.32576769025367</v>
      </c>
      <c r="I12" s="25">
        <f t="shared" si="2"/>
        <v>14.619492656875833</v>
      </c>
      <c r="J12" s="25">
        <f t="shared" si="2"/>
        <v>15.020026702269691</v>
      </c>
      <c r="K12" s="25">
        <f t="shared" si="2"/>
        <v>16.141522029372496</v>
      </c>
      <c r="L12" s="25">
        <f t="shared" si="2"/>
        <v>16.475300400534046</v>
      </c>
      <c r="M12" s="25">
        <f t="shared" si="2"/>
        <v>16.862483311081441</v>
      </c>
      <c r="N12" s="25">
        <f t="shared" si="2"/>
        <v>17.316421895861147</v>
      </c>
      <c r="O12" s="25">
        <f t="shared" si="2"/>
        <v>17.730307076101468</v>
      </c>
      <c r="P12" s="25">
        <f t="shared" si="2"/>
        <v>18.077436582109478</v>
      </c>
      <c r="Q12" s="25">
        <f t="shared" si="2"/>
        <v>18.558077436582106</v>
      </c>
      <c r="R12" s="25">
        <f t="shared" si="2"/>
        <v>18.945260347129505</v>
      </c>
      <c r="S12" s="25">
        <f t="shared" si="2"/>
        <v>20.066755674232308</v>
      </c>
      <c r="T12" s="25">
        <f t="shared" si="2"/>
        <v>19.973297730307074</v>
      </c>
      <c r="U12" s="25">
        <f t="shared" si="2"/>
        <v>20.307076101468624</v>
      </c>
      <c r="V12" s="25">
        <f t="shared" si="2"/>
        <v>20.787716955941253</v>
      </c>
      <c r="W12" s="25">
        <f t="shared" si="2"/>
        <v>21.335113484646193</v>
      </c>
      <c r="X12" s="25">
        <f t="shared" si="2"/>
        <v>21.7890520694259</v>
      </c>
      <c r="Y12" s="25">
        <f t="shared" si="2"/>
        <v>22.376502002670225</v>
      </c>
      <c r="Z12" s="25">
        <f t="shared" si="2"/>
        <v>22.89719626168224</v>
      </c>
      <c r="AA12" s="25">
        <f t="shared" si="2"/>
        <v>23.377837116154872</v>
      </c>
      <c r="AB12" s="25">
        <f t="shared" si="2"/>
        <v>23.938584779706272</v>
      </c>
      <c r="AC12" s="25">
        <f t="shared" si="2"/>
        <v>24.579439252336446</v>
      </c>
      <c r="AD12" s="25">
        <f t="shared" si="2"/>
        <v>25.166889185580771</v>
      </c>
      <c r="AE12" s="25">
        <f t="shared" si="2"/>
        <v>25.714285714285712</v>
      </c>
      <c r="AF12" s="25">
        <f t="shared" si="2"/>
        <v>26.395193591455271</v>
      </c>
      <c r="AG12" s="25">
        <f t="shared" si="2"/>
        <v>26.969292389853134</v>
      </c>
      <c r="AH12" s="25">
        <f t="shared" si="2"/>
        <v>27.623497997329771</v>
      </c>
      <c r="AI12" s="25">
        <f t="shared" si="2"/>
        <v>28.43791722296395</v>
      </c>
      <c r="AJ12" s="25">
        <f t="shared" si="2"/>
        <v>0</v>
      </c>
      <c r="AK12" s="25">
        <f t="shared" si="2"/>
        <v>0</v>
      </c>
    </row>
    <row r="13" spans="1:54">
      <c r="A13" s="390"/>
      <c r="D13" s="52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</row>
    <row r="14" spans="1:54">
      <c r="D14" s="52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393"/>
      <c r="AJ14" s="25"/>
      <c r="AK14" s="15"/>
      <c r="AL14" s="15"/>
      <c r="AM14" s="15"/>
    </row>
    <row r="15" spans="1:54">
      <c r="AI15" s="16"/>
    </row>
    <row r="16" spans="1:54">
      <c r="A16" s="38">
        <f>NPV('Financial Information'!$B$5,$E16:$AL16)*(1+'Financial Information'!$B$5)</f>
        <v>17439.635455975764</v>
      </c>
      <c r="B16" s="24">
        <f>NPV('Financial Information'!$B$5,$D16:$BB16)*(1+'Financial Information'!$B$5)</f>
        <v>16344.5505679248</v>
      </c>
      <c r="C16" s="6" t="str">
        <f>C6</f>
        <v>O&amp;M</v>
      </c>
      <c r="D16" s="6">
        <v>0</v>
      </c>
      <c r="E16" s="16">
        <f>E6</f>
        <v>0</v>
      </c>
      <c r="F16" s="16">
        <f t="shared" ref="F16:BB16" si="3">F6</f>
        <v>1027</v>
      </c>
      <c r="G16" s="16">
        <f t="shared" si="3"/>
        <v>1046</v>
      </c>
      <c r="H16" s="16">
        <f t="shared" si="3"/>
        <v>1073</v>
      </c>
      <c r="I16" s="16">
        <f t="shared" si="3"/>
        <v>1095</v>
      </c>
      <c r="J16" s="16">
        <f t="shared" si="3"/>
        <v>1125</v>
      </c>
      <c r="K16" s="16">
        <f t="shared" si="3"/>
        <v>1209</v>
      </c>
      <c r="L16" s="16">
        <f t="shared" si="3"/>
        <v>1234</v>
      </c>
      <c r="M16" s="16">
        <f t="shared" si="3"/>
        <v>1263</v>
      </c>
      <c r="N16" s="16">
        <f t="shared" si="3"/>
        <v>1297</v>
      </c>
      <c r="O16" s="16">
        <f t="shared" si="3"/>
        <v>1328</v>
      </c>
      <c r="P16" s="16">
        <f t="shared" si="3"/>
        <v>1354</v>
      </c>
      <c r="Q16" s="16">
        <f t="shared" si="3"/>
        <v>1390</v>
      </c>
      <c r="R16" s="16">
        <f t="shared" si="3"/>
        <v>1419</v>
      </c>
      <c r="S16" s="16">
        <f t="shared" si="3"/>
        <v>1503</v>
      </c>
      <c r="T16" s="16">
        <f t="shared" si="3"/>
        <v>1496</v>
      </c>
      <c r="U16" s="16">
        <f t="shared" si="3"/>
        <v>1521</v>
      </c>
      <c r="V16" s="16">
        <f t="shared" si="3"/>
        <v>1557</v>
      </c>
      <c r="W16" s="16">
        <f t="shared" si="3"/>
        <v>1598</v>
      </c>
      <c r="X16" s="16">
        <f t="shared" si="3"/>
        <v>1632</v>
      </c>
      <c r="Y16" s="16">
        <f t="shared" si="3"/>
        <v>1676</v>
      </c>
      <c r="Z16" s="16">
        <f t="shared" si="3"/>
        <v>1715</v>
      </c>
      <c r="AA16" s="16">
        <f t="shared" si="3"/>
        <v>1751</v>
      </c>
      <c r="AB16" s="16">
        <f t="shared" si="3"/>
        <v>1793</v>
      </c>
      <c r="AC16" s="16">
        <f t="shared" si="3"/>
        <v>1841</v>
      </c>
      <c r="AD16" s="16">
        <f t="shared" si="3"/>
        <v>1885</v>
      </c>
      <c r="AE16" s="16">
        <f t="shared" si="3"/>
        <v>1926</v>
      </c>
      <c r="AF16" s="16">
        <f t="shared" si="3"/>
        <v>1977</v>
      </c>
      <c r="AG16" s="16">
        <f t="shared" si="3"/>
        <v>2020</v>
      </c>
      <c r="AH16" s="16">
        <f t="shared" si="3"/>
        <v>2069</v>
      </c>
      <c r="AI16" s="16">
        <f t="shared" si="3"/>
        <v>2130</v>
      </c>
      <c r="AJ16" s="16">
        <f t="shared" si="3"/>
        <v>0</v>
      </c>
      <c r="AK16" s="16">
        <f t="shared" si="3"/>
        <v>0</v>
      </c>
      <c r="AL16" s="16">
        <f t="shared" si="3"/>
        <v>0</v>
      </c>
      <c r="AM16" s="16">
        <f t="shared" si="3"/>
        <v>0</v>
      </c>
      <c r="AN16" s="16">
        <f t="shared" si="3"/>
        <v>0</v>
      </c>
      <c r="AO16" s="16">
        <f t="shared" si="3"/>
        <v>0</v>
      </c>
      <c r="AP16" s="16">
        <f t="shared" si="3"/>
        <v>0</v>
      </c>
      <c r="AQ16" s="16">
        <f t="shared" si="3"/>
        <v>0</v>
      </c>
      <c r="AR16" s="16">
        <f t="shared" si="3"/>
        <v>0</v>
      </c>
      <c r="AS16" s="16">
        <f t="shared" si="3"/>
        <v>0</v>
      </c>
      <c r="AT16" s="16">
        <f t="shared" si="3"/>
        <v>0</v>
      </c>
      <c r="AU16" s="16">
        <f t="shared" si="3"/>
        <v>0</v>
      </c>
      <c r="AV16" s="16">
        <f t="shared" si="3"/>
        <v>0</v>
      </c>
      <c r="AW16" s="16">
        <f t="shared" si="3"/>
        <v>0</v>
      </c>
      <c r="AX16" s="16">
        <f t="shared" si="3"/>
        <v>0</v>
      </c>
      <c r="AY16" s="16">
        <f t="shared" si="3"/>
        <v>0</v>
      </c>
      <c r="AZ16" s="16">
        <f t="shared" si="3"/>
        <v>0</v>
      </c>
      <c r="BA16" s="16">
        <f t="shared" si="3"/>
        <v>0</v>
      </c>
      <c r="BB16" s="16">
        <f t="shared" si="3"/>
        <v>0</v>
      </c>
    </row>
    <row r="17" spans="1:54">
      <c r="A17" s="38">
        <f>NPV('Financial Information'!$B$5,$E17:$AL17)*(1+'Financial Information'!$B$5)</f>
        <v>114667.72635664514</v>
      </c>
      <c r="B17" s="24">
        <f>NPV('Financial Information'!$B$5,$D17:$BB17)*(1+'Financial Information'!$B$5)</f>
        <v>107467.40989376306</v>
      </c>
      <c r="C17" s="6" t="s">
        <v>108</v>
      </c>
      <c r="D17" s="6">
        <v>0</v>
      </c>
      <c r="E17" s="16">
        <f>SUM(E2:E5)</f>
        <v>0</v>
      </c>
      <c r="F17" s="16">
        <f t="shared" ref="F17:BB17" si="4">SUM(F2:F5)</f>
        <v>14080.872861899339</v>
      </c>
      <c r="G17" s="16">
        <f t="shared" si="4"/>
        <v>13307.906801950017</v>
      </c>
      <c r="H17" s="16">
        <f t="shared" si="4"/>
        <v>12544.946234562665</v>
      </c>
      <c r="I17" s="16">
        <f t="shared" si="4"/>
        <v>11971.692923561744</v>
      </c>
      <c r="J17" s="16">
        <f t="shared" si="4"/>
        <v>11478.750644898273</v>
      </c>
      <c r="K17" s="16">
        <f t="shared" si="4"/>
        <v>9420.0052061816077</v>
      </c>
      <c r="L17" s="16">
        <f t="shared" si="4"/>
        <v>9090.7471605983446</v>
      </c>
      <c r="M17" s="16">
        <f t="shared" si="4"/>
        <v>8816.8573669883481</v>
      </c>
      <c r="N17" s="16">
        <f t="shared" si="4"/>
        <v>8543.9137920833637</v>
      </c>
      <c r="O17" s="16">
        <f t="shared" si="4"/>
        <v>8275.9466659944519</v>
      </c>
      <c r="P17" s="16">
        <f t="shared" si="4"/>
        <v>8008.1183719354503</v>
      </c>
      <c r="Q17" s="16">
        <f t="shared" si="4"/>
        <v>7733.0333486591962</v>
      </c>
      <c r="R17" s="16">
        <f t="shared" si="4"/>
        <v>7458.638915577154</v>
      </c>
      <c r="S17" s="16">
        <f t="shared" si="4"/>
        <v>7184.7057365324617</v>
      </c>
      <c r="T17" s="16">
        <f t="shared" si="4"/>
        <v>6919.9353541216078</v>
      </c>
      <c r="U17" s="16">
        <f t="shared" si="4"/>
        <v>6650.9303798627689</v>
      </c>
      <c r="V17" s="16">
        <f t="shared" si="4"/>
        <v>6376.9719090679328</v>
      </c>
      <c r="W17" s="16">
        <f t="shared" si="4"/>
        <v>6628.6877942386791</v>
      </c>
      <c r="X17" s="16">
        <f t="shared" si="4"/>
        <v>6283.8774445676227</v>
      </c>
      <c r="Y17" s="16">
        <f t="shared" si="4"/>
        <v>5963.6654210279494</v>
      </c>
      <c r="Z17" s="16">
        <f t="shared" si="4"/>
        <v>5707.9984708767734</v>
      </c>
      <c r="AA17" s="16">
        <f t="shared" si="4"/>
        <v>5381.4740658361034</v>
      </c>
      <c r="AB17" s="16">
        <f t="shared" si="4"/>
        <v>5123.4575616181146</v>
      </c>
      <c r="AC17" s="16">
        <f t="shared" si="4"/>
        <v>4814.3560644533172</v>
      </c>
      <c r="AD17" s="16">
        <f t="shared" si="4"/>
        <v>4563.5337443274047</v>
      </c>
      <c r="AE17" s="16">
        <f t="shared" si="4"/>
        <v>4274.5337489276699</v>
      </c>
      <c r="AF17" s="16">
        <f t="shared" si="4"/>
        <v>3997.6823767860315</v>
      </c>
      <c r="AG17" s="16">
        <f t="shared" si="4"/>
        <v>3737.5849894212961</v>
      </c>
      <c r="AH17" s="16">
        <f t="shared" si="4"/>
        <v>3477.1535319735731</v>
      </c>
      <c r="AI17" s="16">
        <f t="shared" si="4"/>
        <v>5407.0960932108919</v>
      </c>
      <c r="AJ17" s="16">
        <f t="shared" si="4"/>
        <v>-2.0327206584624944E-13</v>
      </c>
      <c r="AK17" s="16">
        <f t="shared" si="4"/>
        <v>-2.0327206584624944E-13</v>
      </c>
      <c r="AL17" s="16">
        <f t="shared" si="4"/>
        <v>-2.0327206584624944E-13</v>
      </c>
      <c r="AM17" s="16">
        <f t="shared" si="4"/>
        <v>-2.0327206584624944E-13</v>
      </c>
      <c r="AN17" s="16">
        <f t="shared" si="4"/>
        <v>-2.0327206584624944E-13</v>
      </c>
      <c r="AO17" s="16">
        <f t="shared" si="4"/>
        <v>-2.0327206584624944E-13</v>
      </c>
      <c r="AP17" s="16">
        <f t="shared" si="4"/>
        <v>-2.0327206584624944E-13</v>
      </c>
      <c r="AQ17" s="16">
        <f t="shared" si="4"/>
        <v>-2.0327206584624944E-13</v>
      </c>
      <c r="AR17" s="16">
        <f t="shared" si="4"/>
        <v>-2.0327206584624944E-13</v>
      </c>
      <c r="AS17" s="16">
        <f t="shared" si="4"/>
        <v>-2.0327206584624944E-13</v>
      </c>
      <c r="AT17" s="16">
        <f t="shared" si="4"/>
        <v>0</v>
      </c>
      <c r="AU17" s="16">
        <f t="shared" si="4"/>
        <v>0</v>
      </c>
      <c r="AV17" s="16">
        <f t="shared" si="4"/>
        <v>0</v>
      </c>
      <c r="AW17" s="16">
        <f t="shared" si="4"/>
        <v>0</v>
      </c>
      <c r="AX17" s="16">
        <f t="shared" si="4"/>
        <v>0</v>
      </c>
      <c r="AY17" s="16">
        <f t="shared" si="4"/>
        <v>0</v>
      </c>
      <c r="AZ17" s="16">
        <f t="shared" si="4"/>
        <v>0</v>
      </c>
      <c r="BA17" s="16">
        <f t="shared" si="4"/>
        <v>0</v>
      </c>
      <c r="BB17" s="16">
        <f t="shared" si="4"/>
        <v>0</v>
      </c>
    </row>
    <row r="18" spans="1:54">
      <c r="A18" s="386">
        <f>NPV('Financial Information'!$B$5,$E18:$AL18)*(1+'Financial Information'!$B$5)</f>
        <v>23525.951238160647</v>
      </c>
      <c r="B18" s="386">
        <f>NPV('Financial Information'!$B$5,$D18:$BB18)*(1+'Financial Information'!$B$5)</f>
        <v>22440.777791676734</v>
      </c>
      <c r="C18" s="6" t="s">
        <v>107</v>
      </c>
      <c r="D18" s="6">
        <v>0</v>
      </c>
      <c r="E18" s="16">
        <f>SUM(E7:E9)</f>
        <v>0</v>
      </c>
      <c r="F18" s="16">
        <f t="shared" ref="F18:BB18" si="5">SUM(F7:F9)</f>
        <v>2431.3097049296025</v>
      </c>
      <c r="G18" s="16">
        <f t="shared" si="5"/>
        <v>2367.1005042831798</v>
      </c>
      <c r="H18" s="16">
        <f t="shared" si="5"/>
        <v>2299.8254550190213</v>
      </c>
      <c r="I18" s="16">
        <f t="shared" si="5"/>
        <v>2231.7377072339855</v>
      </c>
      <c r="J18" s="16">
        <f t="shared" si="5"/>
        <v>2164.6757010268766</v>
      </c>
      <c r="K18" s="16">
        <f t="shared" si="5"/>
        <v>2100.4903706513746</v>
      </c>
      <c r="L18" s="16">
        <f t="shared" si="5"/>
        <v>2038.0430658247049</v>
      </c>
      <c r="M18" s="16">
        <f t="shared" si="5"/>
        <v>1977.2055523039216</v>
      </c>
      <c r="N18" s="16">
        <f t="shared" si="5"/>
        <v>1917.2778222473703</v>
      </c>
      <c r="O18" s="16">
        <f t="shared" si="5"/>
        <v>1854.5016697808167</v>
      </c>
      <c r="P18" s="16">
        <f t="shared" si="5"/>
        <v>1794.7510029023786</v>
      </c>
      <c r="Q18" s="16">
        <f t="shared" si="5"/>
        <v>1732.0265861796988</v>
      </c>
      <c r="R18" s="16">
        <f t="shared" si="5"/>
        <v>1669.3292071174508</v>
      </c>
      <c r="S18" s="16">
        <f t="shared" si="5"/>
        <v>1606.6596768454463</v>
      </c>
      <c r="T18" s="16">
        <f t="shared" si="5"/>
        <v>1543.0188308273939</v>
      </c>
      <c r="U18" s="16">
        <f t="shared" si="5"/>
        <v>1480.4075295909115</v>
      </c>
      <c r="V18" s="16">
        <f t="shared" si="5"/>
        <v>1417.8266594794463</v>
      </c>
      <c r="W18" s="16">
        <f t="shared" si="5"/>
        <v>1352.2771334267493</v>
      </c>
      <c r="X18" s="16">
        <f t="shared" si="5"/>
        <v>1286.7598917545824</v>
      </c>
      <c r="Y18" s="16">
        <f t="shared" si="5"/>
        <v>1224.2759029943629</v>
      </c>
      <c r="Z18" s="16">
        <f t="shared" si="5"/>
        <v>1178.4649733328356</v>
      </c>
      <c r="AA18" s="16">
        <f t="shared" si="5"/>
        <v>1129.9648596335385</v>
      </c>
      <c r="AB18" s="16">
        <f t="shared" si="5"/>
        <v>1098.1398908883421</v>
      </c>
      <c r="AC18" s="16">
        <f t="shared" si="5"/>
        <v>1057.3523485884994</v>
      </c>
      <c r="AD18" s="16">
        <f t="shared" si="5"/>
        <v>1025.6033555273716</v>
      </c>
      <c r="AE18" s="16">
        <f t="shared" si="5"/>
        <v>987.89406818212012</v>
      </c>
      <c r="AF18" s="16">
        <f t="shared" si="5"/>
        <v>953.22567772422121</v>
      </c>
      <c r="AG18" s="16">
        <f t="shared" si="5"/>
        <v>921.59941106029532</v>
      </c>
      <c r="AH18" s="16">
        <f t="shared" si="5"/>
        <v>890.01653190416209</v>
      </c>
      <c r="AI18" s="16">
        <f t="shared" si="5"/>
        <v>858.4783418810548</v>
      </c>
      <c r="AJ18" s="16">
        <f t="shared" si="5"/>
        <v>826.98618166496431</v>
      </c>
      <c r="AK18" s="16">
        <f t="shared" si="5"/>
        <v>795.54143215010129</v>
      </c>
      <c r="AL18" s="16">
        <f t="shared" si="5"/>
        <v>764.14551565750253</v>
      </c>
      <c r="AM18" s="16">
        <f t="shared" si="5"/>
        <v>732.79989717783565</v>
      </c>
      <c r="AN18" s="16">
        <f t="shared" si="5"/>
        <v>701.50608565148912</v>
      </c>
      <c r="AO18" s="16">
        <f t="shared" si="5"/>
        <v>670.2656352870622</v>
      </c>
      <c r="AP18" s="16">
        <f t="shared" si="5"/>
        <v>639.08014691941264</v>
      </c>
      <c r="AQ18" s="16">
        <f t="shared" si="5"/>
        <v>607.95126940844364</v>
      </c>
      <c r="AR18" s="16">
        <f t="shared" si="5"/>
        <v>576.88070107985561</v>
      </c>
      <c r="AS18" s="16">
        <f t="shared" si="5"/>
        <v>594.8665125775068</v>
      </c>
      <c r="AT18" s="16">
        <f t="shared" si="5"/>
        <v>0</v>
      </c>
      <c r="AU18" s="16">
        <f t="shared" si="5"/>
        <v>0</v>
      </c>
      <c r="AV18" s="16">
        <f t="shared" si="5"/>
        <v>0</v>
      </c>
      <c r="AW18" s="16">
        <f t="shared" si="5"/>
        <v>0</v>
      </c>
      <c r="AX18" s="16">
        <f t="shared" si="5"/>
        <v>0</v>
      </c>
      <c r="AY18" s="16">
        <f t="shared" si="5"/>
        <v>0</v>
      </c>
      <c r="AZ18" s="16">
        <f t="shared" si="5"/>
        <v>0</v>
      </c>
      <c r="BA18" s="16">
        <f t="shared" si="5"/>
        <v>0</v>
      </c>
      <c r="BB18" s="16">
        <f t="shared" si="5"/>
        <v>0</v>
      </c>
    </row>
    <row r="19" spans="1:54">
      <c r="A19" s="24">
        <f>SUM(A16:A18)</f>
        <v>155633.31305078155</v>
      </c>
      <c r="B19" s="24">
        <f>SUM(B16:B18)</f>
        <v>146252.7382533646</v>
      </c>
    </row>
    <row r="20" spans="1:54">
      <c r="D20" s="411"/>
      <c r="E20" s="411"/>
      <c r="F20" s="411"/>
      <c r="G20" s="411"/>
      <c r="AB20" s="157">
        <f t="shared" ref="AB20:AH20" si="6">AB2/AA2-1</f>
        <v>-5.7979419432860335E-2</v>
      </c>
      <c r="AC20" s="157">
        <f t="shared" si="6"/>
        <v>-6.1659284800699377E-2</v>
      </c>
      <c r="AD20" s="157">
        <f t="shared" si="6"/>
        <v>-6.3998929605422861E-2</v>
      </c>
      <c r="AE20" s="157">
        <f t="shared" si="6"/>
        <v>-6.9506492614199944E-2</v>
      </c>
      <c r="AF20" s="157">
        <f t="shared" si="6"/>
        <v>-7.6131381831222811E-2</v>
      </c>
      <c r="AG20" s="157">
        <f t="shared" si="6"/>
        <v>-8.2546159921537021E-2</v>
      </c>
      <c r="AH20" s="157">
        <f t="shared" si="6"/>
        <v>-9.0176073037715021E-2</v>
      </c>
    </row>
    <row r="21" spans="1:54">
      <c r="D21" s="390"/>
      <c r="F21" s="390"/>
    </row>
    <row r="22" spans="1:54">
      <c r="A22" s="385"/>
      <c r="D22" s="390"/>
      <c r="F22" s="390" t="s">
        <v>191</v>
      </c>
    </row>
    <row r="23" spans="1:54">
      <c r="A23" s="24"/>
      <c r="D23" s="390"/>
      <c r="F23" s="390"/>
    </row>
    <row r="24" spans="1:54">
      <c r="A24" s="24"/>
      <c r="D24" s="157"/>
      <c r="F24" s="157"/>
    </row>
    <row r="25" spans="1:54">
      <c r="A25" s="24"/>
      <c r="D25" s="390"/>
      <c r="F25" s="390"/>
    </row>
    <row r="26" spans="1:54">
      <c r="A26" s="24"/>
      <c r="D26" s="153"/>
      <c r="E26" s="160"/>
      <c r="F26" s="153"/>
    </row>
    <row r="27" spans="1:54">
      <c r="A27" s="24"/>
      <c r="D27" s="153"/>
      <c r="E27" s="160"/>
      <c r="F27" s="153"/>
    </row>
    <row r="28" spans="1:54">
      <c r="A28" s="24"/>
      <c r="D28" s="390"/>
      <c r="F28" s="390"/>
    </row>
    <row r="29" spans="1:54">
      <c r="A29" s="24"/>
      <c r="D29" s="390"/>
      <c r="F29" s="390"/>
    </row>
    <row r="30" spans="1:54">
      <c r="A30" s="24"/>
    </row>
    <row r="31" spans="1:54">
      <c r="A31" s="24"/>
      <c r="D31" s="37"/>
      <c r="F31" s="37"/>
    </row>
    <row r="32" spans="1:54">
      <c r="A32" s="24"/>
      <c r="D32" s="37"/>
      <c r="F32" s="37"/>
    </row>
    <row r="33" spans="1:6">
      <c r="A33" s="24"/>
      <c r="D33" s="37"/>
      <c r="F33" s="37"/>
    </row>
    <row r="34" spans="1:6">
      <c r="A34" s="24"/>
      <c r="D34" s="391"/>
      <c r="F34" s="392"/>
    </row>
    <row r="35" spans="1:6">
      <c r="A35" s="24"/>
      <c r="D35" s="37"/>
    </row>
    <row r="36" spans="1:6">
      <c r="A36" s="24"/>
    </row>
    <row r="37" spans="1:6">
      <c r="A37" s="24"/>
    </row>
    <row r="38" spans="1:6">
      <c r="A38" s="24"/>
    </row>
    <row r="39" spans="1:6">
      <c r="A39" s="24"/>
    </row>
    <row r="40" spans="1:6">
      <c r="A40" s="24"/>
    </row>
    <row r="53" spans="4:6">
      <c r="D53" s="155"/>
      <c r="F53" s="155"/>
    </row>
    <row r="54" spans="4:6">
      <c r="D54" s="153"/>
      <c r="F54" s="155"/>
    </row>
    <row r="55" spans="4:6">
      <c r="D55" s="155"/>
      <c r="F55" s="155"/>
    </row>
    <row r="56" spans="4:6">
      <c r="D56" s="155"/>
      <c r="F56" s="155"/>
    </row>
    <row r="57" spans="4:6">
      <c r="D57" s="155"/>
      <c r="F57" s="155"/>
    </row>
    <row r="58" spans="4:6">
      <c r="F58" s="155"/>
    </row>
    <row r="59" spans="4:6">
      <c r="F59" s="155"/>
    </row>
    <row r="60" spans="4:6">
      <c r="F60" s="155"/>
    </row>
    <row r="61" spans="4:6">
      <c r="F61" s="155"/>
    </row>
    <row r="62" spans="4:6">
      <c r="F62" s="155"/>
    </row>
  </sheetData>
  <mergeCells count="2">
    <mergeCell ref="D20:E20"/>
    <mergeCell ref="F20:G2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BB62"/>
  <sheetViews>
    <sheetView workbookViewId="0">
      <pane xSplit="3" ySplit="1" topLeftCell="D2" activePane="bottomRight" state="frozen"/>
      <selection activeCell="A5" sqref="A5:BB5"/>
      <selection pane="topRight" activeCell="A5" sqref="A5:BB5"/>
      <selection pane="bottomLeft" activeCell="A5" sqref="A5:BB5"/>
      <selection pane="bottomRight" activeCell="A14" sqref="A14"/>
    </sheetView>
  </sheetViews>
  <sheetFormatPr defaultColWidth="8.90625" defaultRowHeight="14.5"/>
  <cols>
    <col min="1" max="2" width="11.90625" style="6" bestFit="1" customWidth="1"/>
    <col min="3" max="3" width="16.36328125" style="6" bestFit="1" customWidth="1"/>
    <col min="4" max="4" width="5" style="6" bestFit="1" customWidth="1"/>
    <col min="5" max="5" width="6.54296875" style="6" bestFit="1" customWidth="1"/>
    <col min="6" max="10" width="8.36328125" style="6" bestFit="1" customWidth="1"/>
    <col min="11" max="15" width="8.08984375" style="6" bestFit="1" customWidth="1"/>
    <col min="16" max="35" width="8" style="6" bestFit="1" customWidth="1"/>
    <col min="36" max="36" width="6.54296875" style="6" bestFit="1" customWidth="1"/>
    <col min="37" max="46" width="5.08984375" style="6" bestFit="1" customWidth="1"/>
    <col min="47" max="54" width="5" style="6" bestFit="1" customWidth="1"/>
    <col min="55" max="16384" width="8.90625" style="6"/>
  </cols>
  <sheetData>
    <row r="1" spans="1:54">
      <c r="A1" s="385" t="s">
        <v>230</v>
      </c>
      <c r="B1" s="385" t="s">
        <v>5</v>
      </c>
      <c r="C1" s="388">
        <v>44166</v>
      </c>
      <c r="D1" s="385">
        <v>2019</v>
      </c>
      <c r="E1" s="385">
        <f t="shared" ref="E1:BB1" si="0">D1+1</f>
        <v>2020</v>
      </c>
      <c r="F1" s="385">
        <f t="shared" si="0"/>
        <v>2021</v>
      </c>
      <c r="G1" s="385">
        <f t="shared" si="0"/>
        <v>2022</v>
      </c>
      <c r="H1" s="385">
        <f t="shared" si="0"/>
        <v>2023</v>
      </c>
      <c r="I1" s="385">
        <f t="shared" si="0"/>
        <v>2024</v>
      </c>
      <c r="J1" s="385">
        <f t="shared" si="0"/>
        <v>2025</v>
      </c>
      <c r="K1" s="385">
        <f t="shared" si="0"/>
        <v>2026</v>
      </c>
      <c r="L1" s="385">
        <f t="shared" si="0"/>
        <v>2027</v>
      </c>
      <c r="M1" s="385">
        <f t="shared" si="0"/>
        <v>2028</v>
      </c>
      <c r="N1" s="385">
        <f t="shared" si="0"/>
        <v>2029</v>
      </c>
      <c r="O1" s="385">
        <f t="shared" si="0"/>
        <v>2030</v>
      </c>
      <c r="P1" s="385">
        <f t="shared" si="0"/>
        <v>2031</v>
      </c>
      <c r="Q1" s="385">
        <f t="shared" si="0"/>
        <v>2032</v>
      </c>
      <c r="R1" s="385">
        <f t="shared" si="0"/>
        <v>2033</v>
      </c>
      <c r="S1" s="385">
        <f t="shared" si="0"/>
        <v>2034</v>
      </c>
      <c r="T1" s="385">
        <f t="shared" si="0"/>
        <v>2035</v>
      </c>
      <c r="U1" s="385">
        <f t="shared" si="0"/>
        <v>2036</v>
      </c>
      <c r="V1" s="385">
        <f t="shared" si="0"/>
        <v>2037</v>
      </c>
      <c r="W1" s="385">
        <f t="shared" si="0"/>
        <v>2038</v>
      </c>
      <c r="X1" s="385">
        <f t="shared" si="0"/>
        <v>2039</v>
      </c>
      <c r="Y1" s="385">
        <f t="shared" si="0"/>
        <v>2040</v>
      </c>
      <c r="Z1" s="385">
        <f t="shared" si="0"/>
        <v>2041</v>
      </c>
      <c r="AA1" s="385">
        <f t="shared" si="0"/>
        <v>2042</v>
      </c>
      <c r="AB1" s="385">
        <f t="shared" si="0"/>
        <v>2043</v>
      </c>
      <c r="AC1" s="385">
        <f t="shared" si="0"/>
        <v>2044</v>
      </c>
      <c r="AD1" s="385">
        <f t="shared" si="0"/>
        <v>2045</v>
      </c>
      <c r="AE1" s="385">
        <f t="shared" si="0"/>
        <v>2046</v>
      </c>
      <c r="AF1" s="385">
        <f t="shared" si="0"/>
        <v>2047</v>
      </c>
      <c r="AG1" s="385">
        <f t="shared" si="0"/>
        <v>2048</v>
      </c>
      <c r="AH1" s="385">
        <f t="shared" si="0"/>
        <v>2049</v>
      </c>
      <c r="AI1" s="385">
        <f t="shared" si="0"/>
        <v>2050</v>
      </c>
      <c r="AJ1" s="385">
        <f t="shared" si="0"/>
        <v>2051</v>
      </c>
      <c r="AK1" s="385">
        <f t="shared" si="0"/>
        <v>2052</v>
      </c>
      <c r="AL1" s="385">
        <f t="shared" si="0"/>
        <v>2053</v>
      </c>
      <c r="AM1" s="385">
        <f t="shared" si="0"/>
        <v>2054</v>
      </c>
      <c r="AN1" s="385">
        <f t="shared" si="0"/>
        <v>2055</v>
      </c>
      <c r="AO1" s="385">
        <f t="shared" si="0"/>
        <v>2056</v>
      </c>
      <c r="AP1" s="385">
        <f t="shared" si="0"/>
        <v>2057</v>
      </c>
      <c r="AQ1" s="385">
        <f t="shared" si="0"/>
        <v>2058</v>
      </c>
      <c r="AR1" s="385">
        <f t="shared" si="0"/>
        <v>2059</v>
      </c>
      <c r="AS1" s="385">
        <f t="shared" si="0"/>
        <v>2060</v>
      </c>
      <c r="AT1" s="385">
        <f t="shared" si="0"/>
        <v>2061</v>
      </c>
      <c r="AU1" s="385">
        <f t="shared" si="0"/>
        <v>2062</v>
      </c>
      <c r="AV1" s="385">
        <f t="shared" si="0"/>
        <v>2063</v>
      </c>
      <c r="AW1" s="385">
        <f t="shared" si="0"/>
        <v>2064</v>
      </c>
      <c r="AX1" s="385">
        <f t="shared" si="0"/>
        <v>2065</v>
      </c>
      <c r="AY1" s="385">
        <f t="shared" si="0"/>
        <v>2066</v>
      </c>
      <c r="AZ1" s="385">
        <f t="shared" si="0"/>
        <v>2067</v>
      </c>
      <c r="BA1" s="385">
        <f t="shared" si="0"/>
        <v>2068</v>
      </c>
      <c r="BB1" s="385">
        <f t="shared" si="0"/>
        <v>2069</v>
      </c>
    </row>
    <row r="2" spans="1:54">
      <c r="A2" s="38">
        <f>NPV('Financial Information'!$B$5,$E2:$AL2)*(1+'Financial Information'!$B$5)</f>
        <v>96733.519282565409</v>
      </c>
      <c r="B2" s="24">
        <f>NPV('Financial Information'!$B$5,$E2:$BB2)*(1+'Financial Information'!$B$5)</f>
        <v>96733.519282565409</v>
      </c>
      <c r="C2" s="6" t="s">
        <v>0</v>
      </c>
      <c r="D2" s="15">
        <v>0</v>
      </c>
      <c r="E2" s="15">
        <v>0</v>
      </c>
      <c r="F2" s="52">
        <v>12322.703391379941</v>
      </c>
      <c r="G2" s="52">
        <v>11582.347251268597</v>
      </c>
      <c r="H2" s="52">
        <v>10848.868184987145</v>
      </c>
      <c r="I2" s="52">
        <v>10309.15373686874</v>
      </c>
      <c r="J2" s="52">
        <v>9842.2349328040564</v>
      </c>
      <c r="K2" s="52">
        <v>8115.1996532763724</v>
      </c>
      <c r="L2" s="52">
        <v>7811.965018821902</v>
      </c>
      <c r="M2" s="52">
        <v>7563.3354115929496</v>
      </c>
      <c r="N2" s="52">
        <v>7314.8045323673614</v>
      </c>
      <c r="O2" s="52">
        <v>7066.2877918311533</v>
      </c>
      <c r="P2" s="52">
        <v>6817.7710512949488</v>
      </c>
      <c r="Q2" s="52">
        <v>6569.2543107587444</v>
      </c>
      <c r="R2" s="52">
        <v>6320.7375702225381</v>
      </c>
      <c r="S2" s="52">
        <v>6072.2208296863319</v>
      </c>
      <c r="T2" s="52">
        <v>5823.7040891501265</v>
      </c>
      <c r="U2" s="52">
        <v>5575.1906055689124</v>
      </c>
      <c r="V2" s="52">
        <v>5326.6836469382115</v>
      </c>
      <c r="W2" s="52">
        <v>5078.1799452625028</v>
      </c>
      <c r="X2" s="52">
        <v>4829.6762435867931</v>
      </c>
      <c r="Y2" s="52">
        <v>4581.1725419110835</v>
      </c>
      <c r="Z2" s="52">
        <v>4333.1859454159221</v>
      </c>
      <c r="AA2" s="52">
        <v>4086.2333275000638</v>
      </c>
      <c r="AB2" s="52">
        <v>3839.7978147647518</v>
      </c>
      <c r="AC2" s="52">
        <v>3593.3623020294417</v>
      </c>
      <c r="AD2" s="52">
        <v>3346.9267892941298</v>
      </c>
      <c r="AE2" s="52">
        <v>3100.4912765588188</v>
      </c>
      <c r="AF2" s="52">
        <v>2854.0557638235068</v>
      </c>
      <c r="AG2" s="52">
        <v>2607.6202510881967</v>
      </c>
      <c r="AH2" s="52">
        <v>2361.1847383528857</v>
      </c>
      <c r="AI2" s="52">
        <v>2307.7992168425385</v>
      </c>
      <c r="AJ2" s="52">
        <v>0</v>
      </c>
      <c r="AK2" s="52">
        <v>0</v>
      </c>
      <c r="AL2" s="52">
        <v>0</v>
      </c>
      <c r="AM2" s="52">
        <v>0</v>
      </c>
      <c r="AN2" s="52">
        <v>0</v>
      </c>
      <c r="AO2" s="52">
        <v>0</v>
      </c>
      <c r="AP2" s="52">
        <v>0</v>
      </c>
      <c r="AQ2" s="52">
        <v>0</v>
      </c>
      <c r="AR2" s="52">
        <v>0</v>
      </c>
      <c r="AS2" s="52">
        <v>0</v>
      </c>
      <c r="AT2" s="52">
        <v>0</v>
      </c>
      <c r="AU2" s="52">
        <v>0</v>
      </c>
      <c r="AV2" s="52">
        <v>0</v>
      </c>
      <c r="AW2" s="52">
        <v>0</v>
      </c>
      <c r="AX2" s="52">
        <v>0</v>
      </c>
      <c r="AY2" s="52">
        <v>0</v>
      </c>
      <c r="AZ2" s="52">
        <v>0</v>
      </c>
      <c r="BA2" s="52">
        <v>0</v>
      </c>
      <c r="BB2" s="52">
        <v>0</v>
      </c>
    </row>
    <row r="3" spans="1:54">
      <c r="A3" s="38">
        <f>NPV('Financial Information'!$B$5,$E3:$AL3)*(1+'Financial Information'!$B$5)</f>
        <v>4360.2151175681038</v>
      </c>
      <c r="B3" s="24">
        <f>NPV('Financial Information'!$B$5,$E3:$BB3)*(1+'Financial Information'!$B$5)</f>
        <v>4360.2151175681038</v>
      </c>
      <c r="C3" s="6" t="s">
        <v>1</v>
      </c>
      <c r="D3" s="15">
        <v>0</v>
      </c>
      <c r="E3" s="15">
        <v>0</v>
      </c>
      <c r="F3" s="52">
        <v>367.78573621824557</v>
      </c>
      <c r="G3" s="52">
        <v>357.60951935170749</v>
      </c>
      <c r="H3" s="52">
        <v>350.34304704956634</v>
      </c>
      <c r="I3" s="52">
        <v>339.44333859635447</v>
      </c>
      <c r="J3" s="52">
        <v>328.54363014314271</v>
      </c>
      <c r="K3" s="52">
        <v>317.64392168993083</v>
      </c>
      <c r="L3" s="52">
        <v>306.74421323671908</v>
      </c>
      <c r="M3" s="52">
        <v>295.84450478350726</v>
      </c>
      <c r="N3" s="52">
        <v>284.94479633029545</v>
      </c>
      <c r="O3" s="52">
        <v>270.41185172601297</v>
      </c>
      <c r="P3" s="52">
        <v>259.51214327280121</v>
      </c>
      <c r="Q3" s="52">
        <v>244.97919866851873</v>
      </c>
      <c r="R3" s="52">
        <v>230.44625406423631</v>
      </c>
      <c r="S3" s="52">
        <v>215.91330945995389</v>
      </c>
      <c r="T3" s="52">
        <v>201.38036485567147</v>
      </c>
      <c r="U3" s="52">
        <v>186.84742025138908</v>
      </c>
      <c r="V3" s="52">
        <v>172.31447564710666</v>
      </c>
      <c r="W3" s="52">
        <v>720.93313445876834</v>
      </c>
      <c r="X3" s="52">
        <v>630.1022306820031</v>
      </c>
      <c r="Y3" s="52">
        <v>557.43750766059088</v>
      </c>
      <c r="Z3" s="52">
        <v>557.43750766059088</v>
      </c>
      <c r="AA3" s="52">
        <v>484.77278463917878</v>
      </c>
      <c r="AB3" s="52">
        <v>484.77278463917878</v>
      </c>
      <c r="AC3" s="52">
        <v>430.27424237311976</v>
      </c>
      <c r="AD3" s="52">
        <v>430.27424237311976</v>
      </c>
      <c r="AE3" s="52">
        <v>393.9418808624136</v>
      </c>
      <c r="AF3" s="52">
        <v>375.77570010706069</v>
      </c>
      <c r="AG3" s="52">
        <v>375.77570010706069</v>
      </c>
      <c r="AH3" s="52">
        <v>375.77570010706069</v>
      </c>
      <c r="AI3" s="52">
        <v>282.49369208029555</v>
      </c>
      <c r="AJ3" s="52">
        <v>0</v>
      </c>
      <c r="AK3" s="52">
        <v>0</v>
      </c>
      <c r="AL3" s="52">
        <v>0</v>
      </c>
      <c r="AM3" s="52">
        <v>0</v>
      </c>
      <c r="AN3" s="52">
        <v>0</v>
      </c>
      <c r="AO3" s="52">
        <v>0</v>
      </c>
      <c r="AP3" s="52">
        <v>0</v>
      </c>
      <c r="AQ3" s="52">
        <v>0</v>
      </c>
      <c r="AR3" s="52">
        <v>0</v>
      </c>
      <c r="AS3" s="52">
        <v>0</v>
      </c>
      <c r="AT3" s="52">
        <v>0</v>
      </c>
      <c r="AU3" s="52">
        <v>0</v>
      </c>
      <c r="AV3" s="52">
        <v>0</v>
      </c>
      <c r="AW3" s="52">
        <v>0</v>
      </c>
      <c r="AX3" s="52">
        <v>0</v>
      </c>
      <c r="AY3" s="52">
        <v>0</v>
      </c>
      <c r="AZ3" s="52">
        <v>0</v>
      </c>
      <c r="BA3" s="52">
        <v>0</v>
      </c>
      <c r="BB3" s="52">
        <v>0</v>
      </c>
    </row>
    <row r="4" spans="1:54">
      <c r="A4" s="38">
        <f>NPV('Financial Information'!$B$5,$E4:$AL4)*(1+'Financial Information'!$B$5)</f>
        <v>2150.8045495741158</v>
      </c>
      <c r="B4" s="24">
        <f>NPV('Financial Information'!$B$5,$E4:$BB4)*(1+'Financial Information'!$B$5)</f>
        <v>2150.8045495741158</v>
      </c>
      <c r="C4" s="6" t="s">
        <v>2</v>
      </c>
      <c r="D4" s="15">
        <v>0</v>
      </c>
      <c r="E4" s="15">
        <v>0</v>
      </c>
      <c r="F4" s="52">
        <v>121.84628399999998</v>
      </c>
      <c r="G4" s="52">
        <v>125.50167251999999</v>
      </c>
      <c r="H4" s="52">
        <v>129.26672269559998</v>
      </c>
      <c r="I4" s="52">
        <v>133.14472437646799</v>
      </c>
      <c r="J4" s="52">
        <v>137.13906610776201</v>
      </c>
      <c r="K4" s="52">
        <v>141.25323809099487</v>
      </c>
      <c r="L4" s="52">
        <v>145.49083523372471</v>
      </c>
      <c r="M4" s="52">
        <v>149.85556029073646</v>
      </c>
      <c r="N4" s="52">
        <v>154.35122709945855</v>
      </c>
      <c r="O4" s="52">
        <v>158.98176391244232</v>
      </c>
      <c r="P4" s="52">
        <v>163.75121682981558</v>
      </c>
      <c r="Q4" s="52">
        <v>168.66375333471004</v>
      </c>
      <c r="R4" s="52">
        <v>173.72366593475132</v>
      </c>
      <c r="S4" s="52">
        <v>178.93537591279386</v>
      </c>
      <c r="T4" s="52">
        <v>184.30343719017768</v>
      </c>
      <c r="U4" s="52">
        <v>189.83254030588304</v>
      </c>
      <c r="V4" s="52">
        <v>195.52751651505949</v>
      </c>
      <c r="W4" s="52">
        <v>201.39334201051128</v>
      </c>
      <c r="X4" s="52">
        <v>207.43514227082662</v>
      </c>
      <c r="Y4" s="52">
        <v>213.65819653895142</v>
      </c>
      <c r="Z4" s="52">
        <v>220.06794243511993</v>
      </c>
      <c r="AA4" s="52">
        <v>226.66998070817351</v>
      </c>
      <c r="AB4" s="52">
        <v>233.47008012941873</v>
      </c>
      <c r="AC4" s="52">
        <v>240.4741825333013</v>
      </c>
      <c r="AD4" s="52">
        <v>247.68840800930033</v>
      </c>
      <c r="AE4" s="52">
        <v>255.11906024957932</v>
      </c>
      <c r="AF4" s="52">
        <v>262.77263205706674</v>
      </c>
      <c r="AG4" s="52">
        <v>270.65581101877871</v>
      </c>
      <c r="AH4" s="52">
        <v>278.77548534934209</v>
      </c>
      <c r="AI4" s="52">
        <v>287.13874990982231</v>
      </c>
      <c r="AJ4" s="52">
        <v>0</v>
      </c>
      <c r="AK4" s="52">
        <v>0</v>
      </c>
      <c r="AL4" s="52">
        <v>0</v>
      </c>
      <c r="AM4" s="52">
        <v>0</v>
      </c>
      <c r="AN4" s="52">
        <v>0</v>
      </c>
      <c r="AO4" s="52">
        <v>0</v>
      </c>
      <c r="AP4" s="52">
        <v>0</v>
      </c>
      <c r="AQ4" s="52">
        <v>0</v>
      </c>
      <c r="AR4" s="52">
        <v>0</v>
      </c>
      <c r="AS4" s="52">
        <v>0</v>
      </c>
      <c r="AT4" s="52">
        <v>0</v>
      </c>
      <c r="AU4" s="52">
        <v>0</v>
      </c>
      <c r="AV4" s="52">
        <v>0</v>
      </c>
      <c r="AW4" s="52">
        <v>0</v>
      </c>
      <c r="AX4" s="52">
        <v>0</v>
      </c>
      <c r="AY4" s="52">
        <v>0</v>
      </c>
      <c r="AZ4" s="52">
        <v>0</v>
      </c>
      <c r="BA4" s="52">
        <v>0</v>
      </c>
      <c r="BB4" s="52">
        <v>0</v>
      </c>
    </row>
    <row r="5" spans="1:54">
      <c r="A5" s="395">
        <f>NPV('Financial Information'!$B$5,$E5:$AL5)*(1+'Financial Information'!$B$5)</f>
        <v>4750.0995093539186</v>
      </c>
      <c r="B5" s="13">
        <f>NPV('Financial Information'!$B$5,$E5:$BB5)*(1+'Financial Information'!$B$5)</f>
        <v>4750.0995093539186</v>
      </c>
      <c r="C5" s="1" t="s">
        <v>3</v>
      </c>
      <c r="D5" s="17">
        <v>0</v>
      </c>
      <c r="E5" s="17">
        <v>0</v>
      </c>
      <c r="F5" s="376">
        <v>363</v>
      </c>
      <c r="G5" s="376">
        <v>363</v>
      </c>
      <c r="H5" s="376">
        <v>363</v>
      </c>
      <c r="I5" s="376">
        <v>363</v>
      </c>
      <c r="J5" s="376">
        <v>363</v>
      </c>
      <c r="K5" s="376">
        <v>370</v>
      </c>
      <c r="L5" s="376">
        <v>370</v>
      </c>
      <c r="M5" s="376">
        <v>370</v>
      </c>
      <c r="N5" s="376">
        <v>370</v>
      </c>
      <c r="O5" s="376">
        <v>370</v>
      </c>
      <c r="P5" s="376">
        <v>370</v>
      </c>
      <c r="Q5" s="376">
        <v>370</v>
      </c>
      <c r="R5" s="376">
        <v>370</v>
      </c>
      <c r="S5" s="376">
        <v>370</v>
      </c>
      <c r="T5" s="376">
        <v>370</v>
      </c>
      <c r="U5" s="376">
        <v>377</v>
      </c>
      <c r="V5" s="376">
        <v>377</v>
      </c>
      <c r="W5" s="376">
        <v>377</v>
      </c>
      <c r="X5" s="376">
        <v>377</v>
      </c>
      <c r="Y5" s="376">
        <v>377</v>
      </c>
      <c r="Z5" s="376">
        <v>385</v>
      </c>
      <c r="AA5" s="376">
        <v>385</v>
      </c>
      <c r="AB5" s="376">
        <v>385</v>
      </c>
      <c r="AC5" s="376">
        <v>385</v>
      </c>
      <c r="AD5" s="376">
        <v>385</v>
      </c>
      <c r="AE5" s="376">
        <v>392</v>
      </c>
      <c r="AF5" s="376">
        <v>392</v>
      </c>
      <c r="AG5" s="376">
        <v>392</v>
      </c>
      <c r="AH5" s="376">
        <v>392</v>
      </c>
      <c r="AI5" s="376">
        <v>392</v>
      </c>
      <c r="AJ5" s="376">
        <v>0</v>
      </c>
      <c r="AK5" s="376">
        <v>0</v>
      </c>
      <c r="AL5" s="376">
        <v>0</v>
      </c>
      <c r="AM5" s="376">
        <v>0</v>
      </c>
      <c r="AN5" s="376">
        <v>0</v>
      </c>
      <c r="AO5" s="376">
        <v>0</v>
      </c>
      <c r="AP5" s="376">
        <v>0</v>
      </c>
      <c r="AQ5" s="376">
        <v>0</v>
      </c>
      <c r="AR5" s="376">
        <v>0</v>
      </c>
      <c r="AS5" s="376">
        <v>0</v>
      </c>
      <c r="AT5" s="376">
        <v>0</v>
      </c>
      <c r="AU5" s="376">
        <v>0</v>
      </c>
      <c r="AV5" s="376">
        <v>0</v>
      </c>
      <c r="AW5" s="376">
        <v>0</v>
      </c>
      <c r="AX5" s="376">
        <v>0</v>
      </c>
      <c r="AY5" s="376">
        <v>0</v>
      </c>
      <c r="AZ5" s="376">
        <v>0</v>
      </c>
      <c r="BA5" s="376">
        <v>0</v>
      </c>
      <c r="BB5" s="376">
        <v>0</v>
      </c>
    </row>
    <row r="6" spans="1:54">
      <c r="A6" s="38">
        <f>NPV('Financial Information'!$B$5,$E6:$AL6)*(1+'Financial Information'!$B$5)</f>
        <v>16048.076811603916</v>
      </c>
      <c r="B6" s="24">
        <f>NPV('Financial Information'!$B$5,$E6:$BB6)*(1+'Financial Information'!$B$5)</f>
        <v>16048.076811603916</v>
      </c>
      <c r="C6" s="6" t="s">
        <v>4</v>
      </c>
      <c r="D6" s="15">
        <v>0</v>
      </c>
      <c r="E6" s="15">
        <v>0</v>
      </c>
      <c r="F6" s="52">
        <v>940</v>
      </c>
      <c r="G6" s="52">
        <v>957</v>
      </c>
      <c r="H6" s="52">
        <v>983</v>
      </c>
      <c r="I6" s="52">
        <v>1002</v>
      </c>
      <c r="J6" s="52">
        <v>1031</v>
      </c>
      <c r="K6" s="52">
        <v>1111</v>
      </c>
      <c r="L6" s="52">
        <v>1134</v>
      </c>
      <c r="M6" s="52">
        <v>1161</v>
      </c>
      <c r="N6" s="52">
        <v>1193</v>
      </c>
      <c r="O6" s="52">
        <v>1222</v>
      </c>
      <c r="P6" s="52">
        <v>1246</v>
      </c>
      <c r="Q6" s="52">
        <v>1280</v>
      </c>
      <c r="R6" s="52">
        <v>1306</v>
      </c>
      <c r="S6" s="52">
        <v>1388</v>
      </c>
      <c r="T6" s="52">
        <v>1379</v>
      </c>
      <c r="U6" s="52">
        <v>1402</v>
      </c>
      <c r="V6" s="52">
        <v>1435</v>
      </c>
      <c r="W6" s="52">
        <v>1474</v>
      </c>
      <c r="X6" s="52">
        <v>1505</v>
      </c>
      <c r="Y6" s="52">
        <v>1546</v>
      </c>
      <c r="Z6" s="52">
        <v>1583</v>
      </c>
      <c r="AA6" s="52">
        <v>1617</v>
      </c>
      <c r="AB6" s="52">
        <v>1656</v>
      </c>
      <c r="AC6" s="52">
        <v>1701</v>
      </c>
      <c r="AD6" s="52">
        <v>1743</v>
      </c>
      <c r="AE6" s="52">
        <v>1781</v>
      </c>
      <c r="AF6" s="52">
        <v>1829</v>
      </c>
      <c r="AG6" s="52">
        <v>1869</v>
      </c>
      <c r="AH6" s="52">
        <v>1915</v>
      </c>
      <c r="AI6" s="52">
        <v>1973</v>
      </c>
      <c r="AJ6" s="52">
        <v>0</v>
      </c>
      <c r="AK6" s="52">
        <v>0</v>
      </c>
      <c r="AL6" s="52">
        <v>0</v>
      </c>
      <c r="AM6" s="52">
        <v>0</v>
      </c>
      <c r="AN6" s="52">
        <v>0</v>
      </c>
      <c r="AO6" s="52">
        <v>0</v>
      </c>
      <c r="AP6" s="52">
        <v>0</v>
      </c>
      <c r="AQ6" s="52">
        <v>0</v>
      </c>
      <c r="AR6" s="52">
        <v>0</v>
      </c>
      <c r="AS6" s="52">
        <v>0</v>
      </c>
      <c r="AT6" s="52">
        <v>0</v>
      </c>
      <c r="AU6" s="52">
        <v>0</v>
      </c>
      <c r="AV6" s="52">
        <v>0</v>
      </c>
      <c r="AW6" s="52">
        <v>0</v>
      </c>
      <c r="AX6" s="52">
        <v>0</v>
      </c>
      <c r="AY6" s="52">
        <v>0</v>
      </c>
      <c r="AZ6" s="52">
        <v>0</v>
      </c>
      <c r="BA6" s="52">
        <v>0</v>
      </c>
      <c r="BB6" s="52">
        <v>0</v>
      </c>
    </row>
    <row r="7" spans="1:54">
      <c r="A7" s="24">
        <f>NPV('Financial Information'!$B$5,$E7:$AL7)*(1+'Financial Information'!$B$5)</f>
        <v>17606.367664101599</v>
      </c>
      <c r="B7" s="24">
        <f>NPV('Financial Information'!$B$5,$E7:$BB7)*(1+'Financial Information'!$B$5)</f>
        <v>17898.074691068177</v>
      </c>
      <c r="C7" s="6" t="s">
        <v>38</v>
      </c>
      <c r="D7" s="15">
        <v>0</v>
      </c>
      <c r="E7" s="52">
        <v>0</v>
      </c>
      <c r="F7" s="15">
        <v>1810.8263080056877</v>
      </c>
      <c r="G7" s="15">
        <v>1763.2297022815881</v>
      </c>
      <c r="H7" s="15">
        <v>1710.5392949013176</v>
      </c>
      <c r="I7" s="15">
        <v>1659.6622600272756</v>
      </c>
      <c r="J7" s="15">
        <v>1610.4628557636022</v>
      </c>
      <c r="K7" s="15">
        <v>1562.8157818987345</v>
      </c>
      <c r="L7" s="15">
        <v>1516.6044396246903</v>
      </c>
      <c r="M7" s="15">
        <v>1471.720931537069</v>
      </c>
      <c r="N7" s="15">
        <v>1427.5787830345273</v>
      </c>
      <c r="O7" s="15">
        <v>1383.542791655671</v>
      </c>
      <c r="P7" s="15">
        <v>1339.5068002768146</v>
      </c>
      <c r="Q7" s="15">
        <v>1295.470808897958</v>
      </c>
      <c r="R7" s="15">
        <v>1251.4348175191017</v>
      </c>
      <c r="S7" s="15">
        <v>1207.3988261402453</v>
      </c>
      <c r="T7" s="15">
        <v>1163.3628347613887</v>
      </c>
      <c r="U7" s="15">
        <v>1119.3268433825324</v>
      </c>
      <c r="V7" s="15">
        <v>1075.2908520036758</v>
      </c>
      <c r="W7" s="15">
        <v>1031.2548606248195</v>
      </c>
      <c r="X7" s="15">
        <v>987.21886924596299</v>
      </c>
      <c r="Y7" s="15">
        <v>943.18287786710653</v>
      </c>
      <c r="Z7" s="15">
        <v>903.02945276598075</v>
      </c>
      <c r="AA7" s="15">
        <v>870.63941993959975</v>
      </c>
      <c r="AB7" s="15">
        <v>842.13195339095</v>
      </c>
      <c r="AC7" s="15">
        <v>813.62448684229992</v>
      </c>
      <c r="AD7" s="15">
        <v>785.11702029364994</v>
      </c>
      <c r="AE7" s="15">
        <v>756.60955374500008</v>
      </c>
      <c r="AF7" s="15">
        <v>728.10208719635</v>
      </c>
      <c r="AG7" s="15">
        <v>699.59462064770003</v>
      </c>
      <c r="AH7" s="15">
        <v>671.08715409905005</v>
      </c>
      <c r="AI7" s="15">
        <v>642.57968755039997</v>
      </c>
      <c r="AJ7" s="15">
        <v>614.07222100174999</v>
      </c>
      <c r="AK7" s="15">
        <v>585.56475445310002</v>
      </c>
      <c r="AL7" s="15">
        <v>557.05728790444994</v>
      </c>
      <c r="AM7" s="15">
        <v>528.54982135580008</v>
      </c>
      <c r="AN7" s="15">
        <v>500.0423548071501</v>
      </c>
      <c r="AO7" s="15">
        <v>471.53488825850013</v>
      </c>
      <c r="AP7" s="15">
        <v>443.0274217098501</v>
      </c>
      <c r="AQ7" s="15">
        <v>414.51995516120007</v>
      </c>
      <c r="AR7" s="15">
        <v>386.01248861255004</v>
      </c>
      <c r="AS7" s="15">
        <v>399.44542465189772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</row>
    <row r="8" spans="1:54">
      <c r="A8" s="24">
        <f>NPV('Financial Information'!$B$5,$E8:$AL8)*(1+'Financial Information'!$B$5)</f>
        <v>2426.4302612241477</v>
      </c>
      <c r="B8" s="24">
        <f>NPV('Financial Information'!$B$5,$E8:$BB8)*(1+'Financial Information'!$B$5)</f>
        <v>2462.3099897024458</v>
      </c>
      <c r="C8" s="6" t="s">
        <v>39</v>
      </c>
      <c r="D8" s="15">
        <v>0</v>
      </c>
      <c r="E8" s="52">
        <v>0</v>
      </c>
      <c r="F8" s="15">
        <v>275</v>
      </c>
      <c r="G8" s="15">
        <v>267</v>
      </c>
      <c r="H8" s="15">
        <v>261</v>
      </c>
      <c r="I8" s="15">
        <v>253</v>
      </c>
      <c r="J8" s="15">
        <v>244</v>
      </c>
      <c r="K8" s="15">
        <v>236</v>
      </c>
      <c r="L8" s="15">
        <v>228</v>
      </c>
      <c r="M8" s="15">
        <v>219</v>
      </c>
      <c r="N8" s="15">
        <v>211</v>
      </c>
      <c r="O8" s="15">
        <v>199</v>
      </c>
      <c r="P8" s="15">
        <v>191</v>
      </c>
      <c r="Q8" s="15">
        <v>180</v>
      </c>
      <c r="R8" s="15">
        <v>169</v>
      </c>
      <c r="S8" s="15">
        <v>157</v>
      </c>
      <c r="T8" s="15">
        <v>146</v>
      </c>
      <c r="U8" s="15">
        <v>135</v>
      </c>
      <c r="V8" s="15">
        <v>124</v>
      </c>
      <c r="W8" s="15">
        <v>110</v>
      </c>
      <c r="X8" s="15">
        <v>95</v>
      </c>
      <c r="Y8" s="15">
        <v>84</v>
      </c>
      <c r="Z8" s="15">
        <v>84</v>
      </c>
      <c r="AA8" s="15">
        <v>73</v>
      </c>
      <c r="AB8" s="15">
        <v>73</v>
      </c>
      <c r="AC8" s="15">
        <v>65</v>
      </c>
      <c r="AD8" s="15">
        <v>65</v>
      </c>
      <c r="AE8" s="15">
        <v>59</v>
      </c>
      <c r="AF8" s="15">
        <v>56</v>
      </c>
      <c r="AG8" s="15">
        <v>56</v>
      </c>
      <c r="AH8" s="15">
        <v>56</v>
      </c>
      <c r="AI8" s="15">
        <v>56</v>
      </c>
      <c r="AJ8" s="15">
        <v>56</v>
      </c>
      <c r="AK8" s="15">
        <v>56</v>
      </c>
      <c r="AL8" s="15">
        <v>56</v>
      </c>
      <c r="AM8" s="15">
        <v>56</v>
      </c>
      <c r="AN8" s="15">
        <v>56</v>
      </c>
      <c r="AO8" s="15">
        <v>56</v>
      </c>
      <c r="AP8" s="15">
        <v>56</v>
      </c>
      <c r="AQ8" s="15">
        <v>56</v>
      </c>
      <c r="AR8" s="15">
        <v>56</v>
      </c>
      <c r="AS8" s="15">
        <v>56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</row>
    <row r="9" spans="1:54">
      <c r="A9" s="386">
        <f>NPV('Financial Information'!$B$5,$E9:$AL9)*(1+'Financial Information'!$B$5)</f>
        <v>355.78564974786195</v>
      </c>
      <c r="B9" s="386">
        <f>NPV('Financial Information'!$B$5,$E9:$BB9)*(1+'Financial Information'!$B$5)</f>
        <v>391.10879629007485</v>
      </c>
      <c r="C9" s="12" t="s">
        <v>40</v>
      </c>
      <c r="D9" s="389">
        <v>0</v>
      </c>
      <c r="E9" s="389">
        <v>0</v>
      </c>
      <c r="F9" s="389">
        <v>19.134779999999999</v>
      </c>
      <c r="G9" s="389">
        <v>19.7088234</v>
      </c>
      <c r="H9" s="389">
        <v>20.300088101999997</v>
      </c>
      <c r="I9" s="389">
        <v>20.909090745059999</v>
      </c>
      <c r="J9" s="389">
        <v>21.536363467411796</v>
      </c>
      <c r="K9" s="389">
        <v>22.182454371434151</v>
      </c>
      <c r="L9" s="389">
        <v>22.847928002577177</v>
      </c>
      <c r="M9" s="389">
        <v>23.533365842654494</v>
      </c>
      <c r="N9" s="389">
        <v>24.239366817934126</v>
      </c>
      <c r="O9" s="389">
        <v>24.966547822472148</v>
      </c>
      <c r="P9" s="389">
        <v>25.715544257146313</v>
      </c>
      <c r="Q9" s="389">
        <v>26.487010584860705</v>
      </c>
      <c r="R9" s="389">
        <v>27.281620902406519</v>
      </c>
      <c r="S9" s="389">
        <v>28.100069529478716</v>
      </c>
      <c r="T9" s="389">
        <v>28.943071615363081</v>
      </c>
      <c r="U9" s="389">
        <v>29.811363763823973</v>
      </c>
      <c r="V9" s="389">
        <v>30.705704676738687</v>
      </c>
      <c r="W9" s="389">
        <v>31.626875817040847</v>
      </c>
      <c r="X9" s="389">
        <v>32.575682091552075</v>
      </c>
      <c r="Y9" s="389">
        <v>33.552952554298635</v>
      </c>
      <c r="Z9" s="389">
        <v>34.559541130927592</v>
      </c>
      <c r="AA9" s="389">
        <v>35.596327364855419</v>
      </c>
      <c r="AB9" s="389">
        <v>36.664217185801085</v>
      </c>
      <c r="AC9" s="389">
        <v>37.764143701375119</v>
      </c>
      <c r="AD9" s="389">
        <v>38.897068012416369</v>
      </c>
      <c r="AE9" s="389">
        <v>40.063980052788857</v>
      </c>
      <c r="AF9" s="389">
        <v>41.26589945437253</v>
      </c>
      <c r="AG9" s="389">
        <v>42.503876438003701</v>
      </c>
      <c r="AH9" s="389">
        <v>43.778992731143809</v>
      </c>
      <c r="AI9" s="389">
        <v>45.092362513078122</v>
      </c>
      <c r="AJ9" s="389">
        <v>46.445133388470467</v>
      </c>
      <c r="AK9" s="389">
        <v>47.838487390124584</v>
      </c>
      <c r="AL9" s="389">
        <v>49.273642011828315</v>
      </c>
      <c r="AM9" s="389">
        <v>50.751851272183167</v>
      </c>
      <c r="AN9" s="389">
        <v>52.274406810348651</v>
      </c>
      <c r="AO9" s="389">
        <v>53.84263901465912</v>
      </c>
      <c r="AP9" s="389">
        <v>55.45791818509889</v>
      </c>
      <c r="AQ9" s="389">
        <v>57.121655730651845</v>
      </c>
      <c r="AR9" s="389">
        <v>58.835305402571407</v>
      </c>
      <c r="AS9" s="389">
        <v>60.600364564648558</v>
      </c>
      <c r="AT9" s="389">
        <v>0</v>
      </c>
      <c r="AU9" s="389">
        <v>0</v>
      </c>
      <c r="AV9" s="389">
        <v>0</v>
      </c>
      <c r="AW9" s="389">
        <v>0</v>
      </c>
      <c r="AX9" s="389">
        <v>0</v>
      </c>
      <c r="AY9" s="389">
        <v>0</v>
      </c>
      <c r="AZ9" s="389">
        <v>0</v>
      </c>
      <c r="BA9" s="389">
        <v>0</v>
      </c>
      <c r="BB9" s="389">
        <v>0</v>
      </c>
    </row>
    <row r="10" spans="1:54">
      <c r="A10" s="24">
        <f>SUM(A2:A9)</f>
        <v>144431.29884573907</v>
      </c>
      <c r="B10" s="24">
        <f>SUM(B2:B9)</f>
        <v>144794.20874772614</v>
      </c>
      <c r="D10" s="16">
        <f t="shared" ref="D10:BB10" si="1">SUM(D2:D9)</f>
        <v>0</v>
      </c>
      <c r="E10" s="16">
        <f t="shared" si="1"/>
        <v>0</v>
      </c>
      <c r="F10" s="16">
        <f t="shared" si="1"/>
        <v>16220.296499603874</v>
      </c>
      <c r="G10" s="16">
        <f t="shared" si="1"/>
        <v>15435.396968821891</v>
      </c>
      <c r="H10" s="16">
        <f t="shared" si="1"/>
        <v>14666.317337735627</v>
      </c>
      <c r="I10" s="16">
        <f t="shared" si="1"/>
        <v>14080.3131506139</v>
      </c>
      <c r="J10" s="16">
        <f t="shared" si="1"/>
        <v>13577.916848285975</v>
      </c>
      <c r="K10" s="16">
        <f t="shared" si="1"/>
        <v>11876.095049327467</v>
      </c>
      <c r="L10" s="16">
        <f t="shared" si="1"/>
        <v>11535.652434919613</v>
      </c>
      <c r="M10" s="16">
        <f t="shared" si="1"/>
        <v>11254.289774046918</v>
      </c>
      <c r="N10" s="16">
        <f t="shared" si="1"/>
        <v>10979.918705649576</v>
      </c>
      <c r="O10" s="16">
        <f t="shared" si="1"/>
        <v>10695.190746947752</v>
      </c>
      <c r="P10" s="16">
        <f t="shared" si="1"/>
        <v>10413.256755931527</v>
      </c>
      <c r="Q10" s="16">
        <f t="shared" si="1"/>
        <v>10134.855082244792</v>
      </c>
      <c r="R10" s="16">
        <f t="shared" si="1"/>
        <v>9848.6239286430318</v>
      </c>
      <c r="S10" s="16">
        <f t="shared" si="1"/>
        <v>9617.5684107288034</v>
      </c>
      <c r="T10" s="16">
        <f t="shared" si="1"/>
        <v>9296.6937975727287</v>
      </c>
      <c r="U10" s="16">
        <f t="shared" si="1"/>
        <v>9015.0087732725406</v>
      </c>
      <c r="V10" s="16">
        <f t="shared" si="1"/>
        <v>8736.5221957807917</v>
      </c>
      <c r="W10" s="16">
        <f t="shared" si="1"/>
        <v>9024.3881581736423</v>
      </c>
      <c r="X10" s="16">
        <f t="shared" si="1"/>
        <v>8664.0081678771385</v>
      </c>
      <c r="Y10" s="16">
        <f t="shared" si="1"/>
        <v>8336.0040765320318</v>
      </c>
      <c r="Z10" s="16">
        <f t="shared" si="1"/>
        <v>8100.2803894085419</v>
      </c>
      <c r="AA10" s="16">
        <f t="shared" si="1"/>
        <v>7778.9118401518717</v>
      </c>
      <c r="AB10" s="16">
        <f t="shared" si="1"/>
        <v>7550.8368501101004</v>
      </c>
      <c r="AC10" s="16">
        <f t="shared" si="1"/>
        <v>7266.499357479538</v>
      </c>
      <c r="AD10" s="16">
        <f t="shared" si="1"/>
        <v>7041.9035279826167</v>
      </c>
      <c r="AE10" s="16">
        <f t="shared" si="1"/>
        <v>6778.2257514686007</v>
      </c>
      <c r="AF10" s="16">
        <f t="shared" si="1"/>
        <v>6538.9720826383573</v>
      </c>
      <c r="AG10" s="16">
        <f t="shared" si="1"/>
        <v>6313.1502592997394</v>
      </c>
      <c r="AH10" s="16">
        <f t="shared" si="1"/>
        <v>6093.6020706394829</v>
      </c>
      <c r="AI10" s="16">
        <f t="shared" si="1"/>
        <v>5986.1037088961348</v>
      </c>
      <c r="AJ10" s="16">
        <f t="shared" si="1"/>
        <v>716.51735439022048</v>
      </c>
      <c r="AK10" s="16">
        <f t="shared" si="1"/>
        <v>689.40324184322458</v>
      </c>
      <c r="AL10" s="16">
        <f t="shared" si="1"/>
        <v>662.33092991627825</v>
      </c>
      <c r="AM10" s="16">
        <f t="shared" si="1"/>
        <v>635.30167262798329</v>
      </c>
      <c r="AN10" s="16">
        <f t="shared" si="1"/>
        <v>608.31676161749874</v>
      </c>
      <c r="AO10" s="16">
        <f t="shared" si="1"/>
        <v>581.37752727315922</v>
      </c>
      <c r="AP10" s="16">
        <f t="shared" si="1"/>
        <v>554.48533989494899</v>
      </c>
      <c r="AQ10" s="16">
        <f t="shared" si="1"/>
        <v>527.64161089185188</v>
      </c>
      <c r="AR10" s="16">
        <f t="shared" si="1"/>
        <v>500.84779401512145</v>
      </c>
      <c r="AS10" s="16">
        <f t="shared" si="1"/>
        <v>516.04578921654627</v>
      </c>
      <c r="AT10" s="16">
        <f t="shared" si="1"/>
        <v>0</v>
      </c>
      <c r="AU10" s="16">
        <f t="shared" si="1"/>
        <v>0</v>
      </c>
      <c r="AV10" s="16">
        <f t="shared" si="1"/>
        <v>0</v>
      </c>
      <c r="AW10" s="16">
        <f t="shared" si="1"/>
        <v>0</v>
      </c>
      <c r="AX10" s="16">
        <f t="shared" si="1"/>
        <v>0</v>
      </c>
      <c r="AY10" s="16">
        <f t="shared" si="1"/>
        <v>0</v>
      </c>
      <c r="AZ10" s="16">
        <f t="shared" si="1"/>
        <v>0</v>
      </c>
      <c r="BA10" s="16">
        <f t="shared" si="1"/>
        <v>0</v>
      </c>
      <c r="BB10" s="16">
        <f t="shared" si="1"/>
        <v>0</v>
      </c>
    </row>
    <row r="11" spans="1:54">
      <c r="A11" s="2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54">
      <c r="A12" s="390"/>
      <c r="B12" s="6">
        <v>74.900000000000006</v>
      </c>
      <c r="C12" s="6" t="str">
        <f>C6&amp;" $/kw"</f>
        <v>O&amp;M $/kw</v>
      </c>
      <c r="D12" s="52">
        <v>0</v>
      </c>
      <c r="E12" s="25">
        <f>E6/$B$12</f>
        <v>0</v>
      </c>
      <c r="F12" s="25">
        <f t="shared" ref="F12:AK12" si="2">F6/$B$12</f>
        <v>12.550066755674232</v>
      </c>
      <c r="G12" s="25">
        <f t="shared" si="2"/>
        <v>12.777036048064085</v>
      </c>
      <c r="H12" s="25">
        <f t="shared" si="2"/>
        <v>13.124165554072095</v>
      </c>
      <c r="I12" s="25">
        <f t="shared" si="2"/>
        <v>13.377837116154872</v>
      </c>
      <c r="J12" s="25">
        <f t="shared" si="2"/>
        <v>13.765020026702269</v>
      </c>
      <c r="K12" s="25">
        <f t="shared" si="2"/>
        <v>14.833110814419225</v>
      </c>
      <c r="L12" s="25">
        <f t="shared" si="2"/>
        <v>15.140186915887849</v>
      </c>
      <c r="M12" s="25">
        <f t="shared" si="2"/>
        <v>15.500667556742322</v>
      </c>
      <c r="N12" s="25">
        <f t="shared" si="2"/>
        <v>15.927903871829104</v>
      </c>
      <c r="O12" s="25">
        <f t="shared" si="2"/>
        <v>16.3150867823765</v>
      </c>
      <c r="P12" s="25">
        <f t="shared" si="2"/>
        <v>16.635514018691588</v>
      </c>
      <c r="Q12" s="25">
        <f t="shared" si="2"/>
        <v>17.089452603471294</v>
      </c>
      <c r="R12" s="25">
        <f t="shared" si="2"/>
        <v>17.436582109479303</v>
      </c>
      <c r="S12" s="25">
        <f t="shared" si="2"/>
        <v>18.531375166889184</v>
      </c>
      <c r="T12" s="25">
        <f t="shared" si="2"/>
        <v>18.411214953271028</v>
      </c>
      <c r="U12" s="25">
        <f t="shared" si="2"/>
        <v>18.718291054739652</v>
      </c>
      <c r="V12" s="25">
        <f t="shared" si="2"/>
        <v>19.158878504672895</v>
      </c>
      <c r="W12" s="25">
        <f t="shared" si="2"/>
        <v>19.679572763684913</v>
      </c>
      <c r="X12" s="25">
        <f t="shared" si="2"/>
        <v>20.093457943925234</v>
      </c>
      <c r="Y12" s="25">
        <f t="shared" si="2"/>
        <v>20.640854472630171</v>
      </c>
      <c r="Z12" s="25">
        <f t="shared" si="2"/>
        <v>21.134846461949262</v>
      </c>
      <c r="AA12" s="25">
        <f t="shared" si="2"/>
        <v>21.588785046728969</v>
      </c>
      <c r="AB12" s="25">
        <f t="shared" si="2"/>
        <v>22.109479305740987</v>
      </c>
      <c r="AC12" s="25">
        <f t="shared" si="2"/>
        <v>22.710280373831775</v>
      </c>
      <c r="AD12" s="25">
        <f t="shared" si="2"/>
        <v>23.271028037383175</v>
      </c>
      <c r="AE12" s="25">
        <f t="shared" si="2"/>
        <v>23.77837116154873</v>
      </c>
      <c r="AF12" s="25">
        <f t="shared" si="2"/>
        <v>24.419225634178904</v>
      </c>
      <c r="AG12" s="25">
        <f t="shared" si="2"/>
        <v>24.953271028037381</v>
      </c>
      <c r="AH12" s="25">
        <f t="shared" si="2"/>
        <v>25.567423230974629</v>
      </c>
      <c r="AI12" s="25">
        <f t="shared" si="2"/>
        <v>26.341789052069423</v>
      </c>
      <c r="AJ12" s="25">
        <f t="shared" si="2"/>
        <v>0</v>
      </c>
      <c r="AK12" s="25">
        <f t="shared" si="2"/>
        <v>0</v>
      </c>
    </row>
    <row r="13" spans="1:54">
      <c r="A13" s="390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</row>
    <row r="14" spans="1:54"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</row>
    <row r="15" spans="1:54">
      <c r="AI15" s="16"/>
    </row>
    <row r="16" spans="1:54">
      <c r="A16" s="38">
        <f>NPV('Financial Information'!$B$5,$E16:$AL16)*(1+'Financial Information'!$B$5)</f>
        <v>16048.076811603916</v>
      </c>
      <c r="B16" s="24">
        <f>NPV('Financial Information'!$B$5,$D16:$BB16)*(1+'Financial Information'!$B$5)</f>
        <v>15040.371894661588</v>
      </c>
      <c r="C16" s="6" t="str">
        <f>C6</f>
        <v>O&amp;M</v>
      </c>
      <c r="D16" s="6">
        <v>0</v>
      </c>
      <c r="E16" s="16">
        <f>E6</f>
        <v>0</v>
      </c>
      <c r="F16" s="16">
        <f t="shared" ref="F16:BB16" si="3">F6</f>
        <v>940</v>
      </c>
      <c r="G16" s="16">
        <f t="shared" si="3"/>
        <v>957</v>
      </c>
      <c r="H16" s="16">
        <f t="shared" si="3"/>
        <v>983</v>
      </c>
      <c r="I16" s="16">
        <f t="shared" si="3"/>
        <v>1002</v>
      </c>
      <c r="J16" s="16">
        <f t="shared" si="3"/>
        <v>1031</v>
      </c>
      <c r="K16" s="16">
        <f t="shared" si="3"/>
        <v>1111</v>
      </c>
      <c r="L16" s="16">
        <f t="shared" si="3"/>
        <v>1134</v>
      </c>
      <c r="M16" s="16">
        <f t="shared" si="3"/>
        <v>1161</v>
      </c>
      <c r="N16" s="16">
        <f t="shared" si="3"/>
        <v>1193</v>
      </c>
      <c r="O16" s="16">
        <f t="shared" si="3"/>
        <v>1222</v>
      </c>
      <c r="P16" s="16">
        <f t="shared" si="3"/>
        <v>1246</v>
      </c>
      <c r="Q16" s="16">
        <f t="shared" si="3"/>
        <v>1280</v>
      </c>
      <c r="R16" s="16">
        <f t="shared" si="3"/>
        <v>1306</v>
      </c>
      <c r="S16" s="16">
        <f t="shared" si="3"/>
        <v>1388</v>
      </c>
      <c r="T16" s="16">
        <f t="shared" si="3"/>
        <v>1379</v>
      </c>
      <c r="U16" s="16">
        <f t="shared" si="3"/>
        <v>1402</v>
      </c>
      <c r="V16" s="16">
        <f t="shared" si="3"/>
        <v>1435</v>
      </c>
      <c r="W16" s="16">
        <f t="shared" si="3"/>
        <v>1474</v>
      </c>
      <c r="X16" s="16">
        <f t="shared" si="3"/>
        <v>1505</v>
      </c>
      <c r="Y16" s="16">
        <f t="shared" si="3"/>
        <v>1546</v>
      </c>
      <c r="Z16" s="16">
        <f t="shared" si="3"/>
        <v>1583</v>
      </c>
      <c r="AA16" s="16">
        <f t="shared" si="3"/>
        <v>1617</v>
      </c>
      <c r="AB16" s="16">
        <f t="shared" si="3"/>
        <v>1656</v>
      </c>
      <c r="AC16" s="16">
        <f t="shared" si="3"/>
        <v>1701</v>
      </c>
      <c r="AD16" s="16">
        <f t="shared" si="3"/>
        <v>1743</v>
      </c>
      <c r="AE16" s="16">
        <f t="shared" si="3"/>
        <v>1781</v>
      </c>
      <c r="AF16" s="16">
        <f t="shared" si="3"/>
        <v>1829</v>
      </c>
      <c r="AG16" s="16">
        <f t="shared" si="3"/>
        <v>1869</v>
      </c>
      <c r="AH16" s="16">
        <f t="shared" si="3"/>
        <v>1915</v>
      </c>
      <c r="AI16" s="16">
        <f t="shared" si="3"/>
        <v>1973</v>
      </c>
      <c r="AJ16" s="16">
        <f t="shared" si="3"/>
        <v>0</v>
      </c>
      <c r="AK16" s="16">
        <f t="shared" si="3"/>
        <v>0</v>
      </c>
      <c r="AL16" s="16">
        <f t="shared" si="3"/>
        <v>0</v>
      </c>
      <c r="AM16" s="16">
        <f t="shared" si="3"/>
        <v>0</v>
      </c>
      <c r="AN16" s="16">
        <f t="shared" si="3"/>
        <v>0</v>
      </c>
      <c r="AO16" s="16">
        <f t="shared" si="3"/>
        <v>0</v>
      </c>
      <c r="AP16" s="16">
        <f t="shared" si="3"/>
        <v>0</v>
      </c>
      <c r="AQ16" s="16">
        <f t="shared" si="3"/>
        <v>0</v>
      </c>
      <c r="AR16" s="16">
        <f t="shared" si="3"/>
        <v>0</v>
      </c>
      <c r="AS16" s="16">
        <f t="shared" si="3"/>
        <v>0</v>
      </c>
      <c r="AT16" s="16">
        <f t="shared" si="3"/>
        <v>0</v>
      </c>
      <c r="AU16" s="16">
        <f t="shared" si="3"/>
        <v>0</v>
      </c>
      <c r="AV16" s="16">
        <f t="shared" si="3"/>
        <v>0</v>
      </c>
      <c r="AW16" s="16">
        <f t="shared" si="3"/>
        <v>0</v>
      </c>
      <c r="AX16" s="16">
        <f t="shared" si="3"/>
        <v>0</v>
      </c>
      <c r="AY16" s="16">
        <f t="shared" si="3"/>
        <v>0</v>
      </c>
      <c r="AZ16" s="16">
        <f t="shared" si="3"/>
        <v>0</v>
      </c>
      <c r="BA16" s="16">
        <f t="shared" si="3"/>
        <v>0</v>
      </c>
      <c r="BB16" s="16">
        <f t="shared" si="3"/>
        <v>0</v>
      </c>
    </row>
    <row r="17" spans="1:54">
      <c r="A17" s="38">
        <f>NPV('Financial Information'!$B$5,$E17:$AL17)*(1+'Financial Information'!$B$5)</f>
        <v>107994.63845906153</v>
      </c>
      <c r="B17" s="24">
        <f>NPV('Financial Information'!$B$5,$D17:$BB17)*(1+'Financial Information'!$B$5)</f>
        <v>101213.34438524986</v>
      </c>
      <c r="C17" s="6" t="s">
        <v>108</v>
      </c>
      <c r="D17" s="6">
        <v>0</v>
      </c>
      <c r="E17" s="16">
        <f>SUM(E2:E5)</f>
        <v>0</v>
      </c>
      <c r="F17" s="16">
        <f t="shared" ref="F17:BB17" si="4">SUM(F2:F5)</f>
        <v>13175.335411598186</v>
      </c>
      <c r="G17" s="16">
        <f t="shared" si="4"/>
        <v>12428.458443140304</v>
      </c>
      <c r="H17" s="16">
        <f t="shared" si="4"/>
        <v>11691.477954732311</v>
      </c>
      <c r="I17" s="16">
        <f t="shared" si="4"/>
        <v>11144.741799841564</v>
      </c>
      <c r="J17" s="16">
        <f t="shared" si="4"/>
        <v>10670.91762905496</v>
      </c>
      <c r="K17" s="16">
        <f t="shared" si="4"/>
        <v>8944.0968130572983</v>
      </c>
      <c r="L17" s="16">
        <f t="shared" si="4"/>
        <v>8634.2000672923459</v>
      </c>
      <c r="M17" s="16">
        <f t="shared" si="4"/>
        <v>8379.0354766671935</v>
      </c>
      <c r="N17" s="16">
        <f t="shared" si="4"/>
        <v>8124.1005557971157</v>
      </c>
      <c r="O17" s="16">
        <f t="shared" si="4"/>
        <v>7865.6814074696085</v>
      </c>
      <c r="P17" s="16">
        <f t="shared" si="4"/>
        <v>7611.0344113975652</v>
      </c>
      <c r="Q17" s="16">
        <f t="shared" si="4"/>
        <v>7352.8972627619733</v>
      </c>
      <c r="R17" s="16">
        <f t="shared" si="4"/>
        <v>7094.9074902215252</v>
      </c>
      <c r="S17" s="16">
        <f t="shared" si="4"/>
        <v>6837.0695150590791</v>
      </c>
      <c r="T17" s="16">
        <f t="shared" si="4"/>
        <v>6579.3878911959755</v>
      </c>
      <c r="U17" s="16">
        <f t="shared" si="4"/>
        <v>6328.8705661261847</v>
      </c>
      <c r="V17" s="16">
        <f t="shared" si="4"/>
        <v>6071.5256391003777</v>
      </c>
      <c r="W17" s="16">
        <f t="shared" si="4"/>
        <v>6377.5064217317822</v>
      </c>
      <c r="X17" s="16">
        <f t="shared" si="4"/>
        <v>6044.2136165396232</v>
      </c>
      <c r="Y17" s="16">
        <f t="shared" si="4"/>
        <v>5729.268246110626</v>
      </c>
      <c r="Z17" s="16">
        <f t="shared" si="4"/>
        <v>5495.6913955116333</v>
      </c>
      <c r="AA17" s="16">
        <f t="shared" si="4"/>
        <v>5182.6760928474159</v>
      </c>
      <c r="AB17" s="16">
        <f t="shared" si="4"/>
        <v>4943.0406795333492</v>
      </c>
      <c r="AC17" s="16">
        <f t="shared" si="4"/>
        <v>4649.1107269358627</v>
      </c>
      <c r="AD17" s="16">
        <f t="shared" si="4"/>
        <v>4409.88943967655</v>
      </c>
      <c r="AE17" s="16">
        <f t="shared" si="4"/>
        <v>4141.5522176708118</v>
      </c>
      <c r="AF17" s="16">
        <f t="shared" si="4"/>
        <v>3884.6040959876345</v>
      </c>
      <c r="AG17" s="16">
        <f t="shared" si="4"/>
        <v>3646.0517622140364</v>
      </c>
      <c r="AH17" s="16">
        <f t="shared" si="4"/>
        <v>3407.7359238092886</v>
      </c>
      <c r="AI17" s="16">
        <f t="shared" si="4"/>
        <v>3269.4316588326565</v>
      </c>
      <c r="AJ17" s="16">
        <f t="shared" si="4"/>
        <v>0</v>
      </c>
      <c r="AK17" s="16">
        <f t="shared" si="4"/>
        <v>0</v>
      </c>
      <c r="AL17" s="16">
        <f t="shared" si="4"/>
        <v>0</v>
      </c>
      <c r="AM17" s="16">
        <f t="shared" si="4"/>
        <v>0</v>
      </c>
      <c r="AN17" s="16">
        <f t="shared" si="4"/>
        <v>0</v>
      </c>
      <c r="AO17" s="16">
        <f t="shared" si="4"/>
        <v>0</v>
      </c>
      <c r="AP17" s="16">
        <f t="shared" si="4"/>
        <v>0</v>
      </c>
      <c r="AQ17" s="16">
        <f t="shared" si="4"/>
        <v>0</v>
      </c>
      <c r="AR17" s="16">
        <f t="shared" si="4"/>
        <v>0</v>
      </c>
      <c r="AS17" s="16">
        <f t="shared" si="4"/>
        <v>0</v>
      </c>
      <c r="AT17" s="16">
        <f t="shared" si="4"/>
        <v>0</v>
      </c>
      <c r="AU17" s="16">
        <f t="shared" si="4"/>
        <v>0</v>
      </c>
      <c r="AV17" s="16">
        <f t="shared" si="4"/>
        <v>0</v>
      </c>
      <c r="AW17" s="16">
        <f t="shared" si="4"/>
        <v>0</v>
      </c>
      <c r="AX17" s="16">
        <f t="shared" si="4"/>
        <v>0</v>
      </c>
      <c r="AY17" s="16">
        <f t="shared" si="4"/>
        <v>0</v>
      </c>
      <c r="AZ17" s="16">
        <f t="shared" si="4"/>
        <v>0</v>
      </c>
      <c r="BA17" s="16">
        <f t="shared" si="4"/>
        <v>0</v>
      </c>
      <c r="BB17" s="16">
        <f t="shared" si="4"/>
        <v>0</v>
      </c>
    </row>
    <row r="18" spans="1:54">
      <c r="A18" s="386">
        <f>NPV('Financial Information'!$B$5,$E18:$AL18)*(1+'Financial Information'!$B$5)</f>
        <v>20388.583575073597</v>
      </c>
      <c r="B18" s="386">
        <f>NPV('Financial Information'!$B$5,$D18:$BB18)*(1+'Financial Information'!$B$5)</f>
        <v>19448.447494902237</v>
      </c>
      <c r="C18" s="6" t="s">
        <v>107</v>
      </c>
      <c r="D18" s="6">
        <v>0</v>
      </c>
      <c r="E18" s="16">
        <f>SUM(E7:E9)</f>
        <v>0</v>
      </c>
      <c r="F18" s="16">
        <f t="shared" ref="F18:BB18" si="5">SUM(F7:F9)</f>
        <v>2104.9610880056875</v>
      </c>
      <c r="G18" s="16">
        <f t="shared" si="5"/>
        <v>2049.9385256815881</v>
      </c>
      <c r="H18" s="16">
        <f t="shared" si="5"/>
        <v>1991.8393830033176</v>
      </c>
      <c r="I18" s="16">
        <f t="shared" si="5"/>
        <v>1933.5713507723356</v>
      </c>
      <c r="J18" s="16">
        <f t="shared" si="5"/>
        <v>1875.999219231014</v>
      </c>
      <c r="K18" s="16">
        <f t="shared" si="5"/>
        <v>1820.9982362701687</v>
      </c>
      <c r="L18" s="16">
        <f t="shared" si="5"/>
        <v>1767.4523676272674</v>
      </c>
      <c r="M18" s="16">
        <f t="shared" si="5"/>
        <v>1714.2542973797235</v>
      </c>
      <c r="N18" s="16">
        <f t="shared" si="5"/>
        <v>1662.8181498524614</v>
      </c>
      <c r="O18" s="16">
        <f t="shared" si="5"/>
        <v>1607.5093394781431</v>
      </c>
      <c r="P18" s="16">
        <f t="shared" si="5"/>
        <v>1556.2223445339609</v>
      </c>
      <c r="Q18" s="16">
        <f t="shared" si="5"/>
        <v>1501.9578194828186</v>
      </c>
      <c r="R18" s="16">
        <f t="shared" si="5"/>
        <v>1447.7164384215082</v>
      </c>
      <c r="S18" s="16">
        <f t="shared" si="5"/>
        <v>1392.4988956697241</v>
      </c>
      <c r="T18" s="16">
        <f t="shared" si="5"/>
        <v>1338.3059063767519</v>
      </c>
      <c r="U18" s="16">
        <f t="shared" si="5"/>
        <v>1284.1382071463563</v>
      </c>
      <c r="V18" s="16">
        <f t="shared" si="5"/>
        <v>1229.9965566804144</v>
      </c>
      <c r="W18" s="16">
        <f t="shared" si="5"/>
        <v>1172.8817364418603</v>
      </c>
      <c r="X18" s="16">
        <f t="shared" si="5"/>
        <v>1114.7945513375153</v>
      </c>
      <c r="Y18" s="16">
        <f t="shared" si="5"/>
        <v>1060.7358304214051</v>
      </c>
      <c r="Z18" s="16">
        <f t="shared" si="5"/>
        <v>1021.5889938969084</v>
      </c>
      <c r="AA18" s="16">
        <f t="shared" si="5"/>
        <v>979.23574730445512</v>
      </c>
      <c r="AB18" s="16">
        <f t="shared" si="5"/>
        <v>951.79617057675114</v>
      </c>
      <c r="AC18" s="16">
        <f t="shared" si="5"/>
        <v>916.38863054367505</v>
      </c>
      <c r="AD18" s="16">
        <f t="shared" si="5"/>
        <v>889.01408830606636</v>
      </c>
      <c r="AE18" s="16">
        <f t="shared" si="5"/>
        <v>855.67353379778899</v>
      </c>
      <c r="AF18" s="16">
        <f t="shared" si="5"/>
        <v>825.36798665072251</v>
      </c>
      <c r="AG18" s="16">
        <f t="shared" si="5"/>
        <v>798.09849708570368</v>
      </c>
      <c r="AH18" s="16">
        <f t="shared" si="5"/>
        <v>770.86614683019388</v>
      </c>
      <c r="AI18" s="16">
        <f t="shared" si="5"/>
        <v>743.67205006347808</v>
      </c>
      <c r="AJ18" s="16">
        <f t="shared" si="5"/>
        <v>716.51735439022048</v>
      </c>
      <c r="AK18" s="16">
        <f t="shared" si="5"/>
        <v>689.40324184322458</v>
      </c>
      <c r="AL18" s="16">
        <f t="shared" si="5"/>
        <v>662.33092991627825</v>
      </c>
      <c r="AM18" s="16">
        <f t="shared" si="5"/>
        <v>635.30167262798329</v>
      </c>
      <c r="AN18" s="16">
        <f t="shared" si="5"/>
        <v>608.31676161749874</v>
      </c>
      <c r="AO18" s="16">
        <f t="shared" si="5"/>
        <v>581.37752727315922</v>
      </c>
      <c r="AP18" s="16">
        <f t="shared" si="5"/>
        <v>554.48533989494899</v>
      </c>
      <c r="AQ18" s="16">
        <f t="shared" si="5"/>
        <v>527.64161089185188</v>
      </c>
      <c r="AR18" s="16">
        <f t="shared" si="5"/>
        <v>500.84779401512145</v>
      </c>
      <c r="AS18" s="16">
        <f t="shared" si="5"/>
        <v>516.04578921654627</v>
      </c>
      <c r="AT18" s="16">
        <f t="shared" si="5"/>
        <v>0</v>
      </c>
      <c r="AU18" s="16">
        <f t="shared" si="5"/>
        <v>0</v>
      </c>
      <c r="AV18" s="16">
        <f t="shared" si="5"/>
        <v>0</v>
      </c>
      <c r="AW18" s="16">
        <f t="shared" si="5"/>
        <v>0</v>
      </c>
      <c r="AX18" s="16">
        <f t="shared" si="5"/>
        <v>0</v>
      </c>
      <c r="AY18" s="16">
        <f t="shared" si="5"/>
        <v>0</v>
      </c>
      <c r="AZ18" s="16">
        <f t="shared" si="5"/>
        <v>0</v>
      </c>
      <c r="BA18" s="16">
        <f t="shared" si="5"/>
        <v>0</v>
      </c>
      <c r="BB18" s="16">
        <f t="shared" si="5"/>
        <v>0</v>
      </c>
    </row>
    <row r="19" spans="1:54">
      <c r="A19" s="24">
        <f>SUM(A16:A18)</f>
        <v>144431.29884573905</v>
      </c>
      <c r="B19" s="24">
        <f>SUM(B16:B18)</f>
        <v>135702.16377481367</v>
      </c>
    </row>
    <row r="20" spans="1:54">
      <c r="D20" s="411"/>
      <c r="E20" s="411"/>
      <c r="F20" s="411"/>
      <c r="G20" s="411"/>
      <c r="AB20" s="157"/>
      <c r="AC20" s="157"/>
      <c r="AD20" s="157"/>
      <c r="AE20" s="157"/>
      <c r="AF20" s="157"/>
      <c r="AG20" s="157"/>
      <c r="AH20" s="157"/>
    </row>
    <row r="21" spans="1:54">
      <c r="D21" s="390"/>
      <c r="F21" s="390" t="s">
        <v>192</v>
      </c>
    </row>
    <row r="22" spans="1:54">
      <c r="A22" s="385"/>
      <c r="D22" s="390"/>
      <c r="F22" s="390"/>
    </row>
    <row r="23" spans="1:54">
      <c r="A23" s="24"/>
      <c r="D23" s="390"/>
      <c r="F23" s="390"/>
    </row>
    <row r="24" spans="1:54">
      <c r="A24" s="24"/>
      <c r="D24" s="157"/>
      <c r="F24" s="157"/>
    </row>
    <row r="25" spans="1:54">
      <c r="A25" s="24"/>
      <c r="D25" s="390"/>
      <c r="F25" s="390"/>
    </row>
    <row r="26" spans="1:54">
      <c r="A26" s="24"/>
      <c r="D26" s="153"/>
      <c r="E26" s="160"/>
      <c r="F26" s="153"/>
    </row>
    <row r="27" spans="1:54">
      <c r="A27" s="24"/>
      <c r="D27" s="153"/>
      <c r="E27" s="160"/>
      <c r="F27" s="153"/>
    </row>
    <row r="28" spans="1:54">
      <c r="A28" s="24"/>
      <c r="D28" s="390"/>
      <c r="F28" s="390"/>
    </row>
    <row r="29" spans="1:54">
      <c r="A29" s="24"/>
      <c r="D29" s="390"/>
      <c r="F29" s="390"/>
    </row>
    <row r="30" spans="1:54">
      <c r="A30" s="24"/>
    </row>
    <row r="31" spans="1:54">
      <c r="A31" s="24"/>
      <c r="D31" s="37"/>
      <c r="F31" s="37"/>
    </row>
    <row r="32" spans="1:54">
      <c r="A32" s="24"/>
      <c r="D32" s="37"/>
      <c r="F32" s="37"/>
    </row>
    <row r="33" spans="1:6">
      <c r="A33" s="24"/>
      <c r="D33" s="37"/>
      <c r="F33" s="37"/>
    </row>
    <row r="34" spans="1:6">
      <c r="A34" s="24"/>
      <c r="D34" s="391"/>
      <c r="F34" s="392"/>
    </row>
    <row r="35" spans="1:6">
      <c r="A35" s="24"/>
      <c r="D35" s="37"/>
    </row>
    <row r="36" spans="1:6">
      <c r="A36" s="24"/>
    </row>
    <row r="37" spans="1:6">
      <c r="A37" s="24"/>
    </row>
    <row r="38" spans="1:6">
      <c r="A38" s="24"/>
    </row>
    <row r="39" spans="1:6">
      <c r="A39" s="24"/>
    </row>
    <row r="40" spans="1:6">
      <c r="A40" s="24"/>
    </row>
    <row r="53" spans="4:6">
      <c r="D53" s="155"/>
      <c r="F53" s="155"/>
    </row>
    <row r="54" spans="4:6">
      <c r="D54" s="153"/>
      <c r="F54" s="155"/>
    </row>
    <row r="55" spans="4:6">
      <c r="D55" s="155"/>
      <c r="F55" s="155"/>
    </row>
    <row r="56" spans="4:6">
      <c r="D56" s="155"/>
      <c r="F56" s="155"/>
    </row>
    <row r="57" spans="4:6">
      <c r="D57" s="155"/>
      <c r="F57" s="155"/>
    </row>
    <row r="58" spans="4:6">
      <c r="F58" s="155"/>
    </row>
    <row r="59" spans="4:6">
      <c r="F59" s="155"/>
    </row>
    <row r="60" spans="4:6">
      <c r="F60" s="155"/>
    </row>
    <row r="61" spans="4:6">
      <c r="F61" s="155"/>
    </row>
    <row r="62" spans="4:6">
      <c r="F62" s="155"/>
    </row>
  </sheetData>
  <mergeCells count="2">
    <mergeCell ref="D20:E20"/>
    <mergeCell ref="F20:G2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BB62"/>
  <sheetViews>
    <sheetView workbookViewId="0">
      <pane xSplit="3" ySplit="1" topLeftCell="Z2" activePane="bottomRight" state="frozen"/>
      <selection activeCell="AB14" sqref="AB14"/>
      <selection pane="topRight" activeCell="AB14" sqref="AB14"/>
      <selection pane="bottomLeft" activeCell="AB14" sqref="AB14"/>
      <selection pane="bottomRight" activeCell="AB14" sqref="AB14"/>
    </sheetView>
  </sheetViews>
  <sheetFormatPr defaultColWidth="8.90625" defaultRowHeight="14.5"/>
  <cols>
    <col min="1" max="2" width="11.54296875" style="6" bestFit="1" customWidth="1"/>
    <col min="3" max="3" width="16.36328125" style="6" bestFit="1" customWidth="1"/>
    <col min="4" max="5" width="5" style="6" bestFit="1" customWidth="1"/>
    <col min="6" max="14" width="7.54296875" style="6" bestFit="1" customWidth="1"/>
    <col min="15" max="35" width="6.6328125" style="6" bestFit="1" customWidth="1"/>
    <col min="36" max="37" width="6.54296875" style="6" bestFit="1" customWidth="1"/>
    <col min="38" max="47" width="5.08984375" style="6" bestFit="1" customWidth="1"/>
    <col min="48" max="54" width="5" style="6" bestFit="1" customWidth="1"/>
    <col min="55" max="16384" width="8.90625" style="6"/>
  </cols>
  <sheetData>
    <row r="1" spans="1:54">
      <c r="A1" s="385" t="s">
        <v>162</v>
      </c>
      <c r="B1" s="385" t="s">
        <v>5</v>
      </c>
      <c r="C1" s="388">
        <v>44531</v>
      </c>
      <c r="D1" s="385">
        <v>2019</v>
      </c>
      <c r="E1" s="385">
        <f t="shared" ref="E1:BB1" si="0">D1+1</f>
        <v>2020</v>
      </c>
      <c r="F1" s="385">
        <f t="shared" si="0"/>
        <v>2021</v>
      </c>
      <c r="G1" s="385">
        <f t="shared" si="0"/>
        <v>2022</v>
      </c>
      <c r="H1" s="385">
        <f t="shared" si="0"/>
        <v>2023</v>
      </c>
      <c r="I1" s="385">
        <f t="shared" si="0"/>
        <v>2024</v>
      </c>
      <c r="J1" s="385">
        <f t="shared" si="0"/>
        <v>2025</v>
      </c>
      <c r="K1" s="385">
        <f t="shared" si="0"/>
        <v>2026</v>
      </c>
      <c r="L1" s="385">
        <f t="shared" si="0"/>
        <v>2027</v>
      </c>
      <c r="M1" s="385">
        <f t="shared" si="0"/>
        <v>2028</v>
      </c>
      <c r="N1" s="385">
        <f t="shared" si="0"/>
        <v>2029</v>
      </c>
      <c r="O1" s="385">
        <f t="shared" si="0"/>
        <v>2030</v>
      </c>
      <c r="P1" s="385">
        <f t="shared" si="0"/>
        <v>2031</v>
      </c>
      <c r="Q1" s="385">
        <f t="shared" si="0"/>
        <v>2032</v>
      </c>
      <c r="R1" s="385">
        <f t="shared" si="0"/>
        <v>2033</v>
      </c>
      <c r="S1" s="385">
        <f t="shared" si="0"/>
        <v>2034</v>
      </c>
      <c r="T1" s="385">
        <f t="shared" si="0"/>
        <v>2035</v>
      </c>
      <c r="U1" s="385">
        <f t="shared" si="0"/>
        <v>2036</v>
      </c>
      <c r="V1" s="385">
        <f t="shared" si="0"/>
        <v>2037</v>
      </c>
      <c r="W1" s="385">
        <f t="shared" si="0"/>
        <v>2038</v>
      </c>
      <c r="X1" s="385">
        <f t="shared" si="0"/>
        <v>2039</v>
      </c>
      <c r="Y1" s="385">
        <f t="shared" si="0"/>
        <v>2040</v>
      </c>
      <c r="Z1" s="385">
        <f t="shared" si="0"/>
        <v>2041</v>
      </c>
      <c r="AA1" s="385">
        <f t="shared" si="0"/>
        <v>2042</v>
      </c>
      <c r="AB1" s="385">
        <f t="shared" si="0"/>
        <v>2043</v>
      </c>
      <c r="AC1" s="385">
        <f t="shared" si="0"/>
        <v>2044</v>
      </c>
      <c r="AD1" s="385">
        <f t="shared" si="0"/>
        <v>2045</v>
      </c>
      <c r="AE1" s="385">
        <f t="shared" si="0"/>
        <v>2046</v>
      </c>
      <c r="AF1" s="385">
        <f t="shared" si="0"/>
        <v>2047</v>
      </c>
      <c r="AG1" s="385">
        <f t="shared" si="0"/>
        <v>2048</v>
      </c>
      <c r="AH1" s="385">
        <f t="shared" si="0"/>
        <v>2049</v>
      </c>
      <c r="AI1" s="385">
        <f t="shared" si="0"/>
        <v>2050</v>
      </c>
      <c r="AJ1" s="385">
        <f t="shared" si="0"/>
        <v>2051</v>
      </c>
      <c r="AK1" s="385">
        <f t="shared" si="0"/>
        <v>2052</v>
      </c>
      <c r="AL1" s="385">
        <f t="shared" si="0"/>
        <v>2053</v>
      </c>
      <c r="AM1" s="385">
        <f t="shared" si="0"/>
        <v>2054</v>
      </c>
      <c r="AN1" s="385">
        <f t="shared" si="0"/>
        <v>2055</v>
      </c>
      <c r="AO1" s="385">
        <f t="shared" si="0"/>
        <v>2056</v>
      </c>
      <c r="AP1" s="385">
        <f t="shared" si="0"/>
        <v>2057</v>
      </c>
      <c r="AQ1" s="385">
        <f t="shared" si="0"/>
        <v>2058</v>
      </c>
      <c r="AR1" s="385">
        <f t="shared" si="0"/>
        <v>2059</v>
      </c>
      <c r="AS1" s="385">
        <f t="shared" si="0"/>
        <v>2060</v>
      </c>
      <c r="AT1" s="385">
        <f t="shared" si="0"/>
        <v>2061</v>
      </c>
      <c r="AU1" s="385">
        <f t="shared" si="0"/>
        <v>2062</v>
      </c>
      <c r="AV1" s="385">
        <f t="shared" si="0"/>
        <v>2063</v>
      </c>
      <c r="AW1" s="385">
        <f t="shared" si="0"/>
        <v>2064</v>
      </c>
      <c r="AX1" s="385">
        <f t="shared" si="0"/>
        <v>2065</v>
      </c>
      <c r="AY1" s="385">
        <f t="shared" si="0"/>
        <v>2066</v>
      </c>
      <c r="AZ1" s="385">
        <f t="shared" si="0"/>
        <v>2067</v>
      </c>
      <c r="BA1" s="385">
        <f t="shared" si="0"/>
        <v>2068</v>
      </c>
      <c r="BB1" s="385">
        <f t="shared" si="0"/>
        <v>2069</v>
      </c>
    </row>
    <row r="2" spans="1:54">
      <c r="A2" s="24">
        <f>NPV('Financial Information'!$B$5,$E2:$AM2)*(1+'Financial Information'!$B$5)</f>
        <v>102171.4837434333</v>
      </c>
      <c r="B2" s="24">
        <f>NPV('Financial Information'!$B$5,$E2:$BB2)*(1+'Financial Information'!$B$5)</f>
        <v>102171.4837434333</v>
      </c>
      <c r="C2" s="6" t="s">
        <v>0</v>
      </c>
      <c r="D2" s="15">
        <v>0</v>
      </c>
      <c r="E2" s="15">
        <v>0</v>
      </c>
      <c r="F2" s="15">
        <v>0</v>
      </c>
      <c r="G2" s="52">
        <v>13539.021114440047</v>
      </c>
      <c r="H2" s="52">
        <v>12781.123012824763</v>
      </c>
      <c r="I2" s="52">
        <v>12029.77218064611</v>
      </c>
      <c r="J2" s="52">
        <v>11466.775764919728</v>
      </c>
      <c r="K2" s="52">
        <v>9681.0158122939829</v>
      </c>
      <c r="L2" s="52">
        <v>9249.3401530591964</v>
      </c>
      <c r="M2" s="52">
        <v>8921.584222923424</v>
      </c>
      <c r="N2" s="52">
        <v>8647.5459741561717</v>
      </c>
      <c r="O2" s="52">
        <v>8374.1044400573664</v>
      </c>
      <c r="P2" s="52">
        <v>8108.5694889344813</v>
      </c>
      <c r="Q2" s="52">
        <v>7839.6643258963868</v>
      </c>
      <c r="R2" s="52">
        <v>7566.6252497508776</v>
      </c>
      <c r="S2" s="52">
        <v>7294.0255722357651</v>
      </c>
      <c r="T2" s="52">
        <v>7021.6624261402631</v>
      </c>
      <c r="U2" s="52">
        <v>6758.0516950696001</v>
      </c>
      <c r="V2" s="52">
        <v>6490.2383242363339</v>
      </c>
      <c r="W2" s="52">
        <v>6217.3198537732205</v>
      </c>
      <c r="X2" s="52">
        <v>5944.5518711689947</v>
      </c>
      <c r="Y2" s="52">
        <v>5671.7203235692814</v>
      </c>
      <c r="Z2" s="52">
        <v>5406.2307881830129</v>
      </c>
      <c r="AA2" s="52">
        <v>5137.4471773009718</v>
      </c>
      <c r="AB2" s="52">
        <v>4865.1821060283564</v>
      </c>
      <c r="AC2" s="52">
        <v>4593.3985979024865</v>
      </c>
      <c r="AD2" s="52">
        <v>4321.3218211324629</v>
      </c>
      <c r="AE2" s="52">
        <v>4056.3840951893599</v>
      </c>
      <c r="AF2" s="52">
        <v>3787.3585622019873</v>
      </c>
      <c r="AG2" s="52">
        <v>3513.484570015095</v>
      </c>
      <c r="AH2" s="52">
        <v>3239.3633640096268</v>
      </c>
      <c r="AI2" s="52">
        <v>2964.8494044153981</v>
      </c>
      <c r="AJ2" s="52">
        <v>4546.6698603486384</v>
      </c>
      <c r="AK2" s="52">
        <v>-7.2711592060583878E-13</v>
      </c>
      <c r="AL2" s="52">
        <v>-7.3210143270330262E-13</v>
      </c>
      <c r="AM2" s="52">
        <v>-7.3210143270330262E-13</v>
      </c>
      <c r="AN2" s="52">
        <v>-7.3210143270330262E-13</v>
      </c>
      <c r="AO2" s="52">
        <v>-7.3210143270330262E-13</v>
      </c>
      <c r="AP2" s="52">
        <v>-7.3210143270330262E-13</v>
      </c>
      <c r="AQ2" s="52">
        <v>-7.3210143270330262E-13</v>
      </c>
      <c r="AR2" s="52">
        <v>-7.3210143270330262E-13</v>
      </c>
      <c r="AS2" s="52">
        <v>-7.3210143270330262E-13</v>
      </c>
      <c r="AT2" s="52">
        <v>-7.3210143270330262E-13</v>
      </c>
      <c r="AU2" s="52">
        <v>0</v>
      </c>
      <c r="AV2" s="52">
        <v>0</v>
      </c>
      <c r="AW2" s="52">
        <v>0</v>
      </c>
      <c r="AX2" s="52">
        <v>0</v>
      </c>
      <c r="AY2" s="52">
        <v>0</v>
      </c>
      <c r="AZ2" s="52">
        <v>0</v>
      </c>
      <c r="BA2" s="52">
        <v>0</v>
      </c>
      <c r="BB2" s="52">
        <v>0</v>
      </c>
    </row>
    <row r="3" spans="1:54">
      <c r="A3" s="24">
        <f>NPV('Financial Information'!$B$5,$E3:$AM3)*(1+'Financial Information'!$B$5)</f>
        <v>4164.1306715229357</v>
      </c>
      <c r="B3" s="24">
        <f>NPV('Financial Information'!$B$5,$E3:$BB3)*(1+'Financial Information'!$B$5)</f>
        <v>4164.1306715229357</v>
      </c>
      <c r="C3" s="6" t="s">
        <v>1</v>
      </c>
      <c r="D3" s="15">
        <v>0</v>
      </c>
      <c r="E3" s="15">
        <v>0</v>
      </c>
      <c r="F3" s="15">
        <v>0</v>
      </c>
      <c r="G3" s="52">
        <v>370.44434293442902</v>
      </c>
      <c r="H3" s="52">
        <v>361.32534570174232</v>
      </c>
      <c r="I3" s="52">
        <v>355.2460142132847</v>
      </c>
      <c r="J3" s="52">
        <v>346.12701698059806</v>
      </c>
      <c r="K3" s="52">
        <v>337.00801974791148</v>
      </c>
      <c r="L3" s="52">
        <v>327.88902251522489</v>
      </c>
      <c r="M3" s="52">
        <v>318.77002528253831</v>
      </c>
      <c r="N3" s="52">
        <v>309.65102804985167</v>
      </c>
      <c r="O3" s="52">
        <v>300.53203081716504</v>
      </c>
      <c r="P3" s="52">
        <v>288.37336784024956</v>
      </c>
      <c r="Q3" s="52">
        <v>279.25437060756298</v>
      </c>
      <c r="R3" s="52">
        <v>267.0957076306475</v>
      </c>
      <c r="S3" s="52">
        <v>254.93704465373204</v>
      </c>
      <c r="T3" s="52">
        <v>242.77838167681662</v>
      </c>
      <c r="U3" s="52">
        <v>230.61971869990111</v>
      </c>
      <c r="V3" s="52">
        <v>218.46105572298561</v>
      </c>
      <c r="W3" s="52">
        <v>206.30239274607018</v>
      </c>
      <c r="X3" s="52">
        <v>665.2919201246292</v>
      </c>
      <c r="Y3" s="52">
        <v>589.30027651890759</v>
      </c>
      <c r="Z3" s="52">
        <v>528.50696163433008</v>
      </c>
      <c r="AA3" s="52">
        <v>528.50696163433008</v>
      </c>
      <c r="AB3" s="52">
        <v>467.71364674975285</v>
      </c>
      <c r="AC3" s="52">
        <v>467.71364674975285</v>
      </c>
      <c r="AD3" s="52">
        <v>422.11866058631989</v>
      </c>
      <c r="AE3" s="52">
        <v>422.11866058631989</v>
      </c>
      <c r="AF3" s="52">
        <v>391.72200314403113</v>
      </c>
      <c r="AG3" s="52">
        <v>376.52367442288681</v>
      </c>
      <c r="AH3" s="52">
        <v>376.52367442288681</v>
      </c>
      <c r="AI3" s="52">
        <v>376.52367442288681</v>
      </c>
      <c r="AJ3" s="52">
        <v>296.90417581716508</v>
      </c>
      <c r="AK3" s="52">
        <v>0</v>
      </c>
      <c r="AL3" s="52">
        <v>0</v>
      </c>
      <c r="AM3" s="52">
        <v>0</v>
      </c>
      <c r="AN3" s="52">
        <v>0</v>
      </c>
      <c r="AO3" s="52">
        <v>0</v>
      </c>
      <c r="AP3" s="52">
        <v>0</v>
      </c>
      <c r="AQ3" s="52">
        <v>0</v>
      </c>
      <c r="AR3" s="52">
        <v>0</v>
      </c>
      <c r="AS3" s="52">
        <v>0</v>
      </c>
      <c r="AT3" s="52">
        <v>0</v>
      </c>
      <c r="AU3" s="52">
        <v>0</v>
      </c>
      <c r="AV3" s="52">
        <v>0</v>
      </c>
      <c r="AW3" s="52">
        <v>0</v>
      </c>
      <c r="AX3" s="52">
        <v>0</v>
      </c>
      <c r="AY3" s="52">
        <v>0</v>
      </c>
      <c r="AZ3" s="52">
        <v>0</v>
      </c>
      <c r="BA3" s="52">
        <v>0</v>
      </c>
      <c r="BB3" s="52">
        <v>0</v>
      </c>
    </row>
    <row r="4" spans="1:54">
      <c r="A4" s="24">
        <f>NPV('Financial Information'!$B$5,$E4:$AM4)*(1+'Financial Information'!$B$5)</f>
        <v>2206.106596758847</v>
      </c>
      <c r="B4" s="24">
        <f>NPV('Financial Information'!$B$5,$E4:$BB4)*(1+'Financial Information'!$B$5)</f>
        <v>2206.106596758847</v>
      </c>
      <c r="C4" s="6" t="s">
        <v>2</v>
      </c>
      <c r="D4" s="15">
        <v>0</v>
      </c>
      <c r="E4" s="15">
        <v>0</v>
      </c>
      <c r="F4" s="15">
        <v>0</v>
      </c>
      <c r="G4" s="52">
        <v>132.24069599999999</v>
      </c>
      <c r="H4" s="52">
        <v>136.20791688</v>
      </c>
      <c r="I4" s="52">
        <v>140.29415438639998</v>
      </c>
      <c r="J4" s="52">
        <v>144.50297901799198</v>
      </c>
      <c r="K4" s="52">
        <v>148.97515536158974</v>
      </c>
      <c r="L4" s="52">
        <v>153.51412387582999</v>
      </c>
      <c r="M4" s="52">
        <v>158.20188384094473</v>
      </c>
      <c r="N4" s="52">
        <v>163.04295093424372</v>
      </c>
      <c r="O4" s="52">
        <v>168.04188243702941</v>
      </c>
      <c r="P4" s="52">
        <v>173.36219996357963</v>
      </c>
      <c r="Q4" s="52">
        <v>178.69547439779072</v>
      </c>
      <c r="R4" s="52">
        <v>184.20069848356405</v>
      </c>
      <c r="S4" s="52">
        <v>189.88262816583452</v>
      </c>
      <c r="T4" s="52">
        <v>195.74608226628587</v>
      </c>
      <c r="U4" s="52">
        <v>202.00781933231974</v>
      </c>
      <c r="V4" s="52">
        <v>208.25542955705762</v>
      </c>
      <c r="W4" s="52">
        <v>214.69967870973983</v>
      </c>
      <c r="X4" s="52">
        <v>221.34573861206519</v>
      </c>
      <c r="Y4" s="52">
        <v>228.19889721782326</v>
      </c>
      <c r="Z4" s="52">
        <v>235.47814887804819</v>
      </c>
      <c r="AA4" s="52">
        <v>242.76830722852984</v>
      </c>
      <c r="AB4" s="52">
        <v>250.282451752817</v>
      </c>
      <c r="AC4" s="52">
        <v>258.02647710907007</v>
      </c>
      <c r="AD4" s="52">
        <v>266.00646369807168</v>
      </c>
      <c r="AE4" s="52">
        <v>274.47628605932397</v>
      </c>
      <c r="AF4" s="52">
        <v>282.95467720423579</v>
      </c>
      <c r="AG4" s="52">
        <v>291.68874728812392</v>
      </c>
      <c r="AH4" s="52">
        <v>300.6854637219223</v>
      </c>
      <c r="AI4" s="52">
        <v>309.95204633732692</v>
      </c>
      <c r="AJ4" s="52">
        <v>319.78300876491176</v>
      </c>
      <c r="AK4" s="52">
        <v>0</v>
      </c>
      <c r="AL4" s="52">
        <v>0</v>
      </c>
      <c r="AM4" s="52">
        <v>0</v>
      </c>
      <c r="AN4" s="52">
        <v>0</v>
      </c>
      <c r="AO4" s="52">
        <v>0</v>
      </c>
      <c r="AP4" s="52">
        <v>0</v>
      </c>
      <c r="AQ4" s="52">
        <v>0</v>
      </c>
      <c r="AR4" s="52">
        <v>0</v>
      </c>
      <c r="AS4" s="52">
        <v>0</v>
      </c>
      <c r="AT4" s="52">
        <v>0</v>
      </c>
      <c r="AU4" s="52">
        <v>0</v>
      </c>
      <c r="AV4" s="52">
        <v>0</v>
      </c>
      <c r="AW4" s="52">
        <v>0</v>
      </c>
      <c r="AX4" s="52">
        <v>0</v>
      </c>
      <c r="AY4" s="52">
        <v>0</v>
      </c>
      <c r="AZ4" s="52">
        <v>0</v>
      </c>
      <c r="BA4" s="52">
        <v>0</v>
      </c>
      <c r="BB4" s="52">
        <v>0</v>
      </c>
    </row>
    <row r="5" spans="1:54">
      <c r="A5" s="13">
        <f>NPV('Financial Information'!$B$5,$E5:$AM5)*(1+'Financial Information'!$B$5)</f>
        <v>0</v>
      </c>
      <c r="B5" s="13">
        <f>NPV('Financial Information'!$B$5,$E5:$BB5)*(1+'Financial Information'!$B$5)</f>
        <v>0</v>
      </c>
      <c r="C5" s="1" t="s">
        <v>3</v>
      </c>
      <c r="D5" s="17">
        <v>0</v>
      </c>
      <c r="E5" s="17">
        <v>0</v>
      </c>
      <c r="F5" s="17">
        <v>0</v>
      </c>
      <c r="G5" s="376">
        <v>0</v>
      </c>
      <c r="H5" s="376">
        <v>0</v>
      </c>
      <c r="I5" s="376">
        <v>0</v>
      </c>
      <c r="J5" s="376">
        <v>0</v>
      </c>
      <c r="K5" s="376">
        <v>0</v>
      </c>
      <c r="L5" s="376">
        <v>0</v>
      </c>
      <c r="M5" s="376">
        <v>0</v>
      </c>
      <c r="N5" s="376">
        <v>0</v>
      </c>
      <c r="O5" s="376">
        <v>0</v>
      </c>
      <c r="P5" s="376">
        <v>0</v>
      </c>
      <c r="Q5" s="376">
        <v>0</v>
      </c>
      <c r="R5" s="376">
        <v>0</v>
      </c>
      <c r="S5" s="376">
        <v>0</v>
      </c>
      <c r="T5" s="376">
        <v>0</v>
      </c>
      <c r="U5" s="376">
        <v>0</v>
      </c>
      <c r="V5" s="376">
        <v>0</v>
      </c>
      <c r="W5" s="376">
        <v>0</v>
      </c>
      <c r="X5" s="376">
        <v>0</v>
      </c>
      <c r="Y5" s="376">
        <v>0</v>
      </c>
      <c r="Z5" s="376">
        <v>0</v>
      </c>
      <c r="AA5" s="376">
        <v>0</v>
      </c>
      <c r="AB5" s="376">
        <v>0</v>
      </c>
      <c r="AC5" s="376">
        <v>0</v>
      </c>
      <c r="AD5" s="376">
        <v>0</v>
      </c>
      <c r="AE5" s="376">
        <v>0</v>
      </c>
      <c r="AF5" s="376">
        <v>0</v>
      </c>
      <c r="AG5" s="376">
        <v>0</v>
      </c>
      <c r="AH5" s="376">
        <v>0</v>
      </c>
      <c r="AI5" s="376">
        <v>0</v>
      </c>
      <c r="AJ5" s="376">
        <v>0</v>
      </c>
      <c r="AK5" s="376">
        <v>0</v>
      </c>
      <c r="AL5" s="376">
        <v>0</v>
      </c>
      <c r="AM5" s="376">
        <v>0</v>
      </c>
      <c r="AN5" s="376">
        <v>0</v>
      </c>
      <c r="AO5" s="376">
        <v>0</v>
      </c>
      <c r="AP5" s="376">
        <v>0</v>
      </c>
      <c r="AQ5" s="376">
        <v>0</v>
      </c>
      <c r="AR5" s="376">
        <v>0</v>
      </c>
      <c r="AS5" s="376">
        <v>0</v>
      </c>
      <c r="AT5" s="376">
        <v>0</v>
      </c>
      <c r="AU5" s="376">
        <v>0</v>
      </c>
      <c r="AV5" s="376">
        <v>0</v>
      </c>
      <c r="AW5" s="376">
        <v>0</v>
      </c>
      <c r="AX5" s="376">
        <v>0</v>
      </c>
      <c r="AY5" s="376">
        <v>0</v>
      </c>
      <c r="AZ5" s="376">
        <v>0</v>
      </c>
      <c r="BA5" s="376">
        <v>0</v>
      </c>
      <c r="BB5" s="376">
        <v>0</v>
      </c>
    </row>
    <row r="6" spans="1:54">
      <c r="A6" s="24">
        <f>NPV('Financial Information'!$B$5,$E6:$AM6)*(1+'Financial Information'!$B$5)</f>
        <v>10132.20679393088</v>
      </c>
      <c r="B6" s="24">
        <f>NPV('Financial Information'!$B$5,$E6:$BB6)*(1+'Financial Information'!$B$5)</f>
        <v>10132.20679393088</v>
      </c>
      <c r="C6" s="6" t="s">
        <v>4</v>
      </c>
      <c r="D6" s="15">
        <v>0</v>
      </c>
      <c r="E6" s="15">
        <v>0</v>
      </c>
      <c r="F6" s="15">
        <v>0</v>
      </c>
      <c r="G6" s="52">
        <v>625</v>
      </c>
      <c r="H6" s="52">
        <v>634</v>
      </c>
      <c r="I6" s="52">
        <v>649</v>
      </c>
      <c r="J6" s="52">
        <v>664</v>
      </c>
      <c r="K6" s="52">
        <v>685</v>
      </c>
      <c r="L6" s="52">
        <v>752</v>
      </c>
      <c r="M6" s="52">
        <v>770</v>
      </c>
      <c r="N6" s="52">
        <v>788</v>
      </c>
      <c r="O6" s="52">
        <v>807</v>
      </c>
      <c r="P6" s="52">
        <v>831</v>
      </c>
      <c r="Q6" s="52">
        <v>845</v>
      </c>
      <c r="R6" s="52">
        <v>865</v>
      </c>
      <c r="S6" s="52">
        <v>886</v>
      </c>
      <c r="T6" s="52">
        <v>949</v>
      </c>
      <c r="U6" s="52">
        <v>933</v>
      </c>
      <c r="V6" s="52">
        <v>950</v>
      </c>
      <c r="W6" s="52">
        <v>972</v>
      </c>
      <c r="X6" s="52">
        <v>995</v>
      </c>
      <c r="Y6" s="52">
        <v>1019</v>
      </c>
      <c r="Z6" s="52">
        <v>1048</v>
      </c>
      <c r="AA6" s="52">
        <v>1068</v>
      </c>
      <c r="AB6" s="52">
        <v>1094</v>
      </c>
      <c r="AC6" s="52">
        <v>1120</v>
      </c>
      <c r="AD6" s="52">
        <v>1147</v>
      </c>
      <c r="AE6" s="52">
        <v>1180</v>
      </c>
      <c r="AF6" s="52">
        <v>1204</v>
      </c>
      <c r="AG6" s="52">
        <v>1233</v>
      </c>
      <c r="AH6" s="52">
        <v>1263</v>
      </c>
      <c r="AI6" s="52">
        <v>1294</v>
      </c>
      <c r="AJ6" s="52">
        <v>1331</v>
      </c>
      <c r="AK6" s="52">
        <v>0</v>
      </c>
      <c r="AL6" s="52">
        <v>0</v>
      </c>
      <c r="AM6" s="52">
        <v>0</v>
      </c>
      <c r="AN6" s="52">
        <v>0</v>
      </c>
      <c r="AO6" s="52">
        <v>0</v>
      </c>
      <c r="AP6" s="52">
        <v>0</v>
      </c>
      <c r="AQ6" s="52">
        <v>0</v>
      </c>
      <c r="AR6" s="52">
        <v>0</v>
      </c>
      <c r="AS6" s="52">
        <v>0</v>
      </c>
      <c r="AT6" s="52">
        <v>0</v>
      </c>
      <c r="AU6" s="52">
        <v>0</v>
      </c>
      <c r="AV6" s="52">
        <v>0</v>
      </c>
      <c r="AW6" s="52">
        <v>0</v>
      </c>
      <c r="AX6" s="52">
        <v>0</v>
      </c>
      <c r="AY6" s="52">
        <v>0</v>
      </c>
      <c r="AZ6" s="52">
        <v>0</v>
      </c>
      <c r="BA6" s="52">
        <v>0</v>
      </c>
      <c r="BB6" s="52">
        <v>0</v>
      </c>
    </row>
    <row r="7" spans="1:54">
      <c r="A7" s="24">
        <f>NPV('Financial Information'!$B$5,$E7:$AM7)*(1+'Financial Information'!$B$5)</f>
        <v>2908.1176013437666</v>
      </c>
      <c r="B7" s="24">
        <f>NPV('Financial Information'!$B$5,$E7:$BB7)*(1+'Financial Information'!$B$5)</f>
        <v>2956.3159491664342</v>
      </c>
      <c r="C7" s="6" t="s">
        <v>38</v>
      </c>
      <c r="D7" s="15">
        <v>0</v>
      </c>
      <c r="E7" s="15">
        <v>0</v>
      </c>
      <c r="F7" s="52">
        <v>0</v>
      </c>
      <c r="G7" s="15">
        <v>319.09472147278018</v>
      </c>
      <c r="H7" s="15">
        <v>310.71152686985295</v>
      </c>
      <c r="I7" s="15">
        <v>301.43235758460048</v>
      </c>
      <c r="J7" s="15">
        <v>292.47218450899692</v>
      </c>
      <c r="K7" s="15">
        <v>283.80712106777054</v>
      </c>
      <c r="L7" s="15">
        <v>275.41511255992179</v>
      </c>
      <c r="M7" s="15">
        <v>267.27563914684174</v>
      </c>
      <c r="N7" s="15">
        <v>259.36973608572987</v>
      </c>
      <c r="O7" s="15">
        <v>251.59426029947304</v>
      </c>
      <c r="P7" s="15">
        <v>243.83747045727213</v>
      </c>
      <c r="Q7" s="15">
        <v>236.08068061507132</v>
      </c>
      <c r="R7" s="15">
        <v>228.32389077287036</v>
      </c>
      <c r="S7" s="15">
        <v>220.56710093066948</v>
      </c>
      <c r="T7" s="15">
        <v>212.81031108846861</v>
      </c>
      <c r="U7" s="15">
        <v>205.05352124626774</v>
      </c>
      <c r="V7" s="15">
        <v>197.2967314040668</v>
      </c>
      <c r="W7" s="15">
        <v>189.53994156186593</v>
      </c>
      <c r="X7" s="15">
        <v>181.78315171966506</v>
      </c>
      <c r="Y7" s="15">
        <v>174.02636187746415</v>
      </c>
      <c r="Z7" s="15">
        <v>166.26957203526325</v>
      </c>
      <c r="AA7" s="15">
        <v>159.19569830994595</v>
      </c>
      <c r="AB7" s="15">
        <v>153.48735071525078</v>
      </c>
      <c r="AC7" s="15">
        <v>148.46191923743925</v>
      </c>
      <c r="AD7" s="15">
        <v>143.43648775962765</v>
      </c>
      <c r="AE7" s="15">
        <v>138.41105628181609</v>
      </c>
      <c r="AF7" s="15">
        <v>133.38562480400452</v>
      </c>
      <c r="AG7" s="15">
        <v>128.36019332619296</v>
      </c>
      <c r="AH7" s="15">
        <v>123.33476184838139</v>
      </c>
      <c r="AI7" s="15">
        <v>118.30933037056984</v>
      </c>
      <c r="AJ7" s="15">
        <v>113.28389889275826</v>
      </c>
      <c r="AK7" s="15">
        <v>108.25846741494669</v>
      </c>
      <c r="AL7" s="15">
        <v>103.23303593713516</v>
      </c>
      <c r="AM7" s="15">
        <v>98.207604459323591</v>
      </c>
      <c r="AN7" s="15">
        <v>93.182172981512053</v>
      </c>
      <c r="AO7" s="15">
        <v>88.156741503700516</v>
      </c>
      <c r="AP7" s="15">
        <v>83.131310025888965</v>
      </c>
      <c r="AQ7" s="15">
        <v>78.105878548077413</v>
      </c>
      <c r="AR7" s="15">
        <v>73.080447070265876</v>
      </c>
      <c r="AS7" s="15">
        <v>68.055015592454311</v>
      </c>
      <c r="AT7" s="15">
        <v>70.419233310339763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</row>
    <row r="8" spans="1:54">
      <c r="A8" s="24">
        <f>NPV('Financial Information'!$B$5,$E8:$AM8)*(1+'Financial Information'!$B$5)</f>
        <v>332.17224186838655</v>
      </c>
      <c r="B8" s="24">
        <f>NPV('Financial Information'!$B$5,$E8:$BB8)*(1+'Financial Information'!$B$5)</f>
        <v>336.97606145310993</v>
      </c>
      <c r="C8" s="6" t="s">
        <v>39</v>
      </c>
      <c r="D8" s="15">
        <v>0</v>
      </c>
      <c r="E8" s="15">
        <v>0</v>
      </c>
      <c r="F8" s="52">
        <v>0</v>
      </c>
      <c r="G8" s="15">
        <v>40</v>
      </c>
      <c r="H8" s="15">
        <v>39</v>
      </c>
      <c r="I8" s="15">
        <v>38</v>
      </c>
      <c r="J8" s="15">
        <v>37</v>
      </c>
      <c r="K8" s="15">
        <v>36</v>
      </c>
      <c r="L8" s="15">
        <v>35</v>
      </c>
      <c r="M8" s="15">
        <v>33</v>
      </c>
      <c r="N8" s="15">
        <v>32</v>
      </c>
      <c r="O8" s="15">
        <v>31</v>
      </c>
      <c r="P8" s="15">
        <v>29</v>
      </c>
      <c r="Q8" s="15">
        <v>28</v>
      </c>
      <c r="R8" s="15">
        <v>26</v>
      </c>
      <c r="S8" s="15">
        <v>25</v>
      </c>
      <c r="T8" s="15">
        <v>23</v>
      </c>
      <c r="U8" s="15">
        <v>21</v>
      </c>
      <c r="V8" s="15">
        <v>20</v>
      </c>
      <c r="W8" s="15">
        <v>18</v>
      </c>
      <c r="X8" s="15">
        <v>16</v>
      </c>
      <c r="Y8" s="15">
        <v>14</v>
      </c>
      <c r="Z8" s="15">
        <v>12</v>
      </c>
      <c r="AA8" s="15">
        <v>12</v>
      </c>
      <c r="AB8" s="15">
        <v>11</v>
      </c>
      <c r="AC8" s="15">
        <v>11</v>
      </c>
      <c r="AD8" s="15">
        <v>9</v>
      </c>
      <c r="AE8" s="15">
        <v>9</v>
      </c>
      <c r="AF8" s="15">
        <v>9</v>
      </c>
      <c r="AG8" s="15">
        <v>8</v>
      </c>
      <c r="AH8" s="15">
        <v>8</v>
      </c>
      <c r="AI8" s="15">
        <v>8</v>
      </c>
      <c r="AJ8" s="15">
        <v>8</v>
      </c>
      <c r="AK8" s="15">
        <v>8</v>
      </c>
      <c r="AL8" s="15">
        <v>8</v>
      </c>
      <c r="AM8" s="15">
        <v>8</v>
      </c>
      <c r="AN8" s="15">
        <v>8</v>
      </c>
      <c r="AO8" s="15">
        <v>8</v>
      </c>
      <c r="AP8" s="15">
        <v>8</v>
      </c>
      <c r="AQ8" s="15">
        <v>8</v>
      </c>
      <c r="AR8" s="15">
        <v>8</v>
      </c>
      <c r="AS8" s="15">
        <v>8</v>
      </c>
      <c r="AT8" s="15">
        <v>8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</row>
    <row r="9" spans="1:54">
      <c r="A9" s="386">
        <f>NPV('Financial Information'!$B$5,$E9:$AM9)*(1+'Financial Information'!$B$5)</f>
        <v>58.750816760322678</v>
      </c>
      <c r="B9" s="386">
        <f>NPV('Financial Information'!$B$5,$E9:$BB9)*(1+'Financial Information'!$B$5)</f>
        <v>64.583721239101607</v>
      </c>
      <c r="C9" s="12" t="s">
        <v>40</v>
      </c>
      <c r="D9" s="389">
        <v>0</v>
      </c>
      <c r="E9" s="389">
        <v>0</v>
      </c>
      <c r="F9" s="389">
        <v>0</v>
      </c>
      <c r="G9" s="389">
        <v>3.3714239999999998</v>
      </c>
      <c r="H9" s="389">
        <v>3.4725667199999997</v>
      </c>
      <c r="I9" s="389">
        <v>3.5767437215999998</v>
      </c>
      <c r="J9" s="389">
        <v>3.6840460332479998</v>
      </c>
      <c r="K9" s="389">
        <v>3.7945674142454395</v>
      </c>
      <c r="L9" s="389">
        <v>3.9084044366728024</v>
      </c>
      <c r="M9" s="389">
        <v>4.0256565697729867</v>
      </c>
      <c r="N9" s="389">
        <v>4.1464262668661762</v>
      </c>
      <c r="O9" s="389">
        <v>4.2708190548721614</v>
      </c>
      <c r="P9" s="389">
        <v>4.3989436265183262</v>
      </c>
      <c r="Q9" s="389">
        <v>4.5309119353138758</v>
      </c>
      <c r="R9" s="389">
        <v>4.6668392933732923</v>
      </c>
      <c r="S9" s="389">
        <v>4.8068444721744905</v>
      </c>
      <c r="T9" s="389">
        <v>4.951049806339725</v>
      </c>
      <c r="U9" s="389">
        <v>5.0995813005299171</v>
      </c>
      <c r="V9" s="389">
        <v>5.2525687395458149</v>
      </c>
      <c r="W9" s="389">
        <v>5.4101458017321891</v>
      </c>
      <c r="X9" s="389">
        <v>5.5724501757841542</v>
      </c>
      <c r="Y9" s="389">
        <v>5.7396236810576795</v>
      </c>
      <c r="Z9" s="389">
        <v>5.9118123914894092</v>
      </c>
      <c r="AA9" s="389">
        <v>6.0891667632340916</v>
      </c>
      <c r="AB9" s="389">
        <v>6.2718417661311134</v>
      </c>
      <c r="AC9" s="389">
        <v>6.4599970191150478</v>
      </c>
      <c r="AD9" s="389">
        <v>6.6537969296884993</v>
      </c>
      <c r="AE9" s="389">
        <v>6.8534108375791529</v>
      </c>
      <c r="AF9" s="389">
        <v>7.0590131627065276</v>
      </c>
      <c r="AG9" s="389">
        <v>7.2707835575877242</v>
      </c>
      <c r="AH9" s="389">
        <v>7.488907064315355</v>
      </c>
      <c r="AI9" s="389">
        <v>7.7135742762448158</v>
      </c>
      <c r="AJ9" s="389">
        <v>7.9449815045321595</v>
      </c>
      <c r="AK9" s="389">
        <v>8.1833309496681252</v>
      </c>
      <c r="AL9" s="389">
        <v>8.4288308781581698</v>
      </c>
      <c r="AM9" s="389">
        <v>8.6816958045029136</v>
      </c>
      <c r="AN9" s="389">
        <v>8.9421466786380002</v>
      </c>
      <c r="AO9" s="389">
        <v>9.2104110789971401</v>
      </c>
      <c r="AP9" s="389">
        <v>9.4867234113670555</v>
      </c>
      <c r="AQ9" s="389">
        <v>9.7713251137080661</v>
      </c>
      <c r="AR9" s="389">
        <v>10.064464867119307</v>
      </c>
      <c r="AS9" s="389">
        <v>10.366398813132886</v>
      </c>
      <c r="AT9" s="389">
        <v>10.677390777526874</v>
      </c>
      <c r="AU9" s="389">
        <v>0</v>
      </c>
      <c r="AV9" s="389">
        <v>0</v>
      </c>
      <c r="AW9" s="389">
        <v>0</v>
      </c>
      <c r="AX9" s="389">
        <v>0</v>
      </c>
      <c r="AY9" s="389">
        <v>0</v>
      </c>
      <c r="AZ9" s="389">
        <v>0</v>
      </c>
      <c r="BA9" s="389">
        <v>0</v>
      </c>
      <c r="BB9" s="389">
        <v>0</v>
      </c>
    </row>
    <row r="10" spans="1:54">
      <c r="A10" s="24">
        <f>SUM(A2:A9)</f>
        <v>121972.96846561844</v>
      </c>
      <c r="B10" s="24">
        <f>SUM(B2:B9)</f>
        <v>122031.80353750462</v>
      </c>
      <c r="D10" s="16">
        <f t="shared" ref="D10:BB10" si="1">SUM(D2:D9)</f>
        <v>0</v>
      </c>
      <c r="E10" s="16">
        <f t="shared" si="1"/>
        <v>0</v>
      </c>
      <c r="F10" s="16">
        <f t="shared" si="1"/>
        <v>0</v>
      </c>
      <c r="G10" s="16">
        <f t="shared" si="1"/>
        <v>15029.172298847257</v>
      </c>
      <c r="H10" s="16">
        <f t="shared" si="1"/>
        <v>14265.840368996356</v>
      </c>
      <c r="I10" s="16">
        <f t="shared" si="1"/>
        <v>13517.321450551995</v>
      </c>
      <c r="J10" s="16">
        <f t="shared" si="1"/>
        <v>12954.561991460563</v>
      </c>
      <c r="K10" s="16">
        <f t="shared" si="1"/>
        <v>11175.600675885498</v>
      </c>
      <c r="L10" s="16">
        <f t="shared" si="1"/>
        <v>10797.066816446846</v>
      </c>
      <c r="M10" s="16">
        <f t="shared" si="1"/>
        <v>10472.85742776352</v>
      </c>
      <c r="N10" s="16">
        <f t="shared" si="1"/>
        <v>10203.756115492863</v>
      </c>
      <c r="O10" s="16">
        <f t="shared" si="1"/>
        <v>9936.5434326659069</v>
      </c>
      <c r="P10" s="16">
        <f t="shared" si="1"/>
        <v>9678.5414708221015</v>
      </c>
      <c r="Q10" s="16">
        <f t="shared" si="1"/>
        <v>9411.2257634521266</v>
      </c>
      <c r="R10" s="16">
        <f t="shared" si="1"/>
        <v>9141.9123859313331</v>
      </c>
      <c r="S10" s="16">
        <f t="shared" si="1"/>
        <v>8875.2191904581759</v>
      </c>
      <c r="T10" s="16">
        <f t="shared" si="1"/>
        <v>8649.9482509781737</v>
      </c>
      <c r="U10" s="16">
        <f t="shared" si="1"/>
        <v>8354.8323356486198</v>
      </c>
      <c r="V10" s="16">
        <f t="shared" si="1"/>
        <v>8089.5041096599898</v>
      </c>
      <c r="W10" s="16">
        <f t="shared" si="1"/>
        <v>7823.272012592628</v>
      </c>
      <c r="X10" s="16">
        <f t="shared" si="1"/>
        <v>8029.5451318011392</v>
      </c>
      <c r="Y10" s="16">
        <f t="shared" si="1"/>
        <v>7701.9854828645339</v>
      </c>
      <c r="Z10" s="16">
        <f t="shared" si="1"/>
        <v>7402.3972831221436</v>
      </c>
      <c r="AA10" s="16">
        <f t="shared" si="1"/>
        <v>7154.0073112370119</v>
      </c>
      <c r="AB10" s="16">
        <f t="shared" si="1"/>
        <v>6847.9373970123079</v>
      </c>
      <c r="AC10" s="16">
        <f t="shared" si="1"/>
        <v>6605.0606380178633</v>
      </c>
      <c r="AD10" s="16">
        <f t="shared" si="1"/>
        <v>6315.5372301061698</v>
      </c>
      <c r="AE10" s="16">
        <f t="shared" si="1"/>
        <v>6087.2435089543978</v>
      </c>
      <c r="AF10" s="16">
        <f t="shared" si="1"/>
        <v>5815.4798805169657</v>
      </c>
      <c r="AG10" s="16">
        <f t="shared" si="1"/>
        <v>5558.3279686098858</v>
      </c>
      <c r="AH10" s="16">
        <f t="shared" si="1"/>
        <v>5318.3961710671329</v>
      </c>
      <c r="AI10" s="16">
        <f t="shared" si="1"/>
        <v>5079.3480298224267</v>
      </c>
      <c r="AJ10" s="16">
        <f t="shared" si="1"/>
        <v>6623.585925328005</v>
      </c>
      <c r="AK10" s="16">
        <f t="shared" si="1"/>
        <v>124.4417983646141</v>
      </c>
      <c r="AL10" s="16">
        <f t="shared" si="1"/>
        <v>119.66186681529258</v>
      </c>
      <c r="AM10" s="16">
        <f t="shared" si="1"/>
        <v>114.88930026382576</v>
      </c>
      <c r="AN10" s="16">
        <f t="shared" si="1"/>
        <v>110.12431966014931</v>
      </c>
      <c r="AO10" s="16">
        <f t="shared" si="1"/>
        <v>105.36715258269692</v>
      </c>
      <c r="AP10" s="16">
        <f t="shared" si="1"/>
        <v>100.61803343725528</v>
      </c>
      <c r="AQ10" s="16">
        <f t="shared" si="1"/>
        <v>95.877203661784733</v>
      </c>
      <c r="AR10" s="16">
        <f t="shared" si="1"/>
        <v>91.14491193738445</v>
      </c>
      <c r="AS10" s="16">
        <f t="shared" si="1"/>
        <v>86.421414405586461</v>
      </c>
      <c r="AT10" s="16">
        <f t="shared" si="1"/>
        <v>89.096624087865905</v>
      </c>
      <c r="AU10" s="16">
        <f t="shared" si="1"/>
        <v>0</v>
      </c>
      <c r="AV10" s="16">
        <f t="shared" si="1"/>
        <v>0</v>
      </c>
      <c r="AW10" s="16">
        <f t="shared" si="1"/>
        <v>0</v>
      </c>
      <c r="AX10" s="16">
        <f t="shared" si="1"/>
        <v>0</v>
      </c>
      <c r="AY10" s="16">
        <f t="shared" si="1"/>
        <v>0</v>
      </c>
      <c r="AZ10" s="16">
        <f t="shared" si="1"/>
        <v>0</v>
      </c>
      <c r="BA10" s="16">
        <f t="shared" si="1"/>
        <v>0</v>
      </c>
      <c r="BB10" s="16">
        <f t="shared" si="1"/>
        <v>0</v>
      </c>
    </row>
    <row r="11" spans="1:54">
      <c r="A11" s="2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54">
      <c r="A12" s="390"/>
      <c r="B12" s="6">
        <v>74.5</v>
      </c>
      <c r="C12" s="6" t="str">
        <f>C6&amp;" $/kw"</f>
        <v>O&amp;M $/kw</v>
      </c>
      <c r="D12" s="52">
        <v>0</v>
      </c>
      <c r="E12" s="25">
        <f>E6/$B$12</f>
        <v>0</v>
      </c>
      <c r="F12" s="25">
        <f t="shared" ref="F12:AK12" si="2">F6/$B$12</f>
        <v>0</v>
      </c>
      <c r="G12" s="25">
        <f t="shared" si="2"/>
        <v>8.3892617449664435</v>
      </c>
      <c r="H12" s="25">
        <f t="shared" si="2"/>
        <v>8.5100671140939603</v>
      </c>
      <c r="I12" s="25">
        <f t="shared" si="2"/>
        <v>8.7114093959731544</v>
      </c>
      <c r="J12" s="25">
        <f t="shared" si="2"/>
        <v>8.9127516778523486</v>
      </c>
      <c r="K12" s="25">
        <f t="shared" si="2"/>
        <v>9.1946308724832218</v>
      </c>
      <c r="L12" s="25">
        <f t="shared" si="2"/>
        <v>10.093959731543624</v>
      </c>
      <c r="M12" s="25">
        <f t="shared" si="2"/>
        <v>10.335570469798657</v>
      </c>
      <c r="N12" s="25">
        <f t="shared" si="2"/>
        <v>10.577181208053691</v>
      </c>
      <c r="O12" s="25">
        <f t="shared" si="2"/>
        <v>10.832214765100671</v>
      </c>
      <c r="P12" s="25">
        <f t="shared" si="2"/>
        <v>11.154362416107382</v>
      </c>
      <c r="Q12" s="25">
        <f t="shared" si="2"/>
        <v>11.342281879194632</v>
      </c>
      <c r="R12" s="25">
        <f t="shared" si="2"/>
        <v>11.610738255033556</v>
      </c>
      <c r="S12" s="25">
        <f t="shared" si="2"/>
        <v>11.89261744966443</v>
      </c>
      <c r="T12" s="25">
        <f t="shared" si="2"/>
        <v>12.738255033557047</v>
      </c>
      <c r="U12" s="25">
        <f t="shared" si="2"/>
        <v>12.523489932885907</v>
      </c>
      <c r="V12" s="25">
        <f t="shared" si="2"/>
        <v>12.751677852348994</v>
      </c>
      <c r="W12" s="25">
        <f t="shared" si="2"/>
        <v>13.046979865771812</v>
      </c>
      <c r="X12" s="25">
        <f t="shared" si="2"/>
        <v>13.355704697986576</v>
      </c>
      <c r="Y12" s="25">
        <f t="shared" si="2"/>
        <v>13.677852348993289</v>
      </c>
      <c r="Z12" s="25">
        <f t="shared" si="2"/>
        <v>14.067114093959731</v>
      </c>
      <c r="AA12" s="25">
        <f t="shared" si="2"/>
        <v>14.335570469798657</v>
      </c>
      <c r="AB12" s="25">
        <f t="shared" si="2"/>
        <v>14.684563758389261</v>
      </c>
      <c r="AC12" s="25">
        <f t="shared" si="2"/>
        <v>15.033557046979865</v>
      </c>
      <c r="AD12" s="25">
        <f t="shared" si="2"/>
        <v>15.395973154362416</v>
      </c>
      <c r="AE12" s="25">
        <f t="shared" si="2"/>
        <v>15.838926174496644</v>
      </c>
      <c r="AF12" s="25">
        <f t="shared" si="2"/>
        <v>16.161073825503355</v>
      </c>
      <c r="AG12" s="25">
        <f t="shared" si="2"/>
        <v>16.550335570469798</v>
      </c>
      <c r="AH12" s="25">
        <f t="shared" si="2"/>
        <v>16.953020134228186</v>
      </c>
      <c r="AI12" s="25">
        <f t="shared" si="2"/>
        <v>17.369127516778523</v>
      </c>
      <c r="AJ12" s="25">
        <f t="shared" si="2"/>
        <v>17.865771812080538</v>
      </c>
      <c r="AK12" s="25">
        <f t="shared" si="2"/>
        <v>0</v>
      </c>
    </row>
    <row r="13" spans="1:54">
      <c r="A13" s="390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</row>
    <row r="14" spans="1:54"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</row>
    <row r="15" spans="1:54">
      <c r="AI15" s="16"/>
    </row>
    <row r="16" spans="1:54">
      <c r="A16" s="24">
        <f>NPV('Financial Information'!$B$5,$E16:$AM16)*(1+'Financial Information'!$B$5)</f>
        <v>10132.20679393088</v>
      </c>
      <c r="B16" s="24">
        <f>NPV('Financial Information'!$B$5,$D16:$BB16)*(1+'Financial Information'!$B$5)</f>
        <v>9495.9763766924862</v>
      </c>
      <c r="C16" s="6" t="str">
        <f>C6</f>
        <v>O&amp;M</v>
      </c>
      <c r="D16" s="6">
        <v>0</v>
      </c>
      <c r="E16" s="16">
        <f>E6</f>
        <v>0</v>
      </c>
      <c r="F16" s="16">
        <f t="shared" ref="F16:BB16" si="3">F6</f>
        <v>0</v>
      </c>
      <c r="G16" s="16">
        <f t="shared" si="3"/>
        <v>625</v>
      </c>
      <c r="H16" s="16">
        <f t="shared" si="3"/>
        <v>634</v>
      </c>
      <c r="I16" s="16">
        <f t="shared" si="3"/>
        <v>649</v>
      </c>
      <c r="J16" s="16">
        <f t="shared" si="3"/>
        <v>664</v>
      </c>
      <c r="K16" s="16">
        <f t="shared" si="3"/>
        <v>685</v>
      </c>
      <c r="L16" s="16">
        <f t="shared" si="3"/>
        <v>752</v>
      </c>
      <c r="M16" s="16">
        <f t="shared" si="3"/>
        <v>770</v>
      </c>
      <c r="N16" s="16">
        <f t="shared" si="3"/>
        <v>788</v>
      </c>
      <c r="O16" s="16">
        <f t="shared" si="3"/>
        <v>807</v>
      </c>
      <c r="P16" s="16">
        <f t="shared" si="3"/>
        <v>831</v>
      </c>
      <c r="Q16" s="16">
        <f t="shared" si="3"/>
        <v>845</v>
      </c>
      <c r="R16" s="16">
        <f t="shared" si="3"/>
        <v>865</v>
      </c>
      <c r="S16" s="16">
        <f t="shared" si="3"/>
        <v>886</v>
      </c>
      <c r="T16" s="16">
        <f t="shared" si="3"/>
        <v>949</v>
      </c>
      <c r="U16" s="16">
        <f t="shared" si="3"/>
        <v>933</v>
      </c>
      <c r="V16" s="16">
        <f t="shared" si="3"/>
        <v>950</v>
      </c>
      <c r="W16" s="16">
        <f t="shared" si="3"/>
        <v>972</v>
      </c>
      <c r="X16" s="16">
        <f t="shared" si="3"/>
        <v>995</v>
      </c>
      <c r="Y16" s="16">
        <f t="shared" si="3"/>
        <v>1019</v>
      </c>
      <c r="Z16" s="16">
        <f t="shared" si="3"/>
        <v>1048</v>
      </c>
      <c r="AA16" s="16">
        <f t="shared" si="3"/>
        <v>1068</v>
      </c>
      <c r="AB16" s="16">
        <f t="shared" si="3"/>
        <v>1094</v>
      </c>
      <c r="AC16" s="16">
        <f t="shared" si="3"/>
        <v>1120</v>
      </c>
      <c r="AD16" s="16">
        <f t="shared" si="3"/>
        <v>1147</v>
      </c>
      <c r="AE16" s="16">
        <f t="shared" si="3"/>
        <v>1180</v>
      </c>
      <c r="AF16" s="16">
        <f t="shared" si="3"/>
        <v>1204</v>
      </c>
      <c r="AG16" s="16">
        <f t="shared" si="3"/>
        <v>1233</v>
      </c>
      <c r="AH16" s="16">
        <f t="shared" si="3"/>
        <v>1263</v>
      </c>
      <c r="AI16" s="16">
        <f t="shared" si="3"/>
        <v>1294</v>
      </c>
      <c r="AJ16" s="16">
        <f t="shared" si="3"/>
        <v>1331</v>
      </c>
      <c r="AK16" s="16">
        <f t="shared" si="3"/>
        <v>0</v>
      </c>
      <c r="AL16" s="16">
        <f t="shared" si="3"/>
        <v>0</v>
      </c>
      <c r="AM16" s="16">
        <f t="shared" si="3"/>
        <v>0</v>
      </c>
      <c r="AN16" s="16">
        <f t="shared" si="3"/>
        <v>0</v>
      </c>
      <c r="AO16" s="16">
        <f t="shared" si="3"/>
        <v>0</v>
      </c>
      <c r="AP16" s="16">
        <f t="shared" si="3"/>
        <v>0</v>
      </c>
      <c r="AQ16" s="16">
        <f t="shared" si="3"/>
        <v>0</v>
      </c>
      <c r="AR16" s="16">
        <f t="shared" si="3"/>
        <v>0</v>
      </c>
      <c r="AS16" s="16">
        <f t="shared" si="3"/>
        <v>0</v>
      </c>
      <c r="AT16" s="16">
        <f t="shared" si="3"/>
        <v>0</v>
      </c>
      <c r="AU16" s="16">
        <f t="shared" si="3"/>
        <v>0</v>
      </c>
      <c r="AV16" s="16">
        <f t="shared" si="3"/>
        <v>0</v>
      </c>
      <c r="AW16" s="16">
        <f t="shared" si="3"/>
        <v>0</v>
      </c>
      <c r="AX16" s="16">
        <f t="shared" si="3"/>
        <v>0</v>
      </c>
      <c r="AY16" s="16">
        <f t="shared" si="3"/>
        <v>0</v>
      </c>
      <c r="AZ16" s="16">
        <f t="shared" si="3"/>
        <v>0</v>
      </c>
      <c r="BA16" s="16">
        <f t="shared" si="3"/>
        <v>0</v>
      </c>
      <c r="BB16" s="16">
        <f t="shared" si="3"/>
        <v>0</v>
      </c>
    </row>
    <row r="17" spans="1:54">
      <c r="A17" s="24">
        <f>NPV('Financial Information'!$B$5,$E17:$AM17)*(1+'Financial Information'!$B$5)</f>
        <v>108541.72101171505</v>
      </c>
      <c r="B17" s="24">
        <f>NPV('Financial Information'!$B$5,$D17:$BB17)*(1+'Financial Information'!$B$5)</f>
        <v>101726.07405034215</v>
      </c>
      <c r="C17" s="6" t="s">
        <v>108</v>
      </c>
      <c r="D17" s="6">
        <v>0</v>
      </c>
      <c r="E17" s="16">
        <f>SUM(E2:E5)</f>
        <v>0</v>
      </c>
      <c r="F17" s="16">
        <f t="shared" ref="F17:BB17" si="4">SUM(F2:F5)</f>
        <v>0</v>
      </c>
      <c r="G17" s="16">
        <f t="shared" si="4"/>
        <v>14041.706153374476</v>
      </c>
      <c r="H17" s="16">
        <f t="shared" si="4"/>
        <v>13278.656275406503</v>
      </c>
      <c r="I17" s="16">
        <f t="shared" si="4"/>
        <v>12525.312349245794</v>
      </c>
      <c r="J17" s="16">
        <f t="shared" si="4"/>
        <v>11957.405760918318</v>
      </c>
      <c r="K17" s="16">
        <f t="shared" si="4"/>
        <v>10166.998987403484</v>
      </c>
      <c r="L17" s="16">
        <f t="shared" si="4"/>
        <v>9730.7432994502506</v>
      </c>
      <c r="M17" s="16">
        <f t="shared" si="4"/>
        <v>9398.556132046906</v>
      </c>
      <c r="N17" s="16">
        <f t="shared" si="4"/>
        <v>9120.2399531402662</v>
      </c>
      <c r="O17" s="16">
        <f t="shared" si="4"/>
        <v>8842.6783533115613</v>
      </c>
      <c r="P17" s="16">
        <f t="shared" si="4"/>
        <v>8570.3050567383107</v>
      </c>
      <c r="Q17" s="16">
        <f t="shared" si="4"/>
        <v>8297.6141709017411</v>
      </c>
      <c r="R17" s="16">
        <f t="shared" si="4"/>
        <v>8017.9216558650896</v>
      </c>
      <c r="S17" s="16">
        <f t="shared" si="4"/>
        <v>7738.8452450553323</v>
      </c>
      <c r="T17" s="16">
        <f t="shared" si="4"/>
        <v>7460.1868900833661</v>
      </c>
      <c r="U17" s="16">
        <f t="shared" si="4"/>
        <v>7190.6792331018214</v>
      </c>
      <c r="V17" s="16">
        <f t="shared" si="4"/>
        <v>6916.9548095163773</v>
      </c>
      <c r="W17" s="16">
        <f t="shared" si="4"/>
        <v>6638.3219252290301</v>
      </c>
      <c r="X17" s="16">
        <f t="shared" si="4"/>
        <v>6831.1895299056896</v>
      </c>
      <c r="Y17" s="16">
        <f t="shared" si="4"/>
        <v>6489.2194973060123</v>
      </c>
      <c r="Z17" s="16">
        <f t="shared" si="4"/>
        <v>6170.2158986953909</v>
      </c>
      <c r="AA17" s="16">
        <f t="shared" si="4"/>
        <v>5908.7224461638316</v>
      </c>
      <c r="AB17" s="16">
        <f t="shared" si="4"/>
        <v>5583.1782045309265</v>
      </c>
      <c r="AC17" s="16">
        <f t="shared" si="4"/>
        <v>5319.1387217613092</v>
      </c>
      <c r="AD17" s="16">
        <f t="shared" si="4"/>
        <v>5009.4469454168539</v>
      </c>
      <c r="AE17" s="16">
        <f t="shared" si="4"/>
        <v>4752.979041835003</v>
      </c>
      <c r="AF17" s="16">
        <f t="shared" si="4"/>
        <v>4462.0352425502542</v>
      </c>
      <c r="AG17" s="16">
        <f t="shared" si="4"/>
        <v>4181.6969917261058</v>
      </c>
      <c r="AH17" s="16">
        <f t="shared" si="4"/>
        <v>3916.5725021544358</v>
      </c>
      <c r="AI17" s="16">
        <f t="shared" si="4"/>
        <v>3651.3251251756119</v>
      </c>
      <c r="AJ17" s="16">
        <f t="shared" si="4"/>
        <v>5163.3570449307153</v>
      </c>
      <c r="AK17" s="16">
        <f t="shared" si="4"/>
        <v>-7.2711592060583878E-13</v>
      </c>
      <c r="AL17" s="16">
        <f t="shared" si="4"/>
        <v>-7.3210143270330262E-13</v>
      </c>
      <c r="AM17" s="16">
        <f t="shared" si="4"/>
        <v>-7.3210143270330262E-13</v>
      </c>
      <c r="AN17" s="16">
        <f t="shared" si="4"/>
        <v>-7.3210143270330262E-13</v>
      </c>
      <c r="AO17" s="16">
        <f t="shared" si="4"/>
        <v>-7.3210143270330262E-13</v>
      </c>
      <c r="AP17" s="16">
        <f t="shared" si="4"/>
        <v>-7.3210143270330262E-13</v>
      </c>
      <c r="AQ17" s="16">
        <f t="shared" si="4"/>
        <v>-7.3210143270330262E-13</v>
      </c>
      <c r="AR17" s="16">
        <f t="shared" si="4"/>
        <v>-7.3210143270330262E-13</v>
      </c>
      <c r="AS17" s="16">
        <f t="shared" si="4"/>
        <v>-7.3210143270330262E-13</v>
      </c>
      <c r="AT17" s="16">
        <f t="shared" si="4"/>
        <v>-7.3210143270330262E-13</v>
      </c>
      <c r="AU17" s="16">
        <f t="shared" si="4"/>
        <v>0</v>
      </c>
      <c r="AV17" s="16">
        <f t="shared" si="4"/>
        <v>0</v>
      </c>
      <c r="AW17" s="16">
        <f t="shared" si="4"/>
        <v>0</v>
      </c>
      <c r="AX17" s="16">
        <f t="shared" si="4"/>
        <v>0</v>
      </c>
      <c r="AY17" s="16">
        <f t="shared" si="4"/>
        <v>0</v>
      </c>
      <c r="AZ17" s="16">
        <f t="shared" si="4"/>
        <v>0</v>
      </c>
      <c r="BA17" s="16">
        <f t="shared" si="4"/>
        <v>0</v>
      </c>
      <c r="BB17" s="16">
        <f t="shared" si="4"/>
        <v>0</v>
      </c>
    </row>
    <row r="18" spans="1:54">
      <c r="A18" s="386">
        <f>NPV('Financial Information'!$B$5,$E18:$AM18)*(1+'Financial Information'!$B$5)</f>
        <v>3299.0406599724779</v>
      </c>
      <c r="B18" s="386">
        <f>NPV('Financial Information'!$B$5,$D18:$BB18)*(1+'Financial Information'!$B$5)</f>
        <v>3147.0250532883279</v>
      </c>
      <c r="C18" s="6" t="s">
        <v>107</v>
      </c>
      <c r="D18" s="6">
        <v>0</v>
      </c>
      <c r="E18" s="16">
        <f>SUM(E7:E9)</f>
        <v>0</v>
      </c>
      <c r="F18" s="16">
        <f t="shared" ref="F18:BB18" si="5">SUM(F7:F9)</f>
        <v>0</v>
      </c>
      <c r="G18" s="16">
        <f t="shared" si="5"/>
        <v>362.46614547278017</v>
      </c>
      <c r="H18" s="16">
        <f t="shared" si="5"/>
        <v>353.18409358985292</v>
      </c>
      <c r="I18" s="16">
        <f t="shared" si="5"/>
        <v>343.00910130620048</v>
      </c>
      <c r="J18" s="16">
        <f t="shared" si="5"/>
        <v>333.15623054224494</v>
      </c>
      <c r="K18" s="16">
        <f t="shared" si="5"/>
        <v>323.60168848201596</v>
      </c>
      <c r="L18" s="16">
        <f t="shared" si="5"/>
        <v>314.32351699659461</v>
      </c>
      <c r="M18" s="16">
        <f t="shared" si="5"/>
        <v>304.30129571661473</v>
      </c>
      <c r="N18" s="16">
        <f t="shared" si="5"/>
        <v>295.51616235259604</v>
      </c>
      <c r="O18" s="16">
        <f t="shared" si="5"/>
        <v>286.8650793543452</v>
      </c>
      <c r="P18" s="16">
        <f t="shared" si="5"/>
        <v>277.23641408379046</v>
      </c>
      <c r="Q18" s="16">
        <f t="shared" si="5"/>
        <v>268.61159255038518</v>
      </c>
      <c r="R18" s="16">
        <f t="shared" si="5"/>
        <v>258.99073006624366</v>
      </c>
      <c r="S18" s="16">
        <f t="shared" si="5"/>
        <v>250.37394540284399</v>
      </c>
      <c r="T18" s="16">
        <f t="shared" si="5"/>
        <v>240.76136089480832</v>
      </c>
      <c r="U18" s="16">
        <f t="shared" si="5"/>
        <v>231.15310254679764</v>
      </c>
      <c r="V18" s="16">
        <f t="shared" si="5"/>
        <v>222.54930014361261</v>
      </c>
      <c r="W18" s="16">
        <f t="shared" si="5"/>
        <v>212.95008736359813</v>
      </c>
      <c r="X18" s="16">
        <f t="shared" si="5"/>
        <v>203.35560189544921</v>
      </c>
      <c r="Y18" s="16">
        <f t="shared" si="5"/>
        <v>193.76598555852183</v>
      </c>
      <c r="Z18" s="16">
        <f t="shared" si="5"/>
        <v>184.18138442675266</v>
      </c>
      <c r="AA18" s="16">
        <f t="shared" si="5"/>
        <v>177.28486507318004</v>
      </c>
      <c r="AB18" s="16">
        <f t="shared" si="5"/>
        <v>170.75919248138189</v>
      </c>
      <c r="AC18" s="16">
        <f t="shared" si="5"/>
        <v>165.92191625655428</v>
      </c>
      <c r="AD18" s="16">
        <f t="shared" si="5"/>
        <v>159.09028468931615</v>
      </c>
      <c r="AE18" s="16">
        <f t="shared" si="5"/>
        <v>154.26446711939525</v>
      </c>
      <c r="AF18" s="16">
        <f t="shared" si="5"/>
        <v>149.44463796671104</v>
      </c>
      <c r="AG18" s="16">
        <f t="shared" si="5"/>
        <v>143.63097688378068</v>
      </c>
      <c r="AH18" s="16">
        <f t="shared" si="5"/>
        <v>138.82366891269675</v>
      </c>
      <c r="AI18" s="16">
        <f t="shared" si="5"/>
        <v>134.02290464681465</v>
      </c>
      <c r="AJ18" s="16">
        <f t="shared" si="5"/>
        <v>129.22888039729042</v>
      </c>
      <c r="AK18" s="16">
        <f t="shared" si="5"/>
        <v>124.44179836461481</v>
      </c>
      <c r="AL18" s="16">
        <f t="shared" si="5"/>
        <v>119.66186681529332</v>
      </c>
      <c r="AM18" s="16">
        <f t="shared" si="5"/>
        <v>114.8893002638265</v>
      </c>
      <c r="AN18" s="16">
        <f t="shared" si="5"/>
        <v>110.12431966015005</v>
      </c>
      <c r="AO18" s="16">
        <f t="shared" si="5"/>
        <v>105.36715258269766</v>
      </c>
      <c r="AP18" s="16">
        <f t="shared" si="5"/>
        <v>100.61803343725602</v>
      </c>
      <c r="AQ18" s="16">
        <f t="shared" si="5"/>
        <v>95.877203661785472</v>
      </c>
      <c r="AR18" s="16">
        <f t="shared" si="5"/>
        <v>91.144911937385189</v>
      </c>
      <c r="AS18" s="16">
        <f t="shared" si="5"/>
        <v>86.4214144055872</v>
      </c>
      <c r="AT18" s="16">
        <f t="shared" si="5"/>
        <v>89.096624087866644</v>
      </c>
      <c r="AU18" s="16">
        <f t="shared" si="5"/>
        <v>0</v>
      </c>
      <c r="AV18" s="16">
        <f t="shared" si="5"/>
        <v>0</v>
      </c>
      <c r="AW18" s="16">
        <f t="shared" si="5"/>
        <v>0</v>
      </c>
      <c r="AX18" s="16">
        <f t="shared" si="5"/>
        <v>0</v>
      </c>
      <c r="AY18" s="16">
        <f t="shared" si="5"/>
        <v>0</v>
      </c>
      <c r="AZ18" s="16">
        <f t="shared" si="5"/>
        <v>0</v>
      </c>
      <c r="BA18" s="16">
        <f t="shared" si="5"/>
        <v>0</v>
      </c>
      <c r="BB18" s="16">
        <f t="shared" si="5"/>
        <v>0</v>
      </c>
    </row>
    <row r="19" spans="1:54">
      <c r="A19" s="24">
        <f>SUM(A16:A18)</f>
        <v>121972.96846561841</v>
      </c>
      <c r="B19" s="24">
        <f>SUM(B16:B18)</f>
        <v>114369.07548032296</v>
      </c>
    </row>
    <row r="20" spans="1:54">
      <c r="D20" s="411"/>
      <c r="E20" s="411"/>
      <c r="F20" s="411"/>
      <c r="G20" s="411"/>
      <c r="AB20" s="157"/>
      <c r="AC20" s="157"/>
      <c r="AD20" s="157"/>
      <c r="AE20" s="157"/>
      <c r="AF20" s="157"/>
      <c r="AG20" s="157"/>
      <c r="AH20" s="157"/>
    </row>
    <row r="21" spans="1:54">
      <c r="D21" s="390"/>
      <c r="F21" s="390"/>
    </row>
    <row r="22" spans="1:54">
      <c r="D22" s="390"/>
      <c r="F22" s="390" t="s">
        <v>193</v>
      </c>
    </row>
    <row r="23" spans="1:54">
      <c r="D23" s="390"/>
      <c r="F23" s="390"/>
    </row>
    <row r="24" spans="1:54">
      <c r="D24" s="157"/>
      <c r="F24" s="157"/>
    </row>
    <row r="25" spans="1:54">
      <c r="D25" s="390"/>
      <c r="F25" s="390"/>
    </row>
    <row r="26" spans="1:54">
      <c r="D26" s="153"/>
      <c r="E26" s="160"/>
      <c r="F26" s="153"/>
    </row>
    <row r="27" spans="1:54">
      <c r="D27" s="153"/>
      <c r="E27" s="160"/>
      <c r="F27" s="153"/>
    </row>
    <row r="28" spans="1:54">
      <c r="D28" s="390"/>
      <c r="F28" s="390"/>
    </row>
    <row r="29" spans="1:54">
      <c r="D29" s="390"/>
      <c r="F29" s="390"/>
    </row>
    <row r="31" spans="1:54">
      <c r="D31" s="37"/>
      <c r="F31" s="37"/>
    </row>
    <row r="32" spans="1:54">
      <c r="D32" s="37"/>
      <c r="F32" s="37"/>
    </row>
    <row r="33" spans="4:6">
      <c r="D33" s="37"/>
      <c r="F33" s="37"/>
    </row>
    <row r="34" spans="4:6">
      <c r="D34" s="391"/>
      <c r="F34" s="392"/>
    </row>
    <row r="35" spans="4:6">
      <c r="D35" s="37"/>
    </row>
    <row r="53" spans="4:6">
      <c r="D53" s="155"/>
      <c r="F53" s="155"/>
    </row>
    <row r="54" spans="4:6">
      <c r="D54" s="153"/>
      <c r="F54" s="155"/>
    </row>
    <row r="55" spans="4:6">
      <c r="D55" s="155"/>
      <c r="F55" s="155"/>
    </row>
    <row r="56" spans="4:6">
      <c r="D56" s="155"/>
      <c r="F56" s="155"/>
    </row>
    <row r="57" spans="4:6">
      <c r="D57" s="155"/>
      <c r="F57" s="155"/>
    </row>
    <row r="58" spans="4:6">
      <c r="F58" s="155"/>
    </row>
    <row r="59" spans="4:6">
      <c r="F59" s="155"/>
    </row>
    <row r="60" spans="4:6">
      <c r="F60" s="155"/>
    </row>
    <row r="61" spans="4:6">
      <c r="F61" s="155"/>
    </row>
    <row r="62" spans="4:6">
      <c r="F62" s="155"/>
    </row>
  </sheetData>
  <mergeCells count="2">
    <mergeCell ref="D20:E20"/>
    <mergeCell ref="F20:G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28</vt:i4>
      </vt:variant>
      <vt:variant>
        <vt:lpstr>Charts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39" baseType="lpstr">
      <vt:lpstr>Solar_Cap_FOM_Summary</vt:lpstr>
      <vt:lpstr>Columbia</vt:lpstr>
      <vt:lpstr>Hamilton</vt:lpstr>
      <vt:lpstr>Trenton</vt:lpstr>
      <vt:lpstr>Lake_Placid</vt:lpstr>
      <vt:lpstr>Debary</vt:lpstr>
      <vt:lpstr>Santa_Fe</vt:lpstr>
      <vt:lpstr>Twin_Rivers</vt:lpstr>
      <vt:lpstr>Duette</vt:lpstr>
      <vt:lpstr>Charlie_Creek</vt:lpstr>
      <vt:lpstr>Archer</vt:lpstr>
      <vt:lpstr>CEC_2022</vt:lpstr>
      <vt:lpstr>CEC_2023</vt:lpstr>
      <vt:lpstr>CEC_2024</vt:lpstr>
      <vt:lpstr>Resource_Plans</vt:lpstr>
      <vt:lpstr>Fish_Curves_NC_MF</vt:lpstr>
      <vt:lpstr>Fish_Curves_LC_MF</vt:lpstr>
      <vt:lpstr>Fish_Curves_WC_LF</vt:lpstr>
      <vt:lpstr>Fish_Curves_WC_MF</vt:lpstr>
      <vt:lpstr>Fish_Curves_WC_HF</vt:lpstr>
      <vt:lpstr>Sensitivity_Summary</vt:lpstr>
      <vt:lpstr>LowCarbon_Summary_2053</vt:lpstr>
      <vt:lpstr>Summary_2053</vt:lpstr>
      <vt:lpstr>NoCarbon_Summary_2053</vt:lpstr>
      <vt:lpstr>LowFuel_Summary_2053</vt:lpstr>
      <vt:lpstr>HighFuel_Summary_2053</vt:lpstr>
      <vt:lpstr>Financial Information</vt:lpstr>
      <vt:lpstr>Program Admin Budget</vt:lpstr>
      <vt:lpstr>Chart_CPVRR_NC</vt:lpstr>
      <vt:lpstr>Chart_CPVRR_LC</vt:lpstr>
      <vt:lpstr>Chart_CPVRR_LF</vt:lpstr>
      <vt:lpstr>Chart_CPVRR_MF</vt:lpstr>
      <vt:lpstr>Chart_PV_MF </vt:lpstr>
      <vt:lpstr>Chart_Nominal_MF</vt:lpstr>
      <vt:lpstr>Chart_CPVRR_HF</vt:lpstr>
      <vt:lpstr>LowCarbon_Summary_2053!Print_Area</vt:lpstr>
      <vt:lpstr>NoCarbon_Summary_2053!Print_Area</vt:lpstr>
      <vt:lpstr>'Program Admin Budget'!Print_Area</vt:lpstr>
      <vt:lpstr>Summary_2053!Print_Area</vt:lpstr>
    </vt:vector>
  </TitlesOfParts>
  <Company>Duke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Tanaka Ugaz, Liliana</dc:creator>
  <cp:lastModifiedBy>Wolf, Christy</cp:lastModifiedBy>
  <cp:lastPrinted>2019-03-11T14:21:22Z</cp:lastPrinted>
  <dcterms:created xsi:type="dcterms:W3CDTF">2018-06-13T18:42:28Z</dcterms:created>
  <dcterms:modified xsi:type="dcterms:W3CDTF">2020-10-30T15:44:11Z</dcterms:modified>
</cp:coreProperties>
</file>